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64781173-5986-41C8-B8F4-86062CEABF85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</calcChain>
</file>

<file path=xl/sharedStrings.xml><?xml version="1.0" encoding="utf-8"?>
<sst xmlns="http://schemas.openxmlformats.org/spreadsheetml/2006/main" count="13633" uniqueCount="81">
  <si>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</si>
  <si>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</si>
  <si>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</si>
  <si>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</si>
  <si>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</si>
  <si>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</si>
  <si>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</si>
  <si>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</si>
  <si>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</si>
  <si>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</si>
  <si>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</si>
  <si>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</si>
  <si>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</si>
  <si>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</si>
  <si>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</si>
  <si>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</si>
  <si>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</si>
  <si>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</si>
  <si>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</si>
  <si>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</si>
  <si>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</si>
  <si>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</si>
  <si>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</si>
  <si>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</si>
  <si>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</si>
  <si>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</si>
  <si>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</si>
  <si>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</si>
  <si>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</si>
  <si>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</si>
  <si>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</si>
  <si>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</si>
  <si>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</si>
  <si>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</si>
  <si>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</si>
  <si>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</si>
  <si>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</si>
  <si>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Testday_off</t>
  </si>
  <si>
    <t>Plane_01</t>
  </si>
  <si>
    <t>mcp_road_part_02</t>
  </si>
  <si>
    <t>Kooper</t>
  </si>
  <si>
    <t>Building 15 (25)</t>
  </si>
  <si>
    <t>Box001</t>
  </si>
  <si>
    <t>Tower 01</t>
  </si>
  <si>
    <t>Stand 03</t>
  </si>
  <si>
    <t>Building 07 (16)</t>
  </si>
  <si>
    <t>mcp_roads_turn_01 (1)</t>
  </si>
  <si>
    <t>Building 07 (17)</t>
  </si>
  <si>
    <t>Building 07 (18)</t>
  </si>
  <si>
    <t>Building 15 (35)</t>
  </si>
  <si>
    <t>mcp_roads_T_cross_01</t>
  </si>
  <si>
    <t>mcp_roads_cross_02</t>
  </si>
  <si>
    <t>mcp_road_part_01</t>
  </si>
  <si>
    <t>Floor 02</t>
  </si>
  <si>
    <t>Wall Small 03 (4)</t>
  </si>
  <si>
    <t>Building 19</t>
  </si>
  <si>
    <t>mcp_roads_cross_01</t>
  </si>
  <si>
    <t>Building 01 (9)</t>
  </si>
  <si>
    <t>FAR</t>
  </si>
  <si>
    <t>Building 15 (32)</t>
  </si>
  <si>
    <t>mcp_building_24_fountain_marble</t>
  </si>
  <si>
    <t>Building 24 (1)</t>
  </si>
  <si>
    <t>Building 29 (5)</t>
  </si>
  <si>
    <t>Building 01 (1)</t>
  </si>
  <si>
    <t>Building 13 (1)</t>
  </si>
  <si>
    <t>mcp_roads_turn_01</t>
  </si>
  <si>
    <t>mcp_road_part_02 (1)</t>
  </si>
  <si>
    <t>mcp_road_part_02 (2)</t>
  </si>
  <si>
    <t>mcp_road_part_02 (3)</t>
  </si>
  <si>
    <t>Building 23 (4)</t>
  </si>
  <si>
    <t>Building 30 (4)</t>
  </si>
  <si>
    <t>mcp_road_part_02 (7)</t>
  </si>
  <si>
    <t>Building 07 (15)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</si>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</sst>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799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"20200111153405598"</f>
        <v>20200111153405598</v>
      </c>
      <c r="B2" t="str">
        <f>"1578728045586386"</f>
        <v>1578728045586386</v>
      </c>
      <c r="C2" t="s">
        <v>37</v>
      </c>
      <c r="D2">
        <v>4.8520899999999996</v>
      </c>
      <c r="E2">
        <v>0.5191074</v>
      </c>
      <c r="F2" t="s">
        <v>38</v>
      </c>
      <c r="G2">
        <v>-437.60520000000002</v>
      </c>
      <c r="H2">
        <v>-0.05</v>
      </c>
      <c r="I2">
        <v>368.21850000000001</v>
      </c>
      <c r="J2">
        <v>-477.10140000000001</v>
      </c>
      <c r="K2">
        <v>1.1041780000000001</v>
      </c>
      <c r="L2">
        <v>367.51990000000001</v>
      </c>
      <c r="M2">
        <v>0.99995970000000001</v>
      </c>
      <c r="N2">
        <v>0</v>
      </c>
      <c r="O2" s="1">
        <v>-1.3124519999999999E-5</v>
      </c>
      <c r="P2">
        <v>0.99746869999999999</v>
      </c>
      <c r="Q2">
        <v>1.0084350000000001E-2</v>
      </c>
      <c r="R2">
        <v>7.0391190000000006E-2</v>
      </c>
      <c r="S2">
        <v>3.004578</v>
      </c>
      <c r="T2">
        <v>-8.7801340000000005E-2</v>
      </c>
      <c r="U2">
        <v>5.3131100000000001E-2</v>
      </c>
      <c r="V2">
        <v>-7.0403809999999997E-2</v>
      </c>
      <c r="W2">
        <v>1.9060239999999999E-2</v>
      </c>
      <c r="X2">
        <v>0.99733640000000001</v>
      </c>
      <c r="Y2">
        <v>-1.7686190000000001E-2</v>
      </c>
      <c r="Z2">
        <v>2.5872569999999998E-4</v>
      </c>
      <c r="AA2">
        <v>0.9998435</v>
      </c>
      <c r="AB2">
        <v>1</v>
      </c>
      <c r="AC2">
        <v>39.496199999999902</v>
      </c>
      <c r="AD2">
        <v>-1.1541779999999999</v>
      </c>
      <c r="AE2">
        <v>0.698599999999999</v>
      </c>
      <c r="AF2">
        <v>-0.69852206968624797</v>
      </c>
      <c r="AG2">
        <v>-1.1541779999999999</v>
      </c>
      <c r="AH2">
        <v>39.462502168377299</v>
      </c>
      <c r="AI2">
        <v>91.675016270362505</v>
      </c>
      <c r="AJ2">
        <v>91.014081345898703</v>
      </c>
      <c r="AK2">
        <v>39.485556059484601</v>
      </c>
    </row>
    <row r="3" spans="1:37" x14ac:dyDescent="0.2">
      <c r="A3" t="str">
        <f>"20200111153405610"</f>
        <v>20200111153405610</v>
      </c>
      <c r="B3" t="str">
        <f>"1578728045606882"</f>
        <v>1578728045606882</v>
      </c>
      <c r="C3" t="s">
        <v>37</v>
      </c>
      <c r="D3">
        <v>4.8557550000000003</v>
      </c>
      <c r="E3">
        <v>0.51927999999999996</v>
      </c>
      <c r="F3" t="s">
        <v>38</v>
      </c>
      <c r="G3">
        <v>-435.04140000000001</v>
      </c>
      <c r="H3">
        <v>-0.05</v>
      </c>
      <c r="I3">
        <v>368.25599999999997</v>
      </c>
      <c r="J3">
        <v>-477.09530000000001</v>
      </c>
      <c r="K3">
        <v>1.1040760000000001</v>
      </c>
      <c r="L3">
        <v>367.51990000000001</v>
      </c>
      <c r="M3">
        <v>0.9999654</v>
      </c>
      <c r="N3">
        <v>0</v>
      </c>
      <c r="O3" s="1">
        <v>-1.32423499999999E-5</v>
      </c>
      <c r="P3">
        <v>0.99744549999999998</v>
      </c>
      <c r="Q3">
        <v>1.179243E-2</v>
      </c>
      <c r="R3">
        <v>7.0453550000000004E-2</v>
      </c>
      <c r="S3">
        <v>3.0047299999999999</v>
      </c>
      <c r="T3">
        <v>-8.2453369999999998E-2</v>
      </c>
      <c r="U3">
        <v>5.2581790000000003E-2</v>
      </c>
      <c r="V3">
        <v>-7.0466109999999998E-2</v>
      </c>
      <c r="W3">
        <v>2.0096679999999999E-2</v>
      </c>
      <c r="X3">
        <v>0.99731170000000002</v>
      </c>
      <c r="Y3">
        <v>-1.7503640000000001E-2</v>
      </c>
      <c r="Z3">
        <v>2.404602E-4</v>
      </c>
      <c r="AA3">
        <v>0.99984680000000004</v>
      </c>
      <c r="AB3">
        <v>1</v>
      </c>
      <c r="AC3">
        <v>42.053899999999999</v>
      </c>
      <c r="AD3">
        <v>-1.1540760000000001</v>
      </c>
      <c r="AE3">
        <v>0.73609999999996401</v>
      </c>
      <c r="AF3">
        <v>-0.73610271788845305</v>
      </c>
      <c r="AG3">
        <v>-1.1540760000000001</v>
      </c>
      <c r="AH3">
        <v>42.022252719361397</v>
      </c>
      <c r="AI3">
        <v>91.572903117205399</v>
      </c>
      <c r="AJ3">
        <v>91.003546057344593</v>
      </c>
      <c r="AK3">
        <v>42.044541408308199</v>
      </c>
    </row>
    <row r="4" spans="1:37" x14ac:dyDescent="0.2">
      <c r="A4" t="str">
        <f>"20200111153405631"</f>
        <v>20200111153405631</v>
      </c>
      <c r="B4" t="str">
        <f>"1578728045626402"</f>
        <v>1578728045626402</v>
      </c>
      <c r="C4" t="s">
        <v>37</v>
      </c>
      <c r="D4">
        <v>4.9059629999999999</v>
      </c>
      <c r="E4">
        <v>0.5195457</v>
      </c>
      <c r="F4" t="s">
        <v>38</v>
      </c>
      <c r="G4">
        <v>-434.12509999999997</v>
      </c>
      <c r="H4">
        <v>-0.05</v>
      </c>
      <c r="I4">
        <v>368.25349999999997</v>
      </c>
      <c r="J4">
        <v>-477.08449999999999</v>
      </c>
      <c r="K4">
        <v>1.1039490000000001</v>
      </c>
      <c r="L4">
        <v>367.51990000000001</v>
      </c>
      <c r="M4">
        <v>0.99997329999999995</v>
      </c>
      <c r="N4">
        <v>0</v>
      </c>
      <c r="O4" s="1">
        <v>-1.36481399999999E-5</v>
      </c>
      <c r="P4">
        <v>0.99743159999999897</v>
      </c>
      <c r="Q4">
        <v>1.5793109999999999E-2</v>
      </c>
      <c r="R4">
        <v>6.9863389999999997E-2</v>
      </c>
      <c r="S4">
        <v>3.0050050000000001</v>
      </c>
      <c r="T4">
        <v>-8.0707189999999998E-2</v>
      </c>
      <c r="U4">
        <v>5.130005E-2</v>
      </c>
      <c r="V4">
        <v>-6.9876160000000007E-2</v>
      </c>
      <c r="W4">
        <v>2.309338E-2</v>
      </c>
      <c r="X4">
        <v>0.99728830000000002</v>
      </c>
      <c r="Y4">
        <v>-1.7076540000000001E-2</v>
      </c>
      <c r="Z4">
        <v>2.2962580000000001E-4</v>
      </c>
      <c r="AA4">
        <v>0.99985409999999997</v>
      </c>
      <c r="AB4">
        <v>1</v>
      </c>
      <c r="AC4">
        <v>42.959400000000002</v>
      </c>
      <c r="AD4">
        <v>-1.1539489999999999</v>
      </c>
      <c r="AE4">
        <v>0.73359999999996695</v>
      </c>
      <c r="AF4">
        <v>-0.73365712723287102</v>
      </c>
      <c r="AG4">
        <v>-1.1539489999999999</v>
      </c>
      <c r="AH4">
        <v>42.928424694154998</v>
      </c>
      <c r="AI4">
        <v>91.539559014970393</v>
      </c>
      <c r="AJ4">
        <v>90.979103367892506</v>
      </c>
      <c r="AK4">
        <v>42.950197878434501</v>
      </c>
    </row>
    <row r="5" spans="1:37" x14ac:dyDescent="0.2">
      <c r="A5" t="str">
        <f>"20200111153405644"</f>
        <v>20200111153405644</v>
      </c>
      <c r="B5" t="str">
        <f>"1578728045636162"</f>
        <v>1578728045636162</v>
      </c>
      <c r="C5" t="s">
        <v>37</v>
      </c>
      <c r="D5">
        <v>4.8844779999999997</v>
      </c>
      <c r="E5">
        <v>0.51974679999999995</v>
      </c>
      <c r="F5" t="s">
        <v>38</v>
      </c>
      <c r="G5">
        <v>-428.32530000000003</v>
      </c>
      <c r="H5">
        <v>-0.05</v>
      </c>
      <c r="I5">
        <v>368.28629999999998</v>
      </c>
      <c r="J5">
        <v>-477.07549999999998</v>
      </c>
      <c r="K5">
        <v>1.1038619999999999</v>
      </c>
      <c r="L5">
        <v>367.51990000000001</v>
      </c>
      <c r="M5">
        <v>0.99997809999999898</v>
      </c>
      <c r="N5">
        <v>0</v>
      </c>
      <c r="O5" s="1">
        <v>-1.34684E-5</v>
      </c>
      <c r="P5">
        <v>0.99742500000000001</v>
      </c>
      <c r="Q5">
        <v>1.719008E-2</v>
      </c>
      <c r="R5">
        <v>6.9629300000000005E-2</v>
      </c>
      <c r="S5">
        <v>3.0055540000000001</v>
      </c>
      <c r="T5">
        <v>-7.1130280000000004E-2</v>
      </c>
      <c r="U5">
        <v>4.7241209999999999E-2</v>
      </c>
      <c r="V5">
        <v>-6.9641529999999993E-2</v>
      </c>
      <c r="W5">
        <v>2.3793180000000001E-2</v>
      </c>
      <c r="X5">
        <v>0.99728830000000002</v>
      </c>
      <c r="Y5">
        <v>-1.5725090000000001E-2</v>
      </c>
      <c r="Z5">
        <v>1.8635839999999999E-4</v>
      </c>
      <c r="AA5">
        <v>0.99987630000000005</v>
      </c>
      <c r="AB5">
        <v>1</v>
      </c>
      <c r="AC5">
        <v>48.7501999999999</v>
      </c>
      <c r="AD5">
        <v>-1.1538619999999999</v>
      </c>
      <c r="AE5">
        <v>0.76639999999997599</v>
      </c>
      <c r="AF5">
        <v>-0.766627231344303</v>
      </c>
      <c r="AG5">
        <v>-1.1538619999999999</v>
      </c>
      <c r="AH5">
        <v>48.722901104546501</v>
      </c>
      <c r="AI5">
        <v>91.356464587338905</v>
      </c>
      <c r="AJ5">
        <v>90.901442227925401</v>
      </c>
      <c r="AK5">
        <v>48.7425913023744</v>
      </c>
    </row>
    <row r="6" spans="1:37" x14ac:dyDescent="0.2">
      <c r="A6" t="str">
        <f>"20200111153405656"</f>
        <v>20200111153405656</v>
      </c>
      <c r="B6" t="str">
        <f>"1578728045646898"</f>
        <v>1578728045646898</v>
      </c>
      <c r="C6" t="s">
        <v>37</v>
      </c>
      <c r="D6">
        <v>4.9120369999999998</v>
      </c>
      <c r="E6">
        <v>0.5199435</v>
      </c>
      <c r="F6" t="s">
        <v>38</v>
      </c>
      <c r="G6">
        <v>-426.00069999999999</v>
      </c>
      <c r="H6">
        <v>-0.05</v>
      </c>
      <c r="I6">
        <v>368.28269999999998</v>
      </c>
      <c r="J6">
        <v>-477.06650000000002</v>
      </c>
      <c r="K6">
        <v>1.1037889999999999</v>
      </c>
      <c r="L6">
        <v>367.51990000000001</v>
      </c>
      <c r="M6">
        <v>0.99998220000000004</v>
      </c>
      <c r="N6">
        <v>0</v>
      </c>
      <c r="O6" s="1">
        <v>-1.337691E-5</v>
      </c>
      <c r="P6">
        <v>0.997444199999999</v>
      </c>
      <c r="Q6">
        <v>1.81599E-2</v>
      </c>
      <c r="R6">
        <v>6.9106059999999997E-2</v>
      </c>
      <c r="S6">
        <v>3.0057369999999999</v>
      </c>
      <c r="T6">
        <v>-6.7904469999999995E-2</v>
      </c>
      <c r="U6">
        <v>4.4891359999999998E-2</v>
      </c>
      <c r="V6">
        <v>-6.911834E-2</v>
      </c>
      <c r="W6">
        <v>2.4134030000000001E-2</v>
      </c>
      <c r="X6">
        <v>0.99731650000000005</v>
      </c>
      <c r="Y6">
        <v>-1.4943120000000001E-2</v>
      </c>
      <c r="Z6">
        <v>1.6906580000000001E-4</v>
      </c>
      <c r="AA6">
        <v>0.99988840000000001</v>
      </c>
      <c r="AB6">
        <v>1</v>
      </c>
      <c r="AC6">
        <v>51.065800000000003</v>
      </c>
      <c r="AD6">
        <v>-1.153789</v>
      </c>
      <c r="AE6">
        <v>0.76279999999996995</v>
      </c>
      <c r="AF6">
        <v>-0.76309364520336398</v>
      </c>
      <c r="AG6">
        <v>-1.153789</v>
      </c>
      <c r="AH6">
        <v>51.039740010865003</v>
      </c>
      <c r="AI6">
        <v>91.2948459262564</v>
      </c>
      <c r="AJ6">
        <v>90.856563687809597</v>
      </c>
      <c r="AK6">
        <v>51.058482168436598</v>
      </c>
    </row>
    <row r="7" spans="1:37" x14ac:dyDescent="0.2">
      <c r="A7" t="str">
        <f>"20200111153405677"</f>
        <v>20200111153405677</v>
      </c>
      <c r="B7" t="str">
        <f>"1578728045666434"</f>
        <v>1578728045666434</v>
      </c>
      <c r="C7" t="s">
        <v>37</v>
      </c>
      <c r="D7">
        <v>4.8779849999999998</v>
      </c>
      <c r="E7">
        <v>0.52032219999999996</v>
      </c>
      <c r="F7" t="s">
        <v>38</v>
      </c>
      <c r="G7">
        <v>-425.25889999999998</v>
      </c>
      <c r="H7">
        <v>-0.05</v>
      </c>
      <c r="I7">
        <v>368.24369999999999</v>
      </c>
      <c r="J7">
        <v>-477.05090000000001</v>
      </c>
      <c r="K7">
        <v>1.103702</v>
      </c>
      <c r="L7">
        <v>367.51990000000001</v>
      </c>
      <c r="M7">
        <v>0.99998719999999996</v>
      </c>
      <c r="N7">
        <v>0</v>
      </c>
      <c r="O7" s="1">
        <v>-1.35278799999999E-5</v>
      </c>
      <c r="P7">
        <v>0.99747659999999905</v>
      </c>
      <c r="Q7">
        <v>1.9590980000000001E-2</v>
      </c>
      <c r="R7">
        <v>6.8237039999999999E-2</v>
      </c>
      <c r="S7">
        <v>3.0060119999999899</v>
      </c>
      <c r="T7">
        <v>-6.6945790000000005E-2</v>
      </c>
      <c r="U7">
        <v>4.1992189999999999E-2</v>
      </c>
      <c r="V7">
        <v>-6.8249580000000004E-2</v>
      </c>
      <c r="W7">
        <v>2.4635509999999999E-2</v>
      </c>
      <c r="X7">
        <v>0.99736399999999903</v>
      </c>
      <c r="Y7">
        <v>-1.39781E-2</v>
      </c>
      <c r="Z7">
        <v>1.559249E-4</v>
      </c>
      <c r="AA7">
        <v>0.99990230000000002</v>
      </c>
      <c r="AB7">
        <v>1</v>
      </c>
      <c r="AC7">
        <v>51.792000000000002</v>
      </c>
      <c r="AD7">
        <v>-1.153702</v>
      </c>
      <c r="AE7">
        <v>0.72379999999998201</v>
      </c>
      <c r="AF7">
        <v>-0.72414139179299597</v>
      </c>
      <c r="AG7">
        <v>-1.153702</v>
      </c>
      <c r="AH7">
        <v>51.7663084715427</v>
      </c>
      <c r="AI7">
        <v>91.276599644740102</v>
      </c>
      <c r="AJ7">
        <v>90.8014390200088</v>
      </c>
      <c r="AK7">
        <v>51.784226380540098</v>
      </c>
    </row>
    <row r="8" spans="1:37" x14ac:dyDescent="0.2">
      <c r="A8" t="str">
        <f>"20200111153405690"</f>
        <v>20200111153405690</v>
      </c>
      <c r="B8" t="str">
        <f>"1578728045686913"</f>
        <v>1578728045686913</v>
      </c>
      <c r="C8" t="s">
        <v>37</v>
      </c>
      <c r="D8">
        <v>4.8725250000000004</v>
      </c>
      <c r="E8">
        <v>0.52059069999999996</v>
      </c>
      <c r="F8" t="s">
        <v>38</v>
      </c>
      <c r="G8">
        <v>-425.30470000000003</v>
      </c>
      <c r="H8">
        <v>-0.05</v>
      </c>
      <c r="I8">
        <v>368.14339999999999</v>
      </c>
      <c r="J8">
        <v>-477.03890000000001</v>
      </c>
      <c r="K8">
        <v>1.1036549999999901</v>
      </c>
      <c r="L8">
        <v>367.51990000000001</v>
      </c>
      <c r="M8">
        <v>0.99999009999999999</v>
      </c>
      <c r="N8">
        <v>0</v>
      </c>
      <c r="O8" s="1">
        <v>-1.400877E-5</v>
      </c>
      <c r="P8">
        <v>0.99743930000000003</v>
      </c>
      <c r="Q8">
        <v>2.156166E-2</v>
      </c>
      <c r="R8">
        <v>6.8192499999999906E-2</v>
      </c>
      <c r="S8">
        <v>3.00637799999999</v>
      </c>
      <c r="T8">
        <v>-6.7028400000000002E-2</v>
      </c>
      <c r="U8">
        <v>3.6224369999999999E-2</v>
      </c>
      <c r="V8">
        <v>-6.8205340000000003E-2</v>
      </c>
      <c r="W8">
        <v>2.6013120000000001E-2</v>
      </c>
      <c r="X8">
        <v>0.99733209999999906</v>
      </c>
      <c r="Y8">
        <v>-1.20592999999999E-2</v>
      </c>
      <c r="Z8">
        <v>1.3472420000000001E-4</v>
      </c>
      <c r="AA8">
        <v>0.99992729999999996</v>
      </c>
      <c r="AB8">
        <v>2</v>
      </c>
      <c r="AC8">
        <v>51.734199999999902</v>
      </c>
      <c r="AD8">
        <v>-1.1536549999999901</v>
      </c>
      <c r="AE8">
        <v>0.62349999999997796</v>
      </c>
      <c r="AF8">
        <v>-0.62391452772432299</v>
      </c>
      <c r="AG8">
        <v>-1.1536549999999901</v>
      </c>
      <c r="AH8">
        <v>51.708481671086197</v>
      </c>
      <c r="AI8">
        <v>91.278006769074096</v>
      </c>
      <c r="AJ8">
        <v>90.691297315200103</v>
      </c>
      <c r="AK8">
        <v>51.725112526953403</v>
      </c>
    </row>
    <row r="9" spans="1:37" x14ac:dyDescent="0.2">
      <c r="A9" t="str">
        <f>"20200111153405703"</f>
        <v>20200111153405703</v>
      </c>
      <c r="B9" t="str">
        <f>"1578728045696674"</f>
        <v>1578728045696674</v>
      </c>
      <c r="C9" t="s">
        <v>37</v>
      </c>
      <c r="D9">
        <v>4.9137409999999999</v>
      </c>
      <c r="E9">
        <v>0.52074240000000005</v>
      </c>
      <c r="F9" t="s">
        <v>38</v>
      </c>
      <c r="G9">
        <v>-422.49619999999999</v>
      </c>
      <c r="H9">
        <v>-0.05</v>
      </c>
      <c r="I9">
        <v>368.12830000000002</v>
      </c>
      <c r="J9">
        <v>-477.02589999999998</v>
      </c>
      <c r="K9">
        <v>1.1036219999999901</v>
      </c>
      <c r="L9">
        <v>367.51990000000001</v>
      </c>
      <c r="M9">
        <v>0.99999249999999995</v>
      </c>
      <c r="N9">
        <v>0</v>
      </c>
      <c r="O9" s="1">
        <v>-1.4457319999999999E-5</v>
      </c>
      <c r="P9">
        <v>0.99736769999999997</v>
      </c>
      <c r="Q9">
        <v>2.4084290000000001E-2</v>
      </c>
      <c r="R9">
        <v>6.8393449999999995E-2</v>
      </c>
      <c r="S9">
        <v>3.0067750000000002</v>
      </c>
      <c r="T9">
        <v>-6.3597559999999997E-2</v>
      </c>
      <c r="U9">
        <v>3.3538819999999997E-2</v>
      </c>
      <c r="V9">
        <v>-6.8406720000000004E-2</v>
      </c>
      <c r="W9">
        <v>2.795744E-2</v>
      </c>
      <c r="X9">
        <v>0.99726569999999903</v>
      </c>
      <c r="Y9">
        <v>-1.1165680000000001E-2</v>
      </c>
      <c r="Z9">
        <v>1.183739E-4</v>
      </c>
      <c r="AA9">
        <v>0.99993770000000004</v>
      </c>
      <c r="AB9">
        <v>2</v>
      </c>
      <c r="AC9">
        <v>54.529699999999899</v>
      </c>
      <c r="AD9">
        <v>-1.1536219999999999</v>
      </c>
      <c r="AE9">
        <v>0.60840000000001704</v>
      </c>
      <c r="AF9">
        <v>-0.60891586070047499</v>
      </c>
      <c r="AG9">
        <v>-1.1536219999999999</v>
      </c>
      <c r="AH9">
        <v>54.505299305072498</v>
      </c>
      <c r="AI9">
        <v>91.212426733401799</v>
      </c>
      <c r="AJ9">
        <v>90.640063590536002</v>
      </c>
      <c r="AK9">
        <v>54.5209067659355</v>
      </c>
    </row>
    <row r="10" spans="1:37" x14ac:dyDescent="0.2">
      <c r="A10" t="str">
        <f>"20200111153405721"</f>
        <v>20200111153405721</v>
      </c>
      <c r="B10" t="str">
        <f>"1578728045716194"</f>
        <v>1578728045716194</v>
      </c>
      <c r="C10" t="s">
        <v>37</v>
      </c>
      <c r="D10">
        <v>4.8439889999999997</v>
      </c>
      <c r="E10">
        <v>0.52103009999999905</v>
      </c>
      <c r="F10" t="s">
        <v>38</v>
      </c>
      <c r="G10">
        <v>-415.91230000000002</v>
      </c>
      <c r="H10">
        <v>-0.05</v>
      </c>
      <c r="I10">
        <v>368.1866</v>
      </c>
      <c r="J10">
        <v>-477.00740000000002</v>
      </c>
      <c r="K10">
        <v>1.103599</v>
      </c>
      <c r="L10">
        <v>367.51990000000001</v>
      </c>
      <c r="M10">
        <v>0.99999490000000002</v>
      </c>
      <c r="N10">
        <v>0</v>
      </c>
      <c r="O10" s="1">
        <v>-1.50145E-5</v>
      </c>
      <c r="P10">
        <v>0.99720529999999996</v>
      </c>
      <c r="Q10">
        <v>2.9388009999999999E-2</v>
      </c>
      <c r="R10">
        <v>6.86866E-2</v>
      </c>
      <c r="S10">
        <v>3.0070189999999899</v>
      </c>
      <c r="T10">
        <v>-5.676258E-2</v>
      </c>
      <c r="U10">
        <v>3.2806399999999999E-2</v>
      </c>
      <c r="V10">
        <v>-6.8700499999999998E-2</v>
      </c>
      <c r="W10">
        <v>3.2575390000000003E-2</v>
      </c>
      <c r="X10">
        <v>0.99710540000000003</v>
      </c>
      <c r="Y10">
        <v>-1.0922360000000001E-2</v>
      </c>
      <c r="Z10">
        <v>1.0336010000000001E-4</v>
      </c>
      <c r="AA10">
        <v>0.9999403</v>
      </c>
      <c r="AB10">
        <v>2</v>
      </c>
      <c r="AC10">
        <v>61.095100000000002</v>
      </c>
      <c r="AD10">
        <v>-1.153599</v>
      </c>
      <c r="AE10">
        <v>0.66669999999999097</v>
      </c>
      <c r="AF10">
        <v>-0.66737940403981699</v>
      </c>
      <c r="AG10">
        <v>-1.153599</v>
      </c>
      <c r="AH10">
        <v>61.073318060206297</v>
      </c>
      <c r="AI10">
        <v>91.082052727135107</v>
      </c>
      <c r="AJ10">
        <v>90.626075387773099</v>
      </c>
      <c r="AK10">
        <v>61.087857752624302</v>
      </c>
    </row>
    <row r="11" spans="1:37" x14ac:dyDescent="0.2">
      <c r="A11" t="str">
        <f>"20200111153405734"</f>
        <v>20200111153405734</v>
      </c>
      <c r="B11" t="str">
        <f>"1578728045726931"</f>
        <v>1578728045726931</v>
      </c>
      <c r="C11" t="s">
        <v>37</v>
      </c>
      <c r="D11">
        <v>4.8284690000000001</v>
      </c>
      <c r="E11">
        <v>0.52104569999999995</v>
      </c>
      <c r="F11" t="s">
        <v>39</v>
      </c>
      <c r="G11">
        <v>-399.68970000000002</v>
      </c>
      <c r="H11" s="1">
        <v>-4.3379999999999998E-7</v>
      </c>
      <c r="I11">
        <v>368.33030000000002</v>
      </c>
      <c r="J11">
        <v>-476.99090000000001</v>
      </c>
      <c r="K11">
        <v>1.1035839999999999</v>
      </c>
      <c r="L11">
        <v>367.51990000000001</v>
      </c>
      <c r="M11">
        <v>0.99999640000000001</v>
      </c>
      <c r="N11">
        <v>0</v>
      </c>
      <c r="O11" s="1">
        <v>-1.545936E-5</v>
      </c>
      <c r="P11">
        <v>0.99713929999999995</v>
      </c>
      <c r="Q11">
        <v>3.1717879999999997E-2</v>
      </c>
      <c r="R11">
        <v>6.8608050000000004E-2</v>
      </c>
      <c r="S11">
        <v>3.0074770000000002</v>
      </c>
      <c r="T11">
        <v>-4.2927380000000001E-2</v>
      </c>
      <c r="U11">
        <v>3.1524660000000003E-2</v>
      </c>
      <c r="V11">
        <v>-6.8621639999999998E-2</v>
      </c>
      <c r="W11">
        <v>3.4405890000000001E-2</v>
      </c>
      <c r="X11">
        <v>0.99704930000000003</v>
      </c>
      <c r="Y11">
        <v>-1.0495910000000001E-2</v>
      </c>
      <c r="Z11" s="1">
        <v>7.5121719999999997E-5</v>
      </c>
      <c r="AA11">
        <v>0.99994490000000003</v>
      </c>
      <c r="AB11">
        <v>2</v>
      </c>
      <c r="AC11">
        <v>77.301199999999994</v>
      </c>
      <c r="AD11">
        <v>-1.1035844338</v>
      </c>
      <c r="AE11">
        <v>0.810400000000015</v>
      </c>
      <c r="AF11">
        <v>-0.81142966696296304</v>
      </c>
      <c r="AG11">
        <v>-1.1035844338</v>
      </c>
      <c r="AH11">
        <v>77.285437170845697</v>
      </c>
      <c r="AI11">
        <v>90.8180447914757</v>
      </c>
      <c r="AJ11">
        <v>90.601533598371603</v>
      </c>
      <c r="AK11">
        <v>77.297575093890799</v>
      </c>
    </row>
    <row r="12" spans="1:37" x14ac:dyDescent="0.2">
      <c r="A12" t="str">
        <f>"20200111153405748"</f>
        <v>20200111153405748</v>
      </c>
      <c r="B12" t="str">
        <f>"1578728045736690"</f>
        <v>1578728045736690</v>
      </c>
      <c r="C12" t="s">
        <v>37</v>
      </c>
      <c r="D12">
        <v>4.8678549999999996</v>
      </c>
      <c r="E12">
        <v>0.52112669999999905</v>
      </c>
      <c r="F12" t="s">
        <v>39</v>
      </c>
      <c r="G12">
        <v>-387.23860000000002</v>
      </c>
      <c r="H12" s="1">
        <v>-1.372752E-6</v>
      </c>
      <c r="I12">
        <v>368.45609999999999</v>
      </c>
      <c r="J12">
        <v>-476.9744</v>
      </c>
      <c r="K12">
        <v>1.103572</v>
      </c>
      <c r="L12">
        <v>367.51990000000001</v>
      </c>
      <c r="M12">
        <v>0.99999760000000004</v>
      </c>
      <c r="N12">
        <v>0</v>
      </c>
      <c r="O12" s="1">
        <v>-1.6345899999999999E-5</v>
      </c>
      <c r="P12">
        <v>0.99709869999999901</v>
      </c>
      <c r="Q12">
        <v>3.3667929999999999E-2</v>
      </c>
      <c r="R12">
        <v>6.8272330000000006E-2</v>
      </c>
      <c r="S12">
        <v>3.0075989999999999</v>
      </c>
      <c r="T12">
        <v>-3.6981109999999998E-2</v>
      </c>
      <c r="U12">
        <v>3.1372070000000002E-2</v>
      </c>
      <c r="V12">
        <v>-6.8287070000000005E-2</v>
      </c>
      <c r="W12">
        <v>3.592559E-2</v>
      </c>
      <c r="X12">
        <v>0.99701870000000004</v>
      </c>
      <c r="Y12">
        <v>-1.0445919999999999E-2</v>
      </c>
      <c r="Z12" s="1">
        <v>6.4417760000000002E-5</v>
      </c>
      <c r="AA12">
        <v>0.99994550000000004</v>
      </c>
      <c r="AB12">
        <v>2</v>
      </c>
      <c r="AC12">
        <v>89.735799999999898</v>
      </c>
      <c r="AD12">
        <v>-1.1035733727519901</v>
      </c>
      <c r="AE12">
        <v>0.93619999999998504</v>
      </c>
      <c r="AF12">
        <v>-0.93752503855580105</v>
      </c>
      <c r="AG12">
        <v>-1.1035733727519901</v>
      </c>
      <c r="AH12">
        <v>89.722216440031005</v>
      </c>
      <c r="AI12">
        <v>90.704657772585094</v>
      </c>
      <c r="AJ12">
        <v>90.598673050463503</v>
      </c>
      <c r="AK12">
        <v>89.733900786150699</v>
      </c>
    </row>
    <row r="13" spans="1:37" x14ac:dyDescent="0.2">
      <c r="A13" t="str">
        <f>"20200111153405765"</f>
        <v>20200111153405765</v>
      </c>
      <c r="B13" t="str">
        <f>"1578728045756212"</f>
        <v>1578728045756212</v>
      </c>
      <c r="C13" t="s">
        <v>37</v>
      </c>
      <c r="D13">
        <v>4.8517019999999897</v>
      </c>
      <c r="E13">
        <v>0.52120820000000001</v>
      </c>
      <c r="F13" t="s">
        <v>39</v>
      </c>
      <c r="G13">
        <v>-373.50220000000002</v>
      </c>
      <c r="H13" s="1">
        <v>-2.9629399999999999E-6</v>
      </c>
      <c r="I13">
        <v>368.52769999999998</v>
      </c>
      <c r="J13">
        <v>-476.95150000000001</v>
      </c>
      <c r="K13">
        <v>1.1035600000000001</v>
      </c>
      <c r="L13">
        <v>367.51990000000001</v>
      </c>
      <c r="M13">
        <v>0.99999850000000001</v>
      </c>
      <c r="N13">
        <v>0</v>
      </c>
      <c r="O13" s="1">
        <v>-1.7126810000000001E-5</v>
      </c>
      <c r="P13">
        <v>0.99711899999999998</v>
      </c>
      <c r="Q13">
        <v>3.5247090000000002E-2</v>
      </c>
      <c r="R13">
        <v>6.7164799999999997E-2</v>
      </c>
      <c r="S13">
        <v>3.0078130000000001</v>
      </c>
      <c r="T13">
        <v>-3.2079580000000003E-2</v>
      </c>
      <c r="U13">
        <v>2.9296880000000001E-2</v>
      </c>
      <c r="V13">
        <v>-6.7180030000000002E-2</v>
      </c>
      <c r="W13">
        <v>3.6988220000000002E-2</v>
      </c>
      <c r="X13">
        <v>0.99705499999999903</v>
      </c>
      <c r="Y13">
        <v>-9.7563700000000003E-3</v>
      </c>
      <c r="Z13" s="1">
        <v>5.2207829999999899E-5</v>
      </c>
      <c r="AA13">
        <v>0.99995239999999996</v>
      </c>
      <c r="AB13">
        <v>3</v>
      </c>
      <c r="AC13">
        <v>103.44929999999999</v>
      </c>
      <c r="AD13">
        <v>-1.1035629629399999</v>
      </c>
      <c r="AE13">
        <v>1.0077999999999701</v>
      </c>
      <c r="AF13">
        <v>-1.00945689455299</v>
      </c>
      <c r="AG13">
        <v>-1.1035629629399999</v>
      </c>
      <c r="AH13">
        <v>103.43751273764499</v>
      </c>
      <c r="AI13">
        <v>90.611229806552402</v>
      </c>
      <c r="AJ13">
        <v>90.559137416210902</v>
      </c>
      <c r="AK13">
        <v>103.44832476065299</v>
      </c>
    </row>
    <row r="14" spans="1:37" x14ac:dyDescent="0.2">
      <c r="A14" t="str">
        <f>"20200111153405778"</f>
        <v>20200111153405778</v>
      </c>
      <c r="B14" t="str">
        <f>"1578728045766946"</f>
        <v>1578728045766946</v>
      </c>
      <c r="C14" t="s">
        <v>37</v>
      </c>
      <c r="D14">
        <v>4.831118</v>
      </c>
      <c r="E14">
        <v>0.52124229999999905</v>
      </c>
      <c r="F14" t="s">
        <v>39</v>
      </c>
      <c r="G14">
        <v>-368.26549999999997</v>
      </c>
      <c r="H14" s="1">
        <v>-9.3713369999999995E-7</v>
      </c>
      <c r="I14">
        <v>368.42840000000001</v>
      </c>
      <c r="J14">
        <v>-476.9341</v>
      </c>
      <c r="K14">
        <v>1.1035489999999999</v>
      </c>
      <c r="L14">
        <v>367.51990000000001</v>
      </c>
      <c r="M14">
        <v>0.99999899999999997</v>
      </c>
      <c r="N14">
        <v>0</v>
      </c>
      <c r="O14" s="1">
        <v>-1.7796179999999999E-5</v>
      </c>
      <c r="P14">
        <v>0.99708240000000004</v>
      </c>
      <c r="Q14">
        <v>3.6604020000000001E-2</v>
      </c>
      <c r="R14">
        <v>6.6984039999999995E-2</v>
      </c>
      <c r="S14">
        <v>3.008057</v>
      </c>
      <c r="T14">
        <v>-3.0542730000000001E-2</v>
      </c>
      <c r="U14">
        <v>2.5146479999999999E-2</v>
      </c>
      <c r="V14">
        <v>-6.7000180000000006E-2</v>
      </c>
      <c r="W14">
        <v>3.7992690000000003E-2</v>
      </c>
      <c r="X14">
        <v>0.99702939999999995</v>
      </c>
      <c r="Y14">
        <v>-8.3767819999999993E-3</v>
      </c>
      <c r="Z14" s="1">
        <v>4.270628E-5</v>
      </c>
      <c r="AA14">
        <v>0.99996489999999905</v>
      </c>
      <c r="AB14">
        <v>3</v>
      </c>
      <c r="AC14">
        <v>108.6686</v>
      </c>
      <c r="AD14">
        <v>-1.1035499371336901</v>
      </c>
      <c r="AE14">
        <v>0.90850000000000297</v>
      </c>
      <c r="AF14">
        <v>-0.91034001293612998</v>
      </c>
      <c r="AG14">
        <v>-1.1035499371336901</v>
      </c>
      <c r="AH14">
        <v>108.657378999492</v>
      </c>
      <c r="AI14">
        <v>90.581869007542807</v>
      </c>
      <c r="AJ14">
        <v>90.480017287535503</v>
      </c>
      <c r="AK14">
        <v>108.66679599786799</v>
      </c>
    </row>
    <row r="15" spans="1:37" x14ac:dyDescent="0.2">
      <c r="A15" t="str">
        <f>"20200111153405792"</f>
        <v>20200111153405792</v>
      </c>
      <c r="B15" t="str">
        <f>"1578728045786467"</f>
        <v>1578728045786467</v>
      </c>
      <c r="C15" t="s">
        <v>37</v>
      </c>
      <c r="D15">
        <v>4.7938980000000004</v>
      </c>
      <c r="E15">
        <v>0.52133629999999997</v>
      </c>
      <c r="F15" t="s">
        <v>39</v>
      </c>
      <c r="G15">
        <v>-355.78190000000001</v>
      </c>
      <c r="H15" s="1">
        <v>-1.99086E-6</v>
      </c>
      <c r="I15">
        <v>368.49459999999999</v>
      </c>
      <c r="J15">
        <v>-476.91410000000002</v>
      </c>
      <c r="K15">
        <v>1.1035379999999999</v>
      </c>
      <c r="L15">
        <v>367.51990000000001</v>
      </c>
      <c r="M15">
        <v>0.99999959999999899</v>
      </c>
      <c r="N15">
        <v>0</v>
      </c>
      <c r="O15" s="1">
        <v>-1.877347E-5</v>
      </c>
      <c r="P15">
        <v>0.99699850000000001</v>
      </c>
      <c r="Q15">
        <v>3.8228100000000001E-2</v>
      </c>
      <c r="R15">
        <v>6.7326239999999996E-2</v>
      </c>
      <c r="S15">
        <v>3.0081479999999998</v>
      </c>
      <c r="T15">
        <v>-2.7400609999999999E-2</v>
      </c>
      <c r="U15">
        <v>2.420044E-2</v>
      </c>
      <c r="V15">
        <v>-6.7343420000000001E-2</v>
      </c>
      <c r="W15">
        <v>3.927634E-2</v>
      </c>
      <c r="X15">
        <v>0.99695650000000002</v>
      </c>
      <c r="Y15">
        <v>-8.0631409999999994E-3</v>
      </c>
      <c r="Z15" s="1">
        <v>3.689241E-5</v>
      </c>
      <c r="AA15">
        <v>0.99996749999999901</v>
      </c>
      <c r="AB15">
        <v>3</v>
      </c>
      <c r="AC15">
        <v>121.1322</v>
      </c>
      <c r="AD15">
        <v>-1.1035399908600001</v>
      </c>
      <c r="AE15">
        <v>0.97469999999998402</v>
      </c>
      <c r="AF15">
        <v>-0.97689299953909103</v>
      </c>
      <c r="AG15">
        <v>-1.1035399908600001</v>
      </c>
      <c r="AH15">
        <v>121.12212968379799</v>
      </c>
      <c r="AI15">
        <v>90.521988661438996</v>
      </c>
      <c r="AJ15">
        <v>90.462100794029993</v>
      </c>
      <c r="AK15">
        <v>121.131096005868</v>
      </c>
    </row>
    <row r="16" spans="1:37" x14ac:dyDescent="0.2">
      <c r="A16" t="str">
        <f>"20200111153405808"</f>
        <v>20200111153405808</v>
      </c>
      <c r="B16" t="str">
        <f>"1578728045806963"</f>
        <v>1578728045806963</v>
      </c>
      <c r="C16" t="s">
        <v>37</v>
      </c>
      <c r="D16">
        <v>4.8089190000000004</v>
      </c>
      <c r="E16">
        <v>0.52140540000000002</v>
      </c>
      <c r="F16" t="s">
        <v>39</v>
      </c>
      <c r="G16">
        <v>-344.29199999999997</v>
      </c>
      <c r="H16" s="1">
        <v>-2.8644110000000001E-6</v>
      </c>
      <c r="I16">
        <v>368.5693</v>
      </c>
      <c r="J16">
        <v>-476.88709999999998</v>
      </c>
      <c r="K16">
        <v>1.1035159999999999</v>
      </c>
      <c r="L16">
        <v>367.51990000000001</v>
      </c>
      <c r="M16">
        <v>0.99999979999999999</v>
      </c>
      <c r="N16">
        <v>0</v>
      </c>
      <c r="O16" s="1">
        <v>-1.97825799999999E-5</v>
      </c>
      <c r="P16">
        <v>0.9968728</v>
      </c>
      <c r="Q16">
        <v>3.9411630000000003E-2</v>
      </c>
      <c r="R16">
        <v>6.8493540000000006E-2</v>
      </c>
      <c r="S16">
        <v>3.008362</v>
      </c>
      <c r="T16">
        <v>-2.50324E-2</v>
      </c>
      <c r="U16">
        <v>2.3803709999999999E-2</v>
      </c>
      <c r="V16">
        <v>-6.8511680000000005E-2</v>
      </c>
      <c r="W16">
        <v>4.0045820000000003E-2</v>
      </c>
      <c r="X16">
        <v>0.99684629999999996</v>
      </c>
      <c r="Y16">
        <v>-7.9317750000000003E-3</v>
      </c>
      <c r="Z16" s="1">
        <v>3.3163439999999998E-5</v>
      </c>
      <c r="AA16">
        <v>0.99996849999999904</v>
      </c>
      <c r="AB16">
        <v>3</v>
      </c>
      <c r="AC16">
        <v>132.5951</v>
      </c>
      <c r="AD16">
        <v>-1.1035188644109999</v>
      </c>
      <c r="AE16">
        <v>1.0493999999999899</v>
      </c>
      <c r="AF16">
        <v>-1.05195021627838</v>
      </c>
      <c r="AG16">
        <v>-1.1035188644109999</v>
      </c>
      <c r="AH16">
        <v>132.585896423197</v>
      </c>
      <c r="AI16">
        <v>90.476849540531902</v>
      </c>
      <c r="AJ16">
        <v>90.454581102594304</v>
      </c>
      <c r="AK16">
        <v>132.59466159496901</v>
      </c>
    </row>
    <row r="17" spans="1:37" x14ac:dyDescent="0.2">
      <c r="A17" t="str">
        <f>"20200111153405822"</f>
        <v>20200111153405822</v>
      </c>
      <c r="B17" t="str">
        <f>"1578728045816722"</f>
        <v>1578728045816722</v>
      </c>
      <c r="C17" t="s">
        <v>37</v>
      </c>
      <c r="D17">
        <v>4.7876709999999996</v>
      </c>
      <c r="E17">
        <v>0.52140399999999998</v>
      </c>
      <c r="F17" t="s">
        <v>39</v>
      </c>
      <c r="G17">
        <v>-334.99340000000001</v>
      </c>
      <c r="H17" s="1">
        <v>-2.279649E-6</v>
      </c>
      <c r="I17">
        <v>368.77350000000001</v>
      </c>
      <c r="J17">
        <v>-476.86450000000002</v>
      </c>
      <c r="K17">
        <v>1.103497</v>
      </c>
      <c r="L17">
        <v>367.51990000000001</v>
      </c>
      <c r="M17">
        <v>0.99999989999999905</v>
      </c>
      <c r="N17">
        <v>0</v>
      </c>
      <c r="O17" s="1">
        <v>-2.0537500000000001E-5</v>
      </c>
      <c r="P17">
        <v>0.99683489999999997</v>
      </c>
      <c r="Q17">
        <v>3.914898E-2</v>
      </c>
      <c r="R17">
        <v>6.9192030000000002E-2</v>
      </c>
      <c r="S17">
        <v>3.0085139999999999</v>
      </c>
      <c r="T17">
        <v>-2.339745E-2</v>
      </c>
      <c r="U17">
        <v>2.658081E-2</v>
      </c>
      <c r="V17">
        <v>-6.9211010000000003E-2</v>
      </c>
      <c r="W17">
        <v>3.947788E-2</v>
      </c>
      <c r="X17">
        <v>0.99682059999999995</v>
      </c>
      <c r="Y17">
        <v>-8.8551169999999992E-3</v>
      </c>
      <c r="Z17" s="1">
        <v>3.4591990000000003E-5</v>
      </c>
      <c r="AA17">
        <v>0.99996079999999998</v>
      </c>
      <c r="AB17">
        <v>3</v>
      </c>
      <c r="AC17">
        <v>141.87110000000001</v>
      </c>
      <c r="AD17">
        <v>-1.103499279649</v>
      </c>
      <c r="AE17">
        <v>1.2536</v>
      </c>
      <c r="AF17">
        <v>-1.2564376690475401</v>
      </c>
      <c r="AG17">
        <v>-1.103499279649</v>
      </c>
      <c r="AH17">
        <v>141.86249219653899</v>
      </c>
      <c r="AI17">
        <v>90.445657592791903</v>
      </c>
      <c r="AJ17">
        <v>90.507439932365003</v>
      </c>
      <c r="AK17">
        <v>141.87234768794599</v>
      </c>
    </row>
    <row r="18" spans="1:37" x14ac:dyDescent="0.2">
      <c r="A18" t="str">
        <f>"20200111153405835"</f>
        <v>20200111153405835</v>
      </c>
      <c r="B18" t="str">
        <f>"1578728045826482"</f>
        <v>1578728045826482</v>
      </c>
      <c r="C18" t="s">
        <v>37</v>
      </c>
      <c r="D18">
        <v>4.8082419999999999</v>
      </c>
      <c r="E18">
        <v>0.52136830000000001</v>
      </c>
      <c r="F18" t="s">
        <v>39</v>
      </c>
      <c r="G18">
        <v>-344.54059999999998</v>
      </c>
      <c r="H18" s="1">
        <v>-2.7099489999999898E-6</v>
      </c>
      <c r="I18">
        <v>368.77760000000001</v>
      </c>
      <c r="J18">
        <v>-476.8415</v>
      </c>
      <c r="K18">
        <v>1.103477</v>
      </c>
      <c r="L18">
        <v>367.52</v>
      </c>
      <c r="M18">
        <v>1</v>
      </c>
      <c r="N18">
        <v>0</v>
      </c>
      <c r="O18" s="1">
        <v>-2.1698159999999999E-5</v>
      </c>
      <c r="P18">
        <v>0.9968283</v>
      </c>
      <c r="Q18">
        <v>3.7766519999999998E-2</v>
      </c>
      <c r="R18">
        <v>7.0052409999999996E-2</v>
      </c>
      <c r="S18">
        <v>3.0084840000000002</v>
      </c>
      <c r="T18">
        <v>-2.5088909999999999E-2</v>
      </c>
      <c r="U18">
        <v>2.8594970000000001E-2</v>
      </c>
      <c r="V18">
        <v>-7.0072469999999998E-2</v>
      </c>
      <c r="W18">
        <v>3.782116E-2</v>
      </c>
      <c r="X18">
        <v>0.99682469999999901</v>
      </c>
      <c r="Y18">
        <v>-9.5257139999999994E-3</v>
      </c>
      <c r="Z18" s="1">
        <v>3.9898660000000002E-5</v>
      </c>
      <c r="AA18">
        <v>0.99995460000000003</v>
      </c>
      <c r="AB18">
        <v>4</v>
      </c>
      <c r="AC18">
        <v>132.30090000000001</v>
      </c>
      <c r="AD18">
        <v>-1.1034797099489999</v>
      </c>
      <c r="AE18">
        <v>1.25760000000002</v>
      </c>
      <c r="AF18">
        <v>-1.2603830126904201</v>
      </c>
      <c r="AG18">
        <v>-1.1034797099489999</v>
      </c>
      <c r="AH18">
        <v>132.29167038167</v>
      </c>
      <c r="AI18">
        <v>90.477886435860796</v>
      </c>
      <c r="AJ18">
        <v>90.545857816635205</v>
      </c>
      <c r="AK18">
        <v>132.30227619047801</v>
      </c>
    </row>
    <row r="19" spans="1:37" x14ac:dyDescent="0.2">
      <c r="A19" t="str">
        <f>"20200111153405847"</f>
        <v>20200111153405847</v>
      </c>
      <c r="B19" t="str">
        <f>"1578728045836243"</f>
        <v>1578728045836243</v>
      </c>
      <c r="C19" t="s">
        <v>37</v>
      </c>
      <c r="D19">
        <v>4.8132729999999997</v>
      </c>
      <c r="E19">
        <v>0.52139349999999995</v>
      </c>
      <c r="F19" t="s">
        <v>39</v>
      </c>
      <c r="G19">
        <v>-367.83789999999999</v>
      </c>
      <c r="H19" s="1">
        <v>-1.0838450000000001E-6</v>
      </c>
      <c r="I19">
        <v>368.63549999999998</v>
      </c>
      <c r="J19">
        <v>-476.8202</v>
      </c>
      <c r="K19">
        <v>1.1034549999999901</v>
      </c>
      <c r="L19">
        <v>367.52</v>
      </c>
      <c r="M19">
        <v>0.99999989999999905</v>
      </c>
      <c r="N19">
        <v>0</v>
      </c>
      <c r="O19" s="1">
        <v>-2.2415649999999999E-5</v>
      </c>
      <c r="P19">
        <v>0.99683009999999905</v>
      </c>
      <c r="Q19">
        <v>3.6287399999999997E-2</v>
      </c>
      <c r="R19">
        <v>7.0803340000000006E-2</v>
      </c>
      <c r="S19">
        <v>3.0085449999999998</v>
      </c>
      <c r="T19">
        <v>-3.0456420000000001E-2</v>
      </c>
      <c r="U19">
        <v>3.0792239999999999E-2</v>
      </c>
      <c r="V19">
        <v>-7.0824600000000001E-2</v>
      </c>
      <c r="W19">
        <v>3.6120489999999998E-2</v>
      </c>
      <c r="X19">
        <v>0.99683459999999902</v>
      </c>
      <c r="Y19">
        <v>-1.025628E-2</v>
      </c>
      <c r="Z19" s="1">
        <v>5.2137949999999998E-5</v>
      </c>
      <c r="AA19">
        <v>0.99994740000000004</v>
      </c>
      <c r="AB19">
        <v>4</v>
      </c>
      <c r="AC19">
        <v>108.9823</v>
      </c>
      <c r="AD19">
        <v>-1.1034560838449901</v>
      </c>
      <c r="AE19">
        <v>1.1154999999999899</v>
      </c>
      <c r="AF19">
        <v>-1.11782832405334</v>
      </c>
      <c r="AG19">
        <v>-1.1034560838449901</v>
      </c>
      <c r="AH19">
        <v>108.971104688859</v>
      </c>
      <c r="AI19">
        <v>90.580134431490904</v>
      </c>
      <c r="AJ19">
        <v>90.587720928641204</v>
      </c>
      <c r="AK19">
        <v>108.982424328886</v>
      </c>
    </row>
    <row r="20" spans="1:37" x14ac:dyDescent="0.2">
      <c r="A20" t="str">
        <f>"20200111153405866"</f>
        <v>20200111153405866</v>
      </c>
      <c r="B20" t="str">
        <f>"1578728045856740"</f>
        <v>1578728045856740</v>
      </c>
      <c r="C20" t="s">
        <v>37</v>
      </c>
      <c r="D20">
        <v>4.7866580000000001</v>
      </c>
      <c r="E20">
        <v>0.52146729999999997</v>
      </c>
      <c r="F20" t="s">
        <v>39</v>
      </c>
      <c r="G20">
        <v>-381.67399999999998</v>
      </c>
      <c r="H20" s="1">
        <v>-3.7421519999999999E-6</v>
      </c>
      <c r="I20">
        <v>368.55650000000003</v>
      </c>
      <c r="J20">
        <v>-476.78640000000001</v>
      </c>
      <c r="K20">
        <v>1.10341</v>
      </c>
      <c r="L20">
        <v>367.52</v>
      </c>
      <c r="M20">
        <v>0.99999989999999905</v>
      </c>
      <c r="N20">
        <v>0</v>
      </c>
      <c r="O20" s="1">
        <v>-2.3772389999999999E-5</v>
      </c>
      <c r="P20">
        <v>0.99685029999999997</v>
      </c>
      <c r="Q20">
        <v>3.2158529999999998E-2</v>
      </c>
      <c r="R20">
        <v>7.2494379999999997E-2</v>
      </c>
      <c r="S20">
        <v>3.0084529999999998</v>
      </c>
      <c r="T20">
        <v>-3.4890530000000003E-2</v>
      </c>
      <c r="U20">
        <v>3.277588E-2</v>
      </c>
      <c r="V20">
        <v>-7.2516670000000005E-2</v>
      </c>
      <c r="W20">
        <v>3.167797E-2</v>
      </c>
      <c r="X20">
        <v>0.99686399999999997</v>
      </c>
      <c r="Y20">
        <v>-1.091698E-2</v>
      </c>
      <c r="Z20" s="1">
        <v>6.3576519999999903E-5</v>
      </c>
      <c r="AA20">
        <v>0.99994039999999995</v>
      </c>
      <c r="AB20">
        <v>4</v>
      </c>
      <c r="AC20">
        <v>95.112399999999894</v>
      </c>
      <c r="AD20">
        <v>-1.1034137421520001</v>
      </c>
      <c r="AE20">
        <v>1.0365000000000399</v>
      </c>
      <c r="AF20">
        <v>-1.03862128087408</v>
      </c>
      <c r="AG20">
        <v>-1.1034137421520001</v>
      </c>
      <c r="AH20">
        <v>95.099577704176795</v>
      </c>
      <c r="AI20">
        <v>90.664717401215896</v>
      </c>
      <c r="AJ20">
        <v>90.625725702535902</v>
      </c>
      <c r="AK20">
        <v>95.1116498414586</v>
      </c>
    </row>
    <row r="21" spans="1:37" x14ac:dyDescent="0.2">
      <c r="A21" t="str">
        <f>"20200111153405878"</f>
        <v>20200111153405878</v>
      </c>
      <c r="B21" t="str">
        <f>"1578728045866500"</f>
        <v>1578728045866500</v>
      </c>
      <c r="C21" t="s">
        <v>37</v>
      </c>
      <c r="D21">
        <v>4.7583580000000003</v>
      </c>
      <c r="E21">
        <v>0.52150649999999998</v>
      </c>
      <c r="F21" t="s">
        <v>38</v>
      </c>
      <c r="G21">
        <v>-403.42250000000001</v>
      </c>
      <c r="H21">
        <v>-0.05</v>
      </c>
      <c r="I21">
        <v>368.42720000000003</v>
      </c>
      <c r="J21">
        <v>-476.76159999999999</v>
      </c>
      <c r="K21">
        <v>1.1033869999999999</v>
      </c>
      <c r="L21">
        <v>367.52</v>
      </c>
      <c r="M21">
        <v>0.99999979999999999</v>
      </c>
      <c r="N21">
        <v>0</v>
      </c>
      <c r="O21" s="1">
        <v>-2.4663989999999999E-5</v>
      </c>
      <c r="P21">
        <v>0.99685419999999902</v>
      </c>
      <c r="Q21">
        <v>3.0321689999999998E-2</v>
      </c>
      <c r="R21">
        <v>7.3228139999999997E-2</v>
      </c>
      <c r="S21">
        <v>3.0083009999999999</v>
      </c>
      <c r="T21">
        <v>-4.7295810000000001E-2</v>
      </c>
      <c r="U21">
        <v>3.720093E-2</v>
      </c>
      <c r="V21">
        <v>-7.3251369999999996E-2</v>
      </c>
      <c r="W21">
        <v>2.9633299999999901E-2</v>
      </c>
      <c r="X21">
        <v>0.99687309999999996</v>
      </c>
      <c r="Y21">
        <v>-1.238828E-2</v>
      </c>
      <c r="Z21" s="1">
        <v>9.776079E-5</v>
      </c>
      <c r="AA21">
        <v>0.99992320000000001</v>
      </c>
      <c r="AB21">
        <v>4</v>
      </c>
      <c r="AC21">
        <v>73.339099999999902</v>
      </c>
      <c r="AD21">
        <v>-1.1533869999999999</v>
      </c>
      <c r="AE21">
        <v>0.90720000000004497</v>
      </c>
      <c r="AF21">
        <v>-0.90878409861625298</v>
      </c>
      <c r="AG21">
        <v>-1.1533869999999999</v>
      </c>
      <c r="AH21">
        <v>73.320945817464704</v>
      </c>
      <c r="AI21">
        <v>90.901156989960498</v>
      </c>
      <c r="AJ21">
        <v>90.710122143018694</v>
      </c>
      <c r="AK21">
        <v>73.335648123387102</v>
      </c>
    </row>
    <row r="22" spans="1:37" x14ac:dyDescent="0.2">
      <c r="A22" t="str">
        <f>"20200111153405893"</f>
        <v>20200111153405893</v>
      </c>
      <c r="B22" t="str">
        <f>"1578728045886994"</f>
        <v>1578728045886994</v>
      </c>
      <c r="C22" t="s">
        <v>37</v>
      </c>
      <c r="D22">
        <v>4.7548139999999997</v>
      </c>
      <c r="E22">
        <v>0.52159469999999997</v>
      </c>
      <c r="F22" t="s">
        <v>38</v>
      </c>
      <c r="G22">
        <v>-410.80279999999999</v>
      </c>
      <c r="H22">
        <v>-0.05</v>
      </c>
      <c r="I22">
        <v>368.37920000000003</v>
      </c>
      <c r="J22">
        <v>-476.73140000000001</v>
      </c>
      <c r="K22">
        <v>1.103361</v>
      </c>
      <c r="L22">
        <v>367.52</v>
      </c>
      <c r="M22">
        <v>0.99999959999999899</v>
      </c>
      <c r="N22">
        <v>0</v>
      </c>
      <c r="O22" s="1">
        <v>-2.5580189999999999E-5</v>
      </c>
      <c r="P22">
        <v>0.99683480000000002</v>
      </c>
      <c r="Q22">
        <v>2.9176000000000001E-2</v>
      </c>
      <c r="R22">
        <v>7.3954439999999996E-2</v>
      </c>
      <c r="S22">
        <v>3.0081790000000002</v>
      </c>
      <c r="T22">
        <v>-5.2602410000000002E-2</v>
      </c>
      <c r="U22">
        <v>3.9184570000000002E-2</v>
      </c>
      <c r="V22">
        <v>-7.3979149999999994E-2</v>
      </c>
      <c r="W22">
        <v>2.8273929999999999E-2</v>
      </c>
      <c r="X22">
        <v>0.99685889999999999</v>
      </c>
      <c r="Y22">
        <v>-1.3048489999999999E-2</v>
      </c>
      <c r="Z22">
        <v>1.1451959999999999E-4</v>
      </c>
      <c r="AA22">
        <v>0.99991489999999905</v>
      </c>
      <c r="AB22">
        <v>4</v>
      </c>
      <c r="AC22">
        <v>65.928600000000003</v>
      </c>
      <c r="AD22">
        <v>-1.1533610000000001</v>
      </c>
      <c r="AE22">
        <v>0.85920000000004304</v>
      </c>
      <c r="AF22">
        <v>-0.86062312332897095</v>
      </c>
      <c r="AG22">
        <v>-1.1533610000000001</v>
      </c>
      <c r="AH22">
        <v>65.908410600438202</v>
      </c>
      <c r="AI22">
        <v>91.002456914155701</v>
      </c>
      <c r="AJ22">
        <v>90.748118031841301</v>
      </c>
      <c r="AK22">
        <v>65.924119270815297</v>
      </c>
    </row>
    <row r="23" spans="1:37" x14ac:dyDescent="0.2">
      <c r="A23" t="str">
        <f>"20200111153405909"</f>
        <v>20200111153405909</v>
      </c>
      <c r="B23" t="str">
        <f>"1578728045906513"</f>
        <v>1578728045906513</v>
      </c>
      <c r="C23" t="s">
        <v>37</v>
      </c>
      <c r="D23">
        <v>4.7462669999999996</v>
      </c>
      <c r="E23">
        <v>0.52174709999999902</v>
      </c>
      <c r="F23" t="s">
        <v>38</v>
      </c>
      <c r="G23">
        <v>-415.49979999999999</v>
      </c>
      <c r="H23">
        <v>-0.05</v>
      </c>
      <c r="I23">
        <v>368.3399</v>
      </c>
      <c r="J23">
        <v>-476.69779999999997</v>
      </c>
      <c r="K23">
        <v>1.1033280000000001</v>
      </c>
      <c r="L23">
        <v>367.52</v>
      </c>
      <c r="M23">
        <v>0.99999950000000004</v>
      </c>
      <c r="N23">
        <v>0</v>
      </c>
      <c r="O23" s="1">
        <v>-2.6877009999999899E-5</v>
      </c>
      <c r="P23">
        <v>0.99684830000000002</v>
      </c>
      <c r="Q23">
        <v>2.594306E-2</v>
      </c>
      <c r="R23">
        <v>7.4971380000000004E-2</v>
      </c>
      <c r="S23">
        <v>3.0082399999999998</v>
      </c>
      <c r="T23">
        <v>-5.6663270000000002E-2</v>
      </c>
      <c r="U23">
        <v>4.0283199999999998E-2</v>
      </c>
      <c r="V23">
        <v>-7.4997510000000003E-2</v>
      </c>
      <c r="W23">
        <v>2.4826190000000001E-2</v>
      </c>
      <c r="X23">
        <v>0.99687459999999894</v>
      </c>
      <c r="Y23">
        <v>-1.3414250000000001E-2</v>
      </c>
      <c r="Z23">
        <v>1.2682479999999999E-4</v>
      </c>
      <c r="AA23">
        <v>0.99990999999999997</v>
      </c>
      <c r="AB23">
        <v>4</v>
      </c>
      <c r="AC23">
        <v>61.197999999999901</v>
      </c>
      <c r="AD23">
        <v>-1.1533279999999999</v>
      </c>
      <c r="AE23">
        <v>0.81990000000001795</v>
      </c>
      <c r="AF23">
        <v>-0.82125319103308103</v>
      </c>
      <c r="AG23">
        <v>-1.1533279999999999</v>
      </c>
      <c r="AH23">
        <v>61.176254123786997</v>
      </c>
      <c r="AI23">
        <v>91.079945956248807</v>
      </c>
      <c r="AJ23">
        <v>90.769114031600495</v>
      </c>
      <c r="AK23">
        <v>61.192635920489103</v>
      </c>
    </row>
    <row r="24" spans="1:37" x14ac:dyDescent="0.2">
      <c r="A24" t="str">
        <f>"20200111153405923"</f>
        <v>20200111153405923</v>
      </c>
      <c r="B24" t="str">
        <f>"1578728045916277"</f>
        <v>1578728045916277</v>
      </c>
      <c r="C24" t="s">
        <v>37</v>
      </c>
      <c r="D24">
        <v>4.7157070000000001</v>
      </c>
      <c r="E24">
        <v>0.52177759999999995</v>
      </c>
      <c r="F24" t="s">
        <v>38</v>
      </c>
      <c r="G24">
        <v>-425.0582</v>
      </c>
      <c r="H24">
        <v>-0.05</v>
      </c>
      <c r="I24">
        <v>368.24349999999998</v>
      </c>
      <c r="J24">
        <v>-476.66849999999999</v>
      </c>
      <c r="K24">
        <v>1.1033059999999999</v>
      </c>
      <c r="L24">
        <v>367.52</v>
      </c>
      <c r="M24">
        <v>0.99999910000000003</v>
      </c>
      <c r="N24">
        <v>0</v>
      </c>
      <c r="O24" s="1">
        <v>-2.76918099999999E-5</v>
      </c>
      <c r="P24">
        <v>0.99684130000000004</v>
      </c>
      <c r="Q24">
        <v>2.444462E-2</v>
      </c>
      <c r="R24">
        <v>7.5563969999999994E-2</v>
      </c>
      <c r="S24">
        <v>3.008057</v>
      </c>
      <c r="T24">
        <v>-6.7182420000000007E-2</v>
      </c>
      <c r="U24">
        <v>4.214478E-2</v>
      </c>
      <c r="V24">
        <v>-7.5590920000000006E-2</v>
      </c>
      <c r="W24">
        <v>2.315774E-2</v>
      </c>
      <c r="X24">
        <v>0.99687000000000003</v>
      </c>
      <c r="Y24">
        <v>-1.4033439999999999E-2</v>
      </c>
      <c r="Z24">
        <v>1.5730369999999999E-4</v>
      </c>
      <c r="AA24">
        <v>0.999901499999999</v>
      </c>
      <c r="AB24">
        <v>5</v>
      </c>
      <c r="AC24">
        <v>51.610300000000002</v>
      </c>
      <c r="AD24">
        <v>-1.1533059999999999</v>
      </c>
      <c r="AE24">
        <v>0.72350000000000103</v>
      </c>
      <c r="AF24">
        <v>-0.724567432574583</v>
      </c>
      <c r="AG24">
        <v>-1.1533059999999999</v>
      </c>
      <c r="AH24">
        <v>51.584525604386599</v>
      </c>
      <c r="AI24">
        <v>91.280656246939898</v>
      </c>
      <c r="AJ24">
        <v>90.804736022438505</v>
      </c>
      <c r="AK24">
        <v>51.602503762158697</v>
      </c>
    </row>
    <row r="25" spans="1:37" x14ac:dyDescent="0.2">
      <c r="A25" t="str">
        <f>"20200111153405935"</f>
        <v>20200111153405935</v>
      </c>
      <c r="B25" t="str">
        <f>"1578728045927010"</f>
        <v>1578728045927010</v>
      </c>
      <c r="C25" t="s">
        <v>37</v>
      </c>
      <c r="D25">
        <v>4.6551239999999998</v>
      </c>
      <c r="E25">
        <v>0.52184979999999903</v>
      </c>
      <c r="F25" t="s">
        <v>38</v>
      </c>
      <c r="G25">
        <v>-428.37819999999999</v>
      </c>
      <c r="H25">
        <v>-0.05</v>
      </c>
      <c r="I25">
        <v>368.21960000000001</v>
      </c>
      <c r="J25">
        <v>-476.63740000000001</v>
      </c>
      <c r="K25">
        <v>1.1032869999999999</v>
      </c>
      <c r="L25">
        <v>367.52</v>
      </c>
      <c r="M25">
        <v>0.99999899999999997</v>
      </c>
      <c r="N25">
        <v>0</v>
      </c>
      <c r="O25" s="1">
        <v>-2.87529599999999E-5</v>
      </c>
      <c r="P25">
        <v>0.99682269999999995</v>
      </c>
      <c r="Q25">
        <v>2.3255189999999999E-2</v>
      </c>
      <c r="R25">
        <v>7.6184219999999997E-2</v>
      </c>
      <c r="S25">
        <v>3.007965</v>
      </c>
      <c r="T25">
        <v>-7.1838620000000006E-2</v>
      </c>
      <c r="U25">
        <v>4.3579100000000003E-2</v>
      </c>
      <c r="V25">
        <v>-7.6212100000000005E-2</v>
      </c>
      <c r="W25">
        <v>2.1808149999999998E-2</v>
      </c>
      <c r="X25">
        <v>0.99685309999999905</v>
      </c>
      <c r="Y25">
        <v>-1.451099E-2</v>
      </c>
      <c r="Z25">
        <v>1.73934199999999E-4</v>
      </c>
      <c r="AA25">
        <v>0.99989470000000003</v>
      </c>
      <c r="AB25">
        <v>5</v>
      </c>
      <c r="AC25">
        <v>48.2592</v>
      </c>
      <c r="AD25">
        <v>-1.153287</v>
      </c>
      <c r="AE25">
        <v>0.69960000000003197</v>
      </c>
      <c r="AF25">
        <v>-0.70058757224159296</v>
      </c>
      <c r="AG25">
        <v>-1.153287</v>
      </c>
      <c r="AH25">
        <v>48.2316404101689</v>
      </c>
      <c r="AI25">
        <v>91.3696179932722</v>
      </c>
      <c r="AJ25">
        <v>90.832189989715502</v>
      </c>
      <c r="AK25">
        <v>48.250513266768401</v>
      </c>
    </row>
    <row r="26" spans="1:37" x14ac:dyDescent="0.2">
      <c r="A26" t="str">
        <f>"20200111153405955"</f>
        <v>20200111153405955</v>
      </c>
      <c r="B26" t="str">
        <f>"1578728045946529"</f>
        <v>1578728045946529</v>
      </c>
      <c r="C26" t="s">
        <v>37</v>
      </c>
      <c r="D26">
        <v>4.6605660000000002</v>
      </c>
      <c r="E26">
        <v>0.52204919999999999</v>
      </c>
      <c r="F26" t="s">
        <v>38</v>
      </c>
      <c r="G26">
        <v>-430.57909999999998</v>
      </c>
      <c r="H26">
        <v>-0.05</v>
      </c>
      <c r="I26">
        <v>368.20409999999998</v>
      </c>
      <c r="J26">
        <v>-476.59350000000001</v>
      </c>
      <c r="K26">
        <v>1.103256</v>
      </c>
      <c r="L26">
        <v>367.52</v>
      </c>
      <c r="M26">
        <v>0.99999879999999997</v>
      </c>
      <c r="N26">
        <v>0</v>
      </c>
      <c r="O26" s="1">
        <v>-3.0095619999999998E-5</v>
      </c>
      <c r="P26">
        <v>0.99676969999999998</v>
      </c>
      <c r="Q26">
        <v>2.1057759999999998E-2</v>
      </c>
      <c r="R26">
        <v>7.7505069999999995E-2</v>
      </c>
      <c r="S26">
        <v>3.0079039999999999</v>
      </c>
      <c r="T26">
        <v>-7.5317140000000005E-2</v>
      </c>
      <c r="U26">
        <v>4.4677729999999999E-2</v>
      </c>
      <c r="V26">
        <v>-7.7534469999999994E-2</v>
      </c>
      <c r="W26">
        <v>1.9412080000000002E-2</v>
      </c>
      <c r="X26">
        <v>0.99680069999999998</v>
      </c>
      <c r="Y26">
        <v>-1.487723E-2</v>
      </c>
      <c r="Z26">
        <v>1.869749E-4</v>
      </c>
      <c r="AA26">
        <v>0.99988929999999998</v>
      </c>
      <c r="AB26">
        <v>5</v>
      </c>
      <c r="AC26">
        <v>46.014400000000002</v>
      </c>
      <c r="AD26">
        <v>-1.1532560000000001</v>
      </c>
      <c r="AE26">
        <v>0.68410000000000004</v>
      </c>
      <c r="AF26">
        <v>-0.68505461073729601</v>
      </c>
      <c r="AG26">
        <v>-1.1532560000000001</v>
      </c>
      <c r="AH26">
        <v>45.985499945280601</v>
      </c>
      <c r="AI26">
        <v>91.436442526032096</v>
      </c>
      <c r="AJ26">
        <v>90.853482832100298</v>
      </c>
      <c r="AK26">
        <v>46.005059552603903</v>
      </c>
    </row>
    <row r="27" spans="1:37" x14ac:dyDescent="0.2">
      <c r="A27" t="str">
        <f>"20200111153405968"</f>
        <v>20200111153405968</v>
      </c>
      <c r="B27" t="str">
        <f>"1578728045956290"</f>
        <v>1578728045956290</v>
      </c>
      <c r="C27" t="s">
        <v>37</v>
      </c>
      <c r="D27">
        <v>4.6327600000000002</v>
      </c>
      <c r="E27">
        <v>0.5221074</v>
      </c>
      <c r="F27" t="s">
        <v>38</v>
      </c>
      <c r="G27">
        <v>-433.8929</v>
      </c>
      <c r="H27">
        <v>-0.05</v>
      </c>
      <c r="I27">
        <v>368.1859</v>
      </c>
      <c r="J27">
        <v>-476.56259999999997</v>
      </c>
      <c r="K27">
        <v>1.103232</v>
      </c>
      <c r="L27">
        <v>367.52</v>
      </c>
      <c r="M27">
        <v>0.99999850000000001</v>
      </c>
      <c r="N27">
        <v>0</v>
      </c>
      <c r="O27" s="1">
        <v>-3.0914329999999998E-5</v>
      </c>
      <c r="P27">
        <v>0.99672229999999995</v>
      </c>
      <c r="Q27">
        <v>2.0486069999999999E-2</v>
      </c>
      <c r="R27">
        <v>7.8263029999999997E-2</v>
      </c>
      <c r="S27">
        <v>3.0077820000000002</v>
      </c>
      <c r="T27">
        <v>-8.1234100000000004E-2</v>
      </c>
      <c r="U27">
        <v>4.6905519999999999E-2</v>
      </c>
      <c r="V27">
        <v>-7.8293130000000002E-2</v>
      </c>
      <c r="W27">
        <v>1.8717930000000001E-2</v>
      </c>
      <c r="X27">
        <v>0.99675460000000005</v>
      </c>
      <c r="Y27">
        <v>-1.561803E-2</v>
      </c>
      <c r="Z27">
        <v>2.11689199999999E-4</v>
      </c>
      <c r="AA27">
        <v>0.99987800000000004</v>
      </c>
      <c r="AB27">
        <v>5</v>
      </c>
      <c r="AC27">
        <v>42.669699999999899</v>
      </c>
      <c r="AD27">
        <v>-1.153232</v>
      </c>
      <c r="AE27">
        <v>0.66590000000002103</v>
      </c>
      <c r="AF27">
        <v>-0.66673220674226297</v>
      </c>
      <c r="AG27">
        <v>-1.153232</v>
      </c>
      <c r="AH27">
        <v>42.638541389527298</v>
      </c>
      <c r="AI27">
        <v>91.549094990853405</v>
      </c>
      <c r="AJ27">
        <v>90.895852137722699</v>
      </c>
      <c r="AK27">
        <v>42.659344670397502</v>
      </c>
    </row>
    <row r="28" spans="1:37" x14ac:dyDescent="0.2">
      <c r="A28" t="str">
        <f>"20200111153405980"</f>
        <v>20200111153405980</v>
      </c>
      <c r="B28" t="str">
        <f>"1578728045976786"</f>
        <v>1578728045976786</v>
      </c>
      <c r="C28" t="s">
        <v>37</v>
      </c>
      <c r="D28">
        <v>4.6021190000000001</v>
      </c>
      <c r="E28">
        <v>0.52232909999999999</v>
      </c>
      <c r="F28" t="s">
        <v>38</v>
      </c>
      <c r="G28">
        <v>-434.5881</v>
      </c>
      <c r="H28">
        <v>-0.05</v>
      </c>
      <c r="I28">
        <v>368.20479999999998</v>
      </c>
      <c r="J28">
        <v>-476.53</v>
      </c>
      <c r="K28">
        <v>1.1032150000000001</v>
      </c>
      <c r="L28">
        <v>367.52</v>
      </c>
      <c r="M28">
        <v>0.99999830000000001</v>
      </c>
      <c r="N28">
        <v>0</v>
      </c>
      <c r="O28" s="1">
        <v>-3.1977370000000001E-5</v>
      </c>
      <c r="P28">
        <v>0.99666319999999997</v>
      </c>
      <c r="Q28">
        <v>2.015962E-2</v>
      </c>
      <c r="R28">
        <v>7.9095609999999997E-2</v>
      </c>
      <c r="S28">
        <v>3.0077210000000001</v>
      </c>
      <c r="T28">
        <v>-8.2635879999999995E-2</v>
      </c>
      <c r="U28">
        <v>4.9072270000000001E-2</v>
      </c>
      <c r="V28">
        <v>-7.9126450000000001E-2</v>
      </c>
      <c r="W28">
        <v>1.827026E-2</v>
      </c>
      <c r="X28">
        <v>0.9966971</v>
      </c>
      <c r="Y28">
        <v>-1.6339059999999999E-2</v>
      </c>
      <c r="Z28">
        <v>2.2527549999999999E-4</v>
      </c>
      <c r="AA28">
        <v>0.99986649999999999</v>
      </c>
      <c r="AB28">
        <v>5</v>
      </c>
      <c r="AC28">
        <v>41.941899999999897</v>
      </c>
      <c r="AD28">
        <v>-1.1532150000000001</v>
      </c>
      <c r="AE28">
        <v>0.68479999999999497</v>
      </c>
      <c r="AF28">
        <v>-0.68562299767357904</v>
      </c>
      <c r="AG28">
        <v>-1.1532150000000001</v>
      </c>
      <c r="AH28">
        <v>41.910202224337397</v>
      </c>
      <c r="AI28">
        <v>91.575961155040304</v>
      </c>
      <c r="AJ28">
        <v>90.937237191586107</v>
      </c>
      <c r="AK28">
        <v>41.931671016261902</v>
      </c>
    </row>
    <row r="29" spans="1:37" x14ac:dyDescent="0.2">
      <c r="A29" t="str">
        <f>"20200111153405999"</f>
        <v>20200111153405999</v>
      </c>
      <c r="B29" t="str">
        <f>"1578728045996306"</f>
        <v>1578728045996306</v>
      </c>
      <c r="C29" t="s">
        <v>37</v>
      </c>
      <c r="D29">
        <v>4.5799059999999896</v>
      </c>
      <c r="E29">
        <v>0.52255870000000004</v>
      </c>
      <c r="F29" t="s">
        <v>38</v>
      </c>
      <c r="G29">
        <v>-434.59059999999999</v>
      </c>
      <c r="H29">
        <v>-0.05</v>
      </c>
      <c r="I29">
        <v>368.21190000000001</v>
      </c>
      <c r="J29">
        <v>-476.48110000000003</v>
      </c>
      <c r="K29">
        <v>1.1031930000000001</v>
      </c>
      <c r="L29">
        <v>367.52</v>
      </c>
      <c r="M29">
        <v>0.999997899999999</v>
      </c>
      <c r="N29">
        <v>0</v>
      </c>
      <c r="O29" s="1">
        <v>-3.3204490000000003E-5</v>
      </c>
      <c r="P29">
        <v>0.99655640000000001</v>
      </c>
      <c r="Q29">
        <v>1.9735610000000001E-2</v>
      </c>
      <c r="R29">
        <v>8.0535220000000005E-2</v>
      </c>
      <c r="S29">
        <v>3.0077820000000002</v>
      </c>
      <c r="T29">
        <v>-8.2705500000000001E-2</v>
      </c>
      <c r="U29">
        <v>4.9621579999999998E-2</v>
      </c>
      <c r="V29">
        <v>-8.0567719999999995E-2</v>
      </c>
      <c r="W29">
        <v>1.7687649999999999E-2</v>
      </c>
      <c r="X29">
        <v>0.99659219999999904</v>
      </c>
      <c r="Y29">
        <v>-1.6522430000000001E-2</v>
      </c>
      <c r="Z29">
        <v>2.280145E-4</v>
      </c>
      <c r="AA29">
        <v>0.99986339999999996</v>
      </c>
      <c r="AB29">
        <v>6</v>
      </c>
      <c r="AC29">
        <v>41.890500000000003</v>
      </c>
      <c r="AD29">
        <v>-1.1531929999999999</v>
      </c>
      <c r="AE29">
        <v>0.69190000000003204</v>
      </c>
      <c r="AF29">
        <v>-0.69276609813393997</v>
      </c>
      <c r="AG29">
        <v>-1.1531929999999999</v>
      </c>
      <c r="AH29">
        <v>41.858763746024501</v>
      </c>
      <c r="AI29">
        <v>91.577861773969204</v>
      </c>
      <c r="AJ29">
        <v>90.948163458596596</v>
      </c>
      <c r="AK29">
        <v>41.880375849644302</v>
      </c>
    </row>
    <row r="30" spans="1:37" x14ac:dyDescent="0.2">
      <c r="A30" t="str">
        <f>"20200111153406021"</f>
        <v>20200111153406021</v>
      </c>
      <c r="B30" t="str">
        <f>"1578728046016801"</f>
        <v>1578728046016801</v>
      </c>
      <c r="C30" t="s">
        <v>37</v>
      </c>
      <c r="D30">
        <v>4.4443910000000004</v>
      </c>
      <c r="E30">
        <v>0.52265150000000005</v>
      </c>
      <c r="F30" t="s">
        <v>38</v>
      </c>
      <c r="G30">
        <v>-434.79579999999999</v>
      </c>
      <c r="H30">
        <v>-0.05</v>
      </c>
      <c r="I30">
        <v>368.24110000000002</v>
      </c>
      <c r="J30">
        <v>-476.41879999999998</v>
      </c>
      <c r="K30">
        <v>1.1031580000000001</v>
      </c>
      <c r="L30">
        <v>367.52</v>
      </c>
      <c r="M30">
        <v>0.99999760000000004</v>
      </c>
      <c r="N30">
        <v>0</v>
      </c>
      <c r="O30" s="1">
        <v>-3.5053559999999902E-5</v>
      </c>
      <c r="P30">
        <v>0.99643930000000003</v>
      </c>
      <c r="Q30">
        <v>1.908075E-2</v>
      </c>
      <c r="R30">
        <v>8.2127279999999997E-2</v>
      </c>
      <c r="S30">
        <v>3.0078130000000001</v>
      </c>
      <c r="T30">
        <v>-8.3208920000000006E-2</v>
      </c>
      <c r="U30">
        <v>5.2032469999999997E-2</v>
      </c>
      <c r="V30">
        <v>-8.2161719999999994E-2</v>
      </c>
      <c r="W30">
        <v>1.6862849999999999E-2</v>
      </c>
      <c r="X30">
        <v>0.99647640000000004</v>
      </c>
      <c r="Y30">
        <v>-1.7324929999999999E-2</v>
      </c>
      <c r="Z30">
        <v>2.4054639999999901E-4</v>
      </c>
      <c r="AA30">
        <v>0.99984989999999996</v>
      </c>
      <c r="AB30">
        <v>6</v>
      </c>
      <c r="AC30">
        <v>41.622999999999898</v>
      </c>
      <c r="AD30">
        <v>-1.1531579999999999</v>
      </c>
      <c r="AE30">
        <v>0.72110000000003505</v>
      </c>
      <c r="AF30">
        <v>-0.722005023354513</v>
      </c>
      <c r="AG30">
        <v>-1.1531579999999999</v>
      </c>
      <c r="AH30">
        <v>41.591060748615</v>
      </c>
      <c r="AI30">
        <v>91.587942628169401</v>
      </c>
      <c r="AJ30">
        <v>90.994533083409195</v>
      </c>
      <c r="AK30">
        <v>41.613307953366203</v>
      </c>
    </row>
    <row r="31" spans="1:37" x14ac:dyDescent="0.2">
      <c r="A31" t="str">
        <f>"20200111153406033"</f>
        <v>20200111153406033</v>
      </c>
      <c r="B31" t="str">
        <f>"1578728046026562"</f>
        <v>1578728046026562</v>
      </c>
      <c r="C31" t="s">
        <v>37</v>
      </c>
      <c r="D31">
        <v>4.5592550000000003</v>
      </c>
      <c r="E31">
        <v>0.5227579</v>
      </c>
      <c r="F31" t="s">
        <v>38</v>
      </c>
      <c r="G31">
        <v>-435.35570000000001</v>
      </c>
      <c r="H31">
        <v>-0.05</v>
      </c>
      <c r="I31">
        <v>368.28500000000003</v>
      </c>
      <c r="J31">
        <v>-476.3836</v>
      </c>
      <c r="K31">
        <v>1.1031409999999999</v>
      </c>
      <c r="L31">
        <v>367.52</v>
      </c>
      <c r="M31">
        <v>0.99999749999999998</v>
      </c>
      <c r="N31">
        <v>0</v>
      </c>
      <c r="O31" s="1">
        <v>-3.598304E-5</v>
      </c>
      <c r="P31">
        <v>0.99638479999999996</v>
      </c>
      <c r="Q31">
        <v>1.8395979999999999E-2</v>
      </c>
      <c r="R31">
        <v>8.2940689999999997E-2</v>
      </c>
      <c r="S31">
        <v>3.0077210000000001</v>
      </c>
      <c r="T31">
        <v>-8.4464429999999993E-2</v>
      </c>
      <c r="U31">
        <v>5.603027E-2</v>
      </c>
      <c r="V31">
        <v>-8.2975750000000001E-2</v>
      </c>
      <c r="W31">
        <v>1.6093340000000001E-2</v>
      </c>
      <c r="X31">
        <v>0.99642160000000002</v>
      </c>
      <c r="Y31">
        <v>-1.8654199999999999E-2</v>
      </c>
      <c r="Z31">
        <v>2.6286449999999998E-4</v>
      </c>
      <c r="AA31">
        <v>0.99982599999999999</v>
      </c>
      <c r="AB31">
        <v>6</v>
      </c>
      <c r="AC31">
        <v>41.027899999999903</v>
      </c>
      <c r="AD31">
        <v>-1.153141</v>
      </c>
      <c r="AE31">
        <v>0.76500000000004298</v>
      </c>
      <c r="AF31">
        <v>-0.765871512568712</v>
      </c>
      <c r="AG31">
        <v>-1.153141</v>
      </c>
      <c r="AH31">
        <v>40.995498811629702</v>
      </c>
      <c r="AI31">
        <v>91.610937299123194</v>
      </c>
      <c r="AJ31">
        <v>91.070266313327707</v>
      </c>
      <c r="AK31">
        <v>41.018864149973503</v>
      </c>
    </row>
    <row r="32" spans="1:37" x14ac:dyDescent="0.2">
      <c r="A32" t="str">
        <f>"20200111153406046"</f>
        <v>20200111153406046</v>
      </c>
      <c r="B32" t="str">
        <f>"1578728046036322"</f>
        <v>1578728046036322</v>
      </c>
      <c r="C32" t="s">
        <v>37</v>
      </c>
      <c r="D32">
        <v>3.4875250000000002</v>
      </c>
      <c r="E32">
        <v>0.5227579</v>
      </c>
      <c r="F32" t="s">
        <v>38</v>
      </c>
      <c r="G32">
        <v>-436.40269999999998</v>
      </c>
      <c r="H32">
        <v>-0.05</v>
      </c>
      <c r="I32">
        <v>368.28919999999999</v>
      </c>
      <c r="J32">
        <v>-476.34870000000001</v>
      </c>
      <c r="K32">
        <v>1.103124</v>
      </c>
      <c r="L32">
        <v>367.52</v>
      </c>
      <c r="M32">
        <v>0.99999729999999998</v>
      </c>
      <c r="N32">
        <v>0</v>
      </c>
      <c r="O32" s="1">
        <v>-3.7145409999999999E-5</v>
      </c>
      <c r="P32">
        <v>0.99633189999999905</v>
      </c>
      <c r="Q32">
        <v>1.8134839999999999E-2</v>
      </c>
      <c r="R32">
        <v>8.3631200000000003E-2</v>
      </c>
      <c r="S32">
        <v>3.0076290000000001</v>
      </c>
      <c r="T32">
        <v>-8.674693E-2</v>
      </c>
      <c r="U32">
        <v>5.7861330000000002E-2</v>
      </c>
      <c r="V32">
        <v>-8.366796E-2</v>
      </c>
      <c r="W32">
        <v>1.5755310000000002E-2</v>
      </c>
      <c r="X32">
        <v>0.99636909999999901</v>
      </c>
      <c r="Y32">
        <v>-1.9263740000000001E-2</v>
      </c>
      <c r="Z32">
        <v>2.7879290000000002E-4</v>
      </c>
      <c r="AA32">
        <v>0.99981439999999999</v>
      </c>
      <c r="AB32">
        <v>6</v>
      </c>
      <c r="AC32">
        <v>39.945999999999998</v>
      </c>
      <c r="AD32">
        <v>-1.153124</v>
      </c>
      <c r="AE32">
        <v>0.76920000000001199</v>
      </c>
      <c r="AF32">
        <v>-0.770042369582287</v>
      </c>
      <c r="AG32">
        <v>-1.153124</v>
      </c>
      <c r="AH32">
        <v>39.912724145149298</v>
      </c>
      <c r="AI32">
        <v>91.654572165745606</v>
      </c>
      <c r="AJ32">
        <v>91.105279225290104</v>
      </c>
      <c r="AK32">
        <v>39.936802687460002</v>
      </c>
    </row>
    <row r="33" spans="1:37" x14ac:dyDescent="0.2">
      <c r="A33" t="str">
        <f>"20200111153406102"</f>
        <v>20200111153406102</v>
      </c>
      <c r="B33" t="str">
        <f>"1578728046096834"</f>
        <v>1578728046096834</v>
      </c>
      <c r="C33" t="s">
        <v>37</v>
      </c>
      <c r="D33">
        <v>3.738175</v>
      </c>
      <c r="E33">
        <v>0.51837639999999996</v>
      </c>
      <c r="F33" t="s">
        <v>38</v>
      </c>
      <c r="G33">
        <v>-436.7713</v>
      </c>
      <c r="H33">
        <v>-0.05</v>
      </c>
      <c r="I33">
        <v>368.31029999999998</v>
      </c>
      <c r="J33">
        <v>-476.17520000000002</v>
      </c>
      <c r="K33">
        <v>1.1030549999999999</v>
      </c>
      <c r="L33">
        <v>367.52</v>
      </c>
      <c r="M33">
        <v>0.99999649999999995</v>
      </c>
      <c r="N33">
        <v>0</v>
      </c>
      <c r="O33" s="1">
        <v>-4.1339959999999998E-5</v>
      </c>
      <c r="P33">
        <v>0.99590059999999903</v>
      </c>
      <c r="Q33">
        <v>1.7377139999999999E-2</v>
      </c>
      <c r="R33">
        <v>8.877053E-2</v>
      </c>
      <c r="S33">
        <v>3.0076290000000001</v>
      </c>
      <c r="T33">
        <v>-8.7630150000000004E-2</v>
      </c>
      <c r="U33">
        <v>6.0058590000000002E-2</v>
      </c>
      <c r="V33">
        <v>-8.8811280000000006E-2</v>
      </c>
      <c r="W33">
        <v>1.4696849999999999E-2</v>
      </c>
      <c r="X33">
        <v>0.99593999999999905</v>
      </c>
      <c r="Y33">
        <v>-1.9997600000000001E-2</v>
      </c>
      <c r="Z33">
        <v>2.9243789999999997E-4</v>
      </c>
      <c r="AA33">
        <v>0.99980000000000002</v>
      </c>
      <c r="AB33">
        <v>7</v>
      </c>
      <c r="AC33">
        <v>39.4039</v>
      </c>
      <c r="AD33">
        <v>-1.1530549999999999</v>
      </c>
      <c r="AE33">
        <v>0.790300000000002</v>
      </c>
      <c r="AF33">
        <v>-0.79125169101910298</v>
      </c>
      <c r="AG33">
        <v>-1.1530549999999999</v>
      </c>
      <c r="AH33">
        <v>39.370168510442099</v>
      </c>
      <c r="AI33">
        <v>91.677233826491204</v>
      </c>
      <c r="AJ33">
        <v>91.1513610856762</v>
      </c>
      <c r="AK33">
        <v>39.394996936313802</v>
      </c>
    </row>
    <row r="34" spans="1:37" x14ac:dyDescent="0.2">
      <c r="A34" t="str">
        <f>"20200111153406115"</f>
        <v>20200111153406115</v>
      </c>
      <c r="B34" t="str">
        <f>"1578728046106594"</f>
        <v>1578728046106594</v>
      </c>
      <c r="C34" t="s">
        <v>37</v>
      </c>
      <c r="D34">
        <v>4.4304639999999997</v>
      </c>
      <c r="E34">
        <v>0.51837639999999996</v>
      </c>
      <c r="F34" t="s">
        <v>40</v>
      </c>
      <c r="G34">
        <v>-475.48570000000001</v>
      </c>
      <c r="H34">
        <v>0.84699069999999899</v>
      </c>
      <c r="I34">
        <v>367.52929999999998</v>
      </c>
      <c r="J34">
        <v>-476.13150000000002</v>
      </c>
      <c r="K34">
        <v>1.1030340000000001</v>
      </c>
      <c r="L34">
        <v>367.52</v>
      </c>
      <c r="M34">
        <v>0.99999629999999995</v>
      </c>
      <c r="N34">
        <v>0</v>
      </c>
      <c r="O34" s="1">
        <v>-4.1777570000000003E-5</v>
      </c>
      <c r="P34">
        <v>0.99582399999999904</v>
      </c>
      <c r="Q34">
        <v>1.6908940000000001E-2</v>
      </c>
      <c r="R34">
        <v>8.9713669999999995E-2</v>
      </c>
      <c r="S34">
        <v>3.0283509999999998</v>
      </c>
      <c r="T34">
        <v>-1.124617</v>
      </c>
      <c r="U34">
        <v>4.0649409999999997E-2</v>
      </c>
      <c r="V34">
        <v>-8.9755070000000006E-2</v>
      </c>
      <c r="W34">
        <v>1.4170479999999999E-2</v>
      </c>
      <c r="X34">
        <v>0.995863099999999</v>
      </c>
      <c r="Y34">
        <v>-1.2618839999999999E-2</v>
      </c>
      <c r="Z34">
        <v>2.2823520000000001E-3</v>
      </c>
      <c r="AA34">
        <v>0.99991770000000002</v>
      </c>
      <c r="AB34">
        <v>7</v>
      </c>
      <c r="AC34">
        <v>0.64580000000000803</v>
      </c>
      <c r="AD34">
        <v>-0.25604329999999997</v>
      </c>
      <c r="AE34">
        <v>9.2999999999960892E-3</v>
      </c>
      <c r="AF34">
        <v>-8.0602370551999397E-3</v>
      </c>
      <c r="AG34">
        <v>-0.25604329999999997</v>
      </c>
      <c r="AH34">
        <v>0.55809039240458203</v>
      </c>
      <c r="AI34">
        <v>114.642665663713</v>
      </c>
      <c r="AJ34">
        <v>90.827438468353705</v>
      </c>
      <c r="AK34">
        <v>0.61407493434480498</v>
      </c>
    </row>
    <row r="35" spans="1:37" x14ac:dyDescent="0.2">
      <c r="A35" t="str">
        <f>"20200111153406133"</f>
        <v>20200111153406133</v>
      </c>
      <c r="B35" t="str">
        <f>"1578728046127090"</f>
        <v>1578728046127090</v>
      </c>
      <c r="C35" t="s">
        <v>37</v>
      </c>
      <c r="D35">
        <v>4.5753599999999999</v>
      </c>
      <c r="E35">
        <v>0.52961550000000002</v>
      </c>
      <c r="F35" t="s">
        <v>40</v>
      </c>
      <c r="G35">
        <v>-475.48</v>
      </c>
      <c r="H35">
        <v>0.86076430000000004</v>
      </c>
      <c r="I35">
        <v>367.52929999999998</v>
      </c>
      <c r="J35">
        <v>-476.07049999999998</v>
      </c>
      <c r="K35">
        <v>1.1029959999999901</v>
      </c>
      <c r="L35">
        <v>367.52</v>
      </c>
      <c r="M35">
        <v>0.99999609999999906</v>
      </c>
      <c r="N35">
        <v>0</v>
      </c>
      <c r="O35" s="1">
        <v>-4.1879460000000002E-5</v>
      </c>
      <c r="P35">
        <v>0.99575829999999999</v>
      </c>
      <c r="Q35">
        <v>1.470805E-2</v>
      </c>
      <c r="R35">
        <v>9.0825669999999997E-2</v>
      </c>
      <c r="S35">
        <v>3.027863</v>
      </c>
      <c r="T35">
        <v>-1.1258600000000001</v>
      </c>
      <c r="U35">
        <v>4.3090820000000002E-2</v>
      </c>
      <c r="V35">
        <v>-9.0867470000000006E-2</v>
      </c>
      <c r="W35">
        <v>1.189663E-2</v>
      </c>
      <c r="X35">
        <v>0.99579189999999995</v>
      </c>
      <c r="Y35">
        <v>-1.337458E-2</v>
      </c>
      <c r="Z35">
        <v>2.4210389999999998E-3</v>
      </c>
      <c r="AA35">
        <v>0.99990759999999901</v>
      </c>
      <c r="AB35">
        <v>7</v>
      </c>
      <c r="AC35">
        <v>0.59049999999996305</v>
      </c>
      <c r="AD35">
        <v>-0.242231699999999</v>
      </c>
      <c r="AE35">
        <v>9.2999999999960892E-3</v>
      </c>
      <c r="AF35">
        <v>-7.9819007496586807E-3</v>
      </c>
      <c r="AG35">
        <v>-0.242231699999999</v>
      </c>
      <c r="AH35">
        <v>0.50546335663793296</v>
      </c>
      <c r="AI35">
        <v>115.602216315966</v>
      </c>
      <c r="AJ35">
        <v>90.904697069242502</v>
      </c>
      <c r="AK35">
        <v>0.56056499366991597</v>
      </c>
    </row>
    <row r="36" spans="1:37" x14ac:dyDescent="0.2">
      <c r="A36" t="str">
        <f>"20200111153406146"</f>
        <v>20200111153406146</v>
      </c>
      <c r="B36" t="str">
        <f>"1578728046136850"</f>
        <v>1578728046136850</v>
      </c>
      <c r="C36" t="s">
        <v>37</v>
      </c>
      <c r="D36">
        <v>4.3553360000000003</v>
      </c>
      <c r="E36">
        <v>0.52921339999999994</v>
      </c>
      <c r="F36" t="s">
        <v>40</v>
      </c>
      <c r="G36">
        <v>-475.35629999999998</v>
      </c>
      <c r="H36">
        <v>0.99134369999999905</v>
      </c>
      <c r="I36">
        <v>367.51979999999998</v>
      </c>
      <c r="J36">
        <v>-476.02440000000001</v>
      </c>
      <c r="K36">
        <v>1.10297</v>
      </c>
      <c r="L36">
        <v>367.52</v>
      </c>
      <c r="M36">
        <v>0.99999579999999999</v>
      </c>
      <c r="N36">
        <v>0</v>
      </c>
      <c r="O36" s="1">
        <v>-4.1711229999999997E-5</v>
      </c>
      <c r="P36">
        <v>0.99576489999999995</v>
      </c>
      <c r="Q36">
        <v>1.319904E-2</v>
      </c>
      <c r="R36">
        <v>9.0984389999999998E-2</v>
      </c>
      <c r="S36">
        <v>3.0195919999999998</v>
      </c>
      <c r="T36">
        <v>-0.47229460000000001</v>
      </c>
      <c r="U36">
        <v>1.4648439999999899E-3</v>
      </c>
      <c r="V36">
        <v>-9.1025729999999999E-2</v>
      </c>
      <c r="W36">
        <v>1.03389E-2</v>
      </c>
      <c r="X36">
        <v>0.99579490000000004</v>
      </c>
      <c r="Y36">
        <v>-5.1999519999999897E-4</v>
      </c>
      <c r="Z36" s="1">
        <v>4.6905179999999998E-5</v>
      </c>
      <c r="AA36">
        <v>0.99999989999999905</v>
      </c>
      <c r="AB36">
        <v>7</v>
      </c>
      <c r="AC36">
        <v>0.668100000000038</v>
      </c>
      <c r="AD36">
        <v>-0.1116263</v>
      </c>
      <c r="AE36">
        <v>-2.0000000000663901E-4</v>
      </c>
      <c r="AF36">
        <v>1.6745788912251599E-4</v>
      </c>
      <c r="AG36">
        <v>-0.1116263</v>
      </c>
      <c r="AH36">
        <v>0.64995596702657699</v>
      </c>
      <c r="AI36">
        <v>99.745156551782699</v>
      </c>
      <c r="AJ36">
        <v>89.9852380306246</v>
      </c>
      <c r="AK36">
        <v>0.65947192356254802</v>
      </c>
    </row>
    <row r="37" spans="1:37" x14ac:dyDescent="0.2">
      <c r="A37" t="str">
        <f>"20200111153406161"</f>
        <v>20200111153406161</v>
      </c>
      <c r="B37" t="str">
        <f>"1578728046156370"</f>
        <v>1578728046156370</v>
      </c>
      <c r="C37" t="s">
        <v>37</v>
      </c>
      <c r="D37">
        <v>4.3491479999999996</v>
      </c>
      <c r="E37">
        <v>0.52982299999999904</v>
      </c>
      <c r="F37" t="s">
        <v>40</v>
      </c>
      <c r="G37">
        <v>-475.28649999999999</v>
      </c>
      <c r="H37">
        <v>0.98987230000000004</v>
      </c>
      <c r="I37">
        <v>367.5215</v>
      </c>
      <c r="J37">
        <v>-475.97629999999998</v>
      </c>
      <c r="K37">
        <v>1.1029409999999999</v>
      </c>
      <c r="L37">
        <v>367.52</v>
      </c>
      <c r="M37">
        <v>0.99999590000000005</v>
      </c>
      <c r="N37">
        <v>0</v>
      </c>
      <c r="O37" s="1">
        <v>-4.1779890000000002E-5</v>
      </c>
      <c r="P37">
        <v>0.99579839999999997</v>
      </c>
      <c r="Q37">
        <v>1.169542E-2</v>
      </c>
      <c r="R37">
        <v>9.0824269999999999E-2</v>
      </c>
      <c r="S37">
        <v>3.0183110000000002</v>
      </c>
      <c r="T37">
        <v>-0.46262159999999902</v>
      </c>
      <c r="U37">
        <v>6.2561040000000002E-3</v>
      </c>
      <c r="V37">
        <v>-9.086516E-2</v>
      </c>
      <c r="W37">
        <v>8.7873440000000008E-3</v>
      </c>
      <c r="X37">
        <v>0.9958245</v>
      </c>
      <c r="Y37">
        <v>-2.0896019999999999E-3</v>
      </c>
      <c r="Z37">
        <v>1.6557520000000001E-4</v>
      </c>
      <c r="AA37">
        <v>0.99999780000000005</v>
      </c>
      <c r="AB37">
        <v>8</v>
      </c>
      <c r="AC37">
        <v>0.68979999999999098</v>
      </c>
      <c r="AD37">
        <v>-0.113068699999999</v>
      </c>
      <c r="AE37">
        <v>1.5000000000213701E-3</v>
      </c>
      <c r="AF37">
        <v>-1.4888182225979399E-3</v>
      </c>
      <c r="AG37">
        <v>-0.113068699999999</v>
      </c>
      <c r="AH37">
        <v>0.67175128073840995</v>
      </c>
      <c r="AI37">
        <v>99.554403723252605</v>
      </c>
      <c r="AJ37">
        <v>90.126985780885505</v>
      </c>
      <c r="AK37">
        <v>0.68120226854663701</v>
      </c>
    </row>
    <row r="38" spans="1:37" x14ac:dyDescent="0.2">
      <c r="A38" t="str">
        <f>"20200111153406177"</f>
        <v>20200111153406177</v>
      </c>
      <c r="B38" t="str">
        <f>"1578728046167106"</f>
        <v>1578728046167106</v>
      </c>
      <c r="C38" t="s">
        <v>37</v>
      </c>
      <c r="D38">
        <v>4.3238599999999998</v>
      </c>
      <c r="E38">
        <v>0.53050430000000004</v>
      </c>
      <c r="F38" t="s">
        <v>40</v>
      </c>
      <c r="G38">
        <v>-475.2165</v>
      </c>
      <c r="H38">
        <v>0.98438490000000001</v>
      </c>
      <c r="I38">
        <v>367.5197</v>
      </c>
      <c r="J38">
        <v>-475.91460000000001</v>
      </c>
      <c r="K38">
        <v>1.1028990000000001</v>
      </c>
      <c r="L38">
        <v>367.52</v>
      </c>
      <c r="M38">
        <v>0.99999559999999998</v>
      </c>
      <c r="N38">
        <v>0</v>
      </c>
      <c r="O38" s="1">
        <v>-4.1619880000000003E-5</v>
      </c>
      <c r="P38">
        <v>0.99584099999999998</v>
      </c>
      <c r="Q38">
        <v>7.9178870000000002E-3</v>
      </c>
      <c r="R38">
        <v>9.0762759999999998E-2</v>
      </c>
      <c r="S38">
        <v>3.018097</v>
      </c>
      <c r="T38">
        <v>-0.47116759999999902</v>
      </c>
      <c r="U38">
        <v>1.12915E-3</v>
      </c>
      <c r="V38">
        <v>-9.0803910000000002E-2</v>
      </c>
      <c r="W38">
        <v>4.95605E-3</v>
      </c>
      <c r="X38">
        <v>0.99585650000000003</v>
      </c>
      <c r="Y38">
        <v>-4.1027309999999999E-4</v>
      </c>
      <c r="Z38" s="1">
        <v>3.8290310000000002E-5</v>
      </c>
      <c r="AA38">
        <v>0.99999989999999905</v>
      </c>
      <c r="AB38">
        <v>8</v>
      </c>
      <c r="AC38">
        <v>0.69810000000001005</v>
      </c>
      <c r="AD38">
        <v>-0.1185141</v>
      </c>
      <c r="AE38">
        <v>-2.9999999998153699E-4</v>
      </c>
      <c r="AF38">
        <v>2.63354956602126E-4</v>
      </c>
      <c r="AG38">
        <v>-0.1185141</v>
      </c>
      <c r="AH38">
        <v>0.67854389444955499</v>
      </c>
      <c r="AI38">
        <v>99.907311125324497</v>
      </c>
      <c r="AJ38">
        <v>89.977762489806594</v>
      </c>
      <c r="AK38">
        <v>0.688815997164273</v>
      </c>
    </row>
    <row r="39" spans="1:37" x14ac:dyDescent="0.2">
      <c r="A39" t="str">
        <f>"20200111153406190"</f>
        <v>20200111153406190</v>
      </c>
      <c r="B39" t="str">
        <f>"1578728046186626"</f>
        <v>1578728046186626</v>
      </c>
      <c r="C39" t="s">
        <v>37</v>
      </c>
      <c r="D39">
        <v>4.415648</v>
      </c>
      <c r="E39">
        <v>0.52938540000000001</v>
      </c>
      <c r="F39" t="s">
        <v>40</v>
      </c>
      <c r="G39">
        <v>-475.2133</v>
      </c>
      <c r="H39">
        <v>0.99153029999999998</v>
      </c>
      <c r="I39">
        <v>367.51850000000002</v>
      </c>
      <c r="J39">
        <v>-475.86660000000001</v>
      </c>
      <c r="K39">
        <v>1.1028770000000001</v>
      </c>
      <c r="L39">
        <v>367.52</v>
      </c>
      <c r="M39">
        <v>0.99999539999999998</v>
      </c>
      <c r="N39">
        <v>0</v>
      </c>
      <c r="O39" s="1">
        <v>-4.14353299999999E-5</v>
      </c>
      <c r="P39">
        <v>0.99586359999999996</v>
      </c>
      <c r="Q39">
        <v>5.874354E-3</v>
      </c>
      <c r="R39">
        <v>9.0670329999999993E-2</v>
      </c>
      <c r="S39">
        <v>3.0166930000000001</v>
      </c>
      <c r="T39">
        <v>-0.47937079999999999</v>
      </c>
      <c r="U39">
        <v>-4.0283200000000002E-3</v>
      </c>
      <c r="V39">
        <v>-9.0711589999999995E-2</v>
      </c>
      <c r="W39">
        <v>2.8756259999999901E-3</v>
      </c>
      <c r="X39">
        <v>0.99587300000000001</v>
      </c>
      <c r="Y39">
        <v>1.278387E-3</v>
      </c>
      <c r="Z39" s="1">
        <v>-9.4395119999999907E-5</v>
      </c>
      <c r="AA39">
        <v>0.99999919999999998</v>
      </c>
      <c r="AB39">
        <v>8</v>
      </c>
      <c r="AC39">
        <v>0.65330000000000099</v>
      </c>
      <c r="AD39">
        <v>-0.11134670000000001</v>
      </c>
      <c r="AE39">
        <v>-1.4999999999645199E-3</v>
      </c>
      <c r="AF39">
        <v>1.4313512425943699E-3</v>
      </c>
      <c r="AG39">
        <v>-0.11134670000000001</v>
      </c>
      <c r="AH39">
        <v>0.63485823838186495</v>
      </c>
      <c r="AI39">
        <v>99.947805530013099</v>
      </c>
      <c r="AJ39">
        <v>89.870821167175805</v>
      </c>
      <c r="AK39">
        <v>0.64455032325536399</v>
      </c>
    </row>
    <row r="40" spans="1:37" x14ac:dyDescent="0.2">
      <c r="A40" t="str">
        <f>"20200111153406204"</f>
        <v>20200111153406204</v>
      </c>
      <c r="B40" t="str">
        <f>"1578728046196386"</f>
        <v>1578728046196386</v>
      </c>
      <c r="C40" t="s">
        <v>37</v>
      </c>
      <c r="D40">
        <v>4.4052210000000001</v>
      </c>
      <c r="E40">
        <v>0.52901169999999997</v>
      </c>
      <c r="F40" t="s">
        <v>40</v>
      </c>
      <c r="G40">
        <v>-475.14109999999999</v>
      </c>
      <c r="H40">
        <v>0.985564</v>
      </c>
      <c r="I40">
        <v>367.52099999999899</v>
      </c>
      <c r="J40">
        <v>-475.8143</v>
      </c>
      <c r="K40">
        <v>1.1028549999999999</v>
      </c>
      <c r="L40">
        <v>367.52</v>
      </c>
      <c r="M40">
        <v>0.99999550000000004</v>
      </c>
      <c r="N40">
        <v>0</v>
      </c>
      <c r="O40" s="1">
        <v>-4.1847659999999898E-5</v>
      </c>
      <c r="P40">
        <v>0.99586200000000002</v>
      </c>
      <c r="Q40">
        <v>4.4005590000000001E-3</v>
      </c>
      <c r="R40">
        <v>9.0771690000000002E-2</v>
      </c>
      <c r="S40">
        <v>3.0149840000000001</v>
      </c>
      <c r="T40">
        <v>-0.48759009999999903</v>
      </c>
      <c r="U40">
        <v>4.0283200000000002E-3</v>
      </c>
      <c r="V40">
        <v>-9.081301E-2</v>
      </c>
      <c r="W40">
        <v>1.3650089999999999E-3</v>
      </c>
      <c r="X40">
        <v>0.99586699999999995</v>
      </c>
      <c r="Y40">
        <v>-1.359737E-3</v>
      </c>
      <c r="Z40">
        <v>1.159642E-4</v>
      </c>
      <c r="AA40">
        <v>0.99999899999999997</v>
      </c>
      <c r="AB40">
        <v>8</v>
      </c>
      <c r="AC40">
        <v>0.67320000000000801</v>
      </c>
      <c r="AD40">
        <v>-0.11729099999999899</v>
      </c>
      <c r="AE40">
        <v>9.9999999997635292E-4</v>
      </c>
      <c r="AF40">
        <v>-9.9788060942427302E-4</v>
      </c>
      <c r="AG40">
        <v>-0.11729099999999899</v>
      </c>
      <c r="AH40">
        <v>0.65336656041100105</v>
      </c>
      <c r="AI40">
        <v>100.17720504019999</v>
      </c>
      <c r="AJ40">
        <v>90.087507237723898</v>
      </c>
      <c r="AK40">
        <v>0.66381174794516296</v>
      </c>
    </row>
    <row r="41" spans="1:37" x14ac:dyDescent="0.2">
      <c r="A41" t="str">
        <f>"20200111153406216"</f>
        <v>20200111153406216</v>
      </c>
      <c r="B41" t="str">
        <f>"1578728046206146"</f>
        <v>1578728046206146</v>
      </c>
      <c r="C41" t="s">
        <v>37</v>
      </c>
      <c r="D41">
        <v>4.379931</v>
      </c>
      <c r="E41">
        <v>0.52858909999999903</v>
      </c>
      <c r="F41" t="s">
        <v>40</v>
      </c>
      <c r="G41">
        <v>-475.06599999999997</v>
      </c>
      <c r="H41">
        <v>0.98115399999999997</v>
      </c>
      <c r="I41">
        <v>367.52109999999999</v>
      </c>
      <c r="J41">
        <v>-475.76350000000002</v>
      </c>
      <c r="K41">
        <v>1.1028340000000001</v>
      </c>
      <c r="L41">
        <v>367.52</v>
      </c>
      <c r="M41">
        <v>0.99999519999999997</v>
      </c>
      <c r="N41">
        <v>0</v>
      </c>
      <c r="O41" s="1">
        <v>-4.2610959999999898E-5</v>
      </c>
      <c r="P41">
        <v>0.99585619999999997</v>
      </c>
      <c r="Q41">
        <v>3.0417370000000001E-3</v>
      </c>
      <c r="R41">
        <v>9.0890250000000006E-2</v>
      </c>
      <c r="S41">
        <v>3.014008</v>
      </c>
      <c r="T41">
        <v>-0.490427</v>
      </c>
      <c r="U41">
        <v>6.9580079999999999E-3</v>
      </c>
      <c r="V41">
        <v>-9.0933239999999999E-2</v>
      </c>
      <c r="W41" s="1">
        <v>-2.6389490000000001E-5</v>
      </c>
      <c r="X41">
        <v>0.99585699999999999</v>
      </c>
      <c r="Y41">
        <v>-2.3200880000000001E-3</v>
      </c>
      <c r="Z41">
        <v>1.9441240000000001E-4</v>
      </c>
      <c r="AA41">
        <v>0.99999729999999998</v>
      </c>
      <c r="AB41">
        <v>8</v>
      </c>
      <c r="AC41">
        <v>0.69750000000004697</v>
      </c>
      <c r="AD41">
        <v>-0.12168</v>
      </c>
      <c r="AE41">
        <v>1.1000000000080899E-3</v>
      </c>
      <c r="AF41">
        <v>-1.0963555794421601E-3</v>
      </c>
      <c r="AG41">
        <v>-0.12168</v>
      </c>
      <c r="AH41">
        <v>0.67689966887321695</v>
      </c>
      <c r="AI41">
        <v>100.190682910883</v>
      </c>
      <c r="AJ41">
        <v>90.092800300408797</v>
      </c>
      <c r="AK41">
        <v>0.68775023527166301</v>
      </c>
    </row>
    <row r="42" spans="1:37" x14ac:dyDescent="0.2">
      <c r="A42" t="str">
        <f>"20200111153406233"</f>
        <v>20200111153406233</v>
      </c>
      <c r="B42" t="str">
        <f>"1578728046226642"</f>
        <v>1578728046226642</v>
      </c>
      <c r="C42" t="s">
        <v>37</v>
      </c>
      <c r="D42">
        <v>4.4127260000000001</v>
      </c>
      <c r="E42">
        <v>0.52816419999999997</v>
      </c>
      <c r="F42" t="s">
        <v>40</v>
      </c>
      <c r="G42">
        <v>-475.06279999999998</v>
      </c>
      <c r="H42">
        <v>0.98807479999999903</v>
      </c>
      <c r="I42">
        <v>367.52179999999998</v>
      </c>
      <c r="J42">
        <v>-475.6986</v>
      </c>
      <c r="K42">
        <v>1.102805</v>
      </c>
      <c r="L42">
        <v>367.52</v>
      </c>
      <c r="M42">
        <v>0.99999519999999997</v>
      </c>
      <c r="N42">
        <v>0</v>
      </c>
      <c r="O42" s="1">
        <v>-4.5286040000000003E-5</v>
      </c>
      <c r="P42">
        <v>0.99584430000000002</v>
      </c>
      <c r="Q42">
        <v>6.0020760000000005E-4</v>
      </c>
      <c r="R42">
        <v>9.1070559999999995E-2</v>
      </c>
      <c r="S42">
        <v>3.0130619999999899</v>
      </c>
      <c r="T42">
        <v>-0.49376229999999899</v>
      </c>
      <c r="U42">
        <v>1.0284420000000001E-2</v>
      </c>
      <c r="V42">
        <v>-9.1115779999999993E-2</v>
      </c>
      <c r="W42">
        <v>-2.5042839999999999E-3</v>
      </c>
      <c r="X42">
        <v>0.99583719999999998</v>
      </c>
      <c r="Y42">
        <v>-3.412427E-3</v>
      </c>
      <c r="Z42">
        <v>2.8512280000000001E-4</v>
      </c>
      <c r="AA42">
        <v>0.99999419999999895</v>
      </c>
      <c r="AB42">
        <v>8</v>
      </c>
      <c r="AC42">
        <v>0.63580000000001702</v>
      </c>
      <c r="AD42">
        <v>-0.1147302</v>
      </c>
      <c r="AE42">
        <v>1.8000000000029099E-3</v>
      </c>
      <c r="AF42">
        <v>-1.77112174733181E-3</v>
      </c>
      <c r="AG42">
        <v>-0.1147302</v>
      </c>
      <c r="AH42">
        <v>0.61574987495954903</v>
      </c>
      <c r="AI42">
        <v>100.554617029985</v>
      </c>
      <c r="AJ42">
        <v>90.164803153676402</v>
      </c>
      <c r="AK42">
        <v>0.62634979378697297</v>
      </c>
    </row>
    <row r="43" spans="1:37" x14ac:dyDescent="0.2">
      <c r="A43" t="str">
        <f>"20200111153406246"</f>
        <v>20200111153406246</v>
      </c>
      <c r="B43" t="str">
        <f>"1578728046236402"</f>
        <v>1578728046236402</v>
      </c>
      <c r="C43" t="s">
        <v>37</v>
      </c>
      <c r="D43">
        <v>4.3964800000000004</v>
      </c>
      <c r="E43">
        <v>0.52810040000000003</v>
      </c>
      <c r="F43" t="s">
        <v>40</v>
      </c>
      <c r="G43">
        <v>-474.98469999999998</v>
      </c>
      <c r="H43">
        <v>0.98511179999999998</v>
      </c>
      <c r="I43">
        <v>367.52339999999998</v>
      </c>
      <c r="J43">
        <v>-475.6474</v>
      </c>
      <c r="K43">
        <v>1.102786</v>
      </c>
      <c r="L43">
        <v>367.52</v>
      </c>
      <c r="M43">
        <v>0.99999509999999903</v>
      </c>
      <c r="N43">
        <v>0</v>
      </c>
      <c r="O43" s="1">
        <v>-4.842183E-5</v>
      </c>
      <c r="P43">
        <v>0.99585230000000002</v>
      </c>
      <c r="Q43">
        <v>-1.6379360000000001E-4</v>
      </c>
      <c r="R43">
        <v>9.0985209999999997E-2</v>
      </c>
      <c r="S43">
        <v>3.0115050000000001</v>
      </c>
      <c r="T43">
        <v>-0.4964942</v>
      </c>
      <c r="U43">
        <v>1.4495849999999999E-2</v>
      </c>
      <c r="V43">
        <v>-9.1033420000000004E-2</v>
      </c>
      <c r="W43">
        <v>-3.2941340000000002E-3</v>
      </c>
      <c r="X43">
        <v>0.99584240000000002</v>
      </c>
      <c r="Y43">
        <v>-4.7964549999999998E-3</v>
      </c>
      <c r="Z43">
        <v>4.0066219999999999E-4</v>
      </c>
      <c r="AA43">
        <v>0.9999884</v>
      </c>
      <c r="AB43">
        <v>9</v>
      </c>
      <c r="AC43">
        <v>0.66270000000002904</v>
      </c>
      <c r="AD43">
        <v>-0.11767419999999899</v>
      </c>
      <c r="AE43">
        <v>3.3999999999991802E-3</v>
      </c>
      <c r="AF43">
        <v>-3.3271848136701499E-3</v>
      </c>
      <c r="AG43">
        <v>-0.11767419999999899</v>
      </c>
      <c r="AH43">
        <v>0.64244389727640405</v>
      </c>
      <c r="AI43">
        <v>100.37947335214901</v>
      </c>
      <c r="AJ43">
        <v>90.296729323692404</v>
      </c>
      <c r="AK43">
        <v>0.65314045093847795</v>
      </c>
    </row>
    <row r="44" spans="1:37" x14ac:dyDescent="0.2">
      <c r="A44" t="str">
        <f>"20200111153406258"</f>
        <v>20200111153406258</v>
      </c>
      <c r="B44" t="str">
        <f>"1578728046246162"</f>
        <v>1578728046246162</v>
      </c>
      <c r="C44" t="s">
        <v>37</v>
      </c>
      <c r="D44">
        <v>4.3938790000000001</v>
      </c>
      <c r="E44">
        <v>0.52799640000000003</v>
      </c>
      <c r="F44" t="s">
        <v>40</v>
      </c>
      <c r="G44">
        <v>-474.90519999999998</v>
      </c>
      <c r="H44">
        <v>0.98050499999999996</v>
      </c>
      <c r="I44">
        <v>367.52330000000001</v>
      </c>
      <c r="J44">
        <v>-475.59649999999999</v>
      </c>
      <c r="K44">
        <v>1.1027719999999901</v>
      </c>
      <c r="L44">
        <v>367.52</v>
      </c>
      <c r="M44">
        <v>0.99999499999999997</v>
      </c>
      <c r="N44">
        <v>0</v>
      </c>
      <c r="O44" s="1">
        <v>-5.1793029999999999E-5</v>
      </c>
      <c r="P44">
        <v>0.99582890000000002</v>
      </c>
      <c r="Q44">
        <v>-9.2468039999999904E-4</v>
      </c>
      <c r="R44">
        <v>9.1237199999999893E-2</v>
      </c>
      <c r="S44">
        <v>3.0111080000000001</v>
      </c>
      <c r="T44">
        <v>-0.49618879999999999</v>
      </c>
      <c r="U44">
        <v>1.467896E-2</v>
      </c>
      <c r="V44">
        <v>-9.1289099999999998E-2</v>
      </c>
      <c r="W44">
        <v>-4.0789800000000003E-3</v>
      </c>
      <c r="X44">
        <v>0.99581609999999998</v>
      </c>
      <c r="Y44">
        <v>-4.860423E-3</v>
      </c>
      <c r="Z44">
        <v>4.06258E-4</v>
      </c>
      <c r="AA44">
        <v>0.99998809999999905</v>
      </c>
      <c r="AB44">
        <v>9</v>
      </c>
      <c r="AC44">
        <v>0.69130000000001202</v>
      </c>
      <c r="AD44">
        <v>-0.122266999999999</v>
      </c>
      <c r="AE44">
        <v>3.30000000002428E-3</v>
      </c>
      <c r="AF44">
        <v>-3.2346236286855102E-3</v>
      </c>
      <c r="AG44">
        <v>-0.122266999999999</v>
      </c>
      <c r="AH44">
        <v>0.67033143792711702</v>
      </c>
      <c r="AI44">
        <v>100.336874094313</v>
      </c>
      <c r="AJ44">
        <v>90.276473447798395</v>
      </c>
      <c r="AK44">
        <v>0.68139850216481701</v>
      </c>
    </row>
    <row r="45" spans="1:37" x14ac:dyDescent="0.2">
      <c r="A45" t="str">
        <f>"20200111153406271"</f>
        <v>20200111153406271</v>
      </c>
      <c r="B45" t="str">
        <f>"1578728046266657"</f>
        <v>1578728046266657</v>
      </c>
      <c r="C45" t="s">
        <v>37</v>
      </c>
      <c r="D45">
        <v>4.3933359999999997</v>
      </c>
      <c r="E45">
        <v>0.52785740000000003</v>
      </c>
      <c r="F45" t="s">
        <v>40</v>
      </c>
      <c r="G45">
        <v>-474.82350000000002</v>
      </c>
      <c r="H45">
        <v>0.97559390000000001</v>
      </c>
      <c r="I45">
        <v>367.52420000000001</v>
      </c>
      <c r="J45">
        <v>-475.54340000000002</v>
      </c>
      <c r="K45">
        <v>1.102762</v>
      </c>
      <c r="L45">
        <v>367.52</v>
      </c>
      <c r="M45">
        <v>0.99999490000000002</v>
      </c>
      <c r="N45">
        <v>0</v>
      </c>
      <c r="O45" s="1">
        <v>-5.7425769999999898E-5</v>
      </c>
      <c r="P45">
        <v>0.99579609999999996</v>
      </c>
      <c r="Q45">
        <v>-1.9175710000000001E-3</v>
      </c>
      <c r="R45">
        <v>9.1578080000000006E-2</v>
      </c>
      <c r="S45">
        <v>3.0105900000000001</v>
      </c>
      <c r="T45">
        <v>-0.49540149999999999</v>
      </c>
      <c r="U45">
        <v>1.61438E-2</v>
      </c>
      <c r="V45">
        <v>-9.163578E-2</v>
      </c>
      <c r="W45">
        <v>-5.09315799999999E-3</v>
      </c>
      <c r="X45">
        <v>0.99577959999999999</v>
      </c>
      <c r="Y45">
        <v>-5.3470069999999896E-3</v>
      </c>
      <c r="Z45">
        <v>4.4637779999999997E-4</v>
      </c>
      <c r="AA45">
        <v>0.99998560000000003</v>
      </c>
      <c r="AB45">
        <v>9</v>
      </c>
      <c r="AC45">
        <v>0.71989999999999499</v>
      </c>
      <c r="AD45">
        <v>-0.12716810000000001</v>
      </c>
      <c r="AE45">
        <v>4.20000000002573E-3</v>
      </c>
      <c r="AF45">
        <v>-4.1130027299683203E-3</v>
      </c>
      <c r="AG45">
        <v>-0.12716810000000001</v>
      </c>
      <c r="AH45">
        <v>0.69811638758883598</v>
      </c>
      <c r="AI45">
        <v>100.323565988236</v>
      </c>
      <c r="AJ45">
        <v>90.337558285683002</v>
      </c>
      <c r="AK45">
        <v>0.70961618715271202</v>
      </c>
    </row>
    <row r="46" spans="1:37" x14ac:dyDescent="0.2">
      <c r="A46" t="str">
        <f>"20200111153406289"</f>
        <v>20200111153406289</v>
      </c>
      <c r="B46" t="str">
        <f>"1578728046286178"</f>
        <v>1578728046286178</v>
      </c>
      <c r="C46" t="s">
        <v>37</v>
      </c>
      <c r="D46">
        <v>4.4289350000000001</v>
      </c>
      <c r="E46">
        <v>0.52789960000000002</v>
      </c>
      <c r="F46" t="s">
        <v>40</v>
      </c>
      <c r="G46">
        <v>-474.81959999999998</v>
      </c>
      <c r="H46">
        <v>0.98405149999999997</v>
      </c>
      <c r="I46">
        <v>367.52460000000002</v>
      </c>
      <c r="J46">
        <v>-475.46859999999998</v>
      </c>
      <c r="K46">
        <v>1.102749</v>
      </c>
      <c r="L46">
        <v>367.52</v>
      </c>
      <c r="M46">
        <v>0.99999490000000002</v>
      </c>
      <c r="N46">
        <v>0</v>
      </c>
      <c r="O46" s="1">
        <v>-6.640502E-5</v>
      </c>
      <c r="P46">
        <v>0.99574110000000005</v>
      </c>
      <c r="Q46">
        <v>-2.7054659999999901E-3</v>
      </c>
      <c r="R46">
        <v>9.2155429999999997E-2</v>
      </c>
      <c r="S46">
        <v>3.0100099999999999</v>
      </c>
      <c r="T46">
        <v>-0.49382299999999901</v>
      </c>
      <c r="U46">
        <v>1.8737790000000001E-2</v>
      </c>
      <c r="V46">
        <v>-9.2221769999999995E-2</v>
      </c>
      <c r="W46">
        <v>-5.9083909999999998E-3</v>
      </c>
      <c r="X46">
        <v>0.99572099999999997</v>
      </c>
      <c r="Y46">
        <v>-6.2075730000000001E-3</v>
      </c>
      <c r="Z46">
        <v>5.1664419999999998E-4</v>
      </c>
      <c r="AA46">
        <v>0.9999806</v>
      </c>
      <c r="AB46">
        <v>9</v>
      </c>
      <c r="AC46">
        <v>0.64900000000000002</v>
      </c>
      <c r="AD46">
        <v>-0.1186975</v>
      </c>
      <c r="AE46">
        <v>4.6000000000390104E-3</v>
      </c>
      <c r="AF46">
        <v>-4.49282058909107E-3</v>
      </c>
      <c r="AG46">
        <v>-0.1186975</v>
      </c>
      <c r="AH46">
        <v>0.62799444876025801</v>
      </c>
      <c r="AI46">
        <v>100.70296683315</v>
      </c>
      <c r="AJ46">
        <v>90.409900543965804</v>
      </c>
      <c r="AK46">
        <v>0.63912933715860398</v>
      </c>
    </row>
    <row r="47" spans="1:37" x14ac:dyDescent="0.2">
      <c r="A47" t="str">
        <f>"20200111153406301"</f>
        <v>20200111153406301</v>
      </c>
      <c r="B47" t="str">
        <f>"1578728046296914"</f>
        <v>1578728046296914</v>
      </c>
      <c r="C47" t="s">
        <v>37</v>
      </c>
      <c r="D47">
        <v>4.4322980000000003</v>
      </c>
      <c r="E47">
        <v>0.52791940000000004</v>
      </c>
      <c r="F47" t="s">
        <v>40</v>
      </c>
      <c r="G47">
        <v>-474.73390000000001</v>
      </c>
      <c r="H47">
        <v>0.98291620000000002</v>
      </c>
      <c r="I47">
        <v>367.52440000000001</v>
      </c>
      <c r="J47">
        <v>-475.4135</v>
      </c>
      <c r="K47">
        <v>1.1027370000000001</v>
      </c>
      <c r="L47">
        <v>367.52</v>
      </c>
      <c r="M47">
        <v>0.99999490000000002</v>
      </c>
      <c r="N47">
        <v>0</v>
      </c>
      <c r="O47" s="1">
        <v>-7.3940990000000002E-5</v>
      </c>
      <c r="P47">
        <v>0.99573780000000001</v>
      </c>
      <c r="Q47">
        <v>-2.5300349999999999E-3</v>
      </c>
      <c r="R47">
        <v>9.2195849999999996E-2</v>
      </c>
      <c r="S47">
        <v>3.009674</v>
      </c>
      <c r="T47">
        <v>-0.49111549999999998</v>
      </c>
      <c r="U47">
        <v>2.0172120000000002E-2</v>
      </c>
      <c r="V47">
        <v>-9.2269799999999999E-2</v>
      </c>
      <c r="W47">
        <v>-5.7512079999999998E-3</v>
      </c>
      <c r="X47">
        <v>0.99571739999999997</v>
      </c>
      <c r="Y47">
        <v>-6.686801E-3</v>
      </c>
      <c r="Z47">
        <v>5.5396860000000005E-4</v>
      </c>
      <c r="AA47">
        <v>0.99997749999999996</v>
      </c>
      <c r="AB47">
        <v>9</v>
      </c>
      <c r="AC47">
        <v>0.67959999999999299</v>
      </c>
      <c r="AD47">
        <v>-0.11982080000000001</v>
      </c>
      <c r="AE47">
        <v>4.4000000000323702E-3</v>
      </c>
      <c r="AF47">
        <v>-4.3160884491018799E-3</v>
      </c>
      <c r="AG47">
        <v>-0.11982080000000001</v>
      </c>
      <c r="AH47">
        <v>0.65911172209216196</v>
      </c>
      <c r="AI47">
        <v>100.303141316322</v>
      </c>
      <c r="AJ47">
        <v>90.375186951205094</v>
      </c>
      <c r="AK47">
        <v>0.66992829088749095</v>
      </c>
    </row>
    <row r="48" spans="1:37" x14ac:dyDescent="0.2">
      <c r="A48" t="str">
        <f>"20200111153406314"</f>
        <v>20200111153406314</v>
      </c>
      <c r="B48" t="str">
        <f>"1578728046306674"</f>
        <v>1578728046306674</v>
      </c>
      <c r="C48" t="s">
        <v>37</v>
      </c>
      <c r="D48">
        <v>4.4495579999999997</v>
      </c>
      <c r="E48">
        <v>0.52788760000000001</v>
      </c>
      <c r="F48" t="s">
        <v>40</v>
      </c>
      <c r="G48">
        <v>-474.64760000000001</v>
      </c>
      <c r="H48">
        <v>0.97842180000000001</v>
      </c>
      <c r="I48">
        <v>367.52510000000001</v>
      </c>
      <c r="J48">
        <v>-475.35750000000002</v>
      </c>
      <c r="K48">
        <v>1.1027309999999999</v>
      </c>
      <c r="L48">
        <v>367.52</v>
      </c>
      <c r="M48">
        <v>0.99999479999999996</v>
      </c>
      <c r="N48">
        <v>0</v>
      </c>
      <c r="O48" s="1">
        <v>-8.2905509999999893E-5</v>
      </c>
      <c r="P48">
        <v>0.99578239999999996</v>
      </c>
      <c r="Q48">
        <v>-1.93701299999999E-3</v>
      </c>
      <c r="R48">
        <v>9.1727669999999997E-2</v>
      </c>
      <c r="S48">
        <v>3.009674</v>
      </c>
      <c r="T48">
        <v>-0.4886045</v>
      </c>
      <c r="U48">
        <v>2.0690920000000002E-2</v>
      </c>
      <c r="V48">
        <v>-9.1810959999999997E-2</v>
      </c>
      <c r="W48">
        <v>-5.1747829999999996E-3</v>
      </c>
      <c r="X48">
        <v>0.99576299999999995</v>
      </c>
      <c r="Y48">
        <v>-6.8665660000000002E-3</v>
      </c>
      <c r="Z48">
        <v>5.6711559999999997E-4</v>
      </c>
      <c r="AA48">
        <v>0.99997630000000004</v>
      </c>
      <c r="AB48">
        <v>10</v>
      </c>
      <c r="AC48">
        <v>0.70990000000000397</v>
      </c>
      <c r="AD48">
        <v>-0.124309199999999</v>
      </c>
      <c r="AE48">
        <v>5.1000000000271904E-3</v>
      </c>
      <c r="AF48">
        <v>-5.0053836194820104E-3</v>
      </c>
      <c r="AG48">
        <v>-0.124309199999999</v>
      </c>
      <c r="AH48">
        <v>0.68878070132717395</v>
      </c>
      <c r="AI48">
        <v>100.230189581967</v>
      </c>
      <c r="AJ48">
        <v>90.416362286970795</v>
      </c>
      <c r="AK48">
        <v>0.69992620010296203</v>
      </c>
    </row>
    <row r="49" spans="1:37" x14ac:dyDescent="0.2">
      <c r="A49" t="str">
        <f>"20200111153406326"</f>
        <v>20200111153406326</v>
      </c>
      <c r="B49" t="str">
        <f>"1578728046316434"</f>
        <v>1578728046316434</v>
      </c>
      <c r="C49" t="s">
        <v>37</v>
      </c>
      <c r="D49">
        <v>4.4786209999999897</v>
      </c>
      <c r="E49">
        <v>0.52787729999999999</v>
      </c>
      <c r="F49" t="s">
        <v>40</v>
      </c>
      <c r="G49">
        <v>-474.64339999999999</v>
      </c>
      <c r="H49">
        <v>0.98765970000000003</v>
      </c>
      <c r="I49">
        <v>367.52449999999999</v>
      </c>
      <c r="J49">
        <v>-475.30349999999999</v>
      </c>
      <c r="K49">
        <v>1.10273</v>
      </c>
      <c r="L49">
        <v>367.52</v>
      </c>
      <c r="M49">
        <v>0.99999470000000001</v>
      </c>
      <c r="N49">
        <v>0</v>
      </c>
      <c r="O49" s="1">
        <v>-9.2225049999999995E-5</v>
      </c>
      <c r="P49">
        <v>0.99582979999999999</v>
      </c>
      <c r="Q49">
        <v>-1.165155E-3</v>
      </c>
      <c r="R49">
        <v>9.1223689999999996E-2</v>
      </c>
      <c r="S49">
        <v>3.0099490000000002</v>
      </c>
      <c r="T49">
        <v>-0.485083599999999</v>
      </c>
      <c r="U49">
        <v>1.9836429999999999E-2</v>
      </c>
      <c r="V49">
        <v>-9.1315569999999999E-2</v>
      </c>
      <c r="W49">
        <v>-4.4174359999999899E-3</v>
      </c>
      <c r="X49">
        <v>0.99581219999999904</v>
      </c>
      <c r="Y49">
        <v>-6.596073E-3</v>
      </c>
      <c r="Z49">
        <v>5.4286690000000001E-4</v>
      </c>
      <c r="AA49">
        <v>0.99997809999999898</v>
      </c>
      <c r="AB49">
        <v>10</v>
      </c>
      <c r="AC49">
        <v>0.66009999999999902</v>
      </c>
      <c r="AD49">
        <v>-0.115070299999999</v>
      </c>
      <c r="AE49">
        <v>4.5000000000072699E-3</v>
      </c>
      <c r="AF49">
        <v>-4.4263741325661302E-3</v>
      </c>
      <c r="AG49">
        <v>-0.115070299999999</v>
      </c>
      <c r="AH49">
        <v>0.64063271980084202</v>
      </c>
      <c r="AI49">
        <v>100.182632327189</v>
      </c>
      <c r="AJ49">
        <v>90.395871944780097</v>
      </c>
      <c r="AK49">
        <v>0.650900183138302</v>
      </c>
    </row>
    <row r="50" spans="1:37" x14ac:dyDescent="0.2">
      <c r="A50" t="str">
        <f>"20200111153406346"</f>
        <v>20200111153406346</v>
      </c>
      <c r="B50" t="str">
        <f>"1578728046336933"</f>
        <v>1578728046336933</v>
      </c>
      <c r="C50" t="s">
        <v>37</v>
      </c>
      <c r="D50">
        <v>4.4610839999999996</v>
      </c>
      <c r="E50">
        <v>0.52787859999999998</v>
      </c>
      <c r="F50" t="s">
        <v>40</v>
      </c>
      <c r="G50">
        <v>-474.55470000000003</v>
      </c>
      <c r="H50">
        <v>0.9831723</v>
      </c>
      <c r="I50">
        <v>367.52440000000001</v>
      </c>
      <c r="J50">
        <v>-475.2131</v>
      </c>
      <c r="K50">
        <v>1.1027340000000001</v>
      </c>
      <c r="L50">
        <v>367.51990000000001</v>
      </c>
      <c r="M50">
        <v>0.99999479999999996</v>
      </c>
      <c r="N50">
        <v>0</v>
      </c>
      <c r="O50">
        <v>-1.082318E-4</v>
      </c>
      <c r="P50">
        <v>0.99595</v>
      </c>
      <c r="Q50">
        <v>6.2568110000000004E-4</v>
      </c>
      <c r="R50">
        <v>8.9909020000000006E-2</v>
      </c>
      <c r="S50">
        <v>3.0101930000000001</v>
      </c>
      <c r="T50">
        <v>-0.48085439999999902</v>
      </c>
      <c r="U50">
        <v>1.928711E-2</v>
      </c>
      <c r="V50">
        <v>-9.0017360000000005E-2</v>
      </c>
      <c r="W50">
        <v>-2.6483449999999999E-3</v>
      </c>
      <c r="X50">
        <v>0.99593670000000001</v>
      </c>
      <c r="Y50">
        <v>-6.4324450000000002E-3</v>
      </c>
      <c r="Z50">
        <v>5.2770469999999996E-4</v>
      </c>
      <c r="AA50">
        <v>0.99997919999999996</v>
      </c>
      <c r="AB50">
        <v>10</v>
      </c>
      <c r="AC50">
        <v>0.65839999999997101</v>
      </c>
      <c r="AD50">
        <v>-0.11956170000000001</v>
      </c>
      <c r="AE50">
        <v>4.5000000000072699E-3</v>
      </c>
      <c r="AF50">
        <v>-4.4253349339124903E-3</v>
      </c>
      <c r="AG50">
        <v>-0.11956170000000001</v>
      </c>
      <c r="AH50">
        <v>0.63738186966478005</v>
      </c>
      <c r="AI50">
        <v>100.62397268117201</v>
      </c>
      <c r="AJ50">
        <v>90.397797541235903</v>
      </c>
      <c r="AK50">
        <v>0.64851386374813702</v>
      </c>
    </row>
    <row r="51" spans="1:37" x14ac:dyDescent="0.2">
      <c r="A51" t="str">
        <f>"20200111153406359"</f>
        <v>20200111153406359</v>
      </c>
      <c r="B51" t="str">
        <f>"1578728046356452"</f>
        <v>1578728046356452</v>
      </c>
      <c r="C51" t="s">
        <v>37</v>
      </c>
      <c r="D51">
        <v>4.4691739999999998</v>
      </c>
      <c r="E51">
        <v>0.5277712</v>
      </c>
      <c r="F51" t="s">
        <v>40</v>
      </c>
      <c r="G51">
        <v>-474.46109999999999</v>
      </c>
      <c r="H51">
        <v>0.98458559999999995</v>
      </c>
      <c r="I51">
        <v>367.524</v>
      </c>
      <c r="J51">
        <v>-475.15300000000002</v>
      </c>
      <c r="K51">
        <v>1.102735</v>
      </c>
      <c r="L51">
        <v>367.51990000000001</v>
      </c>
      <c r="M51">
        <v>0.99999459999999996</v>
      </c>
      <c r="N51">
        <v>0</v>
      </c>
      <c r="O51">
        <v>-1.18385E-4</v>
      </c>
      <c r="P51">
        <v>0.99600820000000001</v>
      </c>
      <c r="Q51">
        <v>1.4161499999999999E-3</v>
      </c>
      <c r="R51">
        <v>8.9251319999999995E-2</v>
      </c>
      <c r="S51">
        <v>3.0110169999999998</v>
      </c>
      <c r="T51">
        <v>-0.47296640000000001</v>
      </c>
      <c r="U51">
        <v>1.6174319999999999E-2</v>
      </c>
      <c r="V51">
        <v>-8.9369729999999994E-2</v>
      </c>
      <c r="W51">
        <v>-1.8707699999999999E-3</v>
      </c>
      <c r="X51">
        <v>0.99599680000000002</v>
      </c>
      <c r="Y51">
        <v>-5.4220859999999996E-3</v>
      </c>
      <c r="Z51">
        <v>4.4173139999999998E-4</v>
      </c>
      <c r="AA51">
        <v>0.99998519999999902</v>
      </c>
      <c r="AB51">
        <v>10</v>
      </c>
      <c r="AC51">
        <v>0.69190000000003204</v>
      </c>
      <c r="AD51">
        <v>-0.1181494</v>
      </c>
      <c r="AE51">
        <v>4.0999999999939904E-3</v>
      </c>
      <c r="AF51">
        <v>-4.0634286157495599E-3</v>
      </c>
      <c r="AG51">
        <v>-0.1181494</v>
      </c>
      <c r="AH51">
        <v>0.67229653402857303</v>
      </c>
      <c r="AI51">
        <v>99.967201509711401</v>
      </c>
      <c r="AJ51">
        <v>90.3462973007952</v>
      </c>
      <c r="AK51">
        <v>0.68261147209763995</v>
      </c>
    </row>
    <row r="52" spans="1:37" x14ac:dyDescent="0.2">
      <c r="A52" t="str">
        <f>"20200111153406372"</f>
        <v>20200111153406372</v>
      </c>
      <c r="B52" t="str">
        <f>"1578728046366210"</f>
        <v>1578728046366210</v>
      </c>
      <c r="C52" t="s">
        <v>37</v>
      </c>
      <c r="D52">
        <v>4.4984699999999904</v>
      </c>
      <c r="E52">
        <v>0.52773239999999999</v>
      </c>
      <c r="F52" t="s">
        <v>40</v>
      </c>
      <c r="G52">
        <v>-474.36759999999998</v>
      </c>
      <c r="H52">
        <v>0.98071939999999902</v>
      </c>
      <c r="I52">
        <v>367.52370000000002</v>
      </c>
      <c r="J52">
        <v>-475.08909999999997</v>
      </c>
      <c r="K52">
        <v>1.1027400000000001</v>
      </c>
      <c r="L52">
        <v>367.51990000000001</v>
      </c>
      <c r="M52">
        <v>0.99999450000000001</v>
      </c>
      <c r="N52">
        <v>0</v>
      </c>
      <c r="O52">
        <v>-1.2841729999999999E-4</v>
      </c>
      <c r="P52">
        <v>0.99605359999999998</v>
      </c>
      <c r="Q52">
        <v>2.3943479999999902E-3</v>
      </c>
      <c r="R52">
        <v>8.8720839999999995E-2</v>
      </c>
      <c r="S52">
        <v>3.0112299999999999</v>
      </c>
      <c r="T52">
        <v>-0.46799659999999899</v>
      </c>
      <c r="U52">
        <v>1.580811E-2</v>
      </c>
      <c r="V52">
        <v>-8.8848839999999998E-2</v>
      </c>
      <c r="W52">
        <v>-9.0398009999999903E-4</v>
      </c>
      <c r="X52">
        <v>0.99604470000000001</v>
      </c>
      <c r="Y52">
        <v>-5.3127399999999998E-3</v>
      </c>
      <c r="Z52">
        <v>4.3021809999999999E-4</v>
      </c>
      <c r="AA52">
        <v>0.99998580000000004</v>
      </c>
      <c r="AB52">
        <v>10</v>
      </c>
      <c r="AC52">
        <v>0.72149999999999104</v>
      </c>
      <c r="AD52">
        <v>-0.12202060000000001</v>
      </c>
      <c r="AE52">
        <v>3.8000000000124601E-3</v>
      </c>
      <c r="AF52">
        <v>-3.7844154007063801E-3</v>
      </c>
      <c r="AG52">
        <v>-0.12202060000000001</v>
      </c>
      <c r="AH52">
        <v>0.70143766986633704</v>
      </c>
      <c r="AI52">
        <v>99.868158857185605</v>
      </c>
      <c r="AJ52">
        <v>90.309120732836305</v>
      </c>
      <c r="AK52">
        <v>0.71198184901849904</v>
      </c>
    </row>
    <row r="53" spans="1:37" x14ac:dyDescent="0.2">
      <c r="A53" t="str">
        <f>"20200111153406389"</f>
        <v>20200111153406389</v>
      </c>
      <c r="B53" t="str">
        <f>"1578728046386706"</f>
        <v>1578728046386706</v>
      </c>
      <c r="C53" t="s">
        <v>37</v>
      </c>
      <c r="D53">
        <v>4.5189729999999999</v>
      </c>
      <c r="E53">
        <v>0.52759180000000006</v>
      </c>
      <c r="F53" t="s">
        <v>40</v>
      </c>
      <c r="G53">
        <v>-474.36290000000002</v>
      </c>
      <c r="H53">
        <v>0.99101219999999901</v>
      </c>
      <c r="I53">
        <v>367.52300000000002</v>
      </c>
      <c r="J53">
        <v>-475.00779999999997</v>
      </c>
      <c r="K53">
        <v>1.1027420000000001</v>
      </c>
      <c r="L53">
        <v>367.51979999999998</v>
      </c>
      <c r="M53">
        <v>0.99999450000000001</v>
      </c>
      <c r="N53">
        <v>0</v>
      </c>
      <c r="O53">
        <v>-1.4083729999999999E-4</v>
      </c>
      <c r="P53">
        <v>0.99610049999999895</v>
      </c>
      <c r="Q53">
        <v>4.8976430000000001E-3</v>
      </c>
      <c r="R53">
        <v>8.8090669999999996E-2</v>
      </c>
      <c r="S53">
        <v>3.0116269999999998</v>
      </c>
      <c r="T53">
        <v>-0.46352910000000003</v>
      </c>
      <c r="U53">
        <v>1.4709470000000001E-2</v>
      </c>
      <c r="V53">
        <v>-8.8231320000000002E-2</v>
      </c>
      <c r="W53">
        <v>1.586262E-3</v>
      </c>
      <c r="X53">
        <v>0.99609879999999995</v>
      </c>
      <c r="Y53">
        <v>-4.964886E-3</v>
      </c>
      <c r="Z53">
        <v>4.013919E-4</v>
      </c>
      <c r="AA53">
        <v>0.99998759999999998</v>
      </c>
      <c r="AB53">
        <v>10</v>
      </c>
      <c r="AC53">
        <v>0.64489999999994996</v>
      </c>
      <c r="AD53">
        <v>-0.1117298</v>
      </c>
      <c r="AE53">
        <v>3.2000000000493799E-3</v>
      </c>
      <c r="AF53">
        <v>-3.1949296890471102E-3</v>
      </c>
      <c r="AG53">
        <v>-0.1117298</v>
      </c>
      <c r="AH53">
        <v>0.62610676455285397</v>
      </c>
      <c r="AI53">
        <v>100.117893091515</v>
      </c>
      <c r="AJ53">
        <v>90.2923693027155</v>
      </c>
      <c r="AK53">
        <v>0.63600584620159095</v>
      </c>
    </row>
    <row r="54" spans="1:37" x14ac:dyDescent="0.2">
      <c r="A54" t="str">
        <f>"20200111153406404"</f>
        <v>20200111153406404</v>
      </c>
      <c r="B54" t="str">
        <f>"1578728046396466"</f>
        <v>1578728046396466</v>
      </c>
      <c r="C54" t="s">
        <v>37</v>
      </c>
      <c r="D54">
        <v>4.5314639999999997</v>
      </c>
      <c r="E54">
        <v>0.52752390000000005</v>
      </c>
      <c r="F54" t="s">
        <v>40</v>
      </c>
      <c r="G54">
        <v>-474.26549999999997</v>
      </c>
      <c r="H54">
        <v>0.99077490000000001</v>
      </c>
      <c r="I54">
        <v>367.5231</v>
      </c>
      <c r="J54">
        <v>-474.9359</v>
      </c>
      <c r="K54">
        <v>1.1027439999999999</v>
      </c>
      <c r="L54">
        <v>367.51979999999998</v>
      </c>
      <c r="M54">
        <v>0.99999450000000001</v>
      </c>
      <c r="N54">
        <v>0</v>
      </c>
      <c r="O54">
        <v>-1.5134559999999901E-4</v>
      </c>
      <c r="P54">
        <v>0.99611679999999903</v>
      </c>
      <c r="Q54">
        <v>5.7229719999999998E-3</v>
      </c>
      <c r="R54">
        <v>8.7856820000000002E-2</v>
      </c>
      <c r="S54">
        <v>3.0126949999999999</v>
      </c>
      <c r="T54">
        <v>-0.4545941</v>
      </c>
      <c r="U54">
        <v>1.409912E-2</v>
      </c>
      <c r="V54">
        <v>-8.8007459999999996E-2</v>
      </c>
      <c r="W54">
        <v>2.4016520000000002E-3</v>
      </c>
      <c r="X54">
        <v>0.99611689999999997</v>
      </c>
      <c r="Y54">
        <v>-4.7754260000000001E-3</v>
      </c>
      <c r="Z54">
        <v>3.8096750000000002E-4</v>
      </c>
      <c r="AA54">
        <v>0.99998849999999995</v>
      </c>
      <c r="AB54">
        <v>11</v>
      </c>
      <c r="AC54">
        <v>0.67040000000002897</v>
      </c>
      <c r="AD54">
        <v>-0.111969099999999</v>
      </c>
      <c r="AE54">
        <v>3.30000000002428E-3</v>
      </c>
      <c r="AF54">
        <v>-3.3091555279047098E-3</v>
      </c>
      <c r="AG54">
        <v>-0.111969099999999</v>
      </c>
      <c r="AH54">
        <v>0.65220654834327696</v>
      </c>
      <c r="AI54">
        <v>99.741302716727304</v>
      </c>
      <c r="AJ54">
        <v>90.2907039480462</v>
      </c>
      <c r="AK54">
        <v>0.66175630829404997</v>
      </c>
    </row>
    <row r="55" spans="1:37" x14ac:dyDescent="0.2">
      <c r="A55" t="str">
        <f>"20200111153406418"</f>
        <v>20200111153406418</v>
      </c>
      <c r="B55" t="str">
        <f>"1578728046406226"</f>
        <v>1578728046406226</v>
      </c>
      <c r="C55" t="s">
        <v>37</v>
      </c>
      <c r="D55">
        <v>4.5235110000000001</v>
      </c>
      <c r="E55">
        <v>0.5274295</v>
      </c>
      <c r="F55" t="s">
        <v>40</v>
      </c>
      <c r="G55">
        <v>-474.16719999999998</v>
      </c>
      <c r="H55">
        <v>0.98766180000000003</v>
      </c>
      <c r="I55">
        <v>367.5231</v>
      </c>
      <c r="J55">
        <v>-474.86309999999997</v>
      </c>
      <c r="K55">
        <v>1.102741</v>
      </c>
      <c r="L55">
        <v>367.51979999999998</v>
      </c>
      <c r="M55">
        <v>0.99999450000000001</v>
      </c>
      <c r="N55">
        <v>0</v>
      </c>
      <c r="O55">
        <v>-1.6149479999999901E-4</v>
      </c>
      <c r="P55">
        <v>0.99613929999999995</v>
      </c>
      <c r="Q55">
        <v>6.4270350000000002E-3</v>
      </c>
      <c r="R55">
        <v>8.7551470000000006E-2</v>
      </c>
      <c r="S55">
        <v>3.0130309999999998</v>
      </c>
      <c r="T55">
        <v>-0.45122790000000002</v>
      </c>
      <c r="U55">
        <v>1.4190670000000001E-2</v>
      </c>
      <c r="V55">
        <v>-8.7712330000000005E-2</v>
      </c>
      <c r="W55">
        <v>3.096878E-3</v>
      </c>
      <c r="X55">
        <v>0.99614099999999905</v>
      </c>
      <c r="Y55">
        <v>-4.8157059999999899E-3</v>
      </c>
      <c r="Z55">
        <v>3.8264689999999998E-4</v>
      </c>
      <c r="AA55">
        <v>0.99998829999999905</v>
      </c>
      <c r="AB55">
        <v>11</v>
      </c>
      <c r="AC55">
        <v>0.69589999999999397</v>
      </c>
      <c r="AD55">
        <v>-0.11507919999999899</v>
      </c>
      <c r="AE55">
        <v>3.30000000002428E-3</v>
      </c>
      <c r="AF55">
        <v>-3.3215543290481199E-3</v>
      </c>
      <c r="AG55">
        <v>-0.11507919999999899</v>
      </c>
      <c r="AH55">
        <v>0.67737608428738205</v>
      </c>
      <c r="AI55">
        <v>99.641787625135393</v>
      </c>
      <c r="AJ55">
        <v>90.280951045626693</v>
      </c>
      <c r="AK55">
        <v>0.68708996103880604</v>
      </c>
    </row>
    <row r="56" spans="1:37" x14ac:dyDescent="0.2">
      <c r="A56" t="str">
        <f>"20200111153406438"</f>
        <v>20200111153406438</v>
      </c>
      <c r="B56" t="str">
        <f>"1578728046426722"</f>
        <v>1578728046426722</v>
      </c>
      <c r="C56" t="s">
        <v>37</v>
      </c>
      <c r="D56">
        <v>4.5352589999999999</v>
      </c>
      <c r="E56">
        <v>0.52728430000000004</v>
      </c>
      <c r="F56" t="s">
        <v>40</v>
      </c>
      <c r="G56">
        <v>-474.16230000000002</v>
      </c>
      <c r="H56">
        <v>0.99846800000000002</v>
      </c>
      <c r="I56">
        <v>367.52269999999999</v>
      </c>
      <c r="J56">
        <v>-474.76830000000001</v>
      </c>
      <c r="K56">
        <v>1.102733</v>
      </c>
      <c r="L56">
        <v>367.51979999999998</v>
      </c>
      <c r="M56">
        <v>0.99999450000000001</v>
      </c>
      <c r="N56">
        <v>0</v>
      </c>
      <c r="O56">
        <v>-1.7343379999999999E-4</v>
      </c>
      <c r="P56">
        <v>0.99618320000000005</v>
      </c>
      <c r="Q56">
        <v>7.675309E-3</v>
      </c>
      <c r="R56">
        <v>8.6952840000000003E-2</v>
      </c>
      <c r="S56">
        <v>3.013306</v>
      </c>
      <c r="T56">
        <v>-0.44845930000000001</v>
      </c>
      <c r="U56">
        <v>1.400757E-2</v>
      </c>
      <c r="V56">
        <v>-8.7125759999999997E-2</v>
      </c>
      <c r="W56">
        <v>4.335691E-3</v>
      </c>
      <c r="X56">
        <v>0.99618790000000002</v>
      </c>
      <c r="Y56">
        <v>-4.7675369999999996E-3</v>
      </c>
      <c r="Z56">
        <v>3.7849279999999899E-4</v>
      </c>
      <c r="AA56">
        <v>0.99998860000000001</v>
      </c>
      <c r="AB56">
        <v>11</v>
      </c>
      <c r="AC56">
        <v>0.60599999999999399</v>
      </c>
      <c r="AD56">
        <v>-0.104264999999999</v>
      </c>
      <c r="AE56">
        <v>2.9000000000110001E-3</v>
      </c>
      <c r="AF56">
        <v>-2.9187018354499199E-3</v>
      </c>
      <c r="AG56">
        <v>-0.104264999999999</v>
      </c>
      <c r="AH56">
        <v>0.58857641491364798</v>
      </c>
      <c r="AI56">
        <v>100.045482352813</v>
      </c>
      <c r="AJ56">
        <v>90.284122710051605</v>
      </c>
      <c r="AK56">
        <v>0.59774735903892295</v>
      </c>
    </row>
    <row r="57" spans="1:37" x14ac:dyDescent="0.2">
      <c r="A57" t="str">
        <f>"20200111153406461"</f>
        <v>20200111153406461</v>
      </c>
      <c r="B57" t="str">
        <f>"1578728046446242"</f>
        <v>1578728046446242</v>
      </c>
      <c r="C57" t="s">
        <v>37</v>
      </c>
      <c r="D57">
        <v>4.5617710000000002</v>
      </c>
      <c r="E57">
        <v>0.5271342</v>
      </c>
      <c r="F57" t="s">
        <v>40</v>
      </c>
      <c r="G57">
        <v>-474.06029999999998</v>
      </c>
      <c r="H57">
        <v>0.99835399999999996</v>
      </c>
      <c r="I57">
        <v>367.5224</v>
      </c>
      <c r="J57">
        <v>-474.6524</v>
      </c>
      <c r="K57">
        <v>1.1027229999999999</v>
      </c>
      <c r="L57">
        <v>367.51979999999998</v>
      </c>
      <c r="M57">
        <v>0.9999943</v>
      </c>
      <c r="N57">
        <v>0</v>
      </c>
      <c r="O57">
        <v>-1.8442139999999999E-4</v>
      </c>
      <c r="P57">
        <v>0.996278</v>
      </c>
      <c r="Q57">
        <v>8.2264079999999993E-3</v>
      </c>
      <c r="R57">
        <v>8.5804909999999998E-2</v>
      </c>
      <c r="S57">
        <v>3.0137939999999999</v>
      </c>
      <c r="T57">
        <v>-0.4445037</v>
      </c>
      <c r="U57">
        <v>1.306152E-2</v>
      </c>
      <c r="V57">
        <v>-8.5988300000000004E-2</v>
      </c>
      <c r="W57">
        <v>4.8768959999999899E-3</v>
      </c>
      <c r="X57">
        <v>0.99628419999999895</v>
      </c>
      <c r="Y57">
        <v>-4.467965E-3</v>
      </c>
      <c r="Z57">
        <v>3.5476919999999899E-4</v>
      </c>
      <c r="AA57">
        <v>0.99998989999999999</v>
      </c>
      <c r="AB57">
        <v>11</v>
      </c>
      <c r="AC57">
        <v>0.59210000000001595</v>
      </c>
      <c r="AD57">
        <v>-0.104368999999999</v>
      </c>
      <c r="AE57">
        <v>2.6000000000294598E-3</v>
      </c>
      <c r="AF57">
        <v>-2.6275576516512902E-3</v>
      </c>
      <c r="AG57">
        <v>-0.104368999999999</v>
      </c>
      <c r="AH57">
        <v>0.57425720373508304</v>
      </c>
      <c r="AI57">
        <v>100.300742381921</v>
      </c>
      <c r="AJ57">
        <v>90.262159381339799</v>
      </c>
      <c r="AK57">
        <v>0.58367039351148298</v>
      </c>
    </row>
    <row r="58" spans="1:37" x14ac:dyDescent="0.2">
      <c r="A58" t="str">
        <f>"20200111153406481"</f>
        <v>20200111153406481</v>
      </c>
      <c r="B58" t="str">
        <f>"1578728046476498"</f>
        <v>1578728046476498</v>
      </c>
      <c r="C58" t="s">
        <v>37</v>
      </c>
      <c r="D58">
        <v>4.6551210000000003</v>
      </c>
      <c r="E58">
        <v>0.52690919999999997</v>
      </c>
      <c r="F58" t="s">
        <v>40</v>
      </c>
      <c r="G58">
        <v>-473.85539999999997</v>
      </c>
      <c r="H58">
        <v>0.98562000000000005</v>
      </c>
      <c r="I58">
        <v>367.52249999999998</v>
      </c>
      <c r="J58">
        <v>-474.53800000000001</v>
      </c>
      <c r="K58">
        <v>1.1027119999999999</v>
      </c>
      <c r="L58">
        <v>367.5197</v>
      </c>
      <c r="M58">
        <v>0.99999419999999895</v>
      </c>
      <c r="N58">
        <v>0</v>
      </c>
      <c r="O58">
        <v>-1.9159489999999999E-4</v>
      </c>
      <c r="P58">
        <v>0.99637509999999996</v>
      </c>
      <c r="Q58">
        <v>8.0320500000000006E-3</v>
      </c>
      <c r="R58">
        <v>8.4688169999999993E-2</v>
      </c>
      <c r="S58">
        <v>3.013916</v>
      </c>
      <c r="T58">
        <v>-0.44285730000000001</v>
      </c>
      <c r="U58">
        <v>1.0467529999999999E-2</v>
      </c>
      <c r="V58">
        <v>-8.4879049999999998E-2</v>
      </c>
      <c r="W58">
        <v>4.6742429999999998E-3</v>
      </c>
      <c r="X58">
        <v>0.9963803</v>
      </c>
      <c r="Y58">
        <v>-3.623673E-3</v>
      </c>
      <c r="Z58">
        <v>2.9280650000000001E-4</v>
      </c>
      <c r="AA58">
        <v>0.99999340000000003</v>
      </c>
      <c r="AB58">
        <v>12</v>
      </c>
      <c r="AC58">
        <v>0.68260000000003596</v>
      </c>
      <c r="AD58">
        <v>-0.117092</v>
      </c>
      <c r="AE58">
        <v>2.7999999999792601E-3</v>
      </c>
      <c r="AF58">
        <v>-2.8470104667327298E-3</v>
      </c>
      <c r="AG58">
        <v>-0.117092</v>
      </c>
      <c r="AH58">
        <v>0.66308816698999196</v>
      </c>
      <c r="AI58">
        <v>100.01429484105699</v>
      </c>
      <c r="AJ58">
        <v>90.246001496844102</v>
      </c>
      <c r="AK58">
        <v>0.67335322018591803</v>
      </c>
    </row>
    <row r="59" spans="1:37" x14ac:dyDescent="0.2">
      <c r="A59" t="str">
        <f>"20200111153406495"</f>
        <v>20200111153406495</v>
      </c>
      <c r="B59" t="str">
        <f>"1578728046486258"</f>
        <v>1578728046486258</v>
      </c>
      <c r="C59" t="s">
        <v>37</v>
      </c>
      <c r="D59">
        <v>4.7164469999999996</v>
      </c>
      <c r="E59">
        <v>0.52702059999999995</v>
      </c>
      <c r="F59" t="s">
        <v>40</v>
      </c>
      <c r="G59">
        <v>-473.74639999999999</v>
      </c>
      <c r="H59">
        <v>0.98604639999999999</v>
      </c>
      <c r="I59">
        <v>367.52170000000001</v>
      </c>
      <c r="J59">
        <v>-474.45870000000002</v>
      </c>
      <c r="K59">
        <v>1.1027089999999999</v>
      </c>
      <c r="L59">
        <v>367.5197</v>
      </c>
      <c r="M59">
        <v>0.99999439999999995</v>
      </c>
      <c r="N59">
        <v>0</v>
      </c>
      <c r="O59">
        <v>-1.94589E-4</v>
      </c>
      <c r="P59">
        <v>0.99642469999999905</v>
      </c>
      <c r="Q59">
        <v>7.9764950000000001E-3</v>
      </c>
      <c r="R59">
        <v>8.4109050000000005E-2</v>
      </c>
      <c r="S59">
        <v>3.0137330000000002</v>
      </c>
      <c r="T59">
        <v>-0.44441989999999998</v>
      </c>
      <c r="U59">
        <v>8.8195800000000005E-3</v>
      </c>
      <c r="V59">
        <v>-8.4303219999999998E-2</v>
      </c>
      <c r="W59">
        <v>4.6141609999999899E-3</v>
      </c>
      <c r="X59">
        <v>0.99642940000000002</v>
      </c>
      <c r="Y59">
        <v>-3.0855679999999999E-3</v>
      </c>
      <c r="Z59">
        <v>2.5482329999999999E-4</v>
      </c>
      <c r="AA59">
        <v>0.99999519999999997</v>
      </c>
      <c r="AB59">
        <v>12</v>
      </c>
      <c r="AC59">
        <v>0.71230000000002702</v>
      </c>
      <c r="AD59">
        <v>-0.11666259999999901</v>
      </c>
      <c r="AE59">
        <v>2.0000000000095402E-3</v>
      </c>
      <c r="AF59">
        <v>-2.08273777805981E-3</v>
      </c>
      <c r="AG59">
        <v>-0.11666259999999901</v>
      </c>
      <c r="AH59">
        <v>0.69369156703182</v>
      </c>
      <c r="AI59">
        <v>99.546426765600202</v>
      </c>
      <c r="AJ59">
        <v>90.172024184262696</v>
      </c>
      <c r="AK59">
        <v>0.70343620194476397</v>
      </c>
    </row>
    <row r="60" spans="1:37" x14ac:dyDescent="0.2">
      <c r="A60" t="str">
        <f>"20200111153406513"</f>
        <v>20200111153406513</v>
      </c>
      <c r="B60" t="str">
        <f>"1578728046506755"</f>
        <v>1578728046506755</v>
      </c>
      <c r="C60" t="s">
        <v>37</v>
      </c>
      <c r="D60">
        <v>4.7078309999999997</v>
      </c>
      <c r="E60">
        <v>0.53950969999999998</v>
      </c>
      <c r="F60" t="s">
        <v>40</v>
      </c>
      <c r="G60">
        <v>-473.7414</v>
      </c>
      <c r="H60">
        <v>0.99703259999999905</v>
      </c>
      <c r="I60">
        <v>367.52080000000001</v>
      </c>
      <c r="J60">
        <v>-474.35950000000003</v>
      </c>
      <c r="K60">
        <v>1.1027089999999999</v>
      </c>
      <c r="L60">
        <v>367.5197</v>
      </c>
      <c r="M60">
        <v>0.99999419999999895</v>
      </c>
      <c r="N60">
        <v>0</v>
      </c>
      <c r="O60">
        <v>-1.9484480000000001E-4</v>
      </c>
      <c r="P60">
        <v>0.99652999999999903</v>
      </c>
      <c r="Q60">
        <v>8.5854750000000004E-3</v>
      </c>
      <c r="R60">
        <v>8.2789959999999996E-2</v>
      </c>
      <c r="S60">
        <v>3.0138240000000001</v>
      </c>
      <c r="T60">
        <v>-0.4441909</v>
      </c>
      <c r="U60">
        <v>5.7373049999999998E-3</v>
      </c>
      <c r="V60">
        <v>-8.2983929999999997E-2</v>
      </c>
      <c r="W60">
        <v>5.2178320000000004E-3</v>
      </c>
      <c r="X60">
        <v>0.99653719999999901</v>
      </c>
      <c r="Y60">
        <v>-2.0739959999999998E-3</v>
      </c>
      <c r="Z60">
        <v>1.805791E-4</v>
      </c>
      <c r="AA60">
        <v>0.999997899999999</v>
      </c>
      <c r="AB60">
        <v>12</v>
      </c>
      <c r="AC60">
        <v>0.61810000000002596</v>
      </c>
      <c r="AD60">
        <v>-0.1056764</v>
      </c>
      <c r="AE60">
        <v>1.1000000000080899E-3</v>
      </c>
      <c r="AF60">
        <v>-1.1857734233025E-3</v>
      </c>
      <c r="AG60">
        <v>-0.1056764</v>
      </c>
      <c r="AH60">
        <v>0.60054549201742802</v>
      </c>
      <c r="AI60">
        <v>99.979995825862702</v>
      </c>
      <c r="AJ60">
        <v>90.113130021333305</v>
      </c>
      <c r="AK60">
        <v>0.60977356088799495</v>
      </c>
    </row>
    <row r="61" spans="1:37" x14ac:dyDescent="0.2">
      <c r="A61" t="str">
        <f>"20200111153406527"</f>
        <v>20200111153406527</v>
      </c>
      <c r="B61" t="str">
        <f>"1578728046516513"</f>
        <v>1578728046516513</v>
      </c>
      <c r="C61" t="s">
        <v>37</v>
      </c>
      <c r="D61">
        <v>4.6520080000000004</v>
      </c>
      <c r="E61">
        <v>0.53950969999999998</v>
      </c>
      <c r="F61" t="s">
        <v>40</v>
      </c>
      <c r="G61">
        <v>-473.62389999999999</v>
      </c>
      <c r="H61">
        <v>1.0120979999999999</v>
      </c>
      <c r="I61">
        <v>367.49669999999998</v>
      </c>
      <c r="J61">
        <v>-474.28280000000001</v>
      </c>
      <c r="K61">
        <v>1.102711</v>
      </c>
      <c r="L61">
        <v>367.5197</v>
      </c>
      <c r="M61">
        <v>0.9999943</v>
      </c>
      <c r="N61">
        <v>0</v>
      </c>
      <c r="O61">
        <v>-1.92117E-4</v>
      </c>
      <c r="P61">
        <v>0.99658849999999999</v>
      </c>
      <c r="Q61">
        <v>9.0255679999999994E-3</v>
      </c>
      <c r="R61">
        <v>8.2037499999999999E-2</v>
      </c>
      <c r="S61">
        <v>3.0213930000000002</v>
      </c>
      <c r="T61">
        <v>-0.37231140000000001</v>
      </c>
      <c r="U61">
        <v>-9.3292239999999999E-2</v>
      </c>
      <c r="V61">
        <v>-8.2229120000000003E-2</v>
      </c>
      <c r="W61">
        <v>5.6546080000000002E-3</v>
      </c>
      <c r="X61">
        <v>0.99659739999999997</v>
      </c>
      <c r="Y61">
        <v>3.0441909999999999E-2</v>
      </c>
      <c r="Z61">
        <v>-1.8445179999999901E-3</v>
      </c>
      <c r="AA61">
        <v>0.99953479999999995</v>
      </c>
      <c r="AB61">
        <v>12</v>
      </c>
      <c r="AC61">
        <v>0.65890000000001603</v>
      </c>
      <c r="AD61">
        <v>-9.0612999999999999E-2</v>
      </c>
      <c r="AE61">
        <v>-2.3000000000024501E-2</v>
      </c>
      <c r="AF61">
        <v>2.2449362866726E-2</v>
      </c>
      <c r="AG61">
        <v>-9.0612999999999999E-2</v>
      </c>
      <c r="AH61">
        <v>0.64668898077710002</v>
      </c>
      <c r="AI61">
        <v>97.971521554448401</v>
      </c>
      <c r="AJ61">
        <v>88.011814836070798</v>
      </c>
      <c r="AK61">
        <v>0.65339216977298298</v>
      </c>
    </row>
    <row r="62" spans="1:37" x14ac:dyDescent="0.2">
      <c r="A62" t="str">
        <f>"20200111153406540"</f>
        <v>20200111153406540</v>
      </c>
      <c r="B62" t="str">
        <f>"1578728046537010"</f>
        <v>1578728046537010</v>
      </c>
      <c r="C62" t="s">
        <v>37</v>
      </c>
      <c r="D62">
        <v>4.657216</v>
      </c>
      <c r="E62">
        <v>0.54178680000000001</v>
      </c>
      <c r="F62" t="s">
        <v>40</v>
      </c>
      <c r="G62">
        <v>-473.51249999999999</v>
      </c>
      <c r="H62">
        <v>1.0082199999999999</v>
      </c>
      <c r="I62">
        <v>367.49489999999997</v>
      </c>
      <c r="J62">
        <v>-474.20569999999998</v>
      </c>
      <c r="K62">
        <v>1.102714</v>
      </c>
      <c r="L62">
        <v>367.5197</v>
      </c>
      <c r="M62">
        <v>0.99999439999999995</v>
      </c>
      <c r="N62">
        <v>0</v>
      </c>
      <c r="O62">
        <v>-1.8724400000000001E-4</v>
      </c>
      <c r="P62">
        <v>0.9966294</v>
      </c>
      <c r="Q62">
        <v>9.5391780000000006E-3</v>
      </c>
      <c r="R62">
        <v>8.1480940000000002E-2</v>
      </c>
      <c r="S62">
        <v>3.021515</v>
      </c>
      <c r="T62">
        <v>-0.37083459999999902</v>
      </c>
      <c r="U62">
        <v>-9.5703129999999997E-2</v>
      </c>
      <c r="V62">
        <v>-8.1667619999999996E-2</v>
      </c>
      <c r="W62">
        <v>6.1652919999999898E-3</v>
      </c>
      <c r="X62">
        <v>0.99664059999999899</v>
      </c>
      <c r="Y62">
        <v>3.1238109999999999E-2</v>
      </c>
      <c r="Z62">
        <v>-1.8864210000000001E-3</v>
      </c>
      <c r="AA62">
        <v>0.99951019999999902</v>
      </c>
      <c r="AB62">
        <v>12</v>
      </c>
      <c r="AC62">
        <v>0.69319999999999005</v>
      </c>
      <c r="AD62">
        <v>-9.44939999999998E-2</v>
      </c>
      <c r="AE62">
        <v>-2.4800000000027401E-2</v>
      </c>
      <c r="AF62">
        <v>2.42207085498179E-2</v>
      </c>
      <c r="AG62">
        <v>-9.44939999999998E-2</v>
      </c>
      <c r="AH62">
        <v>0.68057439586577395</v>
      </c>
      <c r="AI62">
        <v>97.899728636735901</v>
      </c>
      <c r="AJ62">
        <v>87.961782066376202</v>
      </c>
      <c r="AK62">
        <v>0.68752982994683098</v>
      </c>
    </row>
    <row r="63" spans="1:37" x14ac:dyDescent="0.2">
      <c r="A63" t="str">
        <f>"20200111153406557"</f>
        <v>20200111153406557</v>
      </c>
      <c r="B63" t="str">
        <f>"1578728046546772"</f>
        <v>1578728046546772</v>
      </c>
      <c r="C63" t="s">
        <v>37</v>
      </c>
      <c r="D63">
        <v>4.6832909999999996</v>
      </c>
      <c r="E63">
        <v>0.54131289999999999</v>
      </c>
      <c r="F63" t="s">
        <v>40</v>
      </c>
      <c r="G63">
        <v>-473.37779999999998</v>
      </c>
      <c r="H63">
        <v>1.048918</v>
      </c>
      <c r="I63">
        <v>367.49090000000001</v>
      </c>
      <c r="J63">
        <v>-474.10849999999999</v>
      </c>
      <c r="K63">
        <v>1.1027199999999999</v>
      </c>
      <c r="L63">
        <v>367.5197</v>
      </c>
      <c r="M63">
        <v>0.99999439999999995</v>
      </c>
      <c r="N63">
        <v>0</v>
      </c>
      <c r="O63">
        <v>-1.764147E-4</v>
      </c>
      <c r="P63">
        <v>0.99669289999999999</v>
      </c>
      <c r="Q63">
        <v>1.071679E-2</v>
      </c>
      <c r="R63">
        <v>8.0552940000000003E-2</v>
      </c>
      <c r="S63">
        <v>3.020508</v>
      </c>
      <c r="T63">
        <v>-0.19655829999999999</v>
      </c>
      <c r="U63">
        <v>-0.1037903</v>
      </c>
      <c r="V63">
        <v>-8.0728839999999996E-2</v>
      </c>
      <c r="W63">
        <v>7.3397139999999998E-3</v>
      </c>
      <c r="X63">
        <v>0.99670899999999996</v>
      </c>
      <c r="Y63">
        <v>3.409363E-2</v>
      </c>
      <c r="Z63">
        <v>-1.0963519999999899E-3</v>
      </c>
      <c r="AA63">
        <v>0.99941800000000003</v>
      </c>
      <c r="AB63">
        <v>13</v>
      </c>
      <c r="AC63">
        <v>0.73070000000001301</v>
      </c>
      <c r="AD63">
        <v>-5.38020000000001E-2</v>
      </c>
      <c r="AE63">
        <v>-2.8799999999989698E-2</v>
      </c>
      <c r="AF63">
        <v>2.85167292617385E-2</v>
      </c>
      <c r="AG63">
        <v>-5.38020000000001E-2</v>
      </c>
      <c r="AH63">
        <v>0.72677099953082303</v>
      </c>
      <c r="AI63">
        <v>94.230572529292601</v>
      </c>
      <c r="AJ63">
        <v>87.7530054135255</v>
      </c>
      <c r="AK63">
        <v>0.72931745132748504</v>
      </c>
    </row>
    <row r="64" spans="1:37" x14ac:dyDescent="0.2">
      <c r="A64" t="str">
        <f>"20200111153406572"</f>
        <v>20200111153406572</v>
      </c>
      <c r="B64" t="str">
        <f>"1578728046566290"</f>
        <v>1578728046566290</v>
      </c>
      <c r="C64" t="s">
        <v>37</v>
      </c>
      <c r="D64">
        <v>4.6561190000000003</v>
      </c>
      <c r="E64">
        <v>0.54064590000000001</v>
      </c>
      <c r="F64" t="s">
        <v>40</v>
      </c>
      <c r="G64">
        <v>-473.37060000000002</v>
      </c>
      <c r="H64">
        <v>1.0575829999999999</v>
      </c>
      <c r="I64">
        <v>367.49430000000001</v>
      </c>
      <c r="J64">
        <v>-474.02820000000003</v>
      </c>
      <c r="K64">
        <v>1.102725</v>
      </c>
      <c r="L64">
        <v>367.5197</v>
      </c>
      <c r="M64">
        <v>0.99999419999999895</v>
      </c>
      <c r="N64">
        <v>0</v>
      </c>
      <c r="O64">
        <v>-1.628403E-4</v>
      </c>
      <c r="P64">
        <v>0.99669159999999901</v>
      </c>
      <c r="Q64">
        <v>1.1096150000000001E-2</v>
      </c>
      <c r="R64">
        <v>8.0514719999999998E-2</v>
      </c>
      <c r="S64">
        <v>3.0202330000000002</v>
      </c>
      <c r="T64">
        <v>-0.18501099999999901</v>
      </c>
      <c r="U64">
        <v>-0.1026001</v>
      </c>
      <c r="V64">
        <v>-8.0677269999999995E-2</v>
      </c>
      <c r="W64">
        <v>7.7168810000000001E-3</v>
      </c>
      <c r="X64">
        <v>0.996710399999999</v>
      </c>
      <c r="Y64">
        <v>3.3725739999999997E-2</v>
      </c>
      <c r="Z64">
        <v>-1.0217449999999999E-3</v>
      </c>
      <c r="AA64">
        <v>0.99943059999999995</v>
      </c>
      <c r="AB64">
        <v>13</v>
      </c>
      <c r="AC64">
        <v>0.65760000000000196</v>
      </c>
      <c r="AD64">
        <v>-4.5142000000000002E-2</v>
      </c>
      <c r="AE64">
        <v>-2.53999999999905E-2</v>
      </c>
      <c r="AF64">
        <v>2.5174460993189301E-2</v>
      </c>
      <c r="AG64">
        <v>-4.5142000000000002E-2</v>
      </c>
      <c r="AH64">
        <v>0.654524371103688</v>
      </c>
      <c r="AI64">
        <v>93.942488432975196</v>
      </c>
      <c r="AJ64">
        <v>87.797362791007401</v>
      </c>
      <c r="AK64">
        <v>0.65656203516421496</v>
      </c>
    </row>
    <row r="65" spans="1:37" x14ac:dyDescent="0.2">
      <c r="A65" t="str">
        <f>"20200111153406584"</f>
        <v>20200111153406584</v>
      </c>
      <c r="B65" t="str">
        <f>"1578728046577026"</f>
        <v>1578728046577026</v>
      </c>
      <c r="C65" t="s">
        <v>37</v>
      </c>
      <c r="D65">
        <v>4.6925330000000001</v>
      </c>
      <c r="E65">
        <v>0.54058809999999902</v>
      </c>
      <c r="F65" t="s">
        <v>40</v>
      </c>
      <c r="G65">
        <v>-473.2534</v>
      </c>
      <c r="H65">
        <v>1.05698799999999</v>
      </c>
      <c r="I65">
        <v>367.49439999999998</v>
      </c>
      <c r="J65">
        <v>-473.9495</v>
      </c>
      <c r="K65">
        <v>1.102725</v>
      </c>
      <c r="L65">
        <v>367.5197</v>
      </c>
      <c r="M65">
        <v>0.99999439999999995</v>
      </c>
      <c r="N65">
        <v>0</v>
      </c>
      <c r="O65">
        <v>-1.473619E-4</v>
      </c>
      <c r="P65">
        <v>0.99666279999999996</v>
      </c>
      <c r="Q65">
        <v>1.2119609999999999E-2</v>
      </c>
      <c r="R65">
        <v>8.0725309999999995E-2</v>
      </c>
      <c r="S65">
        <v>3.0197750000000001</v>
      </c>
      <c r="T65">
        <v>-0.17861759999999999</v>
      </c>
      <c r="U65">
        <v>-9.7015379999999998E-2</v>
      </c>
      <c r="V65">
        <v>-8.0872410000000006E-2</v>
      </c>
      <c r="W65">
        <v>8.7368009999999902E-3</v>
      </c>
      <c r="X65">
        <v>0.99668619999999997</v>
      </c>
      <c r="Y65">
        <v>3.1907379999999999E-2</v>
      </c>
      <c r="Z65">
        <v>-9.3387669999999996E-4</v>
      </c>
      <c r="AA65">
        <v>0.9994904</v>
      </c>
      <c r="AB65">
        <v>13</v>
      </c>
      <c r="AC65">
        <v>0.69610000000000105</v>
      </c>
      <c r="AD65">
        <v>-4.5737000000000097E-2</v>
      </c>
      <c r="AE65">
        <v>-2.5300000000015602E-2</v>
      </c>
      <c r="AF65">
        <v>2.5089250626929401E-2</v>
      </c>
      <c r="AG65">
        <v>-4.5737000000000097E-2</v>
      </c>
      <c r="AH65">
        <v>0.69311541982268798</v>
      </c>
      <c r="AI65">
        <v>93.7728718913216</v>
      </c>
      <c r="AJ65">
        <v>87.926924177668198</v>
      </c>
      <c r="AK65">
        <v>0.69507577202921</v>
      </c>
    </row>
    <row r="66" spans="1:37" x14ac:dyDescent="0.2">
      <c r="A66" t="str">
        <f>"20200111153406603"</f>
        <v>20200111153406603</v>
      </c>
      <c r="B66" t="str">
        <f>"1578728046596546"</f>
        <v>1578728046596546</v>
      </c>
      <c r="C66" t="s">
        <v>37</v>
      </c>
      <c r="D66">
        <v>4.681451</v>
      </c>
      <c r="E66">
        <v>0.54036519999999899</v>
      </c>
      <c r="F66" t="s">
        <v>40</v>
      </c>
      <c r="G66">
        <v>-473.1345</v>
      </c>
      <c r="H66">
        <v>1.0556179999999999</v>
      </c>
      <c r="I66">
        <v>367.49369999999999</v>
      </c>
      <c r="J66">
        <v>-473.834</v>
      </c>
      <c r="K66">
        <v>1.102733</v>
      </c>
      <c r="L66">
        <v>367.5197</v>
      </c>
      <c r="M66">
        <v>0.99999419999999895</v>
      </c>
      <c r="N66">
        <v>0</v>
      </c>
      <c r="O66">
        <v>-1.1783919999999999E-4</v>
      </c>
      <c r="P66">
        <v>0.99656840000000002</v>
      </c>
      <c r="Q66">
        <v>1.323302E-2</v>
      </c>
      <c r="R66">
        <v>8.1708950000000002E-2</v>
      </c>
      <c r="S66">
        <v>3.0199579999999999</v>
      </c>
      <c r="T66">
        <v>-0.17465810000000001</v>
      </c>
      <c r="U66">
        <v>-9.6221920000000002E-2</v>
      </c>
      <c r="V66">
        <v>-8.1826309999999999E-2</v>
      </c>
      <c r="W66">
        <v>9.8372939999999999E-3</v>
      </c>
      <c r="X66">
        <v>0.99659809999999904</v>
      </c>
      <c r="Y66">
        <v>3.1675380000000003E-2</v>
      </c>
      <c r="Z66">
        <v>-9.0816249999999996E-4</v>
      </c>
      <c r="AA66">
        <v>0.99949779999999999</v>
      </c>
      <c r="AB66">
        <v>13</v>
      </c>
      <c r="AC66">
        <v>0.69950000000000001</v>
      </c>
      <c r="AD66">
        <v>-4.7114999999999997E-2</v>
      </c>
      <c r="AE66">
        <v>-2.60000000000104E-2</v>
      </c>
      <c r="AF66">
        <v>2.58006815801207E-2</v>
      </c>
      <c r="AG66">
        <v>-4.7114999999999997E-2</v>
      </c>
      <c r="AH66">
        <v>0.69634827327439297</v>
      </c>
      <c r="AI66">
        <v>93.868093172211502</v>
      </c>
      <c r="AJ66">
        <v>87.878081533643297</v>
      </c>
      <c r="AK66">
        <v>0.69841707889142302</v>
      </c>
    </row>
    <row r="67" spans="1:37" x14ac:dyDescent="0.2">
      <c r="A67" t="str">
        <f>"20200111153406616"</f>
        <v>20200111153406616</v>
      </c>
      <c r="B67" t="str">
        <f>"1578728046606306"</f>
        <v>1578728046606306</v>
      </c>
      <c r="C67" t="s">
        <v>37</v>
      </c>
      <c r="D67">
        <v>4.6547190000000001</v>
      </c>
      <c r="E67">
        <v>0.54031370000000001</v>
      </c>
      <c r="F67" t="s">
        <v>40</v>
      </c>
      <c r="G67">
        <v>-473.01199999999898</v>
      </c>
      <c r="H67">
        <v>1.05567099999999</v>
      </c>
      <c r="I67">
        <v>367.49419999999998</v>
      </c>
      <c r="J67">
        <v>-473.75459999999998</v>
      </c>
      <c r="K67">
        <v>1.102733</v>
      </c>
      <c r="L67">
        <v>367.5197</v>
      </c>
      <c r="M67">
        <v>0.9999943</v>
      </c>
      <c r="N67">
        <v>0</v>
      </c>
      <c r="O67" s="1">
        <v>-9.391949E-5</v>
      </c>
      <c r="P67">
        <v>0.9964944</v>
      </c>
      <c r="Q67">
        <v>1.391063E-2</v>
      </c>
      <c r="R67">
        <v>8.2497459999999995E-2</v>
      </c>
      <c r="S67">
        <v>3.0201419999999999</v>
      </c>
      <c r="T67">
        <v>-0.17327319999999999</v>
      </c>
      <c r="U67">
        <v>-9.1674800000000001E-2</v>
      </c>
      <c r="V67">
        <v>-8.2591330000000004E-2</v>
      </c>
      <c r="W67">
        <v>1.0498149999999999E-2</v>
      </c>
      <c r="X67">
        <v>0.99652819999999998</v>
      </c>
      <c r="Y67">
        <v>3.0197160000000001E-2</v>
      </c>
      <c r="Z67">
        <v>-8.5995069999999997E-4</v>
      </c>
      <c r="AA67">
        <v>0.99954359999999998</v>
      </c>
      <c r="AB67">
        <v>13</v>
      </c>
      <c r="AC67">
        <v>0.74260000000003801</v>
      </c>
      <c r="AD67">
        <v>-4.7062000000000097E-2</v>
      </c>
      <c r="AE67">
        <v>-2.5500000000022199E-2</v>
      </c>
      <c r="AF67">
        <v>2.5328646141342798E-2</v>
      </c>
      <c r="AG67">
        <v>-4.7062000000000097E-2</v>
      </c>
      <c r="AH67">
        <v>0.739635260977905</v>
      </c>
      <c r="AI67">
        <v>93.638618457331106</v>
      </c>
      <c r="AJ67">
        <v>88.038685127657203</v>
      </c>
      <c r="AK67">
        <v>0.74156367996363404</v>
      </c>
    </row>
    <row r="68" spans="1:37" x14ac:dyDescent="0.2">
      <c r="A68" t="str">
        <f>"20200111153406629"</f>
        <v>20200111153406629</v>
      </c>
      <c r="B68" t="str">
        <f>"1578728046617042"</f>
        <v>1578728046617042</v>
      </c>
      <c r="C68" t="s">
        <v>37</v>
      </c>
      <c r="D68">
        <v>4.6832000000000003</v>
      </c>
      <c r="E68">
        <v>0.54037080000000004</v>
      </c>
      <c r="F68" t="s">
        <v>39</v>
      </c>
      <c r="G68">
        <v>-454.5317</v>
      </c>
      <c r="H68" s="1">
        <v>-2.80051E-6</v>
      </c>
      <c r="I68">
        <v>366.95359999999999</v>
      </c>
      <c r="J68">
        <v>-473.67869999999999</v>
      </c>
      <c r="K68">
        <v>1.1027309999999999</v>
      </c>
      <c r="L68">
        <v>367.5197</v>
      </c>
      <c r="M68">
        <v>0.999994099999999</v>
      </c>
      <c r="N68">
        <v>0</v>
      </c>
      <c r="O68" s="1">
        <v>-6.6320709999999997E-5</v>
      </c>
      <c r="P68">
        <v>0.99641859999999904</v>
      </c>
      <c r="Q68">
        <v>1.414903E-2</v>
      </c>
      <c r="R68">
        <v>8.3366380000000004E-2</v>
      </c>
      <c r="S68">
        <v>3.0202939999999998</v>
      </c>
      <c r="T68">
        <v>-0.17326069999999999</v>
      </c>
      <c r="U68">
        <v>-8.8928220000000002E-2</v>
      </c>
      <c r="V68">
        <v>-8.343312E-2</v>
      </c>
      <c r="W68">
        <v>1.071034E-2</v>
      </c>
      <c r="X68">
        <v>0.9964558</v>
      </c>
      <c r="Y68">
        <v>2.9316470000000001E-2</v>
      </c>
      <c r="Z68">
        <v>-8.3620440000000003E-4</v>
      </c>
      <c r="AA68">
        <v>0.99956979999999995</v>
      </c>
      <c r="AB68">
        <v>13</v>
      </c>
      <c r="AC68">
        <v>19.146999999999899</v>
      </c>
      <c r="AD68">
        <v>-1.10273380050999</v>
      </c>
      <c r="AE68">
        <v>-0.56610000000000504</v>
      </c>
      <c r="AF68">
        <v>0.56296445040717802</v>
      </c>
      <c r="AG68">
        <v>-1.10273380050999</v>
      </c>
      <c r="AH68">
        <v>19.083792659631602</v>
      </c>
      <c r="AI68">
        <v>93.305654777466899</v>
      </c>
      <c r="AJ68">
        <v>88.310286851801806</v>
      </c>
      <c r="AK68">
        <v>19.123914167424498</v>
      </c>
    </row>
    <row r="69" spans="1:37" x14ac:dyDescent="0.2">
      <c r="A69" t="str">
        <f>"20200111153406647"</f>
        <v>20200111153406647</v>
      </c>
      <c r="B69" t="str">
        <f>"1578728046636561"</f>
        <v>1578728046636561</v>
      </c>
      <c r="C69" t="s">
        <v>37</v>
      </c>
      <c r="D69">
        <v>4.6709899999999998</v>
      </c>
      <c r="E69">
        <v>0.54032559999999996</v>
      </c>
      <c r="F69" t="s">
        <v>40</v>
      </c>
      <c r="G69">
        <v>-472.88560000000001</v>
      </c>
      <c r="H69">
        <v>1.0572409999999901</v>
      </c>
      <c r="I69">
        <v>367.49689999999998</v>
      </c>
      <c r="J69">
        <v>-473.56199999999899</v>
      </c>
      <c r="K69">
        <v>1.1027260000000001</v>
      </c>
      <c r="L69">
        <v>367.51979999999998</v>
      </c>
      <c r="M69">
        <v>0.99999389999999999</v>
      </c>
      <c r="N69">
        <v>0</v>
      </c>
      <c r="O69" s="1">
        <v>-1.839617E-5</v>
      </c>
      <c r="P69">
        <v>0.99625620000000004</v>
      </c>
      <c r="Q69">
        <v>1.4411510000000001E-2</v>
      </c>
      <c r="R69">
        <v>8.5240490000000002E-2</v>
      </c>
      <c r="S69">
        <v>3.020508</v>
      </c>
      <c r="T69">
        <v>-0.17337720000000001</v>
      </c>
      <c r="U69">
        <v>-8.6791989999999999E-2</v>
      </c>
      <c r="V69">
        <v>-8.5259249999999995E-2</v>
      </c>
      <c r="W69">
        <v>1.0919180000000001E-2</v>
      </c>
      <c r="X69">
        <v>0.99629899999999905</v>
      </c>
      <c r="Y69">
        <v>2.8656890000000001E-2</v>
      </c>
      <c r="Z69">
        <v>-8.2055249999999995E-4</v>
      </c>
      <c r="AA69">
        <v>0.99958899999999995</v>
      </c>
      <c r="AB69">
        <v>14</v>
      </c>
      <c r="AC69">
        <v>0.67639999999994405</v>
      </c>
      <c r="AD69">
        <v>-4.5485000000000199E-2</v>
      </c>
      <c r="AE69">
        <v>-2.2899999999992801E-2</v>
      </c>
      <c r="AF69">
        <v>2.2784642878641102E-2</v>
      </c>
      <c r="AG69">
        <v>-4.5485000000000199E-2</v>
      </c>
      <c r="AH69">
        <v>0.673358987456949</v>
      </c>
      <c r="AI69">
        <v>93.862221627353094</v>
      </c>
      <c r="AJ69">
        <v>88.062005549209601</v>
      </c>
      <c r="AK69">
        <v>0.67527798066067202</v>
      </c>
    </row>
    <row r="70" spans="1:37" x14ac:dyDescent="0.2">
      <c r="A70" t="str">
        <f>"20200111153406660"</f>
        <v>20200111153406660</v>
      </c>
      <c r="B70" t="str">
        <f>"1578728046657058"</f>
        <v>1578728046657058</v>
      </c>
      <c r="C70" t="s">
        <v>37</v>
      </c>
      <c r="D70">
        <v>4.6776599999999897</v>
      </c>
      <c r="E70">
        <v>0.54029769999999999</v>
      </c>
      <c r="F70" t="s">
        <v>40</v>
      </c>
      <c r="G70">
        <v>-472.75909999999999</v>
      </c>
      <c r="H70">
        <v>1.0563400000000001</v>
      </c>
      <c r="I70">
        <v>367.49779999999998</v>
      </c>
      <c r="J70">
        <v>-473.4812</v>
      </c>
      <c r="K70">
        <v>1.1027180000000001</v>
      </c>
      <c r="L70">
        <v>367.51979999999998</v>
      </c>
      <c r="M70">
        <v>0.99999389999999999</v>
      </c>
      <c r="N70">
        <v>0</v>
      </c>
      <c r="O70" s="1">
        <v>1.8218870000000001E-5</v>
      </c>
      <c r="P70">
        <v>0.996174</v>
      </c>
      <c r="Q70">
        <v>1.4500610000000001E-2</v>
      </c>
      <c r="R70">
        <v>8.6183709999999997E-2</v>
      </c>
      <c r="S70">
        <v>3.020721</v>
      </c>
      <c r="T70">
        <v>-0.1748797</v>
      </c>
      <c r="U70">
        <v>-8.1054689999999999E-2</v>
      </c>
      <c r="V70">
        <v>-8.6166099999999995E-2</v>
      </c>
      <c r="W70">
        <v>1.0960660000000001E-2</v>
      </c>
      <c r="X70">
        <v>0.99622049999999995</v>
      </c>
      <c r="Y70">
        <v>2.679658E-2</v>
      </c>
      <c r="Z70">
        <v>-7.75938E-4</v>
      </c>
      <c r="AA70">
        <v>0.99964059999999899</v>
      </c>
      <c r="AB70">
        <v>14</v>
      </c>
      <c r="AC70">
        <v>0.72210000000001096</v>
      </c>
      <c r="AD70">
        <v>-4.6378000000000003E-2</v>
      </c>
      <c r="AE70">
        <v>-2.1999999999991301E-2</v>
      </c>
      <c r="AF70">
        <v>2.1922807084678399E-2</v>
      </c>
      <c r="AG70">
        <v>-4.6378000000000003E-2</v>
      </c>
      <c r="AH70">
        <v>0.71913587773703203</v>
      </c>
      <c r="AI70">
        <v>93.688260000241101</v>
      </c>
      <c r="AJ70">
        <v>88.253882929909594</v>
      </c>
      <c r="AK70">
        <v>0.72096320225312704</v>
      </c>
    </row>
    <row r="71" spans="1:37" x14ac:dyDescent="0.2">
      <c r="A71" t="str">
        <f>"20200111153406672"</f>
        <v>20200111153406672</v>
      </c>
      <c r="B71" t="str">
        <f>"1578728046666819"</f>
        <v>1578728046666819</v>
      </c>
      <c r="C71" t="s">
        <v>37</v>
      </c>
      <c r="D71">
        <v>4.6625239999999897</v>
      </c>
      <c r="E71">
        <v>0.54023379999999999</v>
      </c>
      <c r="F71" t="s">
        <v>40</v>
      </c>
      <c r="G71">
        <v>-472.63199999999898</v>
      </c>
      <c r="H71">
        <v>1.0533669999999999</v>
      </c>
      <c r="I71">
        <v>367.49770000000001</v>
      </c>
      <c r="J71">
        <v>-473.39280000000002</v>
      </c>
      <c r="K71">
        <v>1.1027069999999899</v>
      </c>
      <c r="L71">
        <v>367.51979999999998</v>
      </c>
      <c r="M71">
        <v>0.99999349999999998</v>
      </c>
      <c r="N71">
        <v>0</v>
      </c>
      <c r="O71" s="1">
        <v>6.5106739999999994E-5</v>
      </c>
      <c r="P71">
        <v>0.99608469999999905</v>
      </c>
      <c r="Q71">
        <v>1.450195E-2</v>
      </c>
      <c r="R71">
        <v>8.7207729999999997E-2</v>
      </c>
      <c r="S71">
        <v>3.0208439999999999</v>
      </c>
      <c r="T71">
        <v>-0.17574229999999999</v>
      </c>
      <c r="U71">
        <v>-7.7728270000000002E-2</v>
      </c>
      <c r="V71">
        <v>-8.7143739999999997E-2</v>
      </c>
      <c r="W71">
        <v>1.0896289999999999E-2</v>
      </c>
      <c r="X71">
        <v>0.99613609999999897</v>
      </c>
      <c r="Y71">
        <v>2.5743619999999998E-2</v>
      </c>
      <c r="Z71">
        <v>-7.5186559999999999E-4</v>
      </c>
      <c r="AA71">
        <v>0.99966829999999995</v>
      </c>
      <c r="AB71">
        <v>14</v>
      </c>
      <c r="AC71">
        <v>0.76080000000007397</v>
      </c>
      <c r="AD71">
        <v>-4.9339999999999898E-2</v>
      </c>
      <c r="AE71">
        <v>-2.2099999999966199E-2</v>
      </c>
      <c r="AF71">
        <v>2.2056843173512499E-2</v>
      </c>
      <c r="AG71">
        <v>-4.9339999999999898E-2</v>
      </c>
      <c r="AH71">
        <v>0.75761480606335996</v>
      </c>
      <c r="AI71">
        <v>93.724577348187196</v>
      </c>
      <c r="AJ71">
        <v>88.332388517139506</v>
      </c>
      <c r="AK71">
        <v>0.75954008077072799</v>
      </c>
    </row>
    <row r="72" spans="1:37" x14ac:dyDescent="0.2">
      <c r="A72" t="str">
        <f>"20200111153406692"</f>
        <v>20200111153406692</v>
      </c>
      <c r="B72" t="str">
        <f>"1578728046686338"</f>
        <v>1578728046686338</v>
      </c>
      <c r="C72" t="s">
        <v>37</v>
      </c>
      <c r="D72">
        <v>4.6584469999999998</v>
      </c>
      <c r="E72">
        <v>0.54015429999999998</v>
      </c>
      <c r="F72" t="s">
        <v>40</v>
      </c>
      <c r="G72">
        <v>-472.6234</v>
      </c>
      <c r="H72">
        <v>1.057715</v>
      </c>
      <c r="I72">
        <v>367.50060000000002</v>
      </c>
      <c r="J72">
        <v>-473.27339999999998</v>
      </c>
      <c r="K72">
        <v>1.1026899999999999</v>
      </c>
      <c r="L72">
        <v>367.51990000000001</v>
      </c>
      <c r="M72">
        <v>0.99999309999999997</v>
      </c>
      <c r="N72">
        <v>0</v>
      </c>
      <c r="O72">
        <v>1.3570619999999999E-4</v>
      </c>
      <c r="P72">
        <v>0.99595619999999996</v>
      </c>
      <c r="Q72">
        <v>1.4377269999999999E-2</v>
      </c>
      <c r="R72">
        <v>8.8682990000000003E-2</v>
      </c>
      <c r="S72">
        <v>3.0208740000000001</v>
      </c>
      <c r="T72">
        <v>-0.17684629999999901</v>
      </c>
      <c r="U72">
        <v>-7.4249270000000006E-2</v>
      </c>
      <c r="V72">
        <v>-8.8548879999999996E-2</v>
      </c>
      <c r="W72">
        <v>1.0674100000000001E-2</v>
      </c>
      <c r="X72">
        <v>0.99601469999999903</v>
      </c>
      <c r="Y72">
        <v>2.466455E-2</v>
      </c>
      <c r="Z72">
        <v>-7.2915950000000001E-4</v>
      </c>
      <c r="AA72">
        <v>0.99969549999999996</v>
      </c>
      <c r="AB72">
        <v>14</v>
      </c>
      <c r="AC72">
        <v>0.64999999999997704</v>
      </c>
      <c r="AD72">
        <v>-4.4974999999999897E-2</v>
      </c>
      <c r="AE72">
        <v>-1.9299999999987001E-2</v>
      </c>
      <c r="AF72">
        <v>1.9295910208302701E-2</v>
      </c>
      <c r="AG72">
        <v>-4.4974999999999897E-2</v>
      </c>
      <c r="AH72">
        <v>0.64690300601891304</v>
      </c>
      <c r="AI72">
        <v>93.975244794741698</v>
      </c>
      <c r="AJ72">
        <v>88.291480332479594</v>
      </c>
      <c r="AK72">
        <v>0.64875155643132998</v>
      </c>
    </row>
    <row r="73" spans="1:37" x14ac:dyDescent="0.2">
      <c r="A73" t="str">
        <f>"20200111153406704"</f>
        <v>20200111153406704</v>
      </c>
      <c r="B73" t="str">
        <f>"1578728046697074"</f>
        <v>1578728046697074</v>
      </c>
      <c r="C73" t="s">
        <v>37</v>
      </c>
      <c r="D73">
        <v>4.6750569999999998</v>
      </c>
      <c r="E73">
        <v>0.54013230000000001</v>
      </c>
      <c r="F73" t="s">
        <v>40</v>
      </c>
      <c r="G73">
        <v>-472.49639999999999</v>
      </c>
      <c r="H73">
        <v>1.056805</v>
      </c>
      <c r="I73">
        <v>367.5018</v>
      </c>
      <c r="J73">
        <v>-473.18790000000001</v>
      </c>
      <c r="K73">
        <v>1.102678</v>
      </c>
      <c r="L73">
        <v>367.52</v>
      </c>
      <c r="M73">
        <v>0.99999300000000002</v>
      </c>
      <c r="N73">
        <v>0</v>
      </c>
      <c r="O73">
        <v>1.915222E-4</v>
      </c>
      <c r="P73">
        <v>0.99590769999999995</v>
      </c>
      <c r="Q73">
        <v>1.410578E-2</v>
      </c>
      <c r="R73">
        <v>8.9270429999999998E-2</v>
      </c>
      <c r="S73">
        <v>3.020966</v>
      </c>
      <c r="T73">
        <v>-0.17859800000000001</v>
      </c>
      <c r="U73">
        <v>-6.9519040000000004E-2</v>
      </c>
      <c r="V73">
        <v>-8.9080640000000003E-2</v>
      </c>
      <c r="W73">
        <v>1.0334609999999999E-2</v>
      </c>
      <c r="X73">
        <v>0.99597080000000004</v>
      </c>
      <c r="Y73">
        <v>2.315683E-2</v>
      </c>
      <c r="Z73">
        <v>-6.9513449999999998E-4</v>
      </c>
      <c r="AA73">
        <v>0.99973159999999905</v>
      </c>
      <c r="AB73">
        <v>15</v>
      </c>
      <c r="AC73">
        <v>0.69150000000001899</v>
      </c>
      <c r="AD73">
        <v>-4.5872999999999997E-2</v>
      </c>
      <c r="AE73">
        <v>-1.81999999999789E-2</v>
      </c>
      <c r="AF73">
        <v>1.8252169963193399E-2</v>
      </c>
      <c r="AG73">
        <v>-4.5872999999999997E-2</v>
      </c>
      <c r="AH73">
        <v>0.68846879742286005</v>
      </c>
      <c r="AI73">
        <v>93.8106751491719</v>
      </c>
      <c r="AJ73">
        <v>88.481372856360693</v>
      </c>
      <c r="AK73">
        <v>0.69023674117091505</v>
      </c>
    </row>
    <row r="74" spans="1:37" x14ac:dyDescent="0.2">
      <c r="A74" t="str">
        <f>"20200111153406716"</f>
        <v>20200111153406716</v>
      </c>
      <c r="B74" t="str">
        <f>"1578728046706834"</f>
        <v>1578728046706834</v>
      </c>
      <c r="C74" t="s">
        <v>37</v>
      </c>
      <c r="D74">
        <v>4.6363260000000004</v>
      </c>
      <c r="E74">
        <v>0.5402479</v>
      </c>
      <c r="F74" t="s">
        <v>40</v>
      </c>
      <c r="G74">
        <v>-472.36450000000002</v>
      </c>
      <c r="H74">
        <v>1.05367099999999</v>
      </c>
      <c r="I74">
        <v>367.50150000000002</v>
      </c>
      <c r="J74">
        <v>-473.10169999999999</v>
      </c>
      <c r="K74">
        <v>1.1026689999999999</v>
      </c>
      <c r="L74">
        <v>367.52010000000001</v>
      </c>
      <c r="M74">
        <v>0.99999259999999901</v>
      </c>
      <c r="N74">
        <v>0</v>
      </c>
      <c r="O74">
        <v>2.5187179999999998E-4</v>
      </c>
      <c r="P74">
        <v>0.99586980000000003</v>
      </c>
      <c r="Q74">
        <v>1.3613409999999999E-2</v>
      </c>
      <c r="R74">
        <v>8.97675E-2</v>
      </c>
      <c r="S74">
        <v>3.020905</v>
      </c>
      <c r="T74">
        <v>-0.17984339999999999</v>
      </c>
      <c r="U74">
        <v>-6.7718509999999996E-2</v>
      </c>
      <c r="V74">
        <v>-8.9517600000000003E-2</v>
      </c>
      <c r="W74">
        <v>9.7786460000000002E-3</v>
      </c>
      <c r="X74">
        <v>0.99593719999999997</v>
      </c>
      <c r="Y74">
        <v>2.2622340000000001E-2</v>
      </c>
      <c r="Z74">
        <v>-6.8768729999999997E-4</v>
      </c>
      <c r="AA74">
        <v>0.99974379999999996</v>
      </c>
      <c r="AB74">
        <v>15</v>
      </c>
      <c r="AC74">
        <v>0.73719999999997299</v>
      </c>
      <c r="AD74">
        <v>-4.8998000000000298E-2</v>
      </c>
      <c r="AE74">
        <v>-1.8599999999992099E-2</v>
      </c>
      <c r="AF74">
        <v>1.87031104351408E-2</v>
      </c>
      <c r="AG74">
        <v>-4.8998000000000298E-2</v>
      </c>
      <c r="AH74">
        <v>0.73395503719147903</v>
      </c>
      <c r="AI74">
        <v>93.818097795562906</v>
      </c>
      <c r="AJ74">
        <v>88.540268309891502</v>
      </c>
      <c r="AK74">
        <v>0.73582647884042196</v>
      </c>
    </row>
    <row r="75" spans="1:37" x14ac:dyDescent="0.2">
      <c r="A75" t="str">
        <f>"20200111153406729"</f>
        <v>20200111153406729</v>
      </c>
      <c r="B75" t="str">
        <f>"1578728046726354"</f>
        <v>1578728046726354</v>
      </c>
      <c r="C75" t="s">
        <v>37</v>
      </c>
      <c r="D75">
        <v>4.6606809999999896</v>
      </c>
      <c r="E75">
        <v>0.54041300000000003</v>
      </c>
      <c r="F75" t="s">
        <v>40</v>
      </c>
      <c r="G75">
        <v>-472.35129999999998</v>
      </c>
      <c r="H75">
        <v>1.057517</v>
      </c>
      <c r="I75">
        <v>367.5034</v>
      </c>
      <c r="J75">
        <v>-473.02179999999998</v>
      </c>
      <c r="K75">
        <v>1.10266</v>
      </c>
      <c r="L75">
        <v>367.52010000000001</v>
      </c>
      <c r="M75">
        <v>0.99999249999999995</v>
      </c>
      <c r="N75">
        <v>0</v>
      </c>
      <c r="O75">
        <v>3.1227559999999998E-4</v>
      </c>
      <c r="P75">
        <v>0.99586799999999998</v>
      </c>
      <c r="Q75">
        <v>1.3274889999999999E-2</v>
      </c>
      <c r="R75">
        <v>8.9838070000000006E-2</v>
      </c>
      <c r="S75">
        <v>3.020966</v>
      </c>
      <c r="T75">
        <v>-0.181843</v>
      </c>
      <c r="U75">
        <v>-6.7047120000000002E-2</v>
      </c>
      <c r="V75">
        <v>-8.9528350000000007E-2</v>
      </c>
      <c r="W75">
        <v>9.4029149999999995E-3</v>
      </c>
      <c r="X75">
        <v>0.99593989999999999</v>
      </c>
      <c r="Y75">
        <v>2.245948E-2</v>
      </c>
      <c r="Z75">
        <v>-6.9404269999999999E-4</v>
      </c>
      <c r="AA75">
        <v>0.99974750000000001</v>
      </c>
      <c r="AB75">
        <v>15</v>
      </c>
      <c r="AC75">
        <v>0.67050000000000398</v>
      </c>
      <c r="AD75">
        <v>-4.5142999999999898E-2</v>
      </c>
      <c r="AE75">
        <v>-1.6700000000014301E-2</v>
      </c>
      <c r="AF75">
        <v>1.6833124717496699E-2</v>
      </c>
      <c r="AG75">
        <v>-4.5142999999999898E-2</v>
      </c>
      <c r="AH75">
        <v>0.66747099907165997</v>
      </c>
      <c r="AI75">
        <v>93.867961368653894</v>
      </c>
      <c r="AJ75">
        <v>88.555349054720295</v>
      </c>
      <c r="AK75">
        <v>0.66920757552382404</v>
      </c>
    </row>
    <row r="76" spans="1:37" x14ac:dyDescent="0.2">
      <c r="A76" t="str">
        <f>"20200111153406746"</f>
        <v>20200111153406746</v>
      </c>
      <c r="B76" t="str">
        <f>"1578728046737093"</f>
        <v>1578728046737093</v>
      </c>
      <c r="C76" t="s">
        <v>37</v>
      </c>
      <c r="D76">
        <v>4.639589</v>
      </c>
      <c r="E76">
        <v>0.54042270000000003</v>
      </c>
      <c r="F76" t="s">
        <v>40</v>
      </c>
      <c r="G76">
        <v>-472.2269</v>
      </c>
      <c r="H76">
        <v>1.054508</v>
      </c>
      <c r="I76">
        <v>367.50189999999998</v>
      </c>
      <c r="J76">
        <v>-472.9</v>
      </c>
      <c r="K76">
        <v>1.102657</v>
      </c>
      <c r="L76">
        <v>367.52030000000002</v>
      </c>
      <c r="M76">
        <v>0.9999924</v>
      </c>
      <c r="N76">
        <v>0</v>
      </c>
      <c r="O76">
        <v>4.0743300000000001E-4</v>
      </c>
      <c r="P76">
        <v>0.99590579999999995</v>
      </c>
      <c r="Q76">
        <v>1.2106530000000001E-2</v>
      </c>
      <c r="R76">
        <v>8.9583750000000004E-2</v>
      </c>
      <c r="S76">
        <v>3.0210270000000001</v>
      </c>
      <c r="T76">
        <v>-0.183254799999999</v>
      </c>
      <c r="U76">
        <v>-6.7962649999999999E-2</v>
      </c>
      <c r="V76">
        <v>-8.9178820000000006E-2</v>
      </c>
      <c r="W76">
        <v>8.2046700000000007E-3</v>
      </c>
      <c r="X76">
        <v>0.99598180000000003</v>
      </c>
      <c r="Y76">
        <v>2.2855440000000001E-2</v>
      </c>
      <c r="Z76">
        <v>-7.1716839999999896E-4</v>
      </c>
      <c r="AA76">
        <v>0.99973849999999997</v>
      </c>
      <c r="AB76">
        <v>15</v>
      </c>
      <c r="AC76">
        <v>0.67309999999997605</v>
      </c>
      <c r="AD76">
        <v>-4.8148999999999997E-2</v>
      </c>
      <c r="AE76">
        <v>-1.8400000000042299E-2</v>
      </c>
      <c r="AF76">
        <v>1.8579244693179401E-2</v>
      </c>
      <c r="AG76">
        <v>-4.8148999999999997E-2</v>
      </c>
      <c r="AH76">
        <v>0.66966831372300195</v>
      </c>
      <c r="AI76">
        <v>94.110900312400901</v>
      </c>
      <c r="AJ76">
        <v>88.410796384063701</v>
      </c>
      <c r="AK76">
        <v>0.67165405153172197</v>
      </c>
    </row>
    <row r="77" spans="1:37" x14ac:dyDescent="0.2">
      <c r="A77" t="str">
        <f>"20200111153406760"</f>
        <v>20200111153406760</v>
      </c>
      <c r="B77" t="str">
        <f>"1578728046756610"</f>
        <v>1578728046756610</v>
      </c>
      <c r="C77" t="s">
        <v>37</v>
      </c>
      <c r="D77">
        <v>4.6364289999999997</v>
      </c>
      <c r="E77">
        <v>0.54045600000000005</v>
      </c>
      <c r="F77" t="s">
        <v>40</v>
      </c>
      <c r="G77">
        <v>-472.08940000000001</v>
      </c>
      <c r="H77">
        <v>1.0526580000000001</v>
      </c>
      <c r="I77">
        <v>367.50139999999999</v>
      </c>
      <c r="J77">
        <v>-472.80880000000002</v>
      </c>
      <c r="K77">
        <v>1.1026609999999999</v>
      </c>
      <c r="L77">
        <v>367.5204</v>
      </c>
      <c r="M77">
        <v>0.9999924</v>
      </c>
      <c r="N77">
        <v>0</v>
      </c>
      <c r="O77">
        <v>4.8090410000000002E-4</v>
      </c>
      <c r="P77">
        <v>0.99595049999999996</v>
      </c>
      <c r="Q77">
        <v>1.126393E-2</v>
      </c>
      <c r="R77">
        <v>8.9196800000000007E-2</v>
      </c>
      <c r="S77">
        <v>3.020813</v>
      </c>
      <c r="T77">
        <v>-0.18660399999999999</v>
      </c>
      <c r="U77">
        <v>-6.9152829999999998E-2</v>
      </c>
      <c r="V77">
        <v>-8.8719190000000003E-2</v>
      </c>
      <c r="W77">
        <v>7.3616489999999996E-3</v>
      </c>
      <c r="X77">
        <v>0.99602950000000001</v>
      </c>
      <c r="Y77">
        <v>2.3321560000000002E-2</v>
      </c>
      <c r="Z77">
        <v>-7.4921370000000001E-4</v>
      </c>
      <c r="AA77">
        <v>0.9997277</v>
      </c>
      <c r="AB77">
        <v>15</v>
      </c>
      <c r="AC77">
        <v>0.71940000000000703</v>
      </c>
      <c r="AD77">
        <v>-5.0002999999999999E-2</v>
      </c>
      <c r="AE77">
        <v>-1.9000000000005401E-2</v>
      </c>
      <c r="AF77">
        <v>1.92530132851302E-2</v>
      </c>
      <c r="AG77">
        <v>-5.0002999999999999E-2</v>
      </c>
      <c r="AH77">
        <v>0.71593439820360405</v>
      </c>
      <c r="AI77">
        <v>93.993781585791496</v>
      </c>
      <c r="AJ77">
        <v>88.4595647279817</v>
      </c>
      <c r="AK77">
        <v>0.71793665532602102</v>
      </c>
    </row>
    <row r="78" spans="1:37" x14ac:dyDescent="0.2">
      <c r="A78" t="str">
        <f>"20200111153406772"</f>
        <v>20200111153406772</v>
      </c>
      <c r="B78" t="str">
        <f>"1578728046766371"</f>
        <v>1578728046766371</v>
      </c>
      <c r="C78" t="s">
        <v>37</v>
      </c>
      <c r="D78">
        <v>4.5830250000000001</v>
      </c>
      <c r="E78">
        <v>0.5396571</v>
      </c>
      <c r="F78" t="s">
        <v>40</v>
      </c>
      <c r="G78">
        <v>-471.9513</v>
      </c>
      <c r="H78">
        <v>1.0490219999999999</v>
      </c>
      <c r="I78">
        <v>367.5</v>
      </c>
      <c r="J78">
        <v>-472.7176</v>
      </c>
      <c r="K78">
        <v>1.10267</v>
      </c>
      <c r="L78">
        <v>367.52050000000003</v>
      </c>
      <c r="M78">
        <v>0.99999229999999995</v>
      </c>
      <c r="N78">
        <v>0</v>
      </c>
      <c r="O78">
        <v>5.5508659999999998E-4</v>
      </c>
      <c r="P78">
        <v>0.99596260000000003</v>
      </c>
      <c r="Q78">
        <v>1.08723E-2</v>
      </c>
      <c r="R78">
        <v>8.9107740000000005E-2</v>
      </c>
      <c r="S78">
        <v>3.020721</v>
      </c>
      <c r="T78">
        <v>-0.18916629999999901</v>
      </c>
      <c r="U78">
        <v>-7.0739750000000004E-2</v>
      </c>
      <c r="V78">
        <v>-8.8556049999999997E-2</v>
      </c>
      <c r="W78">
        <v>6.9940159999999996E-3</v>
      </c>
      <c r="X78">
        <v>0.99604669999999895</v>
      </c>
      <c r="Y78">
        <v>2.3918769999999999E-2</v>
      </c>
      <c r="Z78">
        <v>-7.8281879999999996E-4</v>
      </c>
      <c r="AA78">
        <v>0.99971359999999998</v>
      </c>
      <c r="AB78">
        <v>16</v>
      </c>
      <c r="AC78">
        <v>0.76630000000000098</v>
      </c>
      <c r="AD78">
        <v>-5.3648000000000098E-2</v>
      </c>
      <c r="AE78">
        <v>-2.0500000000026799E-2</v>
      </c>
      <c r="AF78">
        <v>2.0823374734146301E-2</v>
      </c>
      <c r="AG78">
        <v>-5.3648000000000098E-2</v>
      </c>
      <c r="AH78">
        <v>0.76255368711947802</v>
      </c>
      <c r="AI78">
        <v>94.022809064481294</v>
      </c>
      <c r="AJ78">
        <v>88.435788745942403</v>
      </c>
      <c r="AK78">
        <v>0.76472207146049398</v>
      </c>
    </row>
    <row r="79" spans="1:37" x14ac:dyDescent="0.2">
      <c r="A79" t="str">
        <f>"20200111153406784"</f>
        <v>20200111153406784</v>
      </c>
      <c r="B79" t="str">
        <f>"1578728046777106"</f>
        <v>1578728046777106</v>
      </c>
      <c r="C79" t="s">
        <v>37</v>
      </c>
      <c r="D79">
        <v>4.5992930000000003</v>
      </c>
      <c r="E79">
        <v>0.53910639999999999</v>
      </c>
      <c r="F79" t="s">
        <v>40</v>
      </c>
      <c r="G79">
        <v>-471.94549999999998</v>
      </c>
      <c r="H79">
        <v>1.0551759999999999</v>
      </c>
      <c r="I79">
        <v>367.50389999999999</v>
      </c>
      <c r="J79">
        <v>-472.6318</v>
      </c>
      <c r="K79">
        <v>1.1026769999999999</v>
      </c>
      <c r="L79">
        <v>367.5206</v>
      </c>
      <c r="M79">
        <v>0.99999249999999995</v>
      </c>
      <c r="N79">
        <v>0</v>
      </c>
      <c r="O79">
        <v>6.2457620000000002E-4</v>
      </c>
      <c r="P79">
        <v>0.99598819999999999</v>
      </c>
      <c r="Q79">
        <v>1.045138E-2</v>
      </c>
      <c r="R79">
        <v>8.8873770000000005E-2</v>
      </c>
      <c r="S79">
        <v>3.01992799999999</v>
      </c>
      <c r="T79">
        <v>-0.1859316</v>
      </c>
      <c r="U79">
        <v>-6.4025879999999993E-2</v>
      </c>
      <c r="V79">
        <v>-8.8252800000000006E-2</v>
      </c>
      <c r="W79">
        <v>6.6025419999999899E-3</v>
      </c>
      <c r="X79">
        <v>0.99607619999999897</v>
      </c>
      <c r="Y79">
        <v>2.17784E-2</v>
      </c>
      <c r="Z79">
        <v>-7.081333E-4</v>
      </c>
      <c r="AA79">
        <v>0.99976259999999995</v>
      </c>
      <c r="AB79">
        <v>16</v>
      </c>
      <c r="AC79">
        <v>0.68630000000001701</v>
      </c>
      <c r="AD79">
        <v>-4.7501000000000002E-2</v>
      </c>
      <c r="AE79">
        <v>-1.6700000000014301E-2</v>
      </c>
      <c r="AF79">
        <v>1.7047031667552399E-2</v>
      </c>
      <c r="AG79">
        <v>-4.7501000000000002E-2</v>
      </c>
      <c r="AH79">
        <v>0.68301939261643896</v>
      </c>
      <c r="AI79">
        <v>93.977029901157707</v>
      </c>
      <c r="AJ79">
        <v>88.570289148860496</v>
      </c>
      <c r="AK79">
        <v>0.68488133058202405</v>
      </c>
    </row>
    <row r="80" spans="1:37" x14ac:dyDescent="0.2">
      <c r="A80" t="str">
        <f>"20200111153406805"</f>
        <v>20200111153406805</v>
      </c>
      <c r="B80" t="str">
        <f>"1578728046796626"</f>
        <v>1578728046796626</v>
      </c>
      <c r="C80" t="s">
        <v>37</v>
      </c>
      <c r="D80">
        <v>4.6121540000000003</v>
      </c>
      <c r="E80">
        <v>0.53796330000000003</v>
      </c>
      <c r="F80" t="s">
        <v>40</v>
      </c>
      <c r="G80">
        <v>-471.80430000000001</v>
      </c>
      <c r="H80">
        <v>1.052459</v>
      </c>
      <c r="I80">
        <v>367.50389999999999</v>
      </c>
      <c r="J80">
        <v>-472.48480000000001</v>
      </c>
      <c r="K80">
        <v>1.102697</v>
      </c>
      <c r="L80">
        <v>367.52080000000001</v>
      </c>
      <c r="M80">
        <v>0.99999259999999901</v>
      </c>
      <c r="N80">
        <v>0</v>
      </c>
      <c r="O80">
        <v>7.4301559999999996E-4</v>
      </c>
      <c r="P80">
        <v>0.9960331</v>
      </c>
      <c r="Q80">
        <v>9.8062749999999997E-3</v>
      </c>
      <c r="R80">
        <v>8.8440329999999998E-2</v>
      </c>
      <c r="S80">
        <v>3.0193789999999998</v>
      </c>
      <c r="T80">
        <v>-0.1832955</v>
      </c>
      <c r="U80">
        <v>-6.0180659999999997E-2</v>
      </c>
      <c r="V80">
        <v>-8.7701180000000004E-2</v>
      </c>
      <c r="W80">
        <v>6.0227199999999996E-3</v>
      </c>
      <c r="X80">
        <v>0.99612860000000003</v>
      </c>
      <c r="Y80">
        <v>2.0631050000000001E-2</v>
      </c>
      <c r="Z80">
        <v>-6.7064049999999997E-4</v>
      </c>
      <c r="AA80">
        <v>0.99978690000000003</v>
      </c>
      <c r="AB80">
        <v>16</v>
      </c>
      <c r="AC80">
        <v>0.680499999999994</v>
      </c>
      <c r="AD80">
        <v>-5.0237999999999998E-2</v>
      </c>
      <c r="AE80">
        <v>-1.6900000000020999E-2</v>
      </c>
      <c r="AF80">
        <v>1.7311329870216201E-2</v>
      </c>
      <c r="AG80">
        <v>-5.0237999999999998E-2</v>
      </c>
      <c r="AH80">
        <v>0.67680086276759399</v>
      </c>
      <c r="AI80">
        <v>94.243818763475502</v>
      </c>
      <c r="AJ80">
        <v>88.534798089659205</v>
      </c>
      <c r="AK80">
        <v>0.67888360315214202</v>
      </c>
    </row>
    <row r="81" spans="1:37" x14ac:dyDescent="0.2">
      <c r="A81" t="str">
        <f>"20200111153406820"</f>
        <v>20200111153406820</v>
      </c>
      <c r="B81" t="str">
        <f>"1578728046817122"</f>
        <v>1578728046817122</v>
      </c>
      <c r="C81" t="s">
        <v>37</v>
      </c>
      <c r="D81">
        <v>4.5984790000000002</v>
      </c>
      <c r="E81">
        <v>0.53711200000000003</v>
      </c>
      <c r="F81" t="s">
        <v>40</v>
      </c>
      <c r="G81">
        <v>-471.65679999999998</v>
      </c>
      <c r="H81">
        <v>1.054081</v>
      </c>
      <c r="I81">
        <v>367.50619999999998</v>
      </c>
      <c r="J81">
        <v>-472.38040000000001</v>
      </c>
      <c r="K81">
        <v>1.102708</v>
      </c>
      <c r="L81">
        <v>367.52099999999899</v>
      </c>
      <c r="M81">
        <v>0.99999280000000002</v>
      </c>
      <c r="N81">
        <v>0</v>
      </c>
      <c r="O81">
        <v>8.2584800000000001E-4</v>
      </c>
      <c r="P81">
        <v>0.99604859999999995</v>
      </c>
      <c r="Q81">
        <v>9.4940289999999993E-3</v>
      </c>
      <c r="R81">
        <v>8.8302430000000001E-2</v>
      </c>
      <c r="S81">
        <v>3.0183110000000002</v>
      </c>
      <c r="T81">
        <v>-0.1775516</v>
      </c>
      <c r="U81">
        <v>-5.2001949999999998E-2</v>
      </c>
      <c r="V81">
        <v>-8.7480429999999998E-2</v>
      </c>
      <c r="W81">
        <v>5.7609409999999899E-3</v>
      </c>
      <c r="X81">
        <v>0.99614959999999997</v>
      </c>
      <c r="Y81">
        <v>1.8019429999999999E-2</v>
      </c>
      <c r="Z81">
        <v>-5.7803309999999997E-4</v>
      </c>
      <c r="AA81">
        <v>0.99983750000000005</v>
      </c>
      <c r="AB81">
        <v>16</v>
      </c>
      <c r="AC81">
        <v>0.72360000000003299</v>
      </c>
      <c r="AD81">
        <v>-4.8626999999999899E-2</v>
      </c>
      <c r="AE81">
        <v>-1.4799999999979699E-2</v>
      </c>
      <c r="AF81">
        <v>1.53283879887877E-2</v>
      </c>
      <c r="AG81">
        <v>-4.8626999999999899E-2</v>
      </c>
      <c r="AH81">
        <v>0.72033582508343796</v>
      </c>
      <c r="AI81">
        <v>93.861078962476697</v>
      </c>
      <c r="AJ81">
        <v>88.780958295578998</v>
      </c>
      <c r="AK81">
        <v>0.72213796846999501</v>
      </c>
    </row>
    <row r="82" spans="1:37" x14ac:dyDescent="0.2">
      <c r="A82" t="str">
        <f>"20200111153406837"</f>
        <v>20200111153406837</v>
      </c>
      <c r="B82" t="str">
        <f>"1578728046826886"</f>
        <v>1578728046826886</v>
      </c>
      <c r="C82" t="s">
        <v>37</v>
      </c>
      <c r="D82">
        <v>4.5963649999999996</v>
      </c>
      <c r="E82">
        <v>0.53673389999999999</v>
      </c>
      <c r="F82" t="s">
        <v>40</v>
      </c>
      <c r="G82">
        <v>-471.50920000000002</v>
      </c>
      <c r="H82">
        <v>1.0534190000000001</v>
      </c>
      <c r="I82">
        <v>367.50799999999998</v>
      </c>
      <c r="J82">
        <v>-472.24509999999998</v>
      </c>
      <c r="K82">
        <v>1.1027180000000001</v>
      </c>
      <c r="L82">
        <v>367.5213</v>
      </c>
      <c r="M82">
        <v>0.99999300000000002</v>
      </c>
      <c r="N82">
        <v>0</v>
      </c>
      <c r="O82">
        <v>9.3196550000000005E-4</v>
      </c>
      <c r="P82">
        <v>0.99607369999999995</v>
      </c>
      <c r="Q82">
        <v>8.9514069999999998E-3</v>
      </c>
      <c r="R82">
        <v>8.8074650000000004E-2</v>
      </c>
      <c r="S82">
        <v>3.0175480000000001</v>
      </c>
      <c r="T82">
        <v>-0.17071520000000001</v>
      </c>
      <c r="U82">
        <v>-4.5135500000000002E-2</v>
      </c>
      <c r="V82">
        <v>-8.7147210000000003E-2</v>
      </c>
      <c r="W82">
        <v>5.28554099999999E-3</v>
      </c>
      <c r="X82">
        <v>0.99618139999999999</v>
      </c>
      <c r="Y82">
        <v>1.586102E-2</v>
      </c>
      <c r="Z82">
        <v>-5.0095909999999997E-4</v>
      </c>
      <c r="AA82">
        <v>0.99987409999999999</v>
      </c>
      <c r="AB82">
        <v>16</v>
      </c>
      <c r="AC82">
        <v>0.73589999999995803</v>
      </c>
      <c r="AD82">
        <v>-4.9298999999999898E-2</v>
      </c>
      <c r="AE82">
        <v>-1.32999999999583E-2</v>
      </c>
      <c r="AF82">
        <v>1.3923366521112E-2</v>
      </c>
      <c r="AG82">
        <v>-4.9298999999999898E-2</v>
      </c>
      <c r="AH82">
        <v>0.73260055522386502</v>
      </c>
      <c r="AI82">
        <v>93.849116434025106</v>
      </c>
      <c r="AJ82">
        <v>88.911201878171397</v>
      </c>
      <c r="AK82">
        <v>0.73438942329706502</v>
      </c>
    </row>
    <row r="83" spans="1:37" x14ac:dyDescent="0.2">
      <c r="A83" t="str">
        <f>"20200111153406851"</f>
        <v>20200111153406851</v>
      </c>
      <c r="B83" t="str">
        <f>"1578728046846406"</f>
        <v>1578728046846406</v>
      </c>
      <c r="C83" t="s">
        <v>37</v>
      </c>
      <c r="D83">
        <v>4.5552619999999999</v>
      </c>
      <c r="E83">
        <v>0.53607050000000001</v>
      </c>
      <c r="F83" t="s">
        <v>39</v>
      </c>
      <c r="G83">
        <v>-452.49699999999899</v>
      </c>
      <c r="H83" s="1">
        <v>-3.62215899999999E-6</v>
      </c>
      <c r="I83">
        <v>367.24250000000001</v>
      </c>
      <c r="J83">
        <v>-472.14699999999999</v>
      </c>
      <c r="K83">
        <v>1.1027199999999999</v>
      </c>
      <c r="L83">
        <v>367.5215</v>
      </c>
      <c r="M83">
        <v>0.99999289999999996</v>
      </c>
      <c r="N83">
        <v>0</v>
      </c>
      <c r="O83">
        <v>1.007942E-3</v>
      </c>
      <c r="P83">
        <v>0.99606830000000002</v>
      </c>
      <c r="Q83">
        <v>9.1513840000000003E-3</v>
      </c>
      <c r="R83">
        <v>8.8115330000000006E-2</v>
      </c>
      <c r="S83">
        <v>3.0171199999999998</v>
      </c>
      <c r="T83">
        <v>-0.1684726</v>
      </c>
      <c r="U83">
        <v>-4.2572020000000002E-2</v>
      </c>
      <c r="V83">
        <v>-8.7112419999999996E-2</v>
      </c>
      <c r="W83">
        <v>5.5320619999999999E-3</v>
      </c>
      <c r="X83">
        <v>0.99618320000000005</v>
      </c>
      <c r="Y83">
        <v>1.5091510000000001E-2</v>
      </c>
      <c r="Z83">
        <v>-4.7723399999999999E-4</v>
      </c>
      <c r="AA83">
        <v>0.99988600000000005</v>
      </c>
      <c r="AB83">
        <v>16</v>
      </c>
      <c r="AC83">
        <v>19.649999999999999</v>
      </c>
      <c r="AD83">
        <v>-1.102723622159</v>
      </c>
      <c r="AE83">
        <v>-0.27899999999999597</v>
      </c>
      <c r="AF83">
        <v>0.29786817446595498</v>
      </c>
      <c r="AG83">
        <v>-1.102723622159</v>
      </c>
      <c r="AH83">
        <v>19.588033462221201</v>
      </c>
      <c r="AI83">
        <v>93.221737922902904</v>
      </c>
      <c r="AJ83">
        <v>89.128790852841405</v>
      </c>
      <c r="AK83">
        <v>19.6213093282106</v>
      </c>
    </row>
    <row r="84" spans="1:37" x14ac:dyDescent="0.2">
      <c r="A84" t="str">
        <f>"20200111153406864"</f>
        <v>20200111153406864</v>
      </c>
      <c r="B84" t="str">
        <f>"1578728046857144"</f>
        <v>1578728046857144</v>
      </c>
      <c r="C84" t="s">
        <v>37</v>
      </c>
      <c r="D84">
        <v>4.5779069999999997</v>
      </c>
      <c r="E84">
        <v>0.53578040000000005</v>
      </c>
      <c r="F84" t="s">
        <v>39</v>
      </c>
      <c r="G84">
        <v>-451.47489999999999</v>
      </c>
      <c r="H84" s="1">
        <v>-4.0553979999999997E-6</v>
      </c>
      <c r="I84">
        <v>367.27190000000002</v>
      </c>
      <c r="J84">
        <v>-472.04399999999998</v>
      </c>
      <c r="K84">
        <v>1.102722</v>
      </c>
      <c r="L84">
        <v>367.52170000000001</v>
      </c>
      <c r="M84">
        <v>0.99999309999999997</v>
      </c>
      <c r="N84">
        <v>0</v>
      </c>
      <c r="O84">
        <v>1.0867189999999899E-3</v>
      </c>
      <c r="P84">
        <v>0.99607119999999905</v>
      </c>
      <c r="Q84">
        <v>9.143155E-3</v>
      </c>
      <c r="R84">
        <v>8.8083830000000002E-2</v>
      </c>
      <c r="S84">
        <v>3.0165410000000001</v>
      </c>
      <c r="T84">
        <v>-0.16091250000000001</v>
      </c>
      <c r="U84">
        <v>-3.6407469999999997E-2</v>
      </c>
      <c r="V84">
        <v>-8.7002199999999905E-2</v>
      </c>
      <c r="W84">
        <v>5.5706849999999997E-3</v>
      </c>
      <c r="X84">
        <v>0.99619249999999904</v>
      </c>
      <c r="Y84">
        <v>1.313482E-2</v>
      </c>
      <c r="Z84">
        <v>-4.0799269999999903E-4</v>
      </c>
      <c r="AA84">
        <v>0.99991359999999996</v>
      </c>
      <c r="AB84">
        <v>17</v>
      </c>
      <c r="AC84">
        <v>20.569099999999999</v>
      </c>
      <c r="AD84">
        <v>-1.1027260553980001</v>
      </c>
      <c r="AE84">
        <v>-0.249799999999993</v>
      </c>
      <c r="AF84">
        <v>0.27137298218237199</v>
      </c>
      <c r="AG84">
        <v>-1.1027260553980001</v>
      </c>
      <c r="AH84">
        <v>20.509877262037602</v>
      </c>
      <c r="AI84">
        <v>93.077310465389601</v>
      </c>
      <c r="AJ84">
        <v>89.241944790839</v>
      </c>
      <c r="AK84">
        <v>20.541292884153101</v>
      </c>
    </row>
    <row r="85" spans="1:37" x14ac:dyDescent="0.2">
      <c r="A85" t="str">
        <f>"20200111153406882"</f>
        <v>20200111153406882</v>
      </c>
      <c r="B85" t="str">
        <f>"1578728046876662"</f>
        <v>1578728046876662</v>
      </c>
      <c r="C85" t="s">
        <v>37</v>
      </c>
      <c r="D85">
        <v>4.6071249999999999</v>
      </c>
      <c r="E85">
        <v>0.53520210000000001</v>
      </c>
      <c r="F85" t="s">
        <v>39</v>
      </c>
      <c r="G85">
        <v>-450.98919999999998</v>
      </c>
      <c r="H85" s="1">
        <v>-4.2616879999999999E-6</v>
      </c>
      <c r="I85">
        <v>367.28359999999998</v>
      </c>
      <c r="J85">
        <v>-471.91180000000003</v>
      </c>
      <c r="K85">
        <v>1.102727</v>
      </c>
      <c r="L85">
        <v>367.52190000000002</v>
      </c>
      <c r="M85">
        <v>0.99999309999999997</v>
      </c>
      <c r="N85">
        <v>0</v>
      </c>
      <c r="O85">
        <v>1.18691E-3</v>
      </c>
      <c r="P85">
        <v>0.9960715</v>
      </c>
      <c r="Q85">
        <v>9.4571669999999903E-3</v>
      </c>
      <c r="R85">
        <v>8.8046990000000006E-2</v>
      </c>
      <c r="S85">
        <v>3.0162960000000001</v>
      </c>
      <c r="T85">
        <v>-0.157975</v>
      </c>
      <c r="U85">
        <v>-3.4088130000000001E-2</v>
      </c>
      <c r="V85">
        <v>-8.6865689999999995E-2</v>
      </c>
      <c r="W85">
        <v>5.9387980000000003E-3</v>
      </c>
      <c r="X85">
        <v>0.99620229999999999</v>
      </c>
      <c r="Y85">
        <v>1.2468720000000001E-2</v>
      </c>
      <c r="Z85">
        <v>-3.884022E-4</v>
      </c>
      <c r="AA85">
        <v>0.99992219999999998</v>
      </c>
      <c r="AB85">
        <v>17</v>
      </c>
      <c r="AC85">
        <v>20.922599999999999</v>
      </c>
      <c r="AD85">
        <v>-1.1027312616880001</v>
      </c>
      <c r="AE85">
        <v>-0.23830000000003701</v>
      </c>
      <c r="AF85">
        <v>0.26240440484969502</v>
      </c>
      <c r="AG85">
        <v>-1.1027312616880001</v>
      </c>
      <c r="AH85">
        <v>20.864351993640899</v>
      </c>
      <c r="AI85">
        <v>93.025166230448505</v>
      </c>
      <c r="AJ85">
        <v>89.279446957639195</v>
      </c>
      <c r="AK85">
        <v>20.895120397397399</v>
      </c>
    </row>
    <row r="86" spans="1:37" x14ac:dyDescent="0.2">
      <c r="A86" t="str">
        <f>"20200111153406894"</f>
        <v>20200111153406894</v>
      </c>
      <c r="B86" t="str">
        <f>"1578728046886422"</f>
        <v>1578728046886422</v>
      </c>
      <c r="C86" t="s">
        <v>37</v>
      </c>
      <c r="D86">
        <v>4.6153870000000001</v>
      </c>
      <c r="E86">
        <v>0.53495800000000004</v>
      </c>
      <c r="F86" t="s">
        <v>39</v>
      </c>
      <c r="G86">
        <v>-449.9513</v>
      </c>
      <c r="H86" s="1">
        <v>-6.1675909999999898E-7</v>
      </c>
      <c r="I86">
        <v>367.30930000000001</v>
      </c>
      <c r="J86">
        <v>-471.8116</v>
      </c>
      <c r="K86">
        <v>1.102724</v>
      </c>
      <c r="L86">
        <v>367.5222</v>
      </c>
      <c r="M86">
        <v>0.99999309999999997</v>
      </c>
      <c r="N86">
        <v>0</v>
      </c>
      <c r="O86">
        <v>1.2616089999999999E-3</v>
      </c>
      <c r="P86">
        <v>0.99607269999999903</v>
      </c>
      <c r="Q86">
        <v>9.2643969999999902E-3</v>
      </c>
      <c r="R86">
        <v>8.8053580000000006E-2</v>
      </c>
      <c r="S86">
        <v>3.0158689999999999</v>
      </c>
      <c r="T86">
        <v>-0.1514395</v>
      </c>
      <c r="U86">
        <v>-2.920532E-2</v>
      </c>
      <c r="V86">
        <v>-8.6797830000000006E-2</v>
      </c>
      <c r="W86">
        <v>5.7814429999999998E-3</v>
      </c>
      <c r="X86">
        <v>0.99620909999999996</v>
      </c>
      <c r="Y86">
        <v>1.0929619999999999E-2</v>
      </c>
      <c r="Z86">
        <v>-3.3754169999999998E-4</v>
      </c>
      <c r="AA86">
        <v>0.99994019999999995</v>
      </c>
      <c r="AB86">
        <v>17</v>
      </c>
      <c r="AC86">
        <v>21.860299999999899</v>
      </c>
      <c r="AD86">
        <v>-1.1027246167591001</v>
      </c>
      <c r="AE86">
        <v>-0.21289999999998999</v>
      </c>
      <c r="AF86">
        <v>0.23986883444340901</v>
      </c>
      <c r="AG86">
        <v>-1.1027246167591001</v>
      </c>
      <c r="AH86">
        <v>21.804535142394101</v>
      </c>
      <c r="AI86">
        <v>92.894988145329094</v>
      </c>
      <c r="AJ86">
        <v>89.369722060423697</v>
      </c>
      <c r="AK86">
        <v>21.833719138388801</v>
      </c>
    </row>
    <row r="87" spans="1:37" x14ac:dyDescent="0.2">
      <c r="A87" t="str">
        <f>"20200111153406906"</f>
        <v>20200111153406906</v>
      </c>
      <c r="B87" t="str">
        <f>"1578728046897160"</f>
        <v>1578728046897160</v>
      </c>
      <c r="C87" t="s">
        <v>37</v>
      </c>
      <c r="D87">
        <v>4.6300540000000003</v>
      </c>
      <c r="E87">
        <v>0.53471230000000003</v>
      </c>
      <c r="F87" t="s">
        <v>39</v>
      </c>
      <c r="G87">
        <v>-449.5496</v>
      </c>
      <c r="H87" s="1">
        <v>-7.6717969999999999E-7</v>
      </c>
      <c r="I87">
        <v>367.32369999999997</v>
      </c>
      <c r="J87">
        <v>-471.71699999999998</v>
      </c>
      <c r="K87">
        <v>1.1027229999999999</v>
      </c>
      <c r="L87">
        <v>367.5224</v>
      </c>
      <c r="M87">
        <v>0.99999309999999997</v>
      </c>
      <c r="N87">
        <v>0</v>
      </c>
      <c r="O87">
        <v>1.3314029999999899E-3</v>
      </c>
      <c r="P87">
        <v>0.99605669999999902</v>
      </c>
      <c r="Q87">
        <v>9.127975E-3</v>
      </c>
      <c r="R87">
        <v>8.824833E-2</v>
      </c>
      <c r="S87">
        <v>3.015625</v>
      </c>
      <c r="T87">
        <v>-0.14937600000000001</v>
      </c>
      <c r="U87">
        <v>-2.6885989999999999E-2</v>
      </c>
      <c r="V87">
        <v>-8.6922819999999998E-2</v>
      </c>
      <c r="W87">
        <v>5.6732040000000003E-3</v>
      </c>
      <c r="X87">
        <v>0.9961989</v>
      </c>
      <c r="Y87">
        <v>1.0232379999999999E-2</v>
      </c>
      <c r="Z87">
        <v>-3.191736E-4</v>
      </c>
      <c r="AA87">
        <v>0.99994760000000005</v>
      </c>
      <c r="AB87">
        <v>17</v>
      </c>
      <c r="AC87">
        <v>22.167399999999901</v>
      </c>
      <c r="AD87">
        <v>-1.1027237671796899</v>
      </c>
      <c r="AE87">
        <v>-0.19870000000002999</v>
      </c>
      <c r="AF87">
        <v>0.22765044706628401</v>
      </c>
      <c r="AG87">
        <v>-1.1027237671796899</v>
      </c>
      <c r="AH87">
        <v>22.112400982556402</v>
      </c>
      <c r="AI87">
        <v>92.854768257355104</v>
      </c>
      <c r="AJ87">
        <v>89.410152292519101</v>
      </c>
      <c r="AK87">
        <v>22.141050147771001</v>
      </c>
    </row>
    <row r="88" spans="1:37" x14ac:dyDescent="0.2">
      <c r="A88" t="str">
        <f>"20200111153406920"</f>
        <v>20200111153406920</v>
      </c>
      <c r="B88" t="str">
        <f>"1578728046916678"</f>
        <v>1578728046916678</v>
      </c>
      <c r="C88" t="s">
        <v>37</v>
      </c>
      <c r="D88">
        <v>4.5439619999999996</v>
      </c>
      <c r="E88">
        <v>0.53421180000000001</v>
      </c>
      <c r="F88" t="s">
        <v>39</v>
      </c>
      <c r="G88">
        <v>-449.15370000000001</v>
      </c>
      <c r="H88" s="1">
        <v>-9.1464980000000002E-7</v>
      </c>
      <c r="I88">
        <v>367.3408</v>
      </c>
      <c r="J88">
        <v>-471.61590000000001</v>
      </c>
      <c r="K88">
        <v>1.1027229999999999</v>
      </c>
      <c r="L88">
        <v>367.52260000000001</v>
      </c>
      <c r="M88">
        <v>0.99999329999999997</v>
      </c>
      <c r="N88">
        <v>0</v>
      </c>
      <c r="O88">
        <v>1.405426E-3</v>
      </c>
      <c r="P88">
        <v>0.99606519999999998</v>
      </c>
      <c r="Q88">
        <v>8.938171E-3</v>
      </c>
      <c r="R88">
        <v>8.8171990000000006E-2</v>
      </c>
      <c r="S88">
        <v>3.0153810000000001</v>
      </c>
      <c r="T88">
        <v>-0.14736939999999901</v>
      </c>
      <c r="U88">
        <v>-2.426147E-2</v>
      </c>
      <c r="V88">
        <v>-8.677232E-2</v>
      </c>
      <c r="W88">
        <v>5.509651E-3</v>
      </c>
      <c r="X88">
        <v>0.99621299999999902</v>
      </c>
      <c r="Y88">
        <v>9.438086E-3</v>
      </c>
      <c r="Z88">
        <v>-2.9913569999999998E-4</v>
      </c>
      <c r="AA88">
        <v>0.99995540000000005</v>
      </c>
      <c r="AB88">
        <v>17</v>
      </c>
      <c r="AC88">
        <v>22.462199999999999</v>
      </c>
      <c r="AD88">
        <v>-1.10272391464979</v>
      </c>
      <c r="AE88">
        <v>-0.18180000000000901</v>
      </c>
      <c r="AF88">
        <v>0.21285599719940501</v>
      </c>
      <c r="AG88">
        <v>-1.10272391464979</v>
      </c>
      <c r="AH88">
        <v>22.407921267344499</v>
      </c>
      <c r="AI88">
        <v>92.817202573129194</v>
      </c>
      <c r="AJ88">
        <v>89.455755697483895</v>
      </c>
      <c r="AK88">
        <v>22.4360478523067</v>
      </c>
    </row>
    <row r="89" spans="1:37" x14ac:dyDescent="0.2">
      <c r="A89" t="str">
        <f>"20200111153406936"</f>
        <v>20200111153406936</v>
      </c>
      <c r="B89" t="str">
        <f>"1578728046926258"</f>
        <v>1578728046926258</v>
      </c>
      <c r="C89" t="s">
        <v>37</v>
      </c>
      <c r="D89">
        <v>4.5732699999999999</v>
      </c>
      <c r="E89">
        <v>0.53400700000000001</v>
      </c>
      <c r="F89" t="s">
        <v>39</v>
      </c>
      <c r="G89">
        <v>-448.46249999999998</v>
      </c>
      <c r="H89" s="1">
        <v>-1.1727799999999899E-6</v>
      </c>
      <c r="I89">
        <v>367.36829999999998</v>
      </c>
      <c r="J89">
        <v>-471.47480000000002</v>
      </c>
      <c r="K89">
        <v>1.102719</v>
      </c>
      <c r="L89">
        <v>367.52289999999999</v>
      </c>
      <c r="M89">
        <v>0.99999309999999997</v>
      </c>
      <c r="N89">
        <v>0</v>
      </c>
      <c r="O89">
        <v>1.5074029999999901E-3</v>
      </c>
      <c r="P89">
        <v>0.99608220000000003</v>
      </c>
      <c r="Q89">
        <v>8.9871550000000001E-3</v>
      </c>
      <c r="R89">
        <v>8.7974209999999997E-2</v>
      </c>
      <c r="S89">
        <v>3.014923</v>
      </c>
      <c r="T89">
        <v>-0.14359129999999901</v>
      </c>
      <c r="U89">
        <v>-2.0080569999999999E-2</v>
      </c>
      <c r="V89">
        <v>-8.6473010000000003E-2</v>
      </c>
      <c r="W89">
        <v>5.5859439999999998E-3</v>
      </c>
      <c r="X89">
        <v>0.99623850000000003</v>
      </c>
      <c r="Y89">
        <v>8.1566599999999996E-3</v>
      </c>
      <c r="Z89">
        <v>-2.658777E-4</v>
      </c>
      <c r="AA89">
        <v>0.99996669999999999</v>
      </c>
      <c r="AB89">
        <v>18</v>
      </c>
      <c r="AC89">
        <v>23.0123</v>
      </c>
      <c r="AD89">
        <v>-1.10272017278</v>
      </c>
      <c r="AE89">
        <v>-0.154600000000016</v>
      </c>
      <c r="AF89">
        <v>0.18885520373296999</v>
      </c>
      <c r="AG89">
        <v>-1.10272017278</v>
      </c>
      <c r="AH89">
        <v>22.9593238827505</v>
      </c>
      <c r="AI89">
        <v>92.749670002786004</v>
      </c>
      <c r="AJ89">
        <v>89.5287159964697</v>
      </c>
      <c r="AK89">
        <v>22.986565885761799</v>
      </c>
    </row>
    <row r="90" spans="1:37" x14ac:dyDescent="0.2">
      <c r="A90" t="str">
        <f>"20200111153406950"</f>
        <v>20200111153406950</v>
      </c>
      <c r="B90" t="str">
        <f>"1578728046946750"</f>
        <v>1578728046946750</v>
      </c>
      <c r="C90" t="s">
        <v>37</v>
      </c>
      <c r="D90">
        <v>4.5758299999999998</v>
      </c>
      <c r="E90">
        <v>0.53361349999999996</v>
      </c>
      <c r="F90" t="s">
        <v>39</v>
      </c>
      <c r="G90">
        <v>-447.93889999999999</v>
      </c>
      <c r="H90" s="1">
        <v>-1.3721599999999999E-6</v>
      </c>
      <c r="I90">
        <v>367.37470000000002</v>
      </c>
      <c r="J90">
        <v>-471.3741</v>
      </c>
      <c r="K90">
        <v>1.1027149999999999</v>
      </c>
      <c r="L90">
        <v>367.5231</v>
      </c>
      <c r="M90">
        <v>0.99999300000000002</v>
      </c>
      <c r="N90">
        <v>0</v>
      </c>
      <c r="O90">
        <v>1.5800269999999999E-3</v>
      </c>
      <c r="P90">
        <v>0.99608509999999995</v>
      </c>
      <c r="Q90">
        <v>9.0028609999999992E-3</v>
      </c>
      <c r="R90">
        <v>8.7939729999999994E-2</v>
      </c>
      <c r="S90">
        <v>3.0147089999999999</v>
      </c>
      <c r="T90">
        <v>-0.14124729999999999</v>
      </c>
      <c r="U90">
        <v>-1.8981930000000001E-2</v>
      </c>
      <c r="V90">
        <v>-8.6366570000000004E-2</v>
      </c>
      <c r="W90">
        <v>5.6155060000000001E-3</v>
      </c>
      <c r="X90">
        <v>0.99624760000000001</v>
      </c>
      <c r="Y90">
        <v>7.8659509999999995E-3</v>
      </c>
      <c r="Z90">
        <v>-2.5815549999999999E-4</v>
      </c>
      <c r="AA90">
        <v>0.999969</v>
      </c>
      <c r="AB90">
        <v>18</v>
      </c>
      <c r="AC90">
        <v>23.435199999999998</v>
      </c>
      <c r="AD90">
        <v>-1.10271637216</v>
      </c>
      <c r="AE90">
        <v>-0.14839999999998099</v>
      </c>
      <c r="AF90">
        <v>0.185018649643306</v>
      </c>
      <c r="AG90">
        <v>-1.10271637216</v>
      </c>
      <c r="AH90">
        <v>23.383166500771399</v>
      </c>
      <c r="AI90">
        <v>92.699901508979195</v>
      </c>
      <c r="AJ90">
        <v>89.546658210933899</v>
      </c>
      <c r="AK90">
        <v>23.409884470046901</v>
      </c>
    </row>
    <row r="91" spans="1:37" x14ac:dyDescent="0.2">
      <c r="A91" t="str">
        <f>"20200111153406963"</f>
        <v>20200111153406963</v>
      </c>
      <c r="B91" t="str">
        <f>"1578728046956510"</f>
        <v>1578728046956510</v>
      </c>
      <c r="C91" t="s">
        <v>37</v>
      </c>
      <c r="D91">
        <v>4.5779009999999998</v>
      </c>
      <c r="E91">
        <v>0.53342539999999905</v>
      </c>
      <c r="F91" t="s">
        <v>39</v>
      </c>
      <c r="G91">
        <v>-447.08150000000001</v>
      </c>
      <c r="H91" s="1">
        <v>-1.7534109999999999E-6</v>
      </c>
      <c r="I91">
        <v>367.39890000000003</v>
      </c>
      <c r="J91">
        <v>-471.26940000000002</v>
      </c>
      <c r="K91">
        <v>1.1027119999999999</v>
      </c>
      <c r="L91">
        <v>367.52330000000001</v>
      </c>
      <c r="M91">
        <v>0.99999300000000002</v>
      </c>
      <c r="N91">
        <v>0</v>
      </c>
      <c r="O91">
        <v>1.655211E-3</v>
      </c>
      <c r="P91">
        <v>0.99610509999999997</v>
      </c>
      <c r="Q91">
        <v>8.9481030000000007E-3</v>
      </c>
      <c r="R91">
        <v>8.7719430000000001E-2</v>
      </c>
      <c r="S91">
        <v>3.0143740000000001</v>
      </c>
      <c r="T91">
        <v>-0.13683139999999999</v>
      </c>
      <c r="U91">
        <v>-1.5411380000000001E-2</v>
      </c>
      <c r="V91">
        <v>-8.6071129999999996E-2</v>
      </c>
      <c r="W91">
        <v>5.57354599999999E-3</v>
      </c>
      <c r="X91">
        <v>0.99627339999999998</v>
      </c>
      <c r="Y91">
        <v>6.7590910000000001E-3</v>
      </c>
      <c r="Z91">
        <v>-2.2842399999999999E-4</v>
      </c>
      <c r="AA91">
        <v>0.99997709999999995</v>
      </c>
      <c r="AB91">
        <v>18</v>
      </c>
      <c r="AC91">
        <v>24.187899999999999</v>
      </c>
      <c r="AD91">
        <v>-1.1027137534110001</v>
      </c>
      <c r="AE91">
        <v>-0.12439999999998</v>
      </c>
      <c r="AF91">
        <v>0.164095086842</v>
      </c>
      <c r="AG91">
        <v>-1.1027137534110001</v>
      </c>
      <c r="AH91">
        <v>24.137494899812101</v>
      </c>
      <c r="AI91">
        <v>92.615660310227199</v>
      </c>
      <c r="AJ91">
        <v>89.610489360521896</v>
      </c>
      <c r="AK91">
        <v>24.163227533960399</v>
      </c>
    </row>
    <row r="92" spans="1:37" x14ac:dyDescent="0.2">
      <c r="A92" t="str">
        <f>"20200111153406975"</f>
        <v>20200111153406975</v>
      </c>
      <c r="B92" t="str">
        <f>"1578728046966270"</f>
        <v>1578728046966270</v>
      </c>
      <c r="C92" t="s">
        <v>37</v>
      </c>
      <c r="D92">
        <v>4.5431089999999896</v>
      </c>
      <c r="E92">
        <v>0.53326770000000001</v>
      </c>
      <c r="F92" t="s">
        <v>39</v>
      </c>
      <c r="G92">
        <v>-446.68040000000002</v>
      </c>
      <c r="H92" s="1">
        <v>-1.9420140000000002E-6</v>
      </c>
      <c r="I92">
        <v>367.40460000000002</v>
      </c>
      <c r="J92">
        <v>-471.16399999999999</v>
      </c>
      <c r="K92">
        <v>1.102708</v>
      </c>
      <c r="L92">
        <v>367.52359999999999</v>
      </c>
      <c r="M92">
        <v>0.99999300000000002</v>
      </c>
      <c r="N92">
        <v>0</v>
      </c>
      <c r="O92">
        <v>1.7305070000000001E-3</v>
      </c>
      <c r="P92">
        <v>0.99609419999999904</v>
      </c>
      <c r="Q92">
        <v>8.8060610000000004E-3</v>
      </c>
      <c r="R92">
        <v>8.7858779999999997E-2</v>
      </c>
      <c r="S92">
        <v>3.014221</v>
      </c>
      <c r="T92">
        <v>-0.1351752</v>
      </c>
      <c r="U92">
        <v>-1.4556879999999999E-2</v>
      </c>
      <c r="V92">
        <v>-8.613577E-2</v>
      </c>
      <c r="W92">
        <v>5.4419400000000001E-3</v>
      </c>
      <c r="X92">
        <v>0.99626859999999995</v>
      </c>
      <c r="Y92">
        <v>6.5515109999999899E-3</v>
      </c>
      <c r="Z92">
        <v>-2.2439629999999999E-4</v>
      </c>
      <c r="AA92">
        <v>0.99997849999999999</v>
      </c>
      <c r="AB92">
        <v>18</v>
      </c>
      <c r="AC92">
        <v>24.4835999999999</v>
      </c>
      <c r="AD92">
        <v>-1.1027099420140001</v>
      </c>
      <c r="AE92">
        <v>-0.118999999999971</v>
      </c>
      <c r="AF92">
        <v>0.16104243153328901</v>
      </c>
      <c r="AG92">
        <v>-1.1027099420140001</v>
      </c>
      <c r="AH92">
        <v>24.433794966311499</v>
      </c>
      <c r="AI92">
        <v>92.583979033181194</v>
      </c>
      <c r="AJ92">
        <v>89.622370652814297</v>
      </c>
      <c r="AK92">
        <v>24.4591954147457</v>
      </c>
    </row>
    <row r="93" spans="1:37" x14ac:dyDescent="0.2">
      <c r="A93" t="str">
        <f>"20200111153406993"</f>
        <v>20200111153406993</v>
      </c>
      <c r="B93" t="str">
        <f>"1578728046986767"</f>
        <v>1578728046986767</v>
      </c>
      <c r="C93" t="s">
        <v>37</v>
      </c>
      <c r="D93">
        <v>4.5439889999999998</v>
      </c>
      <c r="E93">
        <v>0.53291140000000004</v>
      </c>
      <c r="F93" t="s">
        <v>39</v>
      </c>
      <c r="G93">
        <v>-446.28870000000001</v>
      </c>
      <c r="H93" s="1">
        <v>-2.12500599999999E-6</v>
      </c>
      <c r="I93">
        <v>367.41680000000002</v>
      </c>
      <c r="J93">
        <v>-471.017</v>
      </c>
      <c r="K93">
        <v>1.102703</v>
      </c>
      <c r="L93">
        <v>367.524</v>
      </c>
      <c r="M93">
        <v>0.99999269999999996</v>
      </c>
      <c r="N93">
        <v>0</v>
      </c>
      <c r="O93">
        <v>1.835964E-3</v>
      </c>
      <c r="P93">
        <v>0.99606499999999998</v>
      </c>
      <c r="Q93">
        <v>8.8583640000000005E-3</v>
      </c>
      <c r="R93">
        <v>8.8181170000000003E-2</v>
      </c>
      <c r="S93">
        <v>3.01412999999999</v>
      </c>
      <c r="T93">
        <v>-0.1336147</v>
      </c>
      <c r="U93">
        <v>-1.293945E-2</v>
      </c>
      <c r="V93">
        <v>-8.6352849999999995E-2</v>
      </c>
      <c r="W93">
        <v>5.5063129999999997E-3</v>
      </c>
      <c r="X93">
        <v>0.99624939999999995</v>
      </c>
      <c r="Y93">
        <v>6.1210290000000001E-3</v>
      </c>
      <c r="Z93">
        <v>-2.1695110000000001E-4</v>
      </c>
      <c r="AA93">
        <v>0.99998120000000001</v>
      </c>
      <c r="AB93">
        <v>18</v>
      </c>
      <c r="AC93">
        <v>24.728299999999901</v>
      </c>
      <c r="AD93">
        <v>-1.102705125006</v>
      </c>
      <c r="AE93">
        <v>-0.10719999999997699</v>
      </c>
      <c r="AF93">
        <v>0.15229750166565101</v>
      </c>
      <c r="AG93">
        <v>-1.102705125006</v>
      </c>
      <c r="AH93">
        <v>24.678987733980399</v>
      </c>
      <c r="AI93">
        <v>92.558336429794494</v>
      </c>
      <c r="AJ93">
        <v>89.6464241806963</v>
      </c>
      <c r="AK93">
        <v>24.704080405788901</v>
      </c>
    </row>
    <row r="94" spans="1:37" x14ac:dyDescent="0.2">
      <c r="A94" t="str">
        <f>"20200111153407007"</f>
        <v>20200111153407007</v>
      </c>
      <c r="B94" t="str">
        <f>"1578728046996527"</f>
        <v>1578728046996527</v>
      </c>
      <c r="C94" t="s">
        <v>37</v>
      </c>
      <c r="D94">
        <v>4.5252429999999997</v>
      </c>
      <c r="E94">
        <v>0.53280079999999996</v>
      </c>
      <c r="F94" t="s">
        <v>39</v>
      </c>
      <c r="G94">
        <v>-445.26519999999999</v>
      </c>
      <c r="H94" s="1">
        <v>-2.6032310000000001E-6</v>
      </c>
      <c r="I94">
        <v>367.44830000000002</v>
      </c>
      <c r="J94">
        <v>-470.90530000000001</v>
      </c>
      <c r="K94">
        <v>1.102698</v>
      </c>
      <c r="L94">
        <v>367.52429999999998</v>
      </c>
      <c r="M94">
        <v>0.99999249999999995</v>
      </c>
      <c r="N94">
        <v>0</v>
      </c>
      <c r="O94">
        <v>1.915964E-3</v>
      </c>
      <c r="P94">
        <v>0.99604389999999998</v>
      </c>
      <c r="Q94">
        <v>8.4634089999999999E-3</v>
      </c>
      <c r="R94">
        <v>8.8458209999999995E-2</v>
      </c>
      <c r="S94">
        <v>3.0137939999999999</v>
      </c>
      <c r="T94">
        <v>-0.12905220000000001</v>
      </c>
      <c r="U94">
        <v>-8.8500980000000007E-3</v>
      </c>
      <c r="V94">
        <v>-8.6550169999999996E-2</v>
      </c>
      <c r="W94">
        <v>5.1200809999999899E-3</v>
      </c>
      <c r="X94">
        <v>0.99623439999999996</v>
      </c>
      <c r="Y94">
        <v>4.8462829999999998E-3</v>
      </c>
      <c r="Z94">
        <v>-1.8571770000000001E-4</v>
      </c>
      <c r="AA94">
        <v>0.99998829999999905</v>
      </c>
      <c r="AB94">
        <v>18</v>
      </c>
      <c r="AC94">
        <v>25.6401</v>
      </c>
      <c r="AD94">
        <v>-1.1027006032310001</v>
      </c>
      <c r="AE94">
        <v>-7.5999999999964901E-2</v>
      </c>
      <c r="AF94">
        <v>0.124894645303209</v>
      </c>
      <c r="AG94">
        <v>-1.1027006032310001</v>
      </c>
      <c r="AH94">
        <v>25.592571939169201</v>
      </c>
      <c r="AI94">
        <v>92.467133279376398</v>
      </c>
      <c r="AJ94">
        <v>89.720392336101597</v>
      </c>
      <c r="AK94">
        <v>25.616621279051198</v>
      </c>
    </row>
    <row r="95" spans="1:37" x14ac:dyDescent="0.2">
      <c r="A95" t="str">
        <f>"20200111153407020"</f>
        <v>20200111153407020</v>
      </c>
      <c r="B95" t="str">
        <f>"1578728047017022"</f>
        <v>1578728047017022</v>
      </c>
      <c r="C95" t="s">
        <v>37</v>
      </c>
      <c r="D95">
        <v>4.460807</v>
      </c>
      <c r="E95">
        <v>0.53256709999999996</v>
      </c>
      <c r="F95" t="s">
        <v>39</v>
      </c>
      <c r="G95">
        <v>-445.1053</v>
      </c>
      <c r="H95" s="1">
        <v>-2.6761449999999999E-6</v>
      </c>
      <c r="I95">
        <v>367.46339999999998</v>
      </c>
      <c r="J95">
        <v>-470.79570000000001</v>
      </c>
      <c r="K95">
        <v>1.1026940000000001</v>
      </c>
      <c r="L95">
        <v>367.52460000000002</v>
      </c>
      <c r="M95">
        <v>0.99999249999999995</v>
      </c>
      <c r="N95">
        <v>0</v>
      </c>
      <c r="O95">
        <v>1.994474E-3</v>
      </c>
      <c r="P95">
        <v>0.99605140000000003</v>
      </c>
      <c r="Q95">
        <v>8.1465319999999997E-3</v>
      </c>
      <c r="R95">
        <v>8.8404849999999993E-2</v>
      </c>
      <c r="S95">
        <v>3.0136720000000001</v>
      </c>
      <c r="T95">
        <v>-0.12880530000000001</v>
      </c>
      <c r="U95">
        <v>-7.1105959999999899E-3</v>
      </c>
      <c r="V95">
        <v>-8.6418729999999999E-2</v>
      </c>
      <c r="W95">
        <v>4.8125249999999998E-3</v>
      </c>
      <c r="X95">
        <v>0.99624729999999995</v>
      </c>
      <c r="Y95">
        <v>4.3481229999999997E-3</v>
      </c>
      <c r="Z95">
        <v>-1.78083499999999E-4</v>
      </c>
      <c r="AA95">
        <v>0.9999905</v>
      </c>
      <c r="AB95">
        <v>19</v>
      </c>
      <c r="AC95">
        <v>25.6904</v>
      </c>
      <c r="AD95">
        <v>-1.1026966761450001</v>
      </c>
      <c r="AE95">
        <v>-6.1200000000042103E-2</v>
      </c>
      <c r="AF95">
        <v>0.11223222646317001</v>
      </c>
      <c r="AG95">
        <v>-1.1026966761450001</v>
      </c>
      <c r="AH95">
        <v>25.642983945584099</v>
      </c>
      <c r="AI95">
        <v>92.462286044229302</v>
      </c>
      <c r="AJ95">
        <v>89.749233870129999</v>
      </c>
      <c r="AK95">
        <v>25.6669273904322</v>
      </c>
    </row>
    <row r="96" spans="1:37" x14ac:dyDescent="0.2">
      <c r="A96" t="str">
        <f>"20200111153407037"</f>
        <v>20200111153407037</v>
      </c>
      <c r="B96" t="str">
        <f>"1578728047026475"</f>
        <v>1578728047026475</v>
      </c>
      <c r="C96" t="s">
        <v>37</v>
      </c>
      <c r="D96">
        <v>4.227017</v>
      </c>
      <c r="E96">
        <v>0.53256709999999996</v>
      </c>
      <c r="F96" t="s">
        <v>39</v>
      </c>
      <c r="G96">
        <v>-444.82569999999998</v>
      </c>
      <c r="H96" s="1">
        <v>-2.80531299999999E-6</v>
      </c>
      <c r="I96">
        <v>367.48009999999999</v>
      </c>
      <c r="J96">
        <v>-470.64580000000001</v>
      </c>
      <c r="K96">
        <v>1.102692</v>
      </c>
      <c r="L96">
        <v>367.52499999999998</v>
      </c>
      <c r="M96">
        <v>0.99999229999999995</v>
      </c>
      <c r="N96">
        <v>0</v>
      </c>
      <c r="O96">
        <v>2.1017779999999999E-3</v>
      </c>
      <c r="P96">
        <v>0.99603589999999997</v>
      </c>
      <c r="Q96">
        <v>7.4517350000000001E-3</v>
      </c>
      <c r="R96">
        <v>8.8638679999999997E-2</v>
      </c>
      <c r="S96">
        <v>3.013458</v>
      </c>
      <c r="T96">
        <v>-0.12795309999999999</v>
      </c>
      <c r="U96">
        <v>-5.1574709999999899E-3</v>
      </c>
      <c r="V96">
        <v>-8.6545349999999993E-2</v>
      </c>
      <c r="W96">
        <v>4.1311309999999997E-3</v>
      </c>
      <c r="X96">
        <v>0.9962394</v>
      </c>
      <c r="Y96">
        <v>3.8079339999999998E-3</v>
      </c>
      <c r="Z96">
        <v>-1.7000979999999999E-4</v>
      </c>
      <c r="AA96">
        <v>0.99999269999999996</v>
      </c>
      <c r="AB96">
        <v>19</v>
      </c>
      <c r="AC96">
        <v>25.8201</v>
      </c>
      <c r="AD96">
        <v>-1.1026948053129999</v>
      </c>
      <c r="AE96">
        <v>-4.4899999999984098E-2</v>
      </c>
      <c r="AF96">
        <v>9.8987776286466003E-2</v>
      </c>
      <c r="AG96">
        <v>-1.1026948053129999</v>
      </c>
      <c r="AH96">
        <v>25.7729421438708</v>
      </c>
      <c r="AI96">
        <v>92.449886547661507</v>
      </c>
      <c r="AJ96">
        <v>89.779941541592706</v>
      </c>
      <c r="AK96">
        <v>25.796710665602902</v>
      </c>
    </row>
    <row r="97" spans="1:37" x14ac:dyDescent="0.2">
      <c r="A97" t="str">
        <f>"20200111153407105"</f>
        <v>20200111153407105</v>
      </c>
      <c r="B97" t="str">
        <f>"1578728047096750"</f>
        <v>1578728047096750</v>
      </c>
      <c r="C97" t="s">
        <v>37</v>
      </c>
      <c r="D97">
        <v>4.1213230000000003</v>
      </c>
      <c r="E97">
        <v>0.53253139999999999</v>
      </c>
      <c r="F97" t="s">
        <v>39</v>
      </c>
      <c r="G97">
        <v>-445.1284</v>
      </c>
      <c r="H97" s="1">
        <v>-2.6605639999999998E-6</v>
      </c>
      <c r="I97">
        <v>367.4896</v>
      </c>
      <c r="J97">
        <v>-470.05020000000002</v>
      </c>
      <c r="K97">
        <v>1.102714</v>
      </c>
      <c r="L97">
        <v>367.52679999999998</v>
      </c>
      <c r="M97">
        <v>0.99999169999999904</v>
      </c>
      <c r="N97">
        <v>0</v>
      </c>
      <c r="O97">
        <v>2.528598E-3</v>
      </c>
      <c r="P97">
        <v>0.99598489999999995</v>
      </c>
      <c r="Q97">
        <v>9.0912489999999992E-3</v>
      </c>
      <c r="R97">
        <v>8.9058999999999999E-2</v>
      </c>
      <c r="S97">
        <v>3.0132750000000001</v>
      </c>
      <c r="T97">
        <v>-0.13021389999999999</v>
      </c>
      <c r="U97">
        <v>-4.1809079999999997E-3</v>
      </c>
      <c r="V97">
        <v>-8.6540800000000001E-2</v>
      </c>
      <c r="W97">
        <v>5.8529680000000001E-3</v>
      </c>
      <c r="X97">
        <v>0.99623109999999904</v>
      </c>
      <c r="Y97">
        <v>3.9100910000000001E-3</v>
      </c>
      <c r="Z97">
        <v>-1.9366349999999999E-4</v>
      </c>
      <c r="AA97">
        <v>0.99999229999999995</v>
      </c>
      <c r="AB97">
        <v>20</v>
      </c>
      <c r="AC97">
        <v>24.921800000000001</v>
      </c>
      <c r="AD97">
        <v>-1.102716660564</v>
      </c>
      <c r="AE97">
        <v>-3.7199999999984301E-2</v>
      </c>
      <c r="AF97">
        <v>0.100021594121081</v>
      </c>
      <c r="AG97">
        <v>-1.102716660564</v>
      </c>
      <c r="AH97">
        <v>24.872930065689999</v>
      </c>
      <c r="AI97">
        <v>92.538468737366102</v>
      </c>
      <c r="AJ97">
        <v>89.769597538460502</v>
      </c>
      <c r="AK97">
        <v>24.897562900924299</v>
      </c>
    </row>
    <row r="98" spans="1:37" x14ac:dyDescent="0.2">
      <c r="A98" t="str">
        <f>"20200111153407121"</f>
        <v>20200111153407121</v>
      </c>
      <c r="B98" t="str">
        <f>"1578728047116267"</f>
        <v>1578728047116267</v>
      </c>
      <c r="C98" t="s">
        <v>37</v>
      </c>
      <c r="D98">
        <v>4.3583920000000003</v>
      </c>
      <c r="E98">
        <v>0.53349899999999995</v>
      </c>
      <c r="F98" t="s">
        <v>39</v>
      </c>
      <c r="G98">
        <v>-444.84859999999998</v>
      </c>
      <c r="H98" s="1">
        <v>-2.790929E-6</v>
      </c>
      <c r="I98">
        <v>367.50020000000001</v>
      </c>
      <c r="J98">
        <v>-469.9203</v>
      </c>
      <c r="K98">
        <v>1.102719</v>
      </c>
      <c r="L98">
        <v>367.52719999999999</v>
      </c>
      <c r="M98">
        <v>0.99999139999999997</v>
      </c>
      <c r="N98">
        <v>0</v>
      </c>
      <c r="O98">
        <v>2.6219139999999999E-3</v>
      </c>
      <c r="P98">
        <v>0.99600820000000001</v>
      </c>
      <c r="Q98">
        <v>9.4712559999999904E-3</v>
      </c>
      <c r="R98">
        <v>8.8756890000000005E-2</v>
      </c>
      <c r="S98">
        <v>3.01355</v>
      </c>
      <c r="T98">
        <v>-0.13186059999999999</v>
      </c>
      <c r="U98">
        <v>-3.1738280000000001E-3</v>
      </c>
      <c r="V98">
        <v>-8.6145830000000007E-2</v>
      </c>
      <c r="W98">
        <v>6.2568419999999899E-3</v>
      </c>
      <c r="X98">
        <v>0.99626289999999995</v>
      </c>
      <c r="Y98">
        <v>3.6690870000000001E-3</v>
      </c>
      <c r="Z98">
        <v>-1.949036E-4</v>
      </c>
      <c r="AA98">
        <v>0.99999329999999997</v>
      </c>
      <c r="AB98">
        <v>20</v>
      </c>
      <c r="AC98">
        <v>25.0717</v>
      </c>
      <c r="AD98">
        <v>-1.1027217909289999</v>
      </c>
      <c r="AE98">
        <v>-2.6999999999986798E-2</v>
      </c>
      <c r="AF98">
        <v>9.2557038233205005E-2</v>
      </c>
      <c r="AG98">
        <v>-1.1027217909289999</v>
      </c>
      <c r="AH98">
        <v>25.023136317810799</v>
      </c>
      <c r="AI98">
        <v>92.523265698133898</v>
      </c>
      <c r="AJ98">
        <v>89.788071990543799</v>
      </c>
      <c r="AK98">
        <v>25.047592964859099</v>
      </c>
    </row>
    <row r="99" spans="1:37" x14ac:dyDescent="0.2">
      <c r="A99" t="str">
        <f>"20200111153407134"</f>
        <v>20200111153407134</v>
      </c>
      <c r="B99" t="str">
        <f>"1578728047127004"</f>
        <v>1578728047127004</v>
      </c>
      <c r="C99" t="s">
        <v>37</v>
      </c>
      <c r="D99">
        <v>5.8994279999999897</v>
      </c>
      <c r="E99">
        <v>0.53373990000000004</v>
      </c>
      <c r="F99" t="s">
        <v>39</v>
      </c>
      <c r="G99">
        <v>-444.06470000000002</v>
      </c>
      <c r="H99" s="1">
        <v>-3.1742649999999999E-6</v>
      </c>
      <c r="I99">
        <v>367.42829999999998</v>
      </c>
      <c r="J99">
        <v>-469.78710000000001</v>
      </c>
      <c r="K99">
        <v>1.1027260000000001</v>
      </c>
      <c r="L99">
        <v>367.52760000000001</v>
      </c>
      <c r="M99">
        <v>0.99999139999999997</v>
      </c>
      <c r="N99">
        <v>0</v>
      </c>
      <c r="O99">
        <v>2.7170809999999901E-3</v>
      </c>
      <c r="P99">
        <v>0.99602869999999999</v>
      </c>
      <c r="Q99">
        <v>9.8793819999999904E-3</v>
      </c>
      <c r="R99">
        <v>8.8484409999999999E-2</v>
      </c>
      <c r="S99">
        <v>3.0142820000000001</v>
      </c>
      <c r="T99">
        <v>-0.128557</v>
      </c>
      <c r="U99">
        <v>-1.153564E-2</v>
      </c>
      <c r="V99">
        <v>-8.5778820000000006E-2</v>
      </c>
      <c r="W99">
        <v>6.6907549999999996E-3</v>
      </c>
      <c r="X99">
        <v>0.99629179999999995</v>
      </c>
      <c r="Y99">
        <v>6.5356169999999996E-3</v>
      </c>
      <c r="Z99">
        <v>-2.551349E-4</v>
      </c>
      <c r="AA99">
        <v>0.99997860000000005</v>
      </c>
      <c r="AB99">
        <v>20</v>
      </c>
      <c r="AC99">
        <v>25.7224</v>
      </c>
      <c r="AD99">
        <v>-1.1027291742649901</v>
      </c>
      <c r="AE99">
        <v>-9.9300000000027894E-2</v>
      </c>
      <c r="AF99">
        <v>0.168879447019184</v>
      </c>
      <c r="AG99">
        <v>-1.1027291742649901</v>
      </c>
      <c r="AH99">
        <v>25.674848915637298</v>
      </c>
      <c r="AI99">
        <v>92.459276642961996</v>
      </c>
      <c r="AJ99">
        <v>89.623135464182397</v>
      </c>
      <c r="AK99">
        <v>25.699073888765</v>
      </c>
    </row>
    <row r="100" spans="1:37" x14ac:dyDescent="0.2">
      <c r="A100" t="str">
        <f>"20200111153407149"</f>
        <v>20200111153407149</v>
      </c>
      <c r="B100" t="str">
        <f>"1578728047146523"</f>
        <v>1578728047146523</v>
      </c>
      <c r="C100" t="s">
        <v>37</v>
      </c>
      <c r="D100">
        <v>4.3833089999999997</v>
      </c>
      <c r="E100">
        <v>0.53392299999999904</v>
      </c>
      <c r="F100" t="s">
        <v>39</v>
      </c>
      <c r="G100">
        <v>-443.2364</v>
      </c>
      <c r="H100" s="1">
        <v>-3.5700199999999901E-6</v>
      </c>
      <c r="I100">
        <v>367.40449999999998</v>
      </c>
      <c r="J100">
        <v>-469.65449999999998</v>
      </c>
      <c r="K100">
        <v>1.1027340000000001</v>
      </c>
      <c r="L100">
        <v>367.52809999999999</v>
      </c>
      <c r="M100">
        <v>0.99999119999999997</v>
      </c>
      <c r="N100">
        <v>0</v>
      </c>
      <c r="O100">
        <v>2.8118929999999898E-3</v>
      </c>
      <c r="P100">
        <v>0.99606489999999903</v>
      </c>
      <c r="Q100">
        <v>1.027982E-2</v>
      </c>
      <c r="R100">
        <v>8.8028949999999995E-2</v>
      </c>
      <c r="S100">
        <v>3.0144039999999999</v>
      </c>
      <c r="T100">
        <v>-0.12519710000000001</v>
      </c>
      <c r="U100">
        <v>-1.397705E-2</v>
      </c>
      <c r="V100">
        <v>-8.522892E-2</v>
      </c>
      <c r="W100">
        <v>7.1179900000000003E-3</v>
      </c>
      <c r="X100">
        <v>0.996336</v>
      </c>
      <c r="Y100">
        <v>7.439724E-3</v>
      </c>
      <c r="Z100">
        <v>-2.7116519999999998E-4</v>
      </c>
      <c r="AA100">
        <v>0.99997230000000004</v>
      </c>
      <c r="AB100">
        <v>20</v>
      </c>
      <c r="AC100">
        <v>26.4180999999999</v>
      </c>
      <c r="AD100">
        <v>-1.1027375700199999</v>
      </c>
      <c r="AE100">
        <v>-0.12360000000000999</v>
      </c>
      <c r="AF100">
        <v>0.19754056000790499</v>
      </c>
      <c r="AG100">
        <v>-1.1027375700199999</v>
      </c>
      <c r="AH100">
        <v>26.371699669575801</v>
      </c>
      <c r="AI100">
        <v>92.394371760268299</v>
      </c>
      <c r="AJ100">
        <v>89.570826725878703</v>
      </c>
      <c r="AK100">
        <v>26.3954843843314</v>
      </c>
    </row>
    <row r="101" spans="1:37" x14ac:dyDescent="0.2">
      <c r="A101" t="str">
        <f>"20200111153407163"</f>
        <v>20200111153407163</v>
      </c>
      <c r="B101" t="str">
        <f>"1578728047156283"</f>
        <v>1578728047156283</v>
      </c>
      <c r="C101" t="s">
        <v>37</v>
      </c>
      <c r="D101">
        <v>4.4000360000000001</v>
      </c>
      <c r="E101">
        <v>0.53397539999999999</v>
      </c>
      <c r="F101" t="s">
        <v>39</v>
      </c>
      <c r="G101">
        <v>-442.81630000000001</v>
      </c>
      <c r="H101" s="1">
        <v>-3.7733139999999999E-6</v>
      </c>
      <c r="I101">
        <v>367.37779999999998</v>
      </c>
      <c r="J101">
        <v>-469.5299</v>
      </c>
      <c r="K101">
        <v>1.102741</v>
      </c>
      <c r="L101">
        <v>367.52850000000001</v>
      </c>
      <c r="M101">
        <v>0.99999090000000002</v>
      </c>
      <c r="N101">
        <v>0</v>
      </c>
      <c r="O101">
        <v>2.9013400000000001E-3</v>
      </c>
      <c r="P101">
        <v>0.99609159999999997</v>
      </c>
      <c r="Q101">
        <v>1.0307200000000001E-2</v>
      </c>
      <c r="R101">
        <v>8.7723270000000006E-2</v>
      </c>
      <c r="S101">
        <v>3.01464799999999</v>
      </c>
      <c r="T101">
        <v>-0.1238673</v>
      </c>
      <c r="U101">
        <v>-1.6876220000000001E-2</v>
      </c>
      <c r="V101">
        <v>-8.4834080000000006E-2</v>
      </c>
      <c r="W101">
        <v>7.1718719999999897E-3</v>
      </c>
      <c r="X101">
        <v>0.99636930000000001</v>
      </c>
      <c r="Y101">
        <v>8.4896590000000001E-3</v>
      </c>
      <c r="Z101">
        <v>-2.9349969999999998E-4</v>
      </c>
      <c r="AA101">
        <v>0.99996390000000002</v>
      </c>
      <c r="AB101">
        <v>20</v>
      </c>
      <c r="AC101">
        <v>26.7135999999999</v>
      </c>
      <c r="AD101">
        <v>-1.1027447733139999</v>
      </c>
      <c r="AE101">
        <v>-0.15070000000002801</v>
      </c>
      <c r="AF101">
        <v>0.22781677965150901</v>
      </c>
      <c r="AG101">
        <v>-1.1027447733139999</v>
      </c>
      <c r="AH101">
        <v>26.667608540204299</v>
      </c>
      <c r="AI101">
        <v>92.367829264324897</v>
      </c>
      <c r="AJ101">
        <v>89.510543945609996</v>
      </c>
      <c r="AK101">
        <v>26.691371110786701</v>
      </c>
    </row>
    <row r="102" spans="1:37" x14ac:dyDescent="0.2">
      <c r="A102" t="str">
        <f>"20200111153407174"</f>
        <v>20200111153407174</v>
      </c>
      <c r="B102" t="str">
        <f>"1578728047167019"</f>
        <v>1578728047167019</v>
      </c>
      <c r="C102" t="s">
        <v>37</v>
      </c>
      <c r="D102">
        <v>4.5676119999999996</v>
      </c>
      <c r="E102">
        <v>0.53412879999999996</v>
      </c>
      <c r="F102" t="s">
        <v>39</v>
      </c>
      <c r="G102">
        <v>-442.72480000000002</v>
      </c>
      <c r="H102" s="1">
        <v>-3.818649E-6</v>
      </c>
      <c r="I102">
        <v>367.36630000000002</v>
      </c>
      <c r="J102">
        <v>-469.41050000000001</v>
      </c>
      <c r="K102">
        <v>1.1027439999999999</v>
      </c>
      <c r="L102">
        <v>367.529</v>
      </c>
      <c r="M102">
        <v>0.99999090000000002</v>
      </c>
      <c r="N102">
        <v>0</v>
      </c>
      <c r="O102">
        <v>2.9866739999999999E-3</v>
      </c>
      <c r="P102">
        <v>0.99610169999999998</v>
      </c>
      <c r="Q102">
        <v>1.0437490000000001E-2</v>
      </c>
      <c r="R102">
        <v>8.7594699999999998E-2</v>
      </c>
      <c r="S102">
        <v>3.0146790000000001</v>
      </c>
      <c r="T102">
        <v>-0.1240218</v>
      </c>
      <c r="U102">
        <v>-1.824951E-2</v>
      </c>
      <c r="V102">
        <v>-8.4620650000000006E-2</v>
      </c>
      <c r="W102">
        <v>7.3282699999999996E-3</v>
      </c>
      <c r="X102">
        <v>0.99638629999999995</v>
      </c>
      <c r="Y102">
        <v>9.029881E-3</v>
      </c>
      <c r="Z102">
        <v>-3.084785E-4</v>
      </c>
      <c r="AA102">
        <v>0.99995919999999905</v>
      </c>
      <c r="AB102">
        <v>21</v>
      </c>
      <c r="AC102">
        <v>26.685700000000001</v>
      </c>
      <c r="AD102">
        <v>-1.1027478186489901</v>
      </c>
      <c r="AE102">
        <v>-0.16269999999997201</v>
      </c>
      <c r="AF102">
        <v>0.24198791865903899</v>
      </c>
      <c r="AG102">
        <v>-1.1027478186489901</v>
      </c>
      <c r="AH102">
        <v>26.639605993048299</v>
      </c>
      <c r="AI102">
        <v>92.370310651385793</v>
      </c>
      <c r="AJ102">
        <v>89.479552921987406</v>
      </c>
      <c r="AK102">
        <v>26.663518491923899</v>
      </c>
    </row>
    <row r="103" spans="1:37" x14ac:dyDescent="0.2">
      <c r="A103" t="str">
        <f>"20200111153407188"</f>
        <v>20200111153407188</v>
      </c>
      <c r="B103" t="str">
        <f>"1578728047176780"</f>
        <v>1578728047176780</v>
      </c>
      <c r="C103" t="s">
        <v>37</v>
      </c>
      <c r="D103">
        <v>4.4155369999999996</v>
      </c>
      <c r="E103">
        <v>0.53419949999999905</v>
      </c>
      <c r="F103" t="s">
        <v>39</v>
      </c>
      <c r="G103">
        <v>-442.46600000000001</v>
      </c>
      <c r="H103" s="1">
        <v>-3.9437949999999999E-6</v>
      </c>
      <c r="I103">
        <v>367.35039999999998</v>
      </c>
      <c r="J103">
        <v>-469.29430000000002</v>
      </c>
      <c r="K103">
        <v>1.1027480000000001</v>
      </c>
      <c r="L103">
        <v>367.52940000000001</v>
      </c>
      <c r="M103">
        <v>0.99999069999999901</v>
      </c>
      <c r="N103">
        <v>0</v>
      </c>
      <c r="O103">
        <v>3.0699220000000001E-3</v>
      </c>
      <c r="P103">
        <v>0.996116</v>
      </c>
      <c r="Q103">
        <v>1.0669700000000001E-2</v>
      </c>
      <c r="R103">
        <v>8.7402599999999997E-2</v>
      </c>
      <c r="S103">
        <v>3.0148009999999998</v>
      </c>
      <c r="T103">
        <v>-0.1233855</v>
      </c>
      <c r="U103">
        <v>-1.9989010000000001E-2</v>
      </c>
      <c r="V103">
        <v>-8.4345400000000001E-2</v>
      </c>
      <c r="W103">
        <v>7.5867080000000002E-3</v>
      </c>
      <c r="X103">
        <v>0.99640769999999901</v>
      </c>
      <c r="Y103">
        <v>9.6893029999999998E-3</v>
      </c>
      <c r="Z103">
        <v>-3.2377829999999998E-4</v>
      </c>
      <c r="AA103">
        <v>0.99995299999999998</v>
      </c>
      <c r="AB103">
        <v>21</v>
      </c>
      <c r="AC103">
        <v>26.828299999999999</v>
      </c>
      <c r="AD103">
        <v>-1.102751943795</v>
      </c>
      <c r="AE103">
        <v>-0.17900000000003</v>
      </c>
      <c r="AF103">
        <v>0.26091950753811599</v>
      </c>
      <c r="AG103">
        <v>-1.102751943795</v>
      </c>
      <c r="AH103">
        <v>26.782376086527801</v>
      </c>
      <c r="AI103">
        <v>92.357683634594594</v>
      </c>
      <c r="AJ103">
        <v>89.441830194791706</v>
      </c>
      <c r="AK103">
        <v>26.806338983143</v>
      </c>
    </row>
    <row r="104" spans="1:37" x14ac:dyDescent="0.2">
      <c r="A104" t="str">
        <f>"20200111153407206"</f>
        <v>20200111153407206</v>
      </c>
      <c r="B104" t="str">
        <f>"1578728047196299"</f>
        <v>1578728047196299</v>
      </c>
      <c r="C104" t="s">
        <v>37</v>
      </c>
      <c r="D104">
        <v>4.469462</v>
      </c>
      <c r="E104">
        <v>0.53433459999999999</v>
      </c>
      <c r="F104" t="s">
        <v>39</v>
      </c>
      <c r="G104">
        <v>-442.10230000000001</v>
      </c>
      <c r="H104" s="1">
        <v>-4.1176250000000002E-6</v>
      </c>
      <c r="I104">
        <v>367.33949999999999</v>
      </c>
      <c r="J104">
        <v>-469.12580000000003</v>
      </c>
      <c r="K104">
        <v>1.102754</v>
      </c>
      <c r="L104">
        <v>367.5301</v>
      </c>
      <c r="M104">
        <v>0.99999020000000005</v>
      </c>
      <c r="N104">
        <v>0</v>
      </c>
      <c r="O104">
        <v>3.1903220000000002E-3</v>
      </c>
      <c r="P104">
        <v>0.99613739999999995</v>
      </c>
      <c r="Q104">
        <v>1.0846700000000001E-2</v>
      </c>
      <c r="R104">
        <v>8.7134370000000003E-2</v>
      </c>
      <c r="S104">
        <v>3.0148320000000002</v>
      </c>
      <c r="T104">
        <v>-0.1222644</v>
      </c>
      <c r="U104">
        <v>-2.105713E-2</v>
      </c>
      <c r="V104">
        <v>-8.3957550000000006E-2</v>
      </c>
      <c r="W104">
        <v>7.8027089999999997E-3</v>
      </c>
      <c r="X104">
        <v>0.99643879999999996</v>
      </c>
      <c r="Y104">
        <v>1.016359E-2</v>
      </c>
      <c r="Z104">
        <v>-3.3532879999999997E-4</v>
      </c>
      <c r="AA104">
        <v>0.99994830000000001</v>
      </c>
      <c r="AB104">
        <v>21</v>
      </c>
      <c r="AC104">
        <v>27.023499999999999</v>
      </c>
      <c r="AD104">
        <v>-1.1027581176250001</v>
      </c>
      <c r="AE104">
        <v>-0.19060000000001701</v>
      </c>
      <c r="AF104">
        <v>0.276352931130254</v>
      </c>
      <c r="AG104">
        <v>-1.1027581176250001</v>
      </c>
      <c r="AH104">
        <v>26.977832013586301</v>
      </c>
      <c r="AI104">
        <v>92.340622523693895</v>
      </c>
      <c r="AJ104">
        <v>89.413099510633103</v>
      </c>
      <c r="AK104">
        <v>27.001775248339001</v>
      </c>
    </row>
    <row r="105" spans="1:37" x14ac:dyDescent="0.2">
      <c r="A105" t="str">
        <f>"20200111153407219"</f>
        <v>20200111153407219</v>
      </c>
      <c r="B105" t="str">
        <f>"1578728047216795"</f>
        <v>1578728047216795</v>
      </c>
      <c r="C105" t="s">
        <v>37</v>
      </c>
      <c r="D105">
        <v>4.4269970000000001</v>
      </c>
      <c r="E105">
        <v>0.53447659999999997</v>
      </c>
      <c r="F105" t="s">
        <v>39</v>
      </c>
      <c r="G105">
        <v>-441.58569999999997</v>
      </c>
      <c r="H105" s="1">
        <v>-4.364828E-6</v>
      </c>
      <c r="I105">
        <v>367.3227</v>
      </c>
      <c r="J105">
        <v>-468.99610000000001</v>
      </c>
      <c r="K105">
        <v>1.1027559999999901</v>
      </c>
      <c r="L105">
        <v>367.53059999999999</v>
      </c>
      <c r="M105">
        <v>0.99999009999999999</v>
      </c>
      <c r="N105">
        <v>0</v>
      </c>
      <c r="O105">
        <v>3.2825749999999998E-3</v>
      </c>
      <c r="P105">
        <v>0.99614130000000001</v>
      </c>
      <c r="Q105">
        <v>1.1062499999999999E-2</v>
      </c>
      <c r="R105">
        <v>8.706477E-2</v>
      </c>
      <c r="S105">
        <v>3.014923</v>
      </c>
      <c r="T105">
        <v>-0.1207232</v>
      </c>
      <c r="U105">
        <v>-2.2705079999999999E-2</v>
      </c>
      <c r="V105">
        <v>-8.3795850000000005E-2</v>
      </c>
      <c r="W105">
        <v>8.0492269999999904E-3</v>
      </c>
      <c r="X105">
        <v>0.99645039999999996</v>
      </c>
      <c r="Y105">
        <v>1.080185E-2</v>
      </c>
      <c r="Z105">
        <v>-3.4756050000000002E-4</v>
      </c>
      <c r="AA105">
        <v>0.99994159999999899</v>
      </c>
      <c r="AB105">
        <v>21</v>
      </c>
      <c r="AC105">
        <v>27.410399999999999</v>
      </c>
      <c r="AD105">
        <v>-1.10276036482799</v>
      </c>
      <c r="AE105">
        <v>-0.20789999999999501</v>
      </c>
      <c r="AF105">
        <v>0.29739465323442899</v>
      </c>
      <c r="AG105">
        <v>-1.10276036482799</v>
      </c>
      <c r="AH105">
        <v>27.3652797907239</v>
      </c>
      <c r="AI105">
        <v>92.307508720755706</v>
      </c>
      <c r="AJ105">
        <v>89.377357445436004</v>
      </c>
      <c r="AK105">
        <v>27.389104805133901</v>
      </c>
    </row>
    <row r="106" spans="1:37" x14ac:dyDescent="0.2">
      <c r="A106" t="str">
        <f>"20200111153407232"</f>
        <v>20200111153407232</v>
      </c>
      <c r="B106" t="str">
        <f>"1578728047226555"</f>
        <v>1578728047226555</v>
      </c>
      <c r="C106" t="s">
        <v>37</v>
      </c>
      <c r="D106">
        <v>4.3901899999999996</v>
      </c>
      <c r="E106">
        <v>0.53454769999999996</v>
      </c>
      <c r="F106" t="s">
        <v>39</v>
      </c>
      <c r="G106">
        <v>-441.03149999999999</v>
      </c>
      <c r="H106" s="1">
        <v>-4.6296420000000004E-6</v>
      </c>
      <c r="I106">
        <v>367.30669999999998</v>
      </c>
      <c r="J106">
        <v>-468.86689999999999</v>
      </c>
      <c r="K106">
        <v>1.1027610000000001</v>
      </c>
      <c r="L106">
        <v>367.53109999999998</v>
      </c>
      <c r="M106">
        <v>0.99998989999999999</v>
      </c>
      <c r="N106">
        <v>0</v>
      </c>
      <c r="O106">
        <v>3.3743520000000002E-3</v>
      </c>
      <c r="P106">
        <v>0.99613909999999894</v>
      </c>
      <c r="Q106">
        <v>1.1228470000000001E-2</v>
      </c>
      <c r="R106">
        <v>8.7068590000000001E-2</v>
      </c>
      <c r="S106">
        <v>3.0149840000000001</v>
      </c>
      <c r="T106">
        <v>-0.11889329999999999</v>
      </c>
      <c r="U106">
        <v>-2.4139399999999998E-2</v>
      </c>
      <c r="V106">
        <v>-8.3708279999999996E-2</v>
      </c>
      <c r="W106">
        <v>8.2461540000000003E-3</v>
      </c>
      <c r="X106">
        <v>0.99645620000000001</v>
      </c>
      <c r="Y106">
        <v>1.1368980000000001E-2</v>
      </c>
      <c r="Z106">
        <v>-3.5708389999999999E-4</v>
      </c>
      <c r="AA106">
        <v>0.99993529999999997</v>
      </c>
      <c r="AB106">
        <v>21</v>
      </c>
      <c r="AC106">
        <v>27.8354</v>
      </c>
      <c r="AD106">
        <v>-1.1027656296420001</v>
      </c>
      <c r="AE106">
        <v>-0.22440000000000199</v>
      </c>
      <c r="AF106">
        <v>0.31782676563284801</v>
      </c>
      <c r="AG106">
        <v>-1.1027656296420001</v>
      </c>
      <c r="AH106">
        <v>27.7908683630558</v>
      </c>
      <c r="AI106">
        <v>92.272205364325004</v>
      </c>
      <c r="AJ106">
        <v>89.344772599170099</v>
      </c>
      <c r="AK106">
        <v>27.814555007397999</v>
      </c>
    </row>
    <row r="107" spans="1:37" x14ac:dyDescent="0.2">
      <c r="A107" t="str">
        <f>"20200111153407250"</f>
        <v>20200111153407250</v>
      </c>
      <c r="B107" t="str">
        <f>"1578728047247051"</f>
        <v>1578728047247051</v>
      </c>
      <c r="C107" t="s">
        <v>37</v>
      </c>
      <c r="D107">
        <v>4.4878869999999997</v>
      </c>
      <c r="E107">
        <v>0.53451899999999997</v>
      </c>
      <c r="F107" t="s">
        <v>39</v>
      </c>
      <c r="G107">
        <v>-440.68860000000001</v>
      </c>
      <c r="H107" s="1">
        <v>-4.7923919999999998E-6</v>
      </c>
      <c r="I107">
        <v>367.30290000000002</v>
      </c>
      <c r="J107">
        <v>-468.69839999999999</v>
      </c>
      <c r="K107">
        <v>1.10277</v>
      </c>
      <c r="L107">
        <v>367.53179999999998</v>
      </c>
      <c r="M107">
        <v>0.99998969999999898</v>
      </c>
      <c r="N107">
        <v>0</v>
      </c>
      <c r="O107">
        <v>3.4935609999999901E-3</v>
      </c>
      <c r="P107">
        <v>0.9961139</v>
      </c>
      <c r="Q107">
        <v>1.1635009999999999E-2</v>
      </c>
      <c r="R107">
        <v>8.730417E-2</v>
      </c>
      <c r="S107">
        <v>3.0150759999999899</v>
      </c>
      <c r="T107">
        <v>-0.117995899999999</v>
      </c>
      <c r="U107">
        <v>-2.4414060000000001E-2</v>
      </c>
      <c r="V107">
        <v>-8.3825330000000003E-2</v>
      </c>
      <c r="W107">
        <v>8.6934109999999998E-3</v>
      </c>
      <c r="X107">
        <v>0.99644259999999996</v>
      </c>
      <c r="Y107">
        <v>1.1578939999999999E-2</v>
      </c>
      <c r="Z107">
        <v>-3.6315019999999998E-4</v>
      </c>
      <c r="AA107">
        <v>0.99993290000000001</v>
      </c>
      <c r="AB107">
        <v>21</v>
      </c>
      <c r="AC107">
        <v>28.009799999999899</v>
      </c>
      <c r="AD107">
        <v>-1.1027747923919999</v>
      </c>
      <c r="AE107">
        <v>-0.228899999999953</v>
      </c>
      <c r="AF107">
        <v>0.32624728369019801</v>
      </c>
      <c r="AG107">
        <v>-1.1027747923919999</v>
      </c>
      <c r="AH107">
        <v>27.965483593898501</v>
      </c>
      <c r="AI107">
        <v>92.258045305407805</v>
      </c>
      <c r="AJ107">
        <v>89.331613757492605</v>
      </c>
      <c r="AK107">
        <v>27.989119710584902</v>
      </c>
    </row>
    <row r="108" spans="1:37" x14ac:dyDescent="0.2">
      <c r="A108" t="str">
        <f>"20200111153407262"</f>
        <v>20200111153407262</v>
      </c>
      <c r="B108" t="str">
        <f>"1578728047256811"</f>
        <v>1578728047256811</v>
      </c>
      <c r="C108" t="s">
        <v>37</v>
      </c>
      <c r="D108">
        <v>4.5646360000000001</v>
      </c>
      <c r="E108">
        <v>0.5344177</v>
      </c>
      <c r="F108" t="s">
        <v>39</v>
      </c>
      <c r="G108">
        <v>-440.06950000000001</v>
      </c>
      <c r="H108" s="1">
        <v>-5.0840169999999998E-6</v>
      </c>
      <c r="I108">
        <v>367.30869999999999</v>
      </c>
      <c r="J108">
        <v>-468.57960000000003</v>
      </c>
      <c r="K108">
        <v>1.10277</v>
      </c>
      <c r="L108">
        <v>367.53230000000002</v>
      </c>
      <c r="M108">
        <v>0.99998940000000003</v>
      </c>
      <c r="N108">
        <v>0</v>
      </c>
      <c r="O108">
        <v>3.5775859999999998E-3</v>
      </c>
      <c r="P108">
        <v>0.99609300000000001</v>
      </c>
      <c r="Q108">
        <v>1.1585170000000001E-2</v>
      </c>
      <c r="R108">
        <v>8.7547070000000005E-2</v>
      </c>
      <c r="S108">
        <v>3.01513699999999</v>
      </c>
      <c r="T108">
        <v>-0.11614189999999899</v>
      </c>
      <c r="U108">
        <v>-2.3498539999999998E-2</v>
      </c>
      <c r="V108">
        <v>-8.3984519999999993E-2</v>
      </c>
      <c r="W108">
        <v>8.6729089999999995E-3</v>
      </c>
      <c r="X108">
        <v>0.99642929999999996</v>
      </c>
      <c r="Y108">
        <v>1.1359650000000001E-2</v>
      </c>
      <c r="Z108">
        <v>-3.5645519999999903E-4</v>
      </c>
      <c r="AA108">
        <v>0.99993539999999903</v>
      </c>
      <c r="AB108">
        <v>21</v>
      </c>
      <c r="AC108">
        <v>28.510100000000001</v>
      </c>
      <c r="AD108">
        <v>-1.1027750840170001</v>
      </c>
      <c r="AE108">
        <v>-0.22360000000003299</v>
      </c>
      <c r="AF108">
        <v>0.32510994733584703</v>
      </c>
      <c r="AG108">
        <v>-1.1027750840170001</v>
      </c>
      <c r="AH108">
        <v>28.466529890296101</v>
      </c>
      <c r="AI108">
        <v>92.218347824542093</v>
      </c>
      <c r="AJ108">
        <v>89.345666011603299</v>
      </c>
      <c r="AK108">
        <v>28.489737333975299</v>
      </c>
    </row>
    <row r="109" spans="1:37" x14ac:dyDescent="0.2">
      <c r="A109" t="str">
        <f>"20200111153407275"</f>
        <v>20200111153407275</v>
      </c>
      <c r="B109" t="str">
        <f>"1578728047266571"</f>
        <v>1578728047266571</v>
      </c>
      <c r="C109" t="s">
        <v>37</v>
      </c>
      <c r="D109">
        <v>4.8562659999999997</v>
      </c>
      <c r="E109">
        <v>0.53394090000000005</v>
      </c>
      <c r="F109" t="s">
        <v>38</v>
      </c>
      <c r="G109">
        <v>-438.65820000000002</v>
      </c>
      <c r="H109">
        <v>-0.05</v>
      </c>
      <c r="I109">
        <v>367.31450000000001</v>
      </c>
      <c r="J109">
        <v>-468.45060000000001</v>
      </c>
      <c r="K109">
        <v>1.1027739999999999</v>
      </c>
      <c r="L109">
        <v>367.53289999999998</v>
      </c>
      <c r="M109">
        <v>0.99998920000000002</v>
      </c>
      <c r="N109">
        <v>0</v>
      </c>
      <c r="O109">
        <v>3.6688259999999901E-3</v>
      </c>
      <c r="P109">
        <v>0.99606700000000004</v>
      </c>
      <c r="Q109">
        <v>1.169826E-2</v>
      </c>
      <c r="R109">
        <v>8.7826950000000001E-2</v>
      </c>
      <c r="S109">
        <v>3.015015</v>
      </c>
      <c r="T109">
        <v>-0.116158199999999</v>
      </c>
      <c r="U109">
        <v>-2.1942139999999999E-2</v>
      </c>
      <c r="V109">
        <v>-8.4173510000000007E-2</v>
      </c>
      <c r="W109">
        <v>8.8183399999999992E-3</v>
      </c>
      <c r="X109">
        <v>0.99641209999999902</v>
      </c>
      <c r="Y109">
        <v>1.093529E-2</v>
      </c>
      <c r="Z109">
        <v>-3.5186269999999898E-4</v>
      </c>
      <c r="AA109">
        <v>0.99994019999999995</v>
      </c>
      <c r="AB109">
        <v>22</v>
      </c>
      <c r="AC109">
        <v>29.792399999999901</v>
      </c>
      <c r="AD109">
        <v>-1.152774</v>
      </c>
      <c r="AE109">
        <v>-0.218399999999974</v>
      </c>
      <c r="AF109">
        <v>0.32721223362411</v>
      </c>
      <c r="AG109">
        <v>-1.152774</v>
      </c>
      <c r="AH109">
        <v>29.746863856055601</v>
      </c>
      <c r="AI109">
        <v>92.219126754700895</v>
      </c>
      <c r="AJ109">
        <v>89.369778139035603</v>
      </c>
      <c r="AK109">
        <v>29.7709903263498</v>
      </c>
    </row>
    <row r="110" spans="1:37" x14ac:dyDescent="0.2">
      <c r="A110" t="str">
        <f>"20200111153407295"</f>
        <v>20200111153407295</v>
      </c>
      <c r="B110" t="str">
        <f>"1578728047287070"</f>
        <v>1578728047287070</v>
      </c>
      <c r="C110" t="s">
        <v>37</v>
      </c>
      <c r="D110">
        <v>4.4679609999999998</v>
      </c>
      <c r="E110">
        <v>0.44835760000000002</v>
      </c>
      <c r="F110" t="s">
        <v>38</v>
      </c>
      <c r="G110">
        <v>-438.59550000000002</v>
      </c>
      <c r="H110">
        <v>-0.05</v>
      </c>
      <c r="I110">
        <v>367.3612</v>
      </c>
      <c r="J110">
        <v>-468.2568</v>
      </c>
      <c r="K110">
        <v>1.102784</v>
      </c>
      <c r="L110">
        <v>367.53370000000001</v>
      </c>
      <c r="M110">
        <v>0.99998889999999996</v>
      </c>
      <c r="N110">
        <v>0</v>
      </c>
      <c r="O110">
        <v>3.8052099999999998E-3</v>
      </c>
      <c r="P110">
        <v>0.99598539999999902</v>
      </c>
      <c r="Q110">
        <v>1.222759E-2</v>
      </c>
      <c r="R110">
        <v>8.8678290000000007E-2</v>
      </c>
      <c r="S110">
        <v>3.0147710000000001</v>
      </c>
      <c r="T110">
        <v>-0.116407199999999</v>
      </c>
      <c r="U110">
        <v>-1.7333979999999999E-2</v>
      </c>
      <c r="V110">
        <v>-8.4889519999999996E-2</v>
      </c>
      <c r="W110">
        <v>9.3962409999999996E-3</v>
      </c>
      <c r="X110">
        <v>0.99634609999999901</v>
      </c>
      <c r="Y110">
        <v>9.5447640000000007E-3</v>
      </c>
      <c r="Z110">
        <v>-3.3107509999999999E-4</v>
      </c>
      <c r="AA110">
        <v>0.99995440000000002</v>
      </c>
      <c r="AB110">
        <v>22</v>
      </c>
      <c r="AC110">
        <v>29.661299999999901</v>
      </c>
      <c r="AD110">
        <v>-1.152784</v>
      </c>
      <c r="AE110">
        <v>-0.172500000000013</v>
      </c>
      <c r="AF110">
        <v>0.284936285638833</v>
      </c>
      <c r="AG110">
        <v>-1.152784</v>
      </c>
      <c r="AH110">
        <v>29.6156963945065</v>
      </c>
      <c r="AI110">
        <v>92.228996308683705</v>
      </c>
      <c r="AJ110">
        <v>89.448767212010097</v>
      </c>
      <c r="AK110">
        <v>29.639493460062901</v>
      </c>
    </row>
    <row r="111" spans="1:37" x14ac:dyDescent="0.2">
      <c r="A111" t="str">
        <f>"20200111153407308"</f>
        <v>20200111153407308</v>
      </c>
      <c r="B111" t="str">
        <f>"1578728047296828"</f>
        <v>1578728047296828</v>
      </c>
      <c r="C111" t="s">
        <v>37</v>
      </c>
      <c r="D111">
        <v>4.3723159999999996</v>
      </c>
      <c r="E111">
        <v>0.44835760000000002</v>
      </c>
      <c r="F111" t="s">
        <v>39</v>
      </c>
      <c r="G111">
        <v>-453.34460000000001</v>
      </c>
      <c r="H111" s="1">
        <v>-3.16858099999999E-6</v>
      </c>
      <c r="I111">
        <v>370.86079999999998</v>
      </c>
      <c r="J111">
        <v>-468.13119999999998</v>
      </c>
      <c r="K111">
        <v>1.1027910000000001</v>
      </c>
      <c r="L111">
        <v>367.53429999999997</v>
      </c>
      <c r="M111">
        <v>0.99998849999999995</v>
      </c>
      <c r="N111">
        <v>0</v>
      </c>
      <c r="O111">
        <v>3.8937669999999998E-3</v>
      </c>
      <c r="P111">
        <v>0.99592130000000001</v>
      </c>
      <c r="Q111">
        <v>1.209238E-2</v>
      </c>
      <c r="R111">
        <v>8.9411969999999993E-2</v>
      </c>
      <c r="S111">
        <v>2.9560550000000001</v>
      </c>
      <c r="T111">
        <v>-0.21860450000000001</v>
      </c>
      <c r="U111">
        <v>0.65954590000000002</v>
      </c>
      <c r="V111">
        <v>-8.5535249999999993E-2</v>
      </c>
      <c r="W111">
        <v>9.2927700000000005E-3</v>
      </c>
      <c r="X111">
        <v>0.99629179999999995</v>
      </c>
      <c r="Y111">
        <v>-0.21341559999999901</v>
      </c>
      <c r="Z111">
        <v>7.5010619999999898E-3</v>
      </c>
      <c r="AA111">
        <v>0.97693269999999899</v>
      </c>
      <c r="AB111">
        <v>22</v>
      </c>
      <c r="AC111">
        <v>14.7865999999999</v>
      </c>
      <c r="AD111">
        <v>-1.1027941685810001</v>
      </c>
      <c r="AE111">
        <v>3.3264999999999998</v>
      </c>
      <c r="AF111">
        <v>-3.2516835106109401</v>
      </c>
      <c r="AG111">
        <v>-1.1027941685810001</v>
      </c>
      <c r="AH111">
        <v>14.7215001580471</v>
      </c>
      <c r="AI111">
        <v>94.183583156335203</v>
      </c>
      <c r="AJ111">
        <v>102.455496881107</v>
      </c>
      <c r="AK111">
        <v>15.116618918753501</v>
      </c>
    </row>
    <row r="112" spans="1:37" x14ac:dyDescent="0.2">
      <c r="A112" t="str">
        <f>"20200111153407321"</f>
        <v>20200111153407321</v>
      </c>
      <c r="B112" t="str">
        <f>"1578728047316348"</f>
        <v>1578728047316348</v>
      </c>
      <c r="C112" t="s">
        <v>37</v>
      </c>
      <c r="D112">
        <v>4.3459949999999896</v>
      </c>
      <c r="E112">
        <v>0.35982999999999998</v>
      </c>
      <c r="F112" t="s">
        <v>39</v>
      </c>
      <c r="G112">
        <v>-453.2355</v>
      </c>
      <c r="H112" s="1">
        <v>-3.2177600000000001E-6</v>
      </c>
      <c r="I112">
        <v>370.86970000000002</v>
      </c>
      <c r="J112">
        <v>-468.005</v>
      </c>
      <c r="K112">
        <v>1.102792</v>
      </c>
      <c r="L112">
        <v>367.53489999999999</v>
      </c>
      <c r="M112">
        <v>0.9999884</v>
      </c>
      <c r="N112">
        <v>0</v>
      </c>
      <c r="O112">
        <v>3.9825030000000001E-3</v>
      </c>
      <c r="P112">
        <v>0.99586869999999905</v>
      </c>
      <c r="Q112">
        <v>1.2487740000000001E-2</v>
      </c>
      <c r="R112">
        <v>8.9942659999999994E-2</v>
      </c>
      <c r="S112">
        <v>2.955505</v>
      </c>
      <c r="T112">
        <v>-0.21880729999999901</v>
      </c>
      <c r="U112">
        <v>0.66180419999999995</v>
      </c>
      <c r="V112">
        <v>-8.597813E-2</v>
      </c>
      <c r="W112">
        <v>9.7204730000000003E-3</v>
      </c>
      <c r="X112">
        <v>0.99624959999999996</v>
      </c>
      <c r="Y112">
        <v>-0.21407590000000001</v>
      </c>
      <c r="Z112">
        <v>7.5263750000000001E-3</v>
      </c>
      <c r="AA112">
        <v>0.97678799999999899</v>
      </c>
      <c r="AB112">
        <v>22</v>
      </c>
      <c r="AC112">
        <v>14.769499999999899</v>
      </c>
      <c r="AD112">
        <v>-1.10279521776</v>
      </c>
      <c r="AE112">
        <v>3.33480000000002</v>
      </c>
      <c r="AF112">
        <v>-3.2586674083134799</v>
      </c>
      <c r="AG112">
        <v>-1.10279521776</v>
      </c>
      <c r="AH112">
        <v>14.704659519942499</v>
      </c>
      <c r="AI112">
        <v>94.187720667439507</v>
      </c>
      <c r="AJ112">
        <v>102.49525679972101</v>
      </c>
      <c r="AK112">
        <v>15.101724476620401</v>
      </c>
    </row>
    <row r="113" spans="1:37" x14ac:dyDescent="0.2">
      <c r="A113" t="str">
        <f>"20200111153407338"</f>
        <v>20200111153407338</v>
      </c>
      <c r="B113" t="str">
        <f>"1578728047326988"</f>
        <v>1578728047326988</v>
      </c>
      <c r="C113" t="s">
        <v>37</v>
      </c>
      <c r="D113">
        <v>4.5379259999999997</v>
      </c>
      <c r="E113">
        <v>0.34870630000000002</v>
      </c>
      <c r="F113" t="s">
        <v>40</v>
      </c>
      <c r="G113">
        <v>-467.09530000000001</v>
      </c>
      <c r="H113">
        <v>1.0081209999999901</v>
      </c>
      <c r="I113">
        <v>367.9631</v>
      </c>
      <c r="J113">
        <v>-467.8229</v>
      </c>
      <c r="K113">
        <v>1.102792</v>
      </c>
      <c r="L113">
        <v>367.53579999999999</v>
      </c>
      <c r="M113">
        <v>0.99998799999999899</v>
      </c>
      <c r="N113">
        <v>0</v>
      </c>
      <c r="O113">
        <v>4.111076E-3</v>
      </c>
      <c r="P113">
        <v>0.99575669999999905</v>
      </c>
      <c r="Q113">
        <v>1.199603E-2</v>
      </c>
      <c r="R113">
        <v>9.1241710000000004E-2</v>
      </c>
      <c r="S113">
        <v>2.8931269999999998</v>
      </c>
      <c r="T113">
        <v>-0.30100659999999901</v>
      </c>
      <c r="U113">
        <v>1.362549</v>
      </c>
      <c r="V113">
        <v>-8.714943E-2</v>
      </c>
      <c r="W113">
        <v>9.2760840000000004E-3</v>
      </c>
      <c r="X113">
        <v>0.99615200000000004</v>
      </c>
      <c r="Y113">
        <v>-0.4205103</v>
      </c>
      <c r="Z113">
        <v>2.0327310000000001E-2</v>
      </c>
      <c r="AA113">
        <v>0.90705999999999998</v>
      </c>
      <c r="AB113">
        <v>22</v>
      </c>
      <c r="AC113">
        <v>0.72759999999999503</v>
      </c>
      <c r="AD113">
        <v>-9.4671000000000102E-2</v>
      </c>
      <c r="AE113">
        <v>0.42730000000000201</v>
      </c>
      <c r="AF113">
        <v>-0.419030343644614</v>
      </c>
      <c r="AG113">
        <v>-9.4671000000000102E-2</v>
      </c>
      <c r="AH113">
        <v>0.72028348538022702</v>
      </c>
      <c r="AI113">
        <v>96.481540946231704</v>
      </c>
      <c r="AJ113">
        <v>120.18902679326</v>
      </c>
      <c r="AK113">
        <v>0.83866401284865599</v>
      </c>
    </row>
    <row r="114" spans="1:37" x14ac:dyDescent="0.2">
      <c r="A114" t="str">
        <f>"20200111153407351"</f>
        <v>20200111153407351</v>
      </c>
      <c r="B114" t="str">
        <f>"1578728047346507"</f>
        <v>1578728047346507</v>
      </c>
      <c r="C114" t="s">
        <v>37</v>
      </c>
      <c r="D114">
        <v>4.4484190000000003</v>
      </c>
      <c r="E114">
        <v>0.33351520000000001</v>
      </c>
      <c r="F114" t="s">
        <v>39</v>
      </c>
      <c r="G114">
        <v>-458.11610000000002</v>
      </c>
      <c r="H114" s="1">
        <v>-1.5387429999999999E-6</v>
      </c>
      <c r="I114">
        <v>372.42840000000001</v>
      </c>
      <c r="J114">
        <v>-467.69580000000002</v>
      </c>
      <c r="K114">
        <v>1.102795</v>
      </c>
      <c r="L114">
        <v>367.53640000000001</v>
      </c>
      <c r="M114">
        <v>0.99998770000000003</v>
      </c>
      <c r="N114">
        <v>0</v>
      </c>
      <c r="O114">
        <v>4.20082599999999E-3</v>
      </c>
      <c r="P114">
        <v>0.99568330000000005</v>
      </c>
      <c r="Q114">
        <v>1.177042E-2</v>
      </c>
      <c r="R114">
        <v>9.2067570000000001E-2</v>
      </c>
      <c r="S114">
        <v>2.8835139999999999</v>
      </c>
      <c r="T114">
        <v>-0.327594</v>
      </c>
      <c r="U114">
        <v>1.45343</v>
      </c>
      <c r="V114">
        <v>-8.7885820000000003E-2</v>
      </c>
      <c r="W114">
        <v>9.0839259999999904E-3</v>
      </c>
      <c r="X114">
        <v>0.99608920000000001</v>
      </c>
      <c r="Y114">
        <v>-0.44409120000000002</v>
      </c>
      <c r="Z114">
        <v>2.3286910000000001E-2</v>
      </c>
      <c r="AA114">
        <v>0.89567889999999994</v>
      </c>
      <c r="AB114">
        <v>22</v>
      </c>
      <c r="AC114">
        <v>9.5797000000000008</v>
      </c>
      <c r="AD114">
        <v>-1.1027965387430001</v>
      </c>
      <c r="AE114">
        <v>4.8919999999999897</v>
      </c>
      <c r="AF114">
        <v>-4.8012475828637804</v>
      </c>
      <c r="AG114">
        <v>-1.1027965387430001</v>
      </c>
      <c r="AH114">
        <v>9.5003071756749193</v>
      </c>
      <c r="AI114">
        <v>95.914819261379193</v>
      </c>
      <c r="AJ114">
        <v>116.811036326908</v>
      </c>
      <c r="AK114">
        <v>10.701587498591</v>
      </c>
    </row>
    <row r="115" spans="1:37" x14ac:dyDescent="0.2">
      <c r="A115" t="str">
        <f>"20200111153407364"</f>
        <v>20200111153407364</v>
      </c>
      <c r="B115" t="str">
        <f>"1578728047356268"</f>
        <v>1578728047356268</v>
      </c>
      <c r="C115" t="s">
        <v>37</v>
      </c>
      <c r="D115">
        <v>4.4308800000000002</v>
      </c>
      <c r="E115">
        <v>0.32887889999999997</v>
      </c>
      <c r="F115" t="s">
        <v>40</v>
      </c>
      <c r="G115">
        <v>-466.89429999999999</v>
      </c>
      <c r="H115">
        <v>1.004548</v>
      </c>
      <c r="I115">
        <v>367.976</v>
      </c>
      <c r="J115">
        <v>-467.56639999999999</v>
      </c>
      <c r="K115">
        <v>1.1028020000000001</v>
      </c>
      <c r="L115">
        <v>367.53699999999998</v>
      </c>
      <c r="M115">
        <v>0.99998739999999997</v>
      </c>
      <c r="N115">
        <v>0</v>
      </c>
      <c r="O115">
        <v>4.2920069999999996E-3</v>
      </c>
      <c r="P115">
        <v>0.99563429999999997</v>
      </c>
      <c r="Q115">
        <v>1.1657799999999999E-2</v>
      </c>
      <c r="R115">
        <v>9.261142E-2</v>
      </c>
      <c r="S115">
        <v>2.8715519999999999</v>
      </c>
      <c r="T115">
        <v>-0.35198379999999901</v>
      </c>
      <c r="U115">
        <v>1.5749819999999899</v>
      </c>
      <c r="V115">
        <v>-8.8339000000000001E-2</v>
      </c>
      <c r="W115">
        <v>9.0052510000000006E-3</v>
      </c>
      <c r="X115">
        <v>0.99604979999999999</v>
      </c>
      <c r="Y115">
        <v>-0.47442040000000002</v>
      </c>
      <c r="Z115">
        <v>2.659427E-2</v>
      </c>
      <c r="AA115">
        <v>0.87989660000000003</v>
      </c>
      <c r="AB115">
        <v>23</v>
      </c>
      <c r="AC115">
        <v>0.67210000000000003</v>
      </c>
      <c r="AD115">
        <v>-9.8253999999999994E-2</v>
      </c>
      <c r="AE115">
        <v>0.43900000000002098</v>
      </c>
      <c r="AF115">
        <v>-0.42967466486496603</v>
      </c>
      <c r="AG115">
        <v>-9.8253999999999994E-2</v>
      </c>
      <c r="AH115">
        <v>0.66403067676728</v>
      </c>
      <c r="AI115">
        <v>97.081416513891</v>
      </c>
      <c r="AJ115">
        <v>122.90571466504301</v>
      </c>
      <c r="AK115">
        <v>0.79700119562697802</v>
      </c>
    </row>
    <row r="116" spans="1:37" x14ac:dyDescent="0.2">
      <c r="A116" t="str">
        <f>"20200111153407376"</f>
        <v>20200111153407376</v>
      </c>
      <c r="B116" t="str">
        <f>"1578728047367004"</f>
        <v>1578728047367004</v>
      </c>
      <c r="C116" t="s">
        <v>37</v>
      </c>
      <c r="D116">
        <v>4.472531</v>
      </c>
      <c r="E116">
        <v>0.32617410000000002</v>
      </c>
      <c r="F116" t="s">
        <v>40</v>
      </c>
      <c r="G116">
        <v>-466.69810000000001</v>
      </c>
      <c r="H116">
        <v>0.99788860000000001</v>
      </c>
      <c r="I116">
        <v>368.0256</v>
      </c>
      <c r="J116">
        <v>-467.43040000000002</v>
      </c>
      <c r="K116">
        <v>1.102808</v>
      </c>
      <c r="L116">
        <v>367.53769999999997</v>
      </c>
      <c r="M116">
        <v>0.99998690000000001</v>
      </c>
      <c r="N116">
        <v>0</v>
      </c>
      <c r="O116">
        <v>4.3876000000000002E-3</v>
      </c>
      <c r="P116">
        <v>0.99556679999999997</v>
      </c>
      <c r="Q116">
        <v>1.153468E-2</v>
      </c>
      <c r="R116">
        <v>9.3346269999999995E-2</v>
      </c>
      <c r="S116">
        <v>2.8670960000000001</v>
      </c>
      <c r="T116">
        <v>-0.34636319999999998</v>
      </c>
      <c r="U116">
        <v>1.6140749999999999</v>
      </c>
      <c r="V116">
        <v>-8.8978799999999997E-2</v>
      </c>
      <c r="W116">
        <v>8.9184709999999903E-3</v>
      </c>
      <c r="X116">
        <v>0.99599359999999904</v>
      </c>
      <c r="Y116">
        <v>-0.48409179999999902</v>
      </c>
      <c r="Z116">
        <v>2.6659120000000001E-2</v>
      </c>
      <c r="AA116">
        <v>0.87461100000000003</v>
      </c>
      <c r="AB116">
        <v>23</v>
      </c>
      <c r="AC116">
        <v>0.73230000000000905</v>
      </c>
      <c r="AD116">
        <v>-0.1049194</v>
      </c>
      <c r="AE116">
        <v>0.48790000000002398</v>
      </c>
      <c r="AF116">
        <v>-0.47788828834052899</v>
      </c>
      <c r="AG116">
        <v>-0.1049194</v>
      </c>
      <c r="AH116">
        <v>0.72413884894652303</v>
      </c>
      <c r="AI116">
        <v>96.895219645973697</v>
      </c>
      <c r="AJ116">
        <v>123.42242178696</v>
      </c>
      <c r="AK116">
        <v>0.87393499139409503</v>
      </c>
    </row>
    <row r="117" spans="1:37" x14ac:dyDescent="0.2">
      <c r="A117" t="str">
        <f>"20200111153407395"</f>
        <v>20200111153407395</v>
      </c>
      <c r="B117" t="str">
        <f>"1578728047386523"</f>
        <v>1578728047386523</v>
      </c>
      <c r="C117" t="s">
        <v>37</v>
      </c>
      <c r="D117">
        <v>4.4600349999999898</v>
      </c>
      <c r="E117">
        <v>0.32253369999999998</v>
      </c>
      <c r="F117" t="s">
        <v>40</v>
      </c>
      <c r="G117">
        <v>-466.68369999999999</v>
      </c>
      <c r="H117">
        <v>1.013366</v>
      </c>
      <c r="I117">
        <v>367.96429999999998</v>
      </c>
      <c r="J117">
        <v>-467.23930000000001</v>
      </c>
      <c r="K117">
        <v>1.102814</v>
      </c>
      <c r="L117">
        <v>367.53870000000001</v>
      </c>
      <c r="M117">
        <v>0.9999865</v>
      </c>
      <c r="N117">
        <v>0</v>
      </c>
      <c r="O117">
        <v>4.5215979999999999E-3</v>
      </c>
      <c r="P117">
        <v>0.99547399999999997</v>
      </c>
      <c r="Q117">
        <v>1.189784E-2</v>
      </c>
      <c r="R117">
        <v>9.4287140000000005E-2</v>
      </c>
      <c r="S117">
        <v>2.8637700000000001</v>
      </c>
      <c r="T117">
        <v>-0.34303929999999999</v>
      </c>
      <c r="U117">
        <v>1.6376040000000001</v>
      </c>
      <c r="V117">
        <v>-8.9787240000000004E-2</v>
      </c>
      <c r="W117">
        <v>9.332824E-3</v>
      </c>
      <c r="X117">
        <v>0.99591730000000001</v>
      </c>
      <c r="Y117">
        <v>-0.4898595</v>
      </c>
      <c r="Z117">
        <v>2.6687200000000001E-2</v>
      </c>
      <c r="AA117">
        <v>0.87139279999999997</v>
      </c>
      <c r="AB117">
        <v>23</v>
      </c>
      <c r="AC117">
        <v>0.55560000000002596</v>
      </c>
      <c r="AD117">
        <v>-8.9447999999999903E-2</v>
      </c>
      <c r="AE117">
        <v>0.425599999999974</v>
      </c>
      <c r="AF117">
        <v>-0.41628376441064602</v>
      </c>
      <c r="AG117">
        <v>-8.9447999999999903E-2</v>
      </c>
      <c r="AH117">
        <v>0.54855843641494795</v>
      </c>
      <c r="AI117">
        <v>97.400886754148104</v>
      </c>
      <c r="AJ117">
        <v>127.19372048768</v>
      </c>
      <c r="AK117">
        <v>0.69441304378439705</v>
      </c>
    </row>
    <row r="118" spans="1:37" x14ac:dyDescent="0.2">
      <c r="A118" t="str">
        <f>"20200111153407408"</f>
        <v>20200111153407408</v>
      </c>
      <c r="B118" t="str">
        <f>"1578728047396285"</f>
        <v>1578728047396285</v>
      </c>
      <c r="C118" t="s">
        <v>37</v>
      </c>
      <c r="D118">
        <v>4.4734429999999996</v>
      </c>
      <c r="E118">
        <v>0.32164740000000003</v>
      </c>
      <c r="F118" t="s">
        <v>40</v>
      </c>
      <c r="G118">
        <v>-466.47969999999998</v>
      </c>
      <c r="H118">
        <v>1.014456</v>
      </c>
      <c r="I118">
        <v>367.98250000000002</v>
      </c>
      <c r="J118">
        <v>-467.0994</v>
      </c>
      <c r="K118">
        <v>1.1028180000000001</v>
      </c>
      <c r="L118">
        <v>367.5394</v>
      </c>
      <c r="M118">
        <v>0.99998639999999905</v>
      </c>
      <c r="N118">
        <v>0</v>
      </c>
      <c r="O118">
        <v>4.6196969999999999E-3</v>
      </c>
      <c r="P118">
        <v>0.99542260000000005</v>
      </c>
      <c r="Q118">
        <v>1.189746E-2</v>
      </c>
      <c r="R118">
        <v>9.4829540000000004E-2</v>
      </c>
      <c r="S118">
        <v>2.859467</v>
      </c>
      <c r="T118">
        <v>-0.33265479999999997</v>
      </c>
      <c r="U118">
        <v>1.6700740000000001</v>
      </c>
      <c r="V118">
        <v>-9.023217E-2</v>
      </c>
      <c r="W118">
        <v>9.370013E-3</v>
      </c>
      <c r="X118">
        <v>0.99587669999999995</v>
      </c>
      <c r="Y118">
        <v>-0.49785799999999902</v>
      </c>
      <c r="Z118">
        <v>2.6269109999999998E-2</v>
      </c>
      <c r="AA118">
        <v>0.86686059999999998</v>
      </c>
      <c r="AB118">
        <v>23</v>
      </c>
      <c r="AC118">
        <v>0.61970000000002201</v>
      </c>
      <c r="AD118">
        <v>-8.8361999999999996E-2</v>
      </c>
      <c r="AE118">
        <v>0.44310000000001498</v>
      </c>
      <c r="AF118">
        <v>-0.43438847180617102</v>
      </c>
      <c r="AG118">
        <v>-8.8361999999999996E-2</v>
      </c>
      <c r="AH118">
        <v>0.61348694732362796</v>
      </c>
      <c r="AI118">
        <v>96.704287097133403</v>
      </c>
      <c r="AJ118">
        <v>125.300964240856</v>
      </c>
      <c r="AK118">
        <v>0.756880057881409</v>
      </c>
    </row>
    <row r="119" spans="1:37" x14ac:dyDescent="0.2">
      <c r="A119" t="str">
        <f>"20200111153407422"</f>
        <v>20200111153407422</v>
      </c>
      <c r="B119" t="str">
        <f>"1578728047416781"</f>
        <v>1578728047416781</v>
      </c>
      <c r="C119" t="s">
        <v>37</v>
      </c>
      <c r="D119">
        <v>4.4830480000000001</v>
      </c>
      <c r="E119">
        <v>0.32042399999999999</v>
      </c>
      <c r="F119" t="s">
        <v>40</v>
      </c>
      <c r="G119">
        <v>-466.27730000000003</v>
      </c>
      <c r="H119">
        <v>1.0076769999999999</v>
      </c>
      <c r="I119">
        <v>368.0222</v>
      </c>
      <c r="J119">
        <v>-466.95519999999999</v>
      </c>
      <c r="K119">
        <v>1.1028209999999901</v>
      </c>
      <c r="L119">
        <v>367.54020000000003</v>
      </c>
      <c r="M119">
        <v>0.99998589999999998</v>
      </c>
      <c r="N119">
        <v>0</v>
      </c>
      <c r="O119">
        <v>4.720836E-3</v>
      </c>
      <c r="P119">
        <v>0.99540130000000004</v>
      </c>
      <c r="Q119">
        <v>1.174938E-2</v>
      </c>
      <c r="R119">
        <v>9.5071489999999995E-2</v>
      </c>
      <c r="S119">
        <v>2.857758</v>
      </c>
      <c r="T119">
        <v>-0.3306385</v>
      </c>
      <c r="U119">
        <v>1.6790769999999999</v>
      </c>
      <c r="V119">
        <v>-9.0373309999999998E-2</v>
      </c>
      <c r="W119">
        <v>9.2613009999999996E-3</v>
      </c>
      <c r="X119">
        <v>0.99586489999999905</v>
      </c>
      <c r="Y119">
        <v>-0.50004879999999996</v>
      </c>
      <c r="Z119">
        <v>2.621128E-2</v>
      </c>
      <c r="AA119">
        <v>0.865600499999999</v>
      </c>
      <c r="AB119">
        <v>23</v>
      </c>
      <c r="AC119">
        <v>0.67789999999996498</v>
      </c>
      <c r="AD119">
        <v>-9.5143999999999895E-2</v>
      </c>
      <c r="AE119">
        <v>0.48199999999997001</v>
      </c>
      <c r="AF119">
        <v>-0.47261077852532501</v>
      </c>
      <c r="AG119">
        <v>-9.5143999999999895E-2</v>
      </c>
      <c r="AH119">
        <v>0.67138358835451395</v>
      </c>
      <c r="AI119">
        <v>96.610033873370796</v>
      </c>
      <c r="AJ119">
        <v>125.14307657096801</v>
      </c>
      <c r="AK119">
        <v>0.82654053223426205</v>
      </c>
    </row>
    <row r="120" spans="1:37" x14ac:dyDescent="0.2">
      <c r="A120" t="str">
        <f>"20200111153407441"</f>
        <v>20200111153407441</v>
      </c>
      <c r="B120" t="str">
        <f>"1578728047436298"</f>
        <v>1578728047436298</v>
      </c>
      <c r="C120" t="s">
        <v>37</v>
      </c>
      <c r="D120">
        <v>4.5356579999999997</v>
      </c>
      <c r="E120">
        <v>0.31955429999999901</v>
      </c>
      <c r="F120" t="s">
        <v>40</v>
      </c>
      <c r="G120">
        <v>-466.07279999999997</v>
      </c>
      <c r="H120">
        <v>1.00099</v>
      </c>
      <c r="I120">
        <v>368.06189999999998</v>
      </c>
      <c r="J120">
        <v>-466.75699999999898</v>
      </c>
      <c r="K120">
        <v>1.102819</v>
      </c>
      <c r="L120">
        <v>367.54129999999998</v>
      </c>
      <c r="M120">
        <v>0.99998529999999997</v>
      </c>
      <c r="N120">
        <v>0</v>
      </c>
      <c r="O120">
        <v>4.8591260000000001E-3</v>
      </c>
      <c r="P120">
        <v>0.99536059999999904</v>
      </c>
      <c r="Q120">
        <v>1.170261E-2</v>
      </c>
      <c r="R120">
        <v>9.5501240000000001E-2</v>
      </c>
      <c r="S120">
        <v>2.8564150000000001</v>
      </c>
      <c r="T120">
        <v>-0.32962550000000002</v>
      </c>
      <c r="U120">
        <v>1.688995</v>
      </c>
      <c r="V120">
        <v>-9.0665330000000002E-2</v>
      </c>
      <c r="W120">
        <v>9.2694089999999993E-3</v>
      </c>
      <c r="X120">
        <v>0.99583829999999995</v>
      </c>
      <c r="Y120">
        <v>-0.50234279999999998</v>
      </c>
      <c r="Z120">
        <v>2.6228189999999998E-2</v>
      </c>
      <c r="AA120">
        <v>0.8642706</v>
      </c>
      <c r="AB120">
        <v>24</v>
      </c>
      <c r="AC120">
        <v>0.68419999999997505</v>
      </c>
      <c r="AD120">
        <v>-0.101828999999999</v>
      </c>
      <c r="AE120">
        <v>0.52060000000000095</v>
      </c>
      <c r="AF120">
        <v>-0.51011316074721103</v>
      </c>
      <c r="AG120">
        <v>-0.101828999999999</v>
      </c>
      <c r="AH120">
        <v>0.67722126260696403</v>
      </c>
      <c r="AI120">
        <v>96.848595318953002</v>
      </c>
      <c r="AJ120">
        <v>126.988684367923</v>
      </c>
      <c r="AK120">
        <v>0.85393982254927103</v>
      </c>
    </row>
    <row r="121" spans="1:37" x14ac:dyDescent="0.2">
      <c r="A121" t="str">
        <f>"20200111153407454"</f>
        <v>20200111153407454</v>
      </c>
      <c r="B121" t="str">
        <f>"1578728047447033"</f>
        <v>1578728047447033</v>
      </c>
      <c r="C121" t="s">
        <v>37</v>
      </c>
      <c r="D121">
        <v>4.4522909999999998</v>
      </c>
      <c r="E121">
        <v>0.31924459999999999</v>
      </c>
      <c r="F121" t="s">
        <v>40</v>
      </c>
      <c r="G121">
        <v>-465.8603</v>
      </c>
      <c r="H121">
        <v>0.99994150000000004</v>
      </c>
      <c r="I121">
        <v>368.07429999999999</v>
      </c>
      <c r="J121">
        <v>-466.6026</v>
      </c>
      <c r="K121">
        <v>1.102822</v>
      </c>
      <c r="L121">
        <v>367.5421</v>
      </c>
      <c r="M121">
        <v>0.99998489999999995</v>
      </c>
      <c r="N121">
        <v>0</v>
      </c>
      <c r="O121">
        <v>4.9668250000000002E-3</v>
      </c>
      <c r="P121">
        <v>0.99532770000000004</v>
      </c>
      <c r="Q121">
        <v>1.162316E-2</v>
      </c>
      <c r="R121">
        <v>9.5853599999999997E-2</v>
      </c>
      <c r="S121">
        <v>2.8549799999999999</v>
      </c>
      <c r="T121">
        <v>-0.32750750000000001</v>
      </c>
      <c r="U121">
        <v>1.6975709999999999</v>
      </c>
      <c r="V121">
        <v>-9.0910850000000001E-2</v>
      </c>
      <c r="W121">
        <v>9.2326909999999995E-3</v>
      </c>
      <c r="X121">
        <v>0.99581620000000004</v>
      </c>
      <c r="Y121">
        <v>-0.50438320000000003</v>
      </c>
      <c r="Z121">
        <v>2.6149950000000002E-2</v>
      </c>
      <c r="AA121">
        <v>0.86308390000000001</v>
      </c>
      <c r="AB121">
        <v>24</v>
      </c>
      <c r="AC121">
        <v>0.74229999999999996</v>
      </c>
      <c r="AD121">
        <v>-0.102880499999999</v>
      </c>
      <c r="AE121">
        <v>0.53219999999998802</v>
      </c>
      <c r="AF121">
        <v>-0.52188519546582202</v>
      </c>
      <c r="AG121">
        <v>-0.102880499999999</v>
      </c>
      <c r="AH121">
        <v>0.73560134202222704</v>
      </c>
      <c r="AI121">
        <v>96.507451572059793</v>
      </c>
      <c r="AJ121">
        <v>125.35445961469399</v>
      </c>
      <c r="AK121">
        <v>0.90777634300060495</v>
      </c>
    </row>
    <row r="122" spans="1:37" x14ac:dyDescent="0.2">
      <c r="A122" t="str">
        <f>"20200111153407476"</f>
        <v>20200111153407476</v>
      </c>
      <c r="B122" t="str">
        <f>"1578728047466554"</f>
        <v>1578728047466554</v>
      </c>
      <c r="C122" t="s">
        <v>37</v>
      </c>
      <c r="D122">
        <v>4.5108759999999997</v>
      </c>
      <c r="E122">
        <v>0.31868570000000002</v>
      </c>
      <c r="F122" t="s">
        <v>40</v>
      </c>
      <c r="G122">
        <v>-465.84300000000002</v>
      </c>
      <c r="H122">
        <v>1.0155780000000001</v>
      </c>
      <c r="I122">
        <v>367.9948</v>
      </c>
      <c r="J122">
        <v>-466.38</v>
      </c>
      <c r="K122">
        <v>1.1028290000000001</v>
      </c>
      <c r="L122">
        <v>367.54340000000002</v>
      </c>
      <c r="M122">
        <v>0.99998430000000005</v>
      </c>
      <c r="N122">
        <v>0</v>
      </c>
      <c r="O122">
        <v>5.121932E-3</v>
      </c>
      <c r="P122">
        <v>0.995304999999999</v>
      </c>
      <c r="Q122">
        <v>1.152011E-2</v>
      </c>
      <c r="R122">
        <v>9.6101499999999895E-2</v>
      </c>
      <c r="S122">
        <v>2.8540649999999999</v>
      </c>
      <c r="T122">
        <v>-0.3277466</v>
      </c>
      <c r="U122">
        <v>1.701416</v>
      </c>
      <c r="V122">
        <v>-9.1004440000000006E-2</v>
      </c>
      <c r="W122">
        <v>9.1921639999999992E-3</v>
      </c>
      <c r="X122">
        <v>0.99580809999999997</v>
      </c>
      <c r="Y122">
        <v>-0.50522319999999998</v>
      </c>
      <c r="Z122">
        <v>2.6195900000000001E-2</v>
      </c>
      <c r="AA122">
        <v>0.86259110000000006</v>
      </c>
      <c r="AB122">
        <v>24</v>
      </c>
      <c r="AC122">
        <v>0.53699999999997705</v>
      </c>
      <c r="AD122">
        <v>-8.7250999999999898E-2</v>
      </c>
      <c r="AE122">
        <v>0.45139999999997799</v>
      </c>
      <c r="AF122">
        <v>-0.44180927959486699</v>
      </c>
      <c r="AG122">
        <v>-8.7250999999999898E-2</v>
      </c>
      <c r="AH122">
        <v>0.53108961656964504</v>
      </c>
      <c r="AI122">
        <v>97.198234221155104</v>
      </c>
      <c r="AJ122">
        <v>129.756804291115</v>
      </c>
      <c r="AK122">
        <v>0.69632202131286103</v>
      </c>
    </row>
    <row r="123" spans="1:37" x14ac:dyDescent="0.2">
      <c r="A123" t="str">
        <f>"20200111153407490"</f>
        <v>20200111153407490</v>
      </c>
      <c r="B123" t="str">
        <f>"1578728047487049"</f>
        <v>1578728047487049</v>
      </c>
      <c r="C123" t="s">
        <v>37</v>
      </c>
      <c r="D123">
        <v>4.4911269999999996</v>
      </c>
      <c r="E123">
        <v>0.31815260000000001</v>
      </c>
      <c r="F123" t="s">
        <v>40</v>
      </c>
      <c r="G123">
        <v>-465.62569999999999</v>
      </c>
      <c r="H123">
        <v>1.016716</v>
      </c>
      <c r="I123">
        <v>367.99439999999998</v>
      </c>
      <c r="J123">
        <v>-466.21730000000002</v>
      </c>
      <c r="K123">
        <v>1.102832</v>
      </c>
      <c r="L123">
        <v>367.54430000000002</v>
      </c>
      <c r="M123">
        <v>0.99998399999999998</v>
      </c>
      <c r="N123">
        <v>0</v>
      </c>
      <c r="O123">
        <v>5.2351759999999898E-3</v>
      </c>
      <c r="P123">
        <v>0.99528349999999899</v>
      </c>
      <c r="Q123">
        <v>1.168988E-2</v>
      </c>
      <c r="R123">
        <v>9.6305569999999993E-2</v>
      </c>
      <c r="S123">
        <v>2.85318</v>
      </c>
      <c r="T123">
        <v>-0.32571070000000002</v>
      </c>
      <c r="U123">
        <v>1.7064820000000001</v>
      </c>
      <c r="V123">
        <v>-9.1095889999999999E-2</v>
      </c>
      <c r="W123">
        <v>9.408161E-3</v>
      </c>
      <c r="X123">
        <v>0.99579769999999901</v>
      </c>
      <c r="Y123">
        <v>-0.50639780000000001</v>
      </c>
      <c r="Z123">
        <v>2.6079919999999999E-2</v>
      </c>
      <c r="AA123">
        <v>0.86190549999999999</v>
      </c>
      <c r="AB123">
        <v>24</v>
      </c>
      <c r="AC123">
        <v>0.59160000000002799</v>
      </c>
      <c r="AD123">
        <v>-8.6115999999999998E-2</v>
      </c>
      <c r="AE123">
        <v>0.45009999999996297</v>
      </c>
      <c r="AF123">
        <v>-0.44107717231447302</v>
      </c>
      <c r="AG123">
        <v>-8.6115999999999998E-2</v>
      </c>
      <c r="AH123">
        <v>0.58608266716285595</v>
      </c>
      <c r="AI123">
        <v>96.695991520561293</v>
      </c>
      <c r="AJ123">
        <v>126.964579479843</v>
      </c>
      <c r="AK123">
        <v>0.73855123731645</v>
      </c>
    </row>
    <row r="124" spans="1:37" x14ac:dyDescent="0.2">
      <c r="A124" t="str">
        <f>"20200111153407507"</f>
        <v>20200111153407507</v>
      </c>
      <c r="B124" t="str">
        <f>"1578728047496808"</f>
        <v>1578728047496808</v>
      </c>
      <c r="C124" t="s">
        <v>37</v>
      </c>
      <c r="D124">
        <v>4.5323320000000002</v>
      </c>
      <c r="E124">
        <v>0.31785159999999901</v>
      </c>
      <c r="F124" t="s">
        <v>40</v>
      </c>
      <c r="G124">
        <v>-465.41340000000002</v>
      </c>
      <c r="H124">
        <v>1.0117049999999901</v>
      </c>
      <c r="I124">
        <v>368.02640000000002</v>
      </c>
      <c r="J124">
        <v>-466.03429999999997</v>
      </c>
      <c r="K124">
        <v>1.102833</v>
      </c>
      <c r="L124">
        <v>367.54539999999997</v>
      </c>
      <c r="M124">
        <v>0.99998330000000002</v>
      </c>
      <c r="N124">
        <v>0</v>
      </c>
      <c r="O124">
        <v>5.3628499999999997E-3</v>
      </c>
      <c r="P124">
        <v>0.9952607</v>
      </c>
      <c r="Q124">
        <v>1.1855289999999999E-2</v>
      </c>
      <c r="R124">
        <v>9.6519450000000007E-2</v>
      </c>
      <c r="S124">
        <v>2.852417</v>
      </c>
      <c r="T124">
        <v>-0.3232409</v>
      </c>
      <c r="U124">
        <v>1.7117610000000001</v>
      </c>
      <c r="V124">
        <v>-9.1183070000000005E-2</v>
      </c>
      <c r="W124">
        <v>9.6260659999999904E-3</v>
      </c>
      <c r="X124">
        <v>0.99578759999999999</v>
      </c>
      <c r="Y124">
        <v>-0.50759529999999997</v>
      </c>
      <c r="Z124">
        <v>2.5926959999999999E-2</v>
      </c>
      <c r="AA124">
        <v>0.86120540000000001</v>
      </c>
      <c r="AB124">
        <v>24</v>
      </c>
      <c r="AC124">
        <v>0.62089999999994905</v>
      </c>
      <c r="AD124">
        <v>-9.1128000000000098E-2</v>
      </c>
      <c r="AE124">
        <v>0.481000000000051</v>
      </c>
      <c r="AF124">
        <v>-0.47131846649249598</v>
      </c>
      <c r="AG124">
        <v>-9.1128000000000098E-2</v>
      </c>
      <c r="AH124">
        <v>0.61518902984629797</v>
      </c>
      <c r="AI124">
        <v>96.706448100295006</v>
      </c>
      <c r="AJ124">
        <v>127.457025504063</v>
      </c>
      <c r="AK124">
        <v>0.78032233832184195</v>
      </c>
    </row>
    <row r="125" spans="1:37" x14ac:dyDescent="0.2">
      <c r="A125" t="str">
        <f>"20200111153407521"</f>
        <v>20200111153407521</v>
      </c>
      <c r="B125" t="str">
        <f>"1578728047516329"</f>
        <v>1578728047516329</v>
      </c>
      <c r="C125" t="s">
        <v>37</v>
      </c>
      <c r="D125">
        <v>4.5209699999999904</v>
      </c>
      <c r="E125">
        <v>0.31737179999999998</v>
      </c>
      <c r="F125" t="s">
        <v>40</v>
      </c>
      <c r="G125">
        <v>-465.19709999999998</v>
      </c>
      <c r="H125">
        <v>1.008416</v>
      </c>
      <c r="I125">
        <v>368.04880000000003</v>
      </c>
      <c r="J125">
        <v>-465.8809</v>
      </c>
      <c r="K125">
        <v>1.102835</v>
      </c>
      <c r="L125">
        <v>367.54640000000001</v>
      </c>
      <c r="M125">
        <v>0.999982699999999</v>
      </c>
      <c r="N125">
        <v>0</v>
      </c>
      <c r="O125">
        <v>5.4694740000000002E-3</v>
      </c>
      <c r="P125">
        <v>0.99524089999999998</v>
      </c>
      <c r="Q125">
        <v>1.1820010000000001E-2</v>
      </c>
      <c r="R125">
        <v>9.6726110000000004E-2</v>
      </c>
      <c r="S125">
        <v>2.8518680000000001</v>
      </c>
      <c r="T125">
        <v>-0.32162370000000001</v>
      </c>
      <c r="U125">
        <v>1.714691</v>
      </c>
      <c r="V125">
        <v>-9.1283719999999999E-2</v>
      </c>
      <c r="W125">
        <v>9.6351249999999996E-3</v>
      </c>
      <c r="X125">
        <v>0.99577830000000001</v>
      </c>
      <c r="Y125">
        <v>-0.50824840000000004</v>
      </c>
      <c r="Z125">
        <v>2.581872E-2</v>
      </c>
      <c r="AA125">
        <v>0.86082349999999996</v>
      </c>
      <c r="AB125">
        <v>25</v>
      </c>
      <c r="AC125">
        <v>0.68380000000001895</v>
      </c>
      <c r="AD125">
        <v>-9.4419000000000003E-2</v>
      </c>
      <c r="AE125">
        <v>0.50240000000002205</v>
      </c>
      <c r="AF125">
        <v>-0.49255361457153701</v>
      </c>
      <c r="AG125">
        <v>-9.4419000000000003E-2</v>
      </c>
      <c r="AH125">
        <v>0.67814085148873804</v>
      </c>
      <c r="AI125">
        <v>96.427419680973699</v>
      </c>
      <c r="AJ125">
        <v>125.99200548378001</v>
      </c>
      <c r="AK125">
        <v>0.84344473751773297</v>
      </c>
    </row>
    <row r="126" spans="1:37" x14ac:dyDescent="0.2">
      <c r="A126" t="str">
        <f>"20200111153407533"</f>
        <v>20200111153407533</v>
      </c>
      <c r="B126" t="str">
        <f>"1578728047527064"</f>
        <v>1578728047527064</v>
      </c>
      <c r="C126" t="s">
        <v>37</v>
      </c>
      <c r="D126">
        <v>4.402596</v>
      </c>
      <c r="E126">
        <v>0.31737179999999998</v>
      </c>
      <c r="F126" t="s">
        <v>40</v>
      </c>
      <c r="G126">
        <v>-464.98230000000001</v>
      </c>
      <c r="H126">
        <v>1.00206</v>
      </c>
      <c r="I126">
        <v>368.08780000000002</v>
      </c>
      <c r="J126">
        <v>-465.73270000000002</v>
      </c>
      <c r="K126">
        <v>1.1028359999999999</v>
      </c>
      <c r="L126">
        <v>367.54730000000001</v>
      </c>
      <c r="M126">
        <v>0.99998229999999999</v>
      </c>
      <c r="N126">
        <v>0</v>
      </c>
      <c r="O126">
        <v>5.5725790000000002E-3</v>
      </c>
      <c r="P126">
        <v>0.99526179999999997</v>
      </c>
      <c r="Q126">
        <v>1.1527310000000001E-2</v>
      </c>
      <c r="R126">
        <v>9.6546969999999996E-2</v>
      </c>
      <c r="S126">
        <v>2.851105</v>
      </c>
      <c r="T126">
        <v>-0.31972519999999999</v>
      </c>
      <c r="U126">
        <v>1.7189029999999901</v>
      </c>
      <c r="V126">
        <v>-9.10018999999999E-2</v>
      </c>
      <c r="W126">
        <v>9.3852729999999995E-3</v>
      </c>
      <c r="X126">
        <v>0.99580650000000004</v>
      </c>
      <c r="Y126">
        <v>-0.50921879999999997</v>
      </c>
      <c r="Z126">
        <v>2.5703409999999999E-2</v>
      </c>
      <c r="AA126">
        <v>0.86025319999999905</v>
      </c>
      <c r="AB126">
        <v>25</v>
      </c>
      <c r="AC126">
        <v>0.75040000000001295</v>
      </c>
      <c r="AD126">
        <v>-0.100776</v>
      </c>
      <c r="AE126">
        <v>0.54050000000000797</v>
      </c>
      <c r="AF126">
        <v>-0.53001610416867295</v>
      </c>
      <c r="AG126">
        <v>-0.100776</v>
      </c>
      <c r="AH126">
        <v>0.74455885235386399</v>
      </c>
      <c r="AI126">
        <v>96.292330169333496</v>
      </c>
      <c r="AJ126">
        <v>125.44525876892099</v>
      </c>
      <c r="AK126">
        <v>0.91947852474793701</v>
      </c>
    </row>
    <row r="127" spans="1:37" x14ac:dyDescent="0.2">
      <c r="A127" t="str">
        <f>"20200111153407551"</f>
        <v>20200111153407551</v>
      </c>
      <c r="B127" t="str">
        <f>"1578728047546587"</f>
        <v>1578728047546587</v>
      </c>
      <c r="C127" t="s">
        <v>37</v>
      </c>
      <c r="D127">
        <v>4.5225289999999996</v>
      </c>
      <c r="E127">
        <v>0.28534299999999901</v>
      </c>
      <c r="F127" t="s">
        <v>40</v>
      </c>
      <c r="G127">
        <v>-464.96530000000001</v>
      </c>
      <c r="H127">
        <v>1.0165839999999999</v>
      </c>
      <c r="I127">
        <v>368.00970000000001</v>
      </c>
      <c r="J127">
        <v>-465.53809999999999</v>
      </c>
      <c r="K127">
        <v>1.1028420000000001</v>
      </c>
      <c r="L127">
        <v>367.54849999999999</v>
      </c>
      <c r="M127">
        <v>0.99998159999999903</v>
      </c>
      <c r="N127">
        <v>0</v>
      </c>
      <c r="O127">
        <v>5.7076459999999898E-3</v>
      </c>
      <c r="P127">
        <v>0.99527009999999905</v>
      </c>
      <c r="Q127">
        <v>1.144097E-2</v>
      </c>
      <c r="R127">
        <v>9.6471970000000004E-2</v>
      </c>
      <c r="S127">
        <v>2.8512270000000002</v>
      </c>
      <c r="T127">
        <v>-0.32043499999999903</v>
      </c>
      <c r="U127">
        <v>1.719055</v>
      </c>
      <c r="V127">
        <v>-9.0792029999999996E-2</v>
      </c>
      <c r="W127">
        <v>9.3561879999999997E-3</v>
      </c>
      <c r="X127">
        <v>0.99582590000000004</v>
      </c>
      <c r="Y127">
        <v>-0.50911139999999999</v>
      </c>
      <c r="Z127">
        <v>2.5739419999999999E-2</v>
      </c>
      <c r="AA127">
        <v>0.86031569999999902</v>
      </c>
      <c r="AB127">
        <v>25</v>
      </c>
      <c r="AC127">
        <v>0.572799999999972</v>
      </c>
      <c r="AD127">
        <v>-8.6258000000000098E-2</v>
      </c>
      <c r="AE127">
        <v>0.46120000000001898</v>
      </c>
      <c r="AF127">
        <v>-0.451708499184999</v>
      </c>
      <c r="AG127">
        <v>-8.6258000000000098E-2</v>
      </c>
      <c r="AH127">
        <v>0.56761376579172096</v>
      </c>
      <c r="AI127">
        <v>96.781120329660396</v>
      </c>
      <c r="AJ127">
        <v>128.51286474304399</v>
      </c>
      <c r="AK127">
        <v>0.73052474148123403</v>
      </c>
    </row>
    <row r="128" spans="1:37" x14ac:dyDescent="0.2">
      <c r="A128" t="str">
        <f>"20200111153407565"</f>
        <v>20200111153407565</v>
      </c>
      <c r="B128" t="str">
        <f>"1578728047556345"</f>
        <v>1578728047556345</v>
      </c>
      <c r="C128" t="s">
        <v>37</v>
      </c>
      <c r="D128">
        <v>4.4886189999999999</v>
      </c>
      <c r="E128">
        <v>0.28757139999999998</v>
      </c>
      <c r="F128" t="s">
        <v>40</v>
      </c>
      <c r="G128">
        <v>-464.7586</v>
      </c>
      <c r="H128">
        <v>1.038122</v>
      </c>
      <c r="I128">
        <v>368.09449999999998</v>
      </c>
      <c r="J128">
        <v>-465.39060000000001</v>
      </c>
      <c r="K128">
        <v>1.1028549999999999</v>
      </c>
      <c r="L128">
        <v>367.54939999999999</v>
      </c>
      <c r="M128">
        <v>0.99998099999999901</v>
      </c>
      <c r="N128">
        <v>0</v>
      </c>
      <c r="O128">
        <v>5.810094E-3</v>
      </c>
      <c r="P128">
        <v>0.99527880000000002</v>
      </c>
      <c r="Q128">
        <v>1.1252140000000001E-2</v>
      </c>
      <c r="R128">
        <v>9.6403730000000007E-2</v>
      </c>
      <c r="S128">
        <v>2.8251040000000001</v>
      </c>
      <c r="T128">
        <v>-0.23452010000000001</v>
      </c>
      <c r="U128">
        <v>1.9791259999999999</v>
      </c>
      <c r="V128">
        <v>-9.0622170000000002E-2</v>
      </c>
      <c r="W128">
        <v>9.2107600000000001E-3</v>
      </c>
      <c r="X128">
        <v>0.99584280000000003</v>
      </c>
      <c r="Y128">
        <v>-0.56770030000000005</v>
      </c>
      <c r="Z128">
        <v>2.075838E-2</v>
      </c>
      <c r="AA128">
        <v>0.82297350000000002</v>
      </c>
      <c r="AB128">
        <v>25</v>
      </c>
      <c r="AC128">
        <v>0.632000000000005</v>
      </c>
      <c r="AD128">
        <v>-6.4732999999999902E-2</v>
      </c>
      <c r="AE128">
        <v>0.54509999999999004</v>
      </c>
      <c r="AF128">
        <v>-0.53818121572428701</v>
      </c>
      <c r="AG128">
        <v>-6.4732999999999902E-2</v>
      </c>
      <c r="AH128">
        <v>0.63135828945188799</v>
      </c>
      <c r="AI128">
        <v>94.461649575857706</v>
      </c>
      <c r="AJ128">
        <v>130.44487334997001</v>
      </c>
      <c r="AK128">
        <v>0.83213140302904398</v>
      </c>
    </row>
    <row r="129" spans="1:37" x14ac:dyDescent="0.2">
      <c r="A129" t="str">
        <f>"20200111153407575"</f>
        <v>20200111153407575</v>
      </c>
      <c r="B129" t="str">
        <f>"1578728047567082"</f>
        <v>1578728047567082</v>
      </c>
      <c r="C129" t="s">
        <v>37</v>
      </c>
      <c r="D129">
        <v>4.4841089999999904</v>
      </c>
      <c r="E129">
        <v>0.28931240000000003</v>
      </c>
      <c r="F129" t="s">
        <v>40</v>
      </c>
      <c r="G129">
        <v>-464.54079999999999</v>
      </c>
      <c r="H129">
        <v>1.018743</v>
      </c>
      <c r="I129">
        <v>368.13780000000003</v>
      </c>
      <c r="J129">
        <v>-465.25400000000002</v>
      </c>
      <c r="K129">
        <v>1.102859</v>
      </c>
      <c r="L129">
        <v>367.55029999999999</v>
      </c>
      <c r="M129">
        <v>0.9999806</v>
      </c>
      <c r="N129">
        <v>0</v>
      </c>
      <c r="O129">
        <v>5.9049080000000004E-3</v>
      </c>
      <c r="P129">
        <v>0.99525859999999899</v>
      </c>
      <c r="Q129">
        <v>1.1245410000000001E-2</v>
      </c>
      <c r="R129">
        <v>9.661198E-2</v>
      </c>
      <c r="S129">
        <v>2.8276979999999998</v>
      </c>
      <c r="T129">
        <v>-0.27984979999999998</v>
      </c>
      <c r="U129">
        <v>1.9581299999999999</v>
      </c>
      <c r="V129">
        <v>-9.0735620000000003E-2</v>
      </c>
      <c r="W129">
        <v>9.2446109999999998E-3</v>
      </c>
      <c r="X129">
        <v>0.9958321</v>
      </c>
      <c r="Y129">
        <v>-0.56260449999999995</v>
      </c>
      <c r="Z129">
        <v>2.455042E-2</v>
      </c>
      <c r="AA129">
        <v>0.82636149999999997</v>
      </c>
      <c r="AB129">
        <v>25</v>
      </c>
      <c r="AC129">
        <v>0.71320000000002803</v>
      </c>
      <c r="AD129">
        <v>-8.4115999999999996E-2</v>
      </c>
      <c r="AE129">
        <v>0.587500000000034</v>
      </c>
      <c r="AF129">
        <v>-0.57848448548421705</v>
      </c>
      <c r="AG129">
        <v>-8.4115999999999996E-2</v>
      </c>
      <c r="AH129">
        <v>0.71076660505577605</v>
      </c>
      <c r="AI129">
        <v>95.244323320738005</v>
      </c>
      <c r="AJ129">
        <v>129.14173303139901</v>
      </c>
      <c r="AK129">
        <v>0.92027657161554099</v>
      </c>
    </row>
    <row r="130" spans="1:37" x14ac:dyDescent="0.2">
      <c r="A130" t="str">
        <f>"20200111153407588"</f>
        <v>20200111153407588</v>
      </c>
      <c r="B130" t="str">
        <f>"1578728047576840"</f>
        <v>1578728047576840</v>
      </c>
      <c r="C130" t="s">
        <v>37</v>
      </c>
      <c r="D130">
        <v>4.4897660000000004</v>
      </c>
      <c r="E130">
        <v>0.29088269999999999</v>
      </c>
      <c r="F130" t="s">
        <v>40</v>
      </c>
      <c r="G130">
        <v>-464.5222</v>
      </c>
      <c r="H130">
        <v>1.0238100000000001</v>
      </c>
      <c r="I130">
        <v>368.05259999999998</v>
      </c>
      <c r="J130">
        <v>-465.12130000000002</v>
      </c>
      <c r="K130">
        <v>1.1028629999999999</v>
      </c>
      <c r="L130">
        <v>367.55110000000002</v>
      </c>
      <c r="M130">
        <v>0.99998029999999904</v>
      </c>
      <c r="N130">
        <v>0</v>
      </c>
      <c r="O130">
        <v>5.9967409999999999E-3</v>
      </c>
      <c r="P130">
        <v>0.99526079999999995</v>
      </c>
      <c r="Q130">
        <v>1.116966E-2</v>
      </c>
      <c r="R130">
        <v>9.6598980000000001E-2</v>
      </c>
      <c r="S130">
        <v>2.8291629999999999</v>
      </c>
      <c r="T130">
        <v>-0.30556499999999998</v>
      </c>
      <c r="U130">
        <v>1.9427189999999901</v>
      </c>
      <c r="V130">
        <v>-9.063119E-2</v>
      </c>
      <c r="W130">
        <v>9.2083740000000001E-3</v>
      </c>
      <c r="X130">
        <v>0.995842</v>
      </c>
      <c r="Y130">
        <v>-0.55892889999999995</v>
      </c>
      <c r="Z130">
        <v>2.6634930000000001E-2</v>
      </c>
      <c r="AA130">
        <v>0.82878770000000002</v>
      </c>
      <c r="AB130">
        <v>25</v>
      </c>
      <c r="AC130">
        <v>0.59910000000002095</v>
      </c>
      <c r="AD130">
        <v>-7.9052999999999804E-2</v>
      </c>
      <c r="AE130">
        <v>0.50149999999996397</v>
      </c>
      <c r="AF130">
        <v>-0.49285261251241902</v>
      </c>
      <c r="AG130">
        <v>-7.9052999999999804E-2</v>
      </c>
      <c r="AH130">
        <v>0.59599493372916501</v>
      </c>
      <c r="AI130">
        <v>95.836377317603606</v>
      </c>
      <c r="AJ130">
        <v>129.588738782056</v>
      </c>
      <c r="AK130">
        <v>0.77740789518768705</v>
      </c>
    </row>
    <row r="131" spans="1:37" x14ac:dyDescent="0.2">
      <c r="A131" t="str">
        <f>"20200111153407608"</f>
        <v>20200111153407608</v>
      </c>
      <c r="B131" t="str">
        <f>"1578728047596363"</f>
        <v>1578728047596363</v>
      </c>
      <c r="C131" t="s">
        <v>37</v>
      </c>
      <c r="D131">
        <v>4.4868399999999999</v>
      </c>
      <c r="E131">
        <v>0.2938559</v>
      </c>
      <c r="F131" t="s">
        <v>40</v>
      </c>
      <c r="G131">
        <v>-464.30500000000001</v>
      </c>
      <c r="H131">
        <v>1.0097209999999901</v>
      </c>
      <c r="I131">
        <v>368.10759999999999</v>
      </c>
      <c r="J131">
        <v>-464.90039999999999</v>
      </c>
      <c r="K131">
        <v>1.1028690000000001</v>
      </c>
      <c r="L131">
        <v>367.55270000000002</v>
      </c>
      <c r="M131">
        <v>0.99997930000000002</v>
      </c>
      <c r="N131">
        <v>0</v>
      </c>
      <c r="O131">
        <v>6.1501129999999996E-3</v>
      </c>
      <c r="P131">
        <v>0.99527269999999901</v>
      </c>
      <c r="Q131">
        <v>1.077345E-2</v>
      </c>
      <c r="R131">
        <v>9.6521599999999999E-2</v>
      </c>
      <c r="S131">
        <v>2.8306269999999998</v>
      </c>
      <c r="T131">
        <v>-0.32295940000000001</v>
      </c>
      <c r="U131">
        <v>1.9295959999999901</v>
      </c>
      <c r="V131">
        <v>-9.0401159999999994E-2</v>
      </c>
      <c r="W131">
        <v>8.878894E-3</v>
      </c>
      <c r="X131">
        <v>0.99586589999999997</v>
      </c>
      <c r="Y131">
        <v>-0.55573490000000003</v>
      </c>
      <c r="Z131">
        <v>2.798488E-2</v>
      </c>
      <c r="AA131">
        <v>0.83088839999999997</v>
      </c>
      <c r="AB131">
        <v>25</v>
      </c>
      <c r="AC131">
        <v>0.59539999999998305</v>
      </c>
      <c r="AD131">
        <v>-9.3148000000000203E-2</v>
      </c>
      <c r="AE131">
        <v>0.55489999999997497</v>
      </c>
      <c r="AF131">
        <v>-0.54410089442887499</v>
      </c>
      <c r="AG131">
        <v>-9.3148000000000203E-2</v>
      </c>
      <c r="AH131">
        <v>0.59105953511087606</v>
      </c>
      <c r="AI131">
        <v>96.613748981124502</v>
      </c>
      <c r="AJ131">
        <v>132.631172923668</v>
      </c>
      <c r="AK131">
        <v>0.80874823478495905</v>
      </c>
    </row>
    <row r="132" spans="1:37" x14ac:dyDescent="0.2">
      <c r="A132" t="str">
        <f>"20200111153407621"</f>
        <v>20200111153407621</v>
      </c>
      <c r="B132" t="str">
        <f>"1578728047616856"</f>
        <v>1578728047616856</v>
      </c>
      <c r="C132" t="s">
        <v>37</v>
      </c>
      <c r="D132">
        <v>4.4613610000000001</v>
      </c>
      <c r="E132">
        <v>0.29523779999999999</v>
      </c>
      <c r="F132" t="s">
        <v>40</v>
      </c>
      <c r="G132">
        <v>-464.07389999999998</v>
      </c>
      <c r="H132">
        <v>1.0025709999999901</v>
      </c>
      <c r="I132">
        <v>368.10789999999997</v>
      </c>
      <c r="J132">
        <v>-464.73820000000001</v>
      </c>
      <c r="K132">
        <v>1.1028719999999901</v>
      </c>
      <c r="L132">
        <v>367.55380000000002</v>
      </c>
      <c r="M132">
        <v>0.9999787</v>
      </c>
      <c r="N132">
        <v>0</v>
      </c>
      <c r="O132">
        <v>6.2623979999999997E-3</v>
      </c>
      <c r="P132">
        <v>0.99529529999999999</v>
      </c>
      <c r="Q132">
        <v>1.06786E-2</v>
      </c>
      <c r="R132">
        <v>9.6297789999999994E-2</v>
      </c>
      <c r="S132">
        <v>2.833313</v>
      </c>
      <c r="T132">
        <v>-0.34373350000000003</v>
      </c>
      <c r="U132">
        <v>1.903961</v>
      </c>
      <c r="V132">
        <v>-9.0065450000000005E-2</v>
      </c>
      <c r="W132">
        <v>8.8331190000000004E-3</v>
      </c>
      <c r="X132">
        <v>0.99589669999999897</v>
      </c>
      <c r="Y132">
        <v>-0.54980150000000005</v>
      </c>
      <c r="Z132">
        <v>2.948222E-2</v>
      </c>
      <c r="AA132">
        <v>0.83477489999999999</v>
      </c>
      <c r="AB132">
        <v>26</v>
      </c>
      <c r="AC132">
        <v>0.66430000000002498</v>
      </c>
      <c r="AD132">
        <v>-0.100300999999999</v>
      </c>
      <c r="AE132">
        <v>0.55409999999994797</v>
      </c>
      <c r="AF132">
        <v>-0.54263394800197595</v>
      </c>
      <c r="AG132">
        <v>-0.100300999999999</v>
      </c>
      <c r="AH132">
        <v>0.65889886210250803</v>
      </c>
      <c r="AI132">
        <v>96.701877809223205</v>
      </c>
      <c r="AJ132">
        <v>129.47304824410901</v>
      </c>
      <c r="AK132">
        <v>0.85945308342293603</v>
      </c>
    </row>
    <row r="133" spans="1:37" x14ac:dyDescent="0.2">
      <c r="A133" t="str">
        <f>"20200111153407634"</f>
        <v>20200111153407634</v>
      </c>
      <c r="B133" t="str">
        <f>"1578728047626617"</f>
        <v>1578728047626617</v>
      </c>
      <c r="C133" t="s">
        <v>37</v>
      </c>
      <c r="D133">
        <v>4.7065080000000004</v>
      </c>
      <c r="E133">
        <v>0.2950316</v>
      </c>
      <c r="F133" t="s">
        <v>40</v>
      </c>
      <c r="G133">
        <v>-463.84930000000003</v>
      </c>
      <c r="H133">
        <v>0.99051549999999999</v>
      </c>
      <c r="I133">
        <v>368.14679999999998</v>
      </c>
      <c r="J133">
        <v>-464.57889999999998</v>
      </c>
      <c r="K133">
        <v>1.102876</v>
      </c>
      <c r="L133">
        <v>367.55489999999998</v>
      </c>
      <c r="M133">
        <v>0.99997819999999904</v>
      </c>
      <c r="N133">
        <v>0</v>
      </c>
      <c r="O133">
        <v>6.3725359999999998E-3</v>
      </c>
      <c r="P133">
        <v>0.99530339999999995</v>
      </c>
      <c r="Q133">
        <v>1.0771380000000001E-2</v>
      </c>
      <c r="R133">
        <v>9.6206810000000004E-2</v>
      </c>
      <c r="S133">
        <v>2.834991</v>
      </c>
      <c r="T133">
        <v>-0.35834240000000001</v>
      </c>
      <c r="U133">
        <v>1.8914489999999999</v>
      </c>
      <c r="V133">
        <v>-8.9864940000000004E-2</v>
      </c>
      <c r="W133">
        <v>8.974737E-3</v>
      </c>
      <c r="X133">
        <v>0.99591350000000001</v>
      </c>
      <c r="Y133">
        <v>-0.54670779999999997</v>
      </c>
      <c r="Z133">
        <v>3.0557190000000001E-2</v>
      </c>
      <c r="AA133">
        <v>0.83676569999999995</v>
      </c>
      <c r="AB133">
        <v>26</v>
      </c>
      <c r="AC133">
        <v>0.72959999999994796</v>
      </c>
      <c r="AD133">
        <v>-0.112360499999999</v>
      </c>
      <c r="AE133">
        <v>0.59190000000000897</v>
      </c>
      <c r="AF133">
        <v>-0.578957629411882</v>
      </c>
      <c r="AG133">
        <v>-0.112360499999999</v>
      </c>
      <c r="AH133">
        <v>0.72301566244548998</v>
      </c>
      <c r="AI133">
        <v>96.916559816988297</v>
      </c>
      <c r="AJ133">
        <v>128.68613802656799</v>
      </c>
      <c r="AK133">
        <v>0.93304258571405396</v>
      </c>
    </row>
    <row r="134" spans="1:37" x14ac:dyDescent="0.2">
      <c r="A134" t="str">
        <f>"20200111153407652"</f>
        <v>20200111153407652</v>
      </c>
      <c r="B134" t="str">
        <f>"1578728047647113"</f>
        <v>1578728047647113</v>
      </c>
      <c r="C134" t="s">
        <v>37</v>
      </c>
      <c r="D134">
        <v>4.2501150000000001</v>
      </c>
      <c r="E134">
        <v>0.37211240000000001</v>
      </c>
      <c r="F134" t="s">
        <v>40</v>
      </c>
      <c r="G134">
        <v>-463.82929999999999</v>
      </c>
      <c r="H134">
        <v>1.0101329999999999</v>
      </c>
      <c r="I134">
        <v>368.05549999999999</v>
      </c>
      <c r="J134">
        <v>-464.3777</v>
      </c>
      <c r="K134">
        <v>1.1028789999999999</v>
      </c>
      <c r="L134">
        <v>367.55630000000002</v>
      </c>
      <c r="M134">
        <v>0.99997739999999902</v>
      </c>
      <c r="N134">
        <v>0</v>
      </c>
      <c r="O134">
        <v>6.5118919999999896E-3</v>
      </c>
      <c r="P134">
        <v>0.99534369999999905</v>
      </c>
      <c r="Q134">
        <v>1.0274480000000001E-2</v>
      </c>
      <c r="R134">
        <v>9.5840400000000006E-2</v>
      </c>
      <c r="S134">
        <v>2.8349299999999999</v>
      </c>
      <c r="T134">
        <v>-0.35073599999999999</v>
      </c>
      <c r="U134">
        <v>1.8935549999999901</v>
      </c>
      <c r="V134">
        <v>-8.9359049999999995E-2</v>
      </c>
      <c r="W134">
        <v>8.5398760000000001E-3</v>
      </c>
      <c r="X134">
        <v>0.99596289999999998</v>
      </c>
      <c r="Y134">
        <v>-0.54715389999999997</v>
      </c>
      <c r="Z134">
        <v>2.9916700000000001E-2</v>
      </c>
      <c r="AA134">
        <v>0.83649719999999905</v>
      </c>
      <c r="AB134">
        <v>26</v>
      </c>
      <c r="AC134">
        <v>0.54840000000001499</v>
      </c>
      <c r="AD134">
        <v>-9.2746000000000203E-2</v>
      </c>
      <c r="AE134">
        <v>0.499199999999973</v>
      </c>
      <c r="AF134">
        <v>-0.48798556581772601</v>
      </c>
      <c r="AG134">
        <v>-9.2746000000000203E-2</v>
      </c>
      <c r="AH134">
        <v>0.54314364675542204</v>
      </c>
      <c r="AI134">
        <v>97.239019142465096</v>
      </c>
      <c r="AJ134">
        <v>131.93800160257399</v>
      </c>
      <c r="AK134">
        <v>0.73602768560239995</v>
      </c>
    </row>
    <row r="135" spans="1:37" x14ac:dyDescent="0.2">
      <c r="A135" t="str">
        <f>"20200111153407664"</f>
        <v>20200111153407664</v>
      </c>
      <c r="B135" t="str">
        <f>"1578728047656873"</f>
        <v>1578728047656873</v>
      </c>
      <c r="C135" t="s">
        <v>37</v>
      </c>
      <c r="D135">
        <v>4.3920449999999898</v>
      </c>
      <c r="E135">
        <v>0.38800040000000002</v>
      </c>
      <c r="F135" t="s">
        <v>39</v>
      </c>
      <c r="G135">
        <v>-453.43759999999997</v>
      </c>
      <c r="H135" s="1">
        <v>-3.539793E-6</v>
      </c>
      <c r="I135">
        <v>372.40589999999997</v>
      </c>
      <c r="J135">
        <v>-464.22980000000001</v>
      </c>
      <c r="K135">
        <v>1.102881</v>
      </c>
      <c r="L135">
        <v>367.55739999999997</v>
      </c>
      <c r="M135">
        <v>0.9999768</v>
      </c>
      <c r="N135">
        <v>0</v>
      </c>
      <c r="O135">
        <v>6.6140969999999898E-3</v>
      </c>
      <c r="P135">
        <v>0.99536279999999999</v>
      </c>
      <c r="Q135">
        <v>9.8383840000000004E-3</v>
      </c>
      <c r="R135">
        <v>9.5687309999999998E-2</v>
      </c>
      <c r="S135">
        <v>2.8935240000000002</v>
      </c>
      <c r="T135">
        <v>-0.29169679999999998</v>
      </c>
      <c r="U135">
        <v>1.282654</v>
      </c>
      <c r="V135">
        <v>-8.9103810000000006E-2</v>
      </c>
      <c r="W135">
        <v>8.1488830000000009E-3</v>
      </c>
      <c r="X135">
        <v>0.99598899999999901</v>
      </c>
      <c r="Y135">
        <v>-0.39754159999999999</v>
      </c>
      <c r="Z135">
        <v>1.846248E-2</v>
      </c>
      <c r="AA135">
        <v>0.91739839999999995</v>
      </c>
      <c r="AB135">
        <v>26</v>
      </c>
      <c r="AC135">
        <v>10.792199999999999</v>
      </c>
      <c r="AD135">
        <v>-1.1028845397930001</v>
      </c>
      <c r="AE135">
        <v>4.8484999999999996</v>
      </c>
      <c r="AF135">
        <v>-4.7358608584552604</v>
      </c>
      <c r="AG135">
        <v>-1.1028845397930001</v>
      </c>
      <c r="AH135">
        <v>10.730787089698699</v>
      </c>
      <c r="AI135">
        <v>95.371590558871702</v>
      </c>
      <c r="AJ135">
        <v>113.81349684277301</v>
      </c>
      <c r="AK135">
        <v>11.7811087739315</v>
      </c>
    </row>
    <row r="136" spans="1:37" x14ac:dyDescent="0.2">
      <c r="A136" t="str">
        <f>"20200111153407676"</f>
        <v>20200111153407676</v>
      </c>
      <c r="B136" t="str">
        <f>"1578728047666633"</f>
        <v>1578728047666633</v>
      </c>
      <c r="C136" t="s">
        <v>37</v>
      </c>
      <c r="D136">
        <v>4.7342250000000003</v>
      </c>
      <c r="E136">
        <v>0.38800040000000002</v>
      </c>
      <c r="F136" t="s">
        <v>39</v>
      </c>
      <c r="G136">
        <v>-452.29820000000001</v>
      </c>
      <c r="H136" s="1">
        <v>-3.9720499999999902E-6</v>
      </c>
      <c r="I136">
        <v>372.3116</v>
      </c>
      <c r="J136">
        <v>-464.0847</v>
      </c>
      <c r="K136">
        <v>1.1028830000000001</v>
      </c>
      <c r="L136">
        <v>367.55840000000001</v>
      </c>
      <c r="M136">
        <v>0.99997619999999898</v>
      </c>
      <c r="N136">
        <v>0</v>
      </c>
      <c r="O136">
        <v>6.7144529999999996E-3</v>
      </c>
      <c r="P136">
        <v>0.99539159999999904</v>
      </c>
      <c r="Q136">
        <v>9.2493049999999993E-3</v>
      </c>
      <c r="R136">
        <v>9.5448660000000005E-2</v>
      </c>
      <c r="S136">
        <v>2.9053040000000001</v>
      </c>
      <c r="T136">
        <v>-0.26854600000000001</v>
      </c>
      <c r="U136">
        <v>1.157654</v>
      </c>
      <c r="V136">
        <v>-8.8765109999999994E-2</v>
      </c>
      <c r="W136">
        <v>7.6048280000000001E-3</v>
      </c>
      <c r="X136">
        <v>0.99602349999999995</v>
      </c>
      <c r="Y136">
        <v>-0.36260419999999999</v>
      </c>
      <c r="Z136">
        <v>1.551402E-2</v>
      </c>
      <c r="AA136">
        <v>0.93181409999999998</v>
      </c>
      <c r="AB136">
        <v>26</v>
      </c>
      <c r="AC136">
        <v>11.786499999999901</v>
      </c>
      <c r="AD136">
        <v>-1.1028869720500001</v>
      </c>
      <c r="AE136">
        <v>4.7531999999999899</v>
      </c>
      <c r="AF136">
        <v>-4.63901658987752</v>
      </c>
      <c r="AG136">
        <v>-1.1028869720500001</v>
      </c>
      <c r="AH136">
        <v>11.729812698031401</v>
      </c>
      <c r="AI136">
        <v>94.996929705197502</v>
      </c>
      <c r="AJ136">
        <v>111.57827189016599</v>
      </c>
      <c r="AK136">
        <v>12.661964323325799</v>
      </c>
    </row>
    <row r="137" spans="1:37" x14ac:dyDescent="0.2">
      <c r="A137" t="str">
        <f>"20200111153407691"</f>
        <v>20200111153407691</v>
      </c>
      <c r="B137" t="str">
        <f>"1578728047687129"</f>
        <v>1578728047687129</v>
      </c>
      <c r="C137" t="s">
        <v>37</v>
      </c>
      <c r="D137">
        <v>7.3693949999999999</v>
      </c>
      <c r="E137">
        <v>0.51043640000000001</v>
      </c>
      <c r="F137" t="s">
        <v>39</v>
      </c>
      <c r="G137">
        <v>-452.23689999999999</v>
      </c>
      <c r="H137" s="1">
        <v>-3.986589E-6</v>
      </c>
      <c r="I137">
        <v>372.27609999999999</v>
      </c>
      <c r="J137">
        <v>-463.92520000000002</v>
      </c>
      <c r="K137">
        <v>1.102886</v>
      </c>
      <c r="L137">
        <v>367.55959999999999</v>
      </c>
      <c r="M137">
        <v>0.99997549999999902</v>
      </c>
      <c r="N137">
        <v>0</v>
      </c>
      <c r="O137">
        <v>6.8247059999999998E-3</v>
      </c>
      <c r="P137">
        <v>0.99538989999999905</v>
      </c>
      <c r="Q137">
        <v>8.8047660000000003E-3</v>
      </c>
      <c r="R137">
        <v>9.5507519999999999E-2</v>
      </c>
      <c r="S137">
        <v>2.9054869999999999</v>
      </c>
      <c r="T137">
        <v>-0.27046500000000001</v>
      </c>
      <c r="U137">
        <v>1.156952</v>
      </c>
      <c r="V137">
        <v>-8.8714080000000001E-2</v>
      </c>
      <c r="W137">
        <v>7.2095400000000004E-3</v>
      </c>
      <c r="X137">
        <v>0.996031</v>
      </c>
      <c r="Y137">
        <v>-0.36226999999999998</v>
      </c>
      <c r="Z137">
        <v>1.5599389999999999E-2</v>
      </c>
      <c r="AA137">
        <v>0.93194259999999995</v>
      </c>
      <c r="AB137">
        <v>26</v>
      </c>
      <c r="AC137">
        <v>11.6883</v>
      </c>
      <c r="AD137">
        <v>-1.1028899865889901</v>
      </c>
      <c r="AE137">
        <v>4.7164999999999901</v>
      </c>
      <c r="AF137">
        <v>-4.6013891137935303</v>
      </c>
      <c r="AG137">
        <v>-1.1028899865889901</v>
      </c>
      <c r="AH137">
        <v>11.6311595492555</v>
      </c>
      <c r="AI137">
        <v>95.038904317066198</v>
      </c>
      <c r="AJ137">
        <v>111.584187623698</v>
      </c>
      <c r="AK137">
        <v>12.5567918099845</v>
      </c>
    </row>
    <row r="138" spans="1:37" x14ac:dyDescent="0.2">
      <c r="A138" t="str">
        <f>"20200111153407723"</f>
        <v>20200111153407723</v>
      </c>
      <c r="B138" t="str">
        <f>"1578728047716408"</f>
        <v>1578728047716408</v>
      </c>
      <c r="C138" t="s">
        <v>37</v>
      </c>
      <c r="D138">
        <v>4.5290099999999898</v>
      </c>
      <c r="E138">
        <v>0.53007749999999998</v>
      </c>
      <c r="F138" t="s">
        <v>39</v>
      </c>
      <c r="G138">
        <v>-450.04140000000001</v>
      </c>
      <c r="H138" s="1">
        <v>-4.4672519999999999E-6</v>
      </c>
      <c r="I138">
        <v>368.4171</v>
      </c>
      <c r="J138">
        <v>-463.54079999999999</v>
      </c>
      <c r="K138">
        <v>1.1028899999999999</v>
      </c>
      <c r="L138">
        <v>367.5625</v>
      </c>
      <c r="M138">
        <v>0.99997380000000002</v>
      </c>
      <c r="N138">
        <v>0</v>
      </c>
      <c r="O138">
        <v>7.0899309999999998E-3</v>
      </c>
      <c r="P138">
        <v>0.995419099999999</v>
      </c>
      <c r="Q138">
        <v>7.8436549999999997E-3</v>
      </c>
      <c r="R138">
        <v>9.5284540000000001E-2</v>
      </c>
      <c r="S138">
        <v>2.99823</v>
      </c>
      <c r="T138">
        <v>-0.238169299999999</v>
      </c>
      <c r="U138">
        <v>0.1851807</v>
      </c>
      <c r="V138">
        <v>-8.8226319999999997E-2</v>
      </c>
      <c r="W138">
        <v>6.3693730000000002E-3</v>
      </c>
      <c r="X138">
        <v>0.99608009999999902</v>
      </c>
      <c r="Y138">
        <v>-5.4419349999999998E-2</v>
      </c>
      <c r="Z138">
        <v>1.5942529999999999E-3</v>
      </c>
      <c r="AA138">
        <v>0.99851690000000004</v>
      </c>
      <c r="AB138">
        <v>27</v>
      </c>
      <c r="AC138">
        <v>13.4993999999999</v>
      </c>
      <c r="AD138">
        <v>-1.102894467252</v>
      </c>
      <c r="AE138">
        <v>0.85460000000000402</v>
      </c>
      <c r="AF138">
        <v>-0.75385683765815603</v>
      </c>
      <c r="AG138">
        <v>-1.102894467252</v>
      </c>
      <c r="AH138">
        <v>13.4159284330406</v>
      </c>
      <c r="AI138">
        <v>94.692225570503098</v>
      </c>
      <c r="AJ138">
        <v>93.216135327525606</v>
      </c>
      <c r="AK138">
        <v>13.4822777028975</v>
      </c>
    </row>
    <row r="139" spans="1:37" x14ac:dyDescent="0.2">
      <c r="A139" t="str">
        <f>"20200111153407734"</f>
        <v>20200111153407734</v>
      </c>
      <c r="B139" t="str">
        <f>"1578728047726169"</f>
        <v>1578728047726169</v>
      </c>
      <c r="C139" t="s">
        <v>37</v>
      </c>
      <c r="D139">
        <v>4.4636459999999998</v>
      </c>
      <c r="E139">
        <v>0.53335049999999995</v>
      </c>
      <c r="F139" t="s">
        <v>40</v>
      </c>
      <c r="G139">
        <v>-462.6318</v>
      </c>
      <c r="H139">
        <v>1.023685</v>
      </c>
      <c r="I139">
        <v>367.5702</v>
      </c>
      <c r="J139">
        <v>-463.38209999999998</v>
      </c>
      <c r="K139">
        <v>1.102892</v>
      </c>
      <c r="L139">
        <v>367.56380000000001</v>
      </c>
      <c r="M139">
        <v>0.99997320000000001</v>
      </c>
      <c r="N139">
        <v>0</v>
      </c>
      <c r="O139">
        <v>7.1991669999999898E-3</v>
      </c>
      <c r="P139">
        <v>0.99539169999999999</v>
      </c>
      <c r="Q139">
        <v>7.2771939999999999E-3</v>
      </c>
      <c r="R139">
        <v>9.561712E-2</v>
      </c>
      <c r="S139">
        <v>3.0133669999999899</v>
      </c>
      <c r="T139">
        <v>-0.26270009999999999</v>
      </c>
      <c r="U139">
        <v>2.6458740000000001E-2</v>
      </c>
      <c r="V139">
        <v>-8.8450310000000004E-2</v>
      </c>
      <c r="W139">
        <v>5.8524919999999999E-3</v>
      </c>
      <c r="X139">
        <v>0.99606340000000004</v>
      </c>
      <c r="Y139">
        <v>-1.602221E-3</v>
      </c>
      <c r="Z139">
        <v>-5.5669669999999999E-4</v>
      </c>
      <c r="AA139">
        <v>0.99999859999999896</v>
      </c>
      <c r="AB139">
        <v>27</v>
      </c>
      <c r="AC139">
        <v>0.75029999999998098</v>
      </c>
      <c r="AD139">
        <v>-7.9207E-2</v>
      </c>
      <c r="AE139">
        <v>6.39999999998508E-3</v>
      </c>
      <c r="AF139">
        <v>-9.872923696340049E-4</v>
      </c>
      <c r="AG139">
        <v>-7.9207E-2</v>
      </c>
      <c r="AH139">
        <v>0.74205743753432996</v>
      </c>
      <c r="AI139">
        <v>96.092661093239599</v>
      </c>
      <c r="AJ139">
        <v>90.076230827542403</v>
      </c>
      <c r="AK139">
        <v>0.746273384354045</v>
      </c>
    </row>
    <row r="140" spans="1:37" x14ac:dyDescent="0.2">
      <c r="A140" t="str">
        <f>"20200111153407753"</f>
        <v>20200111153407753</v>
      </c>
      <c r="B140" t="str">
        <f>"1578728047746664"</f>
        <v>1578728047746664</v>
      </c>
      <c r="C140" t="s">
        <v>37</v>
      </c>
      <c r="D140">
        <v>4.5008530000000002</v>
      </c>
      <c r="E140">
        <v>0.53506299999999996</v>
      </c>
      <c r="F140" t="s">
        <v>39</v>
      </c>
      <c r="G140">
        <v>-446.0009</v>
      </c>
      <c r="H140" s="1">
        <v>-2.2282889999999998E-6</v>
      </c>
      <c r="I140">
        <v>367.60140000000001</v>
      </c>
      <c r="J140">
        <v>-463.17219999999998</v>
      </c>
      <c r="K140">
        <v>1.102895</v>
      </c>
      <c r="L140">
        <v>367.56540000000001</v>
      </c>
      <c r="M140">
        <v>0.99997219999999998</v>
      </c>
      <c r="N140">
        <v>0</v>
      </c>
      <c r="O140">
        <v>7.34382099999999E-3</v>
      </c>
      <c r="P140">
        <v>0.99532779999999998</v>
      </c>
      <c r="Q140">
        <v>6.5643819999999997E-3</v>
      </c>
      <c r="R140">
        <v>9.6330890000000002E-2</v>
      </c>
      <c r="S140">
        <v>3.01464799999999</v>
      </c>
      <c r="T140">
        <v>-0.1912896</v>
      </c>
      <c r="U140">
        <v>6.5307619999999999E-3</v>
      </c>
      <c r="V140">
        <v>-8.9020080000000001E-2</v>
      </c>
      <c r="W140">
        <v>5.2063869999999998E-3</v>
      </c>
      <c r="X140">
        <v>0.99601620000000002</v>
      </c>
      <c r="Y140">
        <v>5.1523990000000002E-3</v>
      </c>
      <c r="Z140">
        <v>-6.2882209999999897E-4</v>
      </c>
      <c r="AA140">
        <v>0.9999865</v>
      </c>
      <c r="AB140">
        <v>27</v>
      </c>
      <c r="AC140">
        <v>17.171299999999899</v>
      </c>
      <c r="AD140">
        <v>-1.1028972282889999</v>
      </c>
      <c r="AE140">
        <v>3.6000000000001302E-2</v>
      </c>
      <c r="AF140">
        <v>8.9733845067262896E-2</v>
      </c>
      <c r="AG140">
        <v>-1.1028972282889999</v>
      </c>
      <c r="AH140">
        <v>17.100555388610701</v>
      </c>
      <c r="AI140">
        <v>93.690119419444599</v>
      </c>
      <c r="AJ140">
        <v>89.699347576976294</v>
      </c>
      <c r="AK140">
        <v>17.136319005494201</v>
      </c>
    </row>
    <row r="141" spans="1:37" x14ac:dyDescent="0.2">
      <c r="A141" t="str">
        <f>"20200111153407766"</f>
        <v>20200111153407766</v>
      </c>
      <c r="B141" t="str">
        <f>"1578728047756424"</f>
        <v>1578728047756424</v>
      </c>
      <c r="C141" t="s">
        <v>37</v>
      </c>
      <c r="D141">
        <v>4.5256930000000004</v>
      </c>
      <c r="E141">
        <v>0.53373930000000003</v>
      </c>
      <c r="F141" t="s">
        <v>38</v>
      </c>
      <c r="G141">
        <v>-436.66809999999998</v>
      </c>
      <c r="H141">
        <v>-0.05</v>
      </c>
      <c r="I141">
        <v>367.5598</v>
      </c>
      <c r="J141">
        <v>-463.00619999999998</v>
      </c>
      <c r="K141">
        <v>1.1028990000000001</v>
      </c>
      <c r="L141">
        <v>367.56670000000003</v>
      </c>
      <c r="M141">
        <v>0.99997139999999995</v>
      </c>
      <c r="N141">
        <v>0</v>
      </c>
      <c r="O141">
        <v>7.4584209999999998E-3</v>
      </c>
      <c r="P141">
        <v>0.99529419999999902</v>
      </c>
      <c r="Q141">
        <v>6.3265149999999996E-3</v>
      </c>
      <c r="R141">
        <v>9.6693340000000003E-2</v>
      </c>
      <c r="S141">
        <v>3.015015</v>
      </c>
      <c r="T141">
        <v>-0.13114890000000001</v>
      </c>
      <c r="U141">
        <v>-6.408691E-4</v>
      </c>
      <c r="V141">
        <v>-8.9269029999999999E-2</v>
      </c>
      <c r="W141">
        <v>5.0213769999999996E-3</v>
      </c>
      <c r="X141">
        <v>0.99599490000000002</v>
      </c>
      <c r="Y141">
        <v>7.6566869999999997E-3</v>
      </c>
      <c r="Z141">
        <v>-4.9072429999999999E-4</v>
      </c>
      <c r="AA141">
        <v>0.99997060000000004</v>
      </c>
      <c r="AB141">
        <v>27</v>
      </c>
      <c r="AC141">
        <v>26.338100000000001</v>
      </c>
      <c r="AD141">
        <v>-1.1528989999999999</v>
      </c>
      <c r="AE141">
        <v>-6.9000000000300999E-3</v>
      </c>
      <c r="AF141">
        <v>0.20295172881399801</v>
      </c>
      <c r="AG141">
        <v>-1.1528989999999999</v>
      </c>
      <c r="AH141">
        <v>26.286948064718999</v>
      </c>
      <c r="AI141">
        <v>92.511207335386104</v>
      </c>
      <c r="AJ141">
        <v>89.557649429705293</v>
      </c>
      <c r="AK141">
        <v>26.313000666318299</v>
      </c>
    </row>
    <row r="142" spans="1:37" x14ac:dyDescent="0.2">
      <c r="A142" t="str">
        <f>"20200111153407777"</f>
        <v>20200111153407777</v>
      </c>
      <c r="B142" t="str">
        <f>"1578728047766185"</f>
        <v>1578728047766185</v>
      </c>
      <c r="C142" t="s">
        <v>37</v>
      </c>
      <c r="D142">
        <v>4.4969469999999996</v>
      </c>
      <c r="E142">
        <v>0.53317389999999998</v>
      </c>
      <c r="F142" t="s">
        <v>38</v>
      </c>
      <c r="G142">
        <v>-436.83370000000002</v>
      </c>
      <c r="H142">
        <v>-0.05</v>
      </c>
      <c r="I142">
        <v>367.66129999999998</v>
      </c>
      <c r="J142">
        <v>-462.86079999999998</v>
      </c>
      <c r="K142">
        <v>1.1029009999999999</v>
      </c>
      <c r="L142">
        <v>367.56790000000001</v>
      </c>
      <c r="M142">
        <v>0.9999709</v>
      </c>
      <c r="N142">
        <v>0</v>
      </c>
      <c r="O142">
        <v>7.5584129999999999E-3</v>
      </c>
      <c r="P142">
        <v>0.99524849999999998</v>
      </c>
      <c r="Q142">
        <v>6.1812209999999998E-3</v>
      </c>
      <c r="R142">
        <v>9.7173090000000004E-2</v>
      </c>
      <c r="S142">
        <v>3.0139469999999999</v>
      </c>
      <c r="T142">
        <v>-0.13276479999999999</v>
      </c>
      <c r="U142">
        <v>1.089478E-2</v>
      </c>
      <c r="V142">
        <v>-8.9649489999999998E-2</v>
      </c>
      <c r="W142">
        <v>4.9221949999999999E-3</v>
      </c>
      <c r="X142">
        <v>0.99596119999999899</v>
      </c>
      <c r="Y142">
        <v>3.9325649999999998E-3</v>
      </c>
      <c r="Z142">
        <v>-4.1935619999999997E-4</v>
      </c>
      <c r="AA142">
        <v>0.999992199999999</v>
      </c>
      <c r="AB142">
        <v>27</v>
      </c>
      <c r="AC142">
        <v>26.027099999999901</v>
      </c>
      <c r="AD142">
        <v>-1.152901</v>
      </c>
      <c r="AE142">
        <v>9.3399999999974101E-2</v>
      </c>
      <c r="AF142">
        <v>0.103124001910098</v>
      </c>
      <c r="AG142">
        <v>-1.152901</v>
      </c>
      <c r="AH142">
        <v>25.976094117852099</v>
      </c>
      <c r="AI142">
        <v>92.541279641619496</v>
      </c>
      <c r="AJ142">
        <v>89.772539358356497</v>
      </c>
      <c r="AK142">
        <v>26.001870719144001</v>
      </c>
    </row>
    <row r="143" spans="1:37" x14ac:dyDescent="0.2">
      <c r="A143" t="str">
        <f>"20200111153407797"</f>
        <v>20200111153407797</v>
      </c>
      <c r="B143" t="str">
        <f>"1578728047786680"</f>
        <v>1578728047786680</v>
      </c>
      <c r="C143" t="s">
        <v>37</v>
      </c>
      <c r="D143">
        <v>4.4571940000000003</v>
      </c>
      <c r="E143">
        <v>0.53159460000000003</v>
      </c>
      <c r="F143" t="s">
        <v>38</v>
      </c>
      <c r="G143">
        <v>-437.27269999999999</v>
      </c>
      <c r="H143">
        <v>-0.05</v>
      </c>
      <c r="I143">
        <v>367.71069999999997</v>
      </c>
      <c r="J143">
        <v>-462.62900000000002</v>
      </c>
      <c r="K143">
        <v>1.102902</v>
      </c>
      <c r="L143">
        <v>367.56979999999999</v>
      </c>
      <c r="M143">
        <v>0.99996969999999996</v>
      </c>
      <c r="N143">
        <v>0</v>
      </c>
      <c r="O143">
        <v>7.7186829999999996E-3</v>
      </c>
      <c r="P143">
        <v>0.99517069999999996</v>
      </c>
      <c r="Q143">
        <v>6.2859279999999997E-3</v>
      </c>
      <c r="R143">
        <v>9.7958009999999998E-2</v>
      </c>
      <c r="S143">
        <v>3.0134889999999999</v>
      </c>
      <c r="T143">
        <v>-0.13577620000000001</v>
      </c>
      <c r="U143">
        <v>1.6815190000000001E-2</v>
      </c>
      <c r="V143">
        <v>-9.0275320000000006E-2</v>
      </c>
      <c r="W143">
        <v>5.1010079999999998E-3</v>
      </c>
      <c r="X143">
        <v>0.99590380000000001</v>
      </c>
      <c r="Y143">
        <v>2.1288570000000001E-3</v>
      </c>
      <c r="Z143">
        <v>-3.9552519999999999E-4</v>
      </c>
      <c r="AA143">
        <v>0.99999769999999899</v>
      </c>
      <c r="AB143">
        <v>27</v>
      </c>
      <c r="AC143">
        <v>25.356300000000001</v>
      </c>
      <c r="AD143">
        <v>-1.1529020000000001</v>
      </c>
      <c r="AE143">
        <v>0.14089999999998701</v>
      </c>
      <c r="AF143">
        <v>5.47084412627247E-2</v>
      </c>
      <c r="AG143">
        <v>-1.1529020000000001</v>
      </c>
      <c r="AH143">
        <v>25.304321057207801</v>
      </c>
      <c r="AI143">
        <v>92.608669631709603</v>
      </c>
      <c r="AJ143">
        <v>89.876125587522097</v>
      </c>
      <c r="AK143">
        <v>25.3306304738236</v>
      </c>
    </row>
    <row r="144" spans="1:37" x14ac:dyDescent="0.2">
      <c r="A144" t="str">
        <f>"20200111153407810"</f>
        <v>20200111153407810</v>
      </c>
      <c r="B144" t="str">
        <f>"1578728047806201"</f>
        <v>1578728047806201</v>
      </c>
      <c r="C144" t="s">
        <v>37</v>
      </c>
      <c r="D144">
        <v>4.5096429999999996</v>
      </c>
      <c r="E144">
        <v>0.53110999999999997</v>
      </c>
      <c r="F144" t="s">
        <v>38</v>
      </c>
      <c r="G144">
        <v>-437.25709999999998</v>
      </c>
      <c r="H144">
        <v>-0.05</v>
      </c>
      <c r="I144">
        <v>367.83690000000001</v>
      </c>
      <c r="J144">
        <v>-462.4744</v>
      </c>
      <c r="K144">
        <v>1.1029089999999999</v>
      </c>
      <c r="L144">
        <v>367.5711</v>
      </c>
      <c r="M144">
        <v>0.99996879999999999</v>
      </c>
      <c r="N144">
        <v>0</v>
      </c>
      <c r="O144">
        <v>7.825172E-3</v>
      </c>
      <c r="P144">
        <v>0.995137099999999</v>
      </c>
      <c r="Q144">
        <v>6.2116760000000002E-3</v>
      </c>
      <c r="R144">
        <v>9.8305069999999994E-2</v>
      </c>
      <c r="S144">
        <v>3.0122680000000002</v>
      </c>
      <c r="T144">
        <v>-0.13687839999999901</v>
      </c>
      <c r="U144">
        <v>3.1707760000000001E-2</v>
      </c>
      <c r="V144">
        <v>-9.0516570000000005E-2</v>
      </c>
      <c r="W144">
        <v>5.0766889999999997E-3</v>
      </c>
      <c r="X144">
        <v>0.99588199999999905</v>
      </c>
      <c r="Y144">
        <v>-2.7058429999999999E-3</v>
      </c>
      <c r="Z144">
        <v>-2.93935E-4</v>
      </c>
      <c r="AA144">
        <v>0.99999629999999995</v>
      </c>
      <c r="AB144">
        <v>28</v>
      </c>
      <c r="AC144">
        <v>25.217300000000002</v>
      </c>
      <c r="AD144">
        <v>-1.152909</v>
      </c>
      <c r="AE144">
        <v>0.26580000000001203</v>
      </c>
      <c r="AF144">
        <v>-6.8319250375315804E-2</v>
      </c>
      <c r="AG144">
        <v>-1.152909</v>
      </c>
      <c r="AH144">
        <v>25.166011085769</v>
      </c>
      <c r="AI144">
        <v>92.622999033445893</v>
      </c>
      <c r="AJ144">
        <v>90.155542929570302</v>
      </c>
      <c r="AK144">
        <v>25.192498499579202</v>
      </c>
    </row>
    <row r="145" spans="1:37" x14ac:dyDescent="0.2">
      <c r="A145" t="str">
        <f>"20200111153407823"</f>
        <v>20200111153407823</v>
      </c>
      <c r="B145" t="str">
        <f>"1578728047816938"</f>
        <v>1578728047816938</v>
      </c>
      <c r="C145" t="s">
        <v>37</v>
      </c>
      <c r="D145">
        <v>4.4930680000000001</v>
      </c>
      <c r="E145">
        <v>0.5305377</v>
      </c>
      <c r="F145" t="s">
        <v>38</v>
      </c>
      <c r="G145">
        <v>-436.69400000000002</v>
      </c>
      <c r="H145">
        <v>-0.05</v>
      </c>
      <c r="I145">
        <v>367.88510000000002</v>
      </c>
      <c r="J145">
        <v>-462.29849999999999</v>
      </c>
      <c r="K145">
        <v>1.1029139999999999</v>
      </c>
      <c r="L145">
        <v>367.57260000000002</v>
      </c>
      <c r="M145">
        <v>0.99996779999999996</v>
      </c>
      <c r="N145">
        <v>0</v>
      </c>
      <c r="O145">
        <v>7.9464449999999999E-3</v>
      </c>
      <c r="P145">
        <v>0.99510379999999998</v>
      </c>
      <c r="Q145">
        <v>6.6057850000000003E-3</v>
      </c>
      <c r="R145">
        <v>9.861578E-2</v>
      </c>
      <c r="S145">
        <v>3.0119020000000001</v>
      </c>
      <c r="T145">
        <v>-0.1346936</v>
      </c>
      <c r="U145">
        <v>3.668213E-2</v>
      </c>
      <c r="V145">
        <v>-9.0706780000000001E-2</v>
      </c>
      <c r="W145">
        <v>5.527293E-3</v>
      </c>
      <c r="X145">
        <v>0.99586229999999998</v>
      </c>
      <c r="Y145">
        <v>-4.2356199999999998E-3</v>
      </c>
      <c r="Z145">
        <v>-2.6051250000000002E-4</v>
      </c>
      <c r="AA145">
        <v>0.99999099999999996</v>
      </c>
      <c r="AB145">
        <v>28</v>
      </c>
      <c r="AC145">
        <v>25.604499999999899</v>
      </c>
      <c r="AD145">
        <v>-1.152914</v>
      </c>
      <c r="AE145">
        <v>0.3125</v>
      </c>
      <c r="AF145">
        <v>-0.108804685970501</v>
      </c>
      <c r="AG145">
        <v>-1.152914</v>
      </c>
      <c r="AH145">
        <v>25.554371027079501</v>
      </c>
      <c r="AI145">
        <v>92.583187996917999</v>
      </c>
      <c r="AJ145">
        <v>90.243950892768297</v>
      </c>
      <c r="AK145">
        <v>25.5805967041569</v>
      </c>
    </row>
    <row r="146" spans="1:37" x14ac:dyDescent="0.2">
      <c r="A146" t="str">
        <f>"20200111153407835"</f>
        <v>20200111153407835</v>
      </c>
      <c r="B146" t="str">
        <f>"1578728047826696"</f>
        <v>1578728047826696</v>
      </c>
      <c r="C146" t="s">
        <v>37</v>
      </c>
      <c r="D146">
        <v>4.4521920000000001</v>
      </c>
      <c r="E146">
        <v>0.53012649999999994</v>
      </c>
      <c r="F146" t="s">
        <v>38</v>
      </c>
      <c r="G146">
        <v>-435.91829999999999</v>
      </c>
      <c r="H146">
        <v>-0.05</v>
      </c>
      <c r="I146">
        <v>367.94369999999998</v>
      </c>
      <c r="J146">
        <v>-462.14109999999999</v>
      </c>
      <c r="K146">
        <v>1.102927</v>
      </c>
      <c r="L146">
        <v>367.57389999999998</v>
      </c>
      <c r="M146">
        <v>0.99996719999999895</v>
      </c>
      <c r="N146">
        <v>0</v>
      </c>
      <c r="O146">
        <v>8.0542419999999997E-3</v>
      </c>
      <c r="P146">
        <v>0.99506749999999899</v>
      </c>
      <c r="Q146">
        <v>6.475504E-3</v>
      </c>
      <c r="R146">
        <v>9.8989320000000006E-2</v>
      </c>
      <c r="S146">
        <v>3.011444</v>
      </c>
      <c r="T146">
        <v>-0.13161110000000001</v>
      </c>
      <c r="U146">
        <v>4.2358399999999997E-2</v>
      </c>
      <c r="V146">
        <v>-9.0973209999999999E-2</v>
      </c>
      <c r="W146">
        <v>5.4471859999999997E-3</v>
      </c>
      <c r="X146">
        <v>0.99583849999999996</v>
      </c>
      <c r="Y146">
        <v>-6.0124610000000002E-3</v>
      </c>
      <c r="Z146">
        <v>-2.20492799999999E-4</v>
      </c>
      <c r="AA146">
        <v>0.99998189999999998</v>
      </c>
      <c r="AB146">
        <v>28</v>
      </c>
      <c r="AC146">
        <v>26.222799999999999</v>
      </c>
      <c r="AD146">
        <v>-1.152927</v>
      </c>
      <c r="AE146">
        <v>0.36979999999999702</v>
      </c>
      <c r="AF146">
        <v>-0.15827725247177901</v>
      </c>
      <c r="AG146">
        <v>-1.152927</v>
      </c>
      <c r="AH146">
        <v>26.174341367462699</v>
      </c>
      <c r="AI146">
        <v>92.522087267632799</v>
      </c>
      <c r="AJ146">
        <v>90.346465567108595</v>
      </c>
      <c r="AK146">
        <v>26.200199204900098</v>
      </c>
    </row>
    <row r="147" spans="1:37" x14ac:dyDescent="0.2">
      <c r="A147" t="str">
        <f>"20200111153407854"</f>
        <v>20200111153407854</v>
      </c>
      <c r="B147" t="str">
        <f>"1578728047847194"</f>
        <v>1578728047847194</v>
      </c>
      <c r="C147" t="s">
        <v>37</v>
      </c>
      <c r="D147">
        <v>4.4617659999999999</v>
      </c>
      <c r="E147">
        <v>0.5293445</v>
      </c>
      <c r="F147" t="s">
        <v>38</v>
      </c>
      <c r="G147">
        <v>-435.63589999999999</v>
      </c>
      <c r="H147">
        <v>-0.05</v>
      </c>
      <c r="I147">
        <v>367.98570000000001</v>
      </c>
      <c r="J147">
        <v>-461.9144</v>
      </c>
      <c r="K147">
        <v>1.1029340000000001</v>
      </c>
      <c r="L147">
        <v>367.57589999999999</v>
      </c>
      <c r="M147">
        <v>0.99996589999999996</v>
      </c>
      <c r="N147">
        <v>0</v>
      </c>
      <c r="O147">
        <v>8.2096169999999902E-3</v>
      </c>
      <c r="P147">
        <v>0.99502190000000001</v>
      </c>
      <c r="Q147">
        <v>6.3556840000000003E-3</v>
      </c>
      <c r="R147">
        <v>9.9454399999999998E-2</v>
      </c>
      <c r="S147">
        <v>3.0110779999999999</v>
      </c>
      <c r="T147">
        <v>-0.13097629999999999</v>
      </c>
      <c r="U147">
        <v>4.6783449999999997E-2</v>
      </c>
      <c r="V147">
        <v>-9.1283790000000004E-2</v>
      </c>
      <c r="W147">
        <v>5.4009330000000001E-3</v>
      </c>
      <c r="X147">
        <v>0.99581030000000004</v>
      </c>
      <c r="Y147">
        <v>-7.3269160000000002E-3</v>
      </c>
      <c r="Z147">
        <v>-1.976356E-4</v>
      </c>
      <c r="AA147">
        <v>0.99997309999999995</v>
      </c>
      <c r="AB147">
        <v>28</v>
      </c>
      <c r="AC147">
        <v>26.278500000000001</v>
      </c>
      <c r="AD147">
        <v>-1.1529339999999999</v>
      </c>
      <c r="AE147">
        <v>0.40980000000001798</v>
      </c>
      <c r="AF147">
        <v>-0.193676965417481</v>
      </c>
      <c r="AG147">
        <v>-1.1529339999999999</v>
      </c>
      <c r="AH147">
        <v>26.230499965649098</v>
      </c>
      <c r="AI147">
        <v>92.516687216701598</v>
      </c>
      <c r="AJ147">
        <v>90.423044588068805</v>
      </c>
      <c r="AK147">
        <v>26.2565400619199</v>
      </c>
    </row>
    <row r="148" spans="1:37" x14ac:dyDescent="0.2">
      <c r="A148" t="str">
        <f>"20200111153407867"</f>
        <v>20200111153407867</v>
      </c>
      <c r="B148" t="str">
        <f>"1578728047856952"</f>
        <v>1578728047856952</v>
      </c>
      <c r="C148" t="s">
        <v>37</v>
      </c>
      <c r="D148">
        <v>4.4718749999999998</v>
      </c>
      <c r="E148">
        <v>0.52917440000000004</v>
      </c>
      <c r="F148" t="s">
        <v>38</v>
      </c>
      <c r="G148">
        <v>-435.18150000000003</v>
      </c>
      <c r="H148">
        <v>-0.05</v>
      </c>
      <c r="I148">
        <v>368.05829999999997</v>
      </c>
      <c r="J148">
        <v>-461.74430000000001</v>
      </c>
      <c r="K148">
        <v>1.102938</v>
      </c>
      <c r="L148">
        <v>367.57740000000001</v>
      </c>
      <c r="M148">
        <v>0.99996509999999905</v>
      </c>
      <c r="N148">
        <v>0</v>
      </c>
      <c r="O148">
        <v>8.3261759999999994E-3</v>
      </c>
      <c r="P148">
        <v>0.99497340000000001</v>
      </c>
      <c r="Q148">
        <v>6.2440630000000002E-3</v>
      </c>
      <c r="R148">
        <v>9.9945199999999998E-2</v>
      </c>
      <c r="S148">
        <v>3.0104060000000001</v>
      </c>
      <c r="T148">
        <v>-0.12983230000000001</v>
      </c>
      <c r="U148">
        <v>5.4321290000000001E-2</v>
      </c>
      <c r="V148">
        <v>-9.165893E-2</v>
      </c>
      <c r="W148">
        <v>5.3446680000000003E-3</v>
      </c>
      <c r="X148">
        <v>0.99577610000000005</v>
      </c>
      <c r="Y148">
        <v>-9.7148259999999993E-3</v>
      </c>
      <c r="Z148">
        <v>-1.4950879999999999E-4</v>
      </c>
      <c r="AA148">
        <v>0.99995279999999998</v>
      </c>
      <c r="AB148">
        <v>28</v>
      </c>
      <c r="AC148">
        <v>26.5627999999999</v>
      </c>
      <c r="AD148">
        <v>-1.152938</v>
      </c>
      <c r="AE148">
        <v>0.48089999999996202</v>
      </c>
      <c r="AF148">
        <v>-0.25922852249105799</v>
      </c>
      <c r="AG148">
        <v>-1.152938</v>
      </c>
      <c r="AH148">
        <v>26.515945553686201</v>
      </c>
      <c r="AI148">
        <v>92.489586802134795</v>
      </c>
      <c r="AJ148">
        <v>90.560124362726597</v>
      </c>
      <c r="AK148">
        <v>26.542265051512999</v>
      </c>
    </row>
    <row r="149" spans="1:37" x14ac:dyDescent="0.2">
      <c r="A149" t="str">
        <f>"20200111153407880"</f>
        <v>20200111153407880</v>
      </c>
      <c r="B149" t="str">
        <f>"1578728047876474"</f>
        <v>1578728047876474</v>
      </c>
      <c r="C149" t="s">
        <v>37</v>
      </c>
      <c r="D149">
        <v>4.5884210000000003</v>
      </c>
      <c r="E149">
        <v>0.52923050000000005</v>
      </c>
      <c r="F149" t="s">
        <v>38</v>
      </c>
      <c r="G149">
        <v>-434.83569999999997</v>
      </c>
      <c r="H149">
        <v>-0.05</v>
      </c>
      <c r="I149">
        <v>368.08730000000003</v>
      </c>
      <c r="J149">
        <v>-461.58269999999999</v>
      </c>
      <c r="K149">
        <v>1.1029439999999999</v>
      </c>
      <c r="L149">
        <v>367.57889999999998</v>
      </c>
      <c r="M149">
        <v>0.99996409999999902</v>
      </c>
      <c r="N149">
        <v>0</v>
      </c>
      <c r="O149">
        <v>8.43701E-3</v>
      </c>
      <c r="P149">
        <v>0.99496039999999997</v>
      </c>
      <c r="Q149">
        <v>5.8657680000000004E-3</v>
      </c>
      <c r="R149">
        <v>0.1000958</v>
      </c>
      <c r="S149">
        <v>3.0102229999999999</v>
      </c>
      <c r="T149">
        <v>-0.12897729999999999</v>
      </c>
      <c r="U149">
        <v>5.7037350000000001E-2</v>
      </c>
      <c r="V149">
        <v>-9.1699439999999993E-2</v>
      </c>
      <c r="W149">
        <v>5.0189919999999999E-3</v>
      </c>
      <c r="X149">
        <v>0.9957741</v>
      </c>
      <c r="Y149">
        <v>-1.0506410000000001E-2</v>
      </c>
      <c r="Z149">
        <v>-1.3632959999999999E-4</v>
      </c>
      <c r="AA149">
        <v>0.99994479999999997</v>
      </c>
      <c r="AB149">
        <v>28</v>
      </c>
      <c r="AC149">
        <v>26.747</v>
      </c>
      <c r="AD149">
        <v>-1.152944</v>
      </c>
      <c r="AE149">
        <v>0.50840000000005103</v>
      </c>
      <c r="AF149">
        <v>-0.282192978979317</v>
      </c>
      <c r="AG149">
        <v>-1.152944</v>
      </c>
      <c r="AH149">
        <v>26.7007429808132</v>
      </c>
      <c r="AI149">
        <v>92.472370627641098</v>
      </c>
      <c r="AJ149">
        <v>90.605521155726805</v>
      </c>
      <c r="AK149">
        <v>26.7271133583851</v>
      </c>
    </row>
    <row r="150" spans="1:37" x14ac:dyDescent="0.2">
      <c r="A150" t="str">
        <f>"20200111153407897"</f>
        <v>20200111153407897</v>
      </c>
      <c r="B150" t="str">
        <f>"1578728047887208"</f>
        <v>1578728047887208</v>
      </c>
      <c r="C150" t="s">
        <v>37</v>
      </c>
      <c r="D150">
        <v>4.3462559999999897</v>
      </c>
      <c r="E150">
        <v>0.47614529999999899</v>
      </c>
      <c r="F150" t="s">
        <v>38</v>
      </c>
      <c r="G150">
        <v>-433.7937</v>
      </c>
      <c r="H150">
        <v>-0.05</v>
      </c>
      <c r="I150">
        <v>368.10930000000002</v>
      </c>
      <c r="J150">
        <v>-461.35660000000001</v>
      </c>
      <c r="K150">
        <v>1.1029530000000001</v>
      </c>
      <c r="L150">
        <v>367.58089999999999</v>
      </c>
      <c r="M150">
        <v>0.99996289999999999</v>
      </c>
      <c r="N150">
        <v>0</v>
      </c>
      <c r="O150">
        <v>8.5924980000000005E-3</v>
      </c>
      <c r="P150">
        <v>0.99490339999999999</v>
      </c>
      <c r="Q150">
        <v>5.8996789999999997E-3</v>
      </c>
      <c r="R150">
        <v>0.1006604</v>
      </c>
      <c r="S150">
        <v>3.0101619999999998</v>
      </c>
      <c r="T150">
        <v>-0.12488929999999999</v>
      </c>
      <c r="U150">
        <v>5.7464599999999998E-2</v>
      </c>
      <c r="V150">
        <v>-9.2110109999999995E-2</v>
      </c>
      <c r="W150">
        <v>5.126757E-3</v>
      </c>
      <c r="X150">
        <v>0.99573559999999905</v>
      </c>
      <c r="Y150">
        <v>-1.049345E-2</v>
      </c>
      <c r="Z150">
        <v>-1.3873069999999999E-4</v>
      </c>
      <c r="AA150">
        <v>0.99994490000000003</v>
      </c>
      <c r="AB150">
        <v>29</v>
      </c>
      <c r="AC150">
        <v>27.562899999999999</v>
      </c>
      <c r="AD150">
        <v>-1.1529529999999999</v>
      </c>
      <c r="AE150">
        <v>0.52840000000003295</v>
      </c>
      <c r="AF150">
        <v>-0.291037234570518</v>
      </c>
      <c r="AG150">
        <v>-1.1529529999999999</v>
      </c>
      <c r="AH150">
        <v>27.518290609189801</v>
      </c>
      <c r="AI150">
        <v>92.399024010553006</v>
      </c>
      <c r="AJ150">
        <v>90.605945469770205</v>
      </c>
      <c r="AK150">
        <v>27.543970689498199</v>
      </c>
    </row>
    <row r="151" spans="1:37" x14ac:dyDescent="0.2">
      <c r="A151" t="str">
        <f>"20200111153407911"</f>
        <v>20200111153407911</v>
      </c>
      <c r="B151" t="str">
        <f>"1578728047906728"</f>
        <v>1578728047906728</v>
      </c>
      <c r="C151" t="s">
        <v>37</v>
      </c>
      <c r="D151">
        <v>4.061509</v>
      </c>
      <c r="E151">
        <v>0.3846812</v>
      </c>
      <c r="F151" t="s">
        <v>39</v>
      </c>
      <c r="G151">
        <v>-443.5453</v>
      </c>
      <c r="H151" s="1">
        <v>-3.25185E-6</v>
      </c>
      <c r="I151">
        <v>370.44389999999999</v>
      </c>
      <c r="J151">
        <v>-461.18549999999999</v>
      </c>
      <c r="K151">
        <v>1.102956</v>
      </c>
      <c r="L151">
        <v>367.58249999999998</v>
      </c>
      <c r="M151">
        <v>0.99996189999999996</v>
      </c>
      <c r="N151">
        <v>0</v>
      </c>
      <c r="O151">
        <v>8.710008E-3</v>
      </c>
      <c r="P151">
        <v>0.99486949999999996</v>
      </c>
      <c r="Q151">
        <v>5.9675719999999896E-3</v>
      </c>
      <c r="R151">
        <v>0.10099130000000001</v>
      </c>
      <c r="S151">
        <v>2.9681700000000002</v>
      </c>
      <c r="T151">
        <v>-0.18380239999999901</v>
      </c>
      <c r="U151">
        <v>0.47711179999999997</v>
      </c>
      <c r="V151">
        <v>-9.2324180000000006E-2</v>
      </c>
      <c r="W151">
        <v>5.250256E-3</v>
      </c>
      <c r="X151">
        <v>0.99571509999999996</v>
      </c>
      <c r="Y151">
        <v>-0.14983640000000001</v>
      </c>
      <c r="Z151">
        <v>4.070036E-3</v>
      </c>
      <c r="AA151">
        <v>0.98870239999999998</v>
      </c>
      <c r="AB151">
        <v>29</v>
      </c>
      <c r="AC151">
        <v>17.640199999999901</v>
      </c>
      <c r="AD151">
        <v>-1.10295925185</v>
      </c>
      <c r="AE151">
        <v>2.8614000000000002</v>
      </c>
      <c r="AF151">
        <v>-2.69737035443594</v>
      </c>
      <c r="AG151">
        <v>-1.10295925185</v>
      </c>
      <c r="AH151">
        <v>17.597421758127499</v>
      </c>
      <c r="AI151">
        <v>93.5451562695593</v>
      </c>
      <c r="AJ151">
        <v>98.714590804922295</v>
      </c>
      <c r="AK151">
        <v>17.837084360221301</v>
      </c>
    </row>
    <row r="152" spans="1:37" x14ac:dyDescent="0.2">
      <c r="A152" t="str">
        <f>"20200111153407925"</f>
        <v>20200111153407925</v>
      </c>
      <c r="B152" t="str">
        <f>"1578728047916488"</f>
        <v>1578728047916488</v>
      </c>
      <c r="C152" t="s">
        <v>37</v>
      </c>
      <c r="D152">
        <v>4.3028440000000003</v>
      </c>
      <c r="E152">
        <v>0.36884070000000002</v>
      </c>
      <c r="F152" t="s">
        <v>39</v>
      </c>
      <c r="G152">
        <v>-447.13510000000002</v>
      </c>
      <c r="H152" s="1">
        <v>-2.3471049999999999E-6</v>
      </c>
      <c r="I152">
        <v>373.4212</v>
      </c>
      <c r="J152">
        <v>-461.00040000000001</v>
      </c>
      <c r="K152">
        <v>1.102962</v>
      </c>
      <c r="L152">
        <v>367.58420000000001</v>
      </c>
      <c r="M152">
        <v>0.99996070000000004</v>
      </c>
      <c r="N152">
        <v>0</v>
      </c>
      <c r="O152">
        <v>8.8372920000000001E-3</v>
      </c>
      <c r="P152">
        <v>0.99482950000000003</v>
      </c>
      <c r="Q152">
        <v>6.1345990000000001E-3</v>
      </c>
      <c r="R152">
        <v>0.1013752</v>
      </c>
      <c r="S152">
        <v>2.894714</v>
      </c>
      <c r="T152">
        <v>-0.22723589999999999</v>
      </c>
      <c r="U152">
        <v>1.2029110000000001</v>
      </c>
      <c r="V152">
        <v>-9.2581880000000005E-2</v>
      </c>
      <c r="W152">
        <v>5.47818E-3</v>
      </c>
      <c r="X152">
        <v>0.99568999999999996</v>
      </c>
      <c r="Y152">
        <v>-0.37460539999999998</v>
      </c>
      <c r="Z152">
        <v>1.343393E-2</v>
      </c>
      <c r="AA152">
        <v>0.92708699999999999</v>
      </c>
      <c r="AB152">
        <v>29</v>
      </c>
      <c r="AC152">
        <v>13.8652999999999</v>
      </c>
      <c r="AD152">
        <v>-1.1029643471049999</v>
      </c>
      <c r="AE152">
        <v>5.8369999999999802</v>
      </c>
      <c r="AF152">
        <v>-5.6836886002008198</v>
      </c>
      <c r="AG152">
        <v>-1.1029643471049999</v>
      </c>
      <c r="AH152">
        <v>13.8419368007222</v>
      </c>
      <c r="AI152">
        <v>94.215692585010103</v>
      </c>
      <c r="AJ152">
        <v>112.323723899923</v>
      </c>
      <c r="AK152">
        <v>15.0040014946089</v>
      </c>
    </row>
    <row r="153" spans="1:37" x14ac:dyDescent="0.2">
      <c r="A153" t="str">
        <f>"20200111153407942"</f>
        <v>20200111153407942</v>
      </c>
      <c r="B153" t="str">
        <f>"1578728047936987"</f>
        <v>1578728047936987</v>
      </c>
      <c r="C153" t="s">
        <v>37</v>
      </c>
      <c r="D153">
        <v>4.1868179999999997</v>
      </c>
      <c r="E153">
        <v>0.27830670000000002</v>
      </c>
      <c r="F153" t="s">
        <v>40</v>
      </c>
      <c r="G153">
        <v>-460.04239999999999</v>
      </c>
      <c r="H153">
        <v>1.0213270000000001</v>
      </c>
      <c r="I153">
        <v>368.0256</v>
      </c>
      <c r="J153">
        <v>-460.77010000000001</v>
      </c>
      <c r="K153">
        <v>1.1029679999999999</v>
      </c>
      <c r="L153">
        <v>367.58640000000003</v>
      </c>
      <c r="M153">
        <v>0.9999593</v>
      </c>
      <c r="N153">
        <v>0</v>
      </c>
      <c r="O153">
        <v>8.9953969999999901E-3</v>
      </c>
      <c r="P153">
        <v>0.99478009999999994</v>
      </c>
      <c r="Q153">
        <v>6.3681679999999996E-3</v>
      </c>
      <c r="R153">
        <v>0.10184319999999999</v>
      </c>
      <c r="S153">
        <v>2.8816830000000002</v>
      </c>
      <c r="T153">
        <v>-0.24553</v>
      </c>
      <c r="U153">
        <v>1.3286439999999999</v>
      </c>
      <c r="V153">
        <v>-9.2892219999999998E-2</v>
      </c>
      <c r="W153">
        <v>5.7871650000000004E-3</v>
      </c>
      <c r="X153">
        <v>0.99565939999999997</v>
      </c>
      <c r="Y153">
        <v>-0.40932259999999998</v>
      </c>
      <c r="Z153">
        <v>1.5844259999999999E-2</v>
      </c>
      <c r="AA153">
        <v>0.91225210000000001</v>
      </c>
      <c r="AB153">
        <v>29</v>
      </c>
      <c r="AC153">
        <v>0.72770000000002699</v>
      </c>
      <c r="AD153">
        <v>-8.1640999999999797E-2</v>
      </c>
      <c r="AE153">
        <v>0.439199999999971</v>
      </c>
      <c r="AF153">
        <v>-0.42868127361207198</v>
      </c>
      <c r="AG153">
        <v>-8.1640999999999797E-2</v>
      </c>
      <c r="AH153">
        <v>0.72493311890509404</v>
      </c>
      <c r="AI153">
        <v>95.536846055778398</v>
      </c>
      <c r="AJ153">
        <v>120.597483331571</v>
      </c>
      <c r="AK153">
        <v>0.84614473591232398</v>
      </c>
    </row>
    <row r="154" spans="1:37" x14ac:dyDescent="0.2">
      <c r="A154" t="str">
        <f>"20200111153407954"</f>
        <v>20200111153407954</v>
      </c>
      <c r="B154" t="str">
        <f>"1578728047946744"</f>
        <v>1578728047946744</v>
      </c>
      <c r="C154" t="s">
        <v>37</v>
      </c>
      <c r="D154">
        <v>4.2717089999999898</v>
      </c>
      <c r="E154">
        <v>0.27873799999999999</v>
      </c>
      <c r="F154" t="s">
        <v>38</v>
      </c>
      <c r="G154">
        <v>-432.9554</v>
      </c>
      <c r="H154">
        <v>-0.05</v>
      </c>
      <c r="I154">
        <v>388.00119999999998</v>
      </c>
      <c r="J154">
        <v>-460.60759999999999</v>
      </c>
      <c r="K154">
        <v>1.102973</v>
      </c>
      <c r="L154">
        <v>367.58800000000002</v>
      </c>
      <c r="M154">
        <v>0.99995849999999897</v>
      </c>
      <c r="N154">
        <v>0</v>
      </c>
      <c r="O154">
        <v>9.1068799999999995E-3</v>
      </c>
      <c r="P154">
        <v>0.99471909999999897</v>
      </c>
      <c r="Q154">
        <v>6.4642909999999996E-3</v>
      </c>
      <c r="R154">
        <v>0.10243189999999899</v>
      </c>
      <c r="S154">
        <v>2.8056640000000002</v>
      </c>
      <c r="T154">
        <v>-0.1162996</v>
      </c>
      <c r="U154">
        <v>2.0592349999999899</v>
      </c>
      <c r="V154">
        <v>-9.3371170000000003E-2</v>
      </c>
      <c r="W154">
        <v>5.9364129999999998E-3</v>
      </c>
      <c r="X154">
        <v>0.99561369999999905</v>
      </c>
      <c r="Y154">
        <v>-0.58400369999999902</v>
      </c>
      <c r="Z154">
        <v>1.046504E-2</v>
      </c>
      <c r="AA154">
        <v>0.8116835</v>
      </c>
      <c r="AB154">
        <v>29</v>
      </c>
      <c r="AC154">
        <v>27.652200000000001</v>
      </c>
      <c r="AD154">
        <v>-1.152973</v>
      </c>
      <c r="AE154">
        <v>20.4131999999999</v>
      </c>
      <c r="AF154">
        <v>-20.1378673921832</v>
      </c>
      <c r="AG154">
        <v>-1.152973</v>
      </c>
      <c r="AH154">
        <v>27.805664592903899</v>
      </c>
      <c r="AI154">
        <v>91.923441682953197</v>
      </c>
      <c r="AJ154">
        <v>125.913414493994</v>
      </c>
      <c r="AK154">
        <v>34.351390558417798</v>
      </c>
    </row>
    <row r="155" spans="1:37" x14ac:dyDescent="0.2">
      <c r="A155" t="str">
        <f>"20200111153407976"</f>
        <v>20200111153407976</v>
      </c>
      <c r="B155" t="str">
        <f>"1578728047966268"</f>
        <v>1578728047966268</v>
      </c>
      <c r="C155" t="s">
        <v>37</v>
      </c>
      <c r="D155">
        <v>4.1316620000000004</v>
      </c>
      <c r="E155">
        <v>0.28200749999999902</v>
      </c>
      <c r="F155" t="s">
        <v>41</v>
      </c>
      <c r="G155">
        <v>-427.7989</v>
      </c>
      <c r="H155">
        <v>-2.6470179999999999E-2</v>
      </c>
      <c r="I155">
        <v>391.67500000000001</v>
      </c>
      <c r="J155">
        <v>-460.33069999999998</v>
      </c>
      <c r="K155">
        <v>1.102983</v>
      </c>
      <c r="L155">
        <v>367.59070000000003</v>
      </c>
      <c r="M155">
        <v>0.99995679999999998</v>
      </c>
      <c r="N155">
        <v>0</v>
      </c>
      <c r="O155">
        <v>9.2966960000000001E-3</v>
      </c>
      <c r="P155">
        <v>0.99467030000000001</v>
      </c>
      <c r="Q155">
        <v>6.3944240000000001E-3</v>
      </c>
      <c r="R155">
        <v>0.1029095</v>
      </c>
      <c r="S155">
        <v>2.804535</v>
      </c>
      <c r="T155">
        <v>-9.6547480000000005E-2</v>
      </c>
      <c r="U155">
        <v>2.0589900000000001</v>
      </c>
      <c r="V155">
        <v>-9.3660270000000004E-2</v>
      </c>
      <c r="W155">
        <v>5.9569169999999999E-3</v>
      </c>
      <c r="X155">
        <v>0.99558639999999998</v>
      </c>
      <c r="Y155">
        <v>-0.58405899999999999</v>
      </c>
      <c r="Z155">
        <v>8.6865540000000008E-3</v>
      </c>
      <c r="AA155">
        <v>0.81166479999999996</v>
      </c>
      <c r="AB155">
        <v>29</v>
      </c>
      <c r="AC155">
        <v>32.531799999999897</v>
      </c>
      <c r="AD155">
        <v>-1.1294531800000001</v>
      </c>
      <c r="AE155">
        <v>24.084299999999899</v>
      </c>
      <c r="AF155">
        <v>-23.762319187625099</v>
      </c>
      <c r="AG155">
        <v>-1.1294531800000001</v>
      </c>
      <c r="AH155">
        <v>32.728815320094199</v>
      </c>
      <c r="AI155">
        <v>91.599594248880194</v>
      </c>
      <c r="AJ155">
        <v>125.98102443833901</v>
      </c>
      <c r="AK155">
        <v>40.4610779628673</v>
      </c>
    </row>
    <row r="156" spans="1:37" x14ac:dyDescent="0.2">
      <c r="A156" t="str">
        <f>"20200111153407989"</f>
        <v>20200111153407989</v>
      </c>
      <c r="B156" t="str">
        <f>"1578728047986761"</f>
        <v>1578728047986761</v>
      </c>
      <c r="C156" t="s">
        <v>37</v>
      </c>
      <c r="D156">
        <v>4.200685</v>
      </c>
      <c r="E156">
        <v>0.28468130000000003</v>
      </c>
      <c r="F156" t="s">
        <v>41</v>
      </c>
      <c r="G156">
        <v>-427.11939999999998</v>
      </c>
      <c r="H156">
        <v>7.0137019999999994E-2</v>
      </c>
      <c r="I156">
        <v>391.67500000000001</v>
      </c>
      <c r="J156">
        <v>-460.14859999999999</v>
      </c>
      <c r="K156">
        <v>1.102989</v>
      </c>
      <c r="L156">
        <v>367.5924</v>
      </c>
      <c r="M156">
        <v>0.99995560000000006</v>
      </c>
      <c r="N156">
        <v>0</v>
      </c>
      <c r="O156">
        <v>9.4214090000000004E-3</v>
      </c>
      <c r="P156">
        <v>0.99465890000000001</v>
      </c>
      <c r="Q156">
        <v>6.3668229999999998E-3</v>
      </c>
      <c r="R156">
        <v>0.10302119999999999</v>
      </c>
      <c r="S156">
        <v>2.8060610000000001</v>
      </c>
      <c r="T156">
        <v>-8.7267399999999995E-2</v>
      </c>
      <c r="U156">
        <v>2.0349119999999998</v>
      </c>
      <c r="V156">
        <v>-9.3647919999999996E-2</v>
      </c>
      <c r="W156">
        <v>5.9893409999999996E-3</v>
      </c>
      <c r="X156">
        <v>0.99558729999999995</v>
      </c>
      <c r="Y156">
        <v>-0.57923219999999997</v>
      </c>
      <c r="Z156">
        <v>7.7956099999999997E-3</v>
      </c>
      <c r="AA156">
        <v>0.81512530000000005</v>
      </c>
      <c r="AB156">
        <v>29</v>
      </c>
      <c r="AC156">
        <v>33.029200000000003</v>
      </c>
      <c r="AD156">
        <v>-1.03285198</v>
      </c>
      <c r="AE156">
        <v>24.082599999999999</v>
      </c>
      <c r="AF156">
        <v>-23.7551830888941</v>
      </c>
      <c r="AG156">
        <v>-1.03285198</v>
      </c>
      <c r="AH156">
        <v>33.233408295088502</v>
      </c>
      <c r="AI156">
        <v>91.448338916851</v>
      </c>
      <c r="AJ156">
        <v>125.55711935966499</v>
      </c>
      <c r="AK156">
        <v>40.8636138111588</v>
      </c>
    </row>
    <row r="157" spans="1:37" x14ac:dyDescent="0.2">
      <c r="A157" t="str">
        <f>"20200111153408002"</f>
        <v>20200111153408002</v>
      </c>
      <c r="B157" t="str">
        <f>"1578728047996521"</f>
        <v>1578728047996521</v>
      </c>
      <c r="C157" t="s">
        <v>37</v>
      </c>
      <c r="D157">
        <v>4.234426</v>
      </c>
      <c r="E157">
        <v>0.28594419999999998</v>
      </c>
      <c r="F157" t="s">
        <v>41</v>
      </c>
      <c r="G157">
        <v>-426.5779</v>
      </c>
      <c r="H157">
        <v>0.116991</v>
      </c>
      <c r="I157">
        <v>391.67500000000001</v>
      </c>
      <c r="J157">
        <v>-459.9871</v>
      </c>
      <c r="K157">
        <v>1.1029929999999999</v>
      </c>
      <c r="L157">
        <v>367.59410000000003</v>
      </c>
      <c r="M157">
        <v>0.99995460000000003</v>
      </c>
      <c r="N157">
        <v>0</v>
      </c>
      <c r="O157">
        <v>9.5318139999999996E-3</v>
      </c>
      <c r="P157">
        <v>0.99464989999999998</v>
      </c>
      <c r="Q157">
        <v>6.1907359999999996E-3</v>
      </c>
      <c r="R157">
        <v>0.1031188</v>
      </c>
      <c r="S157">
        <v>2.808014</v>
      </c>
      <c r="T157">
        <v>-8.2474710000000007E-2</v>
      </c>
      <c r="U157">
        <v>2.0143740000000001</v>
      </c>
      <c r="V157">
        <v>-9.3635170000000004E-2</v>
      </c>
      <c r="W157">
        <v>5.866319E-3</v>
      </c>
      <c r="X157">
        <v>0.99558930000000001</v>
      </c>
      <c r="Y157">
        <v>-0.57496210000000003</v>
      </c>
      <c r="Z157">
        <v>7.3184629999999999E-3</v>
      </c>
      <c r="AA157">
        <v>0.81814730000000002</v>
      </c>
      <c r="AB157">
        <v>30</v>
      </c>
      <c r="AC157">
        <v>33.409199999999998</v>
      </c>
      <c r="AD157">
        <v>-0.98600200000000005</v>
      </c>
      <c r="AE157">
        <v>24.0808999999999</v>
      </c>
      <c r="AF157">
        <v>-23.747743335035601</v>
      </c>
      <c r="AG157">
        <v>-0.98600200000000005</v>
      </c>
      <c r="AH157">
        <v>33.617946793352701</v>
      </c>
      <c r="AI157">
        <v>91.372287399583598</v>
      </c>
      <c r="AJ157">
        <v>125.237412877331</v>
      </c>
      <c r="AK157">
        <v>41.171517582564597</v>
      </c>
    </row>
    <row r="158" spans="1:37" x14ac:dyDescent="0.2">
      <c r="A158" t="str">
        <f>"20200111153408020"</f>
        <v>20200111153408020</v>
      </c>
      <c r="B158" t="str">
        <f>"1578728048017017"</f>
        <v>1578728048017017</v>
      </c>
      <c r="C158" t="s">
        <v>37</v>
      </c>
      <c r="D158">
        <v>4.2030769999999897</v>
      </c>
      <c r="E158">
        <v>0.2875991</v>
      </c>
      <c r="F158" t="s">
        <v>41</v>
      </c>
      <c r="G158">
        <v>-426.24160000000001</v>
      </c>
      <c r="H158">
        <v>0.1181316</v>
      </c>
      <c r="I158">
        <v>391.67500000000001</v>
      </c>
      <c r="J158">
        <v>-459.73070000000001</v>
      </c>
      <c r="K158">
        <v>1.1030040000000001</v>
      </c>
      <c r="L158">
        <v>367.5967</v>
      </c>
      <c r="M158">
        <v>0.99995290000000003</v>
      </c>
      <c r="N158">
        <v>0</v>
      </c>
      <c r="O158">
        <v>9.7074929999999993E-3</v>
      </c>
      <c r="P158">
        <v>0.99466409999999905</v>
      </c>
      <c r="Q158">
        <v>5.6785009999999999E-3</v>
      </c>
      <c r="R158">
        <v>0.1030114</v>
      </c>
      <c r="S158">
        <v>2.8088380000000002</v>
      </c>
      <c r="T158">
        <v>-8.1977010000000003E-2</v>
      </c>
      <c r="U158">
        <v>2.0043950000000001</v>
      </c>
      <c r="V158">
        <v>-9.3352909999999997E-2</v>
      </c>
      <c r="W158">
        <v>5.4381269999999897E-3</v>
      </c>
      <c r="X158">
        <v>0.99561819999999901</v>
      </c>
      <c r="Y158">
        <v>-0.57278219999999902</v>
      </c>
      <c r="Z158">
        <v>7.2461829999999998E-3</v>
      </c>
      <c r="AA158">
        <v>0.81967559999999995</v>
      </c>
      <c r="AB158">
        <v>30</v>
      </c>
      <c r="AC158">
        <v>33.489100000000001</v>
      </c>
      <c r="AD158">
        <v>-0.98487239999999998</v>
      </c>
      <c r="AE158">
        <v>24.078299999999999</v>
      </c>
      <c r="AF158">
        <v>-23.738535925138201</v>
      </c>
      <c r="AG158">
        <v>-0.98487239999999998</v>
      </c>
      <c r="AH158">
        <v>33.702047005340198</v>
      </c>
      <c r="AI158">
        <v>91.368608001283405</v>
      </c>
      <c r="AJ158">
        <v>125.15951864961799</v>
      </c>
      <c r="AK158">
        <v>41.234888551607803</v>
      </c>
    </row>
    <row r="159" spans="1:37" x14ac:dyDescent="0.2">
      <c r="A159" t="str">
        <f>"20200111153408034"</f>
        <v>20200111153408034</v>
      </c>
      <c r="B159" t="str">
        <f>"1578728048026777"</f>
        <v>1578728048026777</v>
      </c>
      <c r="C159" t="s">
        <v>37</v>
      </c>
      <c r="D159">
        <v>4.1729010000000004</v>
      </c>
      <c r="E159">
        <v>0.28813939999999999</v>
      </c>
      <c r="F159" t="s">
        <v>41</v>
      </c>
      <c r="G159">
        <v>-425.75029999999998</v>
      </c>
      <c r="H159">
        <v>0.1245708</v>
      </c>
      <c r="I159">
        <v>391.67500000000001</v>
      </c>
      <c r="J159">
        <v>-459.55180000000001</v>
      </c>
      <c r="K159">
        <v>1.1030059999999999</v>
      </c>
      <c r="L159">
        <v>367.5985</v>
      </c>
      <c r="M159">
        <v>0.9999517</v>
      </c>
      <c r="N159">
        <v>0</v>
      </c>
      <c r="O159">
        <v>9.8298159999999999E-3</v>
      </c>
      <c r="P159">
        <v>0.99467799999999995</v>
      </c>
      <c r="Q159">
        <v>5.7582889999999998E-3</v>
      </c>
      <c r="R159">
        <v>0.102870899999999</v>
      </c>
      <c r="S159">
        <v>2.81030299999999</v>
      </c>
      <c r="T159">
        <v>-8.0921170000000001E-2</v>
      </c>
      <c r="U159">
        <v>1.9913639999999999</v>
      </c>
      <c r="V159">
        <v>-9.3090329999999999E-2</v>
      </c>
      <c r="W159">
        <v>5.5773619999999998E-3</v>
      </c>
      <c r="X159">
        <v>0.99564209999999997</v>
      </c>
      <c r="Y159">
        <v>-0.56995640000000003</v>
      </c>
      <c r="Z159">
        <v>7.11876099999999E-3</v>
      </c>
      <c r="AA159">
        <v>0.82164409999999899</v>
      </c>
      <c r="AB159">
        <v>30</v>
      </c>
      <c r="AC159">
        <v>33.801499999999997</v>
      </c>
      <c r="AD159">
        <v>-0.97843519999999995</v>
      </c>
      <c r="AE159">
        <v>24.076499999999999</v>
      </c>
      <c r="AF159">
        <v>-23.729883446646198</v>
      </c>
      <c r="AG159">
        <v>-0.97843519999999995</v>
      </c>
      <c r="AH159">
        <v>34.017624998170497</v>
      </c>
      <c r="AI159">
        <v>91.351360701708003</v>
      </c>
      <c r="AJ159">
        <v>124.89870791476601</v>
      </c>
      <c r="AK159">
        <v>41.488112928261401</v>
      </c>
    </row>
    <row r="160" spans="1:37" x14ac:dyDescent="0.2">
      <c r="A160" t="str">
        <f>"20200111153408046"</f>
        <v>20200111153408046</v>
      </c>
      <c r="B160" t="str">
        <f>"1578728048036537"</f>
        <v>1578728048036537</v>
      </c>
      <c r="C160" t="s">
        <v>37</v>
      </c>
      <c r="D160">
        <v>4.1870609999999999</v>
      </c>
      <c r="E160">
        <v>0.28883559999999903</v>
      </c>
      <c r="F160" t="s">
        <v>41</v>
      </c>
      <c r="G160">
        <v>-425.49040000000002</v>
      </c>
      <c r="H160">
        <v>0.1350594</v>
      </c>
      <c r="I160">
        <v>391.67500000000001</v>
      </c>
      <c r="J160">
        <v>-459.38659999999999</v>
      </c>
      <c r="K160">
        <v>1.103011</v>
      </c>
      <c r="L160">
        <v>367.6003</v>
      </c>
      <c r="M160">
        <v>0.99995069999999997</v>
      </c>
      <c r="N160">
        <v>0</v>
      </c>
      <c r="O160">
        <v>9.9425409999999992E-3</v>
      </c>
      <c r="P160">
        <v>0.99469739999999995</v>
      </c>
      <c r="Q160">
        <v>5.5950469999999997E-3</v>
      </c>
      <c r="R160">
        <v>0.1026928</v>
      </c>
      <c r="S160">
        <v>2.81100499999999</v>
      </c>
      <c r="T160">
        <v>-7.9883339999999997E-2</v>
      </c>
      <c r="U160">
        <v>1.98696899999999</v>
      </c>
      <c r="V160">
        <v>-9.2799809999999996E-2</v>
      </c>
      <c r="W160">
        <v>5.468166E-3</v>
      </c>
      <c r="X160">
        <v>0.99566980000000005</v>
      </c>
      <c r="Y160">
        <v>-0.5689147</v>
      </c>
      <c r="Z160">
        <v>7.0127280000000002E-3</v>
      </c>
      <c r="AA160">
        <v>0.82236669999999901</v>
      </c>
      <c r="AB160">
        <v>30</v>
      </c>
      <c r="AC160">
        <v>33.896199999999901</v>
      </c>
      <c r="AD160">
        <v>-0.96795159999999902</v>
      </c>
      <c r="AE160">
        <v>24.0747</v>
      </c>
      <c r="AF160">
        <v>-23.723636683870101</v>
      </c>
      <c r="AG160">
        <v>-0.96795159999999902</v>
      </c>
      <c r="AH160">
        <v>34.115396507548297</v>
      </c>
      <c r="AI160">
        <v>91.334421146545594</v>
      </c>
      <c r="AJ160">
        <v>124.814513590422</v>
      </c>
      <c r="AK160">
        <v>41.564505851452701</v>
      </c>
    </row>
    <row r="161" spans="1:37" x14ac:dyDescent="0.2">
      <c r="A161" t="str">
        <f>"20200111153408058"</f>
        <v>20200111153408058</v>
      </c>
      <c r="B161" t="str">
        <f>"1578728048046297"</f>
        <v>1578728048046297</v>
      </c>
      <c r="C161" t="s">
        <v>37</v>
      </c>
      <c r="D161">
        <v>4.2172970000000003</v>
      </c>
      <c r="E161">
        <v>0.289377</v>
      </c>
      <c r="F161" t="s">
        <v>41</v>
      </c>
      <c r="G161">
        <v>-425.2045</v>
      </c>
      <c r="H161">
        <v>0.1274014</v>
      </c>
      <c r="I161">
        <v>391.67500000000001</v>
      </c>
      <c r="J161">
        <v>-459.22210000000001</v>
      </c>
      <c r="K161">
        <v>1.103016</v>
      </c>
      <c r="L161">
        <v>367.60199999999998</v>
      </c>
      <c r="M161">
        <v>0.99994950000000005</v>
      </c>
      <c r="N161">
        <v>0</v>
      </c>
      <c r="O161">
        <v>1.0055089999999999E-2</v>
      </c>
      <c r="P161">
        <v>0.99471969999999998</v>
      </c>
      <c r="Q161">
        <v>5.7844709999999898E-3</v>
      </c>
      <c r="R161">
        <v>0.10246760000000001</v>
      </c>
      <c r="S161">
        <v>2.8119809999999998</v>
      </c>
      <c r="T161">
        <v>-8.0259200000000003E-2</v>
      </c>
      <c r="U161">
        <v>1.980499</v>
      </c>
      <c r="V161">
        <v>-9.2462600000000006E-2</v>
      </c>
      <c r="W161">
        <v>5.7113499999999996E-3</v>
      </c>
      <c r="X161">
        <v>0.99569979999999902</v>
      </c>
      <c r="Y161">
        <v>-0.56742209999999904</v>
      </c>
      <c r="Z161">
        <v>7.02587099999999E-3</v>
      </c>
      <c r="AA161">
        <v>0.82339709999999999</v>
      </c>
      <c r="AB161">
        <v>30</v>
      </c>
      <c r="AC161">
        <v>34.017600000000002</v>
      </c>
      <c r="AD161">
        <v>-0.9756146</v>
      </c>
      <c r="AE161">
        <v>24.073</v>
      </c>
      <c r="AF161">
        <v>-23.716734754472299</v>
      </c>
      <c r="AG161">
        <v>-0.9756146</v>
      </c>
      <c r="AH161">
        <v>34.239171244130198</v>
      </c>
      <c r="AI161">
        <v>91.341826186535101</v>
      </c>
      <c r="AJ161">
        <v>124.709509723072</v>
      </c>
      <c r="AK161">
        <v>41.6624072605821</v>
      </c>
    </row>
    <row r="162" spans="1:37" x14ac:dyDescent="0.2">
      <c r="A162" t="str">
        <f>"20200111153408077"</f>
        <v>20200111153408077</v>
      </c>
      <c r="B162" t="str">
        <f>"1578728048066795"</f>
        <v>1578728048066795</v>
      </c>
      <c r="C162" t="s">
        <v>37</v>
      </c>
      <c r="D162">
        <v>4.1839459999999997</v>
      </c>
      <c r="E162">
        <v>0.2900219</v>
      </c>
      <c r="F162" t="s">
        <v>41</v>
      </c>
      <c r="G162">
        <v>-424.94560000000001</v>
      </c>
      <c r="H162">
        <v>0.1304073</v>
      </c>
      <c r="I162">
        <v>391.67500000000001</v>
      </c>
      <c r="J162">
        <v>-458.97680000000003</v>
      </c>
      <c r="K162">
        <v>1.1030279999999999</v>
      </c>
      <c r="L162">
        <v>367.6046</v>
      </c>
      <c r="M162">
        <v>0.99994780000000005</v>
      </c>
      <c r="N162">
        <v>0</v>
      </c>
      <c r="O162">
        <v>1.0222530000000001E-2</v>
      </c>
      <c r="P162">
        <v>0.99474409999999902</v>
      </c>
      <c r="Q162">
        <v>5.7396779999999998E-3</v>
      </c>
      <c r="R162">
        <v>0.1022322</v>
      </c>
      <c r="S162">
        <v>2.8128660000000001</v>
      </c>
      <c r="T162">
        <v>-7.9817410000000005E-2</v>
      </c>
      <c r="U162">
        <v>1.975525</v>
      </c>
      <c r="V162">
        <v>-9.2060420000000004E-2</v>
      </c>
      <c r="W162">
        <v>5.747589E-3</v>
      </c>
      <c r="X162">
        <v>0.99573679999999998</v>
      </c>
      <c r="Y162">
        <v>-0.56618939999999995</v>
      </c>
      <c r="Z162">
        <v>6.9686000000000001E-3</v>
      </c>
      <c r="AA162">
        <v>0.82424580000000003</v>
      </c>
      <c r="AB162">
        <v>30</v>
      </c>
      <c r="AC162">
        <v>34.031199999999998</v>
      </c>
      <c r="AD162">
        <v>-0.9726207</v>
      </c>
      <c r="AE162">
        <v>24.070399999999999</v>
      </c>
      <c r="AF162">
        <v>-23.708349256759199</v>
      </c>
      <c r="AG162">
        <v>-0.9726207</v>
      </c>
      <c r="AH162">
        <v>34.256830955152203</v>
      </c>
      <c r="AI162">
        <v>91.337397160523395</v>
      </c>
      <c r="AJ162">
        <v>124.686199830234</v>
      </c>
      <c r="AK162">
        <v>41.672080372791797</v>
      </c>
    </row>
    <row r="163" spans="1:37" x14ac:dyDescent="0.2">
      <c r="A163" t="str">
        <f>"20200111153408092"</f>
        <v>20200111153408092</v>
      </c>
      <c r="B163" t="str">
        <f>"1578728048086312"</f>
        <v>1578728048086312</v>
      </c>
      <c r="C163" t="s">
        <v>37</v>
      </c>
      <c r="D163">
        <v>4.2386059999999999</v>
      </c>
      <c r="E163">
        <v>0.29052129999999998</v>
      </c>
      <c r="F163" t="s">
        <v>41</v>
      </c>
      <c r="G163">
        <v>-424.58960000000002</v>
      </c>
      <c r="H163">
        <v>0.1157589</v>
      </c>
      <c r="I163">
        <v>391.67500000000001</v>
      </c>
      <c r="J163">
        <v>-458.77760000000001</v>
      </c>
      <c r="K163">
        <v>1.1030340000000001</v>
      </c>
      <c r="L163">
        <v>367.60680000000002</v>
      </c>
      <c r="M163">
        <v>0.99994640000000001</v>
      </c>
      <c r="N163">
        <v>0</v>
      </c>
      <c r="O163">
        <v>1.0358559999999999E-2</v>
      </c>
      <c r="P163">
        <v>0.99474580000000001</v>
      </c>
      <c r="Q163">
        <v>5.6740050000000002E-3</v>
      </c>
      <c r="R163">
        <v>0.10221860000000001</v>
      </c>
      <c r="S163">
        <v>2.8139340000000002</v>
      </c>
      <c r="T163">
        <v>-8.079016E-2</v>
      </c>
      <c r="U163">
        <v>1.9696959999999999</v>
      </c>
      <c r="V163">
        <v>-9.1911329999999999E-2</v>
      </c>
      <c r="W163">
        <v>5.7475879999999997E-3</v>
      </c>
      <c r="X163">
        <v>0.99575059999999904</v>
      </c>
      <c r="Y163">
        <v>-0.56478119999999998</v>
      </c>
      <c r="Z163">
        <v>7.0333699999999997E-3</v>
      </c>
      <c r="AA163">
        <v>0.82521080000000002</v>
      </c>
      <c r="AB163">
        <v>30</v>
      </c>
      <c r="AC163">
        <v>34.187999999999903</v>
      </c>
      <c r="AD163">
        <v>-0.98727509999999996</v>
      </c>
      <c r="AE163">
        <v>24.068199999999901</v>
      </c>
      <c r="AF163">
        <v>-23.699555773332399</v>
      </c>
      <c r="AG163">
        <v>-0.98727509999999996</v>
      </c>
      <c r="AH163">
        <v>34.416287661256298</v>
      </c>
      <c r="AI163">
        <v>91.353440842076594</v>
      </c>
      <c r="AJ163">
        <v>124.55186282304</v>
      </c>
      <c r="AK163">
        <v>41.798618546056296</v>
      </c>
    </row>
    <row r="164" spans="1:37" x14ac:dyDescent="0.2">
      <c r="A164" t="str">
        <f>"20200111153408104"</f>
        <v>20200111153408104</v>
      </c>
      <c r="B164" t="str">
        <f>"1578728048097049"</f>
        <v>1578728048097049</v>
      </c>
      <c r="C164" t="s">
        <v>37</v>
      </c>
      <c r="D164">
        <v>4.2122909999999996</v>
      </c>
      <c r="E164">
        <v>0.29073729999999998</v>
      </c>
      <c r="F164" t="s">
        <v>41</v>
      </c>
      <c r="G164">
        <v>-424.32029999999997</v>
      </c>
      <c r="H164">
        <v>0.10394289999999901</v>
      </c>
      <c r="I164">
        <v>391.67500000000001</v>
      </c>
      <c r="J164">
        <v>-458.59030000000001</v>
      </c>
      <c r="K164">
        <v>1.1030359999999999</v>
      </c>
      <c r="L164">
        <v>367.60879999999997</v>
      </c>
      <c r="M164">
        <v>0.99994509999999903</v>
      </c>
      <c r="N164">
        <v>0</v>
      </c>
      <c r="O164">
        <v>1.0486530000000001E-2</v>
      </c>
      <c r="P164">
        <v>0.99477649999999995</v>
      </c>
      <c r="Q164">
        <v>5.5600930000000003E-3</v>
      </c>
      <c r="R164">
        <v>0.10192710000000001</v>
      </c>
      <c r="S164">
        <v>2.8143310000000001</v>
      </c>
      <c r="T164">
        <v>-8.1602690000000005E-2</v>
      </c>
      <c r="U164">
        <v>1.9657899999999999</v>
      </c>
      <c r="V164">
        <v>-9.1492089999999998E-2</v>
      </c>
      <c r="W164">
        <v>5.6956150000000002E-3</v>
      </c>
      <c r="X164">
        <v>0.99578949999999999</v>
      </c>
      <c r="Y164">
        <v>-0.56384829999999997</v>
      </c>
      <c r="Z164">
        <v>7.0902869999999998E-3</v>
      </c>
      <c r="AA164">
        <v>0.82584789999999997</v>
      </c>
      <c r="AB164">
        <v>30</v>
      </c>
      <c r="AC164">
        <v>34.270000000000003</v>
      </c>
      <c r="AD164">
        <v>-0.99909309999999996</v>
      </c>
      <c r="AE164">
        <v>24.066199999999998</v>
      </c>
      <c r="AF164">
        <v>-23.692017469721598</v>
      </c>
      <c r="AG164">
        <v>-0.99909309999999996</v>
      </c>
      <c r="AH164">
        <v>34.500848103649901</v>
      </c>
      <c r="AI164">
        <v>91.367496243792701</v>
      </c>
      <c r="AJ164">
        <v>124.477707946244</v>
      </c>
      <c r="AK164">
        <v>41.864285479143099</v>
      </c>
    </row>
    <row r="165" spans="1:37" x14ac:dyDescent="0.2">
      <c r="A165" t="str">
        <f>"20200111153408122"</f>
        <v>20200111153408122</v>
      </c>
      <c r="B165" t="str">
        <f>"1578728048116571"</f>
        <v>1578728048116571</v>
      </c>
      <c r="C165" t="s">
        <v>37</v>
      </c>
      <c r="D165">
        <v>4.2027869999999998</v>
      </c>
      <c r="E165">
        <v>0.29102329999999998</v>
      </c>
      <c r="F165" t="s">
        <v>41</v>
      </c>
      <c r="G165">
        <v>-424.0797</v>
      </c>
      <c r="H165">
        <v>8.9582439999999999E-2</v>
      </c>
      <c r="I165">
        <v>391.67500000000001</v>
      </c>
      <c r="J165">
        <v>-458.34930000000003</v>
      </c>
      <c r="K165">
        <v>1.103043</v>
      </c>
      <c r="L165">
        <v>367.61149999999998</v>
      </c>
      <c r="M165">
        <v>0.99994319999999903</v>
      </c>
      <c r="N165">
        <v>0</v>
      </c>
      <c r="O165">
        <v>1.065105E-2</v>
      </c>
      <c r="P165">
        <v>0.99479810000000002</v>
      </c>
      <c r="Q165">
        <v>5.6519550000000002E-3</v>
      </c>
      <c r="R165">
        <v>0.1017088</v>
      </c>
      <c r="S165">
        <v>2.8150629999999999</v>
      </c>
      <c r="T165">
        <v>-8.2669500000000007E-2</v>
      </c>
      <c r="U165">
        <v>1.963104</v>
      </c>
      <c r="V165">
        <v>-9.1109770000000007E-2</v>
      </c>
      <c r="W165">
        <v>5.8667959999999996E-3</v>
      </c>
      <c r="X165">
        <v>0.99582359999999903</v>
      </c>
      <c r="Y165">
        <v>-0.56307759999999996</v>
      </c>
      <c r="Z165">
        <v>7.1686390000000001E-3</v>
      </c>
      <c r="AA165">
        <v>0.82637299999999903</v>
      </c>
      <c r="AB165">
        <v>31</v>
      </c>
      <c r="AC165">
        <v>34.269599999999997</v>
      </c>
      <c r="AD165">
        <v>-1.01346056</v>
      </c>
      <c r="AE165">
        <v>24.063500000000001</v>
      </c>
      <c r="AF165">
        <v>-23.683255106585801</v>
      </c>
      <c r="AG165">
        <v>-1.01346056</v>
      </c>
      <c r="AH165">
        <v>34.5037467943053</v>
      </c>
      <c r="AI165">
        <v>91.387239041480996</v>
      </c>
      <c r="AJ165">
        <v>124.465572228742</v>
      </c>
      <c r="AK165">
        <v>41.862061793416601</v>
      </c>
    </row>
    <row r="166" spans="1:37" x14ac:dyDescent="0.2">
      <c r="A166" t="str">
        <f>"20200111153408137"</f>
        <v>20200111153408137</v>
      </c>
      <c r="B166" t="str">
        <f>"1578728048126329"</f>
        <v>1578728048126329</v>
      </c>
      <c r="C166" t="s">
        <v>37</v>
      </c>
      <c r="D166">
        <v>4.212186</v>
      </c>
      <c r="E166">
        <v>0.29107529999999998</v>
      </c>
      <c r="F166" t="s">
        <v>41</v>
      </c>
      <c r="G166">
        <v>-423.78539999999998</v>
      </c>
      <c r="H166">
        <v>8.2777020000000007E-2</v>
      </c>
      <c r="I166">
        <v>391.67500000000001</v>
      </c>
      <c r="J166">
        <v>-458.1474</v>
      </c>
      <c r="K166">
        <v>1.1030500000000001</v>
      </c>
      <c r="L166">
        <v>367.61369999999999</v>
      </c>
      <c r="M166">
        <v>0.99994179999999999</v>
      </c>
      <c r="N166">
        <v>0</v>
      </c>
      <c r="O166">
        <v>1.078868E-2</v>
      </c>
      <c r="P166">
        <v>0.9947937</v>
      </c>
      <c r="Q166">
        <v>5.7565680000000001E-3</v>
      </c>
      <c r="R166">
        <v>0.101746899999999</v>
      </c>
      <c r="S166">
        <v>2.8157349999999899</v>
      </c>
      <c r="T166">
        <v>-8.3116770000000006E-2</v>
      </c>
      <c r="U166">
        <v>1.9603269999999999</v>
      </c>
      <c r="V166">
        <v>-9.101041E-2</v>
      </c>
      <c r="W166">
        <v>6.0379780000000003E-3</v>
      </c>
      <c r="X166">
        <v>0.99583159999999904</v>
      </c>
      <c r="Y166">
        <v>-0.56232090000000001</v>
      </c>
      <c r="Z166">
        <v>7.19411099999999E-3</v>
      </c>
      <c r="AA166">
        <v>0.82688779999999995</v>
      </c>
      <c r="AB166">
        <v>31</v>
      </c>
      <c r="AC166">
        <v>34.362000000000002</v>
      </c>
      <c r="AD166">
        <v>-1.0202729800000001</v>
      </c>
      <c r="AE166">
        <v>24.061299999999999</v>
      </c>
      <c r="AF166">
        <v>-23.6751738324391</v>
      </c>
      <c r="AG166">
        <v>-1.0202729800000001</v>
      </c>
      <c r="AH166">
        <v>34.599122498744499</v>
      </c>
      <c r="AI166">
        <v>91.394092713624204</v>
      </c>
      <c r="AJ166">
        <v>124.382702087472</v>
      </c>
      <c r="AK166">
        <v>41.936309931049699</v>
      </c>
    </row>
    <row r="167" spans="1:37" x14ac:dyDescent="0.2">
      <c r="A167" t="str">
        <f>"20200111153408155"</f>
        <v>20200111153408155</v>
      </c>
      <c r="B167" t="str">
        <f>"1578728048146827"</f>
        <v>1578728048146827</v>
      </c>
      <c r="C167" t="s">
        <v>37</v>
      </c>
      <c r="D167">
        <v>4.255204</v>
      </c>
      <c r="E167">
        <v>0.29108709999999999</v>
      </c>
      <c r="F167" t="s">
        <v>41</v>
      </c>
      <c r="G167">
        <v>-423.57659999999998</v>
      </c>
      <c r="H167">
        <v>8.0530169999999998E-2</v>
      </c>
      <c r="I167">
        <v>391.67500000000001</v>
      </c>
      <c r="J167">
        <v>-457.89519999999999</v>
      </c>
      <c r="K167">
        <v>1.1030610000000001</v>
      </c>
      <c r="L167">
        <v>367.61660000000001</v>
      </c>
      <c r="M167">
        <v>0.99993989999999999</v>
      </c>
      <c r="N167">
        <v>0</v>
      </c>
      <c r="O167">
        <v>1.09607E-2</v>
      </c>
      <c r="P167">
        <v>0.99475380000000002</v>
      </c>
      <c r="Q167">
        <v>5.3534359999999996E-3</v>
      </c>
      <c r="R167">
        <v>0.102158</v>
      </c>
      <c r="S167">
        <v>2.8157349999999899</v>
      </c>
      <c r="T167">
        <v>-8.3283419999999997E-2</v>
      </c>
      <c r="U167">
        <v>1.9597469999999999</v>
      </c>
      <c r="V167">
        <v>-9.1250869999999998E-2</v>
      </c>
      <c r="W167">
        <v>5.7170719999999897E-3</v>
      </c>
      <c r="X167">
        <v>0.99581149999999996</v>
      </c>
      <c r="Y167">
        <v>-0.56206339999999999</v>
      </c>
      <c r="Z167">
        <v>7.2009019999999899E-3</v>
      </c>
      <c r="AA167">
        <v>0.82706279999999999</v>
      </c>
      <c r="AB167">
        <v>31</v>
      </c>
      <c r="AC167">
        <v>34.318600000000004</v>
      </c>
      <c r="AD167">
        <v>-1.02253083</v>
      </c>
      <c r="AE167">
        <v>24.058399999999999</v>
      </c>
      <c r="AF167">
        <v>-23.66671171886</v>
      </c>
      <c r="AG167">
        <v>-1.02253083</v>
      </c>
      <c r="AH167">
        <v>34.559664349203203</v>
      </c>
      <c r="AI167">
        <v>91.398421629458497</v>
      </c>
      <c r="AJ167">
        <v>124.40362938529999</v>
      </c>
      <c r="AK167">
        <v>41.899035941313898</v>
      </c>
    </row>
    <row r="168" spans="1:37" x14ac:dyDescent="0.2">
      <c r="A168" t="str">
        <f>"20200111153408168"</f>
        <v>20200111153408168</v>
      </c>
      <c r="B168" t="str">
        <f>"1578728048156585"</f>
        <v>1578728048156585</v>
      </c>
      <c r="C168" t="s">
        <v>37</v>
      </c>
      <c r="D168">
        <v>4.1253989999999998</v>
      </c>
      <c r="E168">
        <v>0.29108709999999999</v>
      </c>
      <c r="F168" t="s">
        <v>41</v>
      </c>
      <c r="G168">
        <v>-423.36290000000002</v>
      </c>
      <c r="H168">
        <v>7.8601840000000006E-2</v>
      </c>
      <c r="I168">
        <v>391.67500000000001</v>
      </c>
      <c r="J168">
        <v>-457.72019999999998</v>
      </c>
      <c r="K168">
        <v>1.1030690000000001</v>
      </c>
      <c r="L168">
        <v>367.61860000000001</v>
      </c>
      <c r="M168">
        <v>0.99993860000000001</v>
      </c>
      <c r="N168">
        <v>0</v>
      </c>
      <c r="O168">
        <v>1.107991E-2</v>
      </c>
      <c r="P168">
        <v>0.9947165</v>
      </c>
      <c r="Q168">
        <v>5.6371019999999997E-3</v>
      </c>
      <c r="R168">
        <v>0.1025059</v>
      </c>
      <c r="S168">
        <v>2.814819</v>
      </c>
      <c r="T168">
        <v>-8.3507419999999999E-2</v>
      </c>
      <c r="U168">
        <v>1.96105999999999</v>
      </c>
      <c r="V168">
        <v>-9.1480489999999998E-2</v>
      </c>
      <c r="W168">
        <v>6.058005E-3</v>
      </c>
      <c r="X168">
        <v>0.99578849999999997</v>
      </c>
      <c r="Y168">
        <v>-0.56234960000000001</v>
      </c>
      <c r="Z168">
        <v>7.2219659999999998E-3</v>
      </c>
      <c r="AA168">
        <v>0.82686809999999999</v>
      </c>
      <c r="AB168">
        <v>31</v>
      </c>
      <c r="AC168">
        <v>34.357299999999903</v>
      </c>
      <c r="AD168">
        <v>-1.0244671599999999</v>
      </c>
      <c r="AE168">
        <v>24.0564</v>
      </c>
      <c r="AF168">
        <v>-23.660131438903701</v>
      </c>
      <c r="AG168">
        <v>-1.0244671599999999</v>
      </c>
      <c r="AH168">
        <v>34.601090093240103</v>
      </c>
      <c r="AI168">
        <v>91.400050620915707</v>
      </c>
      <c r="AJ168">
        <v>124.364214436933</v>
      </c>
      <c r="AK168">
        <v>41.929545529478801</v>
      </c>
    </row>
    <row r="169" spans="1:37" x14ac:dyDescent="0.2">
      <c r="A169" t="str">
        <f>"20200111153408180"</f>
        <v>20200111153408180</v>
      </c>
      <c r="B169" t="str">
        <f>"1578728048177081"</f>
        <v>1578728048177081</v>
      </c>
      <c r="C169" t="s">
        <v>37</v>
      </c>
      <c r="D169">
        <v>4.1885620000000001</v>
      </c>
      <c r="E169">
        <v>0.2498737</v>
      </c>
      <c r="F169" t="s">
        <v>41</v>
      </c>
      <c r="G169">
        <v>-423.2122</v>
      </c>
      <c r="H169">
        <v>9.6155169999999998E-2</v>
      </c>
      <c r="I169">
        <v>391.67500000000001</v>
      </c>
      <c r="J169">
        <v>-457.5412</v>
      </c>
      <c r="K169">
        <v>1.1030759999999999</v>
      </c>
      <c r="L169">
        <v>367.6207</v>
      </c>
      <c r="M169">
        <v>0.99993709999999902</v>
      </c>
      <c r="N169">
        <v>0</v>
      </c>
      <c r="O169">
        <v>1.120197E-2</v>
      </c>
      <c r="P169">
        <v>0.9946855</v>
      </c>
      <c r="Q169">
        <v>5.4481699999999996E-3</v>
      </c>
      <c r="R169">
        <v>0.102815899999999</v>
      </c>
      <c r="S169">
        <v>2.814209</v>
      </c>
      <c r="T169">
        <v>-8.2117319999999994E-2</v>
      </c>
      <c r="U169">
        <v>1.9618529999999901</v>
      </c>
      <c r="V169">
        <v>-9.166908E-2</v>
      </c>
      <c r="W169">
        <v>5.9278309999999997E-3</v>
      </c>
      <c r="X169">
        <v>0.99577190000000004</v>
      </c>
      <c r="Y169">
        <v>-0.56249510000000003</v>
      </c>
      <c r="Z169">
        <v>7.10124E-3</v>
      </c>
      <c r="AA169">
        <v>0.82677009999999995</v>
      </c>
      <c r="AB169">
        <v>31</v>
      </c>
      <c r="AC169">
        <v>34.329000000000001</v>
      </c>
      <c r="AD169">
        <v>-1.0069208300000001</v>
      </c>
      <c r="AE169">
        <v>24.054300000000001</v>
      </c>
      <c r="AF169">
        <v>-23.654588891974601</v>
      </c>
      <c r="AG169">
        <v>-1.0069208300000001</v>
      </c>
      <c r="AH169">
        <v>34.5763501327705</v>
      </c>
      <c r="AI169">
        <v>91.376854104606494</v>
      </c>
      <c r="AJ169">
        <v>124.37705578233</v>
      </c>
      <c r="AK169">
        <v>41.905577835297201</v>
      </c>
    </row>
    <row r="170" spans="1:37" x14ac:dyDescent="0.2">
      <c r="A170" t="str">
        <f>"20200111153408198"</f>
        <v>20200111153408198</v>
      </c>
      <c r="B170" t="str">
        <f>"1578728048186840"</f>
        <v>1578728048186840</v>
      </c>
      <c r="C170" t="s">
        <v>37</v>
      </c>
      <c r="D170">
        <v>4.1470399999999996</v>
      </c>
      <c r="E170">
        <v>0.24962119999999999</v>
      </c>
      <c r="F170" t="s">
        <v>41</v>
      </c>
      <c r="G170">
        <v>-428.42250000000001</v>
      </c>
      <c r="H170">
        <v>0.95296380000000003</v>
      </c>
      <c r="I170">
        <v>391.67500000000001</v>
      </c>
      <c r="J170">
        <v>-457.28410000000002</v>
      </c>
      <c r="K170">
        <v>1.103083</v>
      </c>
      <c r="L170">
        <v>367.62369999999999</v>
      </c>
      <c r="M170">
        <v>0.99993509999999997</v>
      </c>
      <c r="N170">
        <v>0</v>
      </c>
      <c r="O170">
        <v>1.1376789999999999E-2</v>
      </c>
      <c r="P170">
        <v>0.99462379999999995</v>
      </c>
      <c r="Q170">
        <v>5.6350530000000001E-3</v>
      </c>
      <c r="R170">
        <v>0.10340149999999999</v>
      </c>
      <c r="S170">
        <v>2.7788390000000001</v>
      </c>
      <c r="T170">
        <v>-1.432657E-2</v>
      </c>
      <c r="U170">
        <v>2.2955320000000001</v>
      </c>
      <c r="V170">
        <v>-9.2081529999999995E-2</v>
      </c>
      <c r="W170">
        <v>6.1986690000000004E-3</v>
      </c>
      <c r="X170">
        <v>0.99573219999999996</v>
      </c>
      <c r="Y170">
        <v>-0.62805929999999999</v>
      </c>
      <c r="Z170">
        <v>1.358606E-3</v>
      </c>
      <c r="AA170">
        <v>0.77816430000000003</v>
      </c>
      <c r="AB170">
        <v>31</v>
      </c>
      <c r="AC170">
        <v>28.861599999999999</v>
      </c>
      <c r="AD170">
        <v>-0.15011920000000001</v>
      </c>
      <c r="AE170">
        <v>24.051300000000001</v>
      </c>
      <c r="AF170">
        <v>-23.721012293567998</v>
      </c>
      <c r="AG170">
        <v>-0.15011920000000001</v>
      </c>
      <c r="AH170">
        <v>29.1328936350201</v>
      </c>
      <c r="AI170">
        <v>90.2289442141292</v>
      </c>
      <c r="AJ170">
        <v>129.153675806834</v>
      </c>
      <c r="AK170">
        <v>37.569062425820597</v>
      </c>
    </row>
    <row r="171" spans="1:37" x14ac:dyDescent="0.2">
      <c r="A171" t="str">
        <f>"20200111153408210"</f>
        <v>20200111153408210</v>
      </c>
      <c r="B171" t="str">
        <f>"1578728048206360"</f>
        <v>1578728048206360</v>
      </c>
      <c r="C171" t="s">
        <v>37</v>
      </c>
      <c r="D171">
        <v>3.8602859999999999</v>
      </c>
      <c r="E171">
        <v>0.25078909999999999</v>
      </c>
      <c r="F171" t="s">
        <v>41</v>
      </c>
      <c r="G171">
        <v>-428.2294</v>
      </c>
      <c r="H171">
        <v>0.95108799999999905</v>
      </c>
      <c r="I171">
        <v>391.67500000000001</v>
      </c>
      <c r="J171">
        <v>-457.12110000000001</v>
      </c>
      <c r="K171">
        <v>1.103086</v>
      </c>
      <c r="L171">
        <v>367.62569999999999</v>
      </c>
      <c r="M171">
        <v>0.99993390000000004</v>
      </c>
      <c r="N171">
        <v>0</v>
      </c>
      <c r="O171">
        <v>1.1487590000000001E-2</v>
      </c>
      <c r="P171">
        <v>0.99459979999999903</v>
      </c>
      <c r="Q171">
        <v>5.41864699999999E-3</v>
      </c>
      <c r="R171">
        <v>0.1036431</v>
      </c>
      <c r="S171">
        <v>2.7772519999999998</v>
      </c>
      <c r="T171">
        <v>-1.4529820000000001E-2</v>
      </c>
      <c r="U171">
        <v>2.2989809999999999</v>
      </c>
      <c r="V171">
        <v>-9.2212680000000005E-2</v>
      </c>
      <c r="W171">
        <v>6.03511699999999E-3</v>
      </c>
      <c r="X171">
        <v>0.99572099999999997</v>
      </c>
      <c r="Y171">
        <v>-0.62876460000000001</v>
      </c>
      <c r="Z171">
        <v>1.379115E-3</v>
      </c>
      <c r="AA171">
        <v>0.77759440000000002</v>
      </c>
      <c r="AB171">
        <v>31</v>
      </c>
      <c r="AC171">
        <v>28.8917</v>
      </c>
      <c r="AD171">
        <v>-0.15199799999999999</v>
      </c>
      <c r="AE171">
        <v>24.049299999999999</v>
      </c>
      <c r="AF171">
        <v>-23.715429341146699</v>
      </c>
      <c r="AG171">
        <v>-0.15199799999999999</v>
      </c>
      <c r="AH171">
        <v>29.165585282901901</v>
      </c>
      <c r="AI171">
        <v>90.231674865961196</v>
      </c>
      <c r="AJ171">
        <v>129.11561500103801</v>
      </c>
      <c r="AK171">
        <v>37.5909039146594</v>
      </c>
    </row>
    <row r="172" spans="1:37" x14ac:dyDescent="0.2">
      <c r="A172" t="str">
        <f>"20200111153408222"</f>
        <v>20200111153408222</v>
      </c>
      <c r="B172" t="str">
        <f>"1578728048217097"</f>
        <v>1578728048217097</v>
      </c>
      <c r="C172" t="s">
        <v>37</v>
      </c>
      <c r="D172">
        <v>4.145232</v>
      </c>
      <c r="E172">
        <v>0.25121959999999999</v>
      </c>
      <c r="F172" t="s">
        <v>41</v>
      </c>
      <c r="G172">
        <v>-427.92599999999999</v>
      </c>
      <c r="H172">
        <v>0.61358829999999998</v>
      </c>
      <c r="I172">
        <v>391.67500000000001</v>
      </c>
      <c r="J172">
        <v>-456.94740000000002</v>
      </c>
      <c r="K172">
        <v>1.103092</v>
      </c>
      <c r="L172">
        <v>367.62779999999998</v>
      </c>
      <c r="M172">
        <v>0.9999325</v>
      </c>
      <c r="N172">
        <v>0</v>
      </c>
      <c r="O172">
        <v>1.160542E-2</v>
      </c>
      <c r="P172">
        <v>0.99458670000000005</v>
      </c>
      <c r="Q172">
        <v>5.3032640000000002E-3</v>
      </c>
      <c r="R172">
        <v>0.10377500000000001</v>
      </c>
      <c r="S172">
        <v>2.778076</v>
      </c>
      <c r="T172">
        <v>-4.6579599999999999E-2</v>
      </c>
      <c r="U172">
        <v>2.2884220000000002</v>
      </c>
      <c r="V172">
        <v>-9.2227909999999996E-2</v>
      </c>
      <c r="W172">
        <v>5.9764659999999997E-3</v>
      </c>
      <c r="X172">
        <v>0.99572000000000005</v>
      </c>
      <c r="Y172">
        <v>-0.62675369999999997</v>
      </c>
      <c r="Z172">
        <v>4.4082130000000002E-3</v>
      </c>
      <c r="AA172">
        <v>0.77920489999999998</v>
      </c>
      <c r="AB172">
        <v>32</v>
      </c>
      <c r="AC172">
        <v>29.0214</v>
      </c>
      <c r="AD172">
        <v>-0.48950369999999899</v>
      </c>
      <c r="AE172">
        <v>24.0472</v>
      </c>
      <c r="AF172">
        <v>-23.704776388364198</v>
      </c>
      <c r="AG172">
        <v>-0.48950369999999899</v>
      </c>
      <c r="AH172">
        <v>29.293582158232901</v>
      </c>
      <c r="AI172">
        <v>90.744226907496895</v>
      </c>
      <c r="AJ172">
        <v>128.98026852460501</v>
      </c>
      <c r="AK172">
        <v>37.686469629773001</v>
      </c>
    </row>
    <row r="173" spans="1:37" x14ac:dyDescent="0.2">
      <c r="A173" t="str">
        <f>"20200111153408235"</f>
        <v>20200111153408235</v>
      </c>
      <c r="B173" t="str">
        <f>"1578728048226857"</f>
        <v>1578728048226857</v>
      </c>
      <c r="C173" t="s">
        <v>37</v>
      </c>
      <c r="D173">
        <v>4.1279219999999999</v>
      </c>
      <c r="E173">
        <v>0.25183800000000001</v>
      </c>
      <c r="F173" t="s">
        <v>41</v>
      </c>
      <c r="G173">
        <v>-427.71409999999997</v>
      </c>
      <c r="H173">
        <v>0.61265749999999997</v>
      </c>
      <c r="I173">
        <v>391.67500000000001</v>
      </c>
      <c r="J173">
        <v>-456.74950000000001</v>
      </c>
      <c r="K173">
        <v>1.103094</v>
      </c>
      <c r="L173">
        <v>367.6302</v>
      </c>
      <c r="M173">
        <v>0.99993089999999996</v>
      </c>
      <c r="N173">
        <v>0</v>
      </c>
      <c r="O173">
        <v>1.173999E-2</v>
      </c>
      <c r="P173">
        <v>0.99455159999999998</v>
      </c>
      <c r="Q173">
        <v>5.2029040000000004E-3</v>
      </c>
      <c r="R173">
        <v>0.10411579999999999</v>
      </c>
      <c r="S173">
        <v>2.7781370000000001</v>
      </c>
      <c r="T173">
        <v>-4.6608810000000001E-2</v>
      </c>
      <c r="U173">
        <v>2.2852779999999999</v>
      </c>
      <c r="V173">
        <v>-9.2434909999999995E-2</v>
      </c>
      <c r="W173">
        <v>5.9411809999999898E-3</v>
      </c>
      <c r="X173">
        <v>0.99570099999999995</v>
      </c>
      <c r="Y173">
        <v>-0.62611479999999997</v>
      </c>
      <c r="Z173">
        <v>4.4056490000000002E-3</v>
      </c>
      <c r="AA173">
        <v>0.77971849999999998</v>
      </c>
      <c r="AB173">
        <v>32</v>
      </c>
      <c r="AC173">
        <v>29.035399999999999</v>
      </c>
      <c r="AD173">
        <v>-0.4904365</v>
      </c>
      <c r="AE173">
        <v>24.044799999999999</v>
      </c>
      <c r="AF173">
        <v>-23.698256816699899</v>
      </c>
      <c r="AG173">
        <v>-0.4904365</v>
      </c>
      <c r="AH173">
        <v>29.3107241504445</v>
      </c>
      <c r="AI173">
        <v>90.745462423937397</v>
      </c>
      <c r="AJ173">
        <v>128.95617324020299</v>
      </c>
      <c r="AK173">
        <v>37.695708699190803</v>
      </c>
    </row>
    <row r="174" spans="1:37" x14ac:dyDescent="0.2">
      <c r="A174" t="str">
        <f>"20200111153408249"</f>
        <v>20200111153408249</v>
      </c>
      <c r="B174" t="str">
        <f>"1578728048236617"</f>
        <v>1578728048236617</v>
      </c>
      <c r="C174" t="s">
        <v>37</v>
      </c>
      <c r="D174">
        <v>4.153918</v>
      </c>
      <c r="E174">
        <v>0.25291010000000003</v>
      </c>
      <c r="F174" t="s">
        <v>41</v>
      </c>
      <c r="G174">
        <v>-427.47</v>
      </c>
      <c r="H174">
        <v>0.60912699999999997</v>
      </c>
      <c r="I174">
        <v>391.67500000000001</v>
      </c>
      <c r="J174">
        <v>-456.57369999999997</v>
      </c>
      <c r="K174">
        <v>1.1031010000000001</v>
      </c>
      <c r="L174">
        <v>367.63240000000002</v>
      </c>
      <c r="M174">
        <v>0.99992939999999997</v>
      </c>
      <c r="N174">
        <v>0</v>
      </c>
      <c r="O174">
        <v>1.185931E-2</v>
      </c>
      <c r="P174">
        <v>0.9945136</v>
      </c>
      <c r="Q174">
        <v>5.405094E-3</v>
      </c>
      <c r="R174">
        <v>0.10446849999999901</v>
      </c>
      <c r="S174">
        <v>2.777863</v>
      </c>
      <c r="T174">
        <v>-4.6865820000000002E-2</v>
      </c>
      <c r="U174">
        <v>2.2812189999999899</v>
      </c>
      <c r="V174">
        <v>-9.2669329999999994E-2</v>
      </c>
      <c r="W174">
        <v>6.1996229999999996E-3</v>
      </c>
      <c r="X174">
        <v>0.99567759999999905</v>
      </c>
      <c r="Y174">
        <v>-0.62537880000000001</v>
      </c>
      <c r="Z174">
        <v>4.4249069999999996E-3</v>
      </c>
      <c r="AA174">
        <v>0.78030880000000002</v>
      </c>
      <c r="AB174">
        <v>32</v>
      </c>
      <c r="AC174">
        <v>29.1036999999999</v>
      </c>
      <c r="AD174">
        <v>-0.49397400000000002</v>
      </c>
      <c r="AE174">
        <v>24.0426</v>
      </c>
      <c r="AF174">
        <v>-23.691702678333201</v>
      </c>
      <c r="AG174">
        <v>-0.49397400000000002</v>
      </c>
      <c r="AH174">
        <v>29.3817510938457</v>
      </c>
      <c r="AI174">
        <v>90.749821495799495</v>
      </c>
      <c r="AJ174">
        <v>128.880646759847</v>
      </c>
      <c r="AK174">
        <v>37.746895017364302</v>
      </c>
    </row>
    <row r="175" spans="1:37" x14ac:dyDescent="0.2">
      <c r="A175" t="str">
        <f>"20200111153408266"</f>
        <v>20200111153408266</v>
      </c>
      <c r="B175" t="str">
        <f>"1578728048257115"</f>
        <v>1578728048257115</v>
      </c>
      <c r="C175" t="s">
        <v>37</v>
      </c>
      <c r="D175">
        <v>4.1494819999999999</v>
      </c>
      <c r="E175">
        <v>0.2542005</v>
      </c>
      <c r="F175" t="s">
        <v>41</v>
      </c>
      <c r="G175">
        <v>-427.19889999999998</v>
      </c>
      <c r="H175">
        <v>0.64909740000000005</v>
      </c>
      <c r="I175">
        <v>391.67500000000001</v>
      </c>
      <c r="J175">
        <v>-456.31490000000002</v>
      </c>
      <c r="K175">
        <v>1.1031120000000001</v>
      </c>
      <c r="L175">
        <v>367.63560000000001</v>
      </c>
      <c r="M175">
        <v>0.99992719999999902</v>
      </c>
      <c r="N175">
        <v>0</v>
      </c>
      <c r="O175">
        <v>1.203506E-2</v>
      </c>
      <c r="P175">
        <v>0.99448199999999998</v>
      </c>
      <c r="Q175">
        <v>5.3981430000000002E-3</v>
      </c>
      <c r="R175">
        <v>0.104769</v>
      </c>
      <c r="S175">
        <v>2.7779849999999899</v>
      </c>
      <c r="T175">
        <v>-4.2936559999999999E-2</v>
      </c>
      <c r="U175">
        <v>2.27371199999999</v>
      </c>
      <c r="V175">
        <v>-9.2795569999999994E-2</v>
      </c>
      <c r="W175">
        <v>6.2768679999999997E-3</v>
      </c>
      <c r="X175">
        <v>0.99566540000000003</v>
      </c>
      <c r="Y175">
        <v>-0.623971099999999</v>
      </c>
      <c r="Z175">
        <v>4.0449869999999999E-3</v>
      </c>
      <c r="AA175">
        <v>0.78143699999999905</v>
      </c>
      <c r="AB175">
        <v>32</v>
      </c>
      <c r="AC175">
        <v>29.116</v>
      </c>
      <c r="AD175">
        <v>-0.45401459999999999</v>
      </c>
      <c r="AE175">
        <v>24.039400000000001</v>
      </c>
      <c r="AF175">
        <v>-23.683821640769398</v>
      </c>
      <c r="AG175">
        <v>-0.45401459999999999</v>
      </c>
      <c r="AH175">
        <v>29.398956303383699</v>
      </c>
      <c r="AI175">
        <v>90.689017497044503</v>
      </c>
      <c r="AJ175">
        <v>128.85494516312801</v>
      </c>
      <c r="AK175">
        <v>37.754842980696601</v>
      </c>
    </row>
    <row r="176" spans="1:37" x14ac:dyDescent="0.2">
      <c r="A176" t="str">
        <f>"20200111153408280"</f>
        <v>20200111153408280</v>
      </c>
      <c r="B176" t="str">
        <f>"1578728048276633"</f>
        <v>1578728048276633</v>
      </c>
      <c r="C176" t="s">
        <v>37</v>
      </c>
      <c r="D176">
        <v>4.1676669999999998</v>
      </c>
      <c r="E176">
        <v>0.25512469999999998</v>
      </c>
      <c r="F176" t="s">
        <v>41</v>
      </c>
      <c r="G176">
        <v>-426.83089999999999</v>
      </c>
      <c r="H176">
        <v>0.73184589999999905</v>
      </c>
      <c r="I176">
        <v>391.67500000000001</v>
      </c>
      <c r="J176">
        <v>-456.13499999999999</v>
      </c>
      <c r="K176">
        <v>1.1031200000000001</v>
      </c>
      <c r="L176">
        <v>367.63780000000003</v>
      </c>
      <c r="M176">
        <v>0.99992569999999903</v>
      </c>
      <c r="N176">
        <v>0</v>
      </c>
      <c r="O176">
        <v>1.2157360000000001E-2</v>
      </c>
      <c r="P176">
        <v>0.99445649999999997</v>
      </c>
      <c r="Q176">
        <v>5.183015E-3</v>
      </c>
      <c r="R176">
        <v>0.10502060000000001</v>
      </c>
      <c r="S176">
        <v>2.778168</v>
      </c>
      <c r="T176">
        <v>-3.4984469999999997E-2</v>
      </c>
      <c r="U176">
        <v>2.26513699999999</v>
      </c>
      <c r="V176">
        <v>-9.2925729999999998E-2</v>
      </c>
      <c r="W176">
        <v>6.1204689999999999E-3</v>
      </c>
      <c r="X176">
        <v>0.99565419999999905</v>
      </c>
      <c r="Y176">
        <v>-0.622417</v>
      </c>
      <c r="Z176">
        <v>3.2886320000000001E-3</v>
      </c>
      <c r="AA176">
        <v>0.78267889999999996</v>
      </c>
      <c r="AB176">
        <v>32</v>
      </c>
      <c r="AC176">
        <v>29.304099999999998</v>
      </c>
      <c r="AD176">
        <v>-0.3712741</v>
      </c>
      <c r="AE176">
        <v>24.037199999999899</v>
      </c>
      <c r="AF176">
        <v>-23.6768909597399</v>
      </c>
      <c r="AG176">
        <v>-0.3712741</v>
      </c>
      <c r="AH176">
        <v>29.591323827980901</v>
      </c>
      <c r="AI176">
        <v>90.561293018625605</v>
      </c>
      <c r="AJ176">
        <v>128.66433202728999</v>
      </c>
      <c r="AK176">
        <v>37.899597040986798</v>
      </c>
    </row>
    <row r="177" spans="1:37" x14ac:dyDescent="0.2">
      <c r="A177" t="str">
        <f>"20200111153408292"</f>
        <v>20200111153408292</v>
      </c>
      <c r="B177" t="str">
        <f>"1578728048286393"</f>
        <v>1578728048286393</v>
      </c>
      <c r="C177" t="s">
        <v>37</v>
      </c>
      <c r="D177">
        <v>4.1476350000000002</v>
      </c>
      <c r="E177">
        <v>0.25535730000000001</v>
      </c>
      <c r="F177" t="s">
        <v>41</v>
      </c>
      <c r="G177">
        <v>-426.56670000000003</v>
      </c>
      <c r="H177">
        <v>0.73412509999999997</v>
      </c>
      <c r="I177">
        <v>391.67500000000001</v>
      </c>
      <c r="J177">
        <v>-455.9384</v>
      </c>
      <c r="K177">
        <v>1.103135</v>
      </c>
      <c r="L177">
        <v>367.6404</v>
      </c>
      <c r="M177">
        <v>0.99992399999999904</v>
      </c>
      <c r="N177">
        <v>0</v>
      </c>
      <c r="O177">
        <v>1.229072E-2</v>
      </c>
      <c r="P177">
        <v>0.99446109999999899</v>
      </c>
      <c r="Q177">
        <v>4.9883569999999997E-3</v>
      </c>
      <c r="R177">
        <v>0.1049892</v>
      </c>
      <c r="S177">
        <v>2.778381</v>
      </c>
      <c r="T177">
        <v>-3.4673929999999999E-2</v>
      </c>
      <c r="U177">
        <v>2.2586360000000001</v>
      </c>
      <c r="V177">
        <v>-9.2761060000000006E-2</v>
      </c>
      <c r="W177">
        <v>6.0189040000000003E-3</v>
      </c>
      <c r="X177">
        <v>0.99567019999999995</v>
      </c>
      <c r="Y177">
        <v>-0.62118169999999995</v>
      </c>
      <c r="Z177">
        <v>3.2531629999999999E-3</v>
      </c>
      <c r="AA177">
        <v>0.78365989999999996</v>
      </c>
      <c r="AB177">
        <v>32</v>
      </c>
      <c r="AC177">
        <v>29.371699999999901</v>
      </c>
      <c r="AD177">
        <v>-0.3690099</v>
      </c>
      <c r="AE177">
        <v>24.034600000000001</v>
      </c>
      <c r="AF177">
        <v>-23.669547399621401</v>
      </c>
      <c r="AG177">
        <v>-0.3690099</v>
      </c>
      <c r="AH177">
        <v>29.662079932950601</v>
      </c>
      <c r="AI177">
        <v>90.557125040798496</v>
      </c>
      <c r="AJ177">
        <v>128.588932031865</v>
      </c>
      <c r="AK177">
        <v>37.950265194830699</v>
      </c>
    </row>
    <row r="178" spans="1:37" x14ac:dyDescent="0.2">
      <c r="A178" t="str">
        <f>"20200111153408310"</f>
        <v>20200111153408310</v>
      </c>
      <c r="B178" t="str">
        <f>"1578728048306889"</f>
        <v>1578728048306889</v>
      </c>
      <c r="C178" t="s">
        <v>37</v>
      </c>
      <c r="D178">
        <v>4.2519159999999996</v>
      </c>
      <c r="E178">
        <v>0.2587913</v>
      </c>
      <c r="F178" t="s">
        <v>41</v>
      </c>
      <c r="G178">
        <v>-426.34719999999999</v>
      </c>
      <c r="H178">
        <v>0.7477779</v>
      </c>
      <c r="I178">
        <v>391.67500000000001</v>
      </c>
      <c r="J178">
        <v>-455.6789</v>
      </c>
      <c r="K178">
        <v>1.10317</v>
      </c>
      <c r="L178">
        <v>367.64370000000002</v>
      </c>
      <c r="M178">
        <v>0.99992150000000002</v>
      </c>
      <c r="N178">
        <v>0</v>
      </c>
      <c r="O178">
        <v>1.246625E-2</v>
      </c>
      <c r="P178">
        <v>0.99442219999999903</v>
      </c>
      <c r="Q178">
        <v>4.6212559999999998E-3</v>
      </c>
      <c r="R178">
        <v>0.1053708</v>
      </c>
      <c r="S178">
        <v>2.7785950000000001</v>
      </c>
      <c r="T178">
        <v>-3.3368950000000001E-2</v>
      </c>
      <c r="U178">
        <v>2.2568359999999998</v>
      </c>
      <c r="V178">
        <v>-9.2968170000000003E-2</v>
      </c>
      <c r="W178">
        <v>5.8348489999999996E-3</v>
      </c>
      <c r="X178">
        <v>0.99565199999999998</v>
      </c>
      <c r="Y178">
        <v>-0.62071080000000001</v>
      </c>
      <c r="Z178">
        <v>3.1267970000000002E-3</v>
      </c>
      <c r="AA178">
        <v>0.78403339999999999</v>
      </c>
      <c r="AB178">
        <v>32</v>
      </c>
      <c r="AC178">
        <v>29.331700000000001</v>
      </c>
      <c r="AD178">
        <v>-0.35539209999999999</v>
      </c>
      <c r="AE178">
        <v>24.031299999999899</v>
      </c>
      <c r="AF178">
        <v>-23.6616975218131</v>
      </c>
      <c r="AG178">
        <v>-0.35539209999999999</v>
      </c>
      <c r="AH178">
        <v>29.626398720685501</v>
      </c>
      <c r="AI178">
        <v>90.537030235635697</v>
      </c>
      <c r="AJ178">
        <v>128.613290958633</v>
      </c>
      <c r="AK178">
        <v>37.917353999396603</v>
      </c>
    </row>
    <row r="179" spans="1:37" x14ac:dyDescent="0.2">
      <c r="A179" t="str">
        <f>"20200111153408323"</f>
        <v>20200111153408323</v>
      </c>
      <c r="B179" t="str">
        <f>"1578728048316649"</f>
        <v>1578728048316649</v>
      </c>
      <c r="C179" t="s">
        <v>37</v>
      </c>
      <c r="D179">
        <v>4.2513170000000002</v>
      </c>
      <c r="E179">
        <v>0.26017299999999999</v>
      </c>
      <c r="F179" t="s">
        <v>41</v>
      </c>
      <c r="G179">
        <v>-425.68509999999998</v>
      </c>
      <c r="H179">
        <v>0.36407659999999997</v>
      </c>
      <c r="I179">
        <v>391.67500000000001</v>
      </c>
      <c r="J179">
        <v>-455.49259999999998</v>
      </c>
      <c r="K179">
        <v>1.10321</v>
      </c>
      <c r="L179">
        <v>367.64609999999999</v>
      </c>
      <c r="M179">
        <v>0.99991969999999997</v>
      </c>
      <c r="N179">
        <v>0</v>
      </c>
      <c r="O179">
        <v>1.259127E-2</v>
      </c>
      <c r="P179">
        <v>0.99442609999999998</v>
      </c>
      <c r="Q179">
        <v>4.2019079999999999E-3</v>
      </c>
      <c r="R179">
        <v>0.1053518</v>
      </c>
      <c r="S179">
        <v>2.78106699999999</v>
      </c>
      <c r="T179">
        <v>-6.8531040000000001E-2</v>
      </c>
      <c r="U179">
        <v>2.2282099999999998</v>
      </c>
      <c r="V179">
        <v>-9.2824439999999994E-2</v>
      </c>
      <c r="W179">
        <v>5.6064469999999996E-3</v>
      </c>
      <c r="X179">
        <v>0.99566669999999902</v>
      </c>
      <c r="Y179">
        <v>-0.61528229999999995</v>
      </c>
      <c r="Z179">
        <v>6.373521E-3</v>
      </c>
      <c r="AA179">
        <v>0.78828109999999996</v>
      </c>
      <c r="AB179">
        <v>32</v>
      </c>
      <c r="AC179">
        <v>29.807500000000001</v>
      </c>
      <c r="AD179">
        <v>-0.73913339999999905</v>
      </c>
      <c r="AE179">
        <v>24.0289</v>
      </c>
      <c r="AF179">
        <v>-23.642869002720499</v>
      </c>
      <c r="AG179">
        <v>-0.73913339999999905</v>
      </c>
      <c r="AH179">
        <v>30.096475058287499</v>
      </c>
      <c r="AI179">
        <v>91.106381284907599</v>
      </c>
      <c r="AJ179">
        <v>128.152092534655</v>
      </c>
      <c r="AK179">
        <v>38.279620998605999</v>
      </c>
    </row>
    <row r="180" spans="1:37" x14ac:dyDescent="0.2">
      <c r="A180" t="str">
        <f>"20200111153408335"</f>
        <v>20200111153408335</v>
      </c>
      <c r="B180" t="str">
        <f>"1578728048326409"</f>
        <v>1578728048326409</v>
      </c>
      <c r="C180" t="s">
        <v>37</v>
      </c>
      <c r="D180">
        <v>4.215211</v>
      </c>
      <c r="E180">
        <v>0.26131589999999999</v>
      </c>
      <c r="F180" t="s">
        <v>41</v>
      </c>
      <c r="G180">
        <v>-425.31920000000002</v>
      </c>
      <c r="H180">
        <v>0.18277550000000001</v>
      </c>
      <c r="I180">
        <v>391.67500000000001</v>
      </c>
      <c r="J180">
        <v>-455.31040000000002</v>
      </c>
      <c r="K180">
        <v>1.1032629999999899</v>
      </c>
      <c r="L180">
        <v>367.64859999999999</v>
      </c>
      <c r="M180">
        <v>0.99991790000000003</v>
      </c>
      <c r="N180">
        <v>0</v>
      </c>
      <c r="O180">
        <v>1.2712899999999999E-2</v>
      </c>
      <c r="P180">
        <v>0.99442640000000004</v>
      </c>
      <c r="Q180">
        <v>3.7365929999999999E-3</v>
      </c>
      <c r="R180">
        <v>0.105367499999999</v>
      </c>
      <c r="S180">
        <v>2.78241</v>
      </c>
      <c r="T180">
        <v>-8.4877969999999997E-2</v>
      </c>
      <c r="U180">
        <v>2.2157900000000001</v>
      </c>
      <c r="V180">
        <v>-9.2719129999999997E-2</v>
      </c>
      <c r="W180">
        <v>5.3933050000000001E-3</v>
      </c>
      <c r="X180">
        <v>0.9956777</v>
      </c>
      <c r="Y180">
        <v>-0.61279019999999995</v>
      </c>
      <c r="Z180">
        <v>7.8634399999999993E-3</v>
      </c>
      <c r="AA180">
        <v>0.79020659999999998</v>
      </c>
      <c r="AB180">
        <v>32</v>
      </c>
      <c r="AC180">
        <v>29.9911999999999</v>
      </c>
      <c r="AD180">
        <v>-0.92048750000000001</v>
      </c>
      <c r="AE180">
        <v>24.026399999999999</v>
      </c>
      <c r="AF180">
        <v>-23.629624971631898</v>
      </c>
      <c r="AG180">
        <v>-0.92048750000000001</v>
      </c>
      <c r="AH180">
        <v>30.276850248177698</v>
      </c>
      <c r="AI180">
        <v>91.372949259293406</v>
      </c>
      <c r="AJ180">
        <v>127.970324921252</v>
      </c>
      <c r="AK180">
        <v>38.417367615288398</v>
      </c>
    </row>
    <row r="181" spans="1:37" x14ac:dyDescent="0.2">
      <c r="A181" t="str">
        <f>"20200111153408346"</f>
        <v>20200111153408346</v>
      </c>
      <c r="B181" t="str">
        <f>"1578728048337146"</f>
        <v>1578728048337146</v>
      </c>
      <c r="C181" t="s">
        <v>37</v>
      </c>
      <c r="D181">
        <v>4.2319909999999998</v>
      </c>
      <c r="E181">
        <v>0.2622623</v>
      </c>
      <c r="F181" t="s">
        <v>41</v>
      </c>
      <c r="G181">
        <v>-424.99520000000001</v>
      </c>
      <c r="H181">
        <v>3.2432559999999999E-2</v>
      </c>
      <c r="I181">
        <v>391.67500000000001</v>
      </c>
      <c r="J181">
        <v>-455.14640000000003</v>
      </c>
      <c r="K181">
        <v>1.103329</v>
      </c>
      <c r="L181">
        <v>367.65069999999997</v>
      </c>
      <c r="M181">
        <v>0.99991580000000002</v>
      </c>
      <c r="N181">
        <v>0</v>
      </c>
      <c r="O181">
        <v>1.282223E-2</v>
      </c>
      <c r="P181">
        <v>0.99440819999999996</v>
      </c>
      <c r="Q181">
        <v>3.2700450000000001E-3</v>
      </c>
      <c r="R181">
        <v>0.105553199999999</v>
      </c>
      <c r="S181">
        <v>2.7834469999999998</v>
      </c>
      <c r="T181">
        <v>-9.8321439999999996E-2</v>
      </c>
      <c r="U181">
        <v>2.2060240000000002</v>
      </c>
      <c r="V181">
        <v>-9.2796119999999996E-2</v>
      </c>
      <c r="W181">
        <v>5.2373810000000002E-3</v>
      </c>
      <c r="X181">
        <v>0.99567129999999904</v>
      </c>
      <c r="Y181">
        <v>-0.61080059999999903</v>
      </c>
      <c r="Z181">
        <v>9.08021E-3</v>
      </c>
      <c r="AA181">
        <v>0.7917324</v>
      </c>
      <c r="AB181">
        <v>32</v>
      </c>
      <c r="AC181">
        <v>30.151199999999999</v>
      </c>
      <c r="AD181">
        <v>-1.0708964400000001</v>
      </c>
      <c r="AE181">
        <v>24.0243</v>
      </c>
      <c r="AF181">
        <v>-23.617495037546899</v>
      </c>
      <c r="AG181">
        <v>-1.0708964400000001</v>
      </c>
      <c r="AH181">
        <v>30.4332843065737</v>
      </c>
      <c r="AI181">
        <v>91.592375850166505</v>
      </c>
      <c r="AJ181">
        <v>127.812950953784</v>
      </c>
      <c r="AK181">
        <v>38.537224662895802</v>
      </c>
    </row>
    <row r="182" spans="1:37" x14ac:dyDescent="0.2">
      <c r="A182" t="str">
        <f>"20200111153408359"</f>
        <v>20200111153408359</v>
      </c>
      <c r="B182" t="str">
        <f>"1578728048356665"</f>
        <v>1578728048356665</v>
      </c>
      <c r="C182" t="s">
        <v>37</v>
      </c>
      <c r="D182">
        <v>4.2238610000000003</v>
      </c>
      <c r="E182">
        <v>0.26392589999999999</v>
      </c>
      <c r="F182" t="s">
        <v>38</v>
      </c>
      <c r="G182">
        <v>-425.48140000000001</v>
      </c>
      <c r="H182">
        <v>-0.05</v>
      </c>
      <c r="I182">
        <v>391.07659999999998</v>
      </c>
      <c r="J182">
        <v>-454.9622</v>
      </c>
      <c r="K182">
        <v>1.103413</v>
      </c>
      <c r="L182">
        <v>367.65320000000003</v>
      </c>
      <c r="M182">
        <v>0.9999133</v>
      </c>
      <c r="N182">
        <v>0</v>
      </c>
      <c r="O182">
        <v>1.294466E-2</v>
      </c>
      <c r="P182">
        <v>0.99440539999999999</v>
      </c>
      <c r="Q182">
        <v>2.5619340000000001E-3</v>
      </c>
      <c r="R182">
        <v>0.1056004</v>
      </c>
      <c r="S182">
        <v>2.7839049999999999</v>
      </c>
      <c r="T182">
        <v>-0.10823389999999999</v>
      </c>
      <c r="U182">
        <v>2.1983950000000001</v>
      </c>
      <c r="V182">
        <v>-9.2721250000000005E-2</v>
      </c>
      <c r="W182">
        <v>4.9217189999999997E-3</v>
      </c>
      <c r="X182">
        <v>0.99567989999999995</v>
      </c>
      <c r="Y182">
        <v>-0.60925640000000003</v>
      </c>
      <c r="Z182">
        <v>9.9708069999999999E-3</v>
      </c>
      <c r="AA182">
        <v>0.79291060000000002</v>
      </c>
      <c r="AB182">
        <v>33</v>
      </c>
      <c r="AC182">
        <v>29.480799999999899</v>
      </c>
      <c r="AD182">
        <v>-1.153413</v>
      </c>
      <c r="AE182">
        <v>23.423399999999901</v>
      </c>
      <c r="AF182">
        <v>-23.018218351516602</v>
      </c>
      <c r="AG182">
        <v>-1.153413</v>
      </c>
      <c r="AH182">
        <v>29.7536195674111</v>
      </c>
      <c r="AI182">
        <v>91.756205673128605</v>
      </c>
      <c r="AJ182">
        <v>127.72652183848599</v>
      </c>
      <c r="AK182">
        <v>37.635709306307703</v>
      </c>
    </row>
    <row r="183" spans="1:37" x14ac:dyDescent="0.2">
      <c r="A183" t="str">
        <f>"20200111153408377"</f>
        <v>20200111153408377</v>
      </c>
      <c r="B183" t="str">
        <f>"1578728048366425"</f>
        <v>1578728048366425</v>
      </c>
      <c r="C183" t="s">
        <v>37</v>
      </c>
      <c r="D183">
        <v>4.2105189999999997</v>
      </c>
      <c r="E183">
        <v>0.26470709999999997</v>
      </c>
      <c r="F183" t="s">
        <v>38</v>
      </c>
      <c r="G183">
        <v>-429.50830000000002</v>
      </c>
      <c r="H183">
        <v>-0.05</v>
      </c>
      <c r="I183">
        <v>387.61430000000001</v>
      </c>
      <c r="J183">
        <v>-454.70119999999997</v>
      </c>
      <c r="K183">
        <v>1.103564</v>
      </c>
      <c r="L183">
        <v>367.65679999999998</v>
      </c>
      <c r="M183">
        <v>0.9999091</v>
      </c>
      <c r="N183">
        <v>0</v>
      </c>
      <c r="O183">
        <v>1.311666E-2</v>
      </c>
      <c r="P183">
        <v>0.99440450000000002</v>
      </c>
      <c r="Q183">
        <v>1.363784E-3</v>
      </c>
      <c r="R183">
        <v>0.1056318</v>
      </c>
      <c r="S183">
        <v>2.7851870000000001</v>
      </c>
      <c r="T183">
        <v>-0.12620709999999999</v>
      </c>
      <c r="U183">
        <v>2.1841430000000002</v>
      </c>
      <c r="V183">
        <v>-9.2581880000000005E-2</v>
      </c>
      <c r="W183">
        <v>4.4467939999999996E-3</v>
      </c>
      <c r="X183">
        <v>0.995695199999999</v>
      </c>
      <c r="Y183">
        <v>-0.60633400000000004</v>
      </c>
      <c r="Z183">
        <v>1.1572290000000001E-2</v>
      </c>
      <c r="AA183">
        <v>0.795126</v>
      </c>
      <c r="AB183">
        <v>33</v>
      </c>
      <c r="AC183">
        <v>25.192899999999899</v>
      </c>
      <c r="AD183">
        <v>-1.153564</v>
      </c>
      <c r="AE183">
        <v>19.9575</v>
      </c>
      <c r="AF183">
        <v>-19.6000855762234</v>
      </c>
      <c r="AG183">
        <v>-1.153564</v>
      </c>
      <c r="AH183">
        <v>25.419763495748501</v>
      </c>
      <c r="AI183">
        <v>92.058210394743497</v>
      </c>
      <c r="AJ183">
        <v>127.634270040978</v>
      </c>
      <c r="AK183">
        <v>32.119440229822899</v>
      </c>
    </row>
    <row r="184" spans="1:37" x14ac:dyDescent="0.2">
      <c r="A184" t="str">
        <f>"20200111153408389"</f>
        <v>20200111153408389</v>
      </c>
      <c r="B184" t="str">
        <f>"1578728048386920"</f>
        <v>1578728048386920</v>
      </c>
      <c r="C184" t="s">
        <v>37</v>
      </c>
      <c r="D184">
        <v>4.2155050000000003</v>
      </c>
      <c r="E184">
        <v>0.26624549999999902</v>
      </c>
      <c r="F184" t="s">
        <v>40</v>
      </c>
      <c r="G184">
        <v>-453.99090000000001</v>
      </c>
      <c r="H184">
        <v>1.0685089999999999</v>
      </c>
      <c r="I184">
        <v>368.21190000000001</v>
      </c>
      <c r="J184">
        <v>-454.52699999999999</v>
      </c>
      <c r="K184">
        <v>1.103623</v>
      </c>
      <c r="L184">
        <v>367.6592</v>
      </c>
      <c r="M184">
        <v>0.99990639999999997</v>
      </c>
      <c r="N184">
        <v>0</v>
      </c>
      <c r="O184">
        <v>1.3234549999999999E-2</v>
      </c>
      <c r="P184">
        <v>0.99441259999999998</v>
      </c>
      <c r="Q184">
        <v>9.1287490000000002E-4</v>
      </c>
      <c r="R184">
        <v>0.1055605</v>
      </c>
      <c r="S184">
        <v>2.785736</v>
      </c>
      <c r="T184">
        <v>-0.13746910000000001</v>
      </c>
      <c r="U184">
        <v>2.1774900000000001</v>
      </c>
      <c r="V184">
        <v>-9.2392940000000007E-2</v>
      </c>
      <c r="W184">
        <v>4.37240799999999E-3</v>
      </c>
      <c r="X184">
        <v>0.99571299999999996</v>
      </c>
      <c r="Y184">
        <v>-0.60491629999999996</v>
      </c>
      <c r="Z184">
        <v>1.257437E-2</v>
      </c>
      <c r="AA184">
        <v>0.79618979999999995</v>
      </c>
      <c r="AB184">
        <v>33</v>
      </c>
      <c r="AC184">
        <v>0.53609999999997604</v>
      </c>
      <c r="AD184">
        <v>-3.5113999999999999E-2</v>
      </c>
      <c r="AE184">
        <v>0.55270000000001496</v>
      </c>
      <c r="AF184">
        <v>-0.54442428842437696</v>
      </c>
      <c r="AG184">
        <v>-3.5113999999999999E-2</v>
      </c>
      <c r="AH184">
        <v>0.54224014932896802</v>
      </c>
      <c r="AI184">
        <v>92.616492899834995</v>
      </c>
      <c r="AJ184">
        <v>135.11516138668799</v>
      </c>
      <c r="AK184">
        <v>0.76919124953856</v>
      </c>
    </row>
    <row r="185" spans="1:37" x14ac:dyDescent="0.2">
      <c r="A185" t="str">
        <f>"20200111153408402"</f>
        <v>20200111153408402</v>
      </c>
      <c r="B185" t="str">
        <f>"1578728048396680"</f>
        <v>1578728048396680</v>
      </c>
      <c r="C185" t="s">
        <v>37</v>
      </c>
      <c r="D185">
        <v>4.1275059999999897</v>
      </c>
      <c r="E185">
        <v>0.26592270000000001</v>
      </c>
      <c r="F185" t="s">
        <v>38</v>
      </c>
      <c r="G185">
        <v>-433.13850000000002</v>
      </c>
      <c r="H185">
        <v>-0.05</v>
      </c>
      <c r="I185">
        <v>384.27069999999998</v>
      </c>
      <c r="J185">
        <v>-454.34</v>
      </c>
      <c r="K185">
        <v>1.1036760000000001</v>
      </c>
      <c r="L185">
        <v>367.66180000000003</v>
      </c>
      <c r="M185">
        <v>0.99990309999999905</v>
      </c>
      <c r="N185">
        <v>0</v>
      </c>
      <c r="O185">
        <v>1.336145E-2</v>
      </c>
      <c r="P185">
        <v>0.99439929999999999</v>
      </c>
      <c r="Q185">
        <v>4.0751319999999999E-4</v>
      </c>
      <c r="R185">
        <v>0.10568859999999999</v>
      </c>
      <c r="S185">
        <v>2.7871700000000001</v>
      </c>
      <c r="T185">
        <v>-0.1503302</v>
      </c>
      <c r="U185">
        <v>2.1646730000000001</v>
      </c>
      <c r="V185">
        <v>-9.2394420000000005E-2</v>
      </c>
      <c r="W185">
        <v>4.2589220000000001E-3</v>
      </c>
      <c r="X185">
        <v>0.99571339999999997</v>
      </c>
      <c r="Y185">
        <v>-0.60224840000000002</v>
      </c>
      <c r="Z185">
        <v>1.3691709999999999E-2</v>
      </c>
      <c r="AA185">
        <v>0.79819130000000005</v>
      </c>
      <c r="AB185">
        <v>33</v>
      </c>
      <c r="AC185">
        <v>21.2014999999999</v>
      </c>
      <c r="AD185">
        <v>-1.1536759999999999</v>
      </c>
      <c r="AE185">
        <v>16.608899999999899</v>
      </c>
      <c r="AF185">
        <v>-16.294233945160901</v>
      </c>
      <c r="AG185">
        <v>-1.1536759999999999</v>
      </c>
      <c r="AH185">
        <v>21.382293462328999</v>
      </c>
      <c r="AI185">
        <v>92.4573086386482</v>
      </c>
      <c r="AJ185">
        <v>127.30897098758901</v>
      </c>
      <c r="AK185">
        <v>26.907907794582801</v>
      </c>
    </row>
    <row r="186" spans="1:37" x14ac:dyDescent="0.2">
      <c r="A186" t="str">
        <f>"20200111153408415"</f>
        <v>20200111153408415</v>
      </c>
      <c r="B186" t="str">
        <f>"1578728048406441"</f>
        <v>1578728048406441</v>
      </c>
      <c r="C186" t="s">
        <v>37</v>
      </c>
      <c r="D186">
        <v>4.1527750000000001</v>
      </c>
      <c r="E186">
        <v>0.26556340000000001</v>
      </c>
      <c r="F186" t="s">
        <v>38</v>
      </c>
      <c r="G186">
        <v>-432.34870000000001</v>
      </c>
      <c r="H186">
        <v>-0.05</v>
      </c>
      <c r="I186">
        <v>384.77</v>
      </c>
      <c r="J186">
        <v>-454.14499999999998</v>
      </c>
      <c r="K186">
        <v>1.103729</v>
      </c>
      <c r="L186">
        <v>367.66449999999998</v>
      </c>
      <c r="M186">
        <v>0.999899599999999</v>
      </c>
      <c r="N186">
        <v>0</v>
      </c>
      <c r="O186">
        <v>1.3493669999999999E-2</v>
      </c>
      <c r="P186">
        <v>0.99441329999999994</v>
      </c>
      <c r="Q186" s="1">
        <v>-1.118705E-5</v>
      </c>
      <c r="R186">
        <v>0.1055579</v>
      </c>
      <c r="S186">
        <v>2.78653</v>
      </c>
      <c r="T186">
        <v>-0.1461829</v>
      </c>
      <c r="U186">
        <v>2.167786</v>
      </c>
      <c r="V186">
        <v>-9.2131859999999996E-2</v>
      </c>
      <c r="W186">
        <v>4.249386E-3</v>
      </c>
      <c r="X186">
        <v>0.99573769999999995</v>
      </c>
      <c r="Y186">
        <v>-0.60281619999999903</v>
      </c>
      <c r="Z186">
        <v>1.331977E-2</v>
      </c>
      <c r="AA186">
        <v>0.79776899999999995</v>
      </c>
      <c r="AB186">
        <v>33</v>
      </c>
      <c r="AC186">
        <v>21.796299999999899</v>
      </c>
      <c r="AD186">
        <v>-1.153729</v>
      </c>
      <c r="AE186">
        <v>17.105499999999999</v>
      </c>
      <c r="AF186">
        <v>-16.780731337117601</v>
      </c>
      <c r="AG186">
        <v>-1.153729</v>
      </c>
      <c r="AH186">
        <v>21.987009950505101</v>
      </c>
      <c r="AI186">
        <v>92.388569676938602</v>
      </c>
      <c r="AJ186">
        <v>127.35127756675701</v>
      </c>
      <c r="AK186">
        <v>27.6830749985902</v>
      </c>
    </row>
    <row r="187" spans="1:37" x14ac:dyDescent="0.2">
      <c r="A187" t="str">
        <f>"20200111153408436"</f>
        <v>20200111153408436</v>
      </c>
      <c r="B187" t="str">
        <f>"1578728048426936"</f>
        <v>1578728048426936</v>
      </c>
      <c r="C187" t="s">
        <v>37</v>
      </c>
      <c r="D187">
        <v>4.1044279999999898</v>
      </c>
      <c r="E187">
        <v>0.26605590000000001</v>
      </c>
      <c r="F187" t="s">
        <v>40</v>
      </c>
      <c r="G187">
        <v>-453.41199999999998</v>
      </c>
      <c r="H187">
        <v>1.066484</v>
      </c>
      <c r="I187">
        <v>368.23520000000002</v>
      </c>
      <c r="J187">
        <v>-453.86219999999997</v>
      </c>
      <c r="K187">
        <v>1.10382</v>
      </c>
      <c r="L187">
        <v>367.66849999999999</v>
      </c>
      <c r="M187">
        <v>0.99989399999999995</v>
      </c>
      <c r="N187">
        <v>0</v>
      </c>
      <c r="O187">
        <v>1.368921E-2</v>
      </c>
      <c r="P187">
        <v>0.99438579999999999</v>
      </c>
      <c r="Q187">
        <v>-1.0925939999999999E-3</v>
      </c>
      <c r="R187">
        <v>0.1058108</v>
      </c>
      <c r="S187">
        <v>2.7864070000000001</v>
      </c>
      <c r="T187">
        <v>-0.14154029999999901</v>
      </c>
      <c r="U187">
        <v>2.1705320000000001</v>
      </c>
      <c r="V187">
        <v>-9.219041E-2</v>
      </c>
      <c r="W187">
        <v>3.8235729999999998E-3</v>
      </c>
      <c r="X187">
        <v>0.99573400000000001</v>
      </c>
      <c r="Y187">
        <v>-0.60319829999999997</v>
      </c>
      <c r="Z187">
        <v>1.2893959999999999E-2</v>
      </c>
      <c r="AA187">
        <v>0.79748699999999995</v>
      </c>
      <c r="AB187">
        <v>33</v>
      </c>
      <c r="AC187">
        <v>0.45019999999999499</v>
      </c>
      <c r="AD187">
        <v>-3.7336000000000001E-2</v>
      </c>
      <c r="AE187">
        <v>0.56670000000002496</v>
      </c>
      <c r="AF187">
        <v>-0.55899637780626299</v>
      </c>
      <c r="AG187">
        <v>-3.7336000000000001E-2</v>
      </c>
      <c r="AH187">
        <v>0.456700246456412</v>
      </c>
      <c r="AI187">
        <v>92.960895067669796</v>
      </c>
      <c r="AJ187">
        <v>140.75116486165899</v>
      </c>
      <c r="AK187">
        <v>0.72280429053089501</v>
      </c>
    </row>
    <row r="188" spans="1:37" x14ac:dyDescent="0.2">
      <c r="A188" t="str">
        <f>"20200111153408450"</f>
        <v>20200111153408450</v>
      </c>
      <c r="B188" t="str">
        <f>"1578728048446457"</f>
        <v>1578728048446457</v>
      </c>
      <c r="C188" t="s">
        <v>37</v>
      </c>
      <c r="D188">
        <v>4.1418239999999997</v>
      </c>
      <c r="E188">
        <v>0.2656116</v>
      </c>
      <c r="F188" t="s">
        <v>40</v>
      </c>
      <c r="G188">
        <v>-453.12150000000003</v>
      </c>
      <c r="H188">
        <v>1.065383</v>
      </c>
      <c r="I188">
        <v>368.24470000000002</v>
      </c>
      <c r="J188">
        <v>-453.64019999999999</v>
      </c>
      <c r="K188">
        <v>1.103891</v>
      </c>
      <c r="L188">
        <v>367.67169999999999</v>
      </c>
      <c r="M188">
        <v>0.99988899999999903</v>
      </c>
      <c r="N188">
        <v>0</v>
      </c>
      <c r="O188">
        <v>1.38413999999999E-2</v>
      </c>
      <c r="P188">
        <v>0.99436599999999997</v>
      </c>
      <c r="Q188">
        <v>-1.647431E-3</v>
      </c>
      <c r="R188">
        <v>0.10598679999999901</v>
      </c>
      <c r="S188">
        <v>2.7861630000000002</v>
      </c>
      <c r="T188">
        <v>-0.1445726</v>
      </c>
      <c r="U188">
        <v>2.1674500000000001</v>
      </c>
      <c r="V188">
        <v>-9.2215110000000003E-2</v>
      </c>
      <c r="W188">
        <v>3.7997320000000001E-3</v>
      </c>
      <c r="X188">
        <v>0.99573179999999994</v>
      </c>
      <c r="Y188">
        <v>-0.60254110000000005</v>
      </c>
      <c r="Z188">
        <v>1.3152809999999999E-2</v>
      </c>
      <c r="AA188">
        <v>0.79797949999999995</v>
      </c>
      <c r="AB188">
        <v>33</v>
      </c>
      <c r="AC188">
        <v>0.51869999999996697</v>
      </c>
      <c r="AD188">
        <v>-3.8507999999999903E-2</v>
      </c>
      <c r="AE188">
        <v>0.57300000000003504</v>
      </c>
      <c r="AF188">
        <v>-0.56436454801163605</v>
      </c>
      <c r="AG188">
        <v>-3.8507999999999903E-2</v>
      </c>
      <c r="AH188">
        <v>0.525277660944379</v>
      </c>
      <c r="AI188">
        <v>92.859332734826296</v>
      </c>
      <c r="AJ188">
        <v>137.054393470355</v>
      </c>
      <c r="AK188">
        <v>0.77195001794389295</v>
      </c>
    </row>
    <row r="189" spans="1:37" x14ac:dyDescent="0.2">
      <c r="A189" t="str">
        <f>"20200111153408468"</f>
        <v>20200111153408468</v>
      </c>
      <c r="B189" t="str">
        <f>"1578728048456217"</f>
        <v>1578728048456217</v>
      </c>
      <c r="C189" t="s">
        <v>37</v>
      </c>
      <c r="D189">
        <v>4.1572370000000003</v>
      </c>
      <c r="E189">
        <v>0.26540759999999902</v>
      </c>
      <c r="F189" t="s">
        <v>38</v>
      </c>
      <c r="G189">
        <v>-430.24889999999999</v>
      </c>
      <c r="H189">
        <v>-0.05</v>
      </c>
      <c r="I189">
        <v>385.90969999999999</v>
      </c>
      <c r="J189">
        <v>-453.37819999999999</v>
      </c>
      <c r="K189">
        <v>1.1039669999999999</v>
      </c>
      <c r="L189">
        <v>367.6755</v>
      </c>
      <c r="M189">
        <v>0.99988290000000002</v>
      </c>
      <c r="N189">
        <v>0</v>
      </c>
      <c r="O189">
        <v>1.4021250000000001E-2</v>
      </c>
      <c r="P189">
        <v>0.9943594</v>
      </c>
      <c r="Q189">
        <v>-2.2566320000000002E-3</v>
      </c>
      <c r="R189">
        <v>0.1060386</v>
      </c>
      <c r="S189">
        <v>2.7853089999999998</v>
      </c>
      <c r="T189">
        <v>-0.1373994</v>
      </c>
      <c r="U189">
        <v>2.17169199999999</v>
      </c>
      <c r="V189">
        <v>-9.2087399999999903E-2</v>
      </c>
      <c r="W189">
        <v>3.7987780000000001E-3</v>
      </c>
      <c r="X189">
        <v>0.99574370000000001</v>
      </c>
      <c r="Y189">
        <v>-0.60331969999999902</v>
      </c>
      <c r="Z189">
        <v>1.250777E-2</v>
      </c>
      <c r="AA189">
        <v>0.79740140000000004</v>
      </c>
      <c r="AB189">
        <v>33</v>
      </c>
      <c r="AC189">
        <v>23.129300000000001</v>
      </c>
      <c r="AD189">
        <v>-1.153967</v>
      </c>
      <c r="AE189">
        <v>18.234199999999898</v>
      </c>
      <c r="AF189">
        <v>-17.880650744486399</v>
      </c>
      <c r="AG189">
        <v>-1.153967</v>
      </c>
      <c r="AH189">
        <v>23.3468571237722</v>
      </c>
      <c r="AI189">
        <v>92.247175912583003</v>
      </c>
      <c r="AJ189">
        <v>127.44740997755601</v>
      </c>
      <c r="AK189">
        <v>29.430002521937102</v>
      </c>
    </row>
    <row r="190" spans="1:37" x14ac:dyDescent="0.2">
      <c r="A190" t="str">
        <f>"20200111153408490"</f>
        <v>20200111153408490</v>
      </c>
      <c r="B190" t="str">
        <f>"1578728048486473"</f>
        <v>1578728048486473</v>
      </c>
      <c r="C190" t="s">
        <v>37</v>
      </c>
      <c r="D190">
        <v>4.1602119999999996</v>
      </c>
      <c r="E190">
        <v>0.26481300000000002</v>
      </c>
      <c r="F190" t="s">
        <v>38</v>
      </c>
      <c r="G190">
        <v>-429.6737</v>
      </c>
      <c r="H190">
        <v>-0.05</v>
      </c>
      <c r="I190">
        <v>386.17660000000001</v>
      </c>
      <c r="J190">
        <v>-453.05720000000002</v>
      </c>
      <c r="K190">
        <v>1.104042</v>
      </c>
      <c r="L190">
        <v>367.68029999999999</v>
      </c>
      <c r="M190">
        <v>0.99987539999999997</v>
      </c>
      <c r="N190">
        <v>0</v>
      </c>
      <c r="O190">
        <v>1.4244440000000001E-2</v>
      </c>
      <c r="P190">
        <v>0.99434669999999903</v>
      </c>
      <c r="Q190">
        <v>-2.6806439999999998E-3</v>
      </c>
      <c r="R190">
        <v>0.10614990000000001</v>
      </c>
      <c r="S190">
        <v>2.7849430000000002</v>
      </c>
      <c r="T190">
        <v>-0.13557439999999901</v>
      </c>
      <c r="U190">
        <v>2.1736149999999999</v>
      </c>
      <c r="V190">
        <v>-9.1977130000000004E-2</v>
      </c>
      <c r="W190">
        <v>4.0662809999999997E-3</v>
      </c>
      <c r="X190">
        <v>0.99575279999999999</v>
      </c>
      <c r="Y190">
        <v>-0.60354669999999999</v>
      </c>
      <c r="Z190">
        <v>1.2336059999999999E-2</v>
      </c>
      <c r="AA190">
        <v>0.79723219999999995</v>
      </c>
      <c r="AB190">
        <v>33</v>
      </c>
      <c r="AC190">
        <v>23.383500000000002</v>
      </c>
      <c r="AD190">
        <v>-1.154042</v>
      </c>
      <c r="AE190">
        <v>18.496300000000002</v>
      </c>
      <c r="AF190">
        <v>-18.134160911994002</v>
      </c>
      <c r="AG190">
        <v>-1.154042</v>
      </c>
      <c r="AH190">
        <v>23.6092300252994</v>
      </c>
      <c r="AI190">
        <v>92.2199863378478</v>
      </c>
      <c r="AJ190">
        <v>127.527731006409</v>
      </c>
      <c r="AK190">
        <v>29.792202793807501</v>
      </c>
    </row>
    <row r="191" spans="1:37" x14ac:dyDescent="0.2">
      <c r="A191" t="str">
        <f>"20200111153408503"</f>
        <v>20200111153408503</v>
      </c>
      <c r="B191" t="str">
        <f>"1578728048496233"</f>
        <v>1578728048496233</v>
      </c>
      <c r="C191" t="s">
        <v>37</v>
      </c>
      <c r="D191">
        <v>4.1355050000000002</v>
      </c>
      <c r="E191">
        <v>0.26462759999999902</v>
      </c>
      <c r="F191" t="s">
        <v>38</v>
      </c>
      <c r="G191">
        <v>-427.22660000000002</v>
      </c>
      <c r="H191">
        <v>-0.05</v>
      </c>
      <c r="I191">
        <v>387.90539999999999</v>
      </c>
      <c r="J191">
        <v>-452.87270000000001</v>
      </c>
      <c r="K191">
        <v>1.1040760000000001</v>
      </c>
      <c r="L191">
        <v>367.68299999999999</v>
      </c>
      <c r="M191">
        <v>0.99987090000000001</v>
      </c>
      <c r="N191">
        <v>0</v>
      </c>
      <c r="O191">
        <v>1.437274E-2</v>
      </c>
      <c r="P191">
        <v>0.99435209999999996</v>
      </c>
      <c r="Q191">
        <v>-2.6927890000000001E-3</v>
      </c>
      <c r="R191">
        <v>0.106097699999999</v>
      </c>
      <c r="S191">
        <v>2.784027</v>
      </c>
      <c r="T191">
        <v>-0.12438289999999901</v>
      </c>
      <c r="U191">
        <v>2.1798709999999999</v>
      </c>
      <c r="V191">
        <v>-9.1796569999999994E-2</v>
      </c>
      <c r="W191">
        <v>4.4229530000000003E-3</v>
      </c>
      <c r="X191">
        <v>0.99576799999999999</v>
      </c>
      <c r="Y191">
        <v>-0.60475080000000003</v>
      </c>
      <c r="Z191">
        <v>1.133316E-2</v>
      </c>
      <c r="AA191">
        <v>0.79633409999999905</v>
      </c>
      <c r="AB191">
        <v>33</v>
      </c>
      <c r="AC191">
        <v>25.646099999999901</v>
      </c>
      <c r="AD191">
        <v>-1.1540760000000001</v>
      </c>
      <c r="AE191">
        <v>20.222399999999901</v>
      </c>
      <c r="AF191">
        <v>-19.826939973313898</v>
      </c>
      <c r="AG191">
        <v>-1.1540760000000001</v>
      </c>
      <c r="AH191">
        <v>25.901767436399702</v>
      </c>
      <c r="AI191">
        <v>92.026297722147504</v>
      </c>
      <c r="AJ191">
        <v>127.432852394023</v>
      </c>
      <c r="AK191">
        <v>32.639561829909802</v>
      </c>
    </row>
    <row r="192" spans="1:37" x14ac:dyDescent="0.2">
      <c r="A192" t="str">
        <f>"20200111153408515"</f>
        <v>20200111153408515</v>
      </c>
      <c r="B192" t="str">
        <f>"1578728048506969"</f>
        <v>1578728048506969</v>
      </c>
      <c r="C192" t="s">
        <v>37</v>
      </c>
      <c r="D192">
        <v>4.1615359999999999</v>
      </c>
      <c r="E192">
        <v>0.2645383</v>
      </c>
      <c r="F192" t="s">
        <v>38</v>
      </c>
      <c r="G192">
        <v>-426.43270000000001</v>
      </c>
      <c r="H192">
        <v>-0.05</v>
      </c>
      <c r="I192">
        <v>388.39879999999999</v>
      </c>
      <c r="J192">
        <v>-452.6798</v>
      </c>
      <c r="K192">
        <v>1.1041069999999999</v>
      </c>
      <c r="L192">
        <v>367.6859</v>
      </c>
      <c r="M192">
        <v>0.99986629999999999</v>
      </c>
      <c r="N192">
        <v>0</v>
      </c>
      <c r="O192">
        <v>1.450505E-2</v>
      </c>
      <c r="P192">
        <v>0.99433090000000002</v>
      </c>
      <c r="Q192">
        <v>-2.8378140000000001E-3</v>
      </c>
      <c r="R192">
        <v>0.1062932</v>
      </c>
      <c r="S192">
        <v>2.7839659999999999</v>
      </c>
      <c r="T192">
        <v>-0.12151679999999999</v>
      </c>
      <c r="U192">
        <v>2.181244</v>
      </c>
      <c r="V192">
        <v>-9.186105E-2</v>
      </c>
      <c r="W192">
        <v>4.6408650000000001E-3</v>
      </c>
      <c r="X192">
        <v>0.99576100000000001</v>
      </c>
      <c r="Y192">
        <v>-0.60491410000000001</v>
      </c>
      <c r="Z192">
        <v>1.1068969999999999E-2</v>
      </c>
      <c r="AA192">
        <v>0.79621390000000003</v>
      </c>
      <c r="AB192">
        <v>33</v>
      </c>
      <c r="AC192">
        <v>26.2470999999999</v>
      </c>
      <c r="AD192">
        <v>-1.154107</v>
      </c>
      <c r="AE192">
        <v>20.712899999999902</v>
      </c>
      <c r="AF192">
        <v>-20.305801109251099</v>
      </c>
      <c r="AG192">
        <v>-1.154107</v>
      </c>
      <c r="AH192">
        <v>26.513199609746898</v>
      </c>
      <c r="AI192">
        <v>91.979269176225202</v>
      </c>
      <c r="AJ192">
        <v>127.447606875666</v>
      </c>
      <c r="AK192">
        <v>33.415674094684903</v>
      </c>
    </row>
    <row r="193" spans="1:37" x14ac:dyDescent="0.2">
      <c r="A193" t="str">
        <f>"20200111153408535"</f>
        <v>20200111153408535</v>
      </c>
      <c r="B193" t="str">
        <f>"1578728048526488"</f>
        <v>1578728048526488</v>
      </c>
      <c r="C193" t="s">
        <v>37</v>
      </c>
      <c r="D193">
        <v>4.1639299999999997</v>
      </c>
      <c r="E193">
        <v>0.26424320000000001</v>
      </c>
      <c r="F193" t="s">
        <v>38</v>
      </c>
      <c r="G193">
        <v>-425.73489999999998</v>
      </c>
      <c r="H193">
        <v>-0.05</v>
      </c>
      <c r="I193">
        <v>388.8159</v>
      </c>
      <c r="J193">
        <v>-452.4015</v>
      </c>
      <c r="K193">
        <v>1.104142</v>
      </c>
      <c r="L193">
        <v>367.6902</v>
      </c>
      <c r="M193">
        <v>0.99985970000000002</v>
      </c>
      <c r="N193">
        <v>0</v>
      </c>
      <c r="O193">
        <v>1.469287E-2</v>
      </c>
      <c r="P193">
        <v>0.99427989999999999</v>
      </c>
      <c r="Q193">
        <v>-3.4171379999999901E-3</v>
      </c>
      <c r="R193">
        <v>0.10675179999999999</v>
      </c>
      <c r="S193">
        <v>2.783417</v>
      </c>
      <c r="T193">
        <v>-0.119219699999999</v>
      </c>
      <c r="U193">
        <v>2.18273899999999</v>
      </c>
      <c r="V193">
        <v>-9.2133619999999999E-2</v>
      </c>
      <c r="W193">
        <v>4.544546E-3</v>
      </c>
      <c r="X193">
        <v>0.99573630000000002</v>
      </c>
      <c r="Y193">
        <v>-0.60511870000000001</v>
      </c>
      <c r="Z193">
        <v>1.085675E-2</v>
      </c>
      <c r="AA193">
        <v>0.79606129999999997</v>
      </c>
      <c r="AB193">
        <v>33</v>
      </c>
      <c r="AC193">
        <v>26.666599999999999</v>
      </c>
      <c r="AD193">
        <v>-1.154142</v>
      </c>
      <c r="AE193">
        <v>21.125699999999899</v>
      </c>
      <c r="AF193">
        <v>-20.707765484882898</v>
      </c>
      <c r="AG193">
        <v>-1.154142</v>
      </c>
      <c r="AH193">
        <v>26.943119886581599</v>
      </c>
      <c r="AI193">
        <v>91.945235788370297</v>
      </c>
      <c r="AJ193">
        <v>127.544921997779</v>
      </c>
      <c r="AK193">
        <v>34.001107398962503</v>
      </c>
    </row>
    <row r="194" spans="1:37" x14ac:dyDescent="0.2">
      <c r="A194" t="str">
        <f>"20200111153408548"</f>
        <v>20200111153408548</v>
      </c>
      <c r="B194" t="str">
        <f>"1578728048546984"</f>
        <v>1578728048546984</v>
      </c>
      <c r="C194" t="s">
        <v>37</v>
      </c>
      <c r="D194">
        <v>4.1589910000000003</v>
      </c>
      <c r="E194">
        <v>0.26401190000000002</v>
      </c>
      <c r="F194" t="s">
        <v>38</v>
      </c>
      <c r="G194">
        <v>-425.29450000000003</v>
      </c>
      <c r="H194">
        <v>-0.05</v>
      </c>
      <c r="I194">
        <v>388.99189999999999</v>
      </c>
      <c r="J194">
        <v>-452.21179999999998</v>
      </c>
      <c r="K194">
        <v>1.104163</v>
      </c>
      <c r="L194">
        <v>367.69319999999999</v>
      </c>
      <c r="M194">
        <v>0.99985550000000001</v>
      </c>
      <c r="N194">
        <v>0</v>
      </c>
      <c r="O194">
        <v>1.482203E-2</v>
      </c>
      <c r="P194">
        <v>0.99423859999999997</v>
      </c>
      <c r="Q194">
        <v>-4.1120949999999996E-3</v>
      </c>
      <c r="R194">
        <v>0.1071116</v>
      </c>
      <c r="S194">
        <v>2.7821039999999999</v>
      </c>
      <c r="T194">
        <v>-0.1184543</v>
      </c>
      <c r="U194">
        <v>2.1862789999999999</v>
      </c>
      <c r="V194">
        <v>-9.2365009999999997E-2</v>
      </c>
      <c r="W194">
        <v>4.1511580000000003E-3</v>
      </c>
      <c r="X194">
        <v>0.99571659999999995</v>
      </c>
      <c r="Y194">
        <v>-0.60582840000000004</v>
      </c>
      <c r="Z194">
        <v>1.0795839999999999E-2</v>
      </c>
      <c r="AA194">
        <v>0.79552210000000001</v>
      </c>
      <c r="AB194">
        <v>33</v>
      </c>
      <c r="AC194">
        <v>26.917299999999901</v>
      </c>
      <c r="AD194">
        <v>-1.1541629999999901</v>
      </c>
      <c r="AE194">
        <v>21.2987</v>
      </c>
      <c r="AF194">
        <v>-20.873776554391601</v>
      </c>
      <c r="AG194">
        <v>-1.1541629999999901</v>
      </c>
      <c r="AH194">
        <v>27.1992911750208</v>
      </c>
      <c r="AI194">
        <v>91.928020037894399</v>
      </c>
      <c r="AJ194">
        <v>127.50401234943</v>
      </c>
      <c r="AK194">
        <v>34.305219432278903</v>
      </c>
    </row>
    <row r="195" spans="1:37" x14ac:dyDescent="0.2">
      <c r="A195" t="str">
        <f>"20200111153408561"</f>
        <v>20200111153408561</v>
      </c>
      <c r="B195" t="str">
        <f>"1578728048556745"</f>
        <v>1578728048556745</v>
      </c>
      <c r="C195" t="s">
        <v>37</v>
      </c>
      <c r="D195">
        <v>4.1688660000000004</v>
      </c>
      <c r="E195">
        <v>0.26396799999999998</v>
      </c>
      <c r="F195" t="s">
        <v>38</v>
      </c>
      <c r="G195">
        <v>-424.755</v>
      </c>
      <c r="H195">
        <v>-0.05</v>
      </c>
      <c r="I195">
        <v>389.3125</v>
      </c>
      <c r="J195">
        <v>-452.02530000000002</v>
      </c>
      <c r="K195">
        <v>1.104177</v>
      </c>
      <c r="L195">
        <v>367.6961</v>
      </c>
      <c r="M195">
        <v>0.99985100000000005</v>
      </c>
      <c r="N195">
        <v>0</v>
      </c>
      <c r="O195">
        <v>1.4950379999999999E-2</v>
      </c>
      <c r="P195">
        <v>0.99418649999999997</v>
      </c>
      <c r="Q195">
        <v>-4.3046179999999996E-3</v>
      </c>
      <c r="R195">
        <v>0.1075865</v>
      </c>
      <c r="S195">
        <v>2.7810060000000001</v>
      </c>
      <c r="T195">
        <v>-0.116901399999999</v>
      </c>
      <c r="U195">
        <v>2.1897579999999999</v>
      </c>
      <c r="V195">
        <v>-9.2712530000000001E-2</v>
      </c>
      <c r="W195">
        <v>4.2417560000000002E-3</v>
      </c>
      <c r="X195">
        <v>0.99568389999999996</v>
      </c>
      <c r="Y195">
        <v>-0.60650179999999998</v>
      </c>
      <c r="Z195">
        <v>1.0661790000000001E-2</v>
      </c>
      <c r="AA195">
        <v>0.79501060000000001</v>
      </c>
      <c r="AB195">
        <v>33</v>
      </c>
      <c r="AC195">
        <v>27.270299999999999</v>
      </c>
      <c r="AD195">
        <v>-1.154177</v>
      </c>
      <c r="AE195">
        <v>21.616399999999999</v>
      </c>
      <c r="AF195">
        <v>-21.182964491303299</v>
      </c>
      <c r="AG195">
        <v>-1.154177</v>
      </c>
      <c r="AH195">
        <v>27.560119143302899</v>
      </c>
      <c r="AI195">
        <v>91.901744022794503</v>
      </c>
      <c r="AJ195">
        <v>127.546215553278</v>
      </c>
      <c r="AK195">
        <v>34.779451927541899</v>
      </c>
    </row>
    <row r="196" spans="1:37" x14ac:dyDescent="0.2">
      <c r="A196" t="str">
        <f>"20200111153408578"</f>
        <v>20200111153408578</v>
      </c>
      <c r="B196" t="str">
        <f>"1578728048566504"</f>
        <v>1578728048566504</v>
      </c>
      <c r="C196" t="s">
        <v>37</v>
      </c>
      <c r="D196">
        <v>4.1294760000000004</v>
      </c>
      <c r="E196">
        <v>0.26388289999999998</v>
      </c>
      <c r="F196" t="s">
        <v>38</v>
      </c>
      <c r="G196">
        <v>-424.44560000000001</v>
      </c>
      <c r="H196">
        <v>-0.05</v>
      </c>
      <c r="I196">
        <v>389.4375</v>
      </c>
      <c r="J196">
        <v>-451.77769999999998</v>
      </c>
      <c r="K196">
        <v>1.1041889999999901</v>
      </c>
      <c r="L196">
        <v>367.7</v>
      </c>
      <c r="M196">
        <v>0.9998454</v>
      </c>
      <c r="N196">
        <v>0</v>
      </c>
      <c r="O196">
        <v>1.512376E-2</v>
      </c>
      <c r="P196">
        <v>0.99411000000000005</v>
      </c>
      <c r="Q196">
        <v>-4.5343149999999997E-3</v>
      </c>
      <c r="R196">
        <v>0.1082805</v>
      </c>
      <c r="S196">
        <v>2.7798769999999999</v>
      </c>
      <c r="T196">
        <v>-0.1163341</v>
      </c>
      <c r="U196">
        <v>2.1914060000000002</v>
      </c>
      <c r="V196">
        <v>-9.3235189999999996E-2</v>
      </c>
      <c r="W196">
        <v>4.3557190000000001E-3</v>
      </c>
      <c r="X196">
        <v>0.99563459999999904</v>
      </c>
      <c r="Y196">
        <v>-0.60681459999999998</v>
      </c>
      <c r="Z196">
        <v>1.061115E-2</v>
      </c>
      <c r="AA196">
        <v>0.79477259999999905</v>
      </c>
      <c r="AB196">
        <v>33</v>
      </c>
      <c r="AC196">
        <v>27.332099999999901</v>
      </c>
      <c r="AD196">
        <v>-1.1541889999999999</v>
      </c>
      <c r="AE196">
        <v>21.737500000000001</v>
      </c>
      <c r="AF196">
        <v>-21.298368292997999</v>
      </c>
      <c r="AG196">
        <v>-1.1541889999999999</v>
      </c>
      <c r="AH196">
        <v>27.627561587653201</v>
      </c>
      <c r="AI196">
        <v>91.895017586404606</v>
      </c>
      <c r="AJ196">
        <v>127.628995205379</v>
      </c>
      <c r="AK196">
        <v>34.903220531513597</v>
      </c>
    </row>
    <row r="197" spans="1:37" x14ac:dyDescent="0.2">
      <c r="A197" t="str">
        <f>"20200111153408589"</f>
        <v>20200111153408589</v>
      </c>
      <c r="B197" t="str">
        <f>"1578728048587000"</f>
        <v>1578728048587000</v>
      </c>
      <c r="C197" t="s">
        <v>37</v>
      </c>
      <c r="D197">
        <v>4.2082959999999998</v>
      </c>
      <c r="E197">
        <v>0.26368720000000001</v>
      </c>
      <c r="F197" t="s">
        <v>38</v>
      </c>
      <c r="G197">
        <v>-424.08960000000002</v>
      </c>
      <c r="H197">
        <v>-0.05</v>
      </c>
      <c r="I197">
        <v>389.5659</v>
      </c>
      <c r="J197">
        <v>-451.61250000000001</v>
      </c>
      <c r="K197">
        <v>1.104196</v>
      </c>
      <c r="L197">
        <v>367.70260000000002</v>
      </c>
      <c r="M197">
        <v>0.9998418</v>
      </c>
      <c r="N197">
        <v>0</v>
      </c>
      <c r="O197">
        <v>1.524126E-2</v>
      </c>
      <c r="P197">
        <v>0.99407880000000004</v>
      </c>
      <c r="Q197">
        <v>-4.3622069999999999E-3</v>
      </c>
      <c r="R197">
        <v>0.10857409999999899</v>
      </c>
      <c r="S197">
        <v>2.7782589999999998</v>
      </c>
      <c r="T197">
        <v>-0.11581269999999901</v>
      </c>
      <c r="U197">
        <v>2.194061</v>
      </c>
      <c r="V197">
        <v>-9.3412120000000001E-2</v>
      </c>
      <c r="W197">
        <v>4.7347999999999999E-3</v>
      </c>
      <c r="X197">
        <v>0.99561630000000001</v>
      </c>
      <c r="Y197">
        <v>-0.60741639999999997</v>
      </c>
      <c r="Z197">
        <v>1.0572430000000001E-2</v>
      </c>
      <c r="AA197">
        <v>0.7943133</v>
      </c>
      <c r="AB197">
        <v>33</v>
      </c>
      <c r="AC197">
        <v>27.5229</v>
      </c>
      <c r="AD197">
        <v>-1.154196</v>
      </c>
      <c r="AE197">
        <v>21.863299999999899</v>
      </c>
      <c r="AF197">
        <v>-21.418165236982802</v>
      </c>
      <c r="AG197">
        <v>-1.154196</v>
      </c>
      <c r="AH197">
        <v>27.8229415291481</v>
      </c>
      <c r="AI197">
        <v>91.882738663142007</v>
      </c>
      <c r="AJ197">
        <v>127.58916040769201</v>
      </c>
      <c r="AK197">
        <v>35.130984128821503</v>
      </c>
    </row>
    <row r="198" spans="1:37" x14ac:dyDescent="0.2">
      <c r="A198" t="str">
        <f>"20200111153408601"</f>
        <v>20200111153408601</v>
      </c>
      <c r="B198" t="str">
        <f>"1578728048596761"</f>
        <v>1578728048596761</v>
      </c>
      <c r="C198" t="s">
        <v>37</v>
      </c>
      <c r="D198">
        <v>4.1998790000000001</v>
      </c>
      <c r="E198">
        <v>0.26362059999999998</v>
      </c>
      <c r="F198" t="s">
        <v>38</v>
      </c>
      <c r="G198">
        <v>-422.87650000000002</v>
      </c>
      <c r="H198">
        <v>-0.05</v>
      </c>
      <c r="I198">
        <v>390.4332</v>
      </c>
      <c r="J198">
        <v>-451.43889999999999</v>
      </c>
      <c r="K198">
        <v>1.1042080000000001</v>
      </c>
      <c r="L198">
        <v>367.7054</v>
      </c>
      <c r="M198">
        <v>0.99983789999999995</v>
      </c>
      <c r="N198">
        <v>0</v>
      </c>
      <c r="O198">
        <v>1.53651E-2</v>
      </c>
      <c r="P198">
        <v>0.99403920000000001</v>
      </c>
      <c r="Q198">
        <v>-4.4898840000000004E-3</v>
      </c>
      <c r="R198">
        <v>0.1089316</v>
      </c>
      <c r="S198">
        <v>2.7774349999999899</v>
      </c>
      <c r="T198">
        <v>-0.111556999999999</v>
      </c>
      <c r="U198">
        <v>2.1969910000000001</v>
      </c>
      <c r="V198">
        <v>-9.3647090000000002E-2</v>
      </c>
      <c r="W198">
        <v>4.8172930000000003E-3</v>
      </c>
      <c r="X198">
        <v>0.99559379999999997</v>
      </c>
      <c r="Y198">
        <v>-0.60797069999999998</v>
      </c>
      <c r="Z198">
        <v>1.018902E-2</v>
      </c>
      <c r="AA198">
        <v>0.79389409999999905</v>
      </c>
      <c r="AB198">
        <v>33</v>
      </c>
      <c r="AC198">
        <v>28.562399999999901</v>
      </c>
      <c r="AD198">
        <v>-1.1542079999999999</v>
      </c>
      <c r="AE198">
        <v>22.727799999999998</v>
      </c>
      <c r="AF198">
        <v>-22.2639721079486</v>
      </c>
      <c r="AG198">
        <v>-1.1542079999999999</v>
      </c>
      <c r="AH198">
        <v>28.879382457509401</v>
      </c>
      <c r="AI198">
        <v>91.812943980531998</v>
      </c>
      <c r="AJ198">
        <v>127.62969501990599</v>
      </c>
      <c r="AK198">
        <v>36.483357592988703</v>
      </c>
    </row>
    <row r="199" spans="1:37" x14ac:dyDescent="0.2">
      <c r="A199" t="str">
        <f>"20200111153408612"</f>
        <v>20200111153408612</v>
      </c>
      <c r="B199" t="str">
        <f>"1578728048606521"</f>
        <v>1578728048606521</v>
      </c>
      <c r="C199" t="s">
        <v>37</v>
      </c>
      <c r="D199">
        <v>4.1843180000000002</v>
      </c>
      <c r="E199">
        <v>0.26359120000000003</v>
      </c>
      <c r="F199" t="s">
        <v>38</v>
      </c>
      <c r="G199">
        <v>-422.4384</v>
      </c>
      <c r="H199">
        <v>-0.05</v>
      </c>
      <c r="I199">
        <v>390.66849999999999</v>
      </c>
      <c r="J199">
        <v>-451.27099999999899</v>
      </c>
      <c r="K199">
        <v>1.1042149999999999</v>
      </c>
      <c r="L199">
        <v>367.7081</v>
      </c>
      <c r="M199">
        <v>0.99983440000000001</v>
      </c>
      <c r="N199">
        <v>0</v>
      </c>
      <c r="O199">
        <v>1.548445E-2</v>
      </c>
      <c r="P199">
        <v>0.99402860000000004</v>
      </c>
      <c r="Q199">
        <v>-4.4062659999999998E-3</v>
      </c>
      <c r="R199">
        <v>0.1090315</v>
      </c>
      <c r="S199">
        <v>2.7765499999999999</v>
      </c>
      <c r="T199">
        <v>-0.11050550000000001</v>
      </c>
      <c r="U199">
        <v>2.1985169999999998</v>
      </c>
      <c r="V199">
        <v>-9.3628450000000002E-2</v>
      </c>
      <c r="W199">
        <v>5.0867020000000002E-3</v>
      </c>
      <c r="X199">
        <v>0.99559419999999899</v>
      </c>
      <c r="Y199">
        <v>-0.6082727</v>
      </c>
      <c r="Z199">
        <v>1.0095160000000001E-2</v>
      </c>
      <c r="AA199">
        <v>0.79366389999999998</v>
      </c>
      <c r="AB199">
        <v>33</v>
      </c>
      <c r="AC199">
        <v>28.8325999999999</v>
      </c>
      <c r="AD199">
        <v>-1.154215</v>
      </c>
      <c r="AE199">
        <v>22.9604</v>
      </c>
      <c r="AF199">
        <v>-22.4891156796484</v>
      </c>
      <c r="AG199">
        <v>-1.154215</v>
      </c>
      <c r="AH199">
        <v>29.156096386857499</v>
      </c>
      <c r="AI199">
        <v>91.795408260277</v>
      </c>
      <c r="AJ199">
        <v>127.644257044922</v>
      </c>
      <c r="AK199">
        <v>36.839794961950503</v>
      </c>
    </row>
    <row r="200" spans="1:37" x14ac:dyDescent="0.2">
      <c r="A200" t="str">
        <f>"20200111153408625"</f>
        <v>20200111153408625</v>
      </c>
      <c r="B200" t="str">
        <f>"1578728048616280"</f>
        <v>1578728048616280</v>
      </c>
      <c r="C200" t="s">
        <v>37</v>
      </c>
      <c r="D200">
        <v>4.1802049999999999</v>
      </c>
      <c r="E200">
        <v>0.26350319999999999</v>
      </c>
      <c r="F200" t="s">
        <v>38</v>
      </c>
      <c r="G200">
        <v>-421.86320000000001</v>
      </c>
      <c r="H200">
        <v>-0.05</v>
      </c>
      <c r="I200">
        <v>391.00420000000003</v>
      </c>
      <c r="J200">
        <v>-451.1001</v>
      </c>
      <c r="K200">
        <v>1.104222</v>
      </c>
      <c r="L200">
        <v>367.71089999999998</v>
      </c>
      <c r="M200">
        <v>0.99983069999999896</v>
      </c>
      <c r="N200">
        <v>0</v>
      </c>
      <c r="O200">
        <v>1.56058999999999E-2</v>
      </c>
      <c r="P200">
        <v>0.99399249999999995</v>
      </c>
      <c r="Q200">
        <v>-4.5908210000000001E-3</v>
      </c>
      <c r="R200">
        <v>0.10935209999999999</v>
      </c>
      <c r="S200">
        <v>2.7763059999999999</v>
      </c>
      <c r="T200">
        <v>-0.10896599999999999</v>
      </c>
      <c r="U200">
        <v>2.1993099999999899</v>
      </c>
      <c r="V200">
        <v>-9.3828309999999998E-2</v>
      </c>
      <c r="W200">
        <v>5.0795509999999999E-3</v>
      </c>
      <c r="X200">
        <v>0.9955754</v>
      </c>
      <c r="Y200">
        <v>-0.608357699999999</v>
      </c>
      <c r="Z200">
        <v>9.9517900000000003E-3</v>
      </c>
      <c r="AA200">
        <v>0.79360059999999999</v>
      </c>
      <c r="AB200">
        <v>33</v>
      </c>
      <c r="AC200">
        <v>29.236899999999899</v>
      </c>
      <c r="AD200">
        <v>-1.1542220000000001</v>
      </c>
      <c r="AE200">
        <v>23.293299999999999</v>
      </c>
      <c r="AF200">
        <v>-22.8124243595351</v>
      </c>
      <c r="AG200">
        <v>-1.1542220000000001</v>
      </c>
      <c r="AH200">
        <v>29.568679206408099</v>
      </c>
      <c r="AI200">
        <v>91.7702363601299</v>
      </c>
      <c r="AJ200">
        <v>127.650415044867</v>
      </c>
      <c r="AK200">
        <v>37.363695261527099</v>
      </c>
    </row>
    <row r="201" spans="1:37" x14ac:dyDescent="0.2">
      <c r="A201" t="str">
        <f>"20200111153408637"</f>
        <v>20200111153408637</v>
      </c>
      <c r="B201" t="str">
        <f>"1578728048627017"</f>
        <v>1578728048627017</v>
      </c>
      <c r="C201" t="s">
        <v>37</v>
      </c>
      <c r="D201">
        <v>4.2088010000000002</v>
      </c>
      <c r="E201">
        <v>0.26369749999999997</v>
      </c>
      <c r="F201" t="s">
        <v>38</v>
      </c>
      <c r="G201">
        <v>-421.38869999999997</v>
      </c>
      <c r="H201">
        <v>-0.05</v>
      </c>
      <c r="I201">
        <v>391.27050000000003</v>
      </c>
      <c r="J201">
        <v>-450.91410000000002</v>
      </c>
      <c r="K201">
        <v>1.104225</v>
      </c>
      <c r="L201">
        <v>367.71390000000002</v>
      </c>
      <c r="M201">
        <v>0.99982689999999996</v>
      </c>
      <c r="N201">
        <v>0</v>
      </c>
      <c r="O201">
        <v>1.5737149999999998E-2</v>
      </c>
      <c r="P201">
        <v>0.99398339999999996</v>
      </c>
      <c r="Q201">
        <v>-4.9009989999999996E-3</v>
      </c>
      <c r="R201">
        <v>0.109422699999999</v>
      </c>
      <c r="S201">
        <v>2.7755130000000001</v>
      </c>
      <c r="T201">
        <v>-0.1078224</v>
      </c>
      <c r="U201">
        <v>2.2008359999999998</v>
      </c>
      <c r="V201">
        <v>-9.3768080000000004E-2</v>
      </c>
      <c r="W201">
        <v>4.952237E-3</v>
      </c>
      <c r="X201">
        <v>0.99558169999999901</v>
      </c>
      <c r="Y201">
        <v>-0.6086374</v>
      </c>
      <c r="Z201">
        <v>9.8484349999999991E-3</v>
      </c>
      <c r="AA201">
        <v>0.79338739999999996</v>
      </c>
      <c r="AB201">
        <v>33</v>
      </c>
      <c r="AC201">
        <v>29.525400000000001</v>
      </c>
      <c r="AD201">
        <v>-1.1542250000000001</v>
      </c>
      <c r="AE201">
        <v>23.5566</v>
      </c>
      <c r="AF201">
        <v>-23.067473312215601</v>
      </c>
      <c r="AG201">
        <v>-1.1542250000000001</v>
      </c>
      <c r="AH201">
        <v>29.864587399483899</v>
      </c>
      <c r="AI201">
        <v>91.751952967262099</v>
      </c>
      <c r="AJ201">
        <v>127.682577103654</v>
      </c>
      <c r="AK201">
        <v>37.753597721300899</v>
      </c>
    </row>
    <row r="202" spans="1:37" x14ac:dyDescent="0.2">
      <c r="A202" t="str">
        <f>"20200111153408650"</f>
        <v>20200111153408650</v>
      </c>
      <c r="B202" t="str">
        <f>"1578728048646536"</f>
        <v>1578728048646536</v>
      </c>
      <c r="C202" t="s">
        <v>37</v>
      </c>
      <c r="D202">
        <v>4.3441470000000004</v>
      </c>
      <c r="E202">
        <v>0.26471469999999903</v>
      </c>
      <c r="F202" t="s">
        <v>38</v>
      </c>
      <c r="G202">
        <v>-421.80329999999998</v>
      </c>
      <c r="H202">
        <v>-0.05</v>
      </c>
      <c r="I202">
        <v>390.78620000000001</v>
      </c>
      <c r="J202">
        <v>-450.73480000000001</v>
      </c>
      <c r="K202">
        <v>1.104231</v>
      </c>
      <c r="L202">
        <v>367.71690000000001</v>
      </c>
      <c r="M202">
        <v>0.99982329999999997</v>
      </c>
      <c r="N202">
        <v>0</v>
      </c>
      <c r="O202">
        <v>1.5863149999999999E-2</v>
      </c>
      <c r="P202">
        <v>0.99397860000000005</v>
      </c>
      <c r="Q202">
        <v>-4.9346160000000002E-3</v>
      </c>
      <c r="R202">
        <v>0.10946350000000001</v>
      </c>
      <c r="S202">
        <v>2.7754209999999899</v>
      </c>
      <c r="T202">
        <v>-0.1100438</v>
      </c>
      <c r="U202">
        <v>2.1997070000000001</v>
      </c>
      <c r="V202">
        <v>-9.368398E-2</v>
      </c>
      <c r="W202">
        <v>5.0766889999999997E-3</v>
      </c>
      <c r="X202">
        <v>0.99558899999999995</v>
      </c>
      <c r="Y202">
        <v>-0.60834069999999996</v>
      </c>
      <c r="Z202">
        <v>1.004305E-2</v>
      </c>
      <c r="AA202">
        <v>0.7936124</v>
      </c>
      <c r="AB202">
        <v>33</v>
      </c>
      <c r="AC202">
        <v>28.9315</v>
      </c>
      <c r="AD202">
        <v>-1.154231</v>
      </c>
      <c r="AE202">
        <v>23.069299999999998</v>
      </c>
      <c r="AF202">
        <v>-22.5854533315905</v>
      </c>
      <c r="AG202">
        <v>-1.154231</v>
      </c>
      <c r="AH202">
        <v>29.265354566836798</v>
      </c>
      <c r="AI202">
        <v>91.788378167923796</v>
      </c>
      <c r="AJ202">
        <v>127.659061365887</v>
      </c>
      <c r="AK202">
        <v>36.985077116554599</v>
      </c>
    </row>
    <row r="203" spans="1:37" x14ac:dyDescent="0.2">
      <c r="A203" t="str">
        <f>"20200111153408668"</f>
        <v>20200111153408668</v>
      </c>
      <c r="B203" t="str">
        <f>"1578728048656296"</f>
        <v>1578728048656296</v>
      </c>
      <c r="C203" t="s">
        <v>37</v>
      </c>
      <c r="D203">
        <v>4.3002409999999998</v>
      </c>
      <c r="E203">
        <v>0.26516869999999998</v>
      </c>
      <c r="F203" t="s">
        <v>38</v>
      </c>
      <c r="G203">
        <v>-424.0027</v>
      </c>
      <c r="H203">
        <v>-0.05</v>
      </c>
      <c r="I203">
        <v>388.80990000000003</v>
      </c>
      <c r="J203">
        <v>-450.47399999999999</v>
      </c>
      <c r="K203">
        <v>1.1042449999999999</v>
      </c>
      <c r="L203">
        <v>367.72129999999999</v>
      </c>
      <c r="M203">
        <v>0.99981810000000004</v>
      </c>
      <c r="N203">
        <v>0</v>
      </c>
      <c r="O203">
        <v>1.6046379999999999E-2</v>
      </c>
      <c r="P203">
        <v>0.99402669999999904</v>
      </c>
      <c r="Q203">
        <v>-4.6722669999999999E-3</v>
      </c>
      <c r="R203">
        <v>0.10903789999999999</v>
      </c>
      <c r="S203">
        <v>2.776367</v>
      </c>
      <c r="T203">
        <v>-0.11987730000000001</v>
      </c>
      <c r="U203">
        <v>2.1907040000000002</v>
      </c>
      <c r="V203">
        <v>-9.3074660000000004E-2</v>
      </c>
      <c r="W203">
        <v>5.5525660000000001E-3</v>
      </c>
      <c r="X203">
        <v>0.99564370000000002</v>
      </c>
      <c r="Y203">
        <v>-0.60642589999999996</v>
      </c>
      <c r="Z203">
        <v>1.0903410000000001E-2</v>
      </c>
      <c r="AA203">
        <v>0.79506519999999903</v>
      </c>
      <c r="AB203">
        <v>33</v>
      </c>
      <c r="AC203">
        <v>26.4712999999999</v>
      </c>
      <c r="AD203">
        <v>-1.154245</v>
      </c>
      <c r="AE203">
        <v>21.0886</v>
      </c>
      <c r="AF203">
        <v>-20.637090439224401</v>
      </c>
      <c r="AG203">
        <v>-1.154245</v>
      </c>
      <c r="AH203">
        <v>26.7751629376714</v>
      </c>
      <c r="AI203">
        <v>91.955541577672506</v>
      </c>
      <c r="AJ203">
        <v>127.623417828925</v>
      </c>
      <c r="AK203">
        <v>33.825007518928999</v>
      </c>
    </row>
    <row r="204" spans="1:37" x14ac:dyDescent="0.2">
      <c r="A204" t="str">
        <f>"20200111153408679"</f>
        <v>20200111153408679</v>
      </c>
      <c r="B204" t="str">
        <f>"1578728048676793"</f>
        <v>1578728048676793</v>
      </c>
      <c r="C204" t="s">
        <v>37</v>
      </c>
      <c r="D204">
        <v>4.3669510000000002</v>
      </c>
      <c r="E204">
        <v>0.2660902</v>
      </c>
      <c r="F204" t="s">
        <v>38</v>
      </c>
      <c r="G204">
        <v>-424.0677</v>
      </c>
      <c r="H204">
        <v>-0.05</v>
      </c>
      <c r="I204">
        <v>388.49869999999999</v>
      </c>
      <c r="J204">
        <v>-450.30110000000002</v>
      </c>
      <c r="K204">
        <v>1.10425</v>
      </c>
      <c r="L204">
        <v>367.7242</v>
      </c>
      <c r="M204">
        <v>0.99981469999999995</v>
      </c>
      <c r="N204">
        <v>0</v>
      </c>
      <c r="O204">
        <v>1.6167890000000001E-2</v>
      </c>
      <c r="P204">
        <v>0.99405460000000001</v>
      </c>
      <c r="Q204">
        <v>-4.6924200000000001E-3</v>
      </c>
      <c r="R204">
        <v>0.1087801</v>
      </c>
      <c r="S204">
        <v>2.777679</v>
      </c>
      <c r="T204">
        <v>-0.121415</v>
      </c>
      <c r="U204">
        <v>2.1855769999999999</v>
      </c>
      <c r="V204">
        <v>-9.2695719999999995E-2</v>
      </c>
      <c r="W204">
        <v>5.665575E-3</v>
      </c>
      <c r="X204">
        <v>0.99567839999999996</v>
      </c>
      <c r="Y204">
        <v>-0.60523229999999995</v>
      </c>
      <c r="Z204">
        <v>1.1017010000000001E-2</v>
      </c>
      <c r="AA204">
        <v>0.79597269999999998</v>
      </c>
      <c r="AB204">
        <v>33</v>
      </c>
      <c r="AC204">
        <v>26.2334</v>
      </c>
      <c r="AD204">
        <v>-1.15425</v>
      </c>
      <c r="AE204">
        <v>20.7744999999999</v>
      </c>
      <c r="AF204">
        <v>-20.323441775782999</v>
      </c>
      <c r="AG204">
        <v>-1.15425</v>
      </c>
      <c r="AH204">
        <v>26.534298596109799</v>
      </c>
      <c r="AI204">
        <v>91.977888178830199</v>
      </c>
      <c r="AJ204">
        <v>127.449623107135</v>
      </c>
      <c r="AK204">
        <v>33.443139515656398</v>
      </c>
    </row>
    <row r="205" spans="1:37" x14ac:dyDescent="0.2">
      <c r="A205" t="str">
        <f>"20200111153408691"</f>
        <v>20200111153408691</v>
      </c>
      <c r="B205" t="str">
        <f>"1578728048686553"</f>
        <v>1578728048686553</v>
      </c>
      <c r="C205" t="s">
        <v>37</v>
      </c>
      <c r="D205">
        <v>4.3285939999999998</v>
      </c>
      <c r="E205">
        <v>0.26654220000000001</v>
      </c>
      <c r="F205" t="s">
        <v>38</v>
      </c>
      <c r="G205">
        <v>-425.36590000000001</v>
      </c>
      <c r="H205">
        <v>-0.05</v>
      </c>
      <c r="I205">
        <v>387.25850000000003</v>
      </c>
      <c r="J205">
        <v>-450.12479999999999</v>
      </c>
      <c r="K205">
        <v>1.1042590000000001</v>
      </c>
      <c r="L205">
        <v>367.72719999999998</v>
      </c>
      <c r="M205">
        <v>0.99981139999999902</v>
      </c>
      <c r="N205">
        <v>0</v>
      </c>
      <c r="O205">
        <v>1.629179E-2</v>
      </c>
      <c r="P205">
        <v>0.99407860000000003</v>
      </c>
      <c r="Q205">
        <v>-5.0306020000000003E-3</v>
      </c>
      <c r="R205">
        <v>0.1085472</v>
      </c>
      <c r="S205">
        <v>2.779083</v>
      </c>
      <c r="T205">
        <v>-0.12864419999999999</v>
      </c>
      <c r="U205">
        <v>2.177155</v>
      </c>
      <c r="V205">
        <v>-9.2338799999999999E-2</v>
      </c>
      <c r="W205">
        <v>5.4571990000000003E-3</v>
      </c>
      <c r="X205">
        <v>0.99571270000000001</v>
      </c>
      <c r="Y205">
        <v>-0.60340229999999995</v>
      </c>
      <c r="Z205">
        <v>1.163514E-2</v>
      </c>
      <c r="AA205">
        <v>0.79735210000000001</v>
      </c>
      <c r="AB205">
        <v>33</v>
      </c>
      <c r="AC205">
        <v>24.758899999999901</v>
      </c>
      <c r="AD205">
        <v>-1.1542589999999999</v>
      </c>
      <c r="AE205">
        <v>19.531300000000002</v>
      </c>
      <c r="AF205">
        <v>-19.099729963648301</v>
      </c>
      <c r="AG205">
        <v>-1.1542589999999999</v>
      </c>
      <c r="AH205">
        <v>25.040284378476901</v>
      </c>
      <c r="AI205">
        <v>92.099017695777704</v>
      </c>
      <c r="AJ205">
        <v>127.33494317248601</v>
      </c>
      <c r="AK205">
        <v>31.514248210584999</v>
      </c>
    </row>
    <row r="206" spans="1:37" x14ac:dyDescent="0.2">
      <c r="A206" t="str">
        <f>"20200111153408712"</f>
        <v>20200111153408712</v>
      </c>
      <c r="B206" t="str">
        <f>"1578728048707048"</f>
        <v>1578728048707048</v>
      </c>
      <c r="C206" t="s">
        <v>37</v>
      </c>
      <c r="D206">
        <v>4.3686800000000003</v>
      </c>
      <c r="E206">
        <v>0.26746300000000001</v>
      </c>
      <c r="F206" t="s">
        <v>40</v>
      </c>
      <c r="G206">
        <v>-449.33</v>
      </c>
      <c r="H206">
        <v>1.0663309999999999</v>
      </c>
      <c r="I206">
        <v>368.34809999999999</v>
      </c>
      <c r="J206">
        <v>-449.81369999999998</v>
      </c>
      <c r="K206">
        <v>1.104082</v>
      </c>
      <c r="L206">
        <v>367.73250000000002</v>
      </c>
      <c r="M206">
        <v>0.9998127</v>
      </c>
      <c r="N206">
        <v>0</v>
      </c>
      <c r="O206">
        <v>1.6505430000000001E-2</v>
      </c>
      <c r="P206">
        <v>0.99409979999999998</v>
      </c>
      <c r="Q206">
        <v>-5.3064359999999899E-3</v>
      </c>
      <c r="R206">
        <v>0.1083413</v>
      </c>
      <c r="S206">
        <v>2.7799680000000002</v>
      </c>
      <c r="T206">
        <v>-0.13264039999999999</v>
      </c>
      <c r="U206">
        <v>2.1727910000000001</v>
      </c>
      <c r="V206">
        <v>-9.1920379999999996E-2</v>
      </c>
      <c r="W206">
        <v>4.718112E-3</v>
      </c>
      <c r="X206">
        <v>0.99575519999999995</v>
      </c>
      <c r="Y206">
        <v>-0.60230799999999995</v>
      </c>
      <c r="Z206">
        <v>1.196644E-2</v>
      </c>
      <c r="AA206">
        <v>0.7981741</v>
      </c>
      <c r="AB206">
        <v>33</v>
      </c>
      <c r="AC206">
        <v>0.48369999999999802</v>
      </c>
      <c r="AD206">
        <v>-3.7751E-2</v>
      </c>
      <c r="AE206">
        <v>0.61559999999997195</v>
      </c>
      <c r="AF206">
        <v>-0.60612273532279604</v>
      </c>
      <c r="AG206">
        <v>-3.7751E-2</v>
      </c>
      <c r="AH206">
        <v>0.49264988975441298</v>
      </c>
      <c r="AI206">
        <v>92.767048592423393</v>
      </c>
      <c r="AJ206">
        <v>140.896168598391</v>
      </c>
      <c r="AK206">
        <v>0.78199349239697902</v>
      </c>
    </row>
    <row r="207" spans="1:37" x14ac:dyDescent="0.2">
      <c r="A207" t="str">
        <f>"20200111153408725"</f>
        <v>20200111153408725</v>
      </c>
      <c r="B207" t="str">
        <f>"1578728048716809"</f>
        <v>1578728048716809</v>
      </c>
      <c r="C207" t="s">
        <v>37</v>
      </c>
      <c r="D207">
        <v>4.3676830000000004</v>
      </c>
      <c r="E207">
        <v>0.2678719</v>
      </c>
      <c r="F207" t="s">
        <v>40</v>
      </c>
      <c r="G207">
        <v>-449.04770000000002</v>
      </c>
      <c r="H207">
        <v>1.065021</v>
      </c>
      <c r="I207">
        <v>368.32870000000003</v>
      </c>
      <c r="J207">
        <v>-449.6259</v>
      </c>
      <c r="K207">
        <v>1.103912</v>
      </c>
      <c r="L207">
        <v>367.73570000000001</v>
      </c>
      <c r="M207">
        <v>0.9998165</v>
      </c>
      <c r="N207">
        <v>0</v>
      </c>
      <c r="O207">
        <v>1.6631989999999999E-2</v>
      </c>
      <c r="P207">
        <v>0.99411079999999996</v>
      </c>
      <c r="Q207">
        <v>-5.1823779999999996E-3</v>
      </c>
      <c r="R207">
        <v>0.10824639999999899</v>
      </c>
      <c r="S207">
        <v>2.781158</v>
      </c>
      <c r="T207">
        <v>-0.14182529999999999</v>
      </c>
      <c r="U207">
        <v>2.1645509999999999</v>
      </c>
      <c r="V207">
        <v>-9.1698829999999995E-2</v>
      </c>
      <c r="W207">
        <v>4.2646439999999997E-3</v>
      </c>
      <c r="X207">
        <v>0.99577769999999999</v>
      </c>
      <c r="Y207">
        <v>-0.60051109999999996</v>
      </c>
      <c r="Z207">
        <v>1.275423E-2</v>
      </c>
      <c r="AA207">
        <v>0.79951479999999997</v>
      </c>
      <c r="AB207">
        <v>33</v>
      </c>
      <c r="AC207">
        <v>0.57819999999998095</v>
      </c>
      <c r="AD207">
        <v>-3.8891000000000002E-2</v>
      </c>
      <c r="AE207">
        <v>0.59300000000001696</v>
      </c>
      <c r="AF207">
        <v>-0.58201760332282504</v>
      </c>
      <c r="AG207">
        <v>-3.8891000000000002E-2</v>
      </c>
      <c r="AH207">
        <v>0.58668961581678902</v>
      </c>
      <c r="AI207">
        <v>92.694370060452698</v>
      </c>
      <c r="AJ207">
        <v>134.77095617497301</v>
      </c>
      <c r="AK207">
        <v>0.82732200851052995</v>
      </c>
    </row>
    <row r="208" spans="1:37" x14ac:dyDescent="0.2">
      <c r="A208" t="str">
        <f>"20200111153408738"</f>
        <v>20200111153408738</v>
      </c>
      <c r="B208" t="str">
        <f>"1578728048726568"</f>
        <v>1578728048726568</v>
      </c>
      <c r="C208" t="s">
        <v>37</v>
      </c>
      <c r="D208">
        <v>4.381945</v>
      </c>
      <c r="E208">
        <v>0.2682948</v>
      </c>
      <c r="F208" t="s">
        <v>42</v>
      </c>
      <c r="G208">
        <v>-432.54309999999998</v>
      </c>
      <c r="H208">
        <v>0.2035489</v>
      </c>
      <c r="I208">
        <v>381.00150000000002</v>
      </c>
      <c r="J208">
        <v>-449.4434</v>
      </c>
      <c r="K208">
        <v>1.1037379999999899</v>
      </c>
      <c r="L208">
        <v>367.73880000000003</v>
      </c>
      <c r="M208">
        <v>0.99982019999999905</v>
      </c>
      <c r="N208">
        <v>0</v>
      </c>
      <c r="O208">
        <v>1.6754640000000001E-2</v>
      </c>
      <c r="P208">
        <v>0.99414169999999902</v>
      </c>
      <c r="Q208">
        <v>-4.362449E-3</v>
      </c>
      <c r="R208">
        <v>0.1079972</v>
      </c>
      <c r="S208">
        <v>2.7817989999999999</v>
      </c>
      <c r="T208">
        <v>-0.1466036</v>
      </c>
      <c r="U208">
        <v>2.1602169999999998</v>
      </c>
      <c r="V208">
        <v>-9.1326959999999999E-2</v>
      </c>
      <c r="W208">
        <v>4.4467939999999996E-3</v>
      </c>
      <c r="X208">
        <v>0.995811</v>
      </c>
      <c r="Y208">
        <v>-0.59951549999999998</v>
      </c>
      <c r="Z208">
        <v>1.315787E-2</v>
      </c>
      <c r="AA208">
        <v>0.80025500000000005</v>
      </c>
      <c r="AB208">
        <v>33</v>
      </c>
      <c r="AC208">
        <v>16.900300000000001</v>
      </c>
      <c r="AD208">
        <v>-0.90018909999999897</v>
      </c>
      <c r="AE208">
        <v>13.262699999999899</v>
      </c>
      <c r="AF208">
        <v>-12.954922191541399</v>
      </c>
      <c r="AG208">
        <v>-0.90018909999999897</v>
      </c>
      <c r="AH208">
        <v>17.090141017582098</v>
      </c>
      <c r="AI208">
        <v>92.403634429706599</v>
      </c>
      <c r="AJ208">
        <v>127.16339482378</v>
      </c>
      <c r="AK208">
        <v>21.464232327420799</v>
      </c>
    </row>
    <row r="209" spans="1:37" x14ac:dyDescent="0.2">
      <c r="A209" t="str">
        <f>"20200111153408749"</f>
        <v>20200111153408749</v>
      </c>
      <c r="B209" t="str">
        <f>"1578728048747065"</f>
        <v>1578728048747065</v>
      </c>
      <c r="C209" t="s">
        <v>37</v>
      </c>
      <c r="D209">
        <v>4.4080589999999997</v>
      </c>
      <c r="E209">
        <v>0.2691694</v>
      </c>
      <c r="F209" t="s">
        <v>40</v>
      </c>
      <c r="G209">
        <v>-448.73970000000003</v>
      </c>
      <c r="H209">
        <v>1.0661830000000001</v>
      </c>
      <c r="I209">
        <v>368.28390000000002</v>
      </c>
      <c r="J209">
        <v>-449.26560000000001</v>
      </c>
      <c r="K209">
        <v>1.103593</v>
      </c>
      <c r="L209">
        <v>367.74189999999999</v>
      </c>
      <c r="M209">
        <v>0.99982359999999904</v>
      </c>
      <c r="N209">
        <v>0</v>
      </c>
      <c r="O209">
        <v>1.6873740000000002E-2</v>
      </c>
      <c r="P209">
        <v>0.99418119999999999</v>
      </c>
      <c r="Q209">
        <v>-3.7342009999999999E-3</v>
      </c>
      <c r="R209">
        <v>0.10765710000000001</v>
      </c>
      <c r="S209">
        <v>2.7827449999999998</v>
      </c>
      <c r="T209">
        <v>-0.14848610000000001</v>
      </c>
      <c r="U209">
        <v>2.15625</v>
      </c>
      <c r="V209">
        <v>-9.0867299999999998E-2</v>
      </c>
      <c r="W209">
        <v>4.4405950000000003E-3</v>
      </c>
      <c r="X209">
        <v>0.99585309999999905</v>
      </c>
      <c r="Y209">
        <v>-0.59856319999999996</v>
      </c>
      <c r="Z209">
        <v>1.330021E-2</v>
      </c>
      <c r="AA209">
        <v>0.80096509999999999</v>
      </c>
      <c r="AB209">
        <v>33</v>
      </c>
      <c r="AC209">
        <v>0.52589999999997805</v>
      </c>
      <c r="AD209">
        <v>-3.7409999999999902E-2</v>
      </c>
      <c r="AE209">
        <v>0.54200000000003001</v>
      </c>
      <c r="AF209">
        <v>-0.53174381537041604</v>
      </c>
      <c r="AG209">
        <v>-3.7409999999999902E-2</v>
      </c>
      <c r="AH209">
        <v>0.53366148212239395</v>
      </c>
      <c r="AI209">
        <v>92.842845051800197</v>
      </c>
      <c r="AJ209">
        <v>134.896871084644</v>
      </c>
      <c r="AK209">
        <v>0.75428480747378002</v>
      </c>
    </row>
    <row r="210" spans="1:37" x14ac:dyDescent="0.2">
      <c r="A210" t="str">
        <f>"20200111153408769"</f>
        <v>20200111153408769</v>
      </c>
      <c r="B210" t="str">
        <f>"1578728048766584"</f>
        <v>1578728048766584</v>
      </c>
      <c r="C210" t="s">
        <v>37</v>
      </c>
      <c r="D210">
        <v>4.4103639999999897</v>
      </c>
      <c r="E210">
        <v>0.26991300000000001</v>
      </c>
      <c r="F210" t="s">
        <v>42</v>
      </c>
      <c r="G210">
        <v>-432.76249999999999</v>
      </c>
      <c r="H210">
        <v>0.1870067</v>
      </c>
      <c r="I210">
        <v>380.471</v>
      </c>
      <c r="J210">
        <v>-448.983</v>
      </c>
      <c r="K210">
        <v>1.1033819999999901</v>
      </c>
      <c r="L210">
        <v>367.74680000000001</v>
      </c>
      <c r="M210">
        <v>0.99982839999999995</v>
      </c>
      <c r="N210">
        <v>0</v>
      </c>
      <c r="O210">
        <v>1.7060470000000001E-2</v>
      </c>
      <c r="P210">
        <v>0.99432909999999997</v>
      </c>
      <c r="Q210">
        <v>-2.76728E-3</v>
      </c>
      <c r="R210">
        <v>0.106311999999999</v>
      </c>
      <c r="S210">
        <v>2.7843930000000001</v>
      </c>
      <c r="T210">
        <v>-0.1546332</v>
      </c>
      <c r="U210">
        <v>2.1476439999999899</v>
      </c>
      <c r="V210">
        <v>-8.9333880000000004E-2</v>
      </c>
      <c r="W210">
        <v>4.4072169999999997E-3</v>
      </c>
      <c r="X210">
        <v>0.99599199999999999</v>
      </c>
      <c r="Y210">
        <v>-0.59659079999999998</v>
      </c>
      <c r="Z210">
        <v>1.3797790000000001E-2</v>
      </c>
      <c r="AA210">
        <v>0.802427</v>
      </c>
      <c r="AB210">
        <v>33</v>
      </c>
      <c r="AC210">
        <v>16.220500000000001</v>
      </c>
      <c r="AD210">
        <v>-0.9163753</v>
      </c>
      <c r="AE210">
        <v>12.7241999999999</v>
      </c>
      <c r="AF210">
        <v>-12.4210696369493</v>
      </c>
      <c r="AG210">
        <v>-0.9163753</v>
      </c>
      <c r="AH210">
        <v>16.402816589034099</v>
      </c>
      <c r="AI210">
        <v>92.550156412975497</v>
      </c>
      <c r="AJ210">
        <v>127.134907857732</v>
      </c>
      <c r="AK210">
        <v>20.595511808884201</v>
      </c>
    </row>
    <row r="211" spans="1:37" x14ac:dyDescent="0.2">
      <c r="A211" t="str">
        <f>"20200111153408782"</f>
        <v>20200111153408782</v>
      </c>
      <c r="B211" t="str">
        <f>"1578728048776345"</f>
        <v>1578728048776345</v>
      </c>
      <c r="C211" t="s">
        <v>37</v>
      </c>
      <c r="D211">
        <v>4.4070010000000002</v>
      </c>
      <c r="E211">
        <v>0.27024709999999902</v>
      </c>
      <c r="F211" t="s">
        <v>42</v>
      </c>
      <c r="G211">
        <v>-432.61619999999999</v>
      </c>
      <c r="H211">
        <v>0.17126050000000001</v>
      </c>
      <c r="I211">
        <v>380.2928</v>
      </c>
      <c r="J211">
        <v>-448.78829999999999</v>
      </c>
      <c r="K211">
        <v>1.1032569999999999</v>
      </c>
      <c r="L211">
        <v>367.75020000000001</v>
      </c>
      <c r="M211">
        <v>0.99983080000000002</v>
      </c>
      <c r="N211">
        <v>0</v>
      </c>
      <c r="O211">
        <v>1.7187049999999999E-2</v>
      </c>
      <c r="P211">
        <v>0.99441049999999997</v>
      </c>
      <c r="Q211">
        <v>-2.1527410000000001E-3</v>
      </c>
      <c r="R211">
        <v>0.1055615</v>
      </c>
      <c r="S211">
        <v>2.7881770000000001</v>
      </c>
      <c r="T211">
        <v>-0.15877849999999999</v>
      </c>
      <c r="U211">
        <v>2.1372680000000002</v>
      </c>
      <c r="V211">
        <v>-8.8455740000000005E-2</v>
      </c>
      <c r="W211">
        <v>4.341414E-3</v>
      </c>
      <c r="X211">
        <v>0.99607060000000003</v>
      </c>
      <c r="Y211">
        <v>-0.59405399999999997</v>
      </c>
      <c r="Z211">
        <v>1.4095979999999999E-2</v>
      </c>
      <c r="AA211">
        <v>0.80430170000000001</v>
      </c>
      <c r="AB211">
        <v>33</v>
      </c>
      <c r="AC211">
        <v>16.1721</v>
      </c>
      <c r="AD211">
        <v>-0.93199650000000001</v>
      </c>
      <c r="AE211">
        <v>12.542599999999901</v>
      </c>
      <c r="AF211">
        <v>-12.237412698909999</v>
      </c>
      <c r="AG211">
        <v>-0.93199650000000001</v>
      </c>
      <c r="AH211">
        <v>16.351376631957098</v>
      </c>
      <c r="AI211">
        <v>92.612788698052398</v>
      </c>
      <c r="AJ211">
        <v>126.81127698766301</v>
      </c>
      <c r="AK211">
        <v>20.444813640617301</v>
      </c>
    </row>
    <row r="212" spans="1:37" x14ac:dyDescent="0.2">
      <c r="A212" t="str">
        <f>"20200111153408793"</f>
        <v>20200111153408793</v>
      </c>
      <c r="B212" t="str">
        <f>"1578728048787081"</f>
        <v>1578728048787081</v>
      </c>
      <c r="C212" t="s">
        <v>37</v>
      </c>
      <c r="D212">
        <v>4.3929689999999999</v>
      </c>
      <c r="E212">
        <v>0.27054679999999998</v>
      </c>
      <c r="F212" t="s">
        <v>42</v>
      </c>
      <c r="G212">
        <v>-432.38040000000001</v>
      </c>
      <c r="H212">
        <v>0.16190379999999999</v>
      </c>
      <c r="I212">
        <v>380.2928</v>
      </c>
      <c r="J212">
        <v>-448.59089999999998</v>
      </c>
      <c r="K212">
        <v>1.1031519999999999</v>
      </c>
      <c r="L212">
        <v>367.75369999999998</v>
      </c>
      <c r="M212">
        <v>0.99983299999999997</v>
      </c>
      <c r="N212">
        <v>0</v>
      </c>
      <c r="O212">
        <v>1.7311259999999998E-2</v>
      </c>
      <c r="P212">
        <v>0.99447489999999905</v>
      </c>
      <c r="Q212">
        <v>-1.5964989999999999E-3</v>
      </c>
      <c r="R212">
        <v>0.104961999999999</v>
      </c>
      <c r="S212">
        <v>2.7900700000000001</v>
      </c>
      <c r="T212">
        <v>-0.1600579</v>
      </c>
      <c r="U212">
        <v>2.1327820000000002</v>
      </c>
      <c r="V212">
        <v>-8.7731909999999996E-2</v>
      </c>
      <c r="W212">
        <v>4.2217289999999996E-3</v>
      </c>
      <c r="X212">
        <v>0.996135199999999</v>
      </c>
      <c r="Y212">
        <v>-0.59286619999999901</v>
      </c>
      <c r="Z212">
        <v>1.417148E-2</v>
      </c>
      <c r="AA212">
        <v>0.80517629999999996</v>
      </c>
      <c r="AB212">
        <v>34</v>
      </c>
      <c r="AC212">
        <v>16.2104999999999</v>
      </c>
      <c r="AD212">
        <v>-0.94124819999999998</v>
      </c>
      <c r="AE212">
        <v>12.539099999999999</v>
      </c>
      <c r="AF212">
        <v>-12.2307928798727</v>
      </c>
      <c r="AG212">
        <v>-0.94124819999999998</v>
      </c>
      <c r="AH212">
        <v>16.3905685944429</v>
      </c>
      <c r="AI212">
        <v>92.635154387604302</v>
      </c>
      <c r="AJ212">
        <v>126.730638101938</v>
      </c>
      <c r="AK212">
        <v>20.472639827181201</v>
      </c>
    </row>
    <row r="213" spans="1:37" x14ac:dyDescent="0.2">
      <c r="A213" t="str">
        <f>"20200111153408805"</f>
        <v>20200111153408805</v>
      </c>
      <c r="B213" t="str">
        <f>"1578728048796841"</f>
        <v>1578728048796841</v>
      </c>
      <c r="C213" t="s">
        <v>37</v>
      </c>
      <c r="D213">
        <v>4.4254920000000002</v>
      </c>
      <c r="E213">
        <v>0.27088649999999997</v>
      </c>
      <c r="F213" t="s">
        <v>40</v>
      </c>
      <c r="G213">
        <v>-447.84280000000001</v>
      </c>
      <c r="H213">
        <v>1.059857</v>
      </c>
      <c r="I213">
        <v>368.32389999999998</v>
      </c>
      <c r="J213">
        <v>-448.42309999999998</v>
      </c>
      <c r="K213">
        <v>1.1030739999999899</v>
      </c>
      <c r="L213">
        <v>367.75670000000002</v>
      </c>
      <c r="M213">
        <v>0.99983419999999901</v>
      </c>
      <c r="N213">
        <v>0</v>
      </c>
      <c r="O213">
        <v>1.741384E-2</v>
      </c>
      <c r="P213">
        <v>0.99449750000000003</v>
      </c>
      <c r="Q213">
        <v>-1.0209869999999999E-3</v>
      </c>
      <c r="R213">
        <v>0.10475660000000001</v>
      </c>
      <c r="S213">
        <v>2.791779</v>
      </c>
      <c r="T213">
        <v>-0.1615703</v>
      </c>
      <c r="U213">
        <v>2.12829599999999</v>
      </c>
      <c r="V213">
        <v>-8.7424109999999999E-2</v>
      </c>
      <c r="W213">
        <v>4.2408020000000001E-3</v>
      </c>
      <c r="X213">
        <v>0.996162199999999</v>
      </c>
      <c r="Y213">
        <v>-0.59171759999999995</v>
      </c>
      <c r="Z213">
        <v>1.4269769999999999E-2</v>
      </c>
      <c r="AA213">
        <v>0.80601899999999904</v>
      </c>
      <c r="AB213">
        <v>34</v>
      </c>
      <c r="AC213">
        <v>0.58029999999996495</v>
      </c>
      <c r="AD213">
        <v>-4.3216999999999797E-2</v>
      </c>
      <c r="AE213">
        <v>0.56719999999995696</v>
      </c>
      <c r="AF213">
        <v>-0.55543313120209103</v>
      </c>
      <c r="AG213">
        <v>-4.3216999999999797E-2</v>
      </c>
      <c r="AH213">
        <v>0.58842024247818403</v>
      </c>
      <c r="AI213">
        <v>93.0572357339787</v>
      </c>
      <c r="AJ213">
        <v>133.34812869831899</v>
      </c>
      <c r="AK213">
        <v>0.81031602112018297</v>
      </c>
    </row>
    <row r="214" spans="1:37" x14ac:dyDescent="0.2">
      <c r="A214" t="str">
        <f>"20200111153408825"</f>
        <v>20200111153408825</v>
      </c>
      <c r="B214" t="str">
        <f>"1578728048816363"</f>
        <v>1578728048816363</v>
      </c>
      <c r="C214" t="s">
        <v>37</v>
      </c>
      <c r="D214">
        <v>4.4659469999999999</v>
      </c>
      <c r="E214">
        <v>0.27150740000000001</v>
      </c>
      <c r="F214" t="s">
        <v>42</v>
      </c>
      <c r="G214">
        <v>-431.94699999999898</v>
      </c>
      <c r="H214">
        <v>0.1388103</v>
      </c>
      <c r="I214">
        <v>380.2928</v>
      </c>
      <c r="J214">
        <v>-448.13170000000002</v>
      </c>
      <c r="K214">
        <v>1.1029629999999999</v>
      </c>
      <c r="L214">
        <v>367.76179999999999</v>
      </c>
      <c r="M214">
        <v>0.99983580000000005</v>
      </c>
      <c r="N214">
        <v>0</v>
      </c>
      <c r="O214">
        <v>1.758676E-2</v>
      </c>
      <c r="P214">
        <v>0.99453359999999902</v>
      </c>
      <c r="Q214">
        <v>-3.190003E-4</v>
      </c>
      <c r="R214">
        <v>0.1044165</v>
      </c>
      <c r="S214">
        <v>2.7926329999999999</v>
      </c>
      <c r="T214">
        <v>-0.16342519999999999</v>
      </c>
      <c r="U214">
        <v>2.12481699999999</v>
      </c>
      <c r="V214">
        <v>-8.6911160000000001E-2</v>
      </c>
      <c r="W214">
        <v>4.0214589999999998E-3</v>
      </c>
      <c r="X214">
        <v>0.99620799999999998</v>
      </c>
      <c r="Y214">
        <v>-0.59081049999999902</v>
      </c>
      <c r="Z214">
        <v>1.440227E-2</v>
      </c>
      <c r="AA214">
        <v>0.80668189999999995</v>
      </c>
      <c r="AB214">
        <v>34</v>
      </c>
      <c r="AC214">
        <v>16.184699999999999</v>
      </c>
      <c r="AD214">
        <v>-0.96415269999999997</v>
      </c>
      <c r="AE214">
        <v>12.531000000000001</v>
      </c>
      <c r="AF214">
        <v>-12.2173156209957</v>
      </c>
      <c r="AG214">
        <v>-0.96415269999999997</v>
      </c>
      <c r="AH214">
        <v>16.3662659937767</v>
      </c>
      <c r="AI214">
        <v>92.702818949559401</v>
      </c>
      <c r="AJ214">
        <v>126.741110159904</v>
      </c>
      <c r="AK214">
        <v>20.446199010842999</v>
      </c>
    </row>
    <row r="215" spans="1:37" x14ac:dyDescent="0.2">
      <c r="A215" t="str">
        <f>"20200111153408836"</f>
        <v>20200111153408836</v>
      </c>
      <c r="B215" t="str">
        <f>"1578728048827097"</f>
        <v>1578728048827097</v>
      </c>
      <c r="C215" t="s">
        <v>37</v>
      </c>
      <c r="D215">
        <v>4.4700480000000002</v>
      </c>
      <c r="E215">
        <v>0.27175779999999999</v>
      </c>
      <c r="F215" t="s">
        <v>38</v>
      </c>
      <c r="G215">
        <v>-429.01299999999998</v>
      </c>
      <c r="H215">
        <v>-0.05</v>
      </c>
      <c r="I215">
        <v>382.25760000000002</v>
      </c>
      <c r="J215">
        <v>-447.94690000000003</v>
      </c>
      <c r="K215">
        <v>1.102908</v>
      </c>
      <c r="L215">
        <v>367.76510000000002</v>
      </c>
      <c r="M215">
        <v>0.99983619999999995</v>
      </c>
      <c r="N215">
        <v>0</v>
      </c>
      <c r="O215">
        <v>1.7693449999999999E-2</v>
      </c>
      <c r="P215">
        <v>0.99451939999999905</v>
      </c>
      <c r="Q215">
        <v>4.1414419999999998E-4</v>
      </c>
      <c r="R215">
        <v>0.1045519</v>
      </c>
      <c r="S215">
        <v>2.794006</v>
      </c>
      <c r="T215">
        <v>-0.168493899999999</v>
      </c>
      <c r="U215">
        <v>2.1184080000000001</v>
      </c>
      <c r="V215">
        <v>-8.6940550000000005E-2</v>
      </c>
      <c r="W215">
        <v>4.2040860000000001E-3</v>
      </c>
      <c r="X215">
        <v>0.9962046</v>
      </c>
      <c r="Y215">
        <v>-0.58932109999999904</v>
      </c>
      <c r="Z215">
        <v>1.480621E-2</v>
      </c>
      <c r="AA215">
        <v>0.80776329999999996</v>
      </c>
      <c r="AB215">
        <v>34</v>
      </c>
      <c r="AC215">
        <v>18.933899999999898</v>
      </c>
      <c r="AD215">
        <v>-1.152908</v>
      </c>
      <c r="AE215">
        <v>14.4925</v>
      </c>
      <c r="AF215">
        <v>-14.1222055007539</v>
      </c>
      <c r="AG215">
        <v>-1.152908</v>
      </c>
      <c r="AH215">
        <v>19.142605294117399</v>
      </c>
      <c r="AI215">
        <v>92.774705804094495</v>
      </c>
      <c r="AJ215">
        <v>126.41756362451</v>
      </c>
      <c r="AK215">
        <v>23.816070677346399</v>
      </c>
    </row>
    <row r="216" spans="1:37" x14ac:dyDescent="0.2">
      <c r="A216" t="str">
        <f>"20200111153408858"</f>
        <v>20200111153408858</v>
      </c>
      <c r="B216" t="str">
        <f>"1578728048846616"</f>
        <v>1578728048846616</v>
      </c>
      <c r="C216" t="s">
        <v>37</v>
      </c>
      <c r="D216">
        <v>4.4752669999999997</v>
      </c>
      <c r="E216">
        <v>0.27220359999999899</v>
      </c>
      <c r="F216" t="s">
        <v>40</v>
      </c>
      <c r="G216">
        <v>-447.22329999999999</v>
      </c>
      <c r="H216">
        <v>1.058975</v>
      </c>
      <c r="I216">
        <v>368.31330000000003</v>
      </c>
      <c r="J216">
        <v>-447.62270000000001</v>
      </c>
      <c r="K216">
        <v>1.102851</v>
      </c>
      <c r="L216">
        <v>367.77099999999899</v>
      </c>
      <c r="M216">
        <v>0.99983580000000005</v>
      </c>
      <c r="N216">
        <v>0</v>
      </c>
      <c r="O216">
        <v>1.7875970000000001E-2</v>
      </c>
      <c r="P216">
        <v>0.99450149999999904</v>
      </c>
      <c r="Q216">
        <v>1.5993679999999899E-3</v>
      </c>
      <c r="R216">
        <v>0.1047106</v>
      </c>
      <c r="S216">
        <v>2.7940369999999999</v>
      </c>
      <c r="T216">
        <v>-0.16962279999999999</v>
      </c>
      <c r="U216">
        <v>2.1166990000000001</v>
      </c>
      <c r="V216">
        <v>-8.6917629999999996E-2</v>
      </c>
      <c r="W216">
        <v>4.5230870000000003E-3</v>
      </c>
      <c r="X216">
        <v>0.99620520000000001</v>
      </c>
      <c r="Y216">
        <v>-0.58884729999999996</v>
      </c>
      <c r="Z216">
        <v>1.488505E-2</v>
      </c>
      <c r="AA216">
        <v>0.80810719999999903</v>
      </c>
      <c r="AB216">
        <v>34</v>
      </c>
      <c r="AC216">
        <v>0.39940000000001402</v>
      </c>
      <c r="AD216">
        <v>-4.3875999999999998E-2</v>
      </c>
      <c r="AE216">
        <v>0.54230000000006795</v>
      </c>
      <c r="AF216">
        <v>-0.53281241521216505</v>
      </c>
      <c r="AG216">
        <v>-4.3875999999999998E-2</v>
      </c>
      <c r="AH216">
        <v>0.40730178700157199</v>
      </c>
      <c r="AI216">
        <v>93.743081571210595</v>
      </c>
      <c r="AJ216">
        <v>142.60434793840199</v>
      </c>
      <c r="AK216">
        <v>0.67209293916458801</v>
      </c>
    </row>
    <row r="217" spans="1:37" x14ac:dyDescent="0.2">
      <c r="A217" t="str">
        <f>"20200111153408870"</f>
        <v>20200111153408870</v>
      </c>
      <c r="B217" t="str">
        <f>"1578728048866137"</f>
        <v>1578728048866137</v>
      </c>
      <c r="C217" t="s">
        <v>37</v>
      </c>
      <c r="D217">
        <v>4.452852</v>
      </c>
      <c r="E217">
        <v>0.27267859999999899</v>
      </c>
      <c r="F217" t="s">
        <v>40</v>
      </c>
      <c r="G217">
        <v>-446.91019999999997</v>
      </c>
      <c r="H217">
        <v>1.059167</v>
      </c>
      <c r="I217">
        <v>368.3098</v>
      </c>
      <c r="J217">
        <v>-447.43110000000001</v>
      </c>
      <c r="K217">
        <v>1.102833</v>
      </c>
      <c r="L217">
        <v>367.77449999999999</v>
      </c>
      <c r="M217">
        <v>0.99983519999999904</v>
      </c>
      <c r="N217">
        <v>0</v>
      </c>
      <c r="O217">
        <v>1.7983269999999999E-2</v>
      </c>
      <c r="P217">
        <v>0.99447719999999995</v>
      </c>
      <c r="Q217">
        <v>2.1169819999999999E-3</v>
      </c>
      <c r="R217">
        <v>0.104933399999999</v>
      </c>
      <c r="S217">
        <v>2.7943119999999899</v>
      </c>
      <c r="T217">
        <v>-0.17126639999999899</v>
      </c>
      <c r="U217">
        <v>2.1135250000000001</v>
      </c>
      <c r="V217">
        <v>-8.7034459999999994E-2</v>
      </c>
      <c r="W217">
        <v>4.6017640000000004E-3</v>
      </c>
      <c r="X217">
        <v>0.99619469999999999</v>
      </c>
      <c r="Y217">
        <v>-0.58812629999999999</v>
      </c>
      <c r="Z217">
        <v>1.5007080000000001E-2</v>
      </c>
      <c r="AA217">
        <v>0.80862990000000001</v>
      </c>
      <c r="AB217">
        <v>35</v>
      </c>
      <c r="AC217">
        <v>0.52090000000004</v>
      </c>
      <c r="AD217">
        <v>-4.3665999999999899E-2</v>
      </c>
      <c r="AE217">
        <v>0.53530000000000599</v>
      </c>
      <c r="AF217">
        <v>-0.52405481802437104</v>
      </c>
      <c r="AG217">
        <v>-4.3665999999999899E-2</v>
      </c>
      <c r="AH217">
        <v>0.52863547942826195</v>
      </c>
      <c r="AI217">
        <v>93.357212941095298</v>
      </c>
      <c r="AJ217">
        <v>134.75068554350599</v>
      </c>
      <c r="AK217">
        <v>0.74565115299374796</v>
      </c>
    </row>
    <row r="218" spans="1:37" x14ac:dyDescent="0.2">
      <c r="A218" t="str">
        <f>"20200111153408882"</f>
        <v>20200111153408882</v>
      </c>
      <c r="B218" t="str">
        <f>"1578728048876873"</f>
        <v>1578728048876873</v>
      </c>
      <c r="C218" t="s">
        <v>37</v>
      </c>
      <c r="D218">
        <v>4.4746829999999997</v>
      </c>
      <c r="E218">
        <v>0.27288109999999999</v>
      </c>
      <c r="F218" t="s">
        <v>40</v>
      </c>
      <c r="G218">
        <v>-446.61450000000002</v>
      </c>
      <c r="H218">
        <v>1.0514459999999901</v>
      </c>
      <c r="I218">
        <v>368.39109999999999</v>
      </c>
      <c r="J218">
        <v>-447.22359999999998</v>
      </c>
      <c r="K218">
        <v>1.1028199999999999</v>
      </c>
      <c r="L218">
        <v>367.7783</v>
      </c>
      <c r="M218">
        <v>0.99983409999999995</v>
      </c>
      <c r="N218">
        <v>0</v>
      </c>
      <c r="O218">
        <v>1.8099469999999999E-2</v>
      </c>
      <c r="P218">
        <v>0.994448</v>
      </c>
      <c r="Q218">
        <v>3.0460489999999999E-3</v>
      </c>
      <c r="R218">
        <v>0.1051859</v>
      </c>
      <c r="S218">
        <v>2.7944339999999999</v>
      </c>
      <c r="T218">
        <v>-0.175869</v>
      </c>
      <c r="U218">
        <v>2.1097109999999999</v>
      </c>
      <c r="V218">
        <v>-8.7171520000000002E-2</v>
      </c>
      <c r="W218">
        <v>5.0924239999999999E-3</v>
      </c>
      <c r="X218">
        <v>0.99618030000000002</v>
      </c>
      <c r="Y218">
        <v>-0.58727620000000003</v>
      </c>
      <c r="Z218">
        <v>1.5384699999999999E-2</v>
      </c>
      <c r="AA218">
        <v>0.80924039999999997</v>
      </c>
      <c r="AB218">
        <v>35</v>
      </c>
      <c r="AC218">
        <v>0.60909999999995501</v>
      </c>
      <c r="AD218">
        <v>-5.1374000000000197E-2</v>
      </c>
      <c r="AE218">
        <v>0.61279999999999202</v>
      </c>
      <c r="AF218">
        <v>-0.59955552460310502</v>
      </c>
      <c r="AG218">
        <v>-5.1374000000000197E-2</v>
      </c>
      <c r="AH218">
        <v>0.61790703895623</v>
      </c>
      <c r="AI218">
        <v>93.414769754705702</v>
      </c>
      <c r="AJ218">
        <v>134.13641312095601</v>
      </c>
      <c r="AK218">
        <v>0.86250520215808602</v>
      </c>
    </row>
    <row r="219" spans="1:37" x14ac:dyDescent="0.2">
      <c r="A219" t="str">
        <f>"20200111153408894"</f>
        <v>20200111153408894</v>
      </c>
      <c r="B219" t="str">
        <f>"1578728048886632"</f>
        <v>1578728048886632</v>
      </c>
      <c r="C219" t="s">
        <v>37</v>
      </c>
      <c r="D219">
        <v>4.5042239999999998</v>
      </c>
      <c r="E219">
        <v>0.27288109999999999</v>
      </c>
      <c r="F219" t="s">
        <v>38</v>
      </c>
      <c r="G219">
        <v>-428.9051</v>
      </c>
      <c r="H219">
        <v>-0.05</v>
      </c>
      <c r="I219">
        <v>381.60230000000001</v>
      </c>
      <c r="J219">
        <v>-447.04270000000002</v>
      </c>
      <c r="K219">
        <v>1.1028149999999901</v>
      </c>
      <c r="L219">
        <v>367.78160000000003</v>
      </c>
      <c r="M219">
        <v>0.99983290000000002</v>
      </c>
      <c r="N219">
        <v>0</v>
      </c>
      <c r="O219">
        <v>1.8200939999999999E-2</v>
      </c>
      <c r="P219">
        <v>0.9944269</v>
      </c>
      <c r="Q219">
        <v>3.4187039999999998E-3</v>
      </c>
      <c r="R219">
        <v>0.1053736</v>
      </c>
      <c r="S219">
        <v>2.7942499999999999</v>
      </c>
      <c r="T219">
        <v>-0.175847799999999</v>
      </c>
      <c r="U219">
        <v>2.108673</v>
      </c>
      <c r="V219">
        <v>-8.7258440000000007E-2</v>
      </c>
      <c r="W219">
        <v>5.1339089999999999E-3</v>
      </c>
      <c r="X219">
        <v>0.99617250000000002</v>
      </c>
      <c r="Y219">
        <v>-0.58702849999999995</v>
      </c>
      <c r="Z219">
        <v>1.537261E-2</v>
      </c>
      <c r="AA219">
        <v>0.80942029999999998</v>
      </c>
      <c r="AB219">
        <v>35</v>
      </c>
      <c r="AC219">
        <v>18.137599999999999</v>
      </c>
      <c r="AD219">
        <v>-1.1528149999999999</v>
      </c>
      <c r="AE219">
        <v>13.820699999999899</v>
      </c>
      <c r="AF219">
        <v>-13.4539030791477</v>
      </c>
      <c r="AG219">
        <v>-1.1528149999999999</v>
      </c>
      <c r="AH219">
        <v>18.3392738300854</v>
      </c>
      <c r="AI219">
        <v>92.901511058882505</v>
      </c>
      <c r="AJ219">
        <v>126.264202342739</v>
      </c>
      <c r="AK219">
        <v>22.774227870603699</v>
      </c>
    </row>
    <row r="220" spans="1:37" x14ac:dyDescent="0.2">
      <c r="A220" t="str">
        <f>"20200111153408906"</f>
        <v>20200111153408906</v>
      </c>
      <c r="B220" t="str">
        <f>"1578728048896393"</f>
        <v>1578728048896393</v>
      </c>
      <c r="C220" t="s">
        <v>37</v>
      </c>
      <c r="D220">
        <v>4.9090179999999997</v>
      </c>
      <c r="E220">
        <v>0.29935580000000001</v>
      </c>
      <c r="F220" t="s">
        <v>40</v>
      </c>
      <c r="G220">
        <v>-446.2885</v>
      </c>
      <c r="H220">
        <v>1.055696</v>
      </c>
      <c r="I220">
        <v>368.35079999999999</v>
      </c>
      <c r="J220">
        <v>-446.8578</v>
      </c>
      <c r="K220">
        <v>1.1028229999999899</v>
      </c>
      <c r="L220">
        <v>367.7851</v>
      </c>
      <c r="M220">
        <v>0.99983140000000004</v>
      </c>
      <c r="N220">
        <v>0</v>
      </c>
      <c r="O220">
        <v>1.8304899999999999E-2</v>
      </c>
      <c r="P220">
        <v>0.99441119999999905</v>
      </c>
      <c r="Q220">
        <v>3.8144629999999902E-3</v>
      </c>
      <c r="R220">
        <v>0.10550809999999999</v>
      </c>
      <c r="S220">
        <v>2.7938839999999998</v>
      </c>
      <c r="T220">
        <v>-0.17452789999999899</v>
      </c>
      <c r="U220">
        <v>2.1093139999999999</v>
      </c>
      <c r="V220">
        <v>-8.7289740000000005E-2</v>
      </c>
      <c r="W220">
        <v>5.2416729999999996E-3</v>
      </c>
      <c r="X220">
        <v>0.99616909999999903</v>
      </c>
      <c r="Y220">
        <v>-0.58712430000000004</v>
      </c>
      <c r="Z220">
        <v>1.525496E-2</v>
      </c>
      <c r="AA220">
        <v>0.80935310000000005</v>
      </c>
      <c r="AB220">
        <v>35</v>
      </c>
      <c r="AC220">
        <v>0.56929999999999803</v>
      </c>
      <c r="AD220">
        <v>-4.7126999999999898E-2</v>
      </c>
      <c r="AE220">
        <v>0.56569999999999199</v>
      </c>
      <c r="AF220">
        <v>-0.55327650219867797</v>
      </c>
      <c r="AG220">
        <v>-4.7126999999999898E-2</v>
      </c>
      <c r="AH220">
        <v>0.57756822330299995</v>
      </c>
      <c r="AI220">
        <v>93.372115347299001</v>
      </c>
      <c r="AJ220">
        <v>133.76941630701299</v>
      </c>
      <c r="AK220">
        <v>0.80119965962523199</v>
      </c>
    </row>
    <row r="221" spans="1:37" x14ac:dyDescent="0.2">
      <c r="A221" t="str">
        <f>"20200111153408925"</f>
        <v>20200111153408925</v>
      </c>
      <c r="B221" t="str">
        <f>"1578728048916891"</f>
        <v>1578728048916891</v>
      </c>
      <c r="C221" t="s">
        <v>37</v>
      </c>
      <c r="D221">
        <v>4.6974559999999999</v>
      </c>
      <c r="E221">
        <v>0.39580209999999999</v>
      </c>
      <c r="F221" t="s">
        <v>40</v>
      </c>
      <c r="G221">
        <v>-445.97579999999999</v>
      </c>
      <c r="H221">
        <v>1.0051490000000001</v>
      </c>
      <c r="I221">
        <v>368.3768</v>
      </c>
      <c r="J221">
        <v>-446.55070000000001</v>
      </c>
      <c r="K221">
        <v>1.102846</v>
      </c>
      <c r="L221">
        <v>367.79090000000002</v>
      </c>
      <c r="M221">
        <v>0.99982870000000001</v>
      </c>
      <c r="N221">
        <v>0</v>
      </c>
      <c r="O221">
        <v>1.847876E-2</v>
      </c>
      <c r="P221">
        <v>0.99438169999999904</v>
      </c>
      <c r="Q221">
        <v>4.5714859999999996E-3</v>
      </c>
      <c r="R221">
        <v>0.10575569999999999</v>
      </c>
      <c r="S221">
        <v>2.8175349999999999</v>
      </c>
      <c r="T221">
        <v>-0.31196990000000002</v>
      </c>
      <c r="U221">
        <v>1.890015</v>
      </c>
      <c r="V221">
        <v>-8.7365079999999998E-2</v>
      </c>
      <c r="W221">
        <v>5.6102629999999999E-3</v>
      </c>
      <c r="X221">
        <v>0.99616059999999995</v>
      </c>
      <c r="Y221">
        <v>-0.539444699999999</v>
      </c>
      <c r="Z221">
        <v>2.5186819999999999E-2</v>
      </c>
      <c r="AA221">
        <v>0.84164430000000001</v>
      </c>
      <c r="AB221">
        <v>35</v>
      </c>
      <c r="AC221">
        <v>0.57490000000001296</v>
      </c>
      <c r="AD221">
        <v>-9.7696999999999895E-2</v>
      </c>
      <c r="AE221">
        <v>0.58589999999997999</v>
      </c>
      <c r="AF221">
        <v>-0.56714253195687503</v>
      </c>
      <c r="AG221">
        <v>-9.7696999999999895E-2</v>
      </c>
      <c r="AH221">
        <v>0.57744857413679995</v>
      </c>
      <c r="AI221">
        <v>96.882637195450997</v>
      </c>
      <c r="AJ221">
        <v>134.484115541259</v>
      </c>
      <c r="AK221">
        <v>0.81525591757194804</v>
      </c>
    </row>
    <row r="222" spans="1:37" x14ac:dyDescent="0.2">
      <c r="A222" t="str">
        <f>"20200111153408938"</f>
        <v>20200111153408938</v>
      </c>
      <c r="B222" t="str">
        <f>"1578728048926649"</f>
        <v>1578728048926649</v>
      </c>
      <c r="C222" t="s">
        <v>37</v>
      </c>
      <c r="D222">
        <v>4.4677239999999996</v>
      </c>
      <c r="E222">
        <v>0.39580209999999999</v>
      </c>
      <c r="F222" t="s">
        <v>38</v>
      </c>
      <c r="G222">
        <v>-433.959</v>
      </c>
      <c r="H222">
        <v>-0.05</v>
      </c>
      <c r="I222">
        <v>372.68849999999998</v>
      </c>
      <c r="J222">
        <v>-446.34379999999999</v>
      </c>
      <c r="K222">
        <v>1.1028739999999999</v>
      </c>
      <c r="L222">
        <v>367.79480000000001</v>
      </c>
      <c r="M222">
        <v>0.99982689999999996</v>
      </c>
      <c r="N222">
        <v>0</v>
      </c>
      <c r="O222">
        <v>1.8596720000000001E-2</v>
      </c>
      <c r="P222">
        <v>0.99435359999999995</v>
      </c>
      <c r="Q222">
        <v>4.9670360000000002E-3</v>
      </c>
      <c r="R222">
        <v>0.1060036</v>
      </c>
      <c r="S222">
        <v>2.8983460000000001</v>
      </c>
      <c r="T222">
        <v>-0.26536009999999999</v>
      </c>
      <c r="U222">
        <v>1.127319</v>
      </c>
      <c r="V222">
        <v>-8.7496089999999999E-2</v>
      </c>
      <c r="W222">
        <v>5.7981339999999999E-3</v>
      </c>
      <c r="X222">
        <v>0.99614799999999903</v>
      </c>
      <c r="Y222">
        <v>-0.34392319999999998</v>
      </c>
      <c r="Z222">
        <v>1.3523169999999999E-2</v>
      </c>
      <c r="AA222">
        <v>0.93890039999999997</v>
      </c>
      <c r="AB222">
        <v>36</v>
      </c>
      <c r="AC222">
        <v>12.384799999999901</v>
      </c>
      <c r="AD222">
        <v>-1.152874</v>
      </c>
      <c r="AE222">
        <v>4.89369999999996</v>
      </c>
      <c r="AF222">
        <v>-4.6278507964822797</v>
      </c>
      <c r="AG222">
        <v>-1.152874</v>
      </c>
      <c r="AH222">
        <v>12.3808691362325</v>
      </c>
      <c r="AI222">
        <v>94.9849023116995</v>
      </c>
      <c r="AJ222">
        <v>110.49526366912301</v>
      </c>
      <c r="AK222">
        <v>13.267706735637899</v>
      </c>
    </row>
    <row r="223" spans="1:37" x14ac:dyDescent="0.2">
      <c r="A223" t="str">
        <f>"20200111153408953"</f>
        <v>20200111153408953</v>
      </c>
      <c r="B223" t="str">
        <f>"1578728048947258"</f>
        <v>1578728048947258</v>
      </c>
      <c r="C223" t="s">
        <v>37</v>
      </c>
      <c r="D223">
        <v>4.6023949999999996</v>
      </c>
      <c r="E223">
        <v>0.4769062</v>
      </c>
      <c r="F223" t="s">
        <v>38</v>
      </c>
      <c r="G223">
        <v>-433.6995</v>
      </c>
      <c r="H223">
        <v>-0.05</v>
      </c>
      <c r="I223">
        <v>372.71570000000003</v>
      </c>
      <c r="J223">
        <v>-446.11430000000001</v>
      </c>
      <c r="K223">
        <v>1.1029059999999999</v>
      </c>
      <c r="L223">
        <v>367.79919999999998</v>
      </c>
      <c r="M223">
        <v>0.9998245</v>
      </c>
      <c r="N223">
        <v>0</v>
      </c>
      <c r="O223">
        <v>1.872973E-2</v>
      </c>
      <c r="P223">
        <v>0.99432579999999904</v>
      </c>
      <c r="Q223">
        <v>5.1643359999999899E-3</v>
      </c>
      <c r="R223">
        <v>0.106254</v>
      </c>
      <c r="S223">
        <v>2.8981319999999999</v>
      </c>
      <c r="T223">
        <v>-0.26424409999999998</v>
      </c>
      <c r="U223">
        <v>1.127899</v>
      </c>
      <c r="V223">
        <v>-8.7614830000000005E-2</v>
      </c>
      <c r="W223">
        <v>5.8439090000000004E-3</v>
      </c>
      <c r="X223">
        <v>0.9961373</v>
      </c>
      <c r="Y223">
        <v>-0.343995</v>
      </c>
      <c r="Z223">
        <v>1.345845E-2</v>
      </c>
      <c r="AA223">
        <v>0.93887500000000002</v>
      </c>
      <c r="AB223">
        <v>36</v>
      </c>
      <c r="AC223">
        <v>12.4148</v>
      </c>
      <c r="AD223">
        <v>-1.152906</v>
      </c>
      <c r="AE223">
        <v>4.9165000000000401</v>
      </c>
      <c r="AF223">
        <v>-4.6484581798461502</v>
      </c>
      <c r="AG223">
        <v>-1.152906</v>
      </c>
      <c r="AH223">
        <v>12.412176172962299</v>
      </c>
      <c r="AI223">
        <v>94.971364534489197</v>
      </c>
      <c r="AJ223">
        <v>110.531322689864</v>
      </c>
      <c r="AK223">
        <v>13.304114891388499</v>
      </c>
    </row>
    <row r="224" spans="1:37" x14ac:dyDescent="0.2">
      <c r="A224" t="str">
        <f>"20200111153408970"</f>
        <v>20200111153408970</v>
      </c>
      <c r="B224" t="str">
        <f>"1578728048966777"</f>
        <v>1578728048966777</v>
      </c>
      <c r="C224" t="s">
        <v>37</v>
      </c>
      <c r="D224">
        <v>4.8408889999999998</v>
      </c>
      <c r="E224">
        <v>0.55831209999999998</v>
      </c>
      <c r="F224" t="s">
        <v>38</v>
      </c>
      <c r="G224">
        <v>-429.75199999999899</v>
      </c>
      <c r="H224">
        <v>-0.05</v>
      </c>
      <c r="I224">
        <v>370.49079999999998</v>
      </c>
      <c r="J224">
        <v>-445.83670000000001</v>
      </c>
      <c r="K224">
        <v>1.102948</v>
      </c>
      <c r="L224">
        <v>367.80450000000002</v>
      </c>
      <c r="M224">
        <v>0.99982130000000002</v>
      </c>
      <c r="N224">
        <v>0</v>
      </c>
      <c r="O224">
        <v>1.88924E-2</v>
      </c>
      <c r="P224">
        <v>0.99427369999999904</v>
      </c>
      <c r="Q224">
        <v>5.5125089999999996E-3</v>
      </c>
      <c r="R224">
        <v>0.10672139999999999</v>
      </c>
      <c r="S224">
        <v>2.9660340000000001</v>
      </c>
      <c r="T224">
        <v>-0.20899039999999999</v>
      </c>
      <c r="U224">
        <v>0.48791499999999999</v>
      </c>
      <c r="V224">
        <v>-8.7921079999999999E-2</v>
      </c>
      <c r="W224">
        <v>6.0608669999999898E-3</v>
      </c>
      <c r="X224">
        <v>0.99610900000000002</v>
      </c>
      <c r="Y224">
        <v>-0.14334820000000001</v>
      </c>
      <c r="Z224">
        <v>3.6903229999999902E-3</v>
      </c>
      <c r="AA224">
        <v>0.98966540000000003</v>
      </c>
      <c r="AB224">
        <v>36</v>
      </c>
      <c r="AC224">
        <v>16.084700000000002</v>
      </c>
      <c r="AD224">
        <v>-1.1529480000000001</v>
      </c>
      <c r="AE224">
        <v>2.6862999999999602</v>
      </c>
      <c r="AF224">
        <v>-2.3700948132420501</v>
      </c>
      <c r="AG224">
        <v>-1.1529480000000001</v>
      </c>
      <c r="AH224">
        <v>16.052341131053598</v>
      </c>
      <c r="AI224">
        <v>94.064262657271797</v>
      </c>
      <c r="AJ224">
        <v>98.3989216847298</v>
      </c>
      <c r="AK224">
        <v>16.267276794293998</v>
      </c>
    </row>
    <row r="225" spans="1:37" x14ac:dyDescent="0.2">
      <c r="A225" t="str">
        <f>"20200111153408984"</f>
        <v>20200111153408984</v>
      </c>
      <c r="B225" t="str">
        <f>"1578728048976537"</f>
        <v>1578728048976537</v>
      </c>
      <c r="C225" t="s">
        <v>37</v>
      </c>
      <c r="D225">
        <v>4.8198610000000004</v>
      </c>
      <c r="E225">
        <v>0.56885750000000002</v>
      </c>
      <c r="F225" t="s">
        <v>38</v>
      </c>
      <c r="G225">
        <v>-420.50529999999998</v>
      </c>
      <c r="H225">
        <v>-0.05</v>
      </c>
      <c r="I225">
        <v>366.52539999999999</v>
      </c>
      <c r="J225">
        <v>-445.61149999999998</v>
      </c>
      <c r="K225">
        <v>1.102983</v>
      </c>
      <c r="L225">
        <v>367.80880000000002</v>
      </c>
      <c r="M225">
        <v>0.99981889999999995</v>
      </c>
      <c r="N225">
        <v>0</v>
      </c>
      <c r="O225">
        <v>1.9026459999999999E-2</v>
      </c>
      <c r="P225">
        <v>0.9942474</v>
      </c>
      <c r="Q225">
        <v>5.6113689999999997E-3</v>
      </c>
      <c r="R225">
        <v>0.1069611</v>
      </c>
      <c r="S225">
        <v>3.0344849999999899</v>
      </c>
      <c r="T225">
        <v>-0.1381135</v>
      </c>
      <c r="U225">
        <v>-0.153228799999999</v>
      </c>
      <c r="V225">
        <v>-8.8027930000000004E-2</v>
      </c>
      <c r="W225">
        <v>6.0923349999999999E-3</v>
      </c>
      <c r="X225">
        <v>0.99609939999999997</v>
      </c>
      <c r="Y225">
        <v>6.9333420000000007E-2</v>
      </c>
      <c r="Z225">
        <v>-2.4410740000000001E-3</v>
      </c>
      <c r="AA225">
        <v>0.99759050000000005</v>
      </c>
      <c r="AB225">
        <v>36</v>
      </c>
      <c r="AC225">
        <v>25.106200000000001</v>
      </c>
      <c r="AD225">
        <v>-1.1529830000000001</v>
      </c>
      <c r="AE225">
        <v>-1.2834000000000201</v>
      </c>
      <c r="AF225">
        <v>1.7571535879946301</v>
      </c>
      <c r="AG225">
        <v>-1.1529830000000001</v>
      </c>
      <c r="AH225">
        <v>25.024596527126999</v>
      </c>
      <c r="AI225">
        <v>92.631509433577506</v>
      </c>
      <c r="AJ225">
        <v>85.983451284836704</v>
      </c>
      <c r="AK225">
        <v>25.1126937996621</v>
      </c>
    </row>
    <row r="226" spans="1:37" x14ac:dyDescent="0.2">
      <c r="A226" t="str">
        <f>"20200111153408998"</f>
        <v>20200111153408998</v>
      </c>
      <c r="B226" t="str">
        <f>"1578728048986297"</f>
        <v>1578728048986297</v>
      </c>
      <c r="C226" t="s">
        <v>37</v>
      </c>
      <c r="D226">
        <v>4.8422159999999996</v>
      </c>
      <c r="E226">
        <v>0.57574080000000005</v>
      </c>
      <c r="F226" t="s">
        <v>38</v>
      </c>
      <c r="G226">
        <v>-418.57369999999997</v>
      </c>
      <c r="H226">
        <v>-0.05</v>
      </c>
      <c r="I226">
        <v>365.71390000000002</v>
      </c>
      <c r="J226">
        <v>-445.39229999999998</v>
      </c>
      <c r="K226">
        <v>1.103011</v>
      </c>
      <c r="L226">
        <v>367.81310000000002</v>
      </c>
      <c r="M226">
        <v>0.99981640000000005</v>
      </c>
      <c r="N226">
        <v>0</v>
      </c>
      <c r="O226">
        <v>1.9158540000000002E-2</v>
      </c>
      <c r="P226">
        <v>0.99424519999999905</v>
      </c>
      <c r="Q226">
        <v>5.5585299999999999E-3</v>
      </c>
      <c r="R226">
        <v>0.10698479999999901</v>
      </c>
      <c r="S226">
        <v>3.043488</v>
      </c>
      <c r="T226">
        <v>-0.1297847</v>
      </c>
      <c r="U226">
        <v>-0.235809299999999</v>
      </c>
      <c r="V226">
        <v>-8.791968E-2</v>
      </c>
      <c r="W226">
        <v>6.0022169999999998E-3</v>
      </c>
      <c r="X226">
        <v>0.99610949999999998</v>
      </c>
      <c r="Y226">
        <v>9.6231289999999997E-2</v>
      </c>
      <c r="Z226">
        <v>-2.8633270000000001E-3</v>
      </c>
      <c r="AA226">
        <v>0.99535490000000004</v>
      </c>
      <c r="AB226">
        <v>36</v>
      </c>
      <c r="AC226">
        <v>26.8186</v>
      </c>
      <c r="AD226">
        <v>-1.153011</v>
      </c>
      <c r="AE226">
        <v>-2.09919999999999</v>
      </c>
      <c r="AF226">
        <v>2.60782901623746</v>
      </c>
      <c r="AG226">
        <v>-1.153011</v>
      </c>
      <c r="AH226">
        <v>26.724363694006001</v>
      </c>
      <c r="AI226">
        <v>92.458804647709201</v>
      </c>
      <c r="AJ226">
        <v>84.426583126329902</v>
      </c>
      <c r="AK226">
        <v>26.876045493962799</v>
      </c>
    </row>
    <row r="227" spans="1:37" x14ac:dyDescent="0.2">
      <c r="A227" t="str">
        <f>"20200111153409015"</f>
        <v>20200111153409015</v>
      </c>
      <c r="B227" t="str">
        <f>"1578728049006792"</f>
        <v>1578728049006792</v>
      </c>
      <c r="C227" t="s">
        <v>37</v>
      </c>
      <c r="D227">
        <v>4.836468</v>
      </c>
      <c r="E227">
        <v>0.5801423</v>
      </c>
      <c r="F227" t="s">
        <v>38</v>
      </c>
      <c r="G227">
        <v>-417.82130000000001</v>
      </c>
      <c r="H227">
        <v>-0.05</v>
      </c>
      <c r="I227">
        <v>365.1909</v>
      </c>
      <c r="J227">
        <v>-445.09870000000001</v>
      </c>
      <c r="K227">
        <v>1.103048</v>
      </c>
      <c r="L227">
        <v>367.81889999999999</v>
      </c>
      <c r="M227">
        <v>0.9998129</v>
      </c>
      <c r="N227">
        <v>0</v>
      </c>
      <c r="O227">
        <v>1.933903E-2</v>
      </c>
      <c r="P227">
        <v>0.99422459999999901</v>
      </c>
      <c r="Q227">
        <v>5.7149309999999899E-3</v>
      </c>
      <c r="R227">
        <v>0.1071671</v>
      </c>
      <c r="S227">
        <v>3.0492859999999999</v>
      </c>
      <c r="T227">
        <v>-0.1275201</v>
      </c>
      <c r="U227">
        <v>-0.2900085</v>
      </c>
      <c r="V227">
        <v>-8.7922440000000004E-2</v>
      </c>
      <c r="W227">
        <v>6.1486010000000001E-3</v>
      </c>
      <c r="X227">
        <v>0.9961084</v>
      </c>
      <c r="Y227">
        <v>0.11379889999999999</v>
      </c>
      <c r="Z227">
        <v>-3.1798579999999998E-3</v>
      </c>
      <c r="AA227">
        <v>0.99349869999999996</v>
      </c>
      <c r="AB227">
        <v>36</v>
      </c>
      <c r="AC227">
        <v>27.2774</v>
      </c>
      <c r="AD227">
        <v>-1.1530480000000001</v>
      </c>
      <c r="AE227">
        <v>-2.6279999999999801</v>
      </c>
      <c r="AF227">
        <v>3.1494511705426498</v>
      </c>
      <c r="AG227">
        <v>-1.1530480000000001</v>
      </c>
      <c r="AH227">
        <v>27.1733674301848</v>
      </c>
      <c r="AI227">
        <v>92.413637067609599</v>
      </c>
      <c r="AJ227">
        <v>83.388795236092093</v>
      </c>
      <c r="AK227">
        <v>27.379562813561598</v>
      </c>
    </row>
    <row r="228" spans="1:37" x14ac:dyDescent="0.2">
      <c r="A228" t="str">
        <f>"20200111153409029"</f>
        <v>20200111153409029</v>
      </c>
      <c r="B228" t="str">
        <f>"1578728049016553"</f>
        <v>1578728049016553</v>
      </c>
      <c r="C228" t="s">
        <v>37</v>
      </c>
      <c r="D228">
        <v>4.8259299999999996</v>
      </c>
      <c r="E228">
        <v>0.58011959999999996</v>
      </c>
      <c r="F228" t="s">
        <v>38</v>
      </c>
      <c r="G228">
        <v>-418.47</v>
      </c>
      <c r="H228">
        <v>-0.05</v>
      </c>
      <c r="I228">
        <v>364.98509999999999</v>
      </c>
      <c r="J228">
        <v>-444.87889999999999</v>
      </c>
      <c r="K228">
        <v>1.1030709999999999</v>
      </c>
      <c r="L228">
        <v>367.82319999999999</v>
      </c>
      <c r="M228">
        <v>0.99981019999999898</v>
      </c>
      <c r="N228">
        <v>0</v>
      </c>
      <c r="O228">
        <v>1.9476589999999998E-2</v>
      </c>
      <c r="P228">
        <v>0.99420649999999999</v>
      </c>
      <c r="Q228">
        <v>5.8743950000000001E-3</v>
      </c>
      <c r="R228">
        <v>0.1073272</v>
      </c>
      <c r="S228">
        <v>3.053223</v>
      </c>
      <c r="T228">
        <v>-0.13220760000000001</v>
      </c>
      <c r="U228">
        <v>-0.32492070000000001</v>
      </c>
      <c r="V228">
        <v>-8.7946109999999994E-2</v>
      </c>
      <c r="W228">
        <v>6.3197840000000002E-3</v>
      </c>
      <c r="X228">
        <v>0.99610519999999902</v>
      </c>
      <c r="Y228">
        <v>0.1250346</v>
      </c>
      <c r="Z228">
        <v>-3.5389549999999999E-3</v>
      </c>
      <c r="AA228">
        <v>0.99214609999999903</v>
      </c>
      <c r="AB228">
        <v>36</v>
      </c>
      <c r="AC228">
        <v>26.4088999999999</v>
      </c>
      <c r="AD228">
        <v>-1.153071</v>
      </c>
      <c r="AE228">
        <v>-2.8380999999999901</v>
      </c>
      <c r="AF228">
        <v>3.3456118095768801</v>
      </c>
      <c r="AG228">
        <v>-1.153071</v>
      </c>
      <c r="AH228">
        <v>26.299050274895801</v>
      </c>
      <c r="AI228">
        <v>92.490456308078294</v>
      </c>
      <c r="AJ228">
        <v>82.750107107587198</v>
      </c>
      <c r="AK228">
        <v>26.536064826438</v>
      </c>
    </row>
    <row r="229" spans="1:37" x14ac:dyDescent="0.2">
      <c r="A229" t="str">
        <f>"20200111153409042"</f>
        <v>20200111153409042</v>
      </c>
      <c r="B229" t="str">
        <f>"1578728049037049"</f>
        <v>1578728049037049</v>
      </c>
      <c r="C229" t="s">
        <v>37</v>
      </c>
      <c r="D229">
        <v>4.8337339999999998</v>
      </c>
      <c r="E229">
        <v>0.57959769999999999</v>
      </c>
      <c r="F229" t="s">
        <v>38</v>
      </c>
      <c r="G229">
        <v>-417.92020000000002</v>
      </c>
      <c r="H229">
        <v>-0.05</v>
      </c>
      <c r="I229">
        <v>364.9606</v>
      </c>
      <c r="J229">
        <v>-444.65289999999999</v>
      </c>
      <c r="K229">
        <v>1.1030899999999999</v>
      </c>
      <c r="L229">
        <v>367.82780000000002</v>
      </c>
      <c r="M229">
        <v>0.99980749999999996</v>
      </c>
      <c r="N229">
        <v>0</v>
      </c>
      <c r="O229">
        <v>1.9619290000000001E-2</v>
      </c>
      <c r="P229">
        <v>0.99419899999999894</v>
      </c>
      <c r="Q229">
        <v>5.9956549999999999E-3</v>
      </c>
      <c r="R229">
        <v>0.1073905</v>
      </c>
      <c r="S229">
        <v>3.0532840000000001</v>
      </c>
      <c r="T229">
        <v>-0.1305944</v>
      </c>
      <c r="U229">
        <v>-0.32421879999999997</v>
      </c>
      <c r="V229">
        <v>-8.7867650000000005E-2</v>
      </c>
      <c r="W229">
        <v>6.4623550000000004E-3</v>
      </c>
      <c r="X229">
        <v>0.99611119999999898</v>
      </c>
      <c r="Y229">
        <v>0.1249518</v>
      </c>
      <c r="Z229">
        <v>-3.500104E-3</v>
      </c>
      <c r="AA229">
        <v>0.99215659999999894</v>
      </c>
      <c r="AB229">
        <v>37</v>
      </c>
      <c r="AC229">
        <v>26.732699999999902</v>
      </c>
      <c r="AD229">
        <v>-1.1530899999999999</v>
      </c>
      <c r="AE229">
        <v>-2.86720000000002</v>
      </c>
      <c r="AF229">
        <v>3.3848985943238699</v>
      </c>
      <c r="AG229">
        <v>-1.1530899999999999</v>
      </c>
      <c r="AH229">
        <v>26.6223333430693</v>
      </c>
      <c r="AI229">
        <v>92.460313068281096</v>
      </c>
      <c r="AJ229">
        <v>82.754002801178999</v>
      </c>
      <c r="AK229">
        <v>26.861418199184101</v>
      </c>
    </row>
    <row r="230" spans="1:37" x14ac:dyDescent="0.2">
      <c r="A230" t="str">
        <f>"20200111153409059"</f>
        <v>20200111153409059</v>
      </c>
      <c r="B230" t="str">
        <f>"1578728049046809"</f>
        <v>1578728049046809</v>
      </c>
      <c r="C230" t="s">
        <v>37</v>
      </c>
      <c r="D230">
        <v>4.8541290000000004</v>
      </c>
      <c r="E230">
        <v>0.5793973</v>
      </c>
      <c r="F230" t="s">
        <v>38</v>
      </c>
      <c r="G230">
        <v>-417.63209999999998</v>
      </c>
      <c r="H230">
        <v>-0.05</v>
      </c>
      <c r="I230">
        <v>364.99669999999998</v>
      </c>
      <c r="J230">
        <v>-444.38690000000003</v>
      </c>
      <c r="K230">
        <v>1.1031089999999999</v>
      </c>
      <c r="L230">
        <v>367.8331</v>
      </c>
      <c r="M230">
        <v>0.99980400000000003</v>
      </c>
      <c r="N230">
        <v>0</v>
      </c>
      <c r="O230">
        <v>1.9789040000000001E-2</v>
      </c>
      <c r="P230">
        <v>0.99421619999999999</v>
      </c>
      <c r="Q230">
        <v>5.6666399999999997E-3</v>
      </c>
      <c r="R230">
        <v>0.107247699999999</v>
      </c>
      <c r="S230">
        <v>3.0528559999999998</v>
      </c>
      <c r="T230">
        <v>-0.1302779</v>
      </c>
      <c r="U230">
        <v>-0.31985469999999999</v>
      </c>
      <c r="V230">
        <v>-8.7555270000000004E-2</v>
      </c>
      <c r="W230">
        <v>6.1719649999999997E-3</v>
      </c>
      <c r="X230">
        <v>0.99614049999999998</v>
      </c>
      <c r="Y230">
        <v>0.1237335</v>
      </c>
      <c r="Z230">
        <v>-3.4736849999999998E-3</v>
      </c>
      <c r="AA230">
        <v>0.99230940000000001</v>
      </c>
      <c r="AB230">
        <v>37</v>
      </c>
      <c r="AC230">
        <v>26.754799999999999</v>
      </c>
      <c r="AD230">
        <v>-1.1531089999999999</v>
      </c>
      <c r="AE230">
        <v>-2.8364000000000198</v>
      </c>
      <c r="AF230">
        <v>3.3591261216585</v>
      </c>
      <c r="AG230">
        <v>-1.1531089999999999</v>
      </c>
      <c r="AH230">
        <v>26.644488142704901</v>
      </c>
      <c r="AI230">
        <v>92.4586386049276</v>
      </c>
      <c r="AJ230">
        <v>82.8145108322651</v>
      </c>
      <c r="AK230">
        <v>26.8801439180268</v>
      </c>
    </row>
    <row r="231" spans="1:37" x14ac:dyDescent="0.2">
      <c r="A231" t="str">
        <f>"20200111153409072"</f>
        <v>20200111153409072</v>
      </c>
      <c r="B231" t="str">
        <f>"1578728049067305"</f>
        <v>1578728049067305</v>
      </c>
      <c r="C231" t="s">
        <v>37</v>
      </c>
      <c r="D231">
        <v>4.8135890000000003</v>
      </c>
      <c r="E231">
        <v>0.579067</v>
      </c>
      <c r="F231" t="s">
        <v>38</v>
      </c>
      <c r="G231">
        <v>-417.21890000000002</v>
      </c>
      <c r="H231">
        <v>-0.05</v>
      </c>
      <c r="I231">
        <v>364.99860000000001</v>
      </c>
      <c r="J231">
        <v>-444.17239999999998</v>
      </c>
      <c r="K231">
        <v>1.1031200000000001</v>
      </c>
      <c r="L231">
        <v>367.8374</v>
      </c>
      <c r="M231">
        <v>0.9998013</v>
      </c>
      <c r="N231">
        <v>0</v>
      </c>
      <c r="O231">
        <v>1.9926429999999998E-2</v>
      </c>
      <c r="P231">
        <v>0.99422749999999904</v>
      </c>
      <c r="Q231">
        <v>5.659603E-3</v>
      </c>
      <c r="R231">
        <v>0.1071434</v>
      </c>
      <c r="S231">
        <v>3.0525820000000001</v>
      </c>
      <c r="T231">
        <v>-0.1295627</v>
      </c>
      <c r="U231">
        <v>-0.31848140000000003</v>
      </c>
      <c r="V231">
        <v>-8.7313940000000007E-2</v>
      </c>
      <c r="W231">
        <v>6.2048679999999997E-3</v>
      </c>
      <c r="X231">
        <v>0.99616150000000003</v>
      </c>
      <c r="Y231">
        <v>0.1234391</v>
      </c>
      <c r="Z231">
        <v>-3.4546080000000001E-3</v>
      </c>
      <c r="AA231">
        <v>0.99234619999999996</v>
      </c>
      <c r="AB231">
        <v>37</v>
      </c>
      <c r="AC231">
        <v>26.953499999999899</v>
      </c>
      <c r="AD231">
        <v>-1.1531199999999999</v>
      </c>
      <c r="AE231">
        <v>-2.8387999999999902</v>
      </c>
      <c r="AF231">
        <v>3.3692244783757799</v>
      </c>
      <c r="AG231">
        <v>-1.1531199999999999</v>
      </c>
      <c r="AH231">
        <v>26.842989890399799</v>
      </c>
      <c r="AI231">
        <v>92.440670351467503</v>
      </c>
      <c r="AJ231">
        <v>82.845876226109695</v>
      </c>
      <c r="AK231">
        <v>27.078173231889</v>
      </c>
    </row>
    <row r="232" spans="1:37" x14ac:dyDescent="0.2">
      <c r="A232" t="str">
        <f>"20200111153409084"</f>
        <v>20200111153409084</v>
      </c>
      <c r="B232" t="str">
        <f>"1578728049077065"</f>
        <v>1578728049077065</v>
      </c>
      <c r="C232" t="s">
        <v>37</v>
      </c>
      <c r="D232">
        <v>4.8686299999999996</v>
      </c>
      <c r="E232">
        <v>0.57808780000000004</v>
      </c>
      <c r="F232" t="s">
        <v>38</v>
      </c>
      <c r="G232">
        <v>-417.421999999999</v>
      </c>
      <c r="H232">
        <v>-0.05</v>
      </c>
      <c r="I232">
        <v>365.06569999999999</v>
      </c>
      <c r="J232">
        <v>-443.959</v>
      </c>
      <c r="K232">
        <v>1.1031309999999901</v>
      </c>
      <c r="L232">
        <v>367.84179999999998</v>
      </c>
      <c r="M232">
        <v>0.99979859999999898</v>
      </c>
      <c r="N232">
        <v>0</v>
      </c>
      <c r="O232">
        <v>2.006345E-2</v>
      </c>
      <c r="P232">
        <v>0.99422369999999904</v>
      </c>
      <c r="Q232">
        <v>5.5392069999999896E-3</v>
      </c>
      <c r="R232">
        <v>0.10718709999999999</v>
      </c>
      <c r="S232">
        <v>3.052216</v>
      </c>
      <c r="T232">
        <v>-0.13157079999999999</v>
      </c>
      <c r="U232">
        <v>-0.31625370000000003</v>
      </c>
      <c r="V232">
        <v>-8.7220909999999999E-2</v>
      </c>
      <c r="W232">
        <v>6.1261909999999996E-3</v>
      </c>
      <c r="X232">
        <v>0.99617019999999901</v>
      </c>
      <c r="Y232">
        <v>0.1228672</v>
      </c>
      <c r="Z232">
        <v>-3.5022529999999999E-3</v>
      </c>
      <c r="AA232">
        <v>0.99241689999999905</v>
      </c>
      <c r="AB232">
        <v>37</v>
      </c>
      <c r="AC232">
        <v>26.536999999999999</v>
      </c>
      <c r="AD232">
        <v>-1.1531309999999999</v>
      </c>
      <c r="AE232">
        <v>-2.77609999999998</v>
      </c>
      <c r="AF232">
        <v>3.30179798027407</v>
      </c>
      <c r="AG232">
        <v>-1.1531309999999999</v>
      </c>
      <c r="AH232">
        <v>26.426601000285899</v>
      </c>
      <c r="AI232">
        <v>92.479277785094993</v>
      </c>
      <c r="AJ232">
        <v>82.878243753467203</v>
      </c>
      <c r="AK232">
        <v>26.6570219911005</v>
      </c>
    </row>
    <row r="233" spans="1:37" x14ac:dyDescent="0.2">
      <c r="A233" t="str">
        <f>"20200111153409096"</f>
        <v>20200111153409096</v>
      </c>
      <c r="B233" t="str">
        <f>"1578728049086825"</f>
        <v>1578728049086825</v>
      </c>
      <c r="C233" t="s">
        <v>37</v>
      </c>
      <c r="D233">
        <v>4.8772459999999898</v>
      </c>
      <c r="E233">
        <v>0.57747979999999999</v>
      </c>
      <c r="F233" t="s">
        <v>38</v>
      </c>
      <c r="G233">
        <v>-418.3107</v>
      </c>
      <c r="H233">
        <v>-0.05</v>
      </c>
      <c r="I233">
        <v>365.24930000000001</v>
      </c>
      <c r="J233">
        <v>-443.75619999999998</v>
      </c>
      <c r="K233">
        <v>1.10314</v>
      </c>
      <c r="L233">
        <v>367.846</v>
      </c>
      <c r="M233">
        <v>0.99979589999999996</v>
      </c>
      <c r="N233">
        <v>0</v>
      </c>
      <c r="O233">
        <v>2.0194279999999998E-2</v>
      </c>
      <c r="P233">
        <v>0.99421610000000005</v>
      </c>
      <c r="Q233">
        <v>5.62992099999999E-3</v>
      </c>
      <c r="R233">
        <v>0.10725029999999899</v>
      </c>
      <c r="S233">
        <v>3.0514830000000002</v>
      </c>
      <c r="T233">
        <v>-0.1371926</v>
      </c>
      <c r="U233">
        <v>-0.30844120000000003</v>
      </c>
      <c r="V233">
        <v>-8.7154339999999997E-2</v>
      </c>
      <c r="W233">
        <v>6.2601790000000003E-3</v>
      </c>
      <c r="X233">
        <v>0.99617520000000004</v>
      </c>
      <c r="Y233">
        <v>0.1204973</v>
      </c>
      <c r="Z233">
        <v>-3.6058459999999998E-3</v>
      </c>
      <c r="AA233">
        <v>0.99270709999999995</v>
      </c>
      <c r="AB233">
        <v>37</v>
      </c>
      <c r="AC233">
        <v>25.4454999999999</v>
      </c>
      <c r="AD233">
        <v>-1.1531400000000001</v>
      </c>
      <c r="AE233">
        <v>-2.59669999999999</v>
      </c>
      <c r="AF233">
        <v>3.1037156301495799</v>
      </c>
      <c r="AG233">
        <v>-1.1531400000000001</v>
      </c>
      <c r="AH233">
        <v>25.3363748996656</v>
      </c>
      <c r="AI233">
        <v>92.586608113473403</v>
      </c>
      <c r="AJ233">
        <v>83.016040917594296</v>
      </c>
      <c r="AK233">
        <v>25.551803764682401</v>
      </c>
    </row>
    <row r="234" spans="1:37" x14ac:dyDescent="0.2">
      <c r="A234" t="str">
        <f>"20200111153409117"</f>
        <v>20200111153409117</v>
      </c>
      <c r="B234" t="str">
        <f>"1578728049107320"</f>
        <v>1578728049107320</v>
      </c>
      <c r="C234" t="s">
        <v>37</v>
      </c>
      <c r="D234">
        <v>4.9268640000000001</v>
      </c>
      <c r="E234">
        <v>0.57660339999999999</v>
      </c>
      <c r="F234" t="s">
        <v>38</v>
      </c>
      <c r="G234">
        <v>-418.63080000000002</v>
      </c>
      <c r="H234">
        <v>-0.05</v>
      </c>
      <c r="I234">
        <v>365.34289999999999</v>
      </c>
      <c r="J234">
        <v>-443.42689999999999</v>
      </c>
      <c r="K234">
        <v>1.103148</v>
      </c>
      <c r="L234">
        <v>367.8528</v>
      </c>
      <c r="M234">
        <v>0.99979150000000006</v>
      </c>
      <c r="N234">
        <v>0</v>
      </c>
      <c r="O234">
        <v>2.0406529999999999E-2</v>
      </c>
      <c r="P234">
        <v>0.99417129999999998</v>
      </c>
      <c r="Q234">
        <v>5.9028550000000003E-3</v>
      </c>
      <c r="R234">
        <v>0.1076505</v>
      </c>
      <c r="S234">
        <v>3.0510250000000001</v>
      </c>
      <c r="T234">
        <v>-0.14002799999999899</v>
      </c>
      <c r="U234">
        <v>-0.30395509999999998</v>
      </c>
      <c r="V234">
        <v>-8.7343660000000004E-2</v>
      </c>
      <c r="W234">
        <v>6.6063569999999898E-3</v>
      </c>
      <c r="X234">
        <v>0.99615629999999999</v>
      </c>
      <c r="Y234">
        <v>0.1192729</v>
      </c>
      <c r="Z234">
        <v>-3.662808E-3</v>
      </c>
      <c r="AA234">
        <v>0.99285480000000004</v>
      </c>
      <c r="AB234">
        <v>37</v>
      </c>
      <c r="AC234">
        <v>24.7960999999999</v>
      </c>
      <c r="AD234">
        <v>-1.1531480000000001</v>
      </c>
      <c r="AE234">
        <v>-2.5099000000000098</v>
      </c>
      <c r="AF234">
        <v>3.0089383056056298</v>
      </c>
      <c r="AG234">
        <v>-1.1531480000000001</v>
      </c>
      <c r="AH234">
        <v>24.686868548953498</v>
      </c>
      <c r="AI234">
        <v>92.654780190571699</v>
      </c>
      <c r="AJ234">
        <v>83.050828325827396</v>
      </c>
      <c r="AK234">
        <v>24.896283634111999</v>
      </c>
    </row>
    <row r="235" spans="1:37" x14ac:dyDescent="0.2">
      <c r="A235" t="str">
        <f>"20200111153409130"</f>
        <v>20200111153409130</v>
      </c>
      <c r="B235" t="str">
        <f>"1578728049117081"</f>
        <v>1578728049117081</v>
      </c>
      <c r="C235" t="s">
        <v>37</v>
      </c>
      <c r="D235">
        <v>4.8753080000000004</v>
      </c>
      <c r="E235">
        <v>0.57619739999999997</v>
      </c>
      <c r="F235" t="s">
        <v>38</v>
      </c>
      <c r="G235">
        <v>-418.43619999999999</v>
      </c>
      <c r="H235">
        <v>-0.05</v>
      </c>
      <c r="I235">
        <v>365.43060000000003</v>
      </c>
      <c r="J235">
        <v>-443.20370000000003</v>
      </c>
      <c r="K235">
        <v>1.103151</v>
      </c>
      <c r="L235">
        <v>367.85750000000002</v>
      </c>
      <c r="M235">
        <v>0.99978860000000003</v>
      </c>
      <c r="N235">
        <v>0</v>
      </c>
      <c r="O235">
        <v>2.0550820000000001E-2</v>
      </c>
      <c r="P235">
        <v>0.99414829999999998</v>
      </c>
      <c r="Q235">
        <v>5.6496640000000004E-3</v>
      </c>
      <c r="R235">
        <v>0.10787719999999899</v>
      </c>
      <c r="S235">
        <v>3.050446</v>
      </c>
      <c r="T235">
        <v>-0.14075699999999999</v>
      </c>
      <c r="U235">
        <v>-0.29565429999999998</v>
      </c>
      <c r="V235">
        <v>-8.7427370000000004E-2</v>
      </c>
      <c r="W235">
        <v>6.4037039999999996E-3</v>
      </c>
      <c r="X235">
        <v>0.99615030000000004</v>
      </c>
      <c r="Y235">
        <v>0.1167594</v>
      </c>
      <c r="Z235">
        <v>-3.6318509999999902E-3</v>
      </c>
      <c r="AA235">
        <v>0.99315359999999997</v>
      </c>
      <c r="AB235">
        <v>37</v>
      </c>
      <c r="AC235">
        <v>24.767499999999998</v>
      </c>
      <c r="AD235">
        <v>-1.153151</v>
      </c>
      <c r="AE235">
        <v>-2.4268999999999799</v>
      </c>
      <c r="AF235">
        <v>2.9290908684767598</v>
      </c>
      <c r="AG235">
        <v>-1.153151</v>
      </c>
      <c r="AH235">
        <v>24.659447542664001</v>
      </c>
      <c r="AI235">
        <v>92.658711771012804</v>
      </c>
      <c r="AJ235">
        <v>83.226049551370295</v>
      </c>
      <c r="AK235">
        <v>24.859559200717801</v>
      </c>
    </row>
    <row r="236" spans="1:37" x14ac:dyDescent="0.2">
      <c r="A236" t="str">
        <f>"20200111153409148"</f>
        <v>20200111153409148</v>
      </c>
      <c r="B236" t="str">
        <f>"1578728049136600"</f>
        <v>1578728049136600</v>
      </c>
      <c r="C236" t="s">
        <v>37</v>
      </c>
      <c r="D236">
        <v>4.8962079999999997</v>
      </c>
      <c r="E236">
        <v>0.5757274</v>
      </c>
      <c r="F236" t="s">
        <v>38</v>
      </c>
      <c r="G236">
        <v>-418.36599999999999</v>
      </c>
      <c r="H236">
        <v>-0.05</v>
      </c>
      <c r="I236">
        <v>365.4821</v>
      </c>
      <c r="J236">
        <v>-442.89760000000001</v>
      </c>
      <c r="K236">
        <v>1.1031530000000001</v>
      </c>
      <c r="L236">
        <v>367.86380000000003</v>
      </c>
      <c r="M236">
        <v>0.99978449999999996</v>
      </c>
      <c r="N236">
        <v>0</v>
      </c>
      <c r="O236">
        <v>2.0748880000000001E-2</v>
      </c>
      <c r="P236">
        <v>0.99414629999999904</v>
      </c>
      <c r="Q236">
        <v>5.4194689999999997E-3</v>
      </c>
      <c r="R236">
        <v>0.1079079</v>
      </c>
      <c r="S236">
        <v>3.0501099999999899</v>
      </c>
      <c r="T236">
        <v>-0.1416084</v>
      </c>
      <c r="U236">
        <v>-0.29168699999999997</v>
      </c>
      <c r="V236">
        <v>-8.7260740000000003E-2</v>
      </c>
      <c r="W236">
        <v>6.2434909999999899E-3</v>
      </c>
      <c r="X236">
        <v>0.99616589999999905</v>
      </c>
      <c r="Y236">
        <v>0.11568579999999901</v>
      </c>
      <c r="Z236">
        <v>-3.6387390000000002E-3</v>
      </c>
      <c r="AA236">
        <v>0.99327919999999903</v>
      </c>
      <c r="AB236">
        <v>37</v>
      </c>
      <c r="AC236">
        <v>24.531600000000001</v>
      </c>
      <c r="AD236">
        <v>-1.1531530000000001</v>
      </c>
      <c r="AE236">
        <v>-2.3817000000000199</v>
      </c>
      <c r="AF236">
        <v>2.8838777642659501</v>
      </c>
      <c r="AG236">
        <v>-1.1531530000000001</v>
      </c>
      <c r="AH236">
        <v>24.423438045746799</v>
      </c>
      <c r="AI236">
        <v>92.684590996711904</v>
      </c>
      <c r="AJ236">
        <v>83.265794077114094</v>
      </c>
      <c r="AK236">
        <v>24.620130762753298</v>
      </c>
    </row>
    <row r="237" spans="1:37" x14ac:dyDescent="0.2">
      <c r="A237" t="str">
        <f>"20200111153409160"</f>
        <v>20200111153409160</v>
      </c>
      <c r="B237" t="str">
        <f>"1578728049157096"</f>
        <v>1578728049157096</v>
      </c>
      <c r="C237" t="s">
        <v>37</v>
      </c>
      <c r="D237">
        <v>4.7928030000000001</v>
      </c>
      <c r="E237">
        <v>0.575739</v>
      </c>
      <c r="F237" t="s">
        <v>38</v>
      </c>
      <c r="G237">
        <v>-418.24180000000001</v>
      </c>
      <c r="H237">
        <v>-0.05</v>
      </c>
      <c r="I237">
        <v>365.5335</v>
      </c>
      <c r="J237">
        <v>-442.69740000000002</v>
      </c>
      <c r="K237">
        <v>1.1031500000000001</v>
      </c>
      <c r="L237">
        <v>367.86810000000003</v>
      </c>
      <c r="M237">
        <v>0.999781699999999</v>
      </c>
      <c r="N237">
        <v>0</v>
      </c>
      <c r="O237">
        <v>2.087833E-2</v>
      </c>
      <c r="P237">
        <v>0.99415669999999901</v>
      </c>
      <c r="Q237">
        <v>5.1016339999999999E-3</v>
      </c>
      <c r="R237">
        <v>0.1078258</v>
      </c>
      <c r="S237">
        <v>3.049744</v>
      </c>
      <c r="T237">
        <v>-0.1426364</v>
      </c>
      <c r="U237">
        <v>-0.28823850000000001</v>
      </c>
      <c r="V237">
        <v>-8.7049029999999999E-2</v>
      </c>
      <c r="W237">
        <v>5.9712209999999996E-3</v>
      </c>
      <c r="X237">
        <v>0.99618609999999896</v>
      </c>
      <c r="Y237">
        <v>0.1147113</v>
      </c>
      <c r="Z237">
        <v>-3.6490720000000002E-3</v>
      </c>
      <c r="AA237">
        <v>0.99339219999999895</v>
      </c>
      <c r="AB237">
        <v>38</v>
      </c>
      <c r="AC237">
        <v>24.4556</v>
      </c>
      <c r="AD237">
        <v>-1.1531499999999999</v>
      </c>
      <c r="AE237">
        <v>-2.33460000000002</v>
      </c>
      <c r="AF237">
        <v>2.8384294325467998</v>
      </c>
      <c r="AG237">
        <v>-1.1531499999999999</v>
      </c>
      <c r="AH237">
        <v>24.347880828884101</v>
      </c>
      <c r="AI237">
        <v>92.693369584354201</v>
      </c>
      <c r="AJ237">
        <v>83.350581947745496</v>
      </c>
      <c r="AK237">
        <v>24.539880550312201</v>
      </c>
    </row>
    <row r="238" spans="1:37" x14ac:dyDescent="0.2">
      <c r="A238" t="str">
        <f>"20200111153409171"</f>
        <v>20200111153409171</v>
      </c>
      <c r="B238" t="str">
        <f>"1578728049166857"</f>
        <v>1578728049166857</v>
      </c>
      <c r="C238" t="s">
        <v>37</v>
      </c>
      <c r="D238">
        <v>4.809965</v>
      </c>
      <c r="E238">
        <v>0.5759417</v>
      </c>
      <c r="F238" t="s">
        <v>38</v>
      </c>
      <c r="G238">
        <v>-417.8082</v>
      </c>
      <c r="H238">
        <v>-0.05</v>
      </c>
      <c r="I238">
        <v>365.51639999999998</v>
      </c>
      <c r="J238">
        <v>-442.4948</v>
      </c>
      <c r="K238">
        <v>1.103148</v>
      </c>
      <c r="L238">
        <v>367.87240000000003</v>
      </c>
      <c r="M238">
        <v>0.99977890000000003</v>
      </c>
      <c r="N238">
        <v>0</v>
      </c>
      <c r="O238">
        <v>2.1009570000000002E-2</v>
      </c>
      <c r="P238">
        <v>0.99416329999999997</v>
      </c>
      <c r="Q238">
        <v>5.0134639999999996E-3</v>
      </c>
      <c r="R238">
        <v>0.10777149999999899</v>
      </c>
      <c r="S238">
        <v>3.0496219999999998</v>
      </c>
      <c r="T238">
        <v>-0.1412929</v>
      </c>
      <c r="U238">
        <v>-0.28814699999999999</v>
      </c>
      <c r="V238">
        <v>-8.6863789999999996E-2</v>
      </c>
      <c r="W238">
        <v>5.9292609999999999E-3</v>
      </c>
      <c r="X238">
        <v>0.99620249999999999</v>
      </c>
      <c r="Y238">
        <v>0.1148184</v>
      </c>
      <c r="Z238">
        <v>-3.623425E-3</v>
      </c>
      <c r="AA238">
        <v>0.99337989999999998</v>
      </c>
      <c r="AB238">
        <v>38</v>
      </c>
      <c r="AC238">
        <v>24.686599999999999</v>
      </c>
      <c r="AD238">
        <v>-1.1531480000000001</v>
      </c>
      <c r="AE238">
        <v>-2.3560000000000501</v>
      </c>
      <c r="AF238">
        <v>2.86793376959554</v>
      </c>
      <c r="AG238">
        <v>-1.1531480000000001</v>
      </c>
      <c r="AH238">
        <v>24.578507112272099</v>
      </c>
      <c r="AI238">
        <v>92.668096437252402</v>
      </c>
      <c r="AJ238">
        <v>83.344560102749696</v>
      </c>
      <c r="AK238">
        <v>24.772117517174401</v>
      </c>
    </row>
    <row r="239" spans="1:37" x14ac:dyDescent="0.2">
      <c r="A239" t="str">
        <f>"20200111153409184"</f>
        <v>20200111153409184</v>
      </c>
      <c r="B239" t="str">
        <f>"1578728049176617"</f>
        <v>1578728049176617</v>
      </c>
      <c r="C239" t="s">
        <v>37</v>
      </c>
      <c r="D239">
        <v>4.7868539999999999</v>
      </c>
      <c r="E239">
        <v>0.57609440000000001</v>
      </c>
      <c r="F239" t="s">
        <v>38</v>
      </c>
      <c r="G239">
        <v>-417.25229999999999</v>
      </c>
      <c r="H239">
        <v>-0.05</v>
      </c>
      <c r="I239">
        <v>365.47410000000002</v>
      </c>
      <c r="J239">
        <v>-442.27319999999997</v>
      </c>
      <c r="K239">
        <v>1.103145</v>
      </c>
      <c r="L239">
        <v>367.87720000000002</v>
      </c>
      <c r="M239">
        <v>0.99977569999999905</v>
      </c>
      <c r="N239">
        <v>0</v>
      </c>
      <c r="O239">
        <v>2.1153209999999999E-2</v>
      </c>
      <c r="P239">
        <v>0.99422659999999996</v>
      </c>
      <c r="Q239">
        <v>4.9213820000000002E-3</v>
      </c>
      <c r="R239">
        <v>0.10718709999999999</v>
      </c>
      <c r="S239">
        <v>3.0497740000000002</v>
      </c>
      <c r="T239">
        <v>-0.13932239999999901</v>
      </c>
      <c r="U239">
        <v>-0.28976439999999998</v>
      </c>
      <c r="V239">
        <v>-8.613556E-2</v>
      </c>
      <c r="W239">
        <v>5.8868219999999999E-3</v>
      </c>
      <c r="X239">
        <v>0.99626599999999998</v>
      </c>
      <c r="Y239">
        <v>0.11548170000000001</v>
      </c>
      <c r="Z239">
        <v>-3.5943350000000002E-3</v>
      </c>
      <c r="AA239">
        <v>0.993303099999999</v>
      </c>
      <c r="AB239">
        <v>38</v>
      </c>
      <c r="AC239">
        <v>25.020899999999902</v>
      </c>
      <c r="AD239">
        <v>-1.1531450000000001</v>
      </c>
      <c r="AE239">
        <v>-2.40309999999999</v>
      </c>
      <c r="AF239">
        <v>2.92567748944662</v>
      </c>
      <c r="AG239">
        <v>-1.1531450000000001</v>
      </c>
      <c r="AH239">
        <v>24.912037716569401</v>
      </c>
      <c r="AI239">
        <v>92.632189437877997</v>
      </c>
      <c r="AJ239">
        <v>83.301847459579093</v>
      </c>
      <c r="AK239">
        <v>25.109738257398298</v>
      </c>
    </row>
    <row r="240" spans="1:37" x14ac:dyDescent="0.2">
      <c r="A240" t="str">
        <f>"20200111153409197"</f>
        <v>20200111153409197</v>
      </c>
      <c r="B240" t="str">
        <f>"1578728049186376"</f>
        <v>1578728049186376</v>
      </c>
      <c r="C240" t="s">
        <v>37</v>
      </c>
      <c r="D240">
        <v>4.7537779999999996</v>
      </c>
      <c r="E240">
        <v>0.57623419999999903</v>
      </c>
      <c r="F240" t="s">
        <v>38</v>
      </c>
      <c r="G240">
        <v>-416.75170000000003</v>
      </c>
      <c r="H240">
        <v>-0.05</v>
      </c>
      <c r="I240">
        <v>365.42790000000002</v>
      </c>
      <c r="J240">
        <v>-442.05950000000001</v>
      </c>
      <c r="K240">
        <v>1.103143</v>
      </c>
      <c r="L240">
        <v>367.8818</v>
      </c>
      <c r="M240">
        <v>0.99977280000000002</v>
      </c>
      <c r="N240">
        <v>0</v>
      </c>
      <c r="O240">
        <v>2.1290940000000001E-2</v>
      </c>
      <c r="P240">
        <v>0.99424369999999995</v>
      </c>
      <c r="Q240">
        <v>4.8364979999999998E-3</v>
      </c>
      <c r="R240">
        <v>0.107033899999999</v>
      </c>
      <c r="S240">
        <v>3.049652</v>
      </c>
      <c r="T240">
        <v>-0.13779340000000001</v>
      </c>
      <c r="U240">
        <v>-0.29266360000000002</v>
      </c>
      <c r="V240">
        <v>-8.5844379999999998E-2</v>
      </c>
      <c r="W240">
        <v>5.8486759999999997E-3</v>
      </c>
      <c r="X240">
        <v>0.99629140000000005</v>
      </c>
      <c r="Y240">
        <v>0.11655979999999901</v>
      </c>
      <c r="Z240">
        <v>-3.5854089999999999E-3</v>
      </c>
      <c r="AA240">
        <v>0.99317719999999898</v>
      </c>
      <c r="AB240">
        <v>38</v>
      </c>
      <c r="AC240">
        <v>25.307799999999901</v>
      </c>
      <c r="AD240">
        <v>-1.153143</v>
      </c>
      <c r="AE240">
        <v>-2.4538999999999702</v>
      </c>
      <c r="AF240">
        <v>2.98602920196927</v>
      </c>
      <c r="AG240">
        <v>-1.153143</v>
      </c>
      <c r="AH240">
        <v>25.1979900131345</v>
      </c>
      <c r="AI240">
        <v>92.602034358847504</v>
      </c>
      <c r="AJ240">
        <v>83.2418141100638</v>
      </c>
      <c r="AK240">
        <v>25.400488378680599</v>
      </c>
    </row>
    <row r="241" spans="1:37" x14ac:dyDescent="0.2">
      <c r="A241" t="str">
        <f>"20200111153409216"</f>
        <v>20200111153409216</v>
      </c>
      <c r="B241" t="str">
        <f>"1578728049206872"</f>
        <v>1578728049206872</v>
      </c>
      <c r="C241" t="s">
        <v>37</v>
      </c>
      <c r="D241">
        <v>4.8715099999999998</v>
      </c>
      <c r="E241">
        <v>0.57588319999999904</v>
      </c>
      <c r="F241" t="s">
        <v>38</v>
      </c>
      <c r="G241">
        <v>-416.26130000000001</v>
      </c>
      <c r="H241">
        <v>-0.05</v>
      </c>
      <c r="I241">
        <v>365.39190000000002</v>
      </c>
      <c r="J241">
        <v>-441.73939999999999</v>
      </c>
      <c r="K241">
        <v>1.1031389999999901</v>
      </c>
      <c r="L241">
        <v>367.88869999999997</v>
      </c>
      <c r="M241">
        <v>0.9997684</v>
      </c>
      <c r="N241">
        <v>0</v>
      </c>
      <c r="O241">
        <v>2.149823E-2</v>
      </c>
      <c r="P241">
        <v>0.99430980000000002</v>
      </c>
      <c r="Q241">
        <v>4.7189299999999997E-3</v>
      </c>
      <c r="R241">
        <v>0.106422699999999</v>
      </c>
      <c r="S241">
        <v>3.049744</v>
      </c>
      <c r="T241">
        <v>-0.13631889999999999</v>
      </c>
      <c r="U241">
        <v>-0.29434199999999999</v>
      </c>
      <c r="V241">
        <v>-8.5025359999999994E-2</v>
      </c>
      <c r="W241">
        <v>5.8000400000000002E-3</v>
      </c>
      <c r="X241">
        <v>0.99636190000000002</v>
      </c>
      <c r="Y241">
        <v>0.11730649999999999</v>
      </c>
      <c r="Z241">
        <v>-3.5727659999999998E-3</v>
      </c>
      <c r="AA241">
        <v>0.99308929999999995</v>
      </c>
      <c r="AB241">
        <v>38</v>
      </c>
      <c r="AC241">
        <v>25.478099999999898</v>
      </c>
      <c r="AD241">
        <v>-1.1531389999999999</v>
      </c>
      <c r="AE241">
        <v>-2.4967999999999502</v>
      </c>
      <c r="AF241">
        <v>3.0377936439713702</v>
      </c>
      <c r="AG241">
        <v>-1.1531389999999999</v>
      </c>
      <c r="AH241">
        <v>25.3670655116772</v>
      </c>
      <c r="AI241">
        <v>92.584326837718606</v>
      </c>
      <c r="AJ241">
        <v>83.171152664464998</v>
      </c>
      <c r="AK241">
        <v>25.574321739792001</v>
      </c>
    </row>
    <row r="242" spans="1:37" x14ac:dyDescent="0.2">
      <c r="A242" t="str">
        <f>"20200111153409229"</f>
        <v>20200111153409229</v>
      </c>
      <c r="B242" t="str">
        <f>"1578728049216634"</f>
        <v>1578728049216634</v>
      </c>
      <c r="C242" t="s">
        <v>37</v>
      </c>
      <c r="D242">
        <v>5.2159829999999996</v>
      </c>
      <c r="E242">
        <v>0.57609350000000004</v>
      </c>
      <c r="F242" t="s">
        <v>38</v>
      </c>
      <c r="G242">
        <v>-415.3766</v>
      </c>
      <c r="H242">
        <v>-0.05</v>
      </c>
      <c r="I242">
        <v>365.35210000000001</v>
      </c>
      <c r="J242">
        <v>-441.52089999999998</v>
      </c>
      <c r="K242">
        <v>1.1031299999999999</v>
      </c>
      <c r="L242">
        <v>367.89359999999999</v>
      </c>
      <c r="M242">
        <v>0.99976529999999997</v>
      </c>
      <c r="N242">
        <v>0</v>
      </c>
      <c r="O242">
        <v>2.1639780000000001E-2</v>
      </c>
      <c r="P242">
        <v>0.99433760000000004</v>
      </c>
      <c r="Q242">
        <v>4.5468269999999998E-3</v>
      </c>
      <c r="R242">
        <v>0.1061701</v>
      </c>
      <c r="S242">
        <v>3.049194</v>
      </c>
      <c r="T242">
        <v>-0.1333752</v>
      </c>
      <c r="U242">
        <v>-0.29339599999999999</v>
      </c>
      <c r="V242">
        <v>-8.4631090000000006E-2</v>
      </c>
      <c r="W242">
        <v>5.6727269999999998E-3</v>
      </c>
      <c r="X242">
        <v>0.99639619999999995</v>
      </c>
      <c r="Y242">
        <v>0.1171648</v>
      </c>
      <c r="Z242">
        <v>-3.4994509999999898E-3</v>
      </c>
      <c r="AA242">
        <v>0.9931063</v>
      </c>
      <c r="AB242">
        <v>38</v>
      </c>
      <c r="AC242">
        <v>26.144299999999902</v>
      </c>
      <c r="AD242">
        <v>-1.15313</v>
      </c>
      <c r="AE242">
        <v>-2.5414999999999801</v>
      </c>
      <c r="AF242">
        <v>3.1006865455434101</v>
      </c>
      <c r="AG242">
        <v>-1.15313</v>
      </c>
      <c r="AH242">
        <v>26.0330105456597</v>
      </c>
      <c r="AI242">
        <v>92.518476065244499</v>
      </c>
      <c r="AJ242">
        <v>83.207729832321803</v>
      </c>
      <c r="AK242">
        <v>26.242362773215401</v>
      </c>
    </row>
    <row r="243" spans="1:37" x14ac:dyDescent="0.2">
      <c r="A243" t="str">
        <f>"20200111153409241"</f>
        <v>20200111153409241</v>
      </c>
      <c r="B243" t="str">
        <f>"1578728049236884"</f>
        <v>1578728049236884</v>
      </c>
      <c r="C243" t="s">
        <v>37</v>
      </c>
      <c r="D243">
        <v>4.9720319999999996</v>
      </c>
      <c r="E243">
        <v>0.63901509999999995</v>
      </c>
      <c r="F243" t="s">
        <v>38</v>
      </c>
      <c r="G243">
        <v>-415.8879</v>
      </c>
      <c r="H243">
        <v>-0.05</v>
      </c>
      <c r="I243">
        <v>365.40159999999997</v>
      </c>
      <c r="J243">
        <v>-441.30829999999997</v>
      </c>
      <c r="K243">
        <v>1.103113</v>
      </c>
      <c r="L243">
        <v>367.89819999999997</v>
      </c>
      <c r="M243">
        <v>0.99976219999999905</v>
      </c>
      <c r="N243">
        <v>0</v>
      </c>
      <c r="O243">
        <v>2.1778059999999998E-2</v>
      </c>
      <c r="P243">
        <v>0.9943784</v>
      </c>
      <c r="Q243">
        <v>4.626837E-3</v>
      </c>
      <c r="R243">
        <v>0.1057835</v>
      </c>
      <c r="S243">
        <v>3.0494080000000001</v>
      </c>
      <c r="T243">
        <v>-0.1371812</v>
      </c>
      <c r="U243">
        <v>-0.29644779999999998</v>
      </c>
      <c r="V243">
        <v>-8.4106020000000004E-2</v>
      </c>
      <c r="W243">
        <v>5.7590330000000002E-3</v>
      </c>
      <c r="X243">
        <v>0.9964402</v>
      </c>
      <c r="Y243">
        <v>0.1182713</v>
      </c>
      <c r="Z243">
        <v>-3.6298159999999901E-3</v>
      </c>
      <c r="AA243">
        <v>0.99297469999999999</v>
      </c>
      <c r="AB243">
        <v>38</v>
      </c>
      <c r="AC243">
        <v>25.420399999999901</v>
      </c>
      <c r="AD243">
        <v>-1.1531129999999901</v>
      </c>
      <c r="AE243">
        <v>-2.4965999999999999</v>
      </c>
      <c r="AF243">
        <v>3.0434126676365301</v>
      </c>
      <c r="AG243">
        <v>-1.1531129999999901</v>
      </c>
      <c r="AH243">
        <v>25.308420645037099</v>
      </c>
      <c r="AI243">
        <v>92.590095936903495</v>
      </c>
      <c r="AJ243">
        <v>83.142938834917402</v>
      </c>
      <c r="AK243">
        <v>25.5168216242235</v>
      </c>
    </row>
    <row r="244" spans="1:37" x14ac:dyDescent="0.2">
      <c r="A244" t="str">
        <f>"20200111153409333"</f>
        <v>20200111153409333</v>
      </c>
      <c r="B244" t="str">
        <f>"1578728049326676"</f>
        <v>1578728049326676</v>
      </c>
      <c r="C244" t="s">
        <v>37</v>
      </c>
      <c r="D244">
        <v>3.1517900000000001</v>
      </c>
      <c r="E244">
        <v>0.63901509999999995</v>
      </c>
      <c r="F244" t="s">
        <v>38</v>
      </c>
      <c r="G244">
        <v>-418.83800000000002</v>
      </c>
      <c r="H244">
        <v>-0.05</v>
      </c>
      <c r="I244">
        <v>362.111999999999</v>
      </c>
      <c r="J244">
        <v>-439.7002</v>
      </c>
      <c r="K244">
        <v>1.101739</v>
      </c>
      <c r="L244">
        <v>367.93450000000001</v>
      </c>
      <c r="M244">
        <v>0.99973919999999905</v>
      </c>
      <c r="N244">
        <v>0</v>
      </c>
      <c r="O244">
        <v>2.2787789999999999E-2</v>
      </c>
      <c r="P244">
        <v>0.9945891</v>
      </c>
      <c r="Q244">
        <v>4.4700349999999998E-3</v>
      </c>
      <c r="R244">
        <v>0.1037897</v>
      </c>
      <c r="S244">
        <v>3.1026919999999998</v>
      </c>
      <c r="T244">
        <v>-0.15922149999999999</v>
      </c>
      <c r="U244">
        <v>-0.79895019999999894</v>
      </c>
      <c r="V244">
        <v>-8.110175E-2</v>
      </c>
      <c r="W244">
        <v>5.8706100000000001E-3</v>
      </c>
      <c r="X244">
        <v>0.99668849999999998</v>
      </c>
      <c r="Y244">
        <v>0.27100759999999902</v>
      </c>
      <c r="Z244">
        <v>-7.988462E-3</v>
      </c>
      <c r="AA244">
        <v>0.96254409999999901</v>
      </c>
      <c r="AB244">
        <v>39</v>
      </c>
      <c r="AC244">
        <v>20.862199999999898</v>
      </c>
      <c r="AD244">
        <v>-1.1517389999999901</v>
      </c>
      <c r="AE244">
        <v>-5.8225000000000398</v>
      </c>
      <c r="AF244">
        <v>6.2786387581977197</v>
      </c>
      <c r="AG244">
        <v>-1.1517389999999901</v>
      </c>
      <c r="AH244">
        <v>20.665667059700301</v>
      </c>
      <c r="AI244">
        <v>93.052417122533896</v>
      </c>
      <c r="AJ244">
        <v>73.100180105584002</v>
      </c>
      <c r="AK244">
        <v>21.629091575987299</v>
      </c>
    </row>
    <row r="245" spans="1:37" x14ac:dyDescent="0.2">
      <c r="A245" t="str">
        <f>"20200111153409463"</f>
        <v>20200111153409463</v>
      </c>
      <c r="B245" t="str">
        <f>"1578728049456509"</f>
        <v>1578728049456509</v>
      </c>
      <c r="C245" t="s">
        <v>37</v>
      </c>
      <c r="D245">
        <v>4.6555499999999999</v>
      </c>
      <c r="E245">
        <v>0.75438590000000005</v>
      </c>
      <c r="F245" t="s">
        <v>38</v>
      </c>
      <c r="G245">
        <v>-417.08980000000003</v>
      </c>
      <c r="H245">
        <v>-0.05</v>
      </c>
      <c r="I245">
        <v>362.0634</v>
      </c>
      <c r="J245">
        <v>-437.37220000000002</v>
      </c>
      <c r="K245">
        <v>1.093701</v>
      </c>
      <c r="L245">
        <v>367.98970000000003</v>
      </c>
      <c r="M245">
        <v>0.99968140000000005</v>
      </c>
      <c r="N245">
        <v>0</v>
      </c>
      <c r="O245">
        <v>2.4086699999999999E-2</v>
      </c>
      <c r="P245">
        <v>0.99593999999999905</v>
      </c>
      <c r="Q245">
        <v>-1.4376640000000001E-4</v>
      </c>
      <c r="R245">
        <v>9.0021669999999998E-2</v>
      </c>
      <c r="S245">
        <v>3.101105</v>
      </c>
      <c r="T245">
        <v>-0.15796540000000001</v>
      </c>
      <c r="U245">
        <v>-0.80523679999999997</v>
      </c>
      <c r="V245">
        <v>-6.6011029999999998E-2</v>
      </c>
      <c r="W245">
        <v>7.342098E-3</v>
      </c>
      <c r="X245">
        <v>0.99779189999999995</v>
      </c>
      <c r="Y245">
        <v>0.27420519999999998</v>
      </c>
      <c r="Z245">
        <v>-8.0727009999999998E-3</v>
      </c>
      <c r="AA245">
        <v>0.96163729999999903</v>
      </c>
      <c r="AB245">
        <v>41</v>
      </c>
      <c r="AC245">
        <v>20.282399999999999</v>
      </c>
      <c r="AD245">
        <v>-1.1437010000000001</v>
      </c>
      <c r="AE245">
        <v>-5.9263000000000199</v>
      </c>
      <c r="AF245">
        <v>6.3943975596839602</v>
      </c>
      <c r="AG245">
        <v>-1.1437010000000001</v>
      </c>
      <c r="AH245">
        <v>20.074954763728101</v>
      </c>
      <c r="AI245">
        <v>93.107208275882499</v>
      </c>
      <c r="AJ245">
        <v>72.331963792764796</v>
      </c>
      <c r="AK245">
        <v>21.099767318490098</v>
      </c>
    </row>
    <row r="246" spans="1:37" x14ac:dyDescent="0.2">
      <c r="A246" t="str">
        <f>"20200111153409477"</f>
        <v>20200111153409477</v>
      </c>
      <c r="B246" t="str">
        <f>"1578728049467247"</f>
        <v>1578728049467247</v>
      </c>
      <c r="C246" t="s">
        <v>37</v>
      </c>
      <c r="D246">
        <v>4.6082789999999996</v>
      </c>
      <c r="E246">
        <v>0.75488109999999997</v>
      </c>
      <c r="F246" t="s">
        <v>38</v>
      </c>
      <c r="G246">
        <v>-408.07029999999997</v>
      </c>
      <c r="H246">
        <v>-0.05</v>
      </c>
      <c r="I246">
        <v>351.69119999999998</v>
      </c>
      <c r="J246">
        <v>-437.08260000000001</v>
      </c>
      <c r="K246">
        <v>1.092128</v>
      </c>
      <c r="L246">
        <v>367.99669999999998</v>
      </c>
      <c r="M246">
        <v>0.99967260000000002</v>
      </c>
      <c r="N246">
        <v>0</v>
      </c>
      <c r="O246">
        <v>2.4273019999999999E-2</v>
      </c>
      <c r="P246">
        <v>0.9961044</v>
      </c>
      <c r="Q246">
        <v>-6.0536339999999996E-4</v>
      </c>
      <c r="R246">
        <v>8.8179160000000006E-2</v>
      </c>
      <c r="S246">
        <v>3.1716609999999998</v>
      </c>
      <c r="T246">
        <v>-0.123795</v>
      </c>
      <c r="U246">
        <v>-1.76416</v>
      </c>
      <c r="V246">
        <v>-6.3979250000000001E-2</v>
      </c>
      <c r="W246">
        <v>7.4360310000000001E-3</v>
      </c>
      <c r="X246">
        <v>0.99792359999999902</v>
      </c>
      <c r="Y246">
        <v>0.50685049999999998</v>
      </c>
      <c r="Z246">
        <v>-1.010789E-2</v>
      </c>
      <c r="AA246">
        <v>0.86197479999999904</v>
      </c>
      <c r="AB246">
        <v>41</v>
      </c>
      <c r="AC246">
        <v>29.0123</v>
      </c>
      <c r="AD246">
        <v>-1.142128</v>
      </c>
      <c r="AE246">
        <v>-16.305499999999899</v>
      </c>
      <c r="AF246">
        <v>16.9849307395103</v>
      </c>
      <c r="AG246">
        <v>-1.142128</v>
      </c>
      <c r="AH246">
        <v>28.574301361940002</v>
      </c>
      <c r="AI246">
        <v>91.967839491524202</v>
      </c>
      <c r="AJ246">
        <v>59.272207936604403</v>
      </c>
      <c r="AK246">
        <v>33.2608332264439</v>
      </c>
    </row>
    <row r="247" spans="1:37" x14ac:dyDescent="0.2">
      <c r="A247" t="str">
        <f>"20200111153409497"</f>
        <v>20200111153409497</v>
      </c>
      <c r="B247" t="str">
        <f>"1578728049486764"</f>
        <v>1578728049486764</v>
      </c>
      <c r="C247" t="s">
        <v>37</v>
      </c>
      <c r="D247">
        <v>4.5822929999999999</v>
      </c>
      <c r="E247">
        <v>0.75509469999999901</v>
      </c>
      <c r="F247" t="s">
        <v>38</v>
      </c>
      <c r="G247">
        <v>-406.2953</v>
      </c>
      <c r="H247">
        <v>-0.05</v>
      </c>
      <c r="I247">
        <v>350.767</v>
      </c>
      <c r="J247">
        <v>-436.74220000000003</v>
      </c>
      <c r="K247">
        <v>1.0901049999999901</v>
      </c>
      <c r="L247">
        <v>368.00510000000003</v>
      </c>
      <c r="M247">
        <v>0.99966319999999997</v>
      </c>
      <c r="N247">
        <v>0</v>
      </c>
      <c r="O247">
        <v>2.4487620000000002E-2</v>
      </c>
      <c r="P247">
        <v>0.99648340000000002</v>
      </c>
      <c r="Q247">
        <v>-1.1712980000000001E-3</v>
      </c>
      <c r="R247">
        <v>8.3781019999999998E-2</v>
      </c>
      <c r="S247">
        <v>3.1686399999999999</v>
      </c>
      <c r="T247">
        <v>-0.11754819999999901</v>
      </c>
      <c r="U247">
        <v>-1.77328499999999</v>
      </c>
      <c r="V247">
        <v>-5.9358620000000001E-2</v>
      </c>
      <c r="W247">
        <v>7.3630789999999998E-3</v>
      </c>
      <c r="X247">
        <v>0.99820959999999903</v>
      </c>
      <c r="Y247">
        <v>0.50930419999999998</v>
      </c>
      <c r="Z247">
        <v>-9.6497049999999997E-3</v>
      </c>
      <c r="AA247">
        <v>0.86053250000000003</v>
      </c>
      <c r="AB247">
        <v>41</v>
      </c>
      <c r="AC247">
        <v>30.446899999999999</v>
      </c>
      <c r="AD247">
        <v>-1.1401049999999999</v>
      </c>
      <c r="AE247">
        <v>-17.238099999999999</v>
      </c>
      <c r="AF247">
        <v>17.9594604813506</v>
      </c>
      <c r="AG247">
        <v>-1.1401049999999999</v>
      </c>
      <c r="AH247">
        <v>29.9837963963062</v>
      </c>
      <c r="AI247">
        <v>91.868333008320704</v>
      </c>
      <c r="AJ247">
        <v>59.079563560326797</v>
      </c>
      <c r="AK247">
        <v>34.96955971309</v>
      </c>
    </row>
    <row r="248" spans="1:37" x14ac:dyDescent="0.2">
      <c r="A248" t="str">
        <f>"20200111153409512"</f>
        <v>20200111153409512</v>
      </c>
      <c r="B248" t="str">
        <f>"1578728049507263"</f>
        <v>1578728049507263</v>
      </c>
      <c r="C248" t="s">
        <v>37</v>
      </c>
      <c r="D248">
        <v>4.60799</v>
      </c>
      <c r="E248">
        <v>0.75464249999999999</v>
      </c>
      <c r="F248" t="s">
        <v>38</v>
      </c>
      <c r="G248">
        <v>-402.98110000000003</v>
      </c>
      <c r="H248">
        <v>-0.05</v>
      </c>
      <c r="I248">
        <v>348.90469999999999</v>
      </c>
      <c r="J248">
        <v>-436.46519999999998</v>
      </c>
      <c r="K248">
        <v>1.088327</v>
      </c>
      <c r="L248">
        <v>368.01190000000003</v>
      </c>
      <c r="M248">
        <v>0.99965700000000002</v>
      </c>
      <c r="N248">
        <v>0</v>
      </c>
      <c r="O248">
        <v>2.4657350000000001E-2</v>
      </c>
      <c r="P248">
        <v>0.99666359999999998</v>
      </c>
      <c r="Q248">
        <v>-1.3604800000000001E-3</v>
      </c>
      <c r="R248">
        <v>8.1608459999999994E-2</v>
      </c>
      <c r="S248">
        <v>3.1607669999999999</v>
      </c>
      <c r="T248">
        <v>-0.1067384</v>
      </c>
      <c r="U248">
        <v>-1.788208</v>
      </c>
      <c r="V248">
        <v>-5.7012800000000002E-2</v>
      </c>
      <c r="W248">
        <v>7.4117150000000001E-3</v>
      </c>
      <c r="X248">
        <v>0.99834590000000001</v>
      </c>
      <c r="Y248">
        <v>0.51348839999999996</v>
      </c>
      <c r="Z248">
        <v>-8.8434069999999993E-3</v>
      </c>
      <c r="AA248">
        <v>0.85805100000000001</v>
      </c>
      <c r="AB248">
        <v>41</v>
      </c>
      <c r="AC248">
        <v>33.484099999999899</v>
      </c>
      <c r="AD248">
        <v>-1.1383270000000001</v>
      </c>
      <c r="AE248">
        <v>-19.107199999999999</v>
      </c>
      <c r="AF248">
        <v>19.909693502277801</v>
      </c>
      <c r="AG248">
        <v>-1.1383270000000001</v>
      </c>
      <c r="AH248">
        <v>32.974019436504499</v>
      </c>
      <c r="AI248">
        <v>91.6927502748878</v>
      </c>
      <c r="AJ248">
        <v>58.8764454186813</v>
      </c>
      <c r="AK248">
        <v>38.535407633922198</v>
      </c>
    </row>
    <row r="249" spans="1:37" x14ac:dyDescent="0.2">
      <c r="A249" t="str">
        <f>"20200111153409909"</f>
        <v>20200111153409909</v>
      </c>
      <c r="B249" t="str">
        <f>"1578728049906611"</f>
        <v>1578728049906611</v>
      </c>
      <c r="C249" t="s">
        <v>37</v>
      </c>
      <c r="D249">
        <v>5.0882649999999998</v>
      </c>
      <c r="E249">
        <v>0.75464249999999999</v>
      </c>
      <c r="F249" t="s">
        <v>38</v>
      </c>
      <c r="G249">
        <v>-400.29640000000001</v>
      </c>
      <c r="H249">
        <v>-0.05</v>
      </c>
      <c r="I249">
        <v>347.49</v>
      </c>
      <c r="J249">
        <v>-428.94130000000001</v>
      </c>
      <c r="K249">
        <v>1.055617</v>
      </c>
      <c r="L249">
        <v>368.2133</v>
      </c>
      <c r="M249">
        <v>0.99957499999999999</v>
      </c>
      <c r="N249">
        <v>0</v>
      </c>
      <c r="O249">
        <v>2.8783670000000001E-2</v>
      </c>
      <c r="P249">
        <v>0.97336829999999996</v>
      </c>
      <c r="Q249">
        <v>-3.4628570000000002E-3</v>
      </c>
      <c r="R249">
        <v>-0.22922139999999999</v>
      </c>
      <c r="S249">
        <v>3.156555</v>
      </c>
      <c r="T249">
        <v>-9.9345329999999996E-2</v>
      </c>
      <c r="U249">
        <v>-1.7910159999999999</v>
      </c>
      <c r="V249">
        <v>0.25714310000000001</v>
      </c>
      <c r="W249">
        <v>1.195256E-3</v>
      </c>
      <c r="X249">
        <v>0.96637260000000003</v>
      </c>
      <c r="Y249">
        <v>0.518117099999999</v>
      </c>
      <c r="Z249">
        <v>-8.4279369999999999E-3</v>
      </c>
      <c r="AA249">
        <v>0.85526809999999998</v>
      </c>
      <c r="AB249">
        <v>44</v>
      </c>
      <c r="AC249">
        <v>28.6449</v>
      </c>
      <c r="AD249">
        <v>-1.1056170000000001</v>
      </c>
      <c r="AE249">
        <v>-20.723299999999899</v>
      </c>
      <c r="AF249">
        <v>21.5181844351115</v>
      </c>
      <c r="AG249">
        <v>-1.1056170000000001</v>
      </c>
      <c r="AH249">
        <v>28.009141385446299</v>
      </c>
      <c r="AI249">
        <v>91.7929062162777</v>
      </c>
      <c r="AJ249">
        <v>52.466520871740002</v>
      </c>
      <c r="AK249">
        <v>35.3378925727623</v>
      </c>
    </row>
    <row r="250" spans="1:37" x14ac:dyDescent="0.2">
      <c r="A250" t="str">
        <f>"20200111153409999"</f>
        <v>20200111153409999</v>
      </c>
      <c r="B250" t="str">
        <f>"1578728049996403"</f>
        <v>1578728049996403</v>
      </c>
      <c r="C250" t="s">
        <v>37</v>
      </c>
      <c r="D250">
        <v>4.6792499999999997</v>
      </c>
      <c r="E250">
        <v>0.7086614</v>
      </c>
      <c r="F250" t="s">
        <v>39</v>
      </c>
      <c r="G250">
        <v>-409.95780000000002</v>
      </c>
      <c r="H250">
        <v>4.1680439999999999E-2</v>
      </c>
      <c r="I250">
        <v>347.50799999999998</v>
      </c>
      <c r="J250">
        <v>-427.1549</v>
      </c>
      <c r="K250">
        <v>1.054268</v>
      </c>
      <c r="L250">
        <v>368.26560000000001</v>
      </c>
      <c r="M250">
        <v>0.99954909999999997</v>
      </c>
      <c r="N250">
        <v>0</v>
      </c>
      <c r="O250">
        <v>2.9743220000000001E-2</v>
      </c>
      <c r="P250">
        <v>0.95747859999999996</v>
      </c>
      <c r="Q250">
        <v>1.2352210000000001E-3</v>
      </c>
      <c r="R250">
        <v>-0.2885025</v>
      </c>
      <c r="S250">
        <v>2.4518430000000002</v>
      </c>
      <c r="T250">
        <v>-0.13095589999999999</v>
      </c>
      <c r="U250">
        <v>-2.6742249999999999</v>
      </c>
      <c r="V250">
        <v>0.31685000000000002</v>
      </c>
      <c r="W250">
        <v>5.373755E-3</v>
      </c>
      <c r="X250">
        <v>0.94846039999999998</v>
      </c>
      <c r="Y250">
        <v>0.75634789999999996</v>
      </c>
      <c r="Z250">
        <v>-1.7569560000000001E-2</v>
      </c>
      <c r="AA250">
        <v>0.65393349999999995</v>
      </c>
      <c r="AB250">
        <v>44</v>
      </c>
      <c r="AC250">
        <v>17.197099999999899</v>
      </c>
      <c r="AD250">
        <v>-1.0125875600000001</v>
      </c>
      <c r="AE250">
        <v>-20.757599999999901</v>
      </c>
      <c r="AF250">
        <v>21.2299599002306</v>
      </c>
      <c r="AG250">
        <v>-1.0125875600000001</v>
      </c>
      <c r="AH250">
        <v>16.5487363286347</v>
      </c>
      <c r="AI250">
        <v>92.154317728000095</v>
      </c>
      <c r="AJ250">
        <v>37.936385901311198</v>
      </c>
      <c r="AK250">
        <v>26.9369115714244</v>
      </c>
    </row>
    <row r="251" spans="1:37" x14ac:dyDescent="0.2">
      <c r="A251" t="str">
        <f>"20200111153410012"</f>
        <v>20200111153410012</v>
      </c>
      <c r="B251" t="str">
        <f>"1578728050007139"</f>
        <v>1578728050007139</v>
      </c>
      <c r="C251" t="s">
        <v>37</v>
      </c>
      <c r="D251">
        <v>4.8770759999999997</v>
      </c>
      <c r="E251">
        <v>0.71162979999999998</v>
      </c>
      <c r="F251" t="s">
        <v>43</v>
      </c>
      <c r="G251">
        <v>-385.44099999999997</v>
      </c>
      <c r="H251">
        <v>2.6365910000000001</v>
      </c>
      <c r="I251">
        <v>325.43720000000002</v>
      </c>
      <c r="J251">
        <v>-426.86410000000001</v>
      </c>
      <c r="K251">
        <v>1.0541370000000001</v>
      </c>
      <c r="L251">
        <v>368.27429999999998</v>
      </c>
      <c r="M251">
        <v>0.99954460000000001</v>
      </c>
      <c r="N251">
        <v>0</v>
      </c>
      <c r="O251">
        <v>2.9898580000000001E-2</v>
      </c>
      <c r="P251">
        <v>0.95596800000000004</v>
      </c>
      <c r="Q251">
        <v>1.5401099999999999E-3</v>
      </c>
      <c r="R251">
        <v>-0.29346800000000001</v>
      </c>
      <c r="S251">
        <v>2.3928529999999899</v>
      </c>
      <c r="T251">
        <v>9.076679E-2</v>
      </c>
      <c r="U251">
        <v>-2.4567869999999998</v>
      </c>
      <c r="V251">
        <v>0.32191529999999902</v>
      </c>
      <c r="W251">
        <v>5.6288579999999996E-3</v>
      </c>
      <c r="X251">
        <v>0.94675169999999997</v>
      </c>
      <c r="Y251">
        <v>0.73663699999999999</v>
      </c>
      <c r="Z251">
        <v>1.2416180000000001E-2</v>
      </c>
      <c r="AA251">
        <v>0.67617439999999995</v>
      </c>
      <c r="AB251">
        <v>45</v>
      </c>
      <c r="AC251">
        <v>41.423099999999998</v>
      </c>
      <c r="AD251">
        <v>1.582454</v>
      </c>
      <c r="AE251">
        <v>-42.8370999999999</v>
      </c>
      <c r="AF251">
        <v>44.0254033944627</v>
      </c>
      <c r="AG251">
        <v>1.582454</v>
      </c>
      <c r="AH251">
        <v>40.095525655983501</v>
      </c>
      <c r="AI251">
        <v>88.477739222314597</v>
      </c>
      <c r="AJ251">
        <v>42.325257591533799</v>
      </c>
      <c r="AK251">
        <v>59.568376529303897</v>
      </c>
    </row>
    <row r="252" spans="1:37" x14ac:dyDescent="0.2">
      <c r="A252" t="str">
        <f>"20200111153410079"</f>
        <v>20200111153410079</v>
      </c>
      <c r="B252" t="str">
        <f>"1578728050066687"</f>
        <v>1578728050066687</v>
      </c>
      <c r="C252" t="s">
        <v>37</v>
      </c>
      <c r="D252">
        <v>4.8991410000000002</v>
      </c>
      <c r="E252">
        <v>0.7196941</v>
      </c>
      <c r="F252" t="s">
        <v>44</v>
      </c>
      <c r="G252">
        <v>-396.63369999999998</v>
      </c>
      <c r="H252">
        <v>1.6216120000000001</v>
      </c>
      <c r="I252">
        <v>336.49979999999999</v>
      </c>
      <c r="J252">
        <v>-425.56479999999999</v>
      </c>
      <c r="K252">
        <v>1.053679</v>
      </c>
      <c r="L252">
        <v>368.31369999999998</v>
      </c>
      <c r="M252">
        <v>0.99952419999999997</v>
      </c>
      <c r="N252">
        <v>0</v>
      </c>
      <c r="O252">
        <v>3.059164E-2</v>
      </c>
      <c r="P252">
        <v>0.94740329999999995</v>
      </c>
      <c r="Q252">
        <v>1.116356E-3</v>
      </c>
      <c r="R252">
        <v>-0.3200404</v>
      </c>
      <c r="S252">
        <v>2.3725890000000001</v>
      </c>
      <c r="T252">
        <v>4.4543739999999998E-2</v>
      </c>
      <c r="U252">
        <v>-2.4937740000000002</v>
      </c>
      <c r="V252">
        <v>0.34887030000000002</v>
      </c>
      <c r="W252">
        <v>5.0471250000000004E-3</v>
      </c>
      <c r="X252">
        <v>0.93715749999999998</v>
      </c>
      <c r="Y252">
        <v>0.74517299999999997</v>
      </c>
      <c r="Z252">
        <v>6.1783209999999996E-3</v>
      </c>
      <c r="AA252">
        <v>0.66684259999999995</v>
      </c>
      <c r="AB252">
        <v>45</v>
      </c>
      <c r="AC252">
        <v>28.931100000000001</v>
      </c>
      <c r="AD252">
        <v>0.56793300000000002</v>
      </c>
      <c r="AE252">
        <v>-31.813899999999901</v>
      </c>
      <c r="AF252">
        <v>32.678366304175199</v>
      </c>
      <c r="AG252">
        <v>0.56793300000000002</v>
      </c>
      <c r="AH252">
        <v>27.939438596255201</v>
      </c>
      <c r="AI252">
        <v>89.243191192466298</v>
      </c>
      <c r="AJ252">
        <v>40.529870649860896</v>
      </c>
      <c r="AK252">
        <v>42.9977953071581</v>
      </c>
    </row>
    <row r="253" spans="1:37" x14ac:dyDescent="0.2">
      <c r="A253" t="str">
        <f>"20200111153410279"</f>
        <v>20200111153410279</v>
      </c>
      <c r="B253" t="str">
        <f>"1578728050276516"</f>
        <v>1578728050276516</v>
      </c>
      <c r="C253" t="s">
        <v>37</v>
      </c>
      <c r="D253">
        <v>4.6670559999999996</v>
      </c>
      <c r="E253">
        <v>0.72271509999999894</v>
      </c>
      <c r="F253" t="s">
        <v>44</v>
      </c>
      <c r="G253">
        <v>-397.45690000000002</v>
      </c>
      <c r="H253">
        <v>0.45438109999999998</v>
      </c>
      <c r="I253">
        <v>335.97789999999998</v>
      </c>
      <c r="J253">
        <v>-421.4545</v>
      </c>
      <c r="K253">
        <v>1.0532680000000001</v>
      </c>
      <c r="L253">
        <v>368.44470000000001</v>
      </c>
      <c r="M253">
        <v>0.99945499999999998</v>
      </c>
      <c r="N253">
        <v>0</v>
      </c>
      <c r="O253">
        <v>3.2769710000000001E-2</v>
      </c>
      <c r="P253">
        <v>0.96426199999999995</v>
      </c>
      <c r="Q253">
        <v>1.097328E-2</v>
      </c>
      <c r="R253">
        <v>-0.26472319999999999</v>
      </c>
      <c r="S253">
        <v>2.2803960000000001</v>
      </c>
      <c r="T253">
        <v>-4.8614860000000003E-2</v>
      </c>
      <c r="U253">
        <v>-2.6234130000000002</v>
      </c>
      <c r="V253">
        <v>0.29616969999999998</v>
      </c>
      <c r="W253">
        <v>1.497911E-2</v>
      </c>
      <c r="X253">
        <v>0.95501789999999998</v>
      </c>
      <c r="Y253">
        <v>0.77573760000000003</v>
      </c>
      <c r="Z253">
        <v>-7.1064959999999899E-3</v>
      </c>
      <c r="AA253">
        <v>0.63101560000000001</v>
      </c>
      <c r="AB253">
        <v>46</v>
      </c>
      <c r="AC253">
        <v>23.997599999999899</v>
      </c>
      <c r="AD253">
        <v>-0.5988869</v>
      </c>
      <c r="AE253">
        <v>-32.466799999999999</v>
      </c>
      <c r="AF253">
        <v>33.228451671794197</v>
      </c>
      <c r="AG253">
        <v>-0.5988869</v>
      </c>
      <c r="AH253">
        <v>22.915732874021501</v>
      </c>
      <c r="AI253">
        <v>90.850041784432605</v>
      </c>
      <c r="AJ253">
        <v>34.591773725344098</v>
      </c>
      <c r="AK253">
        <v>40.368545665867899</v>
      </c>
    </row>
    <row r="254" spans="1:37" x14ac:dyDescent="0.2">
      <c r="A254" t="str">
        <f>"20200111153410412"</f>
        <v>20200111153410412</v>
      </c>
      <c r="B254" t="str">
        <f>"1578728050407299"</f>
        <v>1578728050407299</v>
      </c>
      <c r="C254" t="s">
        <v>37</v>
      </c>
      <c r="D254">
        <v>6.4648810000000001</v>
      </c>
      <c r="E254">
        <v>0.72033800000000003</v>
      </c>
      <c r="F254" t="s">
        <v>38</v>
      </c>
      <c r="G254">
        <v>-400.84589999999997</v>
      </c>
      <c r="H254">
        <v>-0.05</v>
      </c>
      <c r="I254">
        <v>347.1223</v>
      </c>
      <c r="J254">
        <v>-418.66950000000003</v>
      </c>
      <c r="K254">
        <v>1.0534669999999999</v>
      </c>
      <c r="L254">
        <v>368.53910000000002</v>
      </c>
      <c r="M254">
        <v>0.99940149999999905</v>
      </c>
      <c r="N254">
        <v>0</v>
      </c>
      <c r="O254">
        <v>3.4227819999999999E-2</v>
      </c>
      <c r="P254">
        <v>0.99310319999999996</v>
      </c>
      <c r="Q254">
        <v>1.2189169999999999E-2</v>
      </c>
      <c r="R254">
        <v>-0.116609899999999</v>
      </c>
      <c r="S254">
        <v>2.4241329999999999</v>
      </c>
      <c r="T254">
        <v>-0.1297739</v>
      </c>
      <c r="U254">
        <v>-2.50808699999999</v>
      </c>
      <c r="V254">
        <v>0.15052109999999999</v>
      </c>
      <c r="W254">
        <v>1.7279539999999999E-2</v>
      </c>
      <c r="X254">
        <v>0.9884558</v>
      </c>
      <c r="Y254">
        <v>0.74186339999999995</v>
      </c>
      <c r="Z254">
        <v>-1.778455E-2</v>
      </c>
      <c r="AA254">
        <v>0.670315199999999</v>
      </c>
      <c r="AB254">
        <v>47</v>
      </c>
      <c r="AC254">
        <v>17.823599999999999</v>
      </c>
      <c r="AD254">
        <v>-1.103467</v>
      </c>
      <c r="AE254">
        <v>-21.416799999999999</v>
      </c>
      <c r="AF254">
        <v>21.9798481885713</v>
      </c>
      <c r="AG254">
        <v>-1.103467</v>
      </c>
      <c r="AH254">
        <v>17.053350146803101</v>
      </c>
      <c r="AI254">
        <v>92.271451149973302</v>
      </c>
      <c r="AJ254">
        <v>37.8065619287514</v>
      </c>
      <c r="AK254">
        <v>27.841481947665802</v>
      </c>
    </row>
    <row r="255" spans="1:37" x14ac:dyDescent="0.2">
      <c r="A255" t="str">
        <f>"20200111153410434"</f>
        <v>20200111153410434</v>
      </c>
      <c r="B255" t="str">
        <f>"1578728050426819"</f>
        <v>1578728050426819</v>
      </c>
      <c r="C255" t="s">
        <v>37</v>
      </c>
      <c r="D255">
        <v>4.2904489999999997</v>
      </c>
      <c r="E255">
        <v>0.3680967</v>
      </c>
      <c r="F255" t="s">
        <v>42</v>
      </c>
      <c r="G255">
        <v>-404.93130000000002</v>
      </c>
      <c r="H255">
        <v>0.3658438</v>
      </c>
      <c r="I255">
        <v>358.17809999999997</v>
      </c>
      <c r="J255">
        <v>-418.19029999999998</v>
      </c>
      <c r="K255">
        <v>1.0536159999999899</v>
      </c>
      <c r="L255">
        <v>368.55579999999998</v>
      </c>
      <c r="M255">
        <v>0.99938899999999997</v>
      </c>
      <c r="N255">
        <v>0</v>
      </c>
      <c r="O255">
        <v>3.4472570000000001E-2</v>
      </c>
      <c r="P255">
        <v>0.99541069999999998</v>
      </c>
      <c r="Q255">
        <v>1.1998770000000001E-2</v>
      </c>
      <c r="R255">
        <v>-9.4943230000000003E-2</v>
      </c>
      <c r="S255">
        <v>2.776672</v>
      </c>
      <c r="T255">
        <v>-0.13896120000000001</v>
      </c>
      <c r="U255">
        <v>-2.0940859999999999</v>
      </c>
      <c r="V255">
        <v>0.12918830000000001</v>
      </c>
      <c r="W255">
        <v>1.7826870000000002E-2</v>
      </c>
      <c r="X255">
        <v>0.9914598</v>
      </c>
      <c r="Y255">
        <v>0.62876189999999998</v>
      </c>
      <c r="Z255">
        <v>-1.5498939999999999E-2</v>
      </c>
      <c r="AA255">
        <v>0.77744340000000001</v>
      </c>
      <c r="AB255">
        <v>47</v>
      </c>
      <c r="AC255">
        <v>13.258999999999901</v>
      </c>
      <c r="AD255">
        <v>-0.68777219999999994</v>
      </c>
      <c r="AE255">
        <v>-10.377700000000001</v>
      </c>
      <c r="AF255">
        <v>10.8105731598519</v>
      </c>
      <c r="AG255">
        <v>-0.68777219999999994</v>
      </c>
      <c r="AH255">
        <v>12.871889823111999</v>
      </c>
      <c r="AI255">
        <v>92.343010909941796</v>
      </c>
      <c r="AJ255">
        <v>49.974475950272897</v>
      </c>
      <c r="AK255">
        <v>16.823408402043199</v>
      </c>
    </row>
    <row r="256" spans="1:37" x14ac:dyDescent="0.2">
      <c r="A256" t="str">
        <f>"20200111153410456"</f>
        <v>20200111153410456</v>
      </c>
      <c r="B256" t="str">
        <f>"1578728050446338"</f>
        <v>1578728050446338</v>
      </c>
      <c r="C256" t="s">
        <v>37</v>
      </c>
      <c r="D256">
        <v>4.3593120000000001</v>
      </c>
      <c r="E256">
        <v>0.36689509999999997</v>
      </c>
      <c r="F256" t="s">
        <v>39</v>
      </c>
      <c r="G256">
        <v>-391.53840000000002</v>
      </c>
      <c r="H256" s="1">
        <v>-4.7329019999999997E-6</v>
      </c>
      <c r="I256">
        <v>375.1431</v>
      </c>
      <c r="J256">
        <v>-417.72329999999999</v>
      </c>
      <c r="K256">
        <v>1.0537069999999999</v>
      </c>
      <c r="L256">
        <v>368.57209999999998</v>
      </c>
      <c r="M256">
        <v>0.99937710000000002</v>
      </c>
      <c r="N256">
        <v>0</v>
      </c>
      <c r="O256">
        <v>3.4711789999999999E-2</v>
      </c>
      <c r="P256">
        <v>0.99710030000000005</v>
      </c>
      <c r="Q256">
        <v>1.2490799999999899E-2</v>
      </c>
      <c r="R256">
        <v>-7.5069960000000005E-2</v>
      </c>
      <c r="S256">
        <v>3.0881349999999999</v>
      </c>
      <c r="T256">
        <v>-0.1220816</v>
      </c>
      <c r="U256">
        <v>0.76327509999999998</v>
      </c>
      <c r="V256">
        <v>0.10962229999999901</v>
      </c>
      <c r="W256">
        <v>1.891578E-2</v>
      </c>
      <c r="X256">
        <v>0.99379329999999999</v>
      </c>
      <c r="Y256">
        <v>-0.20597449999999901</v>
      </c>
      <c r="Z256">
        <v>2.6596990000000002E-3</v>
      </c>
      <c r="AA256">
        <v>0.97855369999999997</v>
      </c>
      <c r="AB256">
        <v>47</v>
      </c>
      <c r="AC256">
        <v>26.184899999999899</v>
      </c>
      <c r="AD256">
        <v>-1.053711732902</v>
      </c>
      <c r="AE256">
        <v>6.5710000000000202</v>
      </c>
      <c r="AF256">
        <v>-5.6494902253603296</v>
      </c>
      <c r="AG256">
        <v>-1.053711732902</v>
      </c>
      <c r="AH256">
        <v>26.357062364311499</v>
      </c>
      <c r="AI256">
        <v>92.238578139035795</v>
      </c>
      <c r="AJ256">
        <v>102.097974994933</v>
      </c>
      <c r="AK256">
        <v>26.976318961242701</v>
      </c>
    </row>
    <row r="257" spans="1:37" x14ac:dyDescent="0.2">
      <c r="A257" t="str">
        <f>"20200111153410479"</f>
        <v>20200111153410479</v>
      </c>
      <c r="B257" t="str">
        <f>"1578728050466835"</f>
        <v>1578728050466835</v>
      </c>
      <c r="C257" t="s">
        <v>37</v>
      </c>
      <c r="D257">
        <v>4.3599180000000004</v>
      </c>
      <c r="E257">
        <v>0.37359130000000002</v>
      </c>
      <c r="F257" t="s">
        <v>39</v>
      </c>
      <c r="G257">
        <v>-394.09789999999998</v>
      </c>
      <c r="H257" s="1">
        <v>-3.8333329999999996E-6</v>
      </c>
      <c r="I257">
        <v>374.98219999999998</v>
      </c>
      <c r="J257">
        <v>-417.25279999999998</v>
      </c>
      <c r="K257">
        <v>1.0537570000000001</v>
      </c>
      <c r="L257">
        <v>368.58879999999999</v>
      </c>
      <c r="M257">
        <v>0.99936569999999902</v>
      </c>
      <c r="N257">
        <v>0</v>
      </c>
      <c r="O257">
        <v>3.4948189999999997E-2</v>
      </c>
      <c r="P257">
        <v>0.99828030000000001</v>
      </c>
      <c r="Q257">
        <v>1.256342E-2</v>
      </c>
      <c r="R257">
        <v>-5.726229E-2</v>
      </c>
      <c r="S257">
        <v>3.0732119999999998</v>
      </c>
      <c r="T257">
        <v>-0.137067299999999</v>
      </c>
      <c r="U257">
        <v>0.83383180000000001</v>
      </c>
      <c r="V257">
        <v>9.2101310000000006E-2</v>
      </c>
      <c r="W257">
        <v>1.9460700000000001E-2</v>
      </c>
      <c r="X257">
        <v>0.99555949999999904</v>
      </c>
      <c r="Y257">
        <v>-0.22778769999999901</v>
      </c>
      <c r="Z257">
        <v>3.4588549999999998E-3</v>
      </c>
      <c r="AA257">
        <v>0.97370469999999898</v>
      </c>
      <c r="AB257">
        <v>47</v>
      </c>
      <c r="AC257">
        <v>23.154900000000001</v>
      </c>
      <c r="AD257">
        <v>-1.053760833333</v>
      </c>
      <c r="AE257">
        <v>6.3933999999999802</v>
      </c>
      <c r="AF257">
        <v>-5.5695355915545797</v>
      </c>
      <c r="AG257">
        <v>-1.053760833333</v>
      </c>
      <c r="AH257">
        <v>23.319322486116398</v>
      </c>
      <c r="AI257">
        <v>92.516650498980596</v>
      </c>
      <c r="AJ257">
        <v>103.432753976356</v>
      </c>
      <c r="AK257">
        <v>23.998352856205699</v>
      </c>
    </row>
    <row r="258" spans="1:37" x14ac:dyDescent="0.2">
      <c r="A258" t="str">
        <f>"20200111153410500"</f>
        <v>20200111153410500</v>
      </c>
      <c r="B258" t="str">
        <f>"1578728050497091"</f>
        <v>1578728050497091</v>
      </c>
      <c r="C258" t="s">
        <v>37</v>
      </c>
      <c r="D258">
        <v>4.4743180000000002</v>
      </c>
      <c r="E258">
        <v>0.38007669999999999</v>
      </c>
      <c r="F258" t="s">
        <v>39</v>
      </c>
      <c r="G258">
        <v>-395.93799999999999</v>
      </c>
      <c r="H258" s="1">
        <v>-3.0011270000000001E-6</v>
      </c>
      <c r="I258">
        <v>374.41269999999997</v>
      </c>
      <c r="J258">
        <v>-416.81240000000003</v>
      </c>
      <c r="K258">
        <v>1.053806</v>
      </c>
      <c r="L258">
        <v>368.6044</v>
      </c>
      <c r="M258">
        <v>0.99935439999999998</v>
      </c>
      <c r="N258">
        <v>0</v>
      </c>
      <c r="O258">
        <v>3.5174690000000002E-2</v>
      </c>
      <c r="P258">
        <v>0.99900419999999901</v>
      </c>
      <c r="Q258">
        <v>1.2308690000000001E-2</v>
      </c>
      <c r="R258">
        <v>-4.2887139999999997E-2</v>
      </c>
      <c r="S258">
        <v>3.054932</v>
      </c>
      <c r="T258">
        <v>-0.1510292</v>
      </c>
      <c r="U258">
        <v>0.83471679999999904</v>
      </c>
      <c r="V258">
        <v>7.7986050000000001E-2</v>
      </c>
      <c r="W258">
        <v>1.967143E-2</v>
      </c>
      <c r="X258">
        <v>0.99676039999999999</v>
      </c>
      <c r="Y258">
        <v>-0.22925899999999999</v>
      </c>
      <c r="Z258">
        <v>3.8573700000000002E-3</v>
      </c>
      <c r="AA258">
        <v>0.97335780000000005</v>
      </c>
      <c r="AB258">
        <v>47</v>
      </c>
      <c r="AC258">
        <v>20.874399999999898</v>
      </c>
      <c r="AD258">
        <v>-1.053809001127</v>
      </c>
      <c r="AE258">
        <v>5.8082999999999698</v>
      </c>
      <c r="AF258">
        <v>-5.0584698689586602</v>
      </c>
      <c r="AG258">
        <v>-1.053809001127</v>
      </c>
      <c r="AH258">
        <v>21.016080408757801</v>
      </c>
      <c r="AI258">
        <v>92.790999707451405</v>
      </c>
      <c r="AJ258">
        <v>103.53339048564899</v>
      </c>
      <c r="AK258">
        <v>21.6419561632813</v>
      </c>
    </row>
    <row r="259" spans="1:37" x14ac:dyDescent="0.2">
      <c r="A259" t="str">
        <f>"20200111153410523"</f>
        <v>20200111153410523</v>
      </c>
      <c r="B259" t="str">
        <f>"1578728050516612"</f>
        <v>1578728050516612</v>
      </c>
      <c r="C259" t="s">
        <v>37</v>
      </c>
      <c r="D259">
        <v>4.3984529999999999</v>
      </c>
      <c r="E259">
        <v>0.38507979999999897</v>
      </c>
      <c r="F259" t="s">
        <v>39</v>
      </c>
      <c r="G259">
        <v>-394.93060000000003</v>
      </c>
      <c r="H259" s="1">
        <v>-3.470059E-6</v>
      </c>
      <c r="I259">
        <v>374.55079999999998</v>
      </c>
      <c r="J259">
        <v>-416.32060000000001</v>
      </c>
      <c r="K259">
        <v>1.053874</v>
      </c>
      <c r="L259">
        <v>368.62199999999899</v>
      </c>
      <c r="M259">
        <v>0.99934059999999902</v>
      </c>
      <c r="N259">
        <v>0</v>
      </c>
      <c r="O259">
        <v>3.5440399999999997E-2</v>
      </c>
      <c r="P259">
        <v>0.99945049999999902</v>
      </c>
      <c r="Q259">
        <v>1.269548E-2</v>
      </c>
      <c r="R259">
        <v>-3.0624209999999999E-2</v>
      </c>
      <c r="S259">
        <v>3.0402529999999999</v>
      </c>
      <c r="T259">
        <v>-0.1464155</v>
      </c>
      <c r="U259">
        <v>0.826202399999999</v>
      </c>
      <c r="V259">
        <v>6.6011169999999994E-2</v>
      </c>
      <c r="W259">
        <v>2.062491E-2</v>
      </c>
      <c r="X259">
        <v>0.99760569999999904</v>
      </c>
      <c r="Y259">
        <v>-0.2276707</v>
      </c>
      <c r="Z259">
        <v>3.7083279999999999E-3</v>
      </c>
      <c r="AA259">
        <v>0.97373109999999996</v>
      </c>
      <c r="AB259">
        <v>47</v>
      </c>
      <c r="AC259">
        <v>21.389999999999901</v>
      </c>
      <c r="AD259">
        <v>-1.0538774700589999</v>
      </c>
      <c r="AE259">
        <v>5.9288000000000203</v>
      </c>
      <c r="AF259">
        <v>-5.1553597006803402</v>
      </c>
      <c r="AG259">
        <v>-1.0538774700589999</v>
      </c>
      <c r="AH259">
        <v>21.538133835742499</v>
      </c>
      <c r="AI259">
        <v>92.724454130367405</v>
      </c>
      <c r="AJ259">
        <v>103.461035903222</v>
      </c>
      <c r="AK259">
        <v>22.1715944508204</v>
      </c>
    </row>
    <row r="260" spans="1:37" x14ac:dyDescent="0.2">
      <c r="A260" t="str">
        <f>"20200111153410545"</f>
        <v>20200111153410545</v>
      </c>
      <c r="B260" t="str">
        <f>"1578728050537109"</f>
        <v>1578728050537109</v>
      </c>
      <c r="C260" t="s">
        <v>37</v>
      </c>
      <c r="D260">
        <v>4.4739870000000002</v>
      </c>
      <c r="E260">
        <v>0.41796650000000002</v>
      </c>
      <c r="F260" t="s">
        <v>39</v>
      </c>
      <c r="G260">
        <v>-394.67970000000003</v>
      </c>
      <c r="H260" s="1">
        <v>-3.55057099999999E-6</v>
      </c>
      <c r="I260">
        <v>374.50439999999998</v>
      </c>
      <c r="J260">
        <v>-415.84559999999999</v>
      </c>
      <c r="K260">
        <v>1.05393799999999</v>
      </c>
      <c r="L260">
        <v>368.63920000000002</v>
      </c>
      <c r="M260">
        <v>0.99932710000000002</v>
      </c>
      <c r="N260">
        <v>0</v>
      </c>
      <c r="O260">
        <v>3.5695739999999997E-2</v>
      </c>
      <c r="P260">
        <v>0.99971449999999995</v>
      </c>
      <c r="Q260">
        <v>1.379444E-2</v>
      </c>
      <c r="R260">
        <v>-1.9520840000000001E-2</v>
      </c>
      <c r="S260">
        <v>3.02874799999999</v>
      </c>
      <c r="T260">
        <v>-0.14749499999999999</v>
      </c>
      <c r="U260">
        <v>0.82327269999999897</v>
      </c>
      <c r="V260">
        <v>5.5178110000000002E-2</v>
      </c>
      <c r="W260">
        <v>2.2266279999999999E-2</v>
      </c>
      <c r="X260">
        <v>0.99822829999999996</v>
      </c>
      <c r="Y260">
        <v>-0.2274766</v>
      </c>
      <c r="Z260">
        <v>3.732965E-3</v>
      </c>
      <c r="AA260">
        <v>0.97377639999999999</v>
      </c>
      <c r="AB260">
        <v>47</v>
      </c>
      <c r="AC260">
        <v>21.165899999999901</v>
      </c>
      <c r="AD260">
        <v>-1.0539415505709999</v>
      </c>
      <c r="AE260">
        <v>5.8651999999999598</v>
      </c>
      <c r="AF260">
        <v>-5.09417238126633</v>
      </c>
      <c r="AG260">
        <v>-1.0539415505709999</v>
      </c>
      <c r="AH260">
        <v>21.3127043298758</v>
      </c>
      <c r="AI260">
        <v>92.753605333287993</v>
      </c>
      <c r="AJ260">
        <v>103.442654611178</v>
      </c>
      <c r="AK260">
        <v>21.938385330164699</v>
      </c>
    </row>
    <row r="261" spans="1:37" x14ac:dyDescent="0.2">
      <c r="A261" t="str">
        <f>"20200111153410567"</f>
        <v>20200111153410567</v>
      </c>
      <c r="B261" t="str">
        <f>"1578728050556626"</f>
        <v>1578728050556626</v>
      </c>
      <c r="C261" t="s">
        <v>37</v>
      </c>
      <c r="D261">
        <v>4.5452859999999999</v>
      </c>
      <c r="E261">
        <v>0.42184389999999999</v>
      </c>
      <c r="F261" t="s">
        <v>39</v>
      </c>
      <c r="G261">
        <v>-395.6044</v>
      </c>
      <c r="H261" s="1">
        <v>-2.6707269999999998E-6</v>
      </c>
      <c r="I261">
        <v>372.63310000000001</v>
      </c>
      <c r="J261">
        <v>-415.39240000000001</v>
      </c>
      <c r="K261">
        <v>1.0539909999999999</v>
      </c>
      <c r="L261">
        <v>368.65570000000002</v>
      </c>
      <c r="M261">
        <v>0.99931419999999904</v>
      </c>
      <c r="N261">
        <v>0</v>
      </c>
      <c r="O261">
        <v>3.5935620000000001E-2</v>
      </c>
      <c r="P261">
        <v>0.99984879999999998</v>
      </c>
      <c r="Q261">
        <v>1.398836E-2</v>
      </c>
      <c r="R261">
        <v>-1.033333E-2</v>
      </c>
      <c r="S261">
        <v>3.01464799999999</v>
      </c>
      <c r="T261">
        <v>-0.15696969999999999</v>
      </c>
      <c r="U261">
        <v>0.59484859999999995</v>
      </c>
      <c r="V261">
        <v>4.624064E-2</v>
      </c>
      <c r="W261">
        <v>2.294417E-2</v>
      </c>
      <c r="X261">
        <v>0.99866679999999997</v>
      </c>
      <c r="Y261">
        <v>-0.15804550000000001</v>
      </c>
      <c r="Z261">
        <v>2.2224670000000001E-3</v>
      </c>
      <c r="AA261">
        <v>0.98742929999999995</v>
      </c>
      <c r="AB261">
        <v>47</v>
      </c>
      <c r="AC261">
        <v>19.788</v>
      </c>
      <c r="AD261">
        <v>-1.0539936707269999</v>
      </c>
      <c r="AE261">
        <v>3.9773999999999798</v>
      </c>
      <c r="AF261">
        <v>-3.2548327643138601</v>
      </c>
      <c r="AG261">
        <v>-1.0539936707269999</v>
      </c>
      <c r="AH261">
        <v>19.863986714547199</v>
      </c>
      <c r="AI261">
        <v>92.997398790167395</v>
      </c>
      <c r="AJ261">
        <v>99.305562422571896</v>
      </c>
      <c r="AK261">
        <v>20.156458200221898</v>
      </c>
    </row>
    <row r="262" spans="1:37" x14ac:dyDescent="0.2">
      <c r="A262" t="str">
        <f>"20200111153410589"</f>
        <v>20200111153410589</v>
      </c>
      <c r="B262" t="str">
        <f>"1578728050586884"</f>
        <v>1578728050586884</v>
      </c>
      <c r="C262" t="s">
        <v>37</v>
      </c>
      <c r="D262">
        <v>4.6429749999999999</v>
      </c>
      <c r="E262">
        <v>0.42798919999999901</v>
      </c>
      <c r="F262" t="s">
        <v>39</v>
      </c>
      <c r="G262">
        <v>-395.71589999999998</v>
      </c>
      <c r="H262" s="1">
        <v>-2.5937970000000002E-6</v>
      </c>
      <c r="I262">
        <v>372.52379999999999</v>
      </c>
      <c r="J262">
        <v>-414.91309999999999</v>
      </c>
      <c r="K262">
        <v>1.054028</v>
      </c>
      <c r="L262">
        <v>368.67320000000001</v>
      </c>
      <c r="M262">
        <v>0.99930090000000005</v>
      </c>
      <c r="N262">
        <v>0</v>
      </c>
      <c r="O262">
        <v>3.6188999999999999E-2</v>
      </c>
      <c r="P262">
        <v>0.99990330000000005</v>
      </c>
      <c r="Q262">
        <v>1.3623740000000001E-2</v>
      </c>
      <c r="R262">
        <v>-2.8453529999999901E-3</v>
      </c>
      <c r="S262">
        <v>3.0087890000000002</v>
      </c>
      <c r="T262">
        <v>-0.161168899999999</v>
      </c>
      <c r="U262">
        <v>0.59149169999999995</v>
      </c>
      <c r="V262">
        <v>3.9012699999999997E-2</v>
      </c>
      <c r="W262">
        <v>2.304285E-2</v>
      </c>
      <c r="X262">
        <v>0.998973</v>
      </c>
      <c r="Y262">
        <v>-0.15709200000000001</v>
      </c>
      <c r="Z262">
        <v>2.2477410000000001E-3</v>
      </c>
      <c r="AA262">
        <v>0.98758140000000005</v>
      </c>
      <c r="AB262">
        <v>47</v>
      </c>
      <c r="AC262">
        <v>19.197199999999999</v>
      </c>
      <c r="AD262">
        <v>-1.054030593797</v>
      </c>
      <c r="AE262">
        <v>3.85059999999998</v>
      </c>
      <c r="AF262">
        <v>-3.1442074813939498</v>
      </c>
      <c r="AG262">
        <v>-1.054030593797</v>
      </c>
      <c r="AH262">
        <v>19.2681402383161</v>
      </c>
      <c r="AI262">
        <v>93.090352427933198</v>
      </c>
      <c r="AJ262">
        <v>99.2679346552043</v>
      </c>
      <c r="AK262">
        <v>19.551425764432899</v>
      </c>
    </row>
    <row r="263" spans="1:37" x14ac:dyDescent="0.2">
      <c r="A263" t="str">
        <f>"20200111153410612"</f>
        <v>20200111153410612</v>
      </c>
      <c r="B263" t="str">
        <f>"1578728050606403"</f>
        <v>1578728050606403</v>
      </c>
      <c r="C263" t="s">
        <v>37</v>
      </c>
      <c r="D263">
        <v>4.6443649999999996</v>
      </c>
      <c r="E263">
        <v>0.4302803</v>
      </c>
      <c r="F263" t="s">
        <v>39</v>
      </c>
      <c r="G263">
        <v>-397.22770000000003</v>
      </c>
      <c r="H263" s="1">
        <v>-1.8056009999999999E-6</v>
      </c>
      <c r="I263">
        <v>371.99880000000002</v>
      </c>
      <c r="J263">
        <v>-414.44260000000003</v>
      </c>
      <c r="K263">
        <v>1.0540499999999999</v>
      </c>
      <c r="L263">
        <v>368.69049999999999</v>
      </c>
      <c r="M263">
        <v>0.99928779999999995</v>
      </c>
      <c r="N263">
        <v>0</v>
      </c>
      <c r="O263">
        <v>3.6437629999999999E-2</v>
      </c>
      <c r="P263">
        <v>0.9999017</v>
      </c>
      <c r="Q263">
        <v>1.346401E-2</v>
      </c>
      <c r="R263">
        <v>3.9429360000000002E-3</v>
      </c>
      <c r="S263">
        <v>3.00430299999999</v>
      </c>
      <c r="T263">
        <v>-0.17905209999999999</v>
      </c>
      <c r="U263">
        <v>0.56494140000000004</v>
      </c>
      <c r="V263">
        <v>3.2477409999999998E-2</v>
      </c>
      <c r="W263">
        <v>2.3288360000000001E-2</v>
      </c>
      <c r="X263">
        <v>0.99920109999999995</v>
      </c>
      <c r="Y263">
        <v>-0.14867859999999999</v>
      </c>
      <c r="Z263">
        <v>2.2394009999999998E-3</v>
      </c>
      <c r="AA263">
        <v>0.98888299999999996</v>
      </c>
      <c r="AB263">
        <v>47</v>
      </c>
      <c r="AC263">
        <v>17.2149</v>
      </c>
      <c r="AD263">
        <v>-1.054051805601</v>
      </c>
      <c r="AE263">
        <v>3.3083000000000302</v>
      </c>
      <c r="AF263">
        <v>-2.6691522760729498</v>
      </c>
      <c r="AG263">
        <v>-1.054051805601</v>
      </c>
      <c r="AH263">
        <v>17.261610568321601</v>
      </c>
      <c r="AI263">
        <v>93.453392770552995</v>
      </c>
      <c r="AJ263">
        <v>98.789995503585999</v>
      </c>
      <c r="AK263">
        <v>17.4985313239183</v>
      </c>
    </row>
    <row r="264" spans="1:37" x14ac:dyDescent="0.2">
      <c r="A264" t="str">
        <f>"20200111153410635"</f>
        <v>20200111153410635</v>
      </c>
      <c r="B264" t="str">
        <f>"1578728050626899"</f>
        <v>1578728050626899</v>
      </c>
      <c r="C264" t="s">
        <v>37</v>
      </c>
      <c r="D264">
        <v>4.9061629999999896</v>
      </c>
      <c r="E264">
        <v>0.43172680000000002</v>
      </c>
      <c r="F264" t="s">
        <v>39</v>
      </c>
      <c r="G264">
        <v>-397.4</v>
      </c>
      <c r="H264" s="1">
        <v>-1.7078749999999999E-6</v>
      </c>
      <c r="I264">
        <v>371.90940000000001</v>
      </c>
      <c r="J264">
        <v>-413.95929999999998</v>
      </c>
      <c r="K264">
        <v>1.0540620000000001</v>
      </c>
      <c r="L264">
        <v>368.70839999999998</v>
      </c>
      <c r="M264">
        <v>0.99927469999999996</v>
      </c>
      <c r="N264">
        <v>0</v>
      </c>
      <c r="O264">
        <v>3.6692669999999997E-2</v>
      </c>
      <c r="P264">
        <v>0.99986980000000003</v>
      </c>
      <c r="Q264">
        <v>1.2665799999999901E-2</v>
      </c>
      <c r="R264">
        <v>1.0010349999999999E-2</v>
      </c>
      <c r="S264">
        <v>3.0005799999999998</v>
      </c>
      <c r="T264">
        <v>-0.18557939999999901</v>
      </c>
      <c r="U264">
        <v>0.56674190000000002</v>
      </c>
      <c r="V264">
        <v>2.6668480000000001E-2</v>
      </c>
      <c r="W264">
        <v>2.2859790000000001E-2</v>
      </c>
      <c r="X264">
        <v>0.99938289999999996</v>
      </c>
      <c r="Y264">
        <v>-0.1492067</v>
      </c>
      <c r="Z264">
        <v>2.3241729999999901E-3</v>
      </c>
      <c r="AA264">
        <v>0.98880330000000005</v>
      </c>
      <c r="AB264">
        <v>47</v>
      </c>
      <c r="AC264">
        <v>16.5593</v>
      </c>
      <c r="AD264">
        <v>-1.0540637078749999</v>
      </c>
      <c r="AE264">
        <v>3.2010000000000201</v>
      </c>
      <c r="AF264">
        <v>-2.5811262363510101</v>
      </c>
      <c r="AG264">
        <v>-1.0540637078749999</v>
      </c>
      <c r="AH264">
        <v>16.6007667176243</v>
      </c>
      <c r="AI264">
        <v>93.5900907236732</v>
      </c>
      <c r="AJ264">
        <v>98.837719292346307</v>
      </c>
      <c r="AK264">
        <v>16.833262267344999</v>
      </c>
    </row>
    <row r="265" spans="1:37" x14ac:dyDescent="0.2">
      <c r="A265" t="str">
        <f>"20200111153410657"</f>
        <v>20200111153410657</v>
      </c>
      <c r="B265" t="str">
        <f>"1578728050646419"</f>
        <v>1578728050646419</v>
      </c>
      <c r="C265" t="s">
        <v>37</v>
      </c>
      <c r="D265">
        <v>4.7392799999999999</v>
      </c>
      <c r="E265">
        <v>0.4793771</v>
      </c>
      <c r="F265" t="s">
        <v>39</v>
      </c>
      <c r="G265">
        <v>-397.399</v>
      </c>
      <c r="H265" s="1">
        <v>-1.6993350000000001E-6</v>
      </c>
      <c r="I265">
        <v>371.87560000000002</v>
      </c>
      <c r="J265">
        <v>-413.49970000000002</v>
      </c>
      <c r="K265">
        <v>1.0540670000000001</v>
      </c>
      <c r="L265">
        <v>368.72559999999999</v>
      </c>
      <c r="M265">
        <v>0.99926269999999995</v>
      </c>
      <c r="N265">
        <v>0</v>
      </c>
      <c r="O265">
        <v>3.6934929999999998E-2</v>
      </c>
      <c r="P265">
        <v>0.99983349999999904</v>
      </c>
      <c r="Q265">
        <v>1.1492250000000001E-2</v>
      </c>
      <c r="R265">
        <v>1.4193839999999999E-2</v>
      </c>
      <c r="S265">
        <v>2.9970699999999999</v>
      </c>
      <c r="T265">
        <v>-0.1907625</v>
      </c>
      <c r="U265">
        <v>0.57321169999999899</v>
      </c>
      <c r="V265">
        <v>2.272979E-2</v>
      </c>
      <c r="W265">
        <v>2.1996459999999999E-2</v>
      </c>
      <c r="X265">
        <v>0.99949959999999904</v>
      </c>
      <c r="Y265">
        <v>-0.1512221</v>
      </c>
      <c r="Z265">
        <v>2.4395139999999998E-3</v>
      </c>
      <c r="AA265">
        <v>0.98849679999999995</v>
      </c>
      <c r="AB265">
        <v>47</v>
      </c>
      <c r="AC265">
        <v>16.1007</v>
      </c>
      <c r="AD265">
        <v>-1.0540686993349999</v>
      </c>
      <c r="AE265">
        <v>3.1500000000000301</v>
      </c>
      <c r="AF265">
        <v>-2.54264360756203</v>
      </c>
      <c r="AG265">
        <v>-1.0540686993349999</v>
      </c>
      <c r="AH265">
        <v>16.139441323247901</v>
      </c>
      <c r="AI265">
        <v>93.691287800459506</v>
      </c>
      <c r="AJ265">
        <v>98.952919779119895</v>
      </c>
      <c r="AK265">
        <v>16.372466630430399</v>
      </c>
    </row>
    <row r="266" spans="1:37" x14ac:dyDescent="0.2">
      <c r="A266" t="str">
        <f>"20200111153410678"</f>
        <v>20200111153410678</v>
      </c>
      <c r="B266" t="str">
        <f>"1578728050666915"</f>
        <v>1578728050666915</v>
      </c>
      <c r="C266" t="s">
        <v>37</v>
      </c>
      <c r="D266">
        <v>4.7523210000000002</v>
      </c>
      <c r="E266">
        <v>0.48228399999999999</v>
      </c>
      <c r="F266" t="s">
        <v>39</v>
      </c>
      <c r="G266">
        <v>-394.30009999999999</v>
      </c>
      <c r="H266" s="1">
        <v>-2.5407070000000001E-6</v>
      </c>
      <c r="I266">
        <v>370.04149999999998</v>
      </c>
      <c r="J266">
        <v>-413.05709999999999</v>
      </c>
      <c r="K266">
        <v>1.0540689999999999</v>
      </c>
      <c r="L266">
        <v>368.74220000000003</v>
      </c>
      <c r="M266">
        <v>0.99925109999999995</v>
      </c>
      <c r="N266">
        <v>0</v>
      </c>
      <c r="O266">
        <v>3.7169969999999997E-2</v>
      </c>
      <c r="P266">
        <v>0.99981330000000002</v>
      </c>
      <c r="Q266">
        <v>9.8486509999999999E-3</v>
      </c>
      <c r="R266">
        <v>1.6622250000000002E-2</v>
      </c>
      <c r="S266">
        <v>2.9994509999999899</v>
      </c>
      <c r="T266">
        <v>-0.16467119999999999</v>
      </c>
      <c r="U266">
        <v>0.2055969</v>
      </c>
      <c r="V266">
        <v>2.0538870000000001E-2</v>
      </c>
      <c r="W266">
        <v>2.0618230000000001E-2</v>
      </c>
      <c r="X266">
        <v>0.99957640000000003</v>
      </c>
      <c r="Y266">
        <v>-3.1260870000000003E-2</v>
      </c>
      <c r="Z266">
        <v>-1.1793769999999999E-3</v>
      </c>
      <c r="AA266">
        <v>0.99951060000000003</v>
      </c>
      <c r="AB266">
        <v>47</v>
      </c>
      <c r="AC266">
        <v>18.757000000000001</v>
      </c>
      <c r="AD266">
        <v>-1.054071540707</v>
      </c>
      <c r="AE266">
        <v>1.2992999999999499</v>
      </c>
      <c r="AF266">
        <v>-0.59928108739633201</v>
      </c>
      <c r="AG266">
        <v>-1.054071540707</v>
      </c>
      <c r="AH266">
        <v>18.733456443607</v>
      </c>
      <c r="AI266">
        <v>93.218811001581201</v>
      </c>
      <c r="AJ266">
        <v>91.832260460478295</v>
      </c>
      <c r="AK266">
        <v>18.772655511652001</v>
      </c>
    </row>
    <row r="267" spans="1:37" x14ac:dyDescent="0.2">
      <c r="A267" t="str">
        <f>"20200111153410702"</f>
        <v>20200111153410702</v>
      </c>
      <c r="B267" t="str">
        <f>"1578728050697171"</f>
        <v>1578728050697171</v>
      </c>
      <c r="C267" t="s">
        <v>37</v>
      </c>
      <c r="D267">
        <v>4.7343199999999896</v>
      </c>
      <c r="E267">
        <v>0.48421510000000001</v>
      </c>
      <c r="F267" t="s">
        <v>39</v>
      </c>
      <c r="G267">
        <v>-393.536</v>
      </c>
      <c r="H267" s="1">
        <v>-2.8509480000000002E-6</v>
      </c>
      <c r="I267">
        <v>369.97559999999999</v>
      </c>
      <c r="J267">
        <v>-412.56630000000001</v>
      </c>
      <c r="K267">
        <v>1.054068</v>
      </c>
      <c r="L267">
        <v>368.76080000000002</v>
      </c>
      <c r="M267">
        <v>0.99923839999999997</v>
      </c>
      <c r="N267">
        <v>0</v>
      </c>
      <c r="O267">
        <v>3.7433370000000001E-2</v>
      </c>
      <c r="P267">
        <v>0.9998165</v>
      </c>
      <c r="Q267">
        <v>8.1692129999999998E-3</v>
      </c>
      <c r="R267">
        <v>1.7332210000000001E-2</v>
      </c>
      <c r="S267">
        <v>2.998993</v>
      </c>
      <c r="T267">
        <v>-0.16193489999999999</v>
      </c>
      <c r="U267">
        <v>0.1894836</v>
      </c>
      <c r="V267">
        <v>2.0094170000000001E-2</v>
      </c>
      <c r="W267">
        <v>1.9196589999999999E-2</v>
      </c>
      <c r="X267">
        <v>0.9996138</v>
      </c>
      <c r="Y267">
        <v>-2.5668389999999999E-2</v>
      </c>
      <c r="Z267">
        <v>-1.325155E-3</v>
      </c>
      <c r="AA267">
        <v>0.99966959999999905</v>
      </c>
      <c r="AB267">
        <v>47</v>
      </c>
      <c r="AC267">
        <v>19.0303</v>
      </c>
      <c r="AD267">
        <v>-1.0540708509479999</v>
      </c>
      <c r="AE267">
        <v>1.2147999999999599</v>
      </c>
      <c r="AF267">
        <v>-0.50000920420255301</v>
      </c>
      <c r="AG267">
        <v>-1.0540708509479999</v>
      </c>
      <c r="AH267">
        <v>19.004369509485301</v>
      </c>
      <c r="AI267">
        <v>93.173542087828594</v>
      </c>
      <c r="AJ267">
        <v>91.507117057353398</v>
      </c>
      <c r="AK267">
        <v>19.040145351760401</v>
      </c>
    </row>
    <row r="268" spans="1:37" x14ac:dyDescent="0.2">
      <c r="A268" t="str">
        <f>"20200111153410724"</f>
        <v>20200111153410724</v>
      </c>
      <c r="B268" t="str">
        <f>"1578728050716691"</f>
        <v>1578728050716691</v>
      </c>
      <c r="C268" t="s">
        <v>37</v>
      </c>
      <c r="D268">
        <v>4.7861029999999998</v>
      </c>
      <c r="E268">
        <v>0.48583219999999999</v>
      </c>
      <c r="F268" t="s">
        <v>39</v>
      </c>
      <c r="G268">
        <v>-393.18009999999998</v>
      </c>
      <c r="H268" s="1">
        <v>-2.98206599999999E-6</v>
      </c>
      <c r="I268">
        <v>369.89449999999999</v>
      </c>
      <c r="J268">
        <v>-412.08499999999998</v>
      </c>
      <c r="K268">
        <v>1.054068</v>
      </c>
      <c r="L268">
        <v>368.77910000000003</v>
      </c>
      <c r="M268">
        <v>0.99922619999999895</v>
      </c>
      <c r="N268">
        <v>0</v>
      </c>
      <c r="O268">
        <v>3.769306E-2</v>
      </c>
      <c r="P268">
        <v>0.99982299999999902</v>
      </c>
      <c r="Q268">
        <v>7.3695459999999898E-3</v>
      </c>
      <c r="R268">
        <v>1.732276E-2</v>
      </c>
      <c r="S268">
        <v>2.99884</v>
      </c>
      <c r="T268">
        <v>-0.1630537</v>
      </c>
      <c r="U268">
        <v>0.1753845</v>
      </c>
      <c r="V268">
        <v>2.0364480000000001E-2</v>
      </c>
      <c r="W268">
        <v>1.8620669999999999E-2</v>
      </c>
      <c r="X268">
        <v>0.99961919999999904</v>
      </c>
      <c r="Y268">
        <v>-2.0736649999999999E-2</v>
      </c>
      <c r="Z268">
        <v>-1.4825489999999899E-3</v>
      </c>
      <c r="AA268">
        <v>0.99978389999999995</v>
      </c>
      <c r="AB268">
        <v>47</v>
      </c>
      <c r="AC268">
        <v>18.904900000000001</v>
      </c>
      <c r="AD268">
        <v>-1.0540709820659999</v>
      </c>
      <c r="AE268">
        <v>1.11539999999996</v>
      </c>
      <c r="AF268">
        <v>-0.40073726103796298</v>
      </c>
      <c r="AG268">
        <v>-1.0540709820659999</v>
      </c>
      <c r="AH268">
        <v>18.8750343922786</v>
      </c>
      <c r="AI268">
        <v>93.195628038452597</v>
      </c>
      <c r="AJ268">
        <v>91.216268236565497</v>
      </c>
      <c r="AK268">
        <v>18.908690575957799</v>
      </c>
    </row>
    <row r="269" spans="1:37" x14ac:dyDescent="0.2">
      <c r="A269" t="str">
        <f>"20200111153410745"</f>
        <v>20200111153410745</v>
      </c>
      <c r="B269" t="str">
        <f>"1578728050737186"</f>
        <v>1578728050737186</v>
      </c>
      <c r="C269" t="s">
        <v>37</v>
      </c>
      <c r="D269">
        <v>4.7755700000000001</v>
      </c>
      <c r="E269">
        <v>0.48694959999999998</v>
      </c>
      <c r="F269" t="s">
        <v>39</v>
      </c>
      <c r="G269">
        <v>-391.81040000000002</v>
      </c>
      <c r="H269" s="1">
        <v>-3.5647369999999999E-6</v>
      </c>
      <c r="I269">
        <v>369.87599999999998</v>
      </c>
      <c r="J269">
        <v>-411.62150000000003</v>
      </c>
      <c r="K269">
        <v>1.053979</v>
      </c>
      <c r="L269">
        <v>368.79680000000002</v>
      </c>
      <c r="M269">
        <v>0.99921849999999901</v>
      </c>
      <c r="N269">
        <v>0</v>
      </c>
      <c r="O269">
        <v>3.7940550000000003E-2</v>
      </c>
      <c r="P269">
        <v>0.99986459999999999</v>
      </c>
      <c r="Q269">
        <v>7.3595379999999997E-3</v>
      </c>
      <c r="R269">
        <v>1.472879E-2</v>
      </c>
      <c r="S269">
        <v>2.9988709999999998</v>
      </c>
      <c r="T269">
        <v>-0.155910299999999</v>
      </c>
      <c r="U269">
        <v>0.16226199999999999</v>
      </c>
      <c r="V269">
        <v>2.3206089999999999E-2</v>
      </c>
      <c r="W269">
        <v>1.8460959999999998E-2</v>
      </c>
      <c r="X269">
        <v>0.99956019999999901</v>
      </c>
      <c r="Y269">
        <v>-1.6131639999999999E-2</v>
      </c>
      <c r="Z269">
        <v>-1.550259E-3</v>
      </c>
      <c r="AA269">
        <v>0.99986869999999906</v>
      </c>
      <c r="AB269">
        <v>47</v>
      </c>
      <c r="AC269">
        <v>19.8111</v>
      </c>
      <c r="AD269">
        <v>-1.053982564737</v>
      </c>
      <c r="AE269">
        <v>1.07919999999995</v>
      </c>
      <c r="AF269">
        <v>-0.32581319692132399</v>
      </c>
      <c r="AG269">
        <v>-1.053982564737</v>
      </c>
      <c r="AH269">
        <v>19.781956745567499</v>
      </c>
      <c r="AI269">
        <v>93.049422339865004</v>
      </c>
      <c r="AJ269">
        <v>90.943588828031807</v>
      </c>
      <c r="AK269">
        <v>19.8126940664201</v>
      </c>
    </row>
    <row r="270" spans="1:37" x14ac:dyDescent="0.2">
      <c r="A270" t="str">
        <f>"20200111153410768"</f>
        <v>20200111153410768</v>
      </c>
      <c r="B270" t="str">
        <f>"1578728050756711"</f>
        <v>1578728050756711</v>
      </c>
      <c r="C270" t="s">
        <v>37</v>
      </c>
      <c r="D270">
        <v>4.8465069999999999</v>
      </c>
      <c r="E270">
        <v>0.48773290000000002</v>
      </c>
      <c r="F270" t="s">
        <v>39</v>
      </c>
      <c r="G270">
        <v>-390.73430000000002</v>
      </c>
      <c r="H270" s="1">
        <v>-4.0097319999999999E-6</v>
      </c>
      <c r="I270">
        <v>369.8134</v>
      </c>
      <c r="J270">
        <v>-411.16390000000001</v>
      </c>
      <c r="K270">
        <v>1.0536700000000001</v>
      </c>
      <c r="L270">
        <v>368.81439999999998</v>
      </c>
      <c r="M270">
        <v>0.99922040000000001</v>
      </c>
      <c r="N270">
        <v>0</v>
      </c>
      <c r="O270">
        <v>3.8176759999999997E-2</v>
      </c>
      <c r="P270">
        <v>0.99988880000000002</v>
      </c>
      <c r="Q270">
        <v>7.7647480000000001E-3</v>
      </c>
      <c r="R270">
        <v>1.273972E-2</v>
      </c>
      <c r="S270">
        <v>2.9994200000000002</v>
      </c>
      <c r="T270">
        <v>-0.1513523</v>
      </c>
      <c r="U270">
        <v>0.14599609999999999</v>
      </c>
      <c r="V270">
        <v>2.5431829999999999E-2</v>
      </c>
      <c r="W270">
        <v>1.7836399999999999E-2</v>
      </c>
      <c r="X270">
        <v>0.9995174</v>
      </c>
      <c r="Y270">
        <v>-1.0483340000000001E-2</v>
      </c>
      <c r="Z270">
        <v>-1.6591850000000001E-3</v>
      </c>
      <c r="AA270">
        <v>0.99994369999999999</v>
      </c>
      <c r="AB270">
        <v>47</v>
      </c>
      <c r="AC270">
        <v>20.429599999999901</v>
      </c>
      <c r="AD270">
        <v>-1.0536740097320001</v>
      </c>
      <c r="AE270">
        <v>0.99900000000002298</v>
      </c>
      <c r="AF270">
        <v>-0.217718517013922</v>
      </c>
      <c r="AG270">
        <v>-1.0536740097320001</v>
      </c>
      <c r="AH270">
        <v>20.3987133299856</v>
      </c>
      <c r="AI270">
        <v>92.9567569657749</v>
      </c>
      <c r="AJ270">
        <v>90.611503201242598</v>
      </c>
      <c r="AK270">
        <v>20.427068702835701</v>
      </c>
    </row>
    <row r="271" spans="1:37" x14ac:dyDescent="0.2">
      <c r="A271" t="str">
        <f>"20200111153410783"</f>
        <v>20200111153410783</v>
      </c>
      <c r="B271" t="str">
        <f>"1578728050777204"</f>
        <v>1578728050777204</v>
      </c>
      <c r="C271" t="s">
        <v>37</v>
      </c>
      <c r="D271">
        <v>4.8215890000000003</v>
      </c>
      <c r="E271">
        <v>0.48842730000000001</v>
      </c>
      <c r="F271" t="s">
        <v>39</v>
      </c>
      <c r="G271">
        <v>-389.45339999999999</v>
      </c>
      <c r="H271" s="1">
        <v>-2.6025649999999999E-7</v>
      </c>
      <c r="I271">
        <v>369.77949999999998</v>
      </c>
      <c r="J271">
        <v>-410.83859999999999</v>
      </c>
      <c r="K271">
        <v>1.0534319999999999</v>
      </c>
      <c r="L271">
        <v>368.82690000000002</v>
      </c>
      <c r="M271">
        <v>0.99922259999999996</v>
      </c>
      <c r="N271">
        <v>0</v>
      </c>
      <c r="O271">
        <v>3.83434E-2</v>
      </c>
      <c r="P271">
        <v>0.99989969999999995</v>
      </c>
      <c r="Q271">
        <v>8.5831669999999992E-3</v>
      </c>
      <c r="R271">
        <v>1.1276420000000001E-2</v>
      </c>
      <c r="S271">
        <v>2.9997859999999998</v>
      </c>
      <c r="T271">
        <v>-0.14558760000000001</v>
      </c>
      <c r="U271">
        <v>0.1333618</v>
      </c>
      <c r="V271">
        <v>2.706165E-2</v>
      </c>
      <c r="W271">
        <v>1.7763459999999998E-2</v>
      </c>
      <c r="X271">
        <v>0.99947589999999997</v>
      </c>
      <c r="Y271">
        <v>-6.1112319999999899E-3</v>
      </c>
      <c r="Z271">
        <v>-1.7101E-3</v>
      </c>
      <c r="AA271">
        <v>0.99997990000000003</v>
      </c>
      <c r="AB271">
        <v>48</v>
      </c>
      <c r="AC271">
        <v>21.385200000000001</v>
      </c>
      <c r="AD271">
        <v>-1.0534322602564901</v>
      </c>
      <c r="AE271">
        <v>0.95259999999996103</v>
      </c>
      <c r="AF271">
        <v>-0.13156509382686199</v>
      </c>
      <c r="AG271">
        <v>-1.0534322602564901</v>
      </c>
      <c r="AH271">
        <v>21.354285605953301</v>
      </c>
      <c r="AI271">
        <v>92.824125853321306</v>
      </c>
      <c r="AJ271">
        <v>90.352998427091805</v>
      </c>
      <c r="AK271">
        <v>21.380658143319302</v>
      </c>
    </row>
    <row r="272" spans="1:37" x14ac:dyDescent="0.2">
      <c r="A272" t="str">
        <f>"20200111153410794"</f>
        <v>20200111153410794</v>
      </c>
      <c r="B272" t="str">
        <f>"1578728050786963"</f>
        <v>1578728050786963</v>
      </c>
      <c r="C272" t="s">
        <v>37</v>
      </c>
      <c r="D272">
        <v>4.8233160000000002</v>
      </c>
      <c r="E272">
        <v>0.48877219999999999</v>
      </c>
      <c r="F272" t="s">
        <v>39</v>
      </c>
      <c r="G272">
        <v>-388.28280000000001</v>
      </c>
      <c r="H272" s="1">
        <v>-7.5616940000000002E-7</v>
      </c>
      <c r="I272">
        <v>369.7559</v>
      </c>
      <c r="J272">
        <v>-410.57170000000002</v>
      </c>
      <c r="K272">
        <v>1.0532600000000001</v>
      </c>
      <c r="L272">
        <v>368.8372</v>
      </c>
      <c r="M272">
        <v>0.9992238</v>
      </c>
      <c r="N272">
        <v>0</v>
      </c>
      <c r="O272">
        <v>3.8480430000000003E-2</v>
      </c>
      <c r="P272">
        <v>0.99990679999999998</v>
      </c>
      <c r="Q272">
        <v>9.2429030000000002E-3</v>
      </c>
      <c r="R272">
        <v>1.0051269999999999E-2</v>
      </c>
      <c r="S272">
        <v>3.000092</v>
      </c>
      <c r="T272">
        <v>-0.14011419999999999</v>
      </c>
      <c r="U272">
        <v>0.123565699999999</v>
      </c>
      <c r="V272">
        <v>2.8423670000000002E-2</v>
      </c>
      <c r="W272">
        <v>1.768956E-2</v>
      </c>
      <c r="X272">
        <v>0.99943939999999998</v>
      </c>
      <c r="Y272">
        <v>-2.71162099999999E-3</v>
      </c>
      <c r="Z272">
        <v>-1.7315410000000001E-3</v>
      </c>
      <c r="AA272">
        <v>0.99999479999999996</v>
      </c>
      <c r="AB272">
        <v>48</v>
      </c>
      <c r="AC272">
        <v>22.288900000000002</v>
      </c>
      <c r="AD272">
        <v>-1.0532607561694001</v>
      </c>
      <c r="AE272">
        <v>0.91870000000000096</v>
      </c>
      <c r="AF272">
        <v>-6.01684611451061E-2</v>
      </c>
      <c r="AG272">
        <v>-1.0532607561694001</v>
      </c>
      <c r="AH272">
        <v>22.2581251077102</v>
      </c>
      <c r="AI272">
        <v>92.7092215857529</v>
      </c>
      <c r="AJ272">
        <v>90.154882339354003</v>
      </c>
      <c r="AK272">
        <v>22.283112703899398</v>
      </c>
    </row>
    <row r="273" spans="1:37" x14ac:dyDescent="0.2">
      <c r="A273" t="str">
        <f>"20200111153410813"</f>
        <v>20200111153410813</v>
      </c>
      <c r="B273" t="str">
        <f>"1578728050806483"</f>
        <v>1578728050806483</v>
      </c>
      <c r="C273" t="s">
        <v>37</v>
      </c>
      <c r="D273">
        <v>4.8037970000000003</v>
      </c>
      <c r="E273">
        <v>0.48941599999999902</v>
      </c>
      <c r="F273" t="s">
        <v>39</v>
      </c>
      <c r="G273">
        <v>-387.30619999999999</v>
      </c>
      <c r="H273" s="1">
        <v>-1.172323E-6</v>
      </c>
      <c r="I273">
        <v>369.74540000000002</v>
      </c>
      <c r="J273">
        <v>-410.19060000000002</v>
      </c>
      <c r="K273">
        <v>1.053077</v>
      </c>
      <c r="L273">
        <v>368.8519</v>
      </c>
      <c r="M273">
        <v>0.9992238</v>
      </c>
      <c r="N273">
        <v>0</v>
      </c>
      <c r="O273">
        <v>3.8675220000000003E-2</v>
      </c>
      <c r="P273">
        <v>0.999915</v>
      </c>
      <c r="Q273">
        <v>1.040399E-2</v>
      </c>
      <c r="R273">
        <v>7.8638749999999993E-3</v>
      </c>
      <c r="S273">
        <v>3.0003359999999999</v>
      </c>
      <c r="T273">
        <v>-0.13582900000000001</v>
      </c>
      <c r="U273">
        <v>0.11712649999999999</v>
      </c>
      <c r="V273">
        <v>3.08048E-2</v>
      </c>
      <c r="W273">
        <v>1.790315E-2</v>
      </c>
      <c r="X273">
        <v>0.99936510000000001</v>
      </c>
      <c r="Y273">
        <v>-3.711753E-4</v>
      </c>
      <c r="Z273">
        <v>-1.7403129999999901E-3</v>
      </c>
      <c r="AA273">
        <v>0.99999839999999995</v>
      </c>
      <c r="AB273">
        <v>48</v>
      </c>
      <c r="AC273">
        <v>22.884399999999999</v>
      </c>
      <c r="AD273">
        <v>-1.0530781723230001</v>
      </c>
      <c r="AE273">
        <v>0.89350000000001695</v>
      </c>
      <c r="AF273">
        <v>-7.7311313029109199E-3</v>
      </c>
      <c r="AG273">
        <v>-1.0530781723230001</v>
      </c>
      <c r="AH273">
        <v>22.8535142401029</v>
      </c>
      <c r="AI273">
        <v>92.638293619243996</v>
      </c>
      <c r="AJ273">
        <v>90.019382628551796</v>
      </c>
      <c r="AK273">
        <v>22.8777653307748</v>
      </c>
    </row>
    <row r="274" spans="1:37" x14ac:dyDescent="0.2">
      <c r="A274" t="str">
        <f>"20200111153410826"</f>
        <v>20200111153410826</v>
      </c>
      <c r="B274" t="str">
        <f>"1578728050817220"</f>
        <v>1578728050817220</v>
      </c>
      <c r="C274" t="s">
        <v>37</v>
      </c>
      <c r="D274">
        <v>4.7774910000000004</v>
      </c>
      <c r="E274">
        <v>0.48963099999999998</v>
      </c>
      <c r="F274" t="s">
        <v>39</v>
      </c>
      <c r="G274">
        <v>-385.65370000000001</v>
      </c>
      <c r="H274" s="1">
        <v>-1.8731849999999999E-6</v>
      </c>
      <c r="I274">
        <v>369.71499999999997</v>
      </c>
      <c r="J274">
        <v>-409.91309999999999</v>
      </c>
      <c r="K274">
        <v>1.0529899999999901</v>
      </c>
      <c r="L274">
        <v>368.86270000000002</v>
      </c>
      <c r="M274">
        <v>0.99922259999999996</v>
      </c>
      <c r="N274">
        <v>0</v>
      </c>
      <c r="O274">
        <v>3.8815549999999997E-2</v>
      </c>
      <c r="P274">
        <v>0.99991030000000003</v>
      </c>
      <c r="Q274">
        <v>1.1268739999999999E-2</v>
      </c>
      <c r="R274">
        <v>7.2363030000000004E-3</v>
      </c>
      <c r="S274">
        <v>3.0007630000000001</v>
      </c>
      <c r="T274">
        <v>-0.1287867</v>
      </c>
      <c r="U274">
        <v>0.1055603</v>
      </c>
      <c r="V274">
        <v>3.1571879999999997E-2</v>
      </c>
      <c r="W274">
        <v>1.8180149999999999E-2</v>
      </c>
      <c r="X274">
        <v>0.99933609999999995</v>
      </c>
      <c r="Y274">
        <v>3.6238989999999999E-3</v>
      </c>
      <c r="Z274">
        <v>-1.7417520000000001E-3</v>
      </c>
      <c r="AA274">
        <v>0.99999189999999905</v>
      </c>
      <c r="AB274">
        <v>48</v>
      </c>
      <c r="AC274">
        <v>24.2593999999999</v>
      </c>
      <c r="AD274">
        <v>-1.0529918731849901</v>
      </c>
      <c r="AE274">
        <v>0.85229999999995698</v>
      </c>
      <c r="AF274">
        <v>8.9837622625854693E-2</v>
      </c>
      <c r="AG274">
        <v>-1.0529918731849901</v>
      </c>
      <c r="AH274">
        <v>24.228608971838199</v>
      </c>
      <c r="AI274">
        <v>92.488530549108106</v>
      </c>
      <c r="AJ274">
        <v>89.787553093344897</v>
      </c>
      <c r="AK274">
        <v>24.251646447069799</v>
      </c>
    </row>
    <row r="275" spans="1:37" x14ac:dyDescent="0.2">
      <c r="A275" t="str">
        <f>"20200111153410839"</f>
        <v>20200111153410839</v>
      </c>
      <c r="B275" t="str">
        <f>"1578728050836739"</f>
        <v>1578728050836739</v>
      </c>
      <c r="C275" t="s">
        <v>37</v>
      </c>
      <c r="D275">
        <v>4.7487729999999999</v>
      </c>
      <c r="E275">
        <v>0.48985329999999899</v>
      </c>
      <c r="F275" t="s">
        <v>39</v>
      </c>
      <c r="G275">
        <v>-384.65910000000002</v>
      </c>
      <c r="H275" s="1">
        <v>-2.301543E-6</v>
      </c>
      <c r="I275">
        <v>369.72140000000002</v>
      </c>
      <c r="J275">
        <v>-409.62119999999999</v>
      </c>
      <c r="K275">
        <v>1.0529200000000001</v>
      </c>
      <c r="L275">
        <v>368.8741</v>
      </c>
      <c r="M275">
        <v>0.99922060000000001</v>
      </c>
      <c r="N275">
        <v>0</v>
      </c>
      <c r="O275">
        <v>3.8961179999999998E-2</v>
      </c>
      <c r="P275">
        <v>0.99990610000000002</v>
      </c>
      <c r="Q275">
        <v>1.220476E-2</v>
      </c>
      <c r="R275">
        <v>6.2200889999999998E-3</v>
      </c>
      <c r="S275">
        <v>3.0009160000000001</v>
      </c>
      <c r="T275">
        <v>-0.1251264</v>
      </c>
      <c r="U275">
        <v>0.1020508</v>
      </c>
      <c r="V275">
        <v>3.2732669999999998E-2</v>
      </c>
      <c r="W275">
        <v>1.857729E-2</v>
      </c>
      <c r="X275">
        <v>0.9992915</v>
      </c>
      <c r="Y275">
        <v>4.9402839999999996E-3</v>
      </c>
      <c r="Z275">
        <v>-1.72573E-3</v>
      </c>
      <c r="AA275">
        <v>0.99998629999999999</v>
      </c>
      <c r="AB275">
        <v>48</v>
      </c>
      <c r="AC275">
        <v>24.9620999999999</v>
      </c>
      <c r="AD275">
        <v>-1.052922301543</v>
      </c>
      <c r="AE275">
        <v>0.84730000000001804</v>
      </c>
      <c r="AF275">
        <v>0.125692411548844</v>
      </c>
      <c r="AG275">
        <v>-1.052922301543</v>
      </c>
      <c r="AH275">
        <v>24.931850335842402</v>
      </c>
      <c r="AI275">
        <v>92.418248562177595</v>
      </c>
      <c r="AJ275">
        <v>89.711149249257701</v>
      </c>
      <c r="AK275">
        <v>24.954390497951501</v>
      </c>
    </row>
    <row r="276" spans="1:37" x14ac:dyDescent="0.2">
      <c r="A276" t="str">
        <f>"20200111153410857"</f>
        <v>20200111153410857</v>
      </c>
      <c r="B276" t="str">
        <f>"1578728050846499"</f>
        <v>1578728050846499</v>
      </c>
      <c r="C276" t="s">
        <v>37</v>
      </c>
      <c r="D276">
        <v>4.7410189999999997</v>
      </c>
      <c r="E276">
        <v>0.48997799999999903</v>
      </c>
      <c r="F276" t="s">
        <v>39</v>
      </c>
      <c r="G276">
        <v>-383.35809999999998</v>
      </c>
      <c r="H276" s="1">
        <v>-2.8613009999999998E-6</v>
      </c>
      <c r="I276">
        <v>369.72750000000002</v>
      </c>
      <c r="J276">
        <v>-409.22089999999997</v>
      </c>
      <c r="K276">
        <v>1.052913</v>
      </c>
      <c r="L276">
        <v>368.8897</v>
      </c>
      <c r="M276">
        <v>0.99921610000000005</v>
      </c>
      <c r="N276">
        <v>0</v>
      </c>
      <c r="O276">
        <v>3.9154120000000001E-2</v>
      </c>
      <c r="P276">
        <v>0.99990699999999999</v>
      </c>
      <c r="Q276">
        <v>1.2973500000000001E-2</v>
      </c>
      <c r="R276">
        <v>4.2443979999999999E-3</v>
      </c>
      <c r="S276">
        <v>3.001099</v>
      </c>
      <c r="T276">
        <v>-0.1203178</v>
      </c>
      <c r="U276">
        <v>9.7534179999999998E-2</v>
      </c>
      <c r="V276">
        <v>3.4899140000000002E-2</v>
      </c>
      <c r="W276">
        <v>1.8829490000000001E-2</v>
      </c>
      <c r="X276">
        <v>0.99921349999999998</v>
      </c>
      <c r="Y276">
        <v>6.6399629999999996E-3</v>
      </c>
      <c r="Z276">
        <v>-1.7011839999999999E-3</v>
      </c>
      <c r="AA276">
        <v>0.99997649999999905</v>
      </c>
      <c r="AB276">
        <v>49</v>
      </c>
      <c r="AC276">
        <v>25.8628</v>
      </c>
      <c r="AD276">
        <v>-1.0529158613009999</v>
      </c>
      <c r="AE276">
        <v>0.83780000000001498</v>
      </c>
      <c r="AF276">
        <v>0.17520483586375801</v>
      </c>
      <c r="AG276">
        <v>-1.0529158613009999</v>
      </c>
      <c r="AH276">
        <v>25.832999571592001</v>
      </c>
      <c r="AI276">
        <v>92.333947955045502</v>
      </c>
      <c r="AJ276">
        <v>89.611413931877806</v>
      </c>
      <c r="AK276">
        <v>25.855041972724798</v>
      </c>
    </row>
    <row r="277" spans="1:37" x14ac:dyDescent="0.2">
      <c r="A277" t="str">
        <f>"20200111153410870"</f>
        <v>20200111153410870</v>
      </c>
      <c r="B277" t="str">
        <f>"1578728050866995"</f>
        <v>1578728050866995</v>
      </c>
      <c r="C277" t="s">
        <v>37</v>
      </c>
      <c r="D277">
        <v>4.7179019999999996</v>
      </c>
      <c r="E277">
        <v>0.49010159999999903</v>
      </c>
      <c r="F277" t="s">
        <v>39</v>
      </c>
      <c r="G277">
        <v>-382.12180000000001</v>
      </c>
      <c r="H277" s="1">
        <v>-3.387409E-6</v>
      </c>
      <c r="I277">
        <v>369.71159999999998</v>
      </c>
      <c r="J277">
        <v>-408.94139999999999</v>
      </c>
      <c r="K277">
        <v>1.052932</v>
      </c>
      <c r="L277">
        <v>368.9006</v>
      </c>
      <c r="M277">
        <v>0.99921260000000001</v>
      </c>
      <c r="N277">
        <v>0</v>
      </c>
      <c r="O277">
        <v>3.9284550000000001E-2</v>
      </c>
      <c r="P277">
        <v>0.99991039999999998</v>
      </c>
      <c r="Q277">
        <v>1.290124E-2</v>
      </c>
      <c r="R277">
        <v>3.5953420000000001E-3</v>
      </c>
      <c r="S277">
        <v>3.001404</v>
      </c>
      <c r="T277">
        <v>-0.1166172</v>
      </c>
      <c r="U277">
        <v>9.1033939999999994E-2</v>
      </c>
      <c r="V277">
        <v>3.5678139999999997E-2</v>
      </c>
      <c r="W277">
        <v>1.8503869999999999E-2</v>
      </c>
      <c r="X277">
        <v>0.99919199999999997</v>
      </c>
      <c r="Y277">
        <v>8.93766E-3</v>
      </c>
      <c r="Z277">
        <v>-1.6984739999999999E-3</v>
      </c>
      <c r="AA277">
        <v>0.99995859999999903</v>
      </c>
      <c r="AB277">
        <v>49</v>
      </c>
      <c r="AC277">
        <v>26.819599999999902</v>
      </c>
      <c r="AD277">
        <v>-1.0529353874089999</v>
      </c>
      <c r="AE277">
        <v>0.81099999999997796</v>
      </c>
      <c r="AF277">
        <v>0.242864262375595</v>
      </c>
      <c r="AG277">
        <v>-1.0529353874089999</v>
      </c>
      <c r="AH277">
        <v>26.789502563520301</v>
      </c>
      <c r="AI277">
        <v>92.250704054062695</v>
      </c>
      <c r="AJ277">
        <v>89.4805907274432</v>
      </c>
      <c r="AK277">
        <v>26.811286869168701</v>
      </c>
    </row>
    <row r="278" spans="1:37" x14ac:dyDescent="0.2">
      <c r="A278" t="str">
        <f>"20200111153410882"</f>
        <v>20200111153410882</v>
      </c>
      <c r="B278" t="str">
        <f>"1578728050876755"</f>
        <v>1578728050876755</v>
      </c>
      <c r="C278" t="s">
        <v>37</v>
      </c>
      <c r="D278">
        <v>4.8292459999999897</v>
      </c>
      <c r="E278">
        <v>0.49029030000000001</v>
      </c>
      <c r="F278" t="s">
        <v>39</v>
      </c>
      <c r="G278">
        <v>-381.41079999999999</v>
      </c>
      <c r="H278" s="1">
        <v>-3.6915999999999999E-6</v>
      </c>
      <c r="I278">
        <v>369.70839999999998</v>
      </c>
      <c r="J278">
        <v>-408.67149999999998</v>
      </c>
      <c r="K278">
        <v>1.052953</v>
      </c>
      <c r="L278">
        <v>368.91129999999998</v>
      </c>
      <c r="M278">
        <v>0.99920880000000001</v>
      </c>
      <c r="N278">
        <v>0</v>
      </c>
      <c r="O278">
        <v>3.9408749999999999E-2</v>
      </c>
      <c r="P278">
        <v>0.99991479999999999</v>
      </c>
      <c r="Q278">
        <v>1.269871E-2</v>
      </c>
      <c r="R278">
        <v>3.0631009999999999E-3</v>
      </c>
      <c r="S278">
        <v>3.001404</v>
      </c>
      <c r="T278">
        <v>-0.11479149999999901</v>
      </c>
      <c r="U278">
        <v>8.8073730000000003E-2</v>
      </c>
      <c r="V278">
        <v>3.6334150000000003E-2</v>
      </c>
      <c r="W278">
        <v>1.8088139999999999E-2</v>
      </c>
      <c r="X278">
        <v>0.99917599999999995</v>
      </c>
      <c r="Y278">
        <v>1.0047489999999999E-2</v>
      </c>
      <c r="Z278">
        <v>-1.6978869999999999E-3</v>
      </c>
      <c r="AA278">
        <v>0.99994810000000001</v>
      </c>
      <c r="AB278">
        <v>49</v>
      </c>
      <c r="AC278">
        <v>27.2606999999999</v>
      </c>
      <c r="AD278">
        <v>-1.0529566915999999</v>
      </c>
      <c r="AE278">
        <v>0.79710000000000003</v>
      </c>
      <c r="AF278">
        <v>0.277431214132696</v>
      </c>
      <c r="AG278">
        <v>-1.0529566915999999</v>
      </c>
      <c r="AH278">
        <v>27.230344792695298</v>
      </c>
      <c r="AI278">
        <v>92.214323985204899</v>
      </c>
      <c r="AJ278">
        <v>89.416272991314898</v>
      </c>
      <c r="AK278">
        <v>27.252107503861598</v>
      </c>
    </row>
    <row r="279" spans="1:37" x14ac:dyDescent="0.2">
      <c r="A279" t="str">
        <f>"20200111153410903"</f>
        <v>20200111153410903</v>
      </c>
      <c r="B279" t="str">
        <f>"1578728050896275"</f>
        <v>1578728050896275</v>
      </c>
      <c r="C279" t="s">
        <v>37</v>
      </c>
      <c r="D279">
        <v>4.6890679999999998</v>
      </c>
      <c r="E279">
        <v>0.49053149999999901</v>
      </c>
      <c r="F279" t="s">
        <v>39</v>
      </c>
      <c r="G279">
        <v>-380.77789999999999</v>
      </c>
      <c r="H279" s="1">
        <v>-3.9612939999999999E-6</v>
      </c>
      <c r="I279">
        <v>369.70159999999998</v>
      </c>
      <c r="J279">
        <v>-408.236999999999</v>
      </c>
      <c r="K279">
        <v>1.0530010000000001</v>
      </c>
      <c r="L279">
        <v>368.92849999999999</v>
      </c>
      <c r="M279">
        <v>0.99920259999999905</v>
      </c>
      <c r="N279">
        <v>0</v>
      </c>
      <c r="O279">
        <v>3.9600929999999999E-2</v>
      </c>
      <c r="P279">
        <v>0.99993129999999997</v>
      </c>
      <c r="Q279">
        <v>1.154968E-2</v>
      </c>
      <c r="R279">
        <v>2.0945040000000001E-3</v>
      </c>
      <c r="S279">
        <v>3.0014340000000002</v>
      </c>
      <c r="T279">
        <v>-0.1133009</v>
      </c>
      <c r="U279">
        <v>8.5052489999999994E-2</v>
      </c>
      <c r="V279">
        <v>3.7495210000000001E-2</v>
      </c>
      <c r="W279">
        <v>1.668358E-2</v>
      </c>
      <c r="X279">
        <v>0.99915750000000003</v>
      </c>
      <c r="Y279">
        <v>1.1245700000000001E-2</v>
      </c>
      <c r="Z279">
        <v>-1.7057159999999999E-3</v>
      </c>
      <c r="AA279">
        <v>0.99993529999999997</v>
      </c>
      <c r="AB279">
        <v>49</v>
      </c>
      <c r="AC279">
        <v>27.4590999999999</v>
      </c>
      <c r="AD279">
        <v>-1.053004961294</v>
      </c>
      <c r="AE279">
        <v>0.77309999999999901</v>
      </c>
      <c r="AF279">
        <v>0.31446437173910802</v>
      </c>
      <c r="AG279">
        <v>-1.053004961294</v>
      </c>
      <c r="AH279">
        <v>27.427872831605399</v>
      </c>
      <c r="AI279">
        <v>92.198463054724698</v>
      </c>
      <c r="AJ279">
        <v>89.343124710460501</v>
      </c>
      <c r="AK279">
        <v>27.449880060873099</v>
      </c>
    </row>
    <row r="280" spans="1:37" x14ac:dyDescent="0.2">
      <c r="A280" t="str">
        <f>"20200111153410915"</f>
        <v>20200111153410915</v>
      </c>
      <c r="B280" t="str">
        <f>"1578728050907011"</f>
        <v>1578728050907011</v>
      </c>
      <c r="C280" t="s">
        <v>37</v>
      </c>
      <c r="D280">
        <v>4.7089319999999999</v>
      </c>
      <c r="E280">
        <v>0.49062269999999902</v>
      </c>
      <c r="F280" t="s">
        <v>39</v>
      </c>
      <c r="G280">
        <v>-380.81270000000001</v>
      </c>
      <c r="H280" s="1">
        <v>-3.9358359999999998E-6</v>
      </c>
      <c r="I280">
        <v>369.66210000000001</v>
      </c>
      <c r="J280">
        <v>-407.93610000000001</v>
      </c>
      <c r="K280">
        <v>1.0530299999999999</v>
      </c>
      <c r="L280">
        <v>368.94040000000001</v>
      </c>
      <c r="M280">
        <v>0.99919829999999998</v>
      </c>
      <c r="N280">
        <v>0</v>
      </c>
      <c r="O280">
        <v>3.9729130000000001E-2</v>
      </c>
      <c r="P280">
        <v>0.99993050000000006</v>
      </c>
      <c r="Q280">
        <v>1.164543E-2</v>
      </c>
      <c r="R280">
        <v>1.928354E-3</v>
      </c>
      <c r="S280">
        <v>3.001312</v>
      </c>
      <c r="T280">
        <v>-0.1152406</v>
      </c>
      <c r="U280">
        <v>8.0291749999999995E-2</v>
      </c>
      <c r="V280">
        <v>3.778919E-2</v>
      </c>
      <c r="W280">
        <v>1.663734E-2</v>
      </c>
      <c r="X280">
        <v>0.99914720000000001</v>
      </c>
      <c r="Y280">
        <v>1.2955100000000001E-2</v>
      </c>
      <c r="Z280">
        <v>-1.7727299999999999E-3</v>
      </c>
      <c r="AA280">
        <v>0.99991450000000004</v>
      </c>
      <c r="AB280">
        <v>49</v>
      </c>
      <c r="AC280">
        <v>27.1234</v>
      </c>
      <c r="AD280">
        <v>-1.0530339358359999</v>
      </c>
      <c r="AE280">
        <v>0.72169999999999801</v>
      </c>
      <c r="AF280">
        <v>0.355935893602917</v>
      </c>
      <c r="AG280">
        <v>-1.0530339358359999</v>
      </c>
      <c r="AH280">
        <v>27.089854701853401</v>
      </c>
      <c r="AI280">
        <v>92.225882718123202</v>
      </c>
      <c r="AJ280">
        <v>89.247229220244293</v>
      </c>
      <c r="AK280">
        <v>27.112650158144</v>
      </c>
    </row>
    <row r="281" spans="1:37" x14ac:dyDescent="0.2">
      <c r="A281" t="str">
        <f>"20200111153410928"</f>
        <v>20200111153410928</v>
      </c>
      <c r="B281" t="str">
        <f>"1578728050916772"</f>
        <v>1578728050916772</v>
      </c>
      <c r="C281" t="s">
        <v>37</v>
      </c>
      <c r="D281">
        <v>4.6881629999999896</v>
      </c>
      <c r="E281">
        <v>0.49070999999999998</v>
      </c>
      <c r="F281" t="s">
        <v>39</v>
      </c>
      <c r="G281">
        <v>-380.21839999999997</v>
      </c>
      <c r="H281" s="1">
        <v>-4.1936680000000001E-6</v>
      </c>
      <c r="I281">
        <v>369.6728</v>
      </c>
      <c r="J281">
        <v>-407.67239999999998</v>
      </c>
      <c r="K281">
        <v>1.0530489999999999</v>
      </c>
      <c r="L281">
        <v>368.95089999999999</v>
      </c>
      <c r="M281">
        <v>0.99919439999999904</v>
      </c>
      <c r="N281">
        <v>0</v>
      </c>
      <c r="O281">
        <v>3.983689E-2</v>
      </c>
      <c r="P281">
        <v>0.99993209999999999</v>
      </c>
      <c r="Q281">
        <v>1.1562299999999999E-2</v>
      </c>
      <c r="R281">
        <v>1.51788799999999E-3</v>
      </c>
      <c r="S281">
        <v>3.0013730000000001</v>
      </c>
      <c r="T281">
        <v>-0.11402609999999901</v>
      </c>
      <c r="U281">
        <v>7.9315189999999994E-2</v>
      </c>
      <c r="V281">
        <v>3.8307620000000001E-2</v>
      </c>
      <c r="W281">
        <v>1.6449970000000001E-2</v>
      </c>
      <c r="X281">
        <v>0.99913059999999998</v>
      </c>
      <c r="Y281">
        <v>1.3388999999999899E-2</v>
      </c>
      <c r="Z281">
        <v>-1.7663620000000001E-3</v>
      </c>
      <c r="AA281">
        <v>0.99990879999999904</v>
      </c>
      <c r="AB281">
        <v>49</v>
      </c>
      <c r="AC281">
        <v>27.454000000000001</v>
      </c>
      <c r="AD281">
        <v>-1.0530531936679901</v>
      </c>
      <c r="AE281">
        <v>0.72190000000000498</v>
      </c>
      <c r="AF281">
        <v>0.37182126199092702</v>
      </c>
      <c r="AG281">
        <v>-1.0530531936679901</v>
      </c>
      <c r="AH281">
        <v>27.420649957321299</v>
      </c>
      <c r="AI281">
        <v>92.199084635906701</v>
      </c>
      <c r="AJ281">
        <v>89.223122591659006</v>
      </c>
      <c r="AK281">
        <v>27.443382010268099</v>
      </c>
    </row>
    <row r="282" spans="1:37" x14ac:dyDescent="0.2">
      <c r="A282" t="str">
        <f>"20200111153410948"</f>
        <v>20200111153410948</v>
      </c>
      <c r="B282" t="str">
        <f>"1578728050937267"</f>
        <v>1578728050937267</v>
      </c>
      <c r="C282" t="s">
        <v>37</v>
      </c>
      <c r="D282">
        <v>4.6913769999999904</v>
      </c>
      <c r="E282">
        <v>0.49075679999999999</v>
      </c>
      <c r="F282" t="s">
        <v>39</v>
      </c>
      <c r="G282">
        <v>-379.83580000000001</v>
      </c>
      <c r="H282" s="1">
        <v>-6.6331539999999894E-8</v>
      </c>
      <c r="I282">
        <v>369.66719999999998</v>
      </c>
      <c r="J282">
        <v>-407.25540000000001</v>
      </c>
      <c r="K282">
        <v>1.0530729999999999</v>
      </c>
      <c r="L282">
        <v>368.9676</v>
      </c>
      <c r="M282">
        <v>0.99918869999999904</v>
      </c>
      <c r="N282">
        <v>0</v>
      </c>
      <c r="O282">
        <v>3.9995959999999997E-2</v>
      </c>
      <c r="P282">
        <v>0.9999266</v>
      </c>
      <c r="Q282">
        <v>1.209673E-2</v>
      </c>
      <c r="R282">
        <v>8.0096219999999997E-4</v>
      </c>
      <c r="S282">
        <v>3.001404</v>
      </c>
      <c r="T282">
        <v>-0.113542</v>
      </c>
      <c r="U282">
        <v>7.7239989999999994E-2</v>
      </c>
      <c r="V282">
        <v>3.9182590000000003E-2</v>
      </c>
      <c r="W282">
        <v>1.6843779999999999E-2</v>
      </c>
      <c r="X282">
        <v>0.99909009999999998</v>
      </c>
      <c r="Y282">
        <v>1.423891E-2</v>
      </c>
      <c r="Z282">
        <v>-1.780946E-3</v>
      </c>
      <c r="AA282">
        <v>0.99989709999999998</v>
      </c>
      <c r="AB282">
        <v>49</v>
      </c>
      <c r="AC282">
        <v>27.419599999999999</v>
      </c>
      <c r="AD282">
        <v>-1.05307306633154</v>
      </c>
      <c r="AE282">
        <v>0.69959999999997502</v>
      </c>
      <c r="AF282">
        <v>0.39705995096950197</v>
      </c>
      <c r="AG282">
        <v>-1.05307306633154</v>
      </c>
      <c r="AH282">
        <v>27.385273712857899</v>
      </c>
      <c r="AI282">
        <v>92.201935149858201</v>
      </c>
      <c r="AJ282">
        <v>89.169324883484606</v>
      </c>
      <c r="AK282">
        <v>27.4083898800321</v>
      </c>
    </row>
    <row r="283" spans="1:37" x14ac:dyDescent="0.2">
      <c r="A283" t="str">
        <f>"20200111153410959"</f>
        <v>20200111153410959</v>
      </c>
      <c r="B283" t="str">
        <f>"1578728050956787"</f>
        <v>1578728050956787</v>
      </c>
      <c r="C283" t="s">
        <v>37</v>
      </c>
      <c r="D283">
        <v>4.6946879999999904</v>
      </c>
      <c r="E283">
        <v>0.49074079999999898</v>
      </c>
      <c r="F283" t="s">
        <v>39</v>
      </c>
      <c r="G283">
        <v>-378.63350000000003</v>
      </c>
      <c r="H283" s="1">
        <v>-5.8586440000000001E-7</v>
      </c>
      <c r="I283">
        <v>369.68130000000002</v>
      </c>
      <c r="J283">
        <v>-406.9794</v>
      </c>
      <c r="K283">
        <v>1.053086</v>
      </c>
      <c r="L283">
        <v>368.97859999999997</v>
      </c>
      <c r="M283">
        <v>0.99918530000000005</v>
      </c>
      <c r="N283">
        <v>0</v>
      </c>
      <c r="O283">
        <v>4.0092540000000003E-2</v>
      </c>
      <c r="P283">
        <v>0.9999209</v>
      </c>
      <c r="Q283">
        <v>1.2581210000000001E-2</v>
      </c>
      <c r="R283">
        <v>1.4892590000000001E-4</v>
      </c>
      <c r="S283">
        <v>3.0014949999999998</v>
      </c>
      <c r="T283">
        <v>-0.11043260000000001</v>
      </c>
      <c r="U283">
        <v>7.4859620000000002E-2</v>
      </c>
      <c r="V283">
        <v>3.9930550000000002E-2</v>
      </c>
      <c r="W283">
        <v>1.724856E-2</v>
      </c>
      <c r="X283">
        <v>0.99905359999999999</v>
      </c>
      <c r="Y283">
        <v>1.51302E-2</v>
      </c>
      <c r="Z283">
        <v>-1.7521150000000001E-3</v>
      </c>
      <c r="AA283">
        <v>0.999884</v>
      </c>
      <c r="AB283">
        <v>49</v>
      </c>
      <c r="AC283">
        <v>28.345899999999901</v>
      </c>
      <c r="AD283">
        <v>-1.0530865858644001</v>
      </c>
      <c r="AE283">
        <v>0.70270000000004895</v>
      </c>
      <c r="AF283">
        <v>0.433737965070503</v>
      </c>
      <c r="AG283">
        <v>-1.0530865858644001</v>
      </c>
      <c r="AH283">
        <v>28.312228867864398</v>
      </c>
      <c r="AI283">
        <v>92.129911603215803</v>
      </c>
      <c r="AJ283">
        <v>89.122308207281307</v>
      </c>
      <c r="AK283">
        <v>28.335127023643398</v>
      </c>
    </row>
    <row r="284" spans="1:37" x14ac:dyDescent="0.2">
      <c r="A284" t="str">
        <f>"20200111153410980"</f>
        <v>20200111153410980</v>
      </c>
      <c r="B284" t="str">
        <f>"1578728050977283"</f>
        <v>1578728050977283</v>
      </c>
      <c r="C284" t="s">
        <v>37</v>
      </c>
      <c r="D284">
        <v>4.690232</v>
      </c>
      <c r="E284">
        <v>0.49070159999999902</v>
      </c>
      <c r="F284" t="s">
        <v>39</v>
      </c>
      <c r="G284">
        <v>-378.04610000000002</v>
      </c>
      <c r="H284" s="1">
        <v>-8.3793429999999997E-7</v>
      </c>
      <c r="I284">
        <v>369.6816</v>
      </c>
      <c r="J284">
        <v>-406.53379999999999</v>
      </c>
      <c r="K284">
        <v>1.0530899999999901</v>
      </c>
      <c r="L284">
        <v>368.9966</v>
      </c>
      <c r="M284">
        <v>0.99918050000000003</v>
      </c>
      <c r="N284">
        <v>0</v>
      </c>
      <c r="O284">
        <v>4.0220800000000001E-2</v>
      </c>
      <c r="P284">
        <v>0.99991859999999999</v>
      </c>
      <c r="Q284">
        <v>1.2725230000000001E-2</v>
      </c>
      <c r="R284">
        <v>-9.0185579999999997E-4</v>
      </c>
      <c r="S284">
        <v>3.0015559999999999</v>
      </c>
      <c r="T284">
        <v>-0.109247699999999</v>
      </c>
      <c r="U284">
        <v>7.2937009999999997E-2</v>
      </c>
      <c r="V284">
        <v>4.1109260000000002E-2</v>
      </c>
      <c r="W284">
        <v>1.7291460000000002E-2</v>
      </c>
      <c r="X284">
        <v>0.99900499999999903</v>
      </c>
      <c r="Y284">
        <v>1.5899320000000002E-2</v>
      </c>
      <c r="Z284">
        <v>-1.7519619999999999E-3</v>
      </c>
      <c r="AA284">
        <v>0.99987209999999904</v>
      </c>
      <c r="AB284">
        <v>49</v>
      </c>
      <c r="AC284">
        <v>28.487699999999901</v>
      </c>
      <c r="AD284">
        <v>-1.05309083793429</v>
      </c>
      <c r="AE284">
        <v>0.68500000000000205</v>
      </c>
      <c r="AF284">
        <v>0.46073495632700601</v>
      </c>
      <c r="AG284">
        <v>-1.05309083793429</v>
      </c>
      <c r="AH284">
        <v>28.453339601876198</v>
      </c>
      <c r="AI284">
        <v>92.119337669565596</v>
      </c>
      <c r="AJ284">
        <v>89.072310597374894</v>
      </c>
      <c r="AK284">
        <v>28.476548448023301</v>
      </c>
    </row>
    <row r="285" spans="1:37" x14ac:dyDescent="0.2">
      <c r="A285" t="str">
        <f>"20200111153410992"</f>
        <v>20200111153410992</v>
      </c>
      <c r="B285" t="str">
        <f>"1578728050987043"</f>
        <v>1578728050987043</v>
      </c>
      <c r="C285" t="s">
        <v>37</v>
      </c>
      <c r="D285">
        <v>4.6626129999999897</v>
      </c>
      <c r="E285">
        <v>0.490676099999999</v>
      </c>
      <c r="F285" t="s">
        <v>39</v>
      </c>
      <c r="G285">
        <v>-377.50049999999999</v>
      </c>
      <c r="H285" s="1">
        <v>-1.0695709999999999E-6</v>
      </c>
      <c r="I285">
        <v>369.67239999999998</v>
      </c>
      <c r="J285">
        <v>-406.2337</v>
      </c>
      <c r="K285">
        <v>1.0530839999999999</v>
      </c>
      <c r="L285">
        <v>369.0086</v>
      </c>
      <c r="M285">
        <v>0.99917789999999995</v>
      </c>
      <c r="N285">
        <v>0</v>
      </c>
      <c r="O285">
        <v>4.0289899999999997E-2</v>
      </c>
      <c r="P285">
        <v>0.99992230000000004</v>
      </c>
      <c r="Q285">
        <v>1.2424640000000001E-2</v>
      </c>
      <c r="R285">
        <v>-1.1513610000000001E-3</v>
      </c>
      <c r="S285">
        <v>3.0016780000000001</v>
      </c>
      <c r="T285">
        <v>-0.108876</v>
      </c>
      <c r="U285">
        <v>6.9885249999999996E-2</v>
      </c>
      <c r="V285">
        <v>4.1428630000000001E-2</v>
      </c>
      <c r="W285">
        <v>1.6938660000000001E-2</v>
      </c>
      <c r="X285">
        <v>0.998997899999999</v>
      </c>
      <c r="Y285">
        <v>1.6984920000000001E-2</v>
      </c>
      <c r="Z285">
        <v>-1.768145E-3</v>
      </c>
      <c r="AA285">
        <v>0.99985419999999903</v>
      </c>
      <c r="AB285">
        <v>50</v>
      </c>
      <c r="AC285">
        <v>28.7332</v>
      </c>
      <c r="AD285">
        <v>-1.0530850695709999</v>
      </c>
      <c r="AE285">
        <v>0.66379999999997996</v>
      </c>
      <c r="AF285">
        <v>0.49374559695238701</v>
      </c>
      <c r="AG285">
        <v>-1.0530850695709999</v>
      </c>
      <c r="AH285">
        <v>28.698085480366899</v>
      </c>
      <c r="AI285">
        <v>92.101232620963202</v>
      </c>
      <c r="AJ285">
        <v>89.014333270358406</v>
      </c>
      <c r="AK285">
        <v>28.7216448539548</v>
      </c>
    </row>
    <row r="286" spans="1:37" x14ac:dyDescent="0.2">
      <c r="A286" t="str">
        <f>"20200111153411006"</f>
        <v>20200111153411006</v>
      </c>
      <c r="B286" t="str">
        <f>"1578728050996803"</f>
        <v>1578728050996803</v>
      </c>
      <c r="C286" t="s">
        <v>37</v>
      </c>
      <c r="D286">
        <v>4.6027509999999996</v>
      </c>
      <c r="E286">
        <v>0.490676099999999</v>
      </c>
      <c r="F286" t="s">
        <v>39</v>
      </c>
      <c r="G286">
        <v>-377.44150000000002</v>
      </c>
      <c r="H286" s="1">
        <v>-1.096353E-6</v>
      </c>
      <c r="I286">
        <v>369.678</v>
      </c>
      <c r="J286">
        <v>-405.95049999999998</v>
      </c>
      <c r="K286">
        <v>1.053077</v>
      </c>
      <c r="L286">
        <v>369.02</v>
      </c>
      <c r="M286">
        <v>0.99917599999999995</v>
      </c>
      <c r="N286">
        <v>0</v>
      </c>
      <c r="O286">
        <v>4.0345699999999998E-2</v>
      </c>
      <c r="P286">
        <v>0.9999228</v>
      </c>
      <c r="Q286">
        <v>1.2346940000000001E-2</v>
      </c>
      <c r="R286">
        <v>-1.5676679999999999E-3</v>
      </c>
      <c r="S286">
        <v>3.0016479999999999</v>
      </c>
      <c r="T286">
        <v>-0.10978599999999999</v>
      </c>
      <c r="U286">
        <v>6.97937E-2</v>
      </c>
      <c r="V286">
        <v>4.1901149999999998E-2</v>
      </c>
      <c r="W286">
        <v>1.6818030000000001E-2</v>
      </c>
      <c r="X286">
        <v>0.99898019999999998</v>
      </c>
      <c r="Y286">
        <v>1.707026E-2</v>
      </c>
      <c r="Z286">
        <v>-1.7865299999999999E-3</v>
      </c>
      <c r="AA286">
        <v>0.99985270000000004</v>
      </c>
      <c r="AB286">
        <v>50</v>
      </c>
      <c r="AC286">
        <v>28.508999999999901</v>
      </c>
      <c r="AD286">
        <v>-1.053078096353</v>
      </c>
      <c r="AE286">
        <v>0.65800000000007197</v>
      </c>
      <c r="AF286">
        <v>0.49209149289300103</v>
      </c>
      <c r="AG286">
        <v>-1.053078096353</v>
      </c>
      <c r="AH286">
        <v>28.473504750349498</v>
      </c>
      <c r="AI286">
        <v>92.117773921944405</v>
      </c>
      <c r="AJ286">
        <v>89.009887987717207</v>
      </c>
      <c r="AK286">
        <v>28.497220922093</v>
      </c>
    </row>
    <row r="287" spans="1:37" x14ac:dyDescent="0.2">
      <c r="A287" t="str">
        <f>"20200111153411018"</f>
        <v>20200111153411018</v>
      </c>
      <c r="B287" t="str">
        <f>"1578728051006563"</f>
        <v>1578728051006563</v>
      </c>
      <c r="C287" t="s">
        <v>37</v>
      </c>
      <c r="D287">
        <v>4.6487309999999997</v>
      </c>
      <c r="E287">
        <v>0.49066199999999999</v>
      </c>
      <c r="F287" t="s">
        <v>39</v>
      </c>
      <c r="G287">
        <v>-377.21850000000001</v>
      </c>
      <c r="H287" s="1">
        <v>-1.1905239999999999E-6</v>
      </c>
      <c r="I287">
        <v>369.67250000000001</v>
      </c>
      <c r="J287">
        <v>-405.68060000000003</v>
      </c>
      <c r="K287">
        <v>1.05307</v>
      </c>
      <c r="L287">
        <v>369.03089999999997</v>
      </c>
      <c r="M287">
        <v>0.99917420000000001</v>
      </c>
      <c r="N287">
        <v>0</v>
      </c>
      <c r="O287">
        <v>4.0392959999999999E-2</v>
      </c>
      <c r="P287">
        <v>0.99992760000000003</v>
      </c>
      <c r="Q287">
        <v>1.1977990000000001E-2</v>
      </c>
      <c r="R287">
        <v>-1.348E-3</v>
      </c>
      <c r="S287">
        <v>3.0017399999999999</v>
      </c>
      <c r="T287">
        <v>-0.11001900000000001</v>
      </c>
      <c r="U287">
        <v>6.8176269999999997E-2</v>
      </c>
      <c r="V287">
        <v>4.1729780000000001E-2</v>
      </c>
      <c r="W287">
        <v>1.6413250000000001E-2</v>
      </c>
      <c r="X287">
        <v>0.998994099999999</v>
      </c>
      <c r="Y287">
        <v>1.7656140000000001E-2</v>
      </c>
      <c r="Z287">
        <v>-1.8027410000000001E-3</v>
      </c>
      <c r="AA287">
        <v>0.99984249999999997</v>
      </c>
      <c r="AB287">
        <v>50</v>
      </c>
      <c r="AC287">
        <v>28.4621</v>
      </c>
      <c r="AD287">
        <v>-1.053071190524</v>
      </c>
      <c r="AE287">
        <v>0.64160000000003903</v>
      </c>
      <c r="AF287">
        <v>0.50790827667611704</v>
      </c>
      <c r="AG287">
        <v>-1.053071190524</v>
      </c>
      <c r="AH287">
        <v>28.425893863690501</v>
      </c>
      <c r="AI287">
        <v>92.121282074786293</v>
      </c>
      <c r="AJ287">
        <v>88.976359214839206</v>
      </c>
      <c r="AK287">
        <v>28.449927446298101</v>
      </c>
    </row>
    <row r="288" spans="1:37" x14ac:dyDescent="0.2">
      <c r="A288" t="str">
        <f>"20200111153411036"</f>
        <v>20200111153411036</v>
      </c>
      <c r="B288" t="str">
        <f>"1578728051027062"</f>
        <v>1578728051027062</v>
      </c>
      <c r="C288" t="s">
        <v>37</v>
      </c>
      <c r="D288">
        <v>4.6719049999999998</v>
      </c>
      <c r="E288">
        <v>0.4905331</v>
      </c>
      <c r="F288" t="s">
        <v>39</v>
      </c>
      <c r="G288">
        <v>-377.18049999999999</v>
      </c>
      <c r="H288" s="1">
        <v>-1.210559E-6</v>
      </c>
      <c r="I288">
        <v>369.68650000000002</v>
      </c>
      <c r="J288">
        <v>-405.28179999999998</v>
      </c>
      <c r="K288">
        <v>1.053043</v>
      </c>
      <c r="L288">
        <v>369.046999999999</v>
      </c>
      <c r="M288">
        <v>0.99917309999999904</v>
      </c>
      <c r="N288">
        <v>0</v>
      </c>
      <c r="O288">
        <v>4.0420599999999897E-2</v>
      </c>
      <c r="P288">
        <v>0.99993109999999996</v>
      </c>
      <c r="Q288">
        <v>1.167661E-2</v>
      </c>
      <c r="R288">
        <v>-1.1436269999999999E-3</v>
      </c>
      <c r="S288">
        <v>3.0016780000000001</v>
      </c>
      <c r="T288">
        <v>-0.1109111</v>
      </c>
      <c r="U288">
        <v>6.9061280000000003E-2</v>
      </c>
      <c r="V288">
        <v>4.155503E-2</v>
      </c>
      <c r="W288">
        <v>1.6071410000000001E-2</v>
      </c>
      <c r="X288">
        <v>0.99900689999999903</v>
      </c>
      <c r="Y288">
        <v>1.7388219999999999E-2</v>
      </c>
      <c r="Z288">
        <v>-1.813451E-3</v>
      </c>
      <c r="AA288">
        <v>0.99984719999999905</v>
      </c>
      <c r="AB288">
        <v>50</v>
      </c>
      <c r="AC288">
        <v>28.101299999999899</v>
      </c>
      <c r="AD288">
        <v>-1.0530442105589899</v>
      </c>
      <c r="AE288">
        <v>0.63950000000005502</v>
      </c>
      <c r="AF288">
        <v>0.49620856860965601</v>
      </c>
      <c r="AG288">
        <v>-1.0530442105589899</v>
      </c>
      <c r="AH288">
        <v>28.064793872774899</v>
      </c>
      <c r="AI288">
        <v>92.148502596378805</v>
      </c>
      <c r="AJ288">
        <v>88.987069178503006</v>
      </c>
      <c r="AK288">
        <v>28.0889262908766</v>
      </c>
    </row>
    <row r="289" spans="1:37" x14ac:dyDescent="0.2">
      <c r="A289" t="str">
        <f>"20200111153411048"</f>
        <v>20200111153411048</v>
      </c>
      <c r="B289" t="str">
        <f>"1578728051036819"</f>
        <v>1578728051036819</v>
      </c>
      <c r="C289" t="s">
        <v>37</v>
      </c>
      <c r="D289">
        <v>4.6432399999999996</v>
      </c>
      <c r="E289">
        <v>0.49043599999999998</v>
      </c>
      <c r="F289" t="s">
        <v>39</v>
      </c>
      <c r="G289">
        <v>-377.11860000000001</v>
      </c>
      <c r="H289" s="1">
        <v>-1.243927E-6</v>
      </c>
      <c r="I289">
        <v>369.71210000000002</v>
      </c>
      <c r="J289">
        <v>-405.0145</v>
      </c>
      <c r="K289">
        <v>1.053016</v>
      </c>
      <c r="L289">
        <v>369.05779999999999</v>
      </c>
      <c r="M289">
        <v>0.99917400000000001</v>
      </c>
      <c r="N289">
        <v>0</v>
      </c>
      <c r="O289">
        <v>4.0402960000000002E-2</v>
      </c>
      <c r="P289">
        <v>0.999924699999999</v>
      </c>
      <c r="Q289">
        <v>1.224548E-2</v>
      </c>
      <c r="R289">
        <v>-8.9276199999999996E-4</v>
      </c>
      <c r="S289">
        <v>3.0015869999999998</v>
      </c>
      <c r="T289">
        <v>-0.1122316</v>
      </c>
      <c r="U289">
        <v>7.0892330000000003E-2</v>
      </c>
      <c r="V289">
        <v>4.1287530000000003E-2</v>
      </c>
      <c r="W289">
        <v>1.661779E-2</v>
      </c>
      <c r="X289">
        <v>0.99900909999999998</v>
      </c>
      <c r="Y289">
        <v>1.6759759999999999E-2</v>
      </c>
      <c r="Z289">
        <v>-1.8226609999999999E-3</v>
      </c>
      <c r="AA289">
        <v>0.99985789999999997</v>
      </c>
      <c r="AB289">
        <v>50</v>
      </c>
      <c r="AC289">
        <v>27.895899999999902</v>
      </c>
      <c r="AD289">
        <v>-1.053017243927</v>
      </c>
      <c r="AE289">
        <v>0.65430000000003397</v>
      </c>
      <c r="AF289">
        <v>0.472648745044493</v>
      </c>
      <c r="AG289">
        <v>-1.053017243927</v>
      </c>
      <c r="AH289">
        <v>27.859881304314499</v>
      </c>
      <c r="AI289">
        <v>92.164261526787897</v>
      </c>
      <c r="AJ289">
        <v>89.028058292103196</v>
      </c>
      <c r="AK289">
        <v>27.883780741547501</v>
      </c>
    </row>
    <row r="290" spans="1:37" x14ac:dyDescent="0.2">
      <c r="A290" t="str">
        <f>"20200111153411061"</f>
        <v>20200111153411061</v>
      </c>
      <c r="B290" t="str">
        <f>"1578728051056937"</f>
        <v>1578728051056937</v>
      </c>
      <c r="C290" t="s">
        <v>37</v>
      </c>
      <c r="D290">
        <v>4.6667189999999996</v>
      </c>
      <c r="E290">
        <v>0.49031400000000003</v>
      </c>
      <c r="F290" t="s">
        <v>39</v>
      </c>
      <c r="G290">
        <v>-376.45710000000003</v>
      </c>
      <c r="H290" s="1">
        <v>-1.5362190000000001E-6</v>
      </c>
      <c r="I290">
        <v>369.7441</v>
      </c>
      <c r="J290">
        <v>-404.70429999999999</v>
      </c>
      <c r="K290">
        <v>1.052983</v>
      </c>
      <c r="L290">
        <v>369.07029999999997</v>
      </c>
      <c r="M290">
        <v>0.99917599999999995</v>
      </c>
      <c r="N290">
        <v>0</v>
      </c>
      <c r="O290">
        <v>4.0355769999999999E-2</v>
      </c>
      <c r="P290">
        <v>0.99992190000000003</v>
      </c>
      <c r="Q290">
        <v>1.249897E-2</v>
      </c>
      <c r="R290">
        <v>-5.878271E-4</v>
      </c>
      <c r="S290">
        <v>3.001617</v>
      </c>
      <c r="T290">
        <v>-0.1106806</v>
      </c>
      <c r="U290">
        <v>7.2143550000000001E-2</v>
      </c>
      <c r="V290">
        <v>4.0936960000000001E-2</v>
      </c>
      <c r="W290">
        <v>1.6849030000000001E-2</v>
      </c>
      <c r="X290">
        <v>0.99901969999999995</v>
      </c>
      <c r="Y290">
        <v>1.629765E-2</v>
      </c>
      <c r="Z290">
        <v>-1.7872070000000001E-3</v>
      </c>
      <c r="AA290">
        <v>0.99986559999999902</v>
      </c>
      <c r="AB290">
        <v>50</v>
      </c>
      <c r="AC290">
        <v>28.2471999999999</v>
      </c>
      <c r="AD290">
        <v>-1.052984536219</v>
      </c>
      <c r="AE290">
        <v>0.67380000000002804</v>
      </c>
      <c r="AF290">
        <v>0.46604982926768701</v>
      </c>
      <c r="AG290">
        <v>-1.052984536219</v>
      </c>
      <c r="AH290">
        <v>28.212198959038702</v>
      </c>
      <c r="AI290">
        <v>92.137208774279003</v>
      </c>
      <c r="AJ290">
        <v>89.053591685187399</v>
      </c>
      <c r="AK290">
        <v>28.235689277601502</v>
      </c>
    </row>
    <row r="291" spans="1:37" x14ac:dyDescent="0.2">
      <c r="A291" t="str">
        <f>"20200111153411081"</f>
        <v>20200111153411081</v>
      </c>
      <c r="B291" t="str">
        <f>"1578728051076457"</f>
        <v>1578728051076457</v>
      </c>
      <c r="C291" t="s">
        <v>37</v>
      </c>
      <c r="D291">
        <v>4.6815660000000001</v>
      </c>
      <c r="E291">
        <v>0.49022579999999999</v>
      </c>
      <c r="F291" t="s">
        <v>39</v>
      </c>
      <c r="G291">
        <v>-376.06279999999998</v>
      </c>
      <c r="H291" s="1">
        <v>-1.7147470000000001E-6</v>
      </c>
      <c r="I291">
        <v>369.77929999999998</v>
      </c>
      <c r="J291">
        <v>-404.28919999999999</v>
      </c>
      <c r="K291">
        <v>1.0529189999999999</v>
      </c>
      <c r="L291">
        <v>369.08690000000001</v>
      </c>
      <c r="M291">
        <v>0.999181599999999</v>
      </c>
      <c r="N291">
        <v>0</v>
      </c>
      <c r="O291">
        <v>4.021537E-2</v>
      </c>
      <c r="P291">
        <v>0.99991419999999998</v>
      </c>
      <c r="Q291">
        <v>1.3088999999999899E-2</v>
      </c>
      <c r="R291" s="1">
        <v>8.064058E-5</v>
      </c>
      <c r="S291">
        <v>3.0016479999999999</v>
      </c>
      <c r="T291">
        <v>-0.1103531</v>
      </c>
      <c r="U291">
        <v>7.4310299999999996E-2</v>
      </c>
      <c r="V291">
        <v>4.0131500000000001E-2</v>
      </c>
      <c r="W291">
        <v>1.7414470000000001E-2</v>
      </c>
      <c r="X291">
        <v>0.9990426</v>
      </c>
      <c r="Y291">
        <v>1.543697E-2</v>
      </c>
      <c r="Z291">
        <v>-1.7609139999999999E-3</v>
      </c>
      <c r="AA291">
        <v>0.99987929999999903</v>
      </c>
      <c r="AB291">
        <v>50</v>
      </c>
      <c r="AC291">
        <v>28.226400000000002</v>
      </c>
      <c r="AD291">
        <v>-1.0529207147470001</v>
      </c>
      <c r="AE291">
        <v>0.69239999999996305</v>
      </c>
      <c r="AF291">
        <v>0.44269032994364099</v>
      </c>
      <c r="AG291">
        <v>-1.0529207147470001</v>
      </c>
      <c r="AH291">
        <v>28.1922051741271</v>
      </c>
      <c r="AI291">
        <v>92.138621670002195</v>
      </c>
      <c r="AJ291">
        <v>89.100382428774495</v>
      </c>
      <c r="AK291">
        <v>28.215333585478799</v>
      </c>
    </row>
    <row r="292" spans="1:37" x14ac:dyDescent="0.2">
      <c r="A292" t="str">
        <f>"20200111153411093"</f>
        <v>20200111153411093</v>
      </c>
      <c r="B292" t="str">
        <f>"1578728051087193"</f>
        <v>1578728051087193</v>
      </c>
      <c r="C292" t="s">
        <v>37</v>
      </c>
      <c r="D292">
        <v>4.6576769999999996</v>
      </c>
      <c r="E292">
        <v>0.49022359999999998</v>
      </c>
      <c r="F292" t="s">
        <v>39</v>
      </c>
      <c r="G292">
        <v>-375.23360000000002</v>
      </c>
      <c r="H292" s="1">
        <v>-2.0850290000000001E-6</v>
      </c>
      <c r="I292">
        <v>369.83390000000003</v>
      </c>
      <c r="J292">
        <v>-403.99799999999999</v>
      </c>
      <c r="K292">
        <v>1.052854</v>
      </c>
      <c r="L292">
        <v>369.09859999999998</v>
      </c>
      <c r="M292">
        <v>0.99918809999999902</v>
      </c>
      <c r="N292">
        <v>0</v>
      </c>
      <c r="O292">
        <v>4.0055029999999998E-2</v>
      </c>
      <c r="P292">
        <v>0.99991039999999998</v>
      </c>
      <c r="Q292">
        <v>1.3387359999999999E-2</v>
      </c>
      <c r="R292">
        <v>3.1726040000000001E-4</v>
      </c>
      <c r="S292">
        <v>3.0016479999999999</v>
      </c>
      <c r="T292">
        <v>-0.1087735</v>
      </c>
      <c r="U292">
        <v>7.7178960000000005E-2</v>
      </c>
      <c r="V292">
        <v>3.9737050000000003E-2</v>
      </c>
      <c r="W292">
        <v>1.7700049999999998E-2</v>
      </c>
      <c r="X292">
        <v>0.99905339999999998</v>
      </c>
      <c r="Y292">
        <v>1.432345E-2</v>
      </c>
      <c r="Z292">
        <v>-1.70973E-3</v>
      </c>
      <c r="AA292">
        <v>0.99989589999999995</v>
      </c>
      <c r="AB292">
        <v>50</v>
      </c>
      <c r="AC292">
        <v>28.764399999999998</v>
      </c>
      <c r="AD292">
        <v>-1.0528560850290001</v>
      </c>
      <c r="AE292">
        <v>0.73530000000005202</v>
      </c>
      <c r="AF292">
        <v>0.41690162180540302</v>
      </c>
      <c r="AG292">
        <v>-1.0528560850290001</v>
      </c>
      <c r="AH292">
        <v>28.7322988842005</v>
      </c>
      <c r="AI292">
        <v>92.098366411455601</v>
      </c>
      <c r="AJ292">
        <v>89.168704621499003</v>
      </c>
      <c r="AK292">
        <v>28.7546050584785</v>
      </c>
    </row>
    <row r="293" spans="1:37" x14ac:dyDescent="0.2">
      <c r="A293" t="str">
        <f>"20200111153411107"</f>
        <v>20200111153411107</v>
      </c>
      <c r="B293" t="str">
        <f>"1578728051096953"</f>
        <v>1578728051096953</v>
      </c>
      <c r="C293" t="s">
        <v>37</v>
      </c>
      <c r="D293">
        <v>4.6846889999999997</v>
      </c>
      <c r="E293">
        <v>0.49015999999999998</v>
      </c>
      <c r="F293" t="s">
        <v>39</v>
      </c>
      <c r="G293">
        <v>-374.74759999999998</v>
      </c>
      <c r="H293" s="1">
        <v>-2.2989510000000001E-6</v>
      </c>
      <c r="I293">
        <v>369.8544</v>
      </c>
      <c r="J293">
        <v>-403.68880000000001</v>
      </c>
      <c r="K293">
        <v>1.052783</v>
      </c>
      <c r="L293">
        <v>369.11079999999998</v>
      </c>
      <c r="M293">
        <v>0.99919690000000005</v>
      </c>
      <c r="N293">
        <v>0</v>
      </c>
      <c r="O293">
        <v>3.9838770000000003E-2</v>
      </c>
      <c r="P293">
        <v>0.99990800000000002</v>
      </c>
      <c r="Q293">
        <v>1.358471E-2</v>
      </c>
      <c r="R293" s="1">
        <v>4.8623620000000001E-5</v>
      </c>
      <c r="S293">
        <v>3.0016479999999999</v>
      </c>
      <c r="T293">
        <v>-0.10804269999999901</v>
      </c>
      <c r="U293">
        <v>7.7575679999999994E-2</v>
      </c>
      <c r="V293">
        <v>3.9792019999999997E-2</v>
      </c>
      <c r="W293">
        <v>1.788551E-2</v>
      </c>
      <c r="X293">
        <v>0.99904789999999999</v>
      </c>
      <c r="Y293">
        <v>1.3975799999999899E-2</v>
      </c>
      <c r="Z293">
        <v>-1.6842179999999999E-3</v>
      </c>
      <c r="AA293">
        <v>0.99990089999999998</v>
      </c>
      <c r="AB293">
        <v>50</v>
      </c>
      <c r="AC293">
        <v>28.941199999999998</v>
      </c>
      <c r="AD293">
        <v>-1.052785298951</v>
      </c>
      <c r="AE293">
        <v>0.74360000000001403</v>
      </c>
      <c r="AF293">
        <v>0.40944133135676902</v>
      </c>
      <c r="AG293">
        <v>-1.052785298951</v>
      </c>
      <c r="AH293">
        <v>28.9096183255492</v>
      </c>
      <c r="AI293">
        <v>92.085377588757396</v>
      </c>
      <c r="AJ293">
        <v>89.1885852091294</v>
      </c>
      <c r="AK293">
        <v>28.931678672666699</v>
      </c>
    </row>
    <row r="294" spans="1:37" x14ac:dyDescent="0.2">
      <c r="A294" t="str">
        <f>"20200111153411122"</f>
        <v>20200111153411122</v>
      </c>
      <c r="B294" t="str">
        <f>"1578728051116473"</f>
        <v>1578728051116473</v>
      </c>
      <c r="C294" t="s">
        <v>37</v>
      </c>
      <c r="D294">
        <v>4.6398289999999998</v>
      </c>
      <c r="E294">
        <v>0.49001339999999999</v>
      </c>
      <c r="F294" t="s">
        <v>39</v>
      </c>
      <c r="G294">
        <v>-374.3605</v>
      </c>
      <c r="H294" s="1">
        <v>-2.4682630000000002E-6</v>
      </c>
      <c r="I294">
        <v>369.86660000000001</v>
      </c>
      <c r="J294">
        <v>-403.36579999999998</v>
      </c>
      <c r="K294">
        <v>1.0527040000000001</v>
      </c>
      <c r="L294">
        <v>369.12360000000001</v>
      </c>
      <c r="M294">
        <v>0.99920779999999998</v>
      </c>
      <c r="N294">
        <v>0</v>
      </c>
      <c r="O294">
        <v>3.9563420000000002E-2</v>
      </c>
      <c r="P294">
        <v>0.99990689999999904</v>
      </c>
      <c r="Q294">
        <v>1.365335E-2</v>
      </c>
      <c r="R294">
        <v>-1.578657E-4</v>
      </c>
      <c r="S294">
        <v>3.0017399999999999</v>
      </c>
      <c r="T294">
        <v>-0.10775170000000001</v>
      </c>
      <c r="U294">
        <v>7.7362059999999996E-2</v>
      </c>
      <c r="V294">
        <v>3.9726480000000002E-2</v>
      </c>
      <c r="W294">
        <v>1.7943669999999998E-2</v>
      </c>
      <c r="X294">
        <v>0.99904950000000003</v>
      </c>
      <c r="Y294">
        <v>1.3772670000000001E-2</v>
      </c>
      <c r="Z294">
        <v>-1.666121E-3</v>
      </c>
      <c r="AA294">
        <v>0.99990369999999995</v>
      </c>
      <c r="AB294">
        <v>50</v>
      </c>
      <c r="AC294">
        <v>29.005299999999899</v>
      </c>
      <c r="AD294">
        <v>-1.0527064682630001</v>
      </c>
      <c r="AE294">
        <v>0.742999999999994</v>
      </c>
      <c r="AF294">
        <v>0.40460860900696</v>
      </c>
      <c r="AG294">
        <v>-1.0527064682630001</v>
      </c>
      <c r="AH294">
        <v>28.973846065304301</v>
      </c>
      <c r="AI294">
        <v>92.080609024806293</v>
      </c>
      <c r="AJ294">
        <v>89.199938494872598</v>
      </c>
      <c r="AK294">
        <v>28.995786846553301</v>
      </c>
    </row>
    <row r="295" spans="1:37" x14ac:dyDescent="0.2">
      <c r="A295" t="str">
        <f>"20200111153411136"</f>
        <v>20200111153411136</v>
      </c>
      <c r="B295" t="str">
        <f>"1578728051127209"</f>
        <v>1578728051127209</v>
      </c>
      <c r="C295" t="s">
        <v>37</v>
      </c>
      <c r="D295">
        <v>4.6313719999999998</v>
      </c>
      <c r="E295">
        <v>0.48994579999999999</v>
      </c>
      <c r="F295" t="s">
        <v>39</v>
      </c>
      <c r="G295">
        <v>-374.11369999999999</v>
      </c>
      <c r="H295" s="1">
        <v>-2.5788269999999999E-6</v>
      </c>
      <c r="I295">
        <v>369.88420000000002</v>
      </c>
      <c r="J295">
        <v>-403.01190000000003</v>
      </c>
      <c r="K295">
        <v>1.0526009999999999</v>
      </c>
      <c r="L295">
        <v>369.13740000000001</v>
      </c>
      <c r="M295">
        <v>0.99922319999999998</v>
      </c>
      <c r="N295">
        <v>0</v>
      </c>
      <c r="O295">
        <v>3.9171879999999999E-2</v>
      </c>
      <c r="P295">
        <v>0.99990029999999996</v>
      </c>
      <c r="Q295">
        <v>1.411186E-2</v>
      </c>
      <c r="R295">
        <v>-7.5799020000000001E-4</v>
      </c>
      <c r="S295">
        <v>3.0018009999999999</v>
      </c>
      <c r="T295">
        <v>-0.1080265</v>
      </c>
      <c r="U295">
        <v>7.8063960000000002E-2</v>
      </c>
      <c r="V295">
        <v>3.9939179999999998E-2</v>
      </c>
      <c r="W295">
        <v>1.8392309999999999E-2</v>
      </c>
      <c r="X295">
        <v>0.99903280000000005</v>
      </c>
      <c r="Y295">
        <v>1.3148200000000001E-2</v>
      </c>
      <c r="Z295">
        <v>-1.6450239999999999E-3</v>
      </c>
      <c r="AA295">
        <v>0.99991219999999903</v>
      </c>
      <c r="AB295">
        <v>51</v>
      </c>
      <c r="AC295">
        <v>28.898199999999999</v>
      </c>
      <c r="AD295">
        <v>-1.0526035788270001</v>
      </c>
      <c r="AE295">
        <v>0.74680000000000701</v>
      </c>
      <c r="AF295">
        <v>0.38526970272563899</v>
      </c>
      <c r="AG295">
        <v>-1.0526035788270001</v>
      </c>
      <c r="AH295">
        <v>28.8670000421113</v>
      </c>
      <c r="AI295">
        <v>92.088116903985494</v>
      </c>
      <c r="AJ295">
        <v>89.235354647852105</v>
      </c>
      <c r="AK295">
        <v>28.888753840711999</v>
      </c>
    </row>
    <row r="296" spans="1:37" x14ac:dyDescent="0.2">
      <c r="A296" t="str">
        <f>"20200111153411151"</f>
        <v>20200111153411151</v>
      </c>
      <c r="B296" t="str">
        <f>"1578728051146606"</f>
        <v>1578728051146606</v>
      </c>
      <c r="C296" t="s">
        <v>37</v>
      </c>
      <c r="D296">
        <v>4.6511040000000001</v>
      </c>
      <c r="E296">
        <v>0.489952</v>
      </c>
      <c r="F296" t="s">
        <v>39</v>
      </c>
      <c r="G296">
        <v>-373.37220000000002</v>
      </c>
      <c r="H296" s="1">
        <v>-2.89974499999999E-6</v>
      </c>
      <c r="I296">
        <v>369.89479999999998</v>
      </c>
      <c r="J296">
        <v>-402.70280000000002</v>
      </c>
      <c r="K296">
        <v>1.052495</v>
      </c>
      <c r="L296">
        <v>369.14929999999998</v>
      </c>
      <c r="M296">
        <v>0.99924009999999996</v>
      </c>
      <c r="N296">
        <v>0</v>
      </c>
      <c r="O296">
        <v>3.8739540000000003E-2</v>
      </c>
      <c r="P296">
        <v>0.99990380000000001</v>
      </c>
      <c r="Q296">
        <v>1.3860340000000001E-2</v>
      </c>
      <c r="R296">
        <v>-9.3270989999999997E-4</v>
      </c>
      <c r="S296">
        <v>3.0018310000000001</v>
      </c>
      <c r="T296">
        <v>-0.1066048</v>
      </c>
      <c r="U296">
        <v>7.6721189999999995E-2</v>
      </c>
      <c r="V296">
        <v>3.968576E-2</v>
      </c>
      <c r="W296">
        <v>1.8134850000000001E-2</v>
      </c>
      <c r="X296">
        <v>0.99904760000000004</v>
      </c>
      <c r="Y296">
        <v>1.3163960000000001E-2</v>
      </c>
      <c r="Z296">
        <v>-1.6083289999999999E-3</v>
      </c>
      <c r="AA296">
        <v>0.99991209999999997</v>
      </c>
      <c r="AB296">
        <v>51</v>
      </c>
      <c r="AC296">
        <v>29.3306</v>
      </c>
      <c r="AD296">
        <v>-1.0524978997450001</v>
      </c>
      <c r="AE296">
        <v>0.74549999999999195</v>
      </c>
      <c r="AF296">
        <v>0.390821152243506</v>
      </c>
      <c r="AG296">
        <v>-1.0524978997450001</v>
      </c>
      <c r="AH296">
        <v>29.299759229517399</v>
      </c>
      <c r="AI296">
        <v>92.057095832578597</v>
      </c>
      <c r="AJ296">
        <v>89.235793219129903</v>
      </c>
      <c r="AK296">
        <v>29.321261635709</v>
      </c>
    </row>
    <row r="297" spans="1:37" x14ac:dyDescent="0.2">
      <c r="A297" t="str">
        <f>"20200111153411164"</f>
        <v>20200111153411164</v>
      </c>
      <c r="B297" t="str">
        <f>"1578728051156367"</f>
        <v>1578728051156367</v>
      </c>
      <c r="C297" t="s">
        <v>37</v>
      </c>
      <c r="D297">
        <v>4.6685129999999999</v>
      </c>
      <c r="E297">
        <v>0.489952</v>
      </c>
      <c r="F297" t="s">
        <v>39</v>
      </c>
      <c r="G297">
        <v>-373.31920000000002</v>
      </c>
      <c r="H297" s="1">
        <v>-2.9223949999999998E-6</v>
      </c>
      <c r="I297">
        <v>369.89449999999999</v>
      </c>
      <c r="J297">
        <v>-402.40289999999999</v>
      </c>
      <c r="K297">
        <v>1.052386</v>
      </c>
      <c r="L297">
        <v>369.16070000000002</v>
      </c>
      <c r="M297">
        <v>0.99925830000000004</v>
      </c>
      <c r="N297">
        <v>0</v>
      </c>
      <c r="O297">
        <v>3.8264760000000002E-2</v>
      </c>
      <c r="P297">
        <v>0.99990669999999904</v>
      </c>
      <c r="Q297">
        <v>1.3616619999999999E-2</v>
      </c>
      <c r="R297">
        <v>-1.176018E-3</v>
      </c>
      <c r="S297">
        <v>3.001862</v>
      </c>
      <c r="T297">
        <v>-0.1075242</v>
      </c>
      <c r="U297">
        <v>7.6141360000000005E-2</v>
      </c>
      <c r="V297">
        <v>3.9458600000000003E-2</v>
      </c>
      <c r="W297">
        <v>1.7885990000000001E-2</v>
      </c>
      <c r="X297">
        <v>0.99906109999999904</v>
      </c>
      <c r="Y297">
        <v>1.2882060000000001E-2</v>
      </c>
      <c r="Z297">
        <v>-1.6001500000000001E-3</v>
      </c>
      <c r="AA297">
        <v>0.99991569999999996</v>
      </c>
      <c r="AB297">
        <v>51</v>
      </c>
      <c r="AC297">
        <v>29.083699999999901</v>
      </c>
      <c r="AD297">
        <v>-1.052388922395</v>
      </c>
      <c r="AE297">
        <v>0.73379999999997303</v>
      </c>
      <c r="AF297">
        <v>0.37913250300474899</v>
      </c>
      <c r="AG297">
        <v>-1.052388922395</v>
      </c>
      <c r="AH297">
        <v>29.052463266046502</v>
      </c>
      <c r="AI297">
        <v>92.074383972288103</v>
      </c>
      <c r="AJ297">
        <v>89.252336743480896</v>
      </c>
      <c r="AK297">
        <v>29.073989848725599</v>
      </c>
    </row>
    <row r="298" spans="1:37" x14ac:dyDescent="0.2">
      <c r="A298" t="str">
        <f>"20200111153411182"</f>
        <v>20200111153411182</v>
      </c>
      <c r="B298" t="str">
        <f>"1578728051176863"</f>
        <v>1578728051176863</v>
      </c>
      <c r="C298" t="s">
        <v>37</v>
      </c>
      <c r="D298">
        <v>4.7424089999999897</v>
      </c>
      <c r="E298">
        <v>0.4903595</v>
      </c>
      <c r="F298" t="s">
        <v>39</v>
      </c>
      <c r="G298">
        <v>-373.22989999999999</v>
      </c>
      <c r="H298" s="1">
        <v>-2.9608239999999999E-6</v>
      </c>
      <c r="I298">
        <v>369.89499999999998</v>
      </c>
      <c r="J298">
        <v>-402.00699999999898</v>
      </c>
      <c r="K298">
        <v>1.0522290000000001</v>
      </c>
      <c r="L298">
        <v>369.1755</v>
      </c>
      <c r="M298">
        <v>0.99928619999999901</v>
      </c>
      <c r="N298">
        <v>0</v>
      </c>
      <c r="O298">
        <v>3.7527190000000002E-2</v>
      </c>
      <c r="P298">
        <v>0.99991390000000002</v>
      </c>
      <c r="Q298">
        <v>1.305253E-2</v>
      </c>
      <c r="R298">
        <v>-1.3622E-3</v>
      </c>
      <c r="S298">
        <v>3.0018009999999999</v>
      </c>
      <c r="T298">
        <v>-0.10828689999999901</v>
      </c>
      <c r="U298">
        <v>7.5561519999999993E-2</v>
      </c>
      <c r="V298">
        <v>3.8912879999999997E-2</v>
      </c>
      <c r="W298">
        <v>1.7316729999999999E-2</v>
      </c>
      <c r="X298">
        <v>0.99909249999999905</v>
      </c>
      <c r="Y298">
        <v>1.233689E-2</v>
      </c>
      <c r="Z298">
        <v>-1.575127E-3</v>
      </c>
      <c r="AA298">
        <v>0.99992259999999999</v>
      </c>
      <c r="AB298">
        <v>51</v>
      </c>
      <c r="AC298">
        <v>28.777099999999901</v>
      </c>
      <c r="AD298">
        <v>-1.0522319608239901</v>
      </c>
      <c r="AE298">
        <v>0.71949999999998204</v>
      </c>
      <c r="AF298">
        <v>0.36045904149167002</v>
      </c>
      <c r="AG298">
        <v>-1.0522319608239901</v>
      </c>
      <c r="AH298">
        <v>28.7454218962745</v>
      </c>
      <c r="AI298">
        <v>92.096222887813695</v>
      </c>
      <c r="AJ298">
        <v>89.281565620021098</v>
      </c>
      <c r="AK298">
        <v>28.7669324540311</v>
      </c>
    </row>
    <row r="299" spans="1:37" x14ac:dyDescent="0.2">
      <c r="A299" t="str">
        <f>"20200111153411195"</f>
        <v>20200111153411195</v>
      </c>
      <c r="B299" t="str">
        <f>"1578728051186623"</f>
        <v>1578728051186623</v>
      </c>
      <c r="C299" t="s">
        <v>37</v>
      </c>
      <c r="D299">
        <v>4.7259529999999996</v>
      </c>
      <c r="E299">
        <v>0.490701199999999</v>
      </c>
      <c r="F299" t="s">
        <v>39</v>
      </c>
      <c r="G299">
        <v>-373.61989999999997</v>
      </c>
      <c r="H299" s="1">
        <v>-2.7813669999999999E-6</v>
      </c>
      <c r="I299">
        <v>369.84930000000003</v>
      </c>
      <c r="J299">
        <v>-401.6825</v>
      </c>
      <c r="K299">
        <v>1.0520860000000001</v>
      </c>
      <c r="L299">
        <v>369.18740000000003</v>
      </c>
      <c r="M299">
        <v>0.9993126</v>
      </c>
      <c r="N299">
        <v>0</v>
      </c>
      <c r="O299">
        <v>3.6819900000000003E-2</v>
      </c>
      <c r="P299">
        <v>0.99991430000000003</v>
      </c>
      <c r="Q299">
        <v>1.3006480000000001E-2</v>
      </c>
      <c r="R299">
        <v>-1.4707310000000001E-3</v>
      </c>
      <c r="S299">
        <v>3.0018009999999999</v>
      </c>
      <c r="T299">
        <v>-0.1112682</v>
      </c>
      <c r="U299">
        <v>7.1258539999999995E-2</v>
      </c>
      <c r="V299">
        <v>3.8319789999999999E-2</v>
      </c>
      <c r="W299">
        <v>1.7268099999999901E-2</v>
      </c>
      <c r="X299">
        <v>0.99911629999999996</v>
      </c>
      <c r="Y299">
        <v>1.305983E-2</v>
      </c>
      <c r="Z299">
        <v>-1.605708E-3</v>
      </c>
      <c r="AA299">
        <v>0.99991350000000001</v>
      </c>
      <c r="AB299">
        <v>51</v>
      </c>
      <c r="AC299">
        <v>28.0626</v>
      </c>
      <c r="AD299">
        <v>-1.0520887813669999</v>
      </c>
      <c r="AE299">
        <v>0.66190000000000204</v>
      </c>
      <c r="AF299">
        <v>0.37129898560017999</v>
      </c>
      <c r="AG299">
        <v>-1.0520887813669999</v>
      </c>
      <c r="AH299">
        <v>28.028568317131999</v>
      </c>
      <c r="AI299">
        <v>92.149473990341605</v>
      </c>
      <c r="AJ299">
        <v>89.241037919894495</v>
      </c>
      <c r="AK299">
        <v>28.0507646178981</v>
      </c>
    </row>
    <row r="300" spans="1:37" x14ac:dyDescent="0.2">
      <c r="A300" t="str">
        <f>"20200111153411209"</f>
        <v>20200111153411209</v>
      </c>
      <c r="B300" t="str">
        <f>"1578728051196383"</f>
        <v>1578728051196383</v>
      </c>
      <c r="C300" t="s">
        <v>37</v>
      </c>
      <c r="D300">
        <v>4.6827430000000003</v>
      </c>
      <c r="E300">
        <v>0.490992699999999</v>
      </c>
      <c r="F300" t="s">
        <v>39</v>
      </c>
      <c r="G300">
        <v>-373.31799999999998</v>
      </c>
      <c r="H300" s="1">
        <v>-2.9072249999999999E-6</v>
      </c>
      <c r="I300">
        <v>369.8356</v>
      </c>
      <c r="J300">
        <v>-401.38</v>
      </c>
      <c r="K300">
        <v>1.051952</v>
      </c>
      <c r="L300">
        <v>369.19819999999999</v>
      </c>
      <c r="M300">
        <v>0.99933959999999999</v>
      </c>
      <c r="N300">
        <v>0</v>
      </c>
      <c r="O300">
        <v>3.6079819999999999E-2</v>
      </c>
      <c r="P300">
        <v>0.99991669999999999</v>
      </c>
      <c r="Q300">
        <v>1.2831769999999999E-2</v>
      </c>
      <c r="R300">
        <v>-1.610336E-3</v>
      </c>
      <c r="S300">
        <v>3.0018009999999999</v>
      </c>
      <c r="T300">
        <v>-0.111341699999999</v>
      </c>
      <c r="U300">
        <v>6.8603520000000001E-2</v>
      </c>
      <c r="V300">
        <v>3.7724199999999999E-2</v>
      </c>
      <c r="W300">
        <v>1.7093130000000002E-2</v>
      </c>
      <c r="X300">
        <v>0.99914199999999997</v>
      </c>
      <c r="Y300">
        <v>1.3203599999999999E-2</v>
      </c>
      <c r="Z300">
        <v>-1.58203799999999E-3</v>
      </c>
      <c r="AA300">
        <v>0.99991160000000001</v>
      </c>
      <c r="AB300">
        <v>51</v>
      </c>
      <c r="AC300">
        <v>28.061999999999902</v>
      </c>
      <c r="AD300">
        <v>-1.0519549072250001</v>
      </c>
      <c r="AE300">
        <v>0.63740000000001296</v>
      </c>
      <c r="AF300">
        <v>0.37496968332395803</v>
      </c>
      <c r="AG300">
        <v>-1.0519549072250001</v>
      </c>
      <c r="AH300">
        <v>28.027360852290599</v>
      </c>
      <c r="AI300">
        <v>92.149289479464102</v>
      </c>
      <c r="AJ300">
        <v>89.233502621405293</v>
      </c>
      <c r="AK300">
        <v>28.049601917580901</v>
      </c>
    </row>
    <row r="301" spans="1:37" x14ac:dyDescent="0.2">
      <c r="A301" t="str">
        <f>"20200111153411226"</f>
        <v>20200111153411226</v>
      </c>
      <c r="B301" t="str">
        <f>"1578728051216882"</f>
        <v>1578728051216882</v>
      </c>
      <c r="C301" t="s">
        <v>37</v>
      </c>
      <c r="D301">
        <v>4.6836139999999897</v>
      </c>
      <c r="E301">
        <v>0.49150479999999902</v>
      </c>
      <c r="F301" t="s">
        <v>39</v>
      </c>
      <c r="G301">
        <v>-373.12169999999998</v>
      </c>
      <c r="H301" s="1">
        <v>-2.986096E-6</v>
      </c>
      <c r="I301">
        <v>369.81549999999999</v>
      </c>
      <c r="J301">
        <v>-400.98340000000002</v>
      </c>
      <c r="K301">
        <v>1.0519430000000001</v>
      </c>
      <c r="L301">
        <v>369.21210000000002</v>
      </c>
      <c r="M301">
        <v>0.99937109999999996</v>
      </c>
      <c r="N301">
        <v>0</v>
      </c>
      <c r="O301">
        <v>3.5128670000000001E-2</v>
      </c>
      <c r="P301">
        <v>0.99993290000000001</v>
      </c>
      <c r="Q301">
        <v>1.1488160000000001E-2</v>
      </c>
      <c r="R301">
        <v>-1.5587509999999999E-3</v>
      </c>
      <c r="S301">
        <v>3.0018009999999999</v>
      </c>
      <c r="T301">
        <v>-0.11174580000000001</v>
      </c>
      <c r="U301">
        <v>6.5582280000000007E-2</v>
      </c>
      <c r="V301">
        <v>3.6725319999999999E-2</v>
      </c>
      <c r="W301">
        <v>1.6245909999999999E-2</v>
      </c>
      <c r="X301">
        <v>0.99919329999999995</v>
      </c>
      <c r="Y301">
        <v>1.3258270000000001E-2</v>
      </c>
      <c r="Z301">
        <v>-1.5534520000000001E-3</v>
      </c>
      <c r="AA301">
        <v>0.99991090000000005</v>
      </c>
      <c r="AB301">
        <v>51</v>
      </c>
      <c r="AC301">
        <v>27.861699999999999</v>
      </c>
      <c r="AD301">
        <v>-1.0519459860960001</v>
      </c>
      <c r="AE301">
        <v>0.60339999999996496</v>
      </c>
      <c r="AF301">
        <v>0.37519374227609398</v>
      </c>
      <c r="AG301">
        <v>-1.0519459860960001</v>
      </c>
      <c r="AH301">
        <v>27.8260523355994</v>
      </c>
      <c r="AI301">
        <v>92.164802459541306</v>
      </c>
      <c r="AJ301">
        <v>89.227496769811196</v>
      </c>
      <c r="AK301">
        <v>27.848456856447601</v>
      </c>
    </row>
    <row r="302" spans="1:37" x14ac:dyDescent="0.2">
      <c r="A302" t="str">
        <f>"20200111153411240"</f>
        <v>20200111153411240</v>
      </c>
      <c r="B302" t="str">
        <f>"1578728051236400"</f>
        <v>1578728051236400</v>
      </c>
      <c r="C302" t="s">
        <v>37</v>
      </c>
      <c r="D302">
        <v>4.6994689999999997</v>
      </c>
      <c r="E302">
        <v>0.49195699999999998</v>
      </c>
      <c r="F302" t="s">
        <v>39</v>
      </c>
      <c r="G302">
        <v>-373.6422</v>
      </c>
      <c r="H302" s="1">
        <v>-2.7511300000000002E-6</v>
      </c>
      <c r="I302">
        <v>369.77159999999998</v>
      </c>
      <c r="J302">
        <v>-400.67140000000001</v>
      </c>
      <c r="K302">
        <v>1.052144</v>
      </c>
      <c r="L302">
        <v>369.22280000000001</v>
      </c>
      <c r="M302">
        <v>0.99939049999999996</v>
      </c>
      <c r="N302">
        <v>0</v>
      </c>
      <c r="O302">
        <v>3.442717E-2</v>
      </c>
      <c r="P302">
        <v>0.99994620000000001</v>
      </c>
      <c r="Q302">
        <v>1.018691E-2</v>
      </c>
      <c r="R302">
        <v>-1.9858509999999998E-3</v>
      </c>
      <c r="S302">
        <v>3.0015869999999998</v>
      </c>
      <c r="T302">
        <v>-0.11548509999999999</v>
      </c>
      <c r="U302">
        <v>6.1431880000000001E-2</v>
      </c>
      <c r="V302">
        <v>3.6452699999999998E-2</v>
      </c>
      <c r="W302">
        <v>1.588403E-2</v>
      </c>
      <c r="X302">
        <v>0.99920919999999902</v>
      </c>
      <c r="Y302">
        <v>1.3934729999999999E-2</v>
      </c>
      <c r="Z302">
        <v>-1.5915949999999999E-3</v>
      </c>
      <c r="AA302">
        <v>0.9999017</v>
      </c>
      <c r="AB302">
        <v>51</v>
      </c>
      <c r="AC302">
        <v>27.029199999999999</v>
      </c>
      <c r="AD302">
        <v>-1.05214675113</v>
      </c>
      <c r="AE302">
        <v>0.54879999999997098</v>
      </c>
      <c r="AF302">
        <v>0.38150190230361197</v>
      </c>
      <c r="AG302">
        <v>-1.05214675113</v>
      </c>
      <c r="AH302">
        <v>26.9911890219729</v>
      </c>
      <c r="AI302">
        <v>92.232100638159594</v>
      </c>
      <c r="AJ302">
        <v>89.190217466273793</v>
      </c>
      <c r="AK302">
        <v>27.014382119664401</v>
      </c>
    </row>
    <row r="303" spans="1:37" x14ac:dyDescent="0.2">
      <c r="A303" t="str">
        <f>"20200111153411252"</f>
        <v>20200111153411252</v>
      </c>
      <c r="B303" t="str">
        <f>"1578728051247134"</f>
        <v>1578728051247134</v>
      </c>
      <c r="C303" t="s">
        <v>37</v>
      </c>
      <c r="D303">
        <v>4.697641</v>
      </c>
      <c r="E303">
        <v>0.49216929999999998</v>
      </c>
      <c r="F303" t="s">
        <v>39</v>
      </c>
      <c r="G303">
        <v>-374.18819999999999</v>
      </c>
      <c r="H303" s="1">
        <v>-2.504196E-6</v>
      </c>
      <c r="I303">
        <v>369.72390000000001</v>
      </c>
      <c r="J303">
        <v>-400.37520000000001</v>
      </c>
      <c r="K303">
        <v>1.0524899999999999</v>
      </c>
      <c r="L303">
        <v>369.2328</v>
      </c>
      <c r="M303">
        <v>0.99941089999999999</v>
      </c>
      <c r="N303">
        <v>0</v>
      </c>
      <c r="O303">
        <v>3.3635329999999998E-2</v>
      </c>
      <c r="P303">
        <v>0.99995579999999995</v>
      </c>
      <c r="Q303">
        <v>9.0819030000000005E-3</v>
      </c>
      <c r="R303">
        <v>-2.3949050000000001E-3</v>
      </c>
      <c r="S303">
        <v>3.0014949999999998</v>
      </c>
      <c r="T303">
        <v>-0.1192453</v>
      </c>
      <c r="U303">
        <v>5.6793209999999997E-2</v>
      </c>
      <c r="V303">
        <v>3.6073979999999999E-2</v>
      </c>
      <c r="W303">
        <v>1.579821E-2</v>
      </c>
      <c r="X303">
        <v>0.99922420000000001</v>
      </c>
      <c r="Y303">
        <v>1.468445E-2</v>
      </c>
      <c r="Z303">
        <v>-1.6269310000000001E-3</v>
      </c>
      <c r="AA303">
        <v>0.99989089999999903</v>
      </c>
      <c r="AB303">
        <v>51</v>
      </c>
      <c r="AC303">
        <v>26.187000000000001</v>
      </c>
      <c r="AD303">
        <v>-1.0524925041959901</v>
      </c>
      <c r="AE303">
        <v>0.49110000000001702</v>
      </c>
      <c r="AF303">
        <v>0.38937800443461201</v>
      </c>
      <c r="AG303">
        <v>-1.0524925041959901</v>
      </c>
      <c r="AH303">
        <v>26.146479816284899</v>
      </c>
      <c r="AI303">
        <v>92.3048672106206</v>
      </c>
      <c r="AJ303">
        <v>89.1468041814678</v>
      </c>
      <c r="AK303">
        <v>26.1705514363974</v>
      </c>
    </row>
    <row r="304" spans="1:37" x14ac:dyDescent="0.2">
      <c r="A304" t="str">
        <f>"20200111153411270"</f>
        <v>20200111153411270</v>
      </c>
      <c r="B304" t="str">
        <f>"1578728051266655"</f>
        <v>1578728051266655</v>
      </c>
      <c r="C304" t="s">
        <v>37</v>
      </c>
      <c r="D304">
        <v>4.7462989999999996</v>
      </c>
      <c r="E304">
        <v>0.4926179</v>
      </c>
      <c r="F304" t="s">
        <v>39</v>
      </c>
      <c r="G304">
        <v>-374.56150000000002</v>
      </c>
      <c r="H304" s="1">
        <v>-2.3367079999999998E-6</v>
      </c>
      <c r="I304">
        <v>369.69619999999998</v>
      </c>
      <c r="J304">
        <v>-399.97680000000003</v>
      </c>
      <c r="K304">
        <v>1.0527879999999901</v>
      </c>
      <c r="L304">
        <v>369.24560000000002</v>
      </c>
      <c r="M304">
        <v>0.99945010000000001</v>
      </c>
      <c r="N304">
        <v>0</v>
      </c>
      <c r="O304">
        <v>3.2396420000000002E-2</v>
      </c>
      <c r="P304">
        <v>0.99995529999999999</v>
      </c>
      <c r="Q304">
        <v>8.9918399999999992E-3</v>
      </c>
      <c r="R304">
        <v>-2.9660759999999898E-3</v>
      </c>
      <c r="S304">
        <v>3.0013429999999999</v>
      </c>
      <c r="T304">
        <v>-0.12237190000000001</v>
      </c>
      <c r="U304">
        <v>5.3894039999999997E-2</v>
      </c>
      <c r="V304">
        <v>3.541416E-2</v>
      </c>
      <c r="W304">
        <v>1.594363E-2</v>
      </c>
      <c r="X304">
        <v>0.99924550000000001</v>
      </c>
      <c r="Y304">
        <v>1.4408819999999999E-2</v>
      </c>
      <c r="Z304">
        <v>-1.6135839999999999E-3</v>
      </c>
      <c r="AA304">
        <v>0.99989490000000003</v>
      </c>
      <c r="AB304">
        <v>51</v>
      </c>
      <c r="AC304">
        <v>25.415299999999998</v>
      </c>
      <c r="AD304">
        <v>-1.05279033670799</v>
      </c>
      <c r="AE304">
        <v>0.45059999999995098</v>
      </c>
      <c r="AF304">
        <v>0.37238306489303502</v>
      </c>
      <c r="AG304">
        <v>-1.05279033670799</v>
      </c>
      <c r="AH304">
        <v>25.373032949713</v>
      </c>
      <c r="AI304">
        <v>92.375726160417301</v>
      </c>
      <c r="AJ304">
        <v>89.159168463029502</v>
      </c>
      <c r="AK304">
        <v>25.3975951166111</v>
      </c>
    </row>
    <row r="305" spans="1:37" x14ac:dyDescent="0.2">
      <c r="A305" t="str">
        <f>"20200111153411283"</f>
        <v>20200111153411283</v>
      </c>
      <c r="B305" t="str">
        <f>"1578728051276415"</f>
        <v>1578728051276415</v>
      </c>
      <c r="C305" t="s">
        <v>37</v>
      </c>
      <c r="D305">
        <v>4.6982249999999999</v>
      </c>
      <c r="E305">
        <v>0.49279579999999901</v>
      </c>
      <c r="F305" t="s">
        <v>39</v>
      </c>
      <c r="G305">
        <v>-374.20499999999998</v>
      </c>
      <c r="H305" s="1">
        <v>-2.4807939999999999E-6</v>
      </c>
      <c r="I305">
        <v>369.66300000000001</v>
      </c>
      <c r="J305">
        <v>-399.68610000000001</v>
      </c>
      <c r="K305">
        <v>1.0529539999999999</v>
      </c>
      <c r="L305">
        <v>369.25459999999998</v>
      </c>
      <c r="M305">
        <v>0.99948369999999997</v>
      </c>
      <c r="N305">
        <v>0</v>
      </c>
      <c r="O305">
        <v>3.1448759999999999E-2</v>
      </c>
      <c r="P305">
        <v>0.99995109999999998</v>
      </c>
      <c r="Q305">
        <v>9.2226889999999992E-3</v>
      </c>
      <c r="R305">
        <v>-3.585408E-3</v>
      </c>
      <c r="S305">
        <v>3.001404</v>
      </c>
      <c r="T305">
        <v>-0.122608199999999</v>
      </c>
      <c r="U305">
        <v>4.8614499999999998E-2</v>
      </c>
      <c r="V305">
        <v>3.5091560000000001E-2</v>
      </c>
      <c r="W305">
        <v>1.5680449999999999E-2</v>
      </c>
      <c r="X305">
        <v>0.99926109999999901</v>
      </c>
      <c r="Y305">
        <v>1.5219299999999899E-2</v>
      </c>
      <c r="Z305">
        <v>-1.594565E-3</v>
      </c>
      <c r="AA305">
        <v>0.99988290000000002</v>
      </c>
      <c r="AB305">
        <v>50</v>
      </c>
      <c r="AC305">
        <v>25.481100000000001</v>
      </c>
      <c r="AD305">
        <v>-1.0529564807939999</v>
      </c>
      <c r="AE305">
        <v>0.40840000000002802</v>
      </c>
      <c r="AF305">
        <v>0.39249831384492201</v>
      </c>
      <c r="AG305">
        <v>-1.0529564807939999</v>
      </c>
      <c r="AH305">
        <v>25.437913112172399</v>
      </c>
      <c r="AI305">
        <v>92.370020415760393</v>
      </c>
      <c r="AJ305">
        <v>89.116015831951898</v>
      </c>
      <c r="AK305">
        <v>25.462721688367299</v>
      </c>
    </row>
    <row r="306" spans="1:37" x14ac:dyDescent="0.2">
      <c r="A306" t="str">
        <f>"20200111153411294"</f>
        <v>20200111153411294</v>
      </c>
      <c r="B306" t="str">
        <f>"1578728051287150"</f>
        <v>1578728051287150</v>
      </c>
      <c r="C306" t="s">
        <v>37</v>
      </c>
      <c r="D306">
        <v>4.7037250000000004</v>
      </c>
      <c r="E306">
        <v>0.4929673</v>
      </c>
      <c r="F306" t="s">
        <v>39</v>
      </c>
      <c r="G306">
        <v>-373.78070000000002</v>
      </c>
      <c r="H306" s="1">
        <v>-2.658767E-6</v>
      </c>
      <c r="I306">
        <v>369.64780000000002</v>
      </c>
      <c r="J306">
        <v>-399.40230000000003</v>
      </c>
      <c r="K306">
        <v>1.0531239999999999</v>
      </c>
      <c r="L306">
        <v>369.2629</v>
      </c>
      <c r="M306">
        <v>0.99951699999999999</v>
      </c>
      <c r="N306">
        <v>0</v>
      </c>
      <c r="O306">
        <v>3.0556969999999999E-2</v>
      </c>
      <c r="P306">
        <v>0.99993619999999905</v>
      </c>
      <c r="Q306">
        <v>1.0547259999999999E-2</v>
      </c>
      <c r="R306">
        <v>-4.0716219999999996E-3</v>
      </c>
      <c r="S306">
        <v>3.001404</v>
      </c>
      <c r="T306">
        <v>-0.121995399999999</v>
      </c>
      <c r="U306">
        <v>4.5562739999999997E-2</v>
      </c>
      <c r="V306">
        <v>3.469452E-2</v>
      </c>
      <c r="W306">
        <v>1.606283E-2</v>
      </c>
      <c r="X306">
        <v>0.99926890000000002</v>
      </c>
      <c r="Y306">
        <v>1.5344409999999999E-2</v>
      </c>
      <c r="Z306">
        <v>-1.55294E-3</v>
      </c>
      <c r="AA306">
        <v>0.99988109999999997</v>
      </c>
      <c r="AB306">
        <v>51</v>
      </c>
      <c r="AC306">
        <v>25.621600000000001</v>
      </c>
      <c r="AD306">
        <v>-1.0531266587669901</v>
      </c>
      <c r="AE306">
        <v>0.38490000000001601</v>
      </c>
      <c r="AF306">
        <v>0.39753927189072802</v>
      </c>
      <c r="AG306">
        <v>-1.0531266587669901</v>
      </c>
      <c r="AH306">
        <v>25.578192917169499</v>
      </c>
      <c r="AI306">
        <v>92.357413503242597</v>
      </c>
      <c r="AJ306">
        <v>89.109573971889006</v>
      </c>
      <c r="AK306">
        <v>25.602950340537699</v>
      </c>
    </row>
    <row r="307" spans="1:37" x14ac:dyDescent="0.2">
      <c r="A307" t="str">
        <f>"20200111153411307"</f>
        <v>20200111153411307</v>
      </c>
      <c r="B307" t="str">
        <f>"1578728051296910"</f>
        <v>1578728051296910</v>
      </c>
      <c r="C307" t="s">
        <v>37</v>
      </c>
      <c r="D307">
        <v>4.7305950000000001</v>
      </c>
      <c r="E307">
        <v>0.49313180000000001</v>
      </c>
      <c r="F307" t="s">
        <v>39</v>
      </c>
      <c r="G307">
        <v>-372.60750000000002</v>
      </c>
      <c r="H307" s="1">
        <v>-3.160475E-6</v>
      </c>
      <c r="I307">
        <v>369.64179999999999</v>
      </c>
      <c r="J307">
        <v>-399.12880000000001</v>
      </c>
      <c r="K307">
        <v>1.0534669999999999</v>
      </c>
      <c r="L307">
        <v>369.2706</v>
      </c>
      <c r="M307">
        <v>0.9995503</v>
      </c>
      <c r="N307">
        <v>0</v>
      </c>
      <c r="O307">
        <v>2.9625769999999999E-2</v>
      </c>
      <c r="P307">
        <v>0.9999207</v>
      </c>
      <c r="Q307">
        <v>1.168716E-2</v>
      </c>
      <c r="R307">
        <v>-4.6824889999999997E-3</v>
      </c>
      <c r="S307">
        <v>3.001617</v>
      </c>
      <c r="T307">
        <v>-0.11797339999999901</v>
      </c>
      <c r="U307">
        <v>4.244995E-2</v>
      </c>
      <c r="V307">
        <v>3.4379140000000002E-2</v>
      </c>
      <c r="W307">
        <v>1.615341E-2</v>
      </c>
      <c r="X307">
        <v>0.99927829999999995</v>
      </c>
      <c r="Y307">
        <v>1.54536E-2</v>
      </c>
      <c r="Z307">
        <v>-1.4672629999999999E-3</v>
      </c>
      <c r="AA307">
        <v>0.99987950000000003</v>
      </c>
      <c r="AB307">
        <v>51</v>
      </c>
      <c r="AC307">
        <v>26.5213</v>
      </c>
      <c r="AD307">
        <v>-1.0534701604750001</v>
      </c>
      <c r="AE307">
        <v>0.37119999999998698</v>
      </c>
      <c r="AF307">
        <v>0.41403218640815698</v>
      </c>
      <c r="AG307">
        <v>-1.0534701604750001</v>
      </c>
      <c r="AH307">
        <v>26.478885226271199</v>
      </c>
      <c r="AI307">
        <v>92.278049508768405</v>
      </c>
      <c r="AJ307">
        <v>89.104178154700605</v>
      </c>
      <c r="AK307">
        <v>26.503067461266401</v>
      </c>
    </row>
    <row r="308" spans="1:37" x14ac:dyDescent="0.2">
      <c r="A308" t="str">
        <f>"20200111153411321"</f>
        <v>20200111153411321</v>
      </c>
      <c r="B308" t="str">
        <f>"1578728051317407"</f>
        <v>1578728051317407</v>
      </c>
      <c r="C308" t="s">
        <v>37</v>
      </c>
      <c r="D308">
        <v>4.6540349999999897</v>
      </c>
      <c r="E308">
        <v>0.49339690000000003</v>
      </c>
      <c r="F308" t="s">
        <v>39</v>
      </c>
      <c r="G308">
        <v>-371.49619999999999</v>
      </c>
      <c r="H308" s="1">
        <v>-3.6345359999999998E-6</v>
      </c>
      <c r="I308">
        <v>369.6318</v>
      </c>
      <c r="J308">
        <v>-398.81549999999999</v>
      </c>
      <c r="K308">
        <v>1.053976</v>
      </c>
      <c r="L308">
        <v>369.2792</v>
      </c>
      <c r="M308">
        <v>0.99958809999999998</v>
      </c>
      <c r="N308">
        <v>0</v>
      </c>
      <c r="O308">
        <v>2.850405E-2</v>
      </c>
      <c r="P308">
        <v>0.9999017</v>
      </c>
      <c r="Q308">
        <v>1.29249E-2</v>
      </c>
      <c r="R308">
        <v>-5.4595329999999999E-3</v>
      </c>
      <c r="S308">
        <v>3.00177</v>
      </c>
      <c r="T308">
        <v>-0.11443979999999999</v>
      </c>
      <c r="U308">
        <v>3.924561E-2</v>
      </c>
      <c r="V308">
        <v>3.403788E-2</v>
      </c>
      <c r="W308">
        <v>1.6134820000000001E-2</v>
      </c>
      <c r="X308">
        <v>0.99929029999999996</v>
      </c>
      <c r="Y308">
        <v>1.540216E-2</v>
      </c>
      <c r="Z308">
        <v>-1.3795729999999901E-3</v>
      </c>
      <c r="AA308">
        <v>0.9998804</v>
      </c>
      <c r="AB308">
        <v>51</v>
      </c>
      <c r="AC308">
        <v>27.319299999999998</v>
      </c>
      <c r="AD308">
        <v>-1.053979634536</v>
      </c>
      <c r="AE308">
        <v>0.35259999999999497</v>
      </c>
      <c r="AF308">
        <v>0.42562490256594299</v>
      </c>
      <c r="AG308">
        <v>-1.053979634536</v>
      </c>
      <c r="AH308">
        <v>27.277656172011501</v>
      </c>
      <c r="AI308">
        <v>92.212478209972005</v>
      </c>
      <c r="AJ308">
        <v>89.106062060276301</v>
      </c>
      <c r="AK308">
        <v>27.301328829677399</v>
      </c>
    </row>
    <row r="309" spans="1:37" x14ac:dyDescent="0.2">
      <c r="A309" t="str">
        <f>"20200111153411336"</f>
        <v>20200111153411336</v>
      </c>
      <c r="B309" t="str">
        <f>"1578728051327166"</f>
        <v>1578728051327166</v>
      </c>
      <c r="C309" t="s">
        <v>37</v>
      </c>
      <c r="D309">
        <v>4.713387</v>
      </c>
      <c r="E309">
        <v>0.49352069999999998</v>
      </c>
      <c r="F309" t="s">
        <v>39</v>
      </c>
      <c r="G309">
        <v>-370.2629</v>
      </c>
      <c r="H309" s="1">
        <v>-4.16088199999999E-6</v>
      </c>
      <c r="I309">
        <v>369.60860000000002</v>
      </c>
      <c r="J309">
        <v>-398.44</v>
      </c>
      <c r="K309">
        <v>1.054826</v>
      </c>
      <c r="L309">
        <v>369.28890000000001</v>
      </c>
      <c r="M309">
        <v>0.99963329999999995</v>
      </c>
      <c r="N309">
        <v>0</v>
      </c>
      <c r="O309">
        <v>2.7016200000000001E-2</v>
      </c>
      <c r="P309">
        <v>0.99986960000000003</v>
      </c>
      <c r="Q309">
        <v>1.47212E-2</v>
      </c>
      <c r="R309">
        <v>-6.6605700000000002E-3</v>
      </c>
      <c r="S309">
        <v>3.0018919999999998</v>
      </c>
      <c r="T309">
        <v>-0.1108106</v>
      </c>
      <c r="U309">
        <v>3.463745E-2</v>
      </c>
      <c r="V309">
        <v>3.3754060000000002E-2</v>
      </c>
      <c r="W309">
        <v>1.644758E-2</v>
      </c>
      <c r="X309">
        <v>0.99929480000000004</v>
      </c>
      <c r="Y309">
        <v>1.5451970000000001E-2</v>
      </c>
      <c r="Z309">
        <v>-1.281852E-3</v>
      </c>
      <c r="AA309">
        <v>0.99987979999999999</v>
      </c>
      <c r="AB309">
        <v>52</v>
      </c>
      <c r="AC309">
        <v>28.177099999999999</v>
      </c>
      <c r="AD309">
        <v>-1.0548301608820001</v>
      </c>
      <c r="AE309">
        <v>0.31970000000001098</v>
      </c>
      <c r="AF309">
        <v>0.44103814565177002</v>
      </c>
      <c r="AG309">
        <v>-1.0548301608820001</v>
      </c>
      <c r="AH309">
        <v>28.136026606055701</v>
      </c>
      <c r="AI309">
        <v>92.146771193569293</v>
      </c>
      <c r="AJ309">
        <v>89.101950132343802</v>
      </c>
      <c r="AK309">
        <v>28.159246696083699</v>
      </c>
    </row>
    <row r="310" spans="1:37" x14ac:dyDescent="0.2">
      <c r="A310" t="str">
        <f>"20200111153411350"</f>
        <v>20200111153411350</v>
      </c>
      <c r="B310" t="str">
        <f>"1578728051346687"</f>
        <v>1578728051346687</v>
      </c>
      <c r="C310" t="s">
        <v>37</v>
      </c>
      <c r="D310">
        <v>4.7163570000000004</v>
      </c>
      <c r="E310">
        <v>0.49373999999999901</v>
      </c>
      <c r="F310" t="s">
        <v>39</v>
      </c>
      <c r="G310">
        <v>-368.41140000000001</v>
      </c>
      <c r="H310" s="1">
        <v>-6.6890019999999899E-7</v>
      </c>
      <c r="I310">
        <v>369.58769999999998</v>
      </c>
      <c r="J310">
        <v>-398.14729999999997</v>
      </c>
      <c r="K310">
        <v>1.0557270000000001</v>
      </c>
      <c r="L310">
        <v>369.2962</v>
      </c>
      <c r="M310">
        <v>0.99966909999999898</v>
      </c>
      <c r="N310">
        <v>0</v>
      </c>
      <c r="O310">
        <v>2.5704950000000001E-2</v>
      </c>
      <c r="P310">
        <v>0.99985049999999998</v>
      </c>
      <c r="Q310">
        <v>1.535561E-2</v>
      </c>
      <c r="R310">
        <v>-7.9629950000000005E-3</v>
      </c>
      <c r="S310">
        <v>3.002167</v>
      </c>
      <c r="T310">
        <v>-0.1054578</v>
      </c>
      <c r="U310">
        <v>2.9876710000000001E-2</v>
      </c>
      <c r="V310">
        <v>3.3744330000000003E-2</v>
      </c>
      <c r="W310">
        <v>1.6292149999999998E-2</v>
      </c>
      <c r="X310">
        <v>0.99929769999999896</v>
      </c>
      <c r="Y310">
        <v>1.5730210000000001E-2</v>
      </c>
      <c r="Z310">
        <v>-1.178728E-3</v>
      </c>
      <c r="AA310">
        <v>0.99987559999999998</v>
      </c>
      <c r="AB310">
        <v>52</v>
      </c>
      <c r="AC310">
        <v>29.735899999999901</v>
      </c>
      <c r="AD310">
        <v>-1.0557276689002</v>
      </c>
      <c r="AE310">
        <v>0.29149999999998499</v>
      </c>
      <c r="AF310">
        <v>0.47236115142549201</v>
      </c>
      <c r="AG310">
        <v>-1.0557276689002</v>
      </c>
      <c r="AH310">
        <v>29.6961391666519</v>
      </c>
      <c r="AI310">
        <v>92.035807891336404</v>
      </c>
      <c r="AJ310">
        <v>89.088702473806407</v>
      </c>
      <c r="AK310">
        <v>29.7186535255791</v>
      </c>
    </row>
    <row r="311" spans="1:37" x14ac:dyDescent="0.2">
      <c r="A311" t="str">
        <f>"20200111153411363"</f>
        <v>20200111153411363</v>
      </c>
      <c r="B311" t="str">
        <f>"1578728051357423"</f>
        <v>1578728051357423</v>
      </c>
      <c r="C311" t="s">
        <v>37</v>
      </c>
      <c r="D311">
        <v>4.7293190000000003</v>
      </c>
      <c r="E311">
        <v>0.49385519999999999</v>
      </c>
      <c r="F311" t="s">
        <v>39</v>
      </c>
      <c r="G311">
        <v>-367.63389999999998</v>
      </c>
      <c r="H311" s="1">
        <v>-1.0096879999999999E-6</v>
      </c>
      <c r="I311">
        <v>369.546999999999</v>
      </c>
      <c r="J311">
        <v>-397.84449999999998</v>
      </c>
      <c r="K311">
        <v>1.0568139999999999</v>
      </c>
      <c r="L311">
        <v>369.30340000000001</v>
      </c>
      <c r="M311">
        <v>0.99970519999999996</v>
      </c>
      <c r="N311">
        <v>0</v>
      </c>
      <c r="O311">
        <v>2.4276030000000001E-2</v>
      </c>
      <c r="P311">
        <v>0.99982569999999904</v>
      </c>
      <c r="Q311">
        <v>1.6144490000000001E-2</v>
      </c>
      <c r="R311">
        <v>-9.3927439999999997E-3</v>
      </c>
      <c r="S311">
        <v>3.0021969999999998</v>
      </c>
      <c r="T311">
        <v>-0.10387209999999999</v>
      </c>
      <c r="U311">
        <v>2.4688720000000001E-2</v>
      </c>
      <c r="V311">
        <v>3.3745419999999998E-2</v>
      </c>
      <c r="W311">
        <v>1.6502889999999999E-2</v>
      </c>
      <c r="X311">
        <v>0.99929419999999902</v>
      </c>
      <c r="Y311">
        <v>1.6030249999999999E-2</v>
      </c>
      <c r="Z311">
        <v>-1.1167950000000001E-3</v>
      </c>
      <c r="AA311">
        <v>0.99987090000000001</v>
      </c>
      <c r="AB311">
        <v>52</v>
      </c>
      <c r="AC311">
        <v>30.210599999999999</v>
      </c>
      <c r="AD311">
        <v>-1.056815009688</v>
      </c>
      <c r="AE311">
        <v>0.24359999999995799</v>
      </c>
      <c r="AF311">
        <v>0.48926660858340099</v>
      </c>
      <c r="AG311">
        <v>-1.056815009688</v>
      </c>
      <c r="AH311">
        <v>30.170692547051502</v>
      </c>
      <c r="AI311">
        <v>92.005865228719699</v>
      </c>
      <c r="AJ311">
        <v>89.070937641903797</v>
      </c>
      <c r="AK311">
        <v>30.193160294140899</v>
      </c>
    </row>
    <row r="312" spans="1:37" x14ac:dyDescent="0.2">
      <c r="A312" t="str">
        <f>"20200111153411382"</f>
        <v>20200111153411382</v>
      </c>
      <c r="B312" t="str">
        <f>"1578728051376943"</f>
        <v>1578728051376943</v>
      </c>
      <c r="C312" t="s">
        <v>37</v>
      </c>
      <c r="D312">
        <v>4.7376040000000001</v>
      </c>
      <c r="E312">
        <v>0.49405789999999999</v>
      </c>
      <c r="F312" t="s">
        <v>39</v>
      </c>
      <c r="G312">
        <v>-366.6404</v>
      </c>
      <c r="H312" s="1">
        <v>-1.442922E-6</v>
      </c>
      <c r="I312">
        <v>369.50729999999999</v>
      </c>
      <c r="J312">
        <v>-397.39269999999999</v>
      </c>
      <c r="K312">
        <v>1.0589299999999999</v>
      </c>
      <c r="L312">
        <v>369.31369999999998</v>
      </c>
      <c r="M312">
        <v>0.99975899999999995</v>
      </c>
      <c r="N312">
        <v>0</v>
      </c>
      <c r="O312">
        <v>2.195047E-2</v>
      </c>
      <c r="P312">
        <v>0.99979069999999903</v>
      </c>
      <c r="Q312">
        <v>1.6566460000000002E-2</v>
      </c>
      <c r="R312">
        <v>-1.1996990000000001E-2</v>
      </c>
      <c r="S312">
        <v>3.0023499999999999</v>
      </c>
      <c r="T312">
        <v>-0.1016825</v>
      </c>
      <c r="U312">
        <v>1.9622799999999999E-2</v>
      </c>
      <c r="V312">
        <v>3.4025430000000002E-2</v>
      </c>
      <c r="W312">
        <v>1.6742699999999999E-2</v>
      </c>
      <c r="X312">
        <v>0.99928069999999902</v>
      </c>
      <c r="Y312">
        <v>1.539449E-2</v>
      </c>
      <c r="Z312">
        <v>-1.003742E-3</v>
      </c>
      <c r="AA312">
        <v>0.99988099999999902</v>
      </c>
      <c r="AB312">
        <v>52</v>
      </c>
      <c r="AC312">
        <v>30.752299999999899</v>
      </c>
      <c r="AD312">
        <v>-1.058931442922</v>
      </c>
      <c r="AE312">
        <v>0.19360000000000299</v>
      </c>
      <c r="AF312">
        <v>0.48090393214815902</v>
      </c>
      <c r="AG312">
        <v>-1.058931442922</v>
      </c>
      <c r="AH312">
        <v>30.712725023314398</v>
      </c>
      <c r="AI312">
        <v>91.974453590762593</v>
      </c>
      <c r="AJ312">
        <v>89.102928375043803</v>
      </c>
      <c r="AK312">
        <v>30.7347373951769</v>
      </c>
    </row>
    <row r="313" spans="1:37" x14ac:dyDescent="0.2">
      <c r="A313" t="str">
        <f>"20200111153411394"</f>
        <v>20200111153411394</v>
      </c>
      <c r="B313" t="str">
        <f>"1578728051386702"</f>
        <v>1578728051386702</v>
      </c>
      <c r="C313" t="s">
        <v>37</v>
      </c>
      <c r="D313">
        <v>4.7487729999999999</v>
      </c>
      <c r="E313">
        <v>0.49414719999999901</v>
      </c>
      <c r="F313" t="s">
        <v>39</v>
      </c>
      <c r="G313">
        <v>-365.84059999999999</v>
      </c>
      <c r="H313" s="1">
        <v>-1.801513E-6</v>
      </c>
      <c r="I313">
        <v>369.42</v>
      </c>
      <c r="J313">
        <v>-397.09809999999999</v>
      </c>
      <c r="K313">
        <v>1.060535</v>
      </c>
      <c r="L313">
        <v>369.31990000000002</v>
      </c>
      <c r="M313">
        <v>0.99979289999999998</v>
      </c>
      <c r="N313">
        <v>0</v>
      </c>
      <c r="O313">
        <v>2.0347259999999999E-2</v>
      </c>
      <c r="P313">
        <v>0.99976699999999996</v>
      </c>
      <c r="Q313">
        <v>1.6357380000000001E-2</v>
      </c>
      <c r="R313">
        <v>-1.409619E-2</v>
      </c>
      <c r="S313">
        <v>3.0024109999999999</v>
      </c>
      <c r="T313">
        <v>-0.1007648</v>
      </c>
      <c r="U313">
        <v>1.013184E-2</v>
      </c>
      <c r="V313">
        <v>3.4522619999999997E-2</v>
      </c>
      <c r="W313">
        <v>1.6665940000000001E-2</v>
      </c>
      <c r="X313">
        <v>0.99926499999999996</v>
      </c>
      <c r="Y313">
        <v>1.69523E-2</v>
      </c>
      <c r="Z313">
        <v>-9.6703429999999996E-4</v>
      </c>
      <c r="AA313">
        <v>0.99985579999999996</v>
      </c>
      <c r="AB313">
        <v>52</v>
      </c>
      <c r="AC313">
        <v>31.2575</v>
      </c>
      <c r="AD313">
        <v>-1.0605368015129999</v>
      </c>
      <c r="AE313">
        <v>0.100099999999997</v>
      </c>
      <c r="AF313">
        <v>0.53530901892233795</v>
      </c>
      <c r="AG313">
        <v>-1.0605368015129999</v>
      </c>
      <c r="AH313">
        <v>31.2171294681782</v>
      </c>
      <c r="AI313">
        <v>91.945470358751905</v>
      </c>
      <c r="AJ313">
        <v>89.017592511087102</v>
      </c>
      <c r="AK313">
        <v>31.239725771621298</v>
      </c>
    </row>
    <row r="314" spans="1:37" x14ac:dyDescent="0.2">
      <c r="A314" t="str">
        <f>"20200111153411407"</f>
        <v>20200111153411407</v>
      </c>
      <c r="B314" t="str">
        <f>"1578728051396462"</f>
        <v>1578728051396462</v>
      </c>
      <c r="C314" t="s">
        <v>37</v>
      </c>
      <c r="D314">
        <v>4.7276669999999896</v>
      </c>
      <c r="E314">
        <v>0.49423829999999902</v>
      </c>
      <c r="F314" t="s">
        <v>39</v>
      </c>
      <c r="G314">
        <v>-365.70389999999998</v>
      </c>
      <c r="H314" s="1">
        <v>-1.8719180000000001E-6</v>
      </c>
      <c r="I314">
        <v>369.3537</v>
      </c>
      <c r="J314">
        <v>-396.82440000000003</v>
      </c>
      <c r="K314">
        <v>1.062074</v>
      </c>
      <c r="L314">
        <v>369.32530000000003</v>
      </c>
      <c r="M314">
        <v>0.9998224</v>
      </c>
      <c r="N314">
        <v>0</v>
      </c>
      <c r="O314">
        <v>1.88329E-2</v>
      </c>
      <c r="P314">
        <v>0.99973829999999997</v>
      </c>
      <c r="Q314">
        <v>1.6258290000000002E-2</v>
      </c>
      <c r="R314">
        <v>-1.6093550000000002E-2</v>
      </c>
      <c r="S314">
        <v>3.0024410000000001</v>
      </c>
      <c r="T314">
        <v>-0.101425899999999</v>
      </c>
      <c r="U314">
        <v>3.2348629999999902E-3</v>
      </c>
      <c r="V314">
        <v>3.5008650000000002E-2</v>
      </c>
      <c r="W314">
        <v>1.6649259999999999E-2</v>
      </c>
      <c r="X314">
        <v>0.99924829999999998</v>
      </c>
      <c r="Y314">
        <v>1.7734819999999998E-2</v>
      </c>
      <c r="Z314">
        <v>-9.3545110000000005E-4</v>
      </c>
      <c r="AA314">
        <v>0.99984229999999996</v>
      </c>
      <c r="AB314">
        <v>52</v>
      </c>
      <c r="AC314">
        <v>31.1205</v>
      </c>
      <c r="AD314">
        <v>-1.0620758719179999</v>
      </c>
      <c r="AE314">
        <v>2.8399999999976399E-2</v>
      </c>
      <c r="AF314">
        <v>0.55704564869881701</v>
      </c>
      <c r="AG314">
        <v>-1.0620758719179999</v>
      </c>
      <c r="AH314">
        <v>31.079317108371299</v>
      </c>
      <c r="AI314">
        <v>91.956897346280996</v>
      </c>
      <c r="AJ314">
        <v>88.973177321156001</v>
      </c>
      <c r="AK314">
        <v>31.102447764366499</v>
      </c>
    </row>
    <row r="315" spans="1:37" x14ac:dyDescent="0.2">
      <c r="A315" t="str">
        <f>"20200111153411418"</f>
        <v>20200111153411418</v>
      </c>
      <c r="B315" t="str">
        <f>"1578728051407199"</f>
        <v>1578728051407199</v>
      </c>
      <c r="C315" t="s">
        <v>37</v>
      </c>
      <c r="D315">
        <v>4.7325200000000001</v>
      </c>
      <c r="E315">
        <v>0.49431619999999998</v>
      </c>
      <c r="F315" t="s">
        <v>39</v>
      </c>
      <c r="G315">
        <v>-365.57569999999998</v>
      </c>
      <c r="H315" s="1">
        <v>-1.9386579999999999E-6</v>
      </c>
      <c r="I315">
        <v>369.28750000000002</v>
      </c>
      <c r="J315">
        <v>-396.5523</v>
      </c>
      <c r="K315">
        <v>1.0636270000000001</v>
      </c>
      <c r="L315">
        <v>369.3306</v>
      </c>
      <c r="M315">
        <v>0.99985000000000002</v>
      </c>
      <c r="N315">
        <v>0</v>
      </c>
      <c r="O315">
        <v>1.7317309999999999E-2</v>
      </c>
      <c r="P315">
        <v>0.999710399999999</v>
      </c>
      <c r="Q315">
        <v>1.5968260000000001E-2</v>
      </c>
      <c r="R315">
        <v>-1.8002049999999999E-2</v>
      </c>
      <c r="S315">
        <v>3.00238</v>
      </c>
      <c r="T315">
        <v>-0.1020442</v>
      </c>
      <c r="U315">
        <v>-3.6315919999999999E-3</v>
      </c>
      <c r="V315">
        <v>3.5404289999999998E-2</v>
      </c>
      <c r="W315">
        <v>1.64247E-2</v>
      </c>
      <c r="X315">
        <v>0.99923809999999902</v>
      </c>
      <c r="Y315">
        <v>1.8506000000000002E-2</v>
      </c>
      <c r="Z315">
        <v>-9.0278399999999903E-4</v>
      </c>
      <c r="AA315">
        <v>0.9998283</v>
      </c>
      <c r="AB315">
        <v>52</v>
      </c>
      <c r="AC315">
        <v>30.976600000000001</v>
      </c>
      <c r="AD315">
        <v>-1.063628938658</v>
      </c>
      <c r="AE315">
        <v>-4.3099999999981202E-2</v>
      </c>
      <c r="AF315">
        <v>0.57884249313482095</v>
      </c>
      <c r="AG315">
        <v>-1.063628938658</v>
      </c>
      <c r="AH315">
        <v>30.9347366019657</v>
      </c>
      <c r="AI315">
        <v>91.968880448801897</v>
      </c>
      <c r="AJ315">
        <v>88.928021841692797</v>
      </c>
      <c r="AK315">
        <v>30.958428477298501</v>
      </c>
    </row>
    <row r="316" spans="1:37" x14ac:dyDescent="0.2">
      <c r="A316" t="str">
        <f>"20200111153411439"</f>
        <v>20200111153411439</v>
      </c>
      <c r="B316" t="str">
        <f>"1578728051426721"</f>
        <v>1578728051426721</v>
      </c>
      <c r="C316" t="s">
        <v>37</v>
      </c>
      <c r="D316">
        <v>4.7191299999999998</v>
      </c>
      <c r="E316">
        <v>0.49445749999999999</v>
      </c>
      <c r="F316" t="s">
        <v>39</v>
      </c>
      <c r="G316">
        <v>-365.62130000000002</v>
      </c>
      <c r="H316" s="1">
        <v>-1.9293669999999998E-6</v>
      </c>
      <c r="I316">
        <v>369.2296</v>
      </c>
      <c r="J316">
        <v>-396.07619999999997</v>
      </c>
      <c r="K316">
        <v>1.0663830000000001</v>
      </c>
      <c r="L316">
        <v>369.33850000000001</v>
      </c>
      <c r="M316">
        <v>0.99989249999999996</v>
      </c>
      <c r="N316">
        <v>0</v>
      </c>
      <c r="O316">
        <v>1.4661270000000001E-2</v>
      </c>
      <c r="P316">
        <v>0.99962759999999995</v>
      </c>
      <c r="Q316">
        <v>1.6054599999999999E-2</v>
      </c>
      <c r="R316">
        <v>-2.207752E-2</v>
      </c>
      <c r="S316">
        <v>3.0023499999999999</v>
      </c>
      <c r="T316">
        <v>-0.103241899999999</v>
      </c>
      <c r="U316">
        <v>-9.7961430000000002E-3</v>
      </c>
      <c r="V316">
        <v>3.683165E-2</v>
      </c>
      <c r="W316">
        <v>1.639943E-2</v>
      </c>
      <c r="X316">
        <v>0.99918689999999999</v>
      </c>
      <c r="Y316">
        <v>1.7904400000000001E-2</v>
      </c>
      <c r="Z316">
        <v>-8.1174470000000001E-4</v>
      </c>
      <c r="AA316">
        <v>0.99983940000000004</v>
      </c>
      <c r="AB316">
        <v>52</v>
      </c>
      <c r="AC316">
        <v>30.454899999999899</v>
      </c>
      <c r="AD316">
        <v>-1.066384929367</v>
      </c>
      <c r="AE316">
        <v>-0.10890000000000501</v>
      </c>
      <c r="AF316">
        <v>0.55471570581458796</v>
      </c>
      <c r="AG316">
        <v>-1.066384929367</v>
      </c>
      <c r="AH316">
        <v>30.412742493064201</v>
      </c>
      <c r="AI316">
        <v>92.007848718413797</v>
      </c>
      <c r="AJ316">
        <v>88.955064807118504</v>
      </c>
      <c r="AK316">
        <v>30.4364878440547</v>
      </c>
    </row>
    <row r="317" spans="1:37" x14ac:dyDescent="0.2">
      <c r="A317" t="str">
        <f>"20200111153411453"</f>
        <v>20200111153411453</v>
      </c>
      <c r="B317" t="str">
        <f>"1578728051447214"</f>
        <v>1578728051447214</v>
      </c>
      <c r="C317" t="s">
        <v>37</v>
      </c>
      <c r="D317">
        <v>4.7303819999999996</v>
      </c>
      <c r="E317">
        <v>0.49456519999999998</v>
      </c>
      <c r="F317" t="s">
        <v>39</v>
      </c>
      <c r="G317">
        <v>-365.15039999999999</v>
      </c>
      <c r="H317" s="1">
        <v>-2.1548679999999999E-6</v>
      </c>
      <c r="I317">
        <v>369.09730000000002</v>
      </c>
      <c r="J317">
        <v>-395.75290000000001</v>
      </c>
      <c r="K317">
        <v>1.068271</v>
      </c>
      <c r="L317">
        <v>369.34309999999999</v>
      </c>
      <c r="M317">
        <v>0.9999171</v>
      </c>
      <c r="N317">
        <v>0</v>
      </c>
      <c r="O317">
        <v>1.28772E-2</v>
      </c>
      <c r="P317">
        <v>0.99957389999999902</v>
      </c>
      <c r="Q317">
        <v>1.6181729999999998E-2</v>
      </c>
      <c r="R317">
        <v>-2.4298469999999999E-2</v>
      </c>
      <c r="S317">
        <v>3.0022579999999999</v>
      </c>
      <c r="T317">
        <v>-0.103523399999999</v>
      </c>
      <c r="U317">
        <v>-2.3406980000000001E-2</v>
      </c>
      <c r="V317">
        <v>3.7274759999999997E-2</v>
      </c>
      <c r="W317">
        <v>1.6410870000000001E-2</v>
      </c>
      <c r="X317">
        <v>0.99917029999999996</v>
      </c>
      <c r="Y317">
        <v>2.0652449999999999E-2</v>
      </c>
      <c r="Z317">
        <v>-7.9984350000000001E-4</v>
      </c>
      <c r="AA317">
        <v>0.99978639999999996</v>
      </c>
      <c r="AB317">
        <v>52</v>
      </c>
      <c r="AC317">
        <v>30.602499999999999</v>
      </c>
      <c r="AD317">
        <v>-1.068273154868</v>
      </c>
      <c r="AE317">
        <v>-0.24579999999997401</v>
      </c>
      <c r="AF317">
        <v>0.63907541835787496</v>
      </c>
      <c r="AG317">
        <v>-1.068273154868</v>
      </c>
      <c r="AH317">
        <v>30.559560800566199</v>
      </c>
      <c r="AI317">
        <v>92.001640884881795</v>
      </c>
      <c r="AJ317">
        <v>88.801979253340505</v>
      </c>
      <c r="AK317">
        <v>30.584904466865101</v>
      </c>
    </row>
    <row r="318" spans="1:37" x14ac:dyDescent="0.2">
      <c r="A318" t="str">
        <f>"20200111153411472"</f>
        <v>20200111153411472</v>
      </c>
      <c r="B318" t="str">
        <f>"1578728051466735"</f>
        <v>1578728051466735</v>
      </c>
      <c r="C318" t="s">
        <v>37</v>
      </c>
      <c r="D318">
        <v>4.706798</v>
      </c>
      <c r="E318">
        <v>0.494647</v>
      </c>
      <c r="F318" t="s">
        <v>39</v>
      </c>
      <c r="G318">
        <v>-364.86810000000003</v>
      </c>
      <c r="H318" s="1">
        <v>-2.2886220000000002E-6</v>
      </c>
      <c r="I318">
        <v>369.02589999999998</v>
      </c>
      <c r="J318">
        <v>-395.29219999999998</v>
      </c>
      <c r="K318">
        <v>1.070964</v>
      </c>
      <c r="L318">
        <v>369.34879999999998</v>
      </c>
      <c r="M318">
        <v>0.99994640000000001</v>
      </c>
      <c r="N318">
        <v>0</v>
      </c>
      <c r="O318">
        <v>1.036228E-2</v>
      </c>
      <c r="P318">
        <v>0.99950589999999995</v>
      </c>
      <c r="Q318">
        <v>1.602054E-2</v>
      </c>
      <c r="R318">
        <v>-2.7046399999999901E-2</v>
      </c>
      <c r="S318">
        <v>3.0021969999999998</v>
      </c>
      <c r="T318">
        <v>-0.1038427</v>
      </c>
      <c r="U318">
        <v>-3.0822749999999999E-2</v>
      </c>
      <c r="V318">
        <v>3.7514209999999999E-2</v>
      </c>
      <c r="W318">
        <v>1.6124329999999999E-2</v>
      </c>
      <c r="X318">
        <v>0.999166</v>
      </c>
      <c r="Y318">
        <v>2.0608850000000001E-2</v>
      </c>
      <c r="Z318">
        <v>-7.1460580000000005E-4</v>
      </c>
      <c r="AA318">
        <v>0.99978729999999905</v>
      </c>
      <c r="AB318">
        <v>52</v>
      </c>
      <c r="AC318">
        <v>30.4240999999999</v>
      </c>
      <c r="AD318">
        <v>-1.0709662886219999</v>
      </c>
      <c r="AE318">
        <v>-0.32290000000000402</v>
      </c>
      <c r="AF318">
        <v>0.63735600153735905</v>
      </c>
      <c r="AG318">
        <v>-1.0709662886219999</v>
      </c>
      <c r="AH318">
        <v>30.381478258560399</v>
      </c>
      <c r="AI318">
        <v>92.018432717894896</v>
      </c>
      <c r="AJ318">
        <v>88.798200241012793</v>
      </c>
      <c r="AK318">
        <v>30.407029000535999</v>
      </c>
    </row>
    <row r="319" spans="1:37" x14ac:dyDescent="0.2">
      <c r="A319" t="str">
        <f>"20200111153411496"</f>
        <v>20200111153411496</v>
      </c>
      <c r="B319" t="str">
        <f>"1578728051487230"</f>
        <v>1578728051487230</v>
      </c>
      <c r="C319" t="s">
        <v>37</v>
      </c>
      <c r="D319">
        <v>4.7260169999999997</v>
      </c>
      <c r="E319">
        <v>0.49473679999999898</v>
      </c>
      <c r="F319" t="s">
        <v>39</v>
      </c>
      <c r="G319">
        <v>-364.76769999999999</v>
      </c>
      <c r="H319" s="1">
        <v>-2.3465739999999998E-6</v>
      </c>
      <c r="I319">
        <v>368.94189999999998</v>
      </c>
      <c r="J319">
        <v>-394.73950000000002</v>
      </c>
      <c r="K319">
        <v>1.0741479999999901</v>
      </c>
      <c r="L319">
        <v>369.35410000000002</v>
      </c>
      <c r="M319">
        <v>0.99997259999999999</v>
      </c>
      <c r="N319">
        <v>0</v>
      </c>
      <c r="O319">
        <v>7.3907900000000004E-3</v>
      </c>
      <c r="P319">
        <v>0.99942019999999998</v>
      </c>
      <c r="Q319">
        <v>1.5674420000000001E-2</v>
      </c>
      <c r="R319">
        <v>-3.022907E-2</v>
      </c>
      <c r="S319">
        <v>3.002075</v>
      </c>
      <c r="T319">
        <v>-0.10532909999999999</v>
      </c>
      <c r="U319">
        <v>-4.0008540000000002E-2</v>
      </c>
      <c r="V319">
        <v>3.7731420000000002E-2</v>
      </c>
      <c r="W319">
        <v>1.573099E-2</v>
      </c>
      <c r="X319">
        <v>0.9991641</v>
      </c>
      <c r="Y319">
        <v>2.0698270000000001E-2</v>
      </c>
      <c r="Z319">
        <v>-6.2219519999999896E-4</v>
      </c>
      <c r="AA319">
        <v>0.99978559999999905</v>
      </c>
      <c r="AB319">
        <v>52</v>
      </c>
      <c r="AC319">
        <v>29.971800000000002</v>
      </c>
      <c r="AD319">
        <v>-1.0741503465739899</v>
      </c>
      <c r="AE319">
        <v>-0.41220000000004098</v>
      </c>
      <c r="AF319">
        <v>0.63289130132157101</v>
      </c>
      <c r="AG319">
        <v>-1.0741503465739899</v>
      </c>
      <c r="AH319">
        <v>29.929500366166099</v>
      </c>
      <c r="AI319">
        <v>92.054967155280295</v>
      </c>
      <c r="AJ319">
        <v>88.788599992133101</v>
      </c>
      <c r="AK319">
        <v>29.955455972738498</v>
      </c>
    </row>
    <row r="320" spans="1:37" x14ac:dyDescent="0.2">
      <c r="A320" t="str">
        <f>"20200111153411517"</f>
        <v>20200111153411517</v>
      </c>
      <c r="B320" t="str">
        <f>"1578728051506753"</f>
        <v>1578728051506753</v>
      </c>
      <c r="C320" t="s">
        <v>37</v>
      </c>
      <c r="D320">
        <v>4.7284680000000003</v>
      </c>
      <c r="E320">
        <v>0.49481179999999902</v>
      </c>
      <c r="F320" t="s">
        <v>39</v>
      </c>
      <c r="G320">
        <v>-364.69400000000002</v>
      </c>
      <c r="H320" s="1">
        <v>-2.3946750000000001E-6</v>
      </c>
      <c r="I320">
        <v>368.84910000000002</v>
      </c>
      <c r="J320">
        <v>-394.23590000000002</v>
      </c>
      <c r="K320">
        <v>1.076938</v>
      </c>
      <c r="L320">
        <v>369.35759999999999</v>
      </c>
      <c r="M320">
        <v>0.99998880000000001</v>
      </c>
      <c r="N320">
        <v>0</v>
      </c>
      <c r="O320">
        <v>4.7111870000000004E-3</v>
      </c>
      <c r="P320">
        <v>0.99935200000000002</v>
      </c>
      <c r="Q320">
        <v>1.503141E-2</v>
      </c>
      <c r="R320">
        <v>-3.2706399999999997E-2</v>
      </c>
      <c r="S320">
        <v>3.0018919999999998</v>
      </c>
      <c r="T320">
        <v>-0.107319699999999</v>
      </c>
      <c r="U320">
        <v>-5.044556E-2</v>
      </c>
      <c r="V320">
        <v>3.7531750000000003E-2</v>
      </c>
      <c r="W320">
        <v>1.516267E-2</v>
      </c>
      <c r="X320">
        <v>0.99918039999999997</v>
      </c>
      <c r="Y320">
        <v>2.1495810000000001E-2</v>
      </c>
      <c r="Z320">
        <v>-5.524592E-4</v>
      </c>
      <c r="AA320">
        <v>0.99976880000000001</v>
      </c>
      <c r="AB320">
        <v>53</v>
      </c>
      <c r="AC320">
        <v>29.541899999999998</v>
      </c>
      <c r="AD320">
        <v>-1.076940394675</v>
      </c>
      <c r="AE320">
        <v>-0.50849999999996898</v>
      </c>
      <c r="AF320">
        <v>0.646812463732094</v>
      </c>
      <c r="AG320">
        <v>-1.076940394675</v>
      </c>
      <c r="AH320">
        <v>29.499984316150499</v>
      </c>
      <c r="AI320">
        <v>92.090236465527397</v>
      </c>
      <c r="AJ320">
        <v>88.743942135620102</v>
      </c>
      <c r="AK320">
        <v>29.526720807262802</v>
      </c>
    </row>
    <row r="321" spans="1:37" x14ac:dyDescent="0.2">
      <c r="A321" t="str">
        <f>"20200111153411532"</f>
        <v>20200111153411532</v>
      </c>
      <c r="B321" t="str">
        <f>"1578728051527247"</f>
        <v>1578728051527247</v>
      </c>
      <c r="C321" t="s">
        <v>37</v>
      </c>
      <c r="D321">
        <v>4.7397519999999904</v>
      </c>
      <c r="E321">
        <v>0.49485059999999897</v>
      </c>
      <c r="F321" t="s">
        <v>39</v>
      </c>
      <c r="G321">
        <v>-364.87920000000003</v>
      </c>
      <c r="H321" s="1">
        <v>-2.3265340000000002E-6</v>
      </c>
      <c r="I321">
        <v>368.78530000000001</v>
      </c>
      <c r="J321">
        <v>-393.88749999999999</v>
      </c>
      <c r="K321">
        <v>1.078757</v>
      </c>
      <c r="L321">
        <v>369.35919999999999</v>
      </c>
      <c r="M321">
        <v>0.99999590000000005</v>
      </c>
      <c r="N321">
        <v>0</v>
      </c>
      <c r="O321">
        <v>2.8571209999999998E-3</v>
      </c>
      <c r="P321">
        <v>0.99930069999999904</v>
      </c>
      <c r="Q321">
        <v>1.46649E-2</v>
      </c>
      <c r="R321">
        <v>-3.4401950000000001E-2</v>
      </c>
      <c r="S321">
        <v>3.001709</v>
      </c>
      <c r="T321">
        <v>-0.11011609999999999</v>
      </c>
      <c r="U321">
        <v>-5.85021999999999E-2</v>
      </c>
      <c r="V321">
        <v>3.737534E-2</v>
      </c>
      <c r="W321">
        <v>1.490377E-2</v>
      </c>
      <c r="X321">
        <v>0.99919020000000003</v>
      </c>
      <c r="Y321">
        <v>2.2325499999999901E-2</v>
      </c>
      <c r="Z321">
        <v>-5.1409060000000002E-4</v>
      </c>
      <c r="AA321">
        <v>0.99975059999999905</v>
      </c>
      <c r="AB321">
        <v>53</v>
      </c>
      <c r="AC321">
        <v>29.008299999999899</v>
      </c>
      <c r="AD321">
        <v>-1.0787593265340001</v>
      </c>
      <c r="AE321">
        <v>-0.57389999999997998</v>
      </c>
      <c r="AF321">
        <v>0.65587120399616305</v>
      </c>
      <c r="AG321">
        <v>-1.0787593265340001</v>
      </c>
      <c r="AH321">
        <v>28.966498528658501</v>
      </c>
      <c r="AI321">
        <v>92.132255976151896</v>
      </c>
      <c r="AJ321">
        <v>88.702907363550395</v>
      </c>
      <c r="AK321">
        <v>28.993998098426999</v>
      </c>
    </row>
    <row r="322" spans="1:37" x14ac:dyDescent="0.2">
      <c r="A322" t="str">
        <f>"20200111153411549"</f>
        <v>20200111153411549</v>
      </c>
      <c r="B322" t="str">
        <f>"1578728051537006"</f>
        <v>1578728051537006</v>
      </c>
      <c r="C322" t="s">
        <v>37</v>
      </c>
      <c r="D322">
        <v>4.7327510000000004</v>
      </c>
      <c r="E322">
        <v>0.49485249999999997</v>
      </c>
      <c r="F322" t="s">
        <v>39</v>
      </c>
      <c r="G322">
        <v>-365.04509999999999</v>
      </c>
      <c r="H322" s="1">
        <v>-2.2629139999999999E-6</v>
      </c>
      <c r="I322">
        <v>368.74259999999998</v>
      </c>
      <c r="J322">
        <v>-393.4708</v>
      </c>
      <c r="K322">
        <v>1.080827</v>
      </c>
      <c r="L322">
        <v>369.36020000000002</v>
      </c>
      <c r="M322">
        <v>0.99999959999999899</v>
      </c>
      <c r="N322">
        <v>0</v>
      </c>
      <c r="O322">
        <v>6.3822710000000003E-4</v>
      </c>
      <c r="P322">
        <v>0.99924740000000001</v>
      </c>
      <c r="Q322">
        <v>1.4427779999999999E-2</v>
      </c>
      <c r="R322">
        <v>-3.6009399999999997E-2</v>
      </c>
      <c r="S322">
        <v>3.0015869999999998</v>
      </c>
      <c r="T322">
        <v>-0.1122648</v>
      </c>
      <c r="U322">
        <v>-6.4147949999999995E-2</v>
      </c>
      <c r="V322">
        <v>3.6767960000000002E-2</v>
      </c>
      <c r="W322">
        <v>1.4832730000000001E-2</v>
      </c>
      <c r="X322">
        <v>0.99921380000000004</v>
      </c>
      <c r="Y322">
        <v>2.1988730000000001E-2</v>
      </c>
      <c r="Z322">
        <v>-4.3487809999999898E-4</v>
      </c>
      <c r="AA322">
        <v>0.99975809999999998</v>
      </c>
      <c r="AB322">
        <v>53</v>
      </c>
      <c r="AC322">
        <v>28.425699999999999</v>
      </c>
      <c r="AD322">
        <v>-1.0808292629139999</v>
      </c>
      <c r="AE322">
        <v>-0.61760000000003801</v>
      </c>
      <c r="AF322">
        <v>0.63482456812894095</v>
      </c>
      <c r="AG322">
        <v>-1.0808292629139999</v>
      </c>
      <c r="AH322">
        <v>28.384282954134399</v>
      </c>
      <c r="AI322">
        <v>92.180135766032706</v>
      </c>
      <c r="AJ322">
        <v>88.718773142872806</v>
      </c>
      <c r="AK322">
        <v>28.411946658901002</v>
      </c>
    </row>
    <row r="323" spans="1:37" x14ac:dyDescent="0.2">
      <c r="A323" t="str">
        <f>"20200111153411561"</f>
        <v>20200111153411561</v>
      </c>
      <c r="B323" t="str">
        <f>"1578728051557305"</f>
        <v>1578728051557305</v>
      </c>
      <c r="C323" t="s">
        <v>37</v>
      </c>
      <c r="D323">
        <v>4.7145519999999896</v>
      </c>
      <c r="E323">
        <v>0.49485580000000001</v>
      </c>
      <c r="F323" t="s">
        <v>39</v>
      </c>
      <c r="G323">
        <v>-364.86599999999999</v>
      </c>
      <c r="H323" s="1">
        <v>-2.3465139999999999E-6</v>
      </c>
      <c r="I323">
        <v>368.7045</v>
      </c>
      <c r="J323">
        <v>-393.1825</v>
      </c>
      <c r="K323">
        <v>1.0821829999999999</v>
      </c>
      <c r="L323">
        <v>369.3605</v>
      </c>
      <c r="M323">
        <v>0.99999930000000004</v>
      </c>
      <c r="N323">
        <v>0</v>
      </c>
      <c r="O323">
        <v>-8.990771E-4</v>
      </c>
      <c r="P323">
        <v>0.999206699999999</v>
      </c>
      <c r="Q323">
        <v>1.436138E-2</v>
      </c>
      <c r="R323">
        <v>-3.7145850000000001E-2</v>
      </c>
      <c r="S323">
        <v>3.001404</v>
      </c>
      <c r="T323">
        <v>-0.11340739999999901</v>
      </c>
      <c r="U323">
        <v>-6.8786620000000007E-2</v>
      </c>
      <c r="V323">
        <v>3.6370800000000002E-2</v>
      </c>
      <c r="W323">
        <v>1.4897570000000001E-2</v>
      </c>
      <c r="X323">
        <v>0.99922730000000004</v>
      </c>
      <c r="Y323">
        <v>2.1998230000000001E-2</v>
      </c>
      <c r="Z323">
        <v>-3.8144189999999998E-4</v>
      </c>
      <c r="AA323">
        <v>0.99975789999999998</v>
      </c>
      <c r="AB323">
        <v>53</v>
      </c>
      <c r="AC323">
        <v>28.316500000000001</v>
      </c>
      <c r="AD323">
        <v>-1.0821853465139999</v>
      </c>
      <c r="AE323">
        <v>-0.65600000000000502</v>
      </c>
      <c r="AF323">
        <v>0.62962189330527996</v>
      </c>
      <c r="AG323">
        <v>-1.0821853465139999</v>
      </c>
      <c r="AH323">
        <v>28.275801546687401</v>
      </c>
      <c r="AI323">
        <v>92.191239792967707</v>
      </c>
      <c r="AJ323">
        <v>88.724396313650203</v>
      </c>
      <c r="AK323">
        <v>28.3035068844903</v>
      </c>
    </row>
    <row r="324" spans="1:37" x14ac:dyDescent="0.2">
      <c r="A324" t="str">
        <f>"20200111153411573"</f>
        <v>20200111153411573</v>
      </c>
      <c r="B324" t="str">
        <f>"1578728051567065"</f>
        <v>1578728051567065</v>
      </c>
      <c r="C324" t="s">
        <v>37</v>
      </c>
      <c r="D324">
        <v>4.7087750000000002</v>
      </c>
      <c r="E324">
        <v>0.49484319999999998</v>
      </c>
      <c r="F324" t="s">
        <v>40</v>
      </c>
      <c r="G324">
        <v>-392.02800000000002</v>
      </c>
      <c r="H324">
        <v>1.0381959999999999</v>
      </c>
      <c r="I324">
        <v>369.33229999999998</v>
      </c>
      <c r="J324">
        <v>-392.87150000000003</v>
      </c>
      <c r="K324">
        <v>1.0835440000000001</v>
      </c>
      <c r="L324">
        <v>369.36009999999999</v>
      </c>
      <c r="M324">
        <v>0.9999962</v>
      </c>
      <c r="N324">
        <v>0</v>
      </c>
      <c r="O324">
        <v>-2.5588539999999902E-3</v>
      </c>
      <c r="P324">
        <v>0.99916319999999903</v>
      </c>
      <c r="Q324">
        <v>1.4234770000000001E-2</v>
      </c>
      <c r="R324">
        <v>-3.8346669999999999E-2</v>
      </c>
      <c r="S324">
        <v>3.0013429999999999</v>
      </c>
      <c r="T324">
        <v>-0.11449529999999999</v>
      </c>
      <c r="U324">
        <v>-7.2204589999999999E-2</v>
      </c>
      <c r="V324">
        <v>3.591511E-2</v>
      </c>
      <c r="W324">
        <v>1.492952E-2</v>
      </c>
      <c r="X324">
        <v>0.99924329999999995</v>
      </c>
      <c r="Y324">
        <v>2.1478520000000001E-2</v>
      </c>
      <c r="Z324">
        <v>-3.1190849999999899E-4</v>
      </c>
      <c r="AA324">
        <v>0.99976929999999997</v>
      </c>
      <c r="AB324">
        <v>53</v>
      </c>
      <c r="AC324">
        <v>0.84350000000000502</v>
      </c>
      <c r="AD324">
        <v>-4.5348000000000097E-2</v>
      </c>
      <c r="AE324">
        <v>-2.78000000000133E-2</v>
      </c>
      <c r="AF324">
        <v>2.5567695833065E-2</v>
      </c>
      <c r="AG324">
        <v>-4.5348000000000097E-2</v>
      </c>
      <c r="AH324">
        <v>0.84113984828782895</v>
      </c>
      <c r="AI324">
        <v>93.084552532553403</v>
      </c>
      <c r="AJ324">
        <v>88.258945707380093</v>
      </c>
      <c r="AK324">
        <v>0.84274930587445995</v>
      </c>
    </row>
    <row r="325" spans="1:37" x14ac:dyDescent="0.2">
      <c r="A325" t="str">
        <f>"20200111153411596"</f>
        <v>20200111153411596</v>
      </c>
      <c r="B325" t="str">
        <f>"1578728051586585"</f>
        <v>1578728051586585</v>
      </c>
      <c r="C325" t="s">
        <v>37</v>
      </c>
      <c r="D325">
        <v>4.6982390000000001</v>
      </c>
      <c r="E325">
        <v>0.49483379999999999</v>
      </c>
      <c r="F325" t="s">
        <v>39</v>
      </c>
      <c r="G325">
        <v>-364.63679999999999</v>
      </c>
      <c r="H325" s="1">
        <v>-2.4552740000000002E-6</v>
      </c>
      <c r="I325">
        <v>368.64580000000001</v>
      </c>
      <c r="J325">
        <v>-392.35419999999999</v>
      </c>
      <c r="K325">
        <v>1.085628</v>
      </c>
      <c r="L325">
        <v>369.35860000000002</v>
      </c>
      <c r="M325">
        <v>0.99998500000000001</v>
      </c>
      <c r="N325">
        <v>0</v>
      </c>
      <c r="O325">
        <v>-5.3198530000000003E-3</v>
      </c>
      <c r="P325">
        <v>0.99909879999999995</v>
      </c>
      <c r="Q325">
        <v>1.367457E-2</v>
      </c>
      <c r="R325">
        <v>-4.0181099999999997E-2</v>
      </c>
      <c r="S325">
        <v>3.001312</v>
      </c>
      <c r="T325">
        <v>-0.1151792</v>
      </c>
      <c r="U325">
        <v>-7.5927729999999999E-2</v>
      </c>
      <c r="V325">
        <v>3.4991759999999997E-2</v>
      </c>
      <c r="W325">
        <v>1.46506E-2</v>
      </c>
      <c r="X325">
        <v>0.99928019999999995</v>
      </c>
      <c r="Y325">
        <v>1.9960800000000001E-2</v>
      </c>
      <c r="Z325">
        <v>-1.7876400000000001E-4</v>
      </c>
      <c r="AA325">
        <v>0.99980069999999999</v>
      </c>
      <c r="AB325">
        <v>53</v>
      </c>
      <c r="AC325">
        <v>27.717400000000001</v>
      </c>
      <c r="AD325">
        <v>-1.0856304552739999</v>
      </c>
      <c r="AE325">
        <v>-0.71280000000001498</v>
      </c>
      <c r="AF325">
        <v>0.56447189993803004</v>
      </c>
      <c r="AG325">
        <v>-1.0856304552739999</v>
      </c>
      <c r="AH325">
        <v>27.678365933828498</v>
      </c>
      <c r="AI325">
        <v>92.245698429895597</v>
      </c>
      <c r="AJ325">
        <v>88.831673267729798</v>
      </c>
      <c r="AK325">
        <v>27.7053995238863</v>
      </c>
    </row>
    <row r="326" spans="1:37" x14ac:dyDescent="0.2">
      <c r="A326" t="str">
        <f>"20200111153411608"</f>
        <v>20200111153411608</v>
      </c>
      <c r="B326" t="str">
        <f>"1578728051597322"</f>
        <v>1578728051597322</v>
      </c>
      <c r="C326" t="s">
        <v>37</v>
      </c>
      <c r="D326">
        <v>4.6976230000000001</v>
      </c>
      <c r="E326">
        <v>0.494828299999999</v>
      </c>
      <c r="F326" t="s">
        <v>39</v>
      </c>
      <c r="G326">
        <v>-364.7022</v>
      </c>
      <c r="H326" s="1">
        <v>-2.4335559999999999E-6</v>
      </c>
      <c r="I326">
        <v>368.61</v>
      </c>
      <c r="J326">
        <v>-392.06540000000001</v>
      </c>
      <c r="K326">
        <v>1.08667</v>
      </c>
      <c r="L326">
        <v>369.3571</v>
      </c>
      <c r="M326">
        <v>0.99997549999999902</v>
      </c>
      <c r="N326">
        <v>0</v>
      </c>
      <c r="O326">
        <v>-6.8592969999999899E-3</v>
      </c>
      <c r="P326">
        <v>0.9990599</v>
      </c>
      <c r="Q326">
        <v>1.3649410000000001E-2</v>
      </c>
      <c r="R326">
        <v>-4.115216E-2</v>
      </c>
      <c r="S326">
        <v>3.0010379999999999</v>
      </c>
      <c r="T326">
        <v>-0.11782189999999999</v>
      </c>
      <c r="U326">
        <v>-8.1237790000000004E-2</v>
      </c>
      <c r="V326">
        <v>3.4427190000000003E-2</v>
      </c>
      <c r="W326">
        <v>1.478935E-2</v>
      </c>
      <c r="X326">
        <v>0.99929780000000001</v>
      </c>
      <c r="Y326">
        <v>2.01923E-2</v>
      </c>
      <c r="Z326">
        <v>-1.2701539999999999E-4</v>
      </c>
      <c r="AA326">
        <v>0.99979609999999997</v>
      </c>
      <c r="AB326">
        <v>53</v>
      </c>
      <c r="AC326">
        <v>27.363199999999999</v>
      </c>
      <c r="AD326">
        <v>-1.0866724335560001</v>
      </c>
      <c r="AE326">
        <v>-0.747099999999989</v>
      </c>
      <c r="AF326">
        <v>0.55850974732471104</v>
      </c>
      <c r="AG326">
        <v>-1.0866724335560001</v>
      </c>
      <c r="AH326">
        <v>27.324618876217901</v>
      </c>
      <c r="AI326">
        <v>92.276919956619096</v>
      </c>
      <c r="AJ326">
        <v>88.829048771460194</v>
      </c>
      <c r="AK326">
        <v>27.351921081457402</v>
      </c>
    </row>
    <row r="327" spans="1:37" x14ac:dyDescent="0.2">
      <c r="A327" t="str">
        <f>"20200111153411621"</f>
        <v>20200111153411621</v>
      </c>
      <c r="B327" t="str">
        <f>"1578728051616842"</f>
        <v>1578728051616842</v>
      </c>
      <c r="C327" t="s">
        <v>37</v>
      </c>
      <c r="D327">
        <v>4.6975610000000003</v>
      </c>
      <c r="E327">
        <v>0.49479970000000001</v>
      </c>
      <c r="F327" t="s">
        <v>39</v>
      </c>
      <c r="G327">
        <v>-364.49650000000003</v>
      </c>
      <c r="H327" s="1">
        <v>-2.52641099999999E-6</v>
      </c>
      <c r="I327">
        <v>368.584</v>
      </c>
      <c r="J327">
        <v>-391.74450000000002</v>
      </c>
      <c r="K327">
        <v>1.0877709999999901</v>
      </c>
      <c r="L327">
        <v>369.35500000000002</v>
      </c>
      <c r="M327">
        <v>0.99996200000000002</v>
      </c>
      <c r="N327">
        <v>0</v>
      </c>
      <c r="O327">
        <v>-8.5690609999999993E-3</v>
      </c>
      <c r="P327">
        <v>0.9990253</v>
      </c>
      <c r="Q327">
        <v>1.3590970000000001E-2</v>
      </c>
      <c r="R327">
        <v>-4.2002089999999999E-2</v>
      </c>
      <c r="S327">
        <v>3.0009769999999998</v>
      </c>
      <c r="T327">
        <v>-0.118287899999999</v>
      </c>
      <c r="U327">
        <v>-8.4136959999999997E-2</v>
      </c>
      <c r="V327">
        <v>3.3571799999999999E-2</v>
      </c>
      <c r="W327">
        <v>1.491522E-2</v>
      </c>
      <c r="X327">
        <v>0.99932500000000002</v>
      </c>
      <c r="Y327">
        <v>1.945034E-2</v>
      </c>
      <c r="Z327" s="1">
        <v>-4.5555820000000003E-5</v>
      </c>
      <c r="AA327">
        <v>0.9998108</v>
      </c>
      <c r="AB327">
        <v>54</v>
      </c>
      <c r="AC327">
        <v>27.247999999999902</v>
      </c>
      <c r="AD327">
        <v>-1.08777352641099</v>
      </c>
      <c r="AE327">
        <v>-0.77100000000001501</v>
      </c>
      <c r="AF327">
        <v>0.53662707784067198</v>
      </c>
      <c r="AG327">
        <v>-1.08777352641099</v>
      </c>
      <c r="AH327">
        <v>27.210275901634098</v>
      </c>
      <c r="AI327">
        <v>92.288825215060299</v>
      </c>
      <c r="AJ327">
        <v>88.870188540995201</v>
      </c>
      <c r="AK327">
        <v>27.237296754789799</v>
      </c>
    </row>
    <row r="328" spans="1:37" x14ac:dyDescent="0.2">
      <c r="A328" t="str">
        <f>"20200111153411639"</f>
        <v>20200111153411639</v>
      </c>
      <c r="B328" t="str">
        <f>"1578728051626601"</f>
        <v>1578728051626601</v>
      </c>
      <c r="C328" t="s">
        <v>37</v>
      </c>
      <c r="D328">
        <v>4.7090620000000003</v>
      </c>
      <c r="E328">
        <v>0.4947744</v>
      </c>
      <c r="F328" t="s">
        <v>40</v>
      </c>
      <c r="G328">
        <v>-390.58499999999998</v>
      </c>
      <c r="H328">
        <v>1.0416719999999999</v>
      </c>
      <c r="I328">
        <v>369.32139999999998</v>
      </c>
      <c r="J328">
        <v>-391.31420000000003</v>
      </c>
      <c r="K328">
        <v>1.089102</v>
      </c>
      <c r="L328">
        <v>369.35129999999998</v>
      </c>
      <c r="M328">
        <v>0.99993949999999998</v>
      </c>
      <c r="N328">
        <v>0</v>
      </c>
      <c r="O328">
        <v>-1.0858319999999999E-2</v>
      </c>
      <c r="P328">
        <v>0.99899249999999995</v>
      </c>
      <c r="Q328">
        <v>1.3429190000000001E-2</v>
      </c>
      <c r="R328">
        <v>-4.2826040000000003E-2</v>
      </c>
      <c r="S328">
        <v>3.0009160000000001</v>
      </c>
      <c r="T328">
        <v>-0.1193205</v>
      </c>
      <c r="U328">
        <v>-8.6883539999999995E-2</v>
      </c>
      <c r="V328">
        <v>3.2111279999999999E-2</v>
      </c>
      <c r="W328">
        <v>1.5004379999999999E-2</v>
      </c>
      <c r="X328">
        <v>0.99937160000000003</v>
      </c>
      <c r="Y328">
        <v>1.8079029999999999E-2</v>
      </c>
      <c r="Z328" s="1">
        <v>7.2251799999999998E-5</v>
      </c>
      <c r="AA328">
        <v>0.99983659999999996</v>
      </c>
      <c r="AB328">
        <v>54</v>
      </c>
      <c r="AC328">
        <v>0.72920000000004803</v>
      </c>
      <c r="AD328">
        <v>-4.743E-2</v>
      </c>
      <c r="AE328">
        <v>-2.98999999999978E-2</v>
      </c>
      <c r="AF328">
        <v>2.1887892276781399E-2</v>
      </c>
      <c r="AG328">
        <v>-4.743E-2</v>
      </c>
      <c r="AH328">
        <v>0.72641359088681901</v>
      </c>
      <c r="AI328">
        <v>93.734042583488005</v>
      </c>
      <c r="AJ328">
        <v>88.274117468396398</v>
      </c>
      <c r="AK328">
        <v>0.72828935853368304</v>
      </c>
    </row>
    <row r="329" spans="1:37" x14ac:dyDescent="0.2">
      <c r="A329" t="str">
        <f>"20200111153411661"</f>
        <v>20200111153411661</v>
      </c>
      <c r="B329" t="str">
        <f>"1578728051657366"</f>
        <v>1578728051657366</v>
      </c>
      <c r="C329" t="s">
        <v>37</v>
      </c>
      <c r="D329">
        <v>4.69346</v>
      </c>
      <c r="E329">
        <v>0.49473069999999902</v>
      </c>
      <c r="F329" t="s">
        <v>40</v>
      </c>
      <c r="G329">
        <v>-390.10270000000003</v>
      </c>
      <c r="H329">
        <v>1.0405530000000001</v>
      </c>
      <c r="I329">
        <v>369.31490000000002</v>
      </c>
      <c r="J329">
        <v>-390.7747</v>
      </c>
      <c r="K329">
        <v>1.090541</v>
      </c>
      <c r="L329">
        <v>369.34500000000003</v>
      </c>
      <c r="M329">
        <v>0.9999034</v>
      </c>
      <c r="N329">
        <v>0</v>
      </c>
      <c r="O329">
        <v>-1.372396E-2</v>
      </c>
      <c r="P329">
        <v>0.9989498</v>
      </c>
      <c r="Q329">
        <v>1.347274E-2</v>
      </c>
      <c r="R329">
        <v>-4.379015E-2</v>
      </c>
      <c r="S329">
        <v>3.0008539999999999</v>
      </c>
      <c r="T329">
        <v>-0.12038509999999999</v>
      </c>
      <c r="U329">
        <v>-8.9233399999999893E-2</v>
      </c>
      <c r="V329">
        <v>3.0218040000000002E-2</v>
      </c>
      <c r="W329">
        <v>1.535576E-2</v>
      </c>
      <c r="X329">
        <v>0.99942540000000002</v>
      </c>
      <c r="Y329">
        <v>1.6000299999999999E-2</v>
      </c>
      <c r="Z329">
        <v>2.294393E-4</v>
      </c>
      <c r="AA329">
        <v>0.99987199999999998</v>
      </c>
      <c r="AB329">
        <v>54</v>
      </c>
      <c r="AC329">
        <v>0.67199999999996796</v>
      </c>
      <c r="AD329">
        <v>-4.9987999999999901E-2</v>
      </c>
      <c r="AE329">
        <v>-3.0100000000004401E-2</v>
      </c>
      <c r="AF329">
        <v>2.07599981682021E-2</v>
      </c>
      <c r="AG329">
        <v>-4.9987999999999901E-2</v>
      </c>
      <c r="AH329">
        <v>0.66865725680385801</v>
      </c>
      <c r="AI329">
        <v>94.273357948008197</v>
      </c>
      <c r="AJ329">
        <v>88.221692355409502</v>
      </c>
      <c r="AK329">
        <v>0.67084447135264103</v>
      </c>
    </row>
    <row r="330" spans="1:37" x14ac:dyDescent="0.2">
      <c r="A330" t="str">
        <f>"20200111153411673"</f>
        <v>20200111153411673</v>
      </c>
      <c r="B330" t="str">
        <f>"1578728051667126"</f>
        <v>1578728051667126</v>
      </c>
      <c r="C330" t="s">
        <v>37</v>
      </c>
      <c r="D330">
        <v>4.739071</v>
      </c>
      <c r="E330">
        <v>0.49472359999999999</v>
      </c>
      <c r="F330" t="s">
        <v>40</v>
      </c>
      <c r="G330">
        <v>-389.60890000000001</v>
      </c>
      <c r="H330">
        <v>1.0433600000000001</v>
      </c>
      <c r="I330">
        <v>369.30930000000001</v>
      </c>
      <c r="J330">
        <v>-390.44380000000001</v>
      </c>
      <c r="K330">
        <v>1.0913200000000001</v>
      </c>
      <c r="L330">
        <v>369.34050000000002</v>
      </c>
      <c r="M330">
        <v>0.99987749999999997</v>
      </c>
      <c r="N330">
        <v>0</v>
      </c>
      <c r="O330">
        <v>-1.548093E-2</v>
      </c>
      <c r="P330">
        <v>0.99890389999999996</v>
      </c>
      <c r="Q330">
        <v>1.348799E-2</v>
      </c>
      <c r="R330">
        <v>-4.4824099999999999E-2</v>
      </c>
      <c r="S330">
        <v>3.0007630000000001</v>
      </c>
      <c r="T330">
        <v>-0.1214573</v>
      </c>
      <c r="U330">
        <v>-9.1735839999999999E-2</v>
      </c>
      <c r="V330">
        <v>2.9500019999999998E-2</v>
      </c>
      <c r="W330">
        <v>1.555029E-2</v>
      </c>
      <c r="X330">
        <v>0.99944379999999999</v>
      </c>
      <c r="Y330">
        <v>1.5079489999999999E-2</v>
      </c>
      <c r="Z330">
        <v>3.2116289999999998E-4</v>
      </c>
      <c r="AA330">
        <v>0.99988630000000001</v>
      </c>
      <c r="AB330">
        <v>54</v>
      </c>
      <c r="AC330">
        <v>0.83490000000000397</v>
      </c>
      <c r="AD330">
        <v>-4.7960000000000003E-2</v>
      </c>
      <c r="AE330">
        <v>-3.1200000000012499E-2</v>
      </c>
      <c r="AF330">
        <v>1.8211188470939801E-2</v>
      </c>
      <c r="AG330">
        <v>-4.7960000000000003E-2</v>
      </c>
      <c r="AH330">
        <v>0.83253955970877702</v>
      </c>
      <c r="AI330">
        <v>93.296200040071199</v>
      </c>
      <c r="AJ330">
        <v>88.746896943783497</v>
      </c>
      <c r="AK330">
        <v>0.83411865310974098</v>
      </c>
    </row>
    <row r="331" spans="1:37" x14ac:dyDescent="0.2">
      <c r="A331" t="str">
        <f>"20200111153411686"</f>
        <v>20200111153411686</v>
      </c>
      <c r="B331" t="str">
        <f>"1578728051676886"</f>
        <v>1578728051676886</v>
      </c>
      <c r="C331" t="s">
        <v>37</v>
      </c>
      <c r="D331">
        <v>4.7247389999999996</v>
      </c>
      <c r="E331">
        <v>0.49470779999999998</v>
      </c>
      <c r="F331" t="s">
        <v>39</v>
      </c>
      <c r="G331">
        <v>-363.56360000000001</v>
      </c>
      <c r="H331" s="1">
        <v>-2.9430759999999898E-6</v>
      </c>
      <c r="I331">
        <v>368.49119999999999</v>
      </c>
      <c r="J331">
        <v>-390.14670000000001</v>
      </c>
      <c r="K331">
        <v>1.0919570000000001</v>
      </c>
      <c r="L331">
        <v>369.33580000000001</v>
      </c>
      <c r="M331">
        <v>0.9998513</v>
      </c>
      <c r="N331">
        <v>0</v>
      </c>
      <c r="O331">
        <v>-1.7059009999999999E-2</v>
      </c>
      <c r="P331">
        <v>0.99886759999999997</v>
      </c>
      <c r="Q331">
        <v>1.347452E-2</v>
      </c>
      <c r="R331">
        <v>-4.5630280000000002E-2</v>
      </c>
      <c r="S331">
        <v>3.0006710000000001</v>
      </c>
      <c r="T331">
        <v>-0.12182519999999999</v>
      </c>
      <c r="U331">
        <v>-9.47876E-2</v>
      </c>
      <c r="V331">
        <v>2.8731949999999999E-2</v>
      </c>
      <c r="W331">
        <v>1.56937999999999E-2</v>
      </c>
      <c r="X331">
        <v>0.99946399999999902</v>
      </c>
      <c r="Y331">
        <v>1.451999E-2</v>
      </c>
      <c r="Z331">
        <v>3.9750080000000001E-4</v>
      </c>
      <c r="AA331">
        <v>0.99989450000000002</v>
      </c>
      <c r="AB331">
        <v>54</v>
      </c>
      <c r="AC331">
        <v>26.583100000000002</v>
      </c>
      <c r="AD331">
        <v>-1.0919599430760001</v>
      </c>
      <c r="AE331">
        <v>-0.84460000000001401</v>
      </c>
      <c r="AF331">
        <v>0.39033631896121401</v>
      </c>
      <c r="AG331">
        <v>-1.0919599430760001</v>
      </c>
      <c r="AH331">
        <v>26.548888027768299</v>
      </c>
      <c r="AI331">
        <v>92.355002672150405</v>
      </c>
      <c r="AJ331">
        <v>89.157666702641606</v>
      </c>
      <c r="AK331">
        <v>26.574201671360999</v>
      </c>
    </row>
    <row r="332" spans="1:37" x14ac:dyDescent="0.2">
      <c r="A332" t="str">
        <f>"20200111153411700"</f>
        <v>20200111153411700</v>
      </c>
      <c r="B332" t="str">
        <f>"1578728051697383"</f>
        <v>1578728051697383</v>
      </c>
      <c r="C332" t="s">
        <v>37</v>
      </c>
      <c r="D332">
        <v>4.6869129999999997</v>
      </c>
      <c r="E332">
        <v>0.49466840000000001</v>
      </c>
      <c r="F332" t="s">
        <v>39</v>
      </c>
      <c r="G332">
        <v>-363.34410000000003</v>
      </c>
      <c r="H332" s="1">
        <v>-3.0417270000000001E-6</v>
      </c>
      <c r="I332">
        <v>368.46589999999998</v>
      </c>
      <c r="J332">
        <v>-389.83819999999997</v>
      </c>
      <c r="K332">
        <v>1.092576</v>
      </c>
      <c r="L332">
        <v>369.33069999999998</v>
      </c>
      <c r="M332">
        <v>0.99982179999999998</v>
      </c>
      <c r="N332">
        <v>0</v>
      </c>
      <c r="O332">
        <v>-1.8698059999999999E-2</v>
      </c>
      <c r="P332">
        <v>0.99882549999999903</v>
      </c>
      <c r="Q332">
        <v>1.3484879999999999E-2</v>
      </c>
      <c r="R332">
        <v>-4.6546329999999997E-2</v>
      </c>
      <c r="S332">
        <v>3.00061</v>
      </c>
      <c r="T332">
        <v>-0.1222472</v>
      </c>
      <c r="U332">
        <v>-9.7381590000000004E-2</v>
      </c>
      <c r="V332">
        <v>2.801317E-2</v>
      </c>
      <c r="W332">
        <v>1.5864010000000001E-2</v>
      </c>
      <c r="X332">
        <v>0.99948169999999903</v>
      </c>
      <c r="Y332">
        <v>1.3747000000000001E-2</v>
      </c>
      <c r="Z332">
        <v>4.8132719999999999E-4</v>
      </c>
      <c r="AA332">
        <v>0.99990540000000006</v>
      </c>
      <c r="AB332">
        <v>54</v>
      </c>
      <c r="AC332">
        <v>26.4940999999999</v>
      </c>
      <c r="AD332">
        <v>-1.092579041727</v>
      </c>
      <c r="AE332">
        <v>-0.86480000000000201</v>
      </c>
      <c r="AF332">
        <v>0.36863263063829799</v>
      </c>
      <c r="AG332">
        <v>-1.092579041727</v>
      </c>
      <c r="AH332">
        <v>26.460686610807699</v>
      </c>
      <c r="AI332">
        <v>92.364207910721802</v>
      </c>
      <c r="AJ332">
        <v>89.201845062154703</v>
      </c>
      <c r="AK332">
        <v>26.485799117530298</v>
      </c>
    </row>
    <row r="333" spans="1:37" x14ac:dyDescent="0.2">
      <c r="A333" t="str">
        <f>"20200111153411716"</f>
        <v>20200111153411716</v>
      </c>
      <c r="B333" t="str">
        <f>"1578728051707145"</f>
        <v>1578728051707145</v>
      </c>
      <c r="C333" t="s">
        <v>37</v>
      </c>
      <c r="D333">
        <v>4.6639720000000002</v>
      </c>
      <c r="E333">
        <v>0.49463789999999902</v>
      </c>
      <c r="F333" t="s">
        <v>40</v>
      </c>
      <c r="G333">
        <v>-388.63959999999997</v>
      </c>
      <c r="H333">
        <v>1.0434889999999899</v>
      </c>
      <c r="I333">
        <v>369.29109999999997</v>
      </c>
      <c r="J333">
        <v>-389.41300000000001</v>
      </c>
      <c r="K333">
        <v>1.093323</v>
      </c>
      <c r="L333">
        <v>369.32260000000002</v>
      </c>
      <c r="M333">
        <v>0.99977629999999995</v>
      </c>
      <c r="N333">
        <v>0</v>
      </c>
      <c r="O333">
        <v>-2.09575E-2</v>
      </c>
      <c r="P333">
        <v>0.99878960000000006</v>
      </c>
      <c r="Q333">
        <v>1.3548930000000001E-2</v>
      </c>
      <c r="R333">
        <v>-4.7283060000000002E-2</v>
      </c>
      <c r="S333">
        <v>3.0005189999999899</v>
      </c>
      <c r="T333">
        <v>-0.1229335</v>
      </c>
      <c r="U333">
        <v>-9.9609379999999997E-2</v>
      </c>
      <c r="V333">
        <v>2.649665E-2</v>
      </c>
      <c r="W333">
        <v>1.6141969999999999E-2</v>
      </c>
      <c r="X333">
        <v>0.99951859999999904</v>
      </c>
      <c r="Y333">
        <v>1.223308E-2</v>
      </c>
      <c r="Z333">
        <v>6.0750520000000001E-4</v>
      </c>
      <c r="AA333">
        <v>0.99992499999999995</v>
      </c>
      <c r="AB333">
        <v>54</v>
      </c>
      <c r="AC333">
        <v>0.77340000000003695</v>
      </c>
      <c r="AD333">
        <v>-4.98340000000001E-2</v>
      </c>
      <c r="AE333">
        <v>-3.1500000000050897E-2</v>
      </c>
      <c r="AF333">
        <v>1.5221392610059999E-2</v>
      </c>
      <c r="AG333">
        <v>-4.98340000000001E-2</v>
      </c>
      <c r="AH333">
        <v>0.77069577372641995</v>
      </c>
      <c r="AI333">
        <v>93.698935653388503</v>
      </c>
      <c r="AJ333">
        <v>88.868544223407895</v>
      </c>
      <c r="AK333">
        <v>0.77245523753079404</v>
      </c>
    </row>
    <row r="334" spans="1:37" x14ac:dyDescent="0.2">
      <c r="A334" t="str">
        <f>"20200111153411730"</f>
        <v>20200111153411730</v>
      </c>
      <c r="B334" t="str">
        <f>"1578728051726662"</f>
        <v>1578728051726662</v>
      </c>
      <c r="C334" t="s">
        <v>37</v>
      </c>
      <c r="D334">
        <v>4.6755259999999996</v>
      </c>
      <c r="E334">
        <v>0.49455509999999903</v>
      </c>
      <c r="F334" t="s">
        <v>39</v>
      </c>
      <c r="G334">
        <v>-362.74220000000003</v>
      </c>
      <c r="H334" s="1">
        <v>-3.3082419999999998E-6</v>
      </c>
      <c r="I334">
        <v>368.41919999999999</v>
      </c>
      <c r="J334">
        <v>-389.09910000000002</v>
      </c>
      <c r="K334">
        <v>1.0938030000000001</v>
      </c>
      <c r="L334">
        <v>369.3159</v>
      </c>
      <c r="M334">
        <v>0.9997395</v>
      </c>
      <c r="N334">
        <v>0</v>
      </c>
      <c r="O334">
        <v>-2.2627080000000001E-2</v>
      </c>
      <c r="P334">
        <v>0.99875119999999895</v>
      </c>
      <c r="Q334">
        <v>1.32629999999999E-2</v>
      </c>
      <c r="R334">
        <v>-4.816815E-2</v>
      </c>
      <c r="S334">
        <v>3.0005189999999899</v>
      </c>
      <c r="T334">
        <v>-0.123001</v>
      </c>
      <c r="U334">
        <v>-0.10162350000000001</v>
      </c>
      <c r="V334">
        <v>2.57129E-2</v>
      </c>
      <c r="W334">
        <v>1.600275E-2</v>
      </c>
      <c r="X334">
        <v>0.99954129999999997</v>
      </c>
      <c r="Y334">
        <v>1.123592E-2</v>
      </c>
      <c r="Z334">
        <v>6.9662249999999999E-4</v>
      </c>
      <c r="AA334">
        <v>0.99993659999999995</v>
      </c>
      <c r="AB334">
        <v>54</v>
      </c>
      <c r="AC334">
        <v>26.3569</v>
      </c>
      <c r="AD334">
        <v>-1.093806308242</v>
      </c>
      <c r="AE334">
        <v>-0.89670000000000905</v>
      </c>
      <c r="AF334">
        <v>0.299572729409187</v>
      </c>
      <c r="AG334">
        <v>-1.093806308242</v>
      </c>
      <c r="AH334">
        <v>26.325156038052299</v>
      </c>
      <c r="AI334">
        <v>92.379108684402297</v>
      </c>
      <c r="AJ334">
        <v>89.348018595837402</v>
      </c>
      <c r="AK334">
        <v>26.349572984926301</v>
      </c>
    </row>
    <row r="335" spans="1:37" x14ac:dyDescent="0.2">
      <c r="A335" t="str">
        <f>"20200111153411744"</f>
        <v>20200111153411744</v>
      </c>
      <c r="B335" t="str">
        <f>"1578728051737399"</f>
        <v>1578728051737399</v>
      </c>
      <c r="C335" t="s">
        <v>37</v>
      </c>
      <c r="D335">
        <v>4.7099380000000002</v>
      </c>
      <c r="E335">
        <v>0.49452839999999998</v>
      </c>
      <c r="F335" t="s">
        <v>39</v>
      </c>
      <c r="G335">
        <v>-362.63029999999998</v>
      </c>
      <c r="H335" s="1">
        <v>-3.3597879999999899E-6</v>
      </c>
      <c r="I335">
        <v>368.39909999999998</v>
      </c>
      <c r="J335">
        <v>-388.75760000000002</v>
      </c>
      <c r="K335">
        <v>1.09429</v>
      </c>
      <c r="L335">
        <v>369.3082</v>
      </c>
      <c r="M335">
        <v>0.99969619999999904</v>
      </c>
      <c r="N335">
        <v>0</v>
      </c>
      <c r="O335">
        <v>-2.444443E-2</v>
      </c>
      <c r="P335">
        <v>0.99872150000000004</v>
      </c>
      <c r="Q335">
        <v>1.2694570000000001E-2</v>
      </c>
      <c r="R335">
        <v>-4.8932139999999999E-2</v>
      </c>
      <c r="S335">
        <v>3.000397</v>
      </c>
      <c r="T335">
        <v>-0.1239891</v>
      </c>
      <c r="U335">
        <v>-0.1039124</v>
      </c>
      <c r="V335">
        <v>2.4657510000000001E-2</v>
      </c>
      <c r="W335">
        <v>1.5591290000000001E-2</v>
      </c>
      <c r="X335">
        <v>0.99957439999999997</v>
      </c>
      <c r="Y335">
        <v>1.018402E-2</v>
      </c>
      <c r="Z335">
        <v>7.9896660000000001E-4</v>
      </c>
      <c r="AA335">
        <v>0.99994780000000005</v>
      </c>
      <c r="AB335">
        <v>54</v>
      </c>
      <c r="AC335">
        <v>26.127300000000002</v>
      </c>
      <c r="AD335">
        <v>-1.094293359788</v>
      </c>
      <c r="AE335">
        <v>-0.909100000000023</v>
      </c>
      <c r="AF335">
        <v>0.26968569735715697</v>
      </c>
      <c r="AG335">
        <v>-1.094293359788</v>
      </c>
      <c r="AH335">
        <v>26.095993205013201</v>
      </c>
      <c r="AI335">
        <v>92.401071213058799</v>
      </c>
      <c r="AJ335">
        <v>89.407905187381303</v>
      </c>
      <c r="AK335">
        <v>26.120319096227199</v>
      </c>
    </row>
    <row r="336" spans="1:37" x14ac:dyDescent="0.2">
      <c r="A336" t="str">
        <f>"20200111153411756"</f>
        <v>20200111153411756</v>
      </c>
      <c r="B336" t="str">
        <f>"1578728051747159"</f>
        <v>1578728051747159</v>
      </c>
      <c r="C336" t="s">
        <v>37</v>
      </c>
      <c r="D336">
        <v>4.6992859999999999</v>
      </c>
      <c r="E336">
        <v>0.49449189999999998</v>
      </c>
      <c r="F336" t="s">
        <v>39</v>
      </c>
      <c r="G336">
        <v>-362.63720000000001</v>
      </c>
      <c r="H336" s="1">
        <v>-3.359278E-6</v>
      </c>
      <c r="I336">
        <v>368.38529999999997</v>
      </c>
      <c r="J336">
        <v>-388.43709999999999</v>
      </c>
      <c r="K336">
        <v>1.094703</v>
      </c>
      <c r="L336">
        <v>369.30040000000002</v>
      </c>
      <c r="M336">
        <v>0.99965269999999995</v>
      </c>
      <c r="N336">
        <v>0</v>
      </c>
      <c r="O336">
        <v>-2.614874E-2</v>
      </c>
      <c r="P336">
        <v>0.99869819999999998</v>
      </c>
      <c r="Q336">
        <v>1.24324E-2</v>
      </c>
      <c r="R336">
        <v>-4.9472809999999999E-2</v>
      </c>
      <c r="S336">
        <v>3.0002749999999998</v>
      </c>
      <c r="T336">
        <v>-0.125694</v>
      </c>
      <c r="U336">
        <v>-0.1059875</v>
      </c>
      <c r="V336">
        <v>2.3494439999999998E-2</v>
      </c>
      <c r="W336">
        <v>1.5472100000000001E-2</v>
      </c>
      <c r="X336">
        <v>0.99960419999999905</v>
      </c>
      <c r="Y336">
        <v>9.1741459999999993E-3</v>
      </c>
      <c r="Z336">
        <v>9.0241639999999999E-4</v>
      </c>
      <c r="AA336">
        <v>0.99995750000000005</v>
      </c>
      <c r="AB336">
        <v>55</v>
      </c>
      <c r="AC336">
        <v>25.799899999999901</v>
      </c>
      <c r="AD336">
        <v>-1.094706359278</v>
      </c>
      <c r="AE336">
        <v>-0.91510000000005198</v>
      </c>
      <c r="AF336">
        <v>0.239717560656314</v>
      </c>
      <c r="AG336">
        <v>-1.094706359278</v>
      </c>
      <c r="AH336">
        <v>25.768672228974001</v>
      </c>
      <c r="AI336">
        <v>92.432475119252004</v>
      </c>
      <c r="AJ336">
        <v>89.467011408382007</v>
      </c>
      <c r="AK336">
        <v>25.793028417892799</v>
      </c>
    </row>
    <row r="337" spans="1:37" x14ac:dyDescent="0.2">
      <c r="A337" t="str">
        <f>"20200111153411773"</f>
        <v>20200111153411773</v>
      </c>
      <c r="B337" t="str">
        <f>"1578728051766678"</f>
        <v>1578728051766678</v>
      </c>
      <c r="C337" t="s">
        <v>37</v>
      </c>
      <c r="D337">
        <v>4.7101769999999998</v>
      </c>
      <c r="E337">
        <v>0.494421099999999</v>
      </c>
      <c r="F337" t="s">
        <v>39</v>
      </c>
      <c r="G337">
        <v>-362.47550000000001</v>
      </c>
      <c r="H337" s="1">
        <v>-3.4312619999999999E-6</v>
      </c>
      <c r="I337">
        <v>368.3707</v>
      </c>
      <c r="J337">
        <v>-388.02870000000001</v>
      </c>
      <c r="K337">
        <v>1.095162</v>
      </c>
      <c r="L337">
        <v>369.28949999999998</v>
      </c>
      <c r="M337">
        <v>0.99959310000000001</v>
      </c>
      <c r="N337">
        <v>0</v>
      </c>
      <c r="O337">
        <v>-2.831844E-2</v>
      </c>
      <c r="P337">
        <v>0.99870460000000005</v>
      </c>
      <c r="Q337">
        <v>1.2546969999999999E-2</v>
      </c>
      <c r="R337">
        <v>-4.931427E-2</v>
      </c>
      <c r="S337">
        <v>3.0001530000000001</v>
      </c>
      <c r="T337">
        <v>-0.1265049</v>
      </c>
      <c r="U337">
        <v>-0.1074219</v>
      </c>
      <c r="V337">
        <v>2.1170169999999999E-2</v>
      </c>
      <c r="W337">
        <v>1.576675E-2</v>
      </c>
      <c r="X337">
        <v>0.99965159999999997</v>
      </c>
      <c r="Y337">
        <v>7.4861959999999996E-3</v>
      </c>
      <c r="Z337">
        <v>1.0351919999999899E-3</v>
      </c>
      <c r="AA337">
        <v>0.99997139999999995</v>
      </c>
      <c r="AB337">
        <v>55</v>
      </c>
      <c r="AC337">
        <v>25.5532</v>
      </c>
      <c r="AD337">
        <v>-1.0951654312620001</v>
      </c>
      <c r="AE337">
        <v>-0.91879999999997597</v>
      </c>
      <c r="AF337">
        <v>0.194443819897063</v>
      </c>
      <c r="AG337">
        <v>-1.0951654312620001</v>
      </c>
      <c r="AH337">
        <v>25.522151657058501</v>
      </c>
      <c r="AI337">
        <v>92.457005580642701</v>
      </c>
      <c r="AJ337">
        <v>89.563493123969096</v>
      </c>
      <c r="AK337">
        <v>25.5463778435774</v>
      </c>
    </row>
    <row r="338" spans="1:37" x14ac:dyDescent="0.2">
      <c r="A338" t="str">
        <f>"20200111153411786"</f>
        <v>20200111153411786</v>
      </c>
      <c r="B338" t="str">
        <f>"1578728051777415"</f>
        <v>1578728051777415</v>
      </c>
      <c r="C338" t="s">
        <v>37</v>
      </c>
      <c r="D338">
        <v>4.7001160000000004</v>
      </c>
      <c r="E338">
        <v>0.49439070000000002</v>
      </c>
      <c r="F338" t="s">
        <v>39</v>
      </c>
      <c r="G338">
        <v>-362.01199999999898</v>
      </c>
      <c r="H338" s="1">
        <v>-3.63027699999999E-6</v>
      </c>
      <c r="I338">
        <v>368.3698</v>
      </c>
      <c r="J338">
        <v>-387.72300000000001</v>
      </c>
      <c r="K338">
        <v>1.095475</v>
      </c>
      <c r="L338">
        <v>369.2808</v>
      </c>
      <c r="M338">
        <v>0.99954560000000003</v>
      </c>
      <c r="N338">
        <v>0</v>
      </c>
      <c r="O338">
        <v>-2.9938090000000001E-2</v>
      </c>
      <c r="P338">
        <v>0.99867479999999997</v>
      </c>
      <c r="Q338">
        <v>1.26561E-2</v>
      </c>
      <c r="R338">
        <v>-4.9888799999999997E-2</v>
      </c>
      <c r="S338">
        <v>3.0002439999999999</v>
      </c>
      <c r="T338">
        <v>-0.1262935</v>
      </c>
      <c r="U338">
        <v>-0.10604860000000001</v>
      </c>
      <c r="V338">
        <v>2.0128320000000002E-2</v>
      </c>
      <c r="W338">
        <v>1.5998459999999999E-2</v>
      </c>
      <c r="X338">
        <v>0.99966939999999904</v>
      </c>
      <c r="Y338">
        <v>5.41085E-3</v>
      </c>
      <c r="Z338">
        <v>1.1451789999999901E-3</v>
      </c>
      <c r="AA338">
        <v>0.99998469999999995</v>
      </c>
      <c r="AB338">
        <v>55</v>
      </c>
      <c r="AC338">
        <v>25.710999999999999</v>
      </c>
      <c r="AD338">
        <v>-1.0954786302770001</v>
      </c>
      <c r="AE338">
        <v>-0.91100000000000103</v>
      </c>
      <c r="AF338">
        <v>0.140593763683239</v>
      </c>
      <c r="AG338">
        <v>-1.0954786302770001</v>
      </c>
      <c r="AH338">
        <v>25.6801877017697</v>
      </c>
      <c r="AI338">
        <v>92.442635249004795</v>
      </c>
      <c r="AJ338">
        <v>89.686320485773294</v>
      </c>
      <c r="AK338">
        <v>25.703927334823799</v>
      </c>
    </row>
    <row r="339" spans="1:37" x14ac:dyDescent="0.2">
      <c r="A339" t="str">
        <f>"20200111153411798"</f>
        <v>20200111153411798</v>
      </c>
      <c r="B339" t="str">
        <f>"1578728051787175"</f>
        <v>1578728051787175</v>
      </c>
      <c r="C339" t="s">
        <v>37</v>
      </c>
      <c r="D339">
        <v>4.6852019999999897</v>
      </c>
      <c r="E339">
        <v>0.49435959999999901</v>
      </c>
      <c r="F339" t="s">
        <v>39</v>
      </c>
      <c r="G339">
        <v>-361.62889999999999</v>
      </c>
      <c r="H339" s="1">
        <v>-3.7984599999999999E-6</v>
      </c>
      <c r="I339">
        <v>368.34800000000001</v>
      </c>
      <c r="J339">
        <v>-387.4128</v>
      </c>
      <c r="K339">
        <v>1.095774</v>
      </c>
      <c r="L339">
        <v>369.27159999999998</v>
      </c>
      <c r="M339">
        <v>0.99949489999999996</v>
      </c>
      <c r="N339">
        <v>0</v>
      </c>
      <c r="O339">
        <v>-3.157774E-2</v>
      </c>
      <c r="P339">
        <v>0.998664</v>
      </c>
      <c r="Q339">
        <v>1.278163E-2</v>
      </c>
      <c r="R339">
        <v>-5.0070860000000002E-2</v>
      </c>
      <c r="S339">
        <v>3.0002439999999999</v>
      </c>
      <c r="T339">
        <v>-0.1259556</v>
      </c>
      <c r="U339">
        <v>-0.1072388</v>
      </c>
      <c r="V339">
        <v>1.8674E-2</v>
      </c>
      <c r="W339">
        <v>1.6248289999999999E-2</v>
      </c>
      <c r="X339">
        <v>0.99969359999999996</v>
      </c>
      <c r="Y339">
        <v>4.1690349999999998E-3</v>
      </c>
      <c r="Z339">
        <v>1.236895E-3</v>
      </c>
      <c r="AA339">
        <v>0.9999905</v>
      </c>
      <c r="AB339">
        <v>55</v>
      </c>
      <c r="AC339">
        <v>25.783899999999999</v>
      </c>
      <c r="AD339">
        <v>-1.0957777984599999</v>
      </c>
      <c r="AE339">
        <v>-0.92359999999996401</v>
      </c>
      <c r="AF339">
        <v>0.10874074828451499</v>
      </c>
      <c r="AG339">
        <v>-1.0957777984599999</v>
      </c>
      <c r="AH339">
        <v>25.753751876617699</v>
      </c>
      <c r="AI339">
        <v>92.436345551072506</v>
      </c>
      <c r="AJ339">
        <v>89.758079951113501</v>
      </c>
      <c r="AK339">
        <v>25.777282425739202</v>
      </c>
    </row>
    <row r="340" spans="1:37" x14ac:dyDescent="0.2">
      <c r="A340" t="str">
        <f>"20200111153411812"</f>
        <v>20200111153411812</v>
      </c>
      <c r="B340" t="str">
        <f>"1578728051806694"</f>
        <v>1578728051806694</v>
      </c>
      <c r="C340" t="s">
        <v>37</v>
      </c>
      <c r="D340">
        <v>4.7184309999999998</v>
      </c>
      <c r="E340">
        <v>0.49430669999999999</v>
      </c>
      <c r="F340" t="s">
        <v>39</v>
      </c>
      <c r="G340">
        <v>-361.25229999999999</v>
      </c>
      <c r="H340" s="1">
        <v>-3.9628350000000003E-6</v>
      </c>
      <c r="I340">
        <v>368.3322</v>
      </c>
      <c r="J340">
        <v>-387.08390000000003</v>
      </c>
      <c r="K340">
        <v>1.0960449999999999</v>
      </c>
      <c r="L340">
        <v>369.2611</v>
      </c>
      <c r="M340">
        <v>0.99943819999999906</v>
      </c>
      <c r="N340">
        <v>0</v>
      </c>
      <c r="O340">
        <v>-3.3302150000000003E-2</v>
      </c>
      <c r="P340">
        <v>0.99863369999999996</v>
      </c>
      <c r="Q340">
        <v>1.2704379999999999E-2</v>
      </c>
      <c r="R340">
        <v>-5.0688499999999997E-2</v>
      </c>
      <c r="S340">
        <v>3.0002140000000002</v>
      </c>
      <c r="T340">
        <v>-0.12566859999999999</v>
      </c>
      <c r="U340">
        <v>-0.10772709999999899</v>
      </c>
      <c r="V340">
        <v>1.7568210000000001E-2</v>
      </c>
      <c r="W340">
        <v>1.6289769999999999E-2</v>
      </c>
      <c r="X340">
        <v>0.99971290000000002</v>
      </c>
      <c r="Y340">
        <v>2.6093510000000002E-3</v>
      </c>
      <c r="Z340">
        <v>1.338854E-3</v>
      </c>
      <c r="AA340">
        <v>0.99999570000000004</v>
      </c>
      <c r="AB340">
        <v>55</v>
      </c>
      <c r="AC340">
        <v>25.831600000000002</v>
      </c>
      <c r="AD340">
        <v>-1.0960489628350001</v>
      </c>
      <c r="AE340">
        <v>-0.92889999999999795</v>
      </c>
      <c r="AF340">
        <v>6.8008530379669502E-2</v>
      </c>
      <c r="AG340">
        <v>-1.0960489628350001</v>
      </c>
      <c r="AH340">
        <v>25.801814015394399</v>
      </c>
      <c r="AI340">
        <v>92.432426997485805</v>
      </c>
      <c r="AJ340">
        <v>89.848979892052498</v>
      </c>
      <c r="AK340">
        <v>25.825172893402598</v>
      </c>
    </row>
    <row r="341" spans="1:37" x14ac:dyDescent="0.2">
      <c r="A341" t="str">
        <f>"20200111153411829"</f>
        <v>20200111153411829</v>
      </c>
      <c r="B341" t="str">
        <f>"1578728051816455"</f>
        <v>1578728051816455</v>
      </c>
      <c r="C341" t="s">
        <v>37</v>
      </c>
      <c r="D341">
        <v>4.6695699999999896</v>
      </c>
      <c r="E341">
        <v>0.49429089999999998</v>
      </c>
      <c r="F341" t="s">
        <v>39</v>
      </c>
      <c r="G341">
        <v>-361.03210000000001</v>
      </c>
      <c r="H341" s="1">
        <v>-4.0605819999999996E-6</v>
      </c>
      <c r="I341">
        <v>368.31360000000001</v>
      </c>
      <c r="J341">
        <v>-386.67649999999998</v>
      </c>
      <c r="K341">
        <v>1.096357</v>
      </c>
      <c r="L341">
        <v>369.24740000000003</v>
      </c>
      <c r="M341">
        <v>0.999364899999999</v>
      </c>
      <c r="N341">
        <v>0</v>
      </c>
      <c r="O341">
        <v>-3.5421609999999999E-2</v>
      </c>
      <c r="P341">
        <v>0.9986718</v>
      </c>
      <c r="Q341">
        <v>1.239674E-2</v>
      </c>
      <c r="R341">
        <v>-5.000773E-2</v>
      </c>
      <c r="S341">
        <v>3.0001829999999998</v>
      </c>
      <c r="T341">
        <v>-0.1262231</v>
      </c>
      <c r="U341">
        <v>-0.1091003</v>
      </c>
      <c r="V341">
        <v>1.4765199999999999E-2</v>
      </c>
      <c r="W341">
        <v>1.6137200000000001E-2</v>
      </c>
      <c r="X341">
        <v>0.99976069999999995</v>
      </c>
      <c r="Y341">
        <v>9.4969450000000001E-4</v>
      </c>
      <c r="Z341">
        <v>1.4686759999999999E-3</v>
      </c>
      <c r="AA341">
        <v>0.99999850000000001</v>
      </c>
      <c r="AB341">
        <v>55</v>
      </c>
      <c r="AC341">
        <v>25.644399999999901</v>
      </c>
      <c r="AD341">
        <v>-1.096361060582</v>
      </c>
      <c r="AE341">
        <v>-0.93380000000001895</v>
      </c>
      <c r="AF341">
        <v>2.4795934453159901E-2</v>
      </c>
      <c r="AG341">
        <v>-1.096361060582</v>
      </c>
      <c r="AH341">
        <v>25.614628049009099</v>
      </c>
      <c r="AI341">
        <v>92.450885234238996</v>
      </c>
      <c r="AJ341">
        <v>89.9445355229538</v>
      </c>
      <c r="AK341">
        <v>25.638092606561202</v>
      </c>
    </row>
    <row r="342" spans="1:37" x14ac:dyDescent="0.2">
      <c r="A342" t="str">
        <f>"20200111153411841"</f>
        <v>20200111153411841</v>
      </c>
      <c r="B342" t="str">
        <f>"1578728051836950"</f>
        <v>1578728051836950</v>
      </c>
      <c r="C342" t="s">
        <v>37</v>
      </c>
      <c r="D342">
        <v>4.7007300000000001</v>
      </c>
      <c r="E342">
        <v>0.49425269999999999</v>
      </c>
      <c r="F342" t="s">
        <v>39</v>
      </c>
      <c r="G342">
        <v>-360.78960000000001</v>
      </c>
      <c r="H342" s="1">
        <v>-4.1621369999999999E-6</v>
      </c>
      <c r="I342">
        <v>368.32749999999999</v>
      </c>
      <c r="J342">
        <v>-386.36630000000002</v>
      </c>
      <c r="K342">
        <v>1.0965750000000001</v>
      </c>
      <c r="L342">
        <v>369.23649999999998</v>
      </c>
      <c r="M342">
        <v>0.99930659999999905</v>
      </c>
      <c r="N342">
        <v>0</v>
      </c>
      <c r="O342">
        <v>-3.7021890000000002E-2</v>
      </c>
      <c r="P342">
        <v>0.99864549999999996</v>
      </c>
      <c r="Q342">
        <v>1.2131009999999999E-2</v>
      </c>
      <c r="R342">
        <v>-5.0596269999999999E-2</v>
      </c>
      <c r="S342">
        <v>3.0002749999999998</v>
      </c>
      <c r="T342">
        <v>-0.12706719999999999</v>
      </c>
      <c r="U342">
        <v>-0.1065979</v>
      </c>
      <c r="V342">
        <v>1.3751670000000001E-2</v>
      </c>
      <c r="W342">
        <v>1.5973669999999999E-2</v>
      </c>
      <c r="X342">
        <v>0.9997779</v>
      </c>
      <c r="Y342">
        <v>-1.48174299999999E-3</v>
      </c>
      <c r="Z342">
        <v>1.597589E-3</v>
      </c>
      <c r="AA342">
        <v>0.99999760000000004</v>
      </c>
      <c r="AB342">
        <v>55</v>
      </c>
      <c r="AC342">
        <v>25.576699999999999</v>
      </c>
      <c r="AD342">
        <v>-1.096579162137</v>
      </c>
      <c r="AE342">
        <v>-0.90899999999999104</v>
      </c>
      <c r="AF342">
        <v>-3.8457773384005203E-2</v>
      </c>
      <c r="AG342">
        <v>-1.096579162137</v>
      </c>
      <c r="AH342">
        <v>25.5459198275028</v>
      </c>
      <c r="AI342">
        <v>92.457955695103607</v>
      </c>
      <c r="AJ342">
        <v>90.086255122330698</v>
      </c>
      <c r="AK342">
        <v>25.569473688215901</v>
      </c>
    </row>
    <row r="343" spans="1:37" x14ac:dyDescent="0.2">
      <c r="A343" t="str">
        <f>"20200111153411854"</f>
        <v>20200111153411854</v>
      </c>
      <c r="B343" t="str">
        <f>"1578728051846710"</f>
        <v>1578728051846710</v>
      </c>
      <c r="C343" t="s">
        <v>37</v>
      </c>
      <c r="D343">
        <v>4.7109350000000001</v>
      </c>
      <c r="E343">
        <v>0.4942145</v>
      </c>
      <c r="F343" t="s">
        <v>39</v>
      </c>
      <c r="G343">
        <v>-360.6737</v>
      </c>
      <c r="H343" s="1">
        <v>-4.2144699999999996E-6</v>
      </c>
      <c r="I343">
        <v>368.31279999999998</v>
      </c>
      <c r="J343">
        <v>-386.036</v>
      </c>
      <c r="K343">
        <v>1.096787</v>
      </c>
      <c r="L343">
        <v>369.2242</v>
      </c>
      <c r="M343">
        <v>0.99924279999999999</v>
      </c>
      <c r="N343">
        <v>0</v>
      </c>
      <c r="O343">
        <v>-3.8699890000000001E-2</v>
      </c>
      <c r="P343">
        <v>0.9986216</v>
      </c>
      <c r="Q343">
        <v>1.2091050000000001E-2</v>
      </c>
      <c r="R343">
        <v>-5.1083580000000003E-2</v>
      </c>
      <c r="S343">
        <v>3.0001829999999998</v>
      </c>
      <c r="T343">
        <v>-0.12805</v>
      </c>
      <c r="U343">
        <v>-0.1078491</v>
      </c>
      <c r="V343">
        <v>1.2560679999999999E-2</v>
      </c>
      <c r="W343">
        <v>1.6036600000000002E-2</v>
      </c>
      <c r="X343">
        <v>0.99979249999999997</v>
      </c>
      <c r="Y343">
        <v>-2.74017099999999E-3</v>
      </c>
      <c r="Z343">
        <v>1.708303E-3</v>
      </c>
      <c r="AA343">
        <v>0.99999479999999996</v>
      </c>
      <c r="AB343">
        <v>55</v>
      </c>
      <c r="AC343">
        <v>25.362300000000001</v>
      </c>
      <c r="AD343">
        <v>-1.0967912144700001</v>
      </c>
      <c r="AE343">
        <v>-0.91140000000001398</v>
      </c>
      <c r="AF343">
        <v>-7.0676899659375902E-2</v>
      </c>
      <c r="AG343">
        <v>-1.0967912144700001</v>
      </c>
      <c r="AH343">
        <v>25.331260087996402</v>
      </c>
      <c r="AI343">
        <v>92.479230699916101</v>
      </c>
      <c r="AJ343">
        <v>90.159860880885006</v>
      </c>
      <c r="AK343">
        <v>25.3550918720087</v>
      </c>
    </row>
    <row r="344" spans="1:37" x14ac:dyDescent="0.2">
      <c r="A344" t="str">
        <f>"20200111153411868"</f>
        <v>20200111153411868</v>
      </c>
      <c r="B344" t="str">
        <f>"1578728051857447"</f>
        <v>1578728051857447</v>
      </c>
      <c r="C344" t="s">
        <v>37</v>
      </c>
      <c r="D344">
        <v>4.6871939999999999</v>
      </c>
      <c r="E344">
        <v>0.49417669999999903</v>
      </c>
      <c r="F344" t="s">
        <v>39</v>
      </c>
      <c r="G344">
        <v>-360.39699999999999</v>
      </c>
      <c r="H344" s="1">
        <v>-4.3369379999999997E-6</v>
      </c>
      <c r="I344">
        <v>368.29169999999999</v>
      </c>
      <c r="J344">
        <v>-385.69690000000003</v>
      </c>
      <c r="K344">
        <v>1.0969850000000001</v>
      </c>
      <c r="L344">
        <v>369.21100000000001</v>
      </c>
      <c r="M344">
        <v>0.99917509999999998</v>
      </c>
      <c r="N344">
        <v>0</v>
      </c>
      <c r="O344">
        <v>-4.0396969999999997E-2</v>
      </c>
      <c r="P344">
        <v>0.99857969999999896</v>
      </c>
      <c r="Q344">
        <v>1.247703E-2</v>
      </c>
      <c r="R344">
        <v>-5.1795299999999898E-2</v>
      </c>
      <c r="S344">
        <v>3.000092</v>
      </c>
      <c r="T344">
        <v>-0.12833800000000001</v>
      </c>
      <c r="U344">
        <v>-0.1091003</v>
      </c>
      <c r="V344">
        <v>1.158002E-2</v>
      </c>
      <c r="W344">
        <v>1.6520529999999999E-2</v>
      </c>
      <c r="X344">
        <v>0.99979649999999998</v>
      </c>
      <c r="Y344">
        <v>-4.0181150000000001E-3</v>
      </c>
      <c r="Z344">
        <v>1.811965E-3</v>
      </c>
      <c r="AA344">
        <v>0.9999903</v>
      </c>
      <c r="AB344">
        <v>55</v>
      </c>
      <c r="AC344">
        <v>25.299900000000001</v>
      </c>
      <c r="AD344">
        <v>-1.0969893369379999</v>
      </c>
      <c r="AE344">
        <v>-0.91930000000002099</v>
      </c>
      <c r="AF344">
        <v>-0.103304561519623</v>
      </c>
      <c r="AG344">
        <v>-1.0969893369379999</v>
      </c>
      <c r="AH344">
        <v>25.2689408329523</v>
      </c>
      <c r="AI344">
        <v>92.485774719170394</v>
      </c>
      <c r="AJ344">
        <v>90.234235476821397</v>
      </c>
      <c r="AK344">
        <v>25.292952145944302</v>
      </c>
    </row>
    <row r="345" spans="1:37" x14ac:dyDescent="0.2">
      <c r="A345" t="str">
        <f>"20200111153411886"</f>
        <v>20200111153411886</v>
      </c>
      <c r="B345" t="str">
        <f>"1578728051876966"</f>
        <v>1578728051876966</v>
      </c>
      <c r="C345" t="s">
        <v>37</v>
      </c>
      <c r="D345">
        <v>4.6764049999999999</v>
      </c>
      <c r="E345">
        <v>0.49412509999999998</v>
      </c>
      <c r="F345" t="s">
        <v>39</v>
      </c>
      <c r="G345">
        <v>-359.86189999999999</v>
      </c>
      <c r="H345" s="1">
        <v>-3.9509079999999901E-7</v>
      </c>
      <c r="I345">
        <v>368.25569999999999</v>
      </c>
      <c r="J345">
        <v>-385.25240000000002</v>
      </c>
      <c r="K345">
        <v>1.097227</v>
      </c>
      <c r="L345">
        <v>369.19299999999998</v>
      </c>
      <c r="M345">
        <v>0.99908410000000003</v>
      </c>
      <c r="N345">
        <v>0</v>
      </c>
      <c r="O345">
        <v>-4.2577719999999999E-2</v>
      </c>
      <c r="P345">
        <v>0.99855099999999997</v>
      </c>
      <c r="Q345">
        <v>1.2745950000000001E-2</v>
      </c>
      <c r="R345">
        <v>-5.2285619999999998E-2</v>
      </c>
      <c r="S345">
        <v>3.0001220000000002</v>
      </c>
      <c r="T345">
        <v>-0.12738849999999999</v>
      </c>
      <c r="U345">
        <v>-0.110931399999999</v>
      </c>
      <c r="V345">
        <v>9.8915749999999997E-3</v>
      </c>
      <c r="W345">
        <v>1.6915289999999999E-2</v>
      </c>
      <c r="X345">
        <v>0.99980800000000003</v>
      </c>
      <c r="Y345">
        <v>-5.5888550000000002E-3</v>
      </c>
      <c r="Z345">
        <v>1.9242789999999899E-3</v>
      </c>
      <c r="AA345">
        <v>0.9999825</v>
      </c>
      <c r="AB345">
        <v>55</v>
      </c>
      <c r="AC345">
        <v>25.390499999999999</v>
      </c>
      <c r="AD345">
        <v>-1.0972273950908</v>
      </c>
      <c r="AE345">
        <v>-0.93730000000004998</v>
      </c>
      <c r="AF345">
        <v>-0.144360161930117</v>
      </c>
      <c r="AG345">
        <v>-1.0972273950908</v>
      </c>
      <c r="AH345">
        <v>25.360088419087699</v>
      </c>
      <c r="AI345">
        <v>92.477369077786506</v>
      </c>
      <c r="AJ345">
        <v>90.326147864088597</v>
      </c>
      <c r="AK345">
        <v>25.384224085774999</v>
      </c>
    </row>
    <row r="346" spans="1:37" x14ac:dyDescent="0.2">
      <c r="A346" t="str">
        <f>"20200111153411901"</f>
        <v>20200111153411901</v>
      </c>
      <c r="B346" t="str">
        <f>"1578728051897463"</f>
        <v>1578728051897463</v>
      </c>
      <c r="C346" t="s">
        <v>37</v>
      </c>
      <c r="D346">
        <v>4.7018779999999998</v>
      </c>
      <c r="E346">
        <v>0.49406640000000002</v>
      </c>
      <c r="F346" t="s">
        <v>39</v>
      </c>
      <c r="G346">
        <v>-359.27960000000002</v>
      </c>
      <c r="H346" s="1">
        <v>-6.0150799999999999E-7</v>
      </c>
      <c r="I346">
        <v>368.22469999999998</v>
      </c>
      <c r="J346">
        <v>-384.89120000000003</v>
      </c>
      <c r="K346">
        <v>1.097405</v>
      </c>
      <c r="L346">
        <v>369.17779999999999</v>
      </c>
      <c r="M346">
        <v>0.99900849999999997</v>
      </c>
      <c r="N346">
        <v>0</v>
      </c>
      <c r="O346">
        <v>-4.4308300000000002E-2</v>
      </c>
      <c r="P346">
        <v>0.99850849999999902</v>
      </c>
      <c r="Q346">
        <v>1.244207E-2</v>
      </c>
      <c r="R346">
        <v>-5.3160230000000003E-2</v>
      </c>
      <c r="S346">
        <v>3.000092</v>
      </c>
      <c r="T346">
        <v>-0.1267394</v>
      </c>
      <c r="U346">
        <v>-0.1118469</v>
      </c>
      <c r="V346">
        <v>9.0320539999999994E-3</v>
      </c>
      <c r="W346">
        <v>1.6702660000000001E-2</v>
      </c>
      <c r="X346">
        <v>0.99981969999999998</v>
      </c>
      <c r="Y346">
        <v>-7.0135809999999996E-3</v>
      </c>
      <c r="Z346">
        <v>2.0175290000000001E-3</v>
      </c>
      <c r="AA346">
        <v>0.99997340000000001</v>
      </c>
      <c r="AB346">
        <v>55</v>
      </c>
      <c r="AC346">
        <v>25.611599999999999</v>
      </c>
      <c r="AD346">
        <v>-1.097405601508</v>
      </c>
      <c r="AE346">
        <v>-0.95310000000000605</v>
      </c>
      <c r="AF346">
        <v>-0.18231890555573199</v>
      </c>
      <c r="AG346">
        <v>-1.097405601508</v>
      </c>
      <c r="AH346">
        <v>25.581775224743101</v>
      </c>
      <c r="AI346">
        <v>92.456302904310306</v>
      </c>
      <c r="AJ346">
        <v>90.408334717397807</v>
      </c>
      <c r="AK346">
        <v>25.605951708281101</v>
      </c>
    </row>
    <row r="347" spans="1:37" x14ac:dyDescent="0.2">
      <c r="A347" t="str">
        <f>"20200111153411918"</f>
        <v>20200111153411918</v>
      </c>
      <c r="B347" t="str">
        <f>"1578728051907222"</f>
        <v>1578728051907222</v>
      </c>
      <c r="C347" t="s">
        <v>37</v>
      </c>
      <c r="D347">
        <v>4.6795179999999998</v>
      </c>
      <c r="E347">
        <v>0.49404039999999999</v>
      </c>
      <c r="F347" t="s">
        <v>39</v>
      </c>
      <c r="G347">
        <v>-359.15449999999998</v>
      </c>
      <c r="H347" s="1">
        <v>-6.5074929999999998E-7</v>
      </c>
      <c r="I347">
        <v>368.19959999999998</v>
      </c>
      <c r="J347">
        <v>-384.4418</v>
      </c>
      <c r="K347">
        <v>1.09762</v>
      </c>
      <c r="L347">
        <v>369.15780000000001</v>
      </c>
      <c r="M347">
        <v>0.99891350000000001</v>
      </c>
      <c r="N347">
        <v>0</v>
      </c>
      <c r="O347">
        <v>-4.6391000000000002E-2</v>
      </c>
      <c r="P347">
        <v>0.99849359999999998</v>
      </c>
      <c r="Q347">
        <v>1.1941200000000001E-2</v>
      </c>
      <c r="R347">
        <v>-5.3554230000000001E-2</v>
      </c>
      <c r="S347">
        <v>3</v>
      </c>
      <c r="T347">
        <v>-0.1279187</v>
      </c>
      <c r="U347">
        <v>-0.1140137</v>
      </c>
      <c r="V347">
        <v>7.335851E-3</v>
      </c>
      <c r="W347">
        <v>1.6313129999999999E-2</v>
      </c>
      <c r="X347">
        <v>0.99983999999999995</v>
      </c>
      <c r="Y347">
        <v>-8.3720830000000006E-3</v>
      </c>
      <c r="Z347">
        <v>2.1538779999999902E-3</v>
      </c>
      <c r="AA347">
        <v>0.99996260000000003</v>
      </c>
      <c r="AB347">
        <v>56</v>
      </c>
      <c r="AC347">
        <v>25.287299999999998</v>
      </c>
      <c r="AD347">
        <v>-1.0976206507493</v>
      </c>
      <c r="AE347">
        <v>-0.95820000000003303</v>
      </c>
      <c r="AF347">
        <v>-0.215540830930078</v>
      </c>
      <c r="AG347">
        <v>-1.0976206507493</v>
      </c>
      <c r="AH347">
        <v>25.257008361499501</v>
      </c>
      <c r="AI347">
        <v>92.488307336538597</v>
      </c>
      <c r="AJ347">
        <v>90.488944690721695</v>
      </c>
      <c r="AK347">
        <v>25.281766162901</v>
      </c>
    </row>
    <row r="348" spans="1:37" x14ac:dyDescent="0.2">
      <c r="A348" t="str">
        <f>"20200111153411931"</f>
        <v>20200111153411931</v>
      </c>
      <c r="B348" t="str">
        <f>"1578728051926742"</f>
        <v>1578728051926742</v>
      </c>
      <c r="C348" t="s">
        <v>37</v>
      </c>
      <c r="D348">
        <v>4.7323629999999897</v>
      </c>
      <c r="E348">
        <v>0.49399490000000001</v>
      </c>
      <c r="F348" t="s">
        <v>39</v>
      </c>
      <c r="G348">
        <v>-359.03480000000002</v>
      </c>
      <c r="H348" s="1">
        <v>-6.9574369999999998E-7</v>
      </c>
      <c r="I348">
        <v>368.18369999999999</v>
      </c>
      <c r="J348">
        <v>-384.13580000000002</v>
      </c>
      <c r="K348">
        <v>1.0977569999999901</v>
      </c>
      <c r="L348">
        <v>369.14359999999999</v>
      </c>
      <c r="M348">
        <v>0.99884930000000005</v>
      </c>
      <c r="N348">
        <v>0</v>
      </c>
      <c r="O348">
        <v>-4.7747159999999997E-2</v>
      </c>
      <c r="P348">
        <v>0.9984402</v>
      </c>
      <c r="Q348">
        <v>1.171766E-2</v>
      </c>
      <c r="R348">
        <v>-5.4590140000000002E-2</v>
      </c>
      <c r="S348">
        <v>2.9999389999999999</v>
      </c>
      <c r="T348">
        <v>-0.1296013</v>
      </c>
      <c r="U348">
        <v>-0.11502080000000001</v>
      </c>
      <c r="V348">
        <v>7.0122630000000004E-3</v>
      </c>
      <c r="W348">
        <v>1.615198E-2</v>
      </c>
      <c r="X348">
        <v>0.99984499999999998</v>
      </c>
      <c r="Y348">
        <v>-9.3902350000000002E-3</v>
      </c>
      <c r="Z348">
        <v>2.2626500000000002E-3</v>
      </c>
      <c r="AA348">
        <v>0.99995330000000004</v>
      </c>
      <c r="AB348">
        <v>56</v>
      </c>
      <c r="AC348">
        <v>25.100999999999999</v>
      </c>
      <c r="AD348">
        <v>-1.0977576957436901</v>
      </c>
      <c r="AE348">
        <v>-0.95990000000000397</v>
      </c>
      <c r="AF348">
        <v>-0.23925151991698901</v>
      </c>
      <c r="AG348">
        <v>-1.0977576957436901</v>
      </c>
      <c r="AH348">
        <v>25.0703233073638</v>
      </c>
      <c r="AI348">
        <v>92.507102608797396</v>
      </c>
      <c r="AJ348">
        <v>90.546769423038896</v>
      </c>
      <c r="AK348">
        <v>25.095486127670299</v>
      </c>
    </row>
    <row r="349" spans="1:37" x14ac:dyDescent="0.2">
      <c r="A349" t="str">
        <f>"20200111153411945"</f>
        <v>20200111153411945</v>
      </c>
      <c r="B349" t="str">
        <f>"1578728051936503"</f>
        <v>1578728051936503</v>
      </c>
      <c r="C349" t="s">
        <v>37</v>
      </c>
      <c r="D349">
        <v>4.7461120000000001</v>
      </c>
      <c r="E349">
        <v>0.49396849999999998</v>
      </c>
      <c r="F349" t="s">
        <v>39</v>
      </c>
      <c r="G349">
        <v>-358.90370000000001</v>
      </c>
      <c r="H349" s="1">
        <v>-7.4822509999999998E-7</v>
      </c>
      <c r="I349">
        <v>368.154</v>
      </c>
      <c r="J349">
        <v>-383.76560000000001</v>
      </c>
      <c r="K349">
        <v>1.097926</v>
      </c>
      <c r="L349">
        <v>369.12599999999998</v>
      </c>
      <c r="M349">
        <v>0.99877169999999904</v>
      </c>
      <c r="N349">
        <v>0</v>
      </c>
      <c r="O349">
        <v>-4.9338849999999997E-2</v>
      </c>
      <c r="P349">
        <v>0.99837189999999998</v>
      </c>
      <c r="Q349">
        <v>1.1921660000000001E-2</v>
      </c>
      <c r="R349">
        <v>-5.5779969999999998E-2</v>
      </c>
      <c r="S349">
        <v>2.9997859999999998</v>
      </c>
      <c r="T349">
        <v>-0.13050929999999999</v>
      </c>
      <c r="U349">
        <v>-0.11764529999999999</v>
      </c>
      <c r="V349">
        <v>6.6107759999999996E-3</v>
      </c>
      <c r="W349">
        <v>1.6428990000000001E-2</v>
      </c>
      <c r="X349">
        <v>0.99984319999999904</v>
      </c>
      <c r="Y349">
        <v>-1.0105350000000001E-2</v>
      </c>
      <c r="Z349">
        <v>2.3631939999999999E-3</v>
      </c>
      <c r="AA349">
        <v>0.99994609999999995</v>
      </c>
      <c r="AB349">
        <v>56</v>
      </c>
      <c r="AC349">
        <v>24.861899999999899</v>
      </c>
      <c r="AD349">
        <v>-1.0979267482251001</v>
      </c>
      <c r="AE349">
        <v>-0.97199999999997999</v>
      </c>
      <c r="AF349">
        <v>-0.255356883599616</v>
      </c>
      <c r="AG349">
        <v>-1.0979267482251001</v>
      </c>
      <c r="AH349">
        <v>24.8312260214872</v>
      </c>
      <c r="AI349">
        <v>92.531582726625402</v>
      </c>
      <c r="AJ349">
        <v>90.589191848997402</v>
      </c>
      <c r="AK349">
        <v>24.8567985873614</v>
      </c>
    </row>
    <row r="350" spans="1:37" x14ac:dyDescent="0.2">
      <c r="A350" t="str">
        <f>"20200111153411963"</f>
        <v>20200111153411963</v>
      </c>
      <c r="B350" t="str">
        <f>"1578728051956998"</f>
        <v>1578728051956998</v>
      </c>
      <c r="C350" t="s">
        <v>37</v>
      </c>
      <c r="D350">
        <v>4.6980370000000002</v>
      </c>
      <c r="E350">
        <v>0.49386839999999999</v>
      </c>
      <c r="F350" t="s">
        <v>39</v>
      </c>
      <c r="G350">
        <v>-358.43150000000003</v>
      </c>
      <c r="H350" s="1">
        <v>-9.2330339999999996E-7</v>
      </c>
      <c r="I350">
        <v>368.10500000000002</v>
      </c>
      <c r="J350">
        <v>-383.32139999999998</v>
      </c>
      <c r="K350">
        <v>1.098136</v>
      </c>
      <c r="L350">
        <v>369.10419999999999</v>
      </c>
      <c r="M350">
        <v>0.99868029999999997</v>
      </c>
      <c r="N350">
        <v>0</v>
      </c>
      <c r="O350">
        <v>-5.1147629999999999E-2</v>
      </c>
      <c r="P350">
        <v>0.99826999999999999</v>
      </c>
      <c r="Q350">
        <v>1.276328E-2</v>
      </c>
      <c r="R350">
        <v>-5.7394420000000002E-2</v>
      </c>
      <c r="S350">
        <v>2.999695</v>
      </c>
      <c r="T350">
        <v>-0.12999949999999999</v>
      </c>
      <c r="U350">
        <v>-0.1208801</v>
      </c>
      <c r="V350">
        <v>6.4221640000000002E-3</v>
      </c>
      <c r="W350">
        <v>1.734867E-2</v>
      </c>
      <c r="X350">
        <v>0.99982890000000002</v>
      </c>
      <c r="Y350">
        <v>-1.083658E-2</v>
      </c>
      <c r="Z350">
        <v>2.4480169999999998E-3</v>
      </c>
      <c r="AA350">
        <v>0.99993829999999995</v>
      </c>
      <c r="AB350">
        <v>56</v>
      </c>
      <c r="AC350">
        <v>24.889899999999901</v>
      </c>
      <c r="AD350">
        <v>-1.0981369233034</v>
      </c>
      <c r="AE350">
        <v>-0.999199999999973</v>
      </c>
      <c r="AF350">
        <v>-0.27464725337914803</v>
      </c>
      <c r="AG350">
        <v>-1.0981369233034</v>
      </c>
      <c r="AH350">
        <v>24.860114535259399</v>
      </c>
      <c r="AI350">
        <v>92.529107587881796</v>
      </c>
      <c r="AJ350">
        <v>90.632961215457101</v>
      </c>
      <c r="AK350">
        <v>24.885872106927</v>
      </c>
    </row>
    <row r="351" spans="1:37" x14ac:dyDescent="0.2">
      <c r="A351" t="str">
        <f>"20200111153411975"</f>
        <v>20200111153411975</v>
      </c>
      <c r="B351" t="str">
        <f>"1578728051966758"</f>
        <v>1578728051966758</v>
      </c>
      <c r="C351" t="s">
        <v>37</v>
      </c>
      <c r="D351">
        <v>4.7140610000000001</v>
      </c>
      <c r="E351">
        <v>0.49384030000000001</v>
      </c>
      <c r="F351" t="s">
        <v>39</v>
      </c>
      <c r="G351">
        <v>-357.55290000000002</v>
      </c>
      <c r="H351" s="1">
        <v>-1.313063E-6</v>
      </c>
      <c r="I351">
        <v>368.0324</v>
      </c>
      <c r="J351">
        <v>-383.0027</v>
      </c>
      <c r="K351">
        <v>1.098284</v>
      </c>
      <c r="L351">
        <v>369.08800000000002</v>
      </c>
      <c r="M351">
        <v>0.99861659999999997</v>
      </c>
      <c r="N351">
        <v>0</v>
      </c>
      <c r="O351">
        <v>-5.2373320000000001E-2</v>
      </c>
      <c r="P351">
        <v>0.99821170000000004</v>
      </c>
      <c r="Q351">
        <v>1.295319E-2</v>
      </c>
      <c r="R351">
        <v>-5.8358409999999999E-2</v>
      </c>
      <c r="S351">
        <v>2.999695</v>
      </c>
      <c r="T351">
        <v>-0.12783339999999899</v>
      </c>
      <c r="U351">
        <v>-0.1247559</v>
      </c>
      <c r="V351">
        <v>6.159739E-3</v>
      </c>
      <c r="W351">
        <v>1.7592300000000002E-2</v>
      </c>
      <c r="X351">
        <v>0.99982629999999995</v>
      </c>
      <c r="Y351">
        <v>-1.077493E-2</v>
      </c>
      <c r="Z351">
        <v>2.4579760000000002E-3</v>
      </c>
      <c r="AA351">
        <v>0.99993889999999996</v>
      </c>
      <c r="AB351">
        <v>56</v>
      </c>
      <c r="AC351">
        <v>25.4497999999999</v>
      </c>
      <c r="AD351">
        <v>-1.0982853130629999</v>
      </c>
      <c r="AE351">
        <v>-1.0556000000000201</v>
      </c>
      <c r="AF351">
        <v>-0.27823660738436801</v>
      </c>
      <c r="AG351">
        <v>-1.0982853130629999</v>
      </c>
      <c r="AH351">
        <v>25.422892156386499</v>
      </c>
      <c r="AI351">
        <v>92.473528517800005</v>
      </c>
      <c r="AJ351">
        <v>90.627039078122905</v>
      </c>
      <c r="AK351">
        <v>25.448125507271399</v>
      </c>
    </row>
    <row r="352" spans="1:37" x14ac:dyDescent="0.2">
      <c r="A352" t="str">
        <f>"20200111153411988"</f>
        <v>20200111153411988</v>
      </c>
      <c r="B352" t="str">
        <f>"1578728051976518"</f>
        <v>1578728051976518</v>
      </c>
      <c r="C352" t="s">
        <v>37</v>
      </c>
      <c r="D352">
        <v>4.7299379999999998</v>
      </c>
      <c r="E352">
        <v>0.49380959999999902</v>
      </c>
      <c r="F352" t="s">
        <v>39</v>
      </c>
      <c r="G352">
        <v>-357.14789999999999</v>
      </c>
      <c r="H352" s="1">
        <v>-1.494459E-6</v>
      </c>
      <c r="I352">
        <v>367.98950000000002</v>
      </c>
      <c r="J352">
        <v>-382.70299999999997</v>
      </c>
      <c r="K352">
        <v>1.098425</v>
      </c>
      <c r="L352">
        <v>369.07240000000002</v>
      </c>
      <c r="M352">
        <v>0.99855930000000004</v>
      </c>
      <c r="N352">
        <v>0</v>
      </c>
      <c r="O352">
        <v>-5.345225E-2</v>
      </c>
      <c r="P352">
        <v>0.9981544</v>
      </c>
      <c r="Q352">
        <v>1.302144E-2</v>
      </c>
      <c r="R352">
        <v>-5.9315739999999999E-2</v>
      </c>
      <c r="S352">
        <v>2.9995729999999998</v>
      </c>
      <c r="T352">
        <v>-0.12741830000000001</v>
      </c>
      <c r="U352">
        <v>-0.12744140000000001</v>
      </c>
      <c r="V352">
        <v>6.03608599999999E-3</v>
      </c>
      <c r="W352">
        <v>1.770768E-2</v>
      </c>
      <c r="X352">
        <v>0.99982499999999996</v>
      </c>
      <c r="Y352">
        <v>-1.095921E-2</v>
      </c>
      <c r="Z352">
        <v>2.4996710000000002E-3</v>
      </c>
      <c r="AA352">
        <v>0.99993679999999996</v>
      </c>
      <c r="AB352">
        <v>56</v>
      </c>
      <c r="AC352">
        <v>25.555099999999999</v>
      </c>
      <c r="AD352">
        <v>-1.0984264944590001</v>
      </c>
      <c r="AE352">
        <v>-1.08289999999999</v>
      </c>
      <c r="AF352">
        <v>-0.28411691686146801</v>
      </c>
      <c r="AG352">
        <v>-1.0984264944590001</v>
      </c>
      <c r="AH352">
        <v>25.529368644682702</v>
      </c>
      <c r="AI352">
        <v>92.463536030016698</v>
      </c>
      <c r="AJ352">
        <v>90.637619693382305</v>
      </c>
      <c r="AK352">
        <v>25.554567626596299</v>
      </c>
    </row>
    <row r="353" spans="1:37" x14ac:dyDescent="0.2">
      <c r="A353" t="str">
        <f>"20200111153412000"</f>
        <v>20200111153412000</v>
      </c>
      <c r="B353" t="str">
        <f>"1578728051997013"</f>
        <v>1578728051997013</v>
      </c>
      <c r="C353" t="s">
        <v>37</v>
      </c>
      <c r="D353">
        <v>4.7229479999999997</v>
      </c>
      <c r="E353">
        <v>0.49372269999999902</v>
      </c>
      <c r="F353" t="s">
        <v>39</v>
      </c>
      <c r="G353">
        <v>-356.83879999999999</v>
      </c>
      <c r="H353" s="1">
        <v>-1.6338989999999999E-6</v>
      </c>
      <c r="I353">
        <v>367.95080000000002</v>
      </c>
      <c r="J353">
        <v>-382.38729999999998</v>
      </c>
      <c r="K353">
        <v>1.098573</v>
      </c>
      <c r="L353">
        <v>369.05579999999998</v>
      </c>
      <c r="M353">
        <v>0.99849979999999905</v>
      </c>
      <c r="N353">
        <v>0</v>
      </c>
      <c r="O353">
        <v>-5.4549279999999999E-2</v>
      </c>
      <c r="P353">
        <v>0.99809599999999898</v>
      </c>
      <c r="Q353">
        <v>1.300985E-2</v>
      </c>
      <c r="R353">
        <v>-6.0293190000000003E-2</v>
      </c>
      <c r="S353">
        <v>2.9994809999999998</v>
      </c>
      <c r="T353">
        <v>-0.127384199999999</v>
      </c>
      <c r="U353">
        <v>-0.13006589999999901</v>
      </c>
      <c r="V353">
        <v>5.9130210000000001E-3</v>
      </c>
      <c r="W353">
        <v>1.7743910000000002E-2</v>
      </c>
      <c r="X353">
        <v>0.99982510000000002</v>
      </c>
      <c r="Y353">
        <v>-1.1182020000000001E-2</v>
      </c>
      <c r="Z353">
        <v>2.5502150000000002E-3</v>
      </c>
      <c r="AA353">
        <v>0.99993430000000005</v>
      </c>
      <c r="AB353">
        <v>56</v>
      </c>
      <c r="AC353">
        <v>25.548499999999901</v>
      </c>
      <c r="AD353">
        <v>-1.0985746338989999</v>
      </c>
      <c r="AE353">
        <v>-1.10499999999996</v>
      </c>
      <c r="AF353">
        <v>-0.28977848141078399</v>
      </c>
      <c r="AG353">
        <v>-1.0985746338989999</v>
      </c>
      <c r="AH353">
        <v>25.523632944395398</v>
      </c>
      <c r="AI353">
        <v>92.464414660576296</v>
      </c>
      <c r="AJ353">
        <v>90.650470514912996</v>
      </c>
      <c r="AK353">
        <v>25.548907539751301</v>
      </c>
    </row>
    <row r="354" spans="1:37" x14ac:dyDescent="0.2">
      <c r="A354" t="str">
        <f>"20200111153412018"</f>
        <v>20200111153412018</v>
      </c>
      <c r="B354" t="str">
        <f>"1578728052006774"</f>
        <v>1578728052006774</v>
      </c>
      <c r="C354" t="s">
        <v>37</v>
      </c>
      <c r="D354">
        <v>4.7116989999999896</v>
      </c>
      <c r="E354">
        <v>0.49367870000000003</v>
      </c>
      <c r="F354" t="s">
        <v>39</v>
      </c>
      <c r="G354">
        <v>-356.59109999999998</v>
      </c>
      <c r="H354" s="1">
        <v>-1.7462440000000001E-6</v>
      </c>
      <c r="I354">
        <v>367.91669999999999</v>
      </c>
      <c r="J354">
        <v>-381.9427</v>
      </c>
      <c r="K354">
        <v>1.0987879999999901</v>
      </c>
      <c r="L354">
        <v>369.03179999999998</v>
      </c>
      <c r="M354">
        <v>0.99842180000000003</v>
      </c>
      <c r="N354">
        <v>0</v>
      </c>
      <c r="O354">
        <v>-5.5952420000000003E-2</v>
      </c>
      <c r="P354">
        <v>0.99798819999999999</v>
      </c>
      <c r="Q354">
        <v>1.256264E-2</v>
      </c>
      <c r="R354">
        <v>-6.2143740000000003E-2</v>
      </c>
      <c r="S354">
        <v>2.99939</v>
      </c>
      <c r="T354">
        <v>-0.1277335</v>
      </c>
      <c r="U354">
        <v>-0.13244629999999999</v>
      </c>
      <c r="V354">
        <v>6.351911E-3</v>
      </c>
      <c r="W354">
        <v>1.7354399999999999E-2</v>
      </c>
      <c r="X354">
        <v>0.99982919999999997</v>
      </c>
      <c r="Y354">
        <v>-1.179175E-2</v>
      </c>
      <c r="Z354">
        <v>2.6297880000000001E-3</v>
      </c>
      <c r="AA354">
        <v>0.99992700000000001</v>
      </c>
      <c r="AB354">
        <v>56</v>
      </c>
      <c r="AC354">
        <v>25.351600000000001</v>
      </c>
      <c r="AD354">
        <v>-1.0987897462439999</v>
      </c>
      <c r="AE354">
        <v>-1.11509999999998</v>
      </c>
      <c r="AF354">
        <v>-0.30457571669042</v>
      </c>
      <c r="AG354">
        <v>-1.0987897462439999</v>
      </c>
      <c r="AH354">
        <v>25.3267921456032</v>
      </c>
      <c r="AI354">
        <v>92.484010490238703</v>
      </c>
      <c r="AJ354">
        <v>90.688996136100002</v>
      </c>
      <c r="AK354">
        <v>25.352445753028199</v>
      </c>
    </row>
    <row r="355" spans="1:37" x14ac:dyDescent="0.2">
      <c r="A355" t="str">
        <f>"20200111153412031"</f>
        <v>20200111153412031</v>
      </c>
      <c r="B355" t="str">
        <f>"1578728052027271"</f>
        <v>1578728052027271</v>
      </c>
      <c r="C355" t="s">
        <v>37</v>
      </c>
      <c r="D355">
        <v>4.6635160000000004</v>
      </c>
      <c r="E355">
        <v>0.49358109999999999</v>
      </c>
      <c r="F355" t="s">
        <v>39</v>
      </c>
      <c r="G355">
        <v>-356.43920000000003</v>
      </c>
      <c r="H355" s="1">
        <v>-1.8209659999999999E-6</v>
      </c>
      <c r="I355">
        <v>367.86259999999999</v>
      </c>
      <c r="J355">
        <v>-381.63479999999998</v>
      </c>
      <c r="K355">
        <v>1.0989329999999999</v>
      </c>
      <c r="L355">
        <v>369.01459999999997</v>
      </c>
      <c r="M355">
        <v>0.99837289999999901</v>
      </c>
      <c r="N355">
        <v>0</v>
      </c>
      <c r="O355">
        <v>-5.6813499999999899E-2</v>
      </c>
      <c r="P355">
        <v>0.99789259999999902</v>
      </c>
      <c r="Q355">
        <v>1.2773430000000001E-2</v>
      </c>
      <c r="R355">
        <v>-6.3620019999999999E-2</v>
      </c>
      <c r="S355">
        <v>2.9991150000000002</v>
      </c>
      <c r="T355">
        <v>-0.12921289999999999</v>
      </c>
      <c r="U355">
        <v>-0.13748170000000001</v>
      </c>
      <c r="V355">
        <v>6.9658699999999999E-3</v>
      </c>
      <c r="W355">
        <v>1.759993E-2</v>
      </c>
      <c r="X355">
        <v>0.99982079999999995</v>
      </c>
      <c r="Y355">
        <v>-1.0973210000000001E-2</v>
      </c>
      <c r="Z355">
        <v>2.6797119999999999E-3</v>
      </c>
      <c r="AA355">
        <v>0.99993619999999905</v>
      </c>
      <c r="AB355">
        <v>56</v>
      </c>
      <c r="AC355">
        <v>25.195599999999899</v>
      </c>
      <c r="AD355">
        <v>-1.0989348209659999</v>
      </c>
      <c r="AE355">
        <v>-1.1519999999999799</v>
      </c>
      <c r="AF355">
        <v>-0.28079492382466498</v>
      </c>
      <c r="AG355">
        <v>-1.0989348209659999</v>
      </c>
      <c r="AH355">
        <v>25.172565673171899</v>
      </c>
      <c r="AI355">
        <v>92.499564962754107</v>
      </c>
      <c r="AJ355">
        <v>90.639096427961505</v>
      </c>
      <c r="AK355">
        <v>25.198106399095401</v>
      </c>
    </row>
    <row r="356" spans="1:37" x14ac:dyDescent="0.2">
      <c r="A356" t="str">
        <f>"20200111153412042"</f>
        <v>20200111153412042</v>
      </c>
      <c r="B356" t="str">
        <f>"1578728052037030"</f>
        <v>1578728052037030</v>
      </c>
      <c r="C356" t="s">
        <v>37</v>
      </c>
      <c r="D356">
        <v>4.6632040000000003</v>
      </c>
      <c r="E356">
        <v>0.49353760000000002</v>
      </c>
      <c r="F356" t="s">
        <v>39</v>
      </c>
      <c r="G356">
        <v>-356.05470000000003</v>
      </c>
      <c r="H356" s="1">
        <v>-1.995016E-6</v>
      </c>
      <c r="I356">
        <v>367.81119999999999</v>
      </c>
      <c r="J356">
        <v>-381.32330000000002</v>
      </c>
      <c r="K356">
        <v>1.099092</v>
      </c>
      <c r="L356">
        <v>368.99720000000002</v>
      </c>
      <c r="M356">
        <v>0.99832559999999904</v>
      </c>
      <c r="N356">
        <v>0</v>
      </c>
      <c r="O356">
        <v>-5.7637300000000002E-2</v>
      </c>
      <c r="P356">
        <v>0.99781659999999905</v>
      </c>
      <c r="Q356">
        <v>1.225652E-2</v>
      </c>
      <c r="R356">
        <v>-6.4902020000000005E-2</v>
      </c>
      <c r="S356">
        <v>2.99902299999999</v>
      </c>
      <c r="T356">
        <v>-0.12883939999999999</v>
      </c>
      <c r="U356">
        <v>-0.14108280000000001</v>
      </c>
      <c r="V356">
        <v>7.4160399999999996E-3</v>
      </c>
      <c r="W356">
        <v>1.7119829999999999E-2</v>
      </c>
      <c r="X356">
        <v>0.99982599999999999</v>
      </c>
      <c r="Y356">
        <v>-1.059879E-2</v>
      </c>
      <c r="Z356">
        <v>2.699215E-3</v>
      </c>
      <c r="AA356">
        <v>0.99994019999999995</v>
      </c>
      <c r="AB356">
        <v>56</v>
      </c>
      <c r="AC356">
        <v>25.2685999999999</v>
      </c>
      <c r="AD356">
        <v>-1.0990939950159999</v>
      </c>
      <c r="AE356">
        <v>-1.1860000000000299</v>
      </c>
      <c r="AF356">
        <v>-0.27188970934870099</v>
      </c>
      <c r="AG356">
        <v>-1.0990939950159999</v>
      </c>
      <c r="AH356">
        <v>25.247289496269399</v>
      </c>
      <c r="AI356">
        <v>92.492547445349601</v>
      </c>
      <c r="AJ356">
        <v>90.6169981403295</v>
      </c>
      <c r="AK356">
        <v>25.272664254731101</v>
      </c>
    </row>
    <row r="357" spans="1:37" x14ac:dyDescent="0.2">
      <c r="A357" t="str">
        <f>"20200111153412054"</f>
        <v>20200111153412054</v>
      </c>
      <c r="B357" t="str">
        <f>"1578728052046790"</f>
        <v>1578728052046790</v>
      </c>
      <c r="C357" t="s">
        <v>37</v>
      </c>
      <c r="D357">
        <v>4.6517520000000001</v>
      </c>
      <c r="E357">
        <v>0.49347399999999902</v>
      </c>
      <c r="F357" t="s">
        <v>39</v>
      </c>
      <c r="G357">
        <v>-356.07569999999998</v>
      </c>
      <c r="H357" s="1">
        <v>-1.9918690000000001E-6</v>
      </c>
      <c r="I357">
        <v>367.77820000000003</v>
      </c>
      <c r="J357">
        <v>-381.01330000000002</v>
      </c>
      <c r="K357">
        <v>1.0992519999999999</v>
      </c>
      <c r="L357">
        <v>368.9796</v>
      </c>
      <c r="M357">
        <v>0.99828289999999997</v>
      </c>
      <c r="N357">
        <v>0</v>
      </c>
      <c r="O357">
        <v>-5.8369299999999999E-2</v>
      </c>
      <c r="P357">
        <v>0.99771679999999996</v>
      </c>
      <c r="Q357">
        <v>1.200989E-2</v>
      </c>
      <c r="R357">
        <v>-6.6460450000000004E-2</v>
      </c>
      <c r="S357">
        <v>2.9987490000000001</v>
      </c>
      <c r="T357">
        <v>-0.1305431</v>
      </c>
      <c r="U357">
        <v>-0.1447754</v>
      </c>
      <c r="V357">
        <v>8.2373759999999994E-3</v>
      </c>
      <c r="W357">
        <v>1.6904809999999999E-2</v>
      </c>
      <c r="X357">
        <v>0.99982320000000002</v>
      </c>
      <c r="Y357">
        <v>-1.009729E-2</v>
      </c>
      <c r="Z357">
        <v>2.7558890000000001E-3</v>
      </c>
      <c r="AA357">
        <v>0.99994519999999998</v>
      </c>
      <c r="AB357">
        <v>56</v>
      </c>
      <c r="AC357">
        <v>24.9376</v>
      </c>
      <c r="AD357">
        <v>-1.0992539918690001</v>
      </c>
      <c r="AE357">
        <v>-1.20139999999997</v>
      </c>
      <c r="AF357">
        <v>-0.255760482243933</v>
      </c>
      <c r="AG357">
        <v>-1.0992539918690001</v>
      </c>
      <c r="AH357">
        <v>24.916904561789899</v>
      </c>
      <c r="AI357">
        <v>92.525935344608399</v>
      </c>
      <c r="AJ357">
        <v>90.588093980259998</v>
      </c>
      <c r="AK357">
        <v>24.942451878359201</v>
      </c>
    </row>
    <row r="358" spans="1:37" x14ac:dyDescent="0.2">
      <c r="A358" t="str">
        <f>"20200111153412067"</f>
        <v>20200111153412067</v>
      </c>
      <c r="B358" t="str">
        <f>"1578728052056550"</f>
        <v>1578728052056550</v>
      </c>
      <c r="C358" t="s">
        <v>37</v>
      </c>
      <c r="D358">
        <v>4.7213539999999998</v>
      </c>
      <c r="E358">
        <v>0.49342029999999998</v>
      </c>
      <c r="F358" t="s">
        <v>39</v>
      </c>
      <c r="G358">
        <v>-355.93860000000001</v>
      </c>
      <c r="H358" s="1">
        <v>-2.05817399999999E-6</v>
      </c>
      <c r="I358">
        <v>367.7362</v>
      </c>
      <c r="J358">
        <v>-380.71120000000002</v>
      </c>
      <c r="K358">
        <v>1.0994139999999999</v>
      </c>
      <c r="L358">
        <v>368.96210000000002</v>
      </c>
      <c r="M358">
        <v>0.99824579999999996</v>
      </c>
      <c r="N358">
        <v>0</v>
      </c>
      <c r="O358">
        <v>-5.8997319999999999E-2</v>
      </c>
      <c r="P358">
        <v>0.99764419999999898</v>
      </c>
      <c r="Q358">
        <v>1.156682E-2</v>
      </c>
      <c r="R358">
        <v>-6.762224E-2</v>
      </c>
      <c r="S358">
        <v>2.99850499999999</v>
      </c>
      <c r="T358">
        <v>-0.13145100000000001</v>
      </c>
      <c r="U358">
        <v>-0.1486816</v>
      </c>
      <c r="V358">
        <v>8.7639069999999996E-3</v>
      </c>
      <c r="W358">
        <v>1.6493830000000001E-2</v>
      </c>
      <c r="X358">
        <v>0.99982549999999903</v>
      </c>
      <c r="Y358">
        <v>-9.4220380000000006E-3</v>
      </c>
      <c r="Z358">
        <v>2.7878109999999998E-3</v>
      </c>
      <c r="AA358">
        <v>0.9999517</v>
      </c>
      <c r="AB358">
        <v>56</v>
      </c>
      <c r="AC358">
        <v>24.772600000000001</v>
      </c>
      <c r="AD358">
        <v>-1.09941605817399</v>
      </c>
      <c r="AE358">
        <v>-1.22590000000002</v>
      </c>
      <c r="AF358">
        <v>-0.23730415681984299</v>
      </c>
      <c r="AG358">
        <v>-1.09941605817399</v>
      </c>
      <c r="AH358">
        <v>24.753139255662798</v>
      </c>
      <c r="AI358">
        <v>92.543016380455697</v>
      </c>
      <c r="AJ358">
        <v>90.549268114605596</v>
      </c>
      <c r="AK358">
        <v>24.778678978953799</v>
      </c>
    </row>
    <row r="359" spans="1:37" x14ac:dyDescent="0.2">
      <c r="A359" t="str">
        <f>"20200111153412080"</f>
        <v>20200111153412080</v>
      </c>
      <c r="B359" t="str">
        <f>"1578728052077047"</f>
        <v>1578728052077047</v>
      </c>
      <c r="C359" t="s">
        <v>37</v>
      </c>
      <c r="D359">
        <v>4.719964</v>
      </c>
      <c r="E359">
        <v>0.49333050000000001</v>
      </c>
      <c r="F359" t="s">
        <v>39</v>
      </c>
      <c r="G359">
        <v>-355.89920000000001</v>
      </c>
      <c r="H359" s="1">
        <v>-2.0803900000000002E-6</v>
      </c>
      <c r="I359">
        <v>367.70620000000002</v>
      </c>
      <c r="J359">
        <v>-380.37490000000003</v>
      </c>
      <c r="K359">
        <v>1.0995950000000001</v>
      </c>
      <c r="L359">
        <v>368.9425</v>
      </c>
      <c r="M359">
        <v>0.99820759999999897</v>
      </c>
      <c r="N359">
        <v>0</v>
      </c>
      <c r="O359">
        <v>-5.963678E-2</v>
      </c>
      <c r="P359">
        <v>0.99756679999999998</v>
      </c>
      <c r="Q359">
        <v>1.107904E-2</v>
      </c>
      <c r="R359">
        <v>-6.883454E-2</v>
      </c>
      <c r="S359">
        <v>2.9983219999999999</v>
      </c>
      <c r="T359">
        <v>-0.13285469999999999</v>
      </c>
      <c r="U359">
        <v>-0.15176389999999901</v>
      </c>
      <c r="V359">
        <v>9.3288650000000004E-3</v>
      </c>
      <c r="W359">
        <v>1.6042319999999999E-2</v>
      </c>
      <c r="X359">
        <v>0.99982780000000004</v>
      </c>
      <c r="Y359">
        <v>-9.0325709999999997E-3</v>
      </c>
      <c r="Z359">
        <v>2.8372559999999998E-3</v>
      </c>
      <c r="AA359">
        <v>0.99995519999999904</v>
      </c>
      <c r="AB359">
        <v>57</v>
      </c>
      <c r="AC359">
        <v>24.4757</v>
      </c>
      <c r="AD359">
        <v>-1.0995970803899999</v>
      </c>
      <c r="AE359">
        <v>-1.23629999999997</v>
      </c>
      <c r="AF359">
        <v>-0.225117494696391</v>
      </c>
      <c r="AG359">
        <v>-1.0995970803899999</v>
      </c>
      <c r="AH359">
        <v>24.456629078466001</v>
      </c>
      <c r="AI359">
        <v>92.574238934147701</v>
      </c>
      <c r="AJ359">
        <v>90.527379224556896</v>
      </c>
      <c r="AK359">
        <v>24.482371157779799</v>
      </c>
    </row>
    <row r="360" spans="1:37" x14ac:dyDescent="0.2">
      <c r="A360" t="str">
        <f>"20200111153412096"</f>
        <v>20200111153412096</v>
      </c>
      <c r="B360" t="str">
        <f>"1578728052086809"</f>
        <v>1578728052086809</v>
      </c>
      <c r="C360" t="s">
        <v>37</v>
      </c>
      <c r="D360">
        <v>4.7330519999999998</v>
      </c>
      <c r="E360">
        <v>0.49329209999999901</v>
      </c>
      <c r="F360" t="s">
        <v>39</v>
      </c>
      <c r="G360">
        <v>-355.84660000000002</v>
      </c>
      <c r="H360" s="1">
        <v>-2.108101E-6</v>
      </c>
      <c r="I360">
        <v>367.67720000000003</v>
      </c>
      <c r="J360">
        <v>-379.95850000000002</v>
      </c>
      <c r="K360">
        <v>1.099823</v>
      </c>
      <c r="L360">
        <v>368.91800000000001</v>
      </c>
      <c r="M360">
        <v>0.99816899999999997</v>
      </c>
      <c r="N360">
        <v>0</v>
      </c>
      <c r="O360">
        <v>-6.0274210000000002E-2</v>
      </c>
      <c r="P360">
        <v>0.99741569999999902</v>
      </c>
      <c r="Q360">
        <v>1.090811E-2</v>
      </c>
      <c r="R360">
        <v>-7.1014629999999995E-2</v>
      </c>
      <c r="S360">
        <v>2.998138</v>
      </c>
      <c r="T360">
        <v>-0.1344051</v>
      </c>
      <c r="U360">
        <v>-0.1546631</v>
      </c>
      <c r="V360">
        <v>1.0866789999999999E-2</v>
      </c>
      <c r="W360">
        <v>1.5909299999999901E-2</v>
      </c>
      <c r="X360">
        <v>0.99981439999999999</v>
      </c>
      <c r="Y360">
        <v>-8.7017629999999995E-3</v>
      </c>
      <c r="Z360">
        <v>2.8914969999999998E-3</v>
      </c>
      <c r="AA360">
        <v>0.99995800000000001</v>
      </c>
      <c r="AB360">
        <v>57</v>
      </c>
      <c r="AC360">
        <v>24.111899999999899</v>
      </c>
      <c r="AD360">
        <v>-1.099825108101</v>
      </c>
      <c r="AE360">
        <v>-1.2407999999999699</v>
      </c>
      <c r="AF360">
        <v>-0.21435557956645501</v>
      </c>
      <c r="AG360">
        <v>-1.099825108101</v>
      </c>
      <c r="AH360">
        <v>24.092854475568402</v>
      </c>
      <c r="AI360">
        <v>92.613601926354406</v>
      </c>
      <c r="AJ360">
        <v>90.509750556507797</v>
      </c>
      <c r="AK360">
        <v>24.1188971630922</v>
      </c>
    </row>
    <row r="361" spans="1:37" x14ac:dyDescent="0.2">
      <c r="A361" t="str">
        <f>"20200111153412109"</f>
        <v>20200111153412109</v>
      </c>
      <c r="B361" t="str">
        <f>"1578728052096566"</f>
        <v>1578728052096566</v>
      </c>
      <c r="C361" t="s">
        <v>37</v>
      </c>
      <c r="D361">
        <v>4.6891569999999998</v>
      </c>
      <c r="E361">
        <v>0.49324979999999902</v>
      </c>
      <c r="F361" t="s">
        <v>39</v>
      </c>
      <c r="G361">
        <v>-355.53039999999999</v>
      </c>
      <c r="H361" s="1">
        <v>-2.2560000000000001E-6</v>
      </c>
      <c r="I361">
        <v>367.60809999999998</v>
      </c>
      <c r="J361">
        <v>-379.65</v>
      </c>
      <c r="K361">
        <v>1.0999909999999999</v>
      </c>
      <c r="L361">
        <v>368.89960000000002</v>
      </c>
      <c r="M361">
        <v>0.99814609999999904</v>
      </c>
      <c r="N361">
        <v>0</v>
      </c>
      <c r="O361">
        <v>-6.0650349999999999E-2</v>
      </c>
      <c r="P361">
        <v>0.99731899999999996</v>
      </c>
      <c r="Q361">
        <v>1.1012299999999999E-2</v>
      </c>
      <c r="R361">
        <v>-7.2346170000000001E-2</v>
      </c>
      <c r="S361">
        <v>2.99780299999999</v>
      </c>
      <c r="T361">
        <v>-0.13496920000000001</v>
      </c>
      <c r="U361">
        <v>-0.16073609999999999</v>
      </c>
      <c r="V361">
        <v>1.1819619999999999E-2</v>
      </c>
      <c r="W361">
        <v>1.604185E-2</v>
      </c>
      <c r="X361">
        <v>0.99980149999999901</v>
      </c>
      <c r="Y361">
        <v>-7.0533729999999999E-3</v>
      </c>
      <c r="Z361">
        <v>2.8835649999999998E-3</v>
      </c>
      <c r="AA361">
        <v>0.99997099999999906</v>
      </c>
      <c r="AB361">
        <v>57</v>
      </c>
      <c r="AC361">
        <v>24.119599999999899</v>
      </c>
      <c r="AD361">
        <v>-1.0999932559999901</v>
      </c>
      <c r="AE361">
        <v>-1.2915000000000401</v>
      </c>
      <c r="AF361">
        <v>-0.17339912414515599</v>
      </c>
      <c r="AG361">
        <v>-1.0999932559999901</v>
      </c>
      <c r="AH361">
        <v>24.103538046885799</v>
      </c>
      <c r="AI361">
        <v>92.612879691264098</v>
      </c>
      <c r="AJ361">
        <v>90.412174618628498</v>
      </c>
      <c r="AK361">
        <v>24.1292477876367</v>
      </c>
    </row>
    <row r="362" spans="1:37" x14ac:dyDescent="0.2">
      <c r="A362" t="str">
        <f>"20200111153412123"</f>
        <v>20200111153412123</v>
      </c>
      <c r="B362" t="str">
        <f>"1578728052117063"</f>
        <v>1578728052117063</v>
      </c>
      <c r="C362" t="s">
        <v>37</v>
      </c>
      <c r="D362">
        <v>4.6515139999999997</v>
      </c>
      <c r="E362">
        <v>0.49317339999999998</v>
      </c>
      <c r="F362" t="s">
        <v>39</v>
      </c>
      <c r="G362">
        <v>-355.18380000000002</v>
      </c>
      <c r="H362" s="1">
        <v>-2.4135389999999999E-6</v>
      </c>
      <c r="I362">
        <v>367.5582</v>
      </c>
      <c r="J362">
        <v>-379.27099999999899</v>
      </c>
      <c r="K362">
        <v>1.1001989999999999</v>
      </c>
      <c r="L362">
        <v>368.87689999999998</v>
      </c>
      <c r="M362">
        <v>0.99812230000000002</v>
      </c>
      <c r="N362">
        <v>0</v>
      </c>
      <c r="O362">
        <v>-6.1037389999999997E-2</v>
      </c>
      <c r="P362">
        <v>0.99725219999999903</v>
      </c>
      <c r="Q362">
        <v>1.0546730000000001E-2</v>
      </c>
      <c r="R362">
        <v>-7.332893E-2</v>
      </c>
      <c r="S362">
        <v>2.99762</v>
      </c>
      <c r="T362">
        <v>-0.13477120000000001</v>
      </c>
      <c r="U362">
        <v>-0.16433719999999999</v>
      </c>
      <c r="V362">
        <v>1.240721E-2</v>
      </c>
      <c r="W362">
        <v>1.5614650000000001E-2</v>
      </c>
      <c r="X362">
        <v>0.9998011</v>
      </c>
      <c r="Y362">
        <v>-6.2407390000000004E-3</v>
      </c>
      <c r="Z362">
        <v>2.8784909999999999E-3</v>
      </c>
      <c r="AA362">
        <v>0.99997639999999999</v>
      </c>
      <c r="AB362">
        <v>57</v>
      </c>
      <c r="AC362">
        <v>24.0871999999999</v>
      </c>
      <c r="AD362">
        <v>-1.1002014135389999</v>
      </c>
      <c r="AE362">
        <v>-1.31869999999997</v>
      </c>
      <c r="AF362">
        <v>-0.15367831206434501</v>
      </c>
      <c r="AG362">
        <v>-1.1002014135389999</v>
      </c>
      <c r="AH362">
        <v>24.072706591245399</v>
      </c>
      <c r="AI362">
        <v>92.616730289017198</v>
      </c>
      <c r="AJ362">
        <v>90.365766891958302</v>
      </c>
      <c r="AK362">
        <v>24.098324896186099</v>
      </c>
    </row>
    <row r="363" spans="1:37" x14ac:dyDescent="0.2">
      <c r="A363" t="str">
        <f>"20200111153412139"</f>
        <v>20200111153412139</v>
      </c>
      <c r="B363" t="str">
        <f>"1578728052126822"</f>
        <v>1578728052126822</v>
      </c>
      <c r="C363" t="s">
        <v>37</v>
      </c>
      <c r="D363">
        <v>4.6409839999999898</v>
      </c>
      <c r="E363">
        <v>0.49313599999999902</v>
      </c>
      <c r="F363" t="s">
        <v>39</v>
      </c>
      <c r="G363">
        <v>-355.04829999999998</v>
      </c>
      <c r="H363" s="1">
        <v>-2.4769130000000001E-6</v>
      </c>
      <c r="I363">
        <v>367.52859999999998</v>
      </c>
      <c r="J363">
        <v>-378.8784</v>
      </c>
      <c r="K363">
        <v>1.1004129999999901</v>
      </c>
      <c r="L363">
        <v>368.85309999999998</v>
      </c>
      <c r="M363">
        <v>0.9981042</v>
      </c>
      <c r="N363">
        <v>0</v>
      </c>
      <c r="O363">
        <v>-6.1330299999999997E-2</v>
      </c>
      <c r="P363">
        <v>0.9972181</v>
      </c>
      <c r="Q363">
        <v>9.8009580000000002E-3</v>
      </c>
      <c r="R363">
        <v>-7.389155E-2</v>
      </c>
      <c r="S363">
        <v>2.9974669999999999</v>
      </c>
      <c r="T363">
        <v>-0.13614519999999999</v>
      </c>
      <c r="U363">
        <v>-0.1668396</v>
      </c>
      <c r="V363">
        <v>1.266598E-2</v>
      </c>
      <c r="W363">
        <v>1.490997E-2</v>
      </c>
      <c r="X363">
        <v>0.99980859999999905</v>
      </c>
      <c r="Y363">
        <v>-5.6980009999999899E-3</v>
      </c>
      <c r="Z363">
        <v>2.9088199999999999E-3</v>
      </c>
      <c r="AA363">
        <v>0.99997959999999997</v>
      </c>
      <c r="AB363">
        <v>57</v>
      </c>
      <c r="AC363">
        <v>23.830100000000002</v>
      </c>
      <c r="AD363">
        <v>-1.1004154769129999</v>
      </c>
      <c r="AE363">
        <v>-1.3245</v>
      </c>
      <c r="AF363">
        <v>-0.13922406248581101</v>
      </c>
      <c r="AG363">
        <v>-1.1004154769129999</v>
      </c>
      <c r="AH363">
        <v>23.815844623375501</v>
      </c>
      <c r="AI363">
        <v>92.645435324060699</v>
      </c>
      <c r="AJ363">
        <v>90.334939215754503</v>
      </c>
      <c r="AK363">
        <v>23.841660023709998</v>
      </c>
    </row>
    <row r="364" spans="1:37" x14ac:dyDescent="0.2">
      <c r="A364" t="str">
        <f>"20200111153412154"</f>
        <v>20200111153412154</v>
      </c>
      <c r="B364" t="str">
        <f>"1578728052147246"</f>
        <v>1578728052147246</v>
      </c>
      <c r="C364" t="s">
        <v>37</v>
      </c>
      <c r="D364">
        <v>4.6687010000000004</v>
      </c>
      <c r="E364">
        <v>0.493037</v>
      </c>
      <c r="F364" t="s">
        <v>39</v>
      </c>
      <c r="G364">
        <v>-355.051999999999</v>
      </c>
      <c r="H364" s="1">
        <v>-2.477813E-6</v>
      </c>
      <c r="I364">
        <v>367.5147</v>
      </c>
      <c r="J364">
        <v>-378.48939999999999</v>
      </c>
      <c r="K364">
        <v>1.1006149999999999</v>
      </c>
      <c r="L364">
        <v>368.8295</v>
      </c>
      <c r="M364">
        <v>0.99809499999999995</v>
      </c>
      <c r="N364">
        <v>0</v>
      </c>
      <c r="O364">
        <v>-6.1475330000000002E-2</v>
      </c>
      <c r="P364">
        <v>0.99722449999999996</v>
      </c>
      <c r="Q364">
        <v>6.7267380000000003E-3</v>
      </c>
      <c r="R364">
        <v>-7.4152399999999993E-2</v>
      </c>
      <c r="S364">
        <v>2.9972840000000001</v>
      </c>
      <c r="T364">
        <v>-0.13842769999999999</v>
      </c>
      <c r="U364">
        <v>-0.1683655</v>
      </c>
      <c r="V364">
        <v>1.275942E-2</v>
      </c>
      <c r="W364">
        <v>1.1876609999999999E-2</v>
      </c>
      <c r="X364">
        <v>0.99984810000000002</v>
      </c>
      <c r="Y364">
        <v>-5.3303489999999999E-3</v>
      </c>
      <c r="Z364">
        <v>2.955858E-3</v>
      </c>
      <c r="AA364">
        <v>0.99998140000000002</v>
      </c>
      <c r="AB364">
        <v>57</v>
      </c>
      <c r="AC364">
        <v>23.4374</v>
      </c>
      <c r="AD364">
        <v>-1.10061747781299</v>
      </c>
      <c r="AE364">
        <v>-1.31479999999999</v>
      </c>
      <c r="AF364">
        <v>-0.12824641278863</v>
      </c>
      <c r="AG364">
        <v>-1.10061747781299</v>
      </c>
      <c r="AH364">
        <v>23.422408468715201</v>
      </c>
      <c r="AI364">
        <v>92.690305773145099</v>
      </c>
      <c r="AJ364">
        <v>90.313712604386694</v>
      </c>
      <c r="AK364">
        <v>23.448603891281099</v>
      </c>
    </row>
    <row r="365" spans="1:37" x14ac:dyDescent="0.2">
      <c r="A365" t="str">
        <f>"20200111153412166"</f>
        <v>20200111153412166</v>
      </c>
      <c r="B365" t="str">
        <f>"1578728052157006"</f>
        <v>1578728052157006</v>
      </c>
      <c r="C365" t="s">
        <v>37</v>
      </c>
      <c r="D365">
        <v>4.6901869999999999</v>
      </c>
      <c r="E365">
        <v>0.49298019999999998</v>
      </c>
      <c r="F365" t="s">
        <v>39</v>
      </c>
      <c r="G365">
        <v>-356.1653</v>
      </c>
      <c r="H365" s="1">
        <v>-1.98972299999999E-6</v>
      </c>
      <c r="I365">
        <v>367.57369999999997</v>
      </c>
      <c r="J365">
        <v>-378.17110000000002</v>
      </c>
      <c r="K365">
        <v>1.100784</v>
      </c>
      <c r="L365">
        <v>368.81020000000001</v>
      </c>
      <c r="M365">
        <v>0.99809190000000003</v>
      </c>
      <c r="N365">
        <v>0</v>
      </c>
      <c r="O365">
        <v>-6.1522769999999997E-2</v>
      </c>
      <c r="P365">
        <v>0.99726669999999995</v>
      </c>
      <c r="Q365">
        <v>4.8617369999999997E-3</v>
      </c>
      <c r="R365">
        <v>-7.372534E-2</v>
      </c>
      <c r="S365">
        <v>2.996826</v>
      </c>
      <c r="T365">
        <v>-0.1477482</v>
      </c>
      <c r="U365">
        <v>-0.16857910000000001</v>
      </c>
      <c r="V365">
        <v>1.227085E-2</v>
      </c>
      <c r="W365">
        <v>1.0046619999999999E-2</v>
      </c>
      <c r="X365">
        <v>0.99987420000000005</v>
      </c>
      <c r="Y365">
        <v>-5.2883929999999997E-3</v>
      </c>
      <c r="Z365">
        <v>3.15641599999999E-3</v>
      </c>
      <c r="AA365">
        <v>0.99998099999999901</v>
      </c>
      <c r="AB365">
        <v>57</v>
      </c>
      <c r="AC365">
        <v>22.005800000000001</v>
      </c>
      <c r="AD365">
        <v>-1.1007859897229999</v>
      </c>
      <c r="AE365">
        <v>-1.2365000000000299</v>
      </c>
      <c r="AF365">
        <v>-0.119420903348121</v>
      </c>
      <c r="AG365">
        <v>-1.1007859897229999</v>
      </c>
      <c r="AH365">
        <v>21.985346993484999</v>
      </c>
      <c r="AI365">
        <v>92.866310840345406</v>
      </c>
      <c r="AJ365">
        <v>90.311218488240897</v>
      </c>
      <c r="AK365">
        <v>22.013211341630001</v>
      </c>
    </row>
    <row r="366" spans="1:37" x14ac:dyDescent="0.2">
      <c r="A366" t="str">
        <f>"20200111153412180"</f>
        <v>20200111153412180</v>
      </c>
      <c r="B366" t="str">
        <f>"1578728052176526"</f>
        <v>1578728052176526</v>
      </c>
      <c r="C366" t="s">
        <v>37</v>
      </c>
      <c r="D366">
        <v>4.6817299999999999</v>
      </c>
      <c r="E366">
        <v>0.49287019999999998</v>
      </c>
      <c r="F366" t="s">
        <v>39</v>
      </c>
      <c r="G366">
        <v>-356.673</v>
      </c>
      <c r="H366" s="1">
        <v>-1.764775E-6</v>
      </c>
      <c r="I366">
        <v>367.61399999999998</v>
      </c>
      <c r="J366">
        <v>-377.84109999999998</v>
      </c>
      <c r="K366">
        <v>1.1009639999999901</v>
      </c>
      <c r="L366">
        <v>368.7901</v>
      </c>
      <c r="M366">
        <v>0.99809190000000003</v>
      </c>
      <c r="N366">
        <v>0</v>
      </c>
      <c r="O366">
        <v>-6.1522889999999997E-2</v>
      </c>
      <c r="P366">
        <v>0.99730490000000005</v>
      </c>
      <c r="Q366">
        <v>2.8557370000000001E-3</v>
      </c>
      <c r="R366">
        <v>-7.3315749999999999E-2</v>
      </c>
      <c r="S366">
        <v>2.996613</v>
      </c>
      <c r="T366">
        <v>-0.15343760000000001</v>
      </c>
      <c r="U366">
        <v>-0.16671749999999999</v>
      </c>
      <c r="V366">
        <v>1.184791E-2</v>
      </c>
      <c r="W366">
        <v>8.0759279999999996E-3</v>
      </c>
      <c r="X366">
        <v>0.99989719999999904</v>
      </c>
      <c r="Y366">
        <v>-5.8966390000000004E-3</v>
      </c>
      <c r="Z366">
        <v>3.2936659999999898E-3</v>
      </c>
      <c r="AA366">
        <v>0.99997719999999901</v>
      </c>
      <c r="AB366">
        <v>57</v>
      </c>
      <c r="AC366">
        <v>21.1680999999999</v>
      </c>
      <c r="AD366">
        <v>-1.10096576477499</v>
      </c>
      <c r="AE366">
        <v>-1.17609999999996</v>
      </c>
      <c r="AF366">
        <v>-0.12812305072265701</v>
      </c>
      <c r="AG366">
        <v>-1.10096576477499</v>
      </c>
      <c r="AH366">
        <v>21.143338748509102</v>
      </c>
      <c r="AI366">
        <v>92.980731510171395</v>
      </c>
      <c r="AJ366">
        <v>90.347193047433294</v>
      </c>
      <c r="AK366">
        <v>21.1723714912983</v>
      </c>
    </row>
    <row r="367" spans="1:37" x14ac:dyDescent="0.2">
      <c r="A367" t="str">
        <f>"20200111153412197"</f>
        <v>20200111153412197</v>
      </c>
      <c r="B367" t="str">
        <f>"1578728052187264"</f>
        <v>1578728052187264</v>
      </c>
      <c r="C367" t="s">
        <v>37</v>
      </c>
      <c r="D367">
        <v>4.6949579999999997</v>
      </c>
      <c r="E367">
        <v>0.49282389999999998</v>
      </c>
      <c r="F367" t="s">
        <v>40</v>
      </c>
      <c r="G367">
        <v>-376.62759999999997</v>
      </c>
      <c r="H367">
        <v>1.0364409999999999</v>
      </c>
      <c r="I367">
        <v>368.72329999999999</v>
      </c>
      <c r="J367">
        <v>-377.38420000000002</v>
      </c>
      <c r="K367">
        <v>1.101213</v>
      </c>
      <c r="L367">
        <v>368.76220000000001</v>
      </c>
      <c r="M367">
        <v>0.99810059999999901</v>
      </c>
      <c r="N367">
        <v>0</v>
      </c>
      <c r="O367">
        <v>-6.1377800000000003E-2</v>
      </c>
      <c r="P367">
        <v>0.99736259999999999</v>
      </c>
      <c r="Q367">
        <v>2.3272519999999999E-4</v>
      </c>
      <c r="R367">
        <v>-7.2580370000000005E-2</v>
      </c>
      <c r="S367">
        <v>2.9964599999999999</v>
      </c>
      <c r="T367">
        <v>-0.15945299999999901</v>
      </c>
      <c r="U367">
        <v>-0.16448969999999999</v>
      </c>
      <c r="V367">
        <v>1.1243299999999999E-2</v>
      </c>
      <c r="W367">
        <v>5.4996369999999999E-3</v>
      </c>
      <c r="X367">
        <v>0.99992169999999903</v>
      </c>
      <c r="Y367">
        <v>-6.4819999999999904E-3</v>
      </c>
      <c r="Z367">
        <v>3.4307370000000001E-3</v>
      </c>
      <c r="AA367">
        <v>0.99997309999999995</v>
      </c>
      <c r="AB367">
        <v>57</v>
      </c>
      <c r="AC367">
        <v>0.75660000000004801</v>
      </c>
      <c r="AD367">
        <v>-6.4771999999999996E-2</v>
      </c>
      <c r="AE367">
        <v>-3.89000000000123E-2</v>
      </c>
      <c r="AF367">
        <v>-7.5571962416875003E-3</v>
      </c>
      <c r="AG367">
        <v>-6.4771999999999996E-2</v>
      </c>
      <c r="AH367">
        <v>0.75206379185488104</v>
      </c>
      <c r="AI367">
        <v>94.922243179278695</v>
      </c>
      <c r="AJ367">
        <v>90.575723603940204</v>
      </c>
      <c r="AK367">
        <v>0.75488573321939101</v>
      </c>
    </row>
    <row r="368" spans="1:37" x14ac:dyDescent="0.2">
      <c r="A368" t="str">
        <f>"20200111153412211"</f>
        <v>20200111153412211</v>
      </c>
      <c r="B368" t="str">
        <f>"1578728052206782"</f>
        <v>1578728052206782</v>
      </c>
      <c r="C368" t="s">
        <v>37</v>
      </c>
      <c r="D368">
        <v>4.7000149999999996</v>
      </c>
      <c r="E368">
        <v>0.49272519999999997</v>
      </c>
      <c r="F368" t="s">
        <v>39</v>
      </c>
      <c r="G368">
        <v>-357.66739999999999</v>
      </c>
      <c r="H368" s="1">
        <v>-1.3236439999999899E-6</v>
      </c>
      <c r="I368">
        <v>367.695999999999</v>
      </c>
      <c r="J368">
        <v>-377.04500000000002</v>
      </c>
      <c r="K368">
        <v>1.101405</v>
      </c>
      <c r="L368">
        <v>368.74149999999997</v>
      </c>
      <c r="M368">
        <v>0.99811260000000002</v>
      </c>
      <c r="N368">
        <v>0</v>
      </c>
      <c r="O368">
        <v>-6.1179959999999999E-2</v>
      </c>
      <c r="P368">
        <v>0.99739840000000002</v>
      </c>
      <c r="Q368" s="1">
        <v>-4.2657829999999897E-5</v>
      </c>
      <c r="R368">
        <v>-7.2088239999999998E-2</v>
      </c>
      <c r="S368">
        <v>2.996216</v>
      </c>
      <c r="T368">
        <v>-0.16734279999999899</v>
      </c>
      <c r="U368">
        <v>-0.16201779999999999</v>
      </c>
      <c r="V368">
        <v>1.0944789999999999E-2</v>
      </c>
      <c r="W368">
        <v>5.2564539999999998E-3</v>
      </c>
      <c r="X368">
        <v>0.99992630000000005</v>
      </c>
      <c r="Y368">
        <v>-7.0915429999999996E-3</v>
      </c>
      <c r="Z368">
        <v>3.60661599999999E-3</v>
      </c>
      <c r="AA368">
        <v>0.99996830000000003</v>
      </c>
      <c r="AB368">
        <v>57</v>
      </c>
      <c r="AC368">
        <v>19.377600000000001</v>
      </c>
      <c r="AD368">
        <v>-1.1014063236439999</v>
      </c>
      <c r="AE368">
        <v>-1.0455000000000001</v>
      </c>
      <c r="AF368">
        <v>-0.141540130446146</v>
      </c>
      <c r="AG368">
        <v>-1.1014063236439999</v>
      </c>
      <c r="AH368">
        <v>19.342954783364998</v>
      </c>
      <c r="AI368">
        <v>93.258870259854206</v>
      </c>
      <c r="AJ368">
        <v>90.419248633923104</v>
      </c>
      <c r="AK368">
        <v>19.374803979643101</v>
      </c>
    </row>
    <row r="369" spans="1:37" x14ac:dyDescent="0.2">
      <c r="A369" t="str">
        <f>"20200111153412231"</f>
        <v>20200111153412231</v>
      </c>
      <c r="B369" t="str">
        <f>"1578728052227278"</f>
        <v>1578728052227278</v>
      </c>
      <c r="C369" t="s">
        <v>37</v>
      </c>
      <c r="D369">
        <v>4.704307</v>
      </c>
      <c r="E369">
        <v>0.492625599999999</v>
      </c>
      <c r="F369" t="s">
        <v>39</v>
      </c>
      <c r="G369">
        <v>-357.40809999999999</v>
      </c>
      <c r="H369" s="1">
        <v>-1.435128E-6</v>
      </c>
      <c r="I369">
        <v>367.69459999999998</v>
      </c>
      <c r="J369">
        <v>-376.5299</v>
      </c>
      <c r="K369">
        <v>1.1016980000000001</v>
      </c>
      <c r="L369">
        <v>368.71019999999999</v>
      </c>
      <c r="M369">
        <v>0.99813649999999998</v>
      </c>
      <c r="N369">
        <v>0</v>
      </c>
      <c r="O369">
        <v>-6.0786319999999998E-2</v>
      </c>
      <c r="P369">
        <v>0.99749179999999904</v>
      </c>
      <c r="Q369">
        <v>1.0408220000000001E-3</v>
      </c>
      <c r="R369">
        <v>-7.0774959999999998E-2</v>
      </c>
      <c r="S369">
        <v>2.9963069999999998</v>
      </c>
      <c r="T369">
        <v>-0.16805699999999901</v>
      </c>
      <c r="U369">
        <v>-0.15972900000000001</v>
      </c>
      <c r="V369">
        <v>1.0021489999999999E-2</v>
      </c>
      <c r="W369">
        <v>6.3889230000000003E-3</v>
      </c>
      <c r="X369">
        <v>0.99992939999999997</v>
      </c>
      <c r="Y369">
        <v>-7.4596189999999998E-3</v>
      </c>
      <c r="Z369">
        <v>3.6102790000000001E-3</v>
      </c>
      <c r="AA369">
        <v>0.99996569999999996</v>
      </c>
      <c r="AB369">
        <v>57</v>
      </c>
      <c r="AC369">
        <v>19.1218</v>
      </c>
      <c r="AD369">
        <v>-1.1016994351279901</v>
      </c>
      <c r="AE369">
        <v>-1.0156000000000001</v>
      </c>
      <c r="AF369">
        <v>-0.14814815627974501</v>
      </c>
      <c r="AG369">
        <v>-1.1016994351279901</v>
      </c>
      <c r="AH369">
        <v>19.085000586646899</v>
      </c>
      <c r="AI369">
        <v>93.303686464570305</v>
      </c>
      <c r="AJ369">
        <v>90.444752074929497</v>
      </c>
      <c r="AK369">
        <v>19.117346492488998</v>
      </c>
    </row>
    <row r="370" spans="1:37" x14ac:dyDescent="0.2">
      <c r="A370" t="str">
        <f>"20200111153412242"</f>
        <v>20200111153412242</v>
      </c>
      <c r="B370" t="str">
        <f>"1578728052237038"</f>
        <v>1578728052237038</v>
      </c>
      <c r="C370" t="s">
        <v>37</v>
      </c>
      <c r="D370">
        <v>4.6934199999999997</v>
      </c>
      <c r="E370">
        <v>0.492585</v>
      </c>
      <c r="F370" t="s">
        <v>39</v>
      </c>
      <c r="G370">
        <v>-356.50069999999999</v>
      </c>
      <c r="H370" s="1">
        <v>-1.8276849999999899E-6</v>
      </c>
      <c r="I370">
        <v>367.67610000000002</v>
      </c>
      <c r="J370">
        <v>-376.21100000000001</v>
      </c>
      <c r="K370">
        <v>1.1018779999999999</v>
      </c>
      <c r="L370">
        <v>368.6909</v>
      </c>
      <c r="M370">
        <v>0.9981544</v>
      </c>
      <c r="N370">
        <v>0</v>
      </c>
      <c r="O370">
        <v>-6.0485879999999999E-2</v>
      </c>
      <c r="P370">
        <v>0.99753499999999995</v>
      </c>
      <c r="Q370">
        <v>2.2745399999999998E-3</v>
      </c>
      <c r="R370">
        <v>-7.0136169999999998E-2</v>
      </c>
      <c r="S370">
        <v>2.9967349999999899</v>
      </c>
      <c r="T370">
        <v>-0.16483320000000001</v>
      </c>
      <c r="U370">
        <v>-0.1547241</v>
      </c>
      <c r="V370">
        <v>9.6812749999999996E-3</v>
      </c>
      <c r="W370">
        <v>7.6506040000000001E-3</v>
      </c>
      <c r="X370">
        <v>0.99992389999999998</v>
      </c>
      <c r="Y370">
        <v>-8.8341500000000007E-3</v>
      </c>
      <c r="Z370">
        <v>3.5621059999999898E-3</v>
      </c>
      <c r="AA370">
        <v>0.99995460000000003</v>
      </c>
      <c r="AB370">
        <v>58</v>
      </c>
      <c r="AC370">
        <v>19.7103</v>
      </c>
      <c r="AD370">
        <v>-1.1018798276849999</v>
      </c>
      <c r="AE370">
        <v>-1.0147999999999699</v>
      </c>
      <c r="AF370">
        <v>-0.17871333379517401</v>
      </c>
      <c r="AG370">
        <v>-1.1018798276849999</v>
      </c>
      <c r="AH370">
        <v>19.674268338665701</v>
      </c>
      <c r="AI370">
        <v>93.205434664471198</v>
      </c>
      <c r="AJ370">
        <v>90.520438065566594</v>
      </c>
      <c r="AK370">
        <v>19.705910592311099</v>
      </c>
    </row>
    <row r="371" spans="1:37" x14ac:dyDescent="0.2">
      <c r="A371" t="str">
        <f>"20200111153412255"</f>
        <v>20200111153412255</v>
      </c>
      <c r="B371" t="str">
        <f>"1578728052246798"</f>
        <v>1578728052246798</v>
      </c>
      <c r="C371" t="s">
        <v>37</v>
      </c>
      <c r="D371">
        <v>4.7321099999999996</v>
      </c>
      <c r="E371">
        <v>0.49255599999999999</v>
      </c>
      <c r="F371" t="s">
        <v>40</v>
      </c>
      <c r="G371">
        <v>-375.07130000000001</v>
      </c>
      <c r="H371">
        <v>1.040691</v>
      </c>
      <c r="I371">
        <v>368.63290000000001</v>
      </c>
      <c r="J371">
        <v>-375.87450000000001</v>
      </c>
      <c r="K371">
        <v>1.102063</v>
      </c>
      <c r="L371">
        <v>368.67070000000001</v>
      </c>
      <c r="M371">
        <v>0.99817630000000002</v>
      </c>
      <c r="N371">
        <v>0</v>
      </c>
      <c r="O371">
        <v>-6.0122679999999998E-2</v>
      </c>
      <c r="P371">
        <v>0.99757799999999996</v>
      </c>
      <c r="Q371">
        <v>4.09436E-3</v>
      </c>
      <c r="R371">
        <v>-6.9435949999999996E-2</v>
      </c>
      <c r="S371">
        <v>2.9970699999999999</v>
      </c>
      <c r="T371">
        <v>-0.16103020000000001</v>
      </c>
      <c r="U371">
        <v>-0.15222169999999999</v>
      </c>
      <c r="V371">
        <v>9.3427100000000006E-3</v>
      </c>
      <c r="W371">
        <v>9.4987549999999994E-3</v>
      </c>
      <c r="X371">
        <v>0.999911199999999</v>
      </c>
      <c r="Y371">
        <v>-9.3134150000000002E-3</v>
      </c>
      <c r="Z371">
        <v>3.4731580000000001E-3</v>
      </c>
      <c r="AA371">
        <v>0.99995059999999902</v>
      </c>
      <c r="AB371">
        <v>58</v>
      </c>
      <c r="AC371">
        <v>0.80320000000000302</v>
      </c>
      <c r="AD371">
        <v>-6.1371999999999899E-2</v>
      </c>
      <c r="AE371">
        <v>-3.7800000000004198E-2</v>
      </c>
      <c r="AF371">
        <v>-1.0498468626884401E-2</v>
      </c>
      <c r="AG371">
        <v>-6.1371999999999899E-2</v>
      </c>
      <c r="AH371">
        <v>0.79936295591861795</v>
      </c>
      <c r="AI371">
        <v>94.389958644947697</v>
      </c>
      <c r="AJ371">
        <v>90.752453384940594</v>
      </c>
      <c r="AK371">
        <v>0.801784182634242</v>
      </c>
    </row>
    <row r="372" spans="1:37" x14ac:dyDescent="0.2">
      <c r="A372" t="str">
        <f>"20200111153412269"</f>
        <v>20200111153412269</v>
      </c>
      <c r="B372" t="str">
        <f>"1578728052256558"</f>
        <v>1578728052256558</v>
      </c>
      <c r="C372" t="s">
        <v>37</v>
      </c>
      <c r="D372">
        <v>4.7001439999999999</v>
      </c>
      <c r="E372">
        <v>0.49252190000000001</v>
      </c>
      <c r="F372" t="s">
        <v>39</v>
      </c>
      <c r="G372">
        <v>-354.59739999999999</v>
      </c>
      <c r="H372" s="1">
        <v>-2.6569430000000001E-6</v>
      </c>
      <c r="I372">
        <v>367.60419999999999</v>
      </c>
      <c r="J372">
        <v>-375.5498</v>
      </c>
      <c r="K372">
        <v>1.1022339999999999</v>
      </c>
      <c r="L372">
        <v>368.65120000000002</v>
      </c>
      <c r="M372">
        <v>0.99819979999999997</v>
      </c>
      <c r="N372">
        <v>0</v>
      </c>
      <c r="O372">
        <v>-5.9729270000000001E-2</v>
      </c>
      <c r="P372">
        <v>0.99759489999999995</v>
      </c>
      <c r="Q372">
        <v>5.8529380000000002E-3</v>
      </c>
      <c r="R372">
        <v>-6.9068589999999999E-2</v>
      </c>
      <c r="S372">
        <v>2.99749799999999</v>
      </c>
      <c r="T372">
        <v>-0.15525700000000001</v>
      </c>
      <c r="U372">
        <v>-0.15023800000000001</v>
      </c>
      <c r="V372">
        <v>9.36651199999999E-3</v>
      </c>
      <c r="W372">
        <v>1.128346E-2</v>
      </c>
      <c r="X372">
        <v>0.99989249999999996</v>
      </c>
      <c r="Y372">
        <v>-9.5937750000000006E-3</v>
      </c>
      <c r="Z372">
        <v>3.3353479999999902E-3</v>
      </c>
      <c r="AA372">
        <v>0.99994839999999996</v>
      </c>
      <c r="AB372">
        <v>58</v>
      </c>
      <c r="AC372">
        <v>20.952400000000001</v>
      </c>
      <c r="AD372">
        <v>-1.102236656943</v>
      </c>
      <c r="AE372">
        <v>-1.0470000000000199</v>
      </c>
      <c r="AF372">
        <v>-0.20579131586082</v>
      </c>
      <c r="AG372">
        <v>-1.102236656943</v>
      </c>
      <c r="AH372">
        <v>20.9197776795002</v>
      </c>
      <c r="AI372">
        <v>93.015907691374593</v>
      </c>
      <c r="AJ372">
        <v>90.563609887502494</v>
      </c>
      <c r="AK372">
        <v>20.949806058131099</v>
      </c>
    </row>
    <row r="373" spans="1:37" x14ac:dyDescent="0.2">
      <c r="A373" t="str">
        <f>"20200111153412287"</f>
        <v>20200111153412287</v>
      </c>
      <c r="B373" t="str">
        <f>"1578728052277053"</f>
        <v>1578728052277053</v>
      </c>
      <c r="C373" t="s">
        <v>37</v>
      </c>
      <c r="D373">
        <v>4.686858</v>
      </c>
      <c r="E373">
        <v>0.49244510000000002</v>
      </c>
      <c r="F373" t="s">
        <v>39</v>
      </c>
      <c r="G373">
        <v>-353.45310000000001</v>
      </c>
      <c r="H373" s="1">
        <v>-3.156331E-6</v>
      </c>
      <c r="I373">
        <v>367.5564</v>
      </c>
      <c r="J373">
        <v>-375.06659999999999</v>
      </c>
      <c r="K373">
        <v>1.102468</v>
      </c>
      <c r="L373">
        <v>368.6225</v>
      </c>
      <c r="M373">
        <v>0.99823719999999905</v>
      </c>
      <c r="N373">
        <v>0</v>
      </c>
      <c r="O373">
        <v>-5.9098770000000002E-2</v>
      </c>
      <c r="P373">
        <v>0.99759120000000001</v>
      </c>
      <c r="Q373">
        <v>9.1384420000000001E-3</v>
      </c>
      <c r="R373">
        <v>-6.8765740000000006E-2</v>
      </c>
      <c r="S373">
        <v>2.9978639999999999</v>
      </c>
      <c r="T373">
        <v>-0.14953959999999999</v>
      </c>
      <c r="U373">
        <v>-0.1485291</v>
      </c>
      <c r="V373">
        <v>9.6907199999999999E-3</v>
      </c>
      <c r="W373">
        <v>1.4606259999999999E-2</v>
      </c>
      <c r="X373">
        <v>0.99984629999999997</v>
      </c>
      <c r="Y373">
        <v>-9.5444569999999992E-3</v>
      </c>
      <c r="Z373">
        <v>3.1797689999999998E-3</v>
      </c>
      <c r="AA373">
        <v>0.99994939999999999</v>
      </c>
      <c r="AB373">
        <v>58</v>
      </c>
      <c r="AC373">
        <v>21.613499999999899</v>
      </c>
      <c r="AD373">
        <v>-1.1024711563309999</v>
      </c>
      <c r="AE373">
        <v>-1.0661</v>
      </c>
      <c r="AF373">
        <v>-0.212562050065144</v>
      </c>
      <c r="AG373">
        <v>-1.1024711563309999</v>
      </c>
      <c r="AH373">
        <v>21.582708706332902</v>
      </c>
      <c r="AI373">
        <v>92.924055333739901</v>
      </c>
      <c r="AJ373">
        <v>90.564271832990798</v>
      </c>
      <c r="AK373">
        <v>21.611893493585701</v>
      </c>
    </row>
    <row r="374" spans="1:37" x14ac:dyDescent="0.2">
      <c r="A374" t="str">
        <f>"20200111153412301"</f>
        <v>20200111153412301</v>
      </c>
      <c r="B374" t="str">
        <f>"1578728052296574"</f>
        <v>1578728052296574</v>
      </c>
      <c r="C374" t="s">
        <v>37</v>
      </c>
      <c r="D374">
        <v>4.7235420000000001</v>
      </c>
      <c r="E374">
        <v>0.49238029999999999</v>
      </c>
      <c r="F374" t="s">
        <v>39</v>
      </c>
      <c r="G374">
        <v>-351.1893</v>
      </c>
      <c r="H374" s="1">
        <v>-4.1460300000000002E-6</v>
      </c>
      <c r="I374">
        <v>367.45179999999999</v>
      </c>
      <c r="J374">
        <v>-374.71319999999997</v>
      </c>
      <c r="K374">
        <v>1.1026229999999999</v>
      </c>
      <c r="L374">
        <v>368.60160000000002</v>
      </c>
      <c r="M374">
        <v>0.99826599999999999</v>
      </c>
      <c r="N374">
        <v>0</v>
      </c>
      <c r="O374">
        <v>-5.860779E-2</v>
      </c>
      <c r="P374">
        <v>0.99759059999999899</v>
      </c>
      <c r="Q374">
        <v>1.0092810000000001E-2</v>
      </c>
      <c r="R374">
        <v>-6.8638459999999998E-2</v>
      </c>
      <c r="S374">
        <v>2.9984130000000002</v>
      </c>
      <c r="T374">
        <v>-0.13844319999999999</v>
      </c>
      <c r="U374">
        <v>-0.1470032</v>
      </c>
      <c r="V374">
        <v>1.0050369999999999E-2</v>
      </c>
      <c r="W374">
        <v>1.5587E-2</v>
      </c>
      <c r="X374">
        <v>0.99982800000000005</v>
      </c>
      <c r="Y374">
        <v>-9.5819879999999996E-3</v>
      </c>
      <c r="Z374">
        <v>2.92185599999999E-3</v>
      </c>
      <c r="AA374">
        <v>0.9999498</v>
      </c>
      <c r="AB374">
        <v>58</v>
      </c>
      <c r="AC374">
        <v>23.523899999999902</v>
      </c>
      <c r="AD374">
        <v>-1.1026271460299999</v>
      </c>
      <c r="AE374">
        <v>-1.1498000000000199</v>
      </c>
      <c r="AF374">
        <v>-0.230376081489331</v>
      </c>
      <c r="AG374">
        <v>-1.1026271460299999</v>
      </c>
      <c r="AH374">
        <v>23.499345435063098</v>
      </c>
      <c r="AI374">
        <v>92.686311017043707</v>
      </c>
      <c r="AJ374">
        <v>90.561681786656393</v>
      </c>
      <c r="AK374">
        <v>23.526327712554401</v>
      </c>
    </row>
    <row r="375" spans="1:37" x14ac:dyDescent="0.2">
      <c r="A375" t="str">
        <f>"20200111153412313"</f>
        <v>20200111153412313</v>
      </c>
      <c r="B375" t="str">
        <f>"1578728052307310"</f>
        <v>1578728052307310</v>
      </c>
      <c r="C375" t="s">
        <v>37</v>
      </c>
      <c r="D375">
        <v>4.7231550000000002</v>
      </c>
      <c r="E375">
        <v>0.49233699999999903</v>
      </c>
      <c r="F375" t="s">
        <v>39</v>
      </c>
      <c r="G375">
        <v>-350.16030000000001</v>
      </c>
      <c r="H375" s="1">
        <v>-4.5951880000000002E-6</v>
      </c>
      <c r="I375">
        <v>367.40839999999997</v>
      </c>
      <c r="J375">
        <v>-374.37439999999998</v>
      </c>
      <c r="K375">
        <v>1.1027579999999999</v>
      </c>
      <c r="L375">
        <v>368.58179999999999</v>
      </c>
      <c r="M375">
        <v>0.99829489999999999</v>
      </c>
      <c r="N375">
        <v>0</v>
      </c>
      <c r="O375">
        <v>-5.8110179999999997E-2</v>
      </c>
      <c r="P375">
        <v>0.99760159999999998</v>
      </c>
      <c r="Q375">
        <v>1.1002329999999999E-2</v>
      </c>
      <c r="R375">
        <v>-6.833757E-2</v>
      </c>
      <c r="S375">
        <v>2.9985659999999998</v>
      </c>
      <c r="T375">
        <v>-0.13465940000000001</v>
      </c>
      <c r="U375">
        <v>-0.1457214</v>
      </c>
      <c r="V375">
        <v>1.0242390000000001E-2</v>
      </c>
      <c r="W375">
        <v>1.6521000000000001E-2</v>
      </c>
      <c r="X375">
        <v>0.99981109999999895</v>
      </c>
      <c r="Y375">
        <v>-9.5169219999999902E-3</v>
      </c>
      <c r="Z375">
        <v>2.81823599999999E-3</v>
      </c>
      <c r="AA375">
        <v>0.99995080000000003</v>
      </c>
      <c r="AB375">
        <v>58</v>
      </c>
      <c r="AC375">
        <v>24.214099999999899</v>
      </c>
      <c r="AD375">
        <v>-1.10276259518799</v>
      </c>
      <c r="AE375">
        <v>-1.17340000000001</v>
      </c>
      <c r="AF375">
        <v>-0.235203378290333</v>
      </c>
      <c r="AG375">
        <v>-1.10276259518799</v>
      </c>
      <c r="AH375">
        <v>24.191311319651799</v>
      </c>
      <c r="AI375">
        <v>92.609902002706406</v>
      </c>
      <c r="AJ375">
        <v>90.557048607939507</v>
      </c>
      <c r="AK375">
        <v>24.217575215838998</v>
      </c>
    </row>
    <row r="376" spans="1:37" x14ac:dyDescent="0.2">
      <c r="A376" t="str">
        <f>"20200111153412325"</f>
        <v>20200111153412325</v>
      </c>
      <c r="B376" t="str">
        <f>"1578728052317070"</f>
        <v>1578728052317070</v>
      </c>
      <c r="C376" t="s">
        <v>37</v>
      </c>
      <c r="D376">
        <v>5.806489</v>
      </c>
      <c r="E376">
        <v>0.49231560000000002</v>
      </c>
      <c r="F376" t="s">
        <v>39</v>
      </c>
      <c r="G376">
        <v>-349.23020000000002</v>
      </c>
      <c r="H376" s="1">
        <v>-8.7771239999999996E-7</v>
      </c>
      <c r="I376">
        <v>367.36939999999998</v>
      </c>
      <c r="J376">
        <v>-374.0804</v>
      </c>
      <c r="K376">
        <v>1.102867</v>
      </c>
      <c r="L376">
        <v>368.56459999999998</v>
      </c>
      <c r="M376">
        <v>0.99832069999999995</v>
      </c>
      <c r="N376">
        <v>0</v>
      </c>
      <c r="O376">
        <v>-5.7666620000000002E-2</v>
      </c>
      <c r="P376">
        <v>0.99761429999999995</v>
      </c>
      <c r="Q376">
        <v>1.1587500000000001E-2</v>
      </c>
      <c r="R376">
        <v>-6.8058370000000007E-2</v>
      </c>
      <c r="S376">
        <v>2.9987789999999999</v>
      </c>
      <c r="T376">
        <v>-0.13151849999999901</v>
      </c>
      <c r="U376">
        <v>-0.14459229999999901</v>
      </c>
      <c r="V376">
        <v>1.040248E-2</v>
      </c>
      <c r="W376">
        <v>1.712698E-2</v>
      </c>
      <c r="X376">
        <v>0.9997992</v>
      </c>
      <c r="Y376">
        <v>-9.4553420000000003E-3</v>
      </c>
      <c r="Z376">
        <v>2.7316570000000002E-3</v>
      </c>
      <c r="AA376">
        <v>0.99995149999999999</v>
      </c>
      <c r="AB376">
        <v>58</v>
      </c>
      <c r="AC376">
        <v>24.850199999999901</v>
      </c>
      <c r="AD376">
        <v>-1.1028678777123999</v>
      </c>
      <c r="AE376">
        <v>-1.19519999999999</v>
      </c>
      <c r="AF376">
        <v>-0.23936739828595399</v>
      </c>
      <c r="AG376">
        <v>-1.1028678777123999</v>
      </c>
      <c r="AH376">
        <v>24.828978291849999</v>
      </c>
      <c r="AI376">
        <v>92.543207162333104</v>
      </c>
      <c r="AJ376">
        <v>90.552351234319005</v>
      </c>
      <c r="AK376">
        <v>24.854612797712399</v>
      </c>
    </row>
    <row r="377" spans="1:37" x14ac:dyDescent="0.2">
      <c r="A377" t="str">
        <f>"20200111153412344"</f>
        <v>20200111153412344</v>
      </c>
      <c r="B377" t="str">
        <f>"1578728052336590"</f>
        <v>1578728052336590</v>
      </c>
      <c r="C377" t="s">
        <v>37</v>
      </c>
      <c r="D377">
        <v>4.7185180000000004</v>
      </c>
      <c r="E377">
        <v>0.49227860000000001</v>
      </c>
      <c r="F377" t="s">
        <v>39</v>
      </c>
      <c r="G377">
        <v>-348.47500000000002</v>
      </c>
      <c r="H377" s="1">
        <v>-1.175828E-6</v>
      </c>
      <c r="I377">
        <v>367.33890000000002</v>
      </c>
      <c r="J377">
        <v>-373.60820000000001</v>
      </c>
      <c r="K377">
        <v>1.10302099999999</v>
      </c>
      <c r="L377">
        <v>368.53739999999999</v>
      </c>
      <c r="M377">
        <v>0.99836239999999998</v>
      </c>
      <c r="N377">
        <v>0</v>
      </c>
      <c r="O377">
        <v>-5.6934230000000002E-2</v>
      </c>
      <c r="P377">
        <v>0.99768500000000004</v>
      </c>
      <c r="Q377">
        <v>1.160773E-2</v>
      </c>
      <c r="R377">
        <v>-6.7005949999999995E-2</v>
      </c>
      <c r="S377">
        <v>2.99884</v>
      </c>
      <c r="T377">
        <v>-0.12916530000000001</v>
      </c>
      <c r="U377">
        <v>-0.14355470000000001</v>
      </c>
      <c r="V377">
        <v>1.007474E-2</v>
      </c>
      <c r="W377">
        <v>1.7179420000000001E-2</v>
      </c>
      <c r="X377">
        <v>0.99980159999999996</v>
      </c>
      <c r="Y377">
        <v>-9.0712610000000006E-3</v>
      </c>
      <c r="Z377">
        <v>2.6430849999999999E-3</v>
      </c>
      <c r="AA377">
        <v>0.99995540000000005</v>
      </c>
      <c r="AB377">
        <v>58</v>
      </c>
      <c r="AC377">
        <v>25.133199999999899</v>
      </c>
      <c r="AD377">
        <v>-1.1030221758280001</v>
      </c>
      <c r="AE377">
        <v>-1.1984999999999599</v>
      </c>
      <c r="AF377">
        <v>-0.23395609338904799</v>
      </c>
      <c r="AG377">
        <v>-1.1030221758280001</v>
      </c>
      <c r="AH377">
        <v>25.112409072713501</v>
      </c>
      <c r="AI377">
        <v>92.514899418352499</v>
      </c>
      <c r="AJ377">
        <v>90.533772323721394</v>
      </c>
      <c r="AK377">
        <v>25.137710373248101</v>
      </c>
    </row>
    <row r="378" spans="1:37" x14ac:dyDescent="0.2">
      <c r="A378" t="str">
        <f>"20200111153412356"</f>
        <v>20200111153412356</v>
      </c>
      <c r="B378" t="str">
        <f>"1578728052347326"</f>
        <v>1578728052347326</v>
      </c>
      <c r="C378" t="s">
        <v>37</v>
      </c>
      <c r="D378">
        <v>4.7081019999999896</v>
      </c>
      <c r="E378">
        <v>0.49226729999999902</v>
      </c>
      <c r="F378" t="s">
        <v>39</v>
      </c>
      <c r="G378">
        <v>-347.81020000000001</v>
      </c>
      <c r="H378" s="1">
        <v>-1.433801E-6</v>
      </c>
      <c r="I378">
        <v>367.32870000000003</v>
      </c>
      <c r="J378">
        <v>-373.26420000000002</v>
      </c>
      <c r="K378">
        <v>1.103124</v>
      </c>
      <c r="L378">
        <v>368.51769999999999</v>
      </c>
      <c r="M378">
        <v>0.99839339999999999</v>
      </c>
      <c r="N378">
        <v>0</v>
      </c>
      <c r="O378">
        <v>-5.6387979999999997E-2</v>
      </c>
      <c r="P378">
        <v>0.99771639999999995</v>
      </c>
      <c r="Q378">
        <v>1.123881E-2</v>
      </c>
      <c r="R378">
        <v>-6.6601809999999997E-2</v>
      </c>
      <c r="S378">
        <v>2.998993</v>
      </c>
      <c r="T378">
        <v>-0.12822519999999901</v>
      </c>
      <c r="U378">
        <v>-0.14050289999999999</v>
      </c>
      <c r="V378">
        <v>1.0212529999999999E-2</v>
      </c>
      <c r="W378">
        <v>1.6833290000000001E-2</v>
      </c>
      <c r="X378">
        <v>0.99980619999999998</v>
      </c>
      <c r="Y378">
        <v>-9.5428089999999993E-3</v>
      </c>
      <c r="Z378">
        <v>2.6105960000000002E-3</v>
      </c>
      <c r="AA378">
        <v>0.99995109999999998</v>
      </c>
      <c r="AB378">
        <v>58</v>
      </c>
      <c r="AC378">
        <v>25.454000000000001</v>
      </c>
      <c r="AD378">
        <v>-1.1031254338009999</v>
      </c>
      <c r="AE378">
        <v>-1.1889999999999601</v>
      </c>
      <c r="AF378">
        <v>-0.247749434003047</v>
      </c>
      <c r="AG378">
        <v>-1.1031254338009999</v>
      </c>
      <c r="AH378">
        <v>25.432882463209602</v>
      </c>
      <c r="AI378">
        <v>92.483471854403206</v>
      </c>
      <c r="AJ378">
        <v>90.558117940004607</v>
      </c>
      <c r="AK378">
        <v>25.4580002335648</v>
      </c>
    </row>
    <row r="379" spans="1:37" x14ac:dyDescent="0.2">
      <c r="A379" t="str">
        <f>"20200111153412369"</f>
        <v>20200111153412369</v>
      </c>
      <c r="B379" t="str">
        <f>"1578728052366846"</f>
        <v>1578728052366846</v>
      </c>
      <c r="C379" t="s">
        <v>37</v>
      </c>
      <c r="D379">
        <v>4.6945030000000001</v>
      </c>
      <c r="E379">
        <v>0.49223249999999902</v>
      </c>
      <c r="F379" t="s">
        <v>39</v>
      </c>
      <c r="G379">
        <v>-347.60489999999999</v>
      </c>
      <c r="H379" s="1">
        <v>-1.5187669999999999E-6</v>
      </c>
      <c r="I379">
        <v>367.32709999999997</v>
      </c>
      <c r="J379">
        <v>-372.93729999999999</v>
      </c>
      <c r="K379">
        <v>1.1032120000000001</v>
      </c>
      <c r="L379">
        <v>368.49919999999997</v>
      </c>
      <c r="M379">
        <v>0.99842299999999995</v>
      </c>
      <c r="N379">
        <v>0</v>
      </c>
      <c r="O379">
        <v>-5.5859359999999997E-2</v>
      </c>
      <c r="P379">
        <v>0.99775139999999995</v>
      </c>
      <c r="Q379">
        <v>1.065267E-2</v>
      </c>
      <c r="R379">
        <v>-6.6171820000000006E-2</v>
      </c>
      <c r="S379">
        <v>2.9990540000000001</v>
      </c>
      <c r="T379">
        <v>-0.12893279999999999</v>
      </c>
      <c r="U379">
        <v>-0.13916020000000001</v>
      </c>
      <c r="V379">
        <v>1.0307790000000001E-2</v>
      </c>
      <c r="W379">
        <v>1.6267839999999999E-2</v>
      </c>
      <c r="X379">
        <v>0.99981450000000005</v>
      </c>
      <c r="Y379">
        <v>-9.4609559999999995E-3</v>
      </c>
      <c r="Z379">
        <v>2.600551E-3</v>
      </c>
      <c r="AA379">
        <v>0.99995179999999995</v>
      </c>
      <c r="AB379">
        <v>58</v>
      </c>
      <c r="AC379">
        <v>25.3324</v>
      </c>
      <c r="AD379">
        <v>-1.103213518767</v>
      </c>
      <c r="AE379">
        <v>-1.1720999999999999</v>
      </c>
      <c r="AF379">
        <v>-0.24434145926497899</v>
      </c>
      <c r="AG379">
        <v>-1.103213518767</v>
      </c>
      <c r="AH379">
        <v>25.310419551867501</v>
      </c>
      <c r="AI379">
        <v>92.495673954249995</v>
      </c>
      <c r="AJ379">
        <v>90.5531042054361</v>
      </c>
      <c r="AK379">
        <v>25.3356294713248</v>
      </c>
    </row>
    <row r="380" spans="1:37" x14ac:dyDescent="0.2">
      <c r="A380" t="str">
        <f>"20200111153412383"</f>
        <v>20200111153412383</v>
      </c>
      <c r="B380" t="str">
        <f>"1578728052376606"</f>
        <v>1578728052376606</v>
      </c>
      <c r="C380" t="s">
        <v>37</v>
      </c>
      <c r="D380">
        <v>4.6888819999999898</v>
      </c>
      <c r="E380">
        <v>0.49221939999999997</v>
      </c>
      <c r="F380" t="s">
        <v>39</v>
      </c>
      <c r="G380">
        <v>-347.50569999999999</v>
      </c>
      <c r="H380" s="1">
        <v>-1.5643190000000001E-6</v>
      </c>
      <c r="I380">
        <v>367.33440000000002</v>
      </c>
      <c r="J380">
        <v>-372.58120000000002</v>
      </c>
      <c r="K380">
        <v>1.103302</v>
      </c>
      <c r="L380">
        <v>368.47919999999999</v>
      </c>
      <c r="M380">
        <v>0.99845509999999904</v>
      </c>
      <c r="N380">
        <v>0</v>
      </c>
      <c r="O380">
        <v>-5.5278889999999997E-2</v>
      </c>
      <c r="P380">
        <v>0.99776450000000005</v>
      </c>
      <c r="Q380">
        <v>1.017121E-2</v>
      </c>
      <c r="R380">
        <v>-6.6051929999999995E-2</v>
      </c>
      <c r="S380">
        <v>2.99902299999999</v>
      </c>
      <c r="T380">
        <v>-0.13009689999999999</v>
      </c>
      <c r="U380">
        <v>-0.1373596</v>
      </c>
      <c r="V380">
        <v>1.07657E-2</v>
      </c>
      <c r="W380">
        <v>1.5810129999999999E-2</v>
      </c>
      <c r="X380">
        <v>0.99981710000000001</v>
      </c>
      <c r="Y380">
        <v>-9.4776540000000003E-3</v>
      </c>
      <c r="Z380">
        <v>2.5993329999999901E-3</v>
      </c>
      <c r="AA380">
        <v>0.9999517</v>
      </c>
      <c r="AB380">
        <v>58</v>
      </c>
      <c r="AC380">
        <v>25.075500000000002</v>
      </c>
      <c r="AD380">
        <v>-1.1033035643189999</v>
      </c>
      <c r="AE380">
        <v>-1.1447999999999701</v>
      </c>
      <c r="AF380">
        <v>-0.24264947939369999</v>
      </c>
      <c r="AG380">
        <v>-1.1033035643189999</v>
      </c>
      <c r="AH380">
        <v>25.052043188031298</v>
      </c>
      <c r="AI380">
        <v>92.521585002417098</v>
      </c>
      <c r="AJ380">
        <v>90.554939021413901</v>
      </c>
      <c r="AK380">
        <v>25.077500382212602</v>
      </c>
    </row>
    <row r="381" spans="1:37" x14ac:dyDescent="0.2">
      <c r="A381" t="str">
        <f>"20200111153412398"</f>
        <v>20200111153412398</v>
      </c>
      <c r="B381" t="str">
        <f>"1578728052387342"</f>
        <v>1578728052387342</v>
      </c>
      <c r="C381" t="s">
        <v>37</v>
      </c>
      <c r="D381">
        <v>4.6672419999999999</v>
      </c>
      <c r="E381">
        <v>0.49219780000000002</v>
      </c>
      <c r="F381" t="s">
        <v>39</v>
      </c>
      <c r="G381">
        <v>-347.38979999999998</v>
      </c>
      <c r="H381" s="1">
        <v>-1.6197980000000001E-6</v>
      </c>
      <c r="I381">
        <v>367.33049999999997</v>
      </c>
      <c r="J381">
        <v>-372.18380000000002</v>
      </c>
      <c r="K381">
        <v>1.103399</v>
      </c>
      <c r="L381">
        <v>368.45710000000003</v>
      </c>
      <c r="M381">
        <v>0.99849100000000002</v>
      </c>
      <c r="N381">
        <v>0</v>
      </c>
      <c r="O381">
        <v>-5.4623329999999998E-2</v>
      </c>
      <c r="P381">
        <v>0.99776849999999995</v>
      </c>
      <c r="Q381">
        <v>1.022757E-2</v>
      </c>
      <c r="R381">
        <v>-6.5980609999999995E-2</v>
      </c>
      <c r="S381">
        <v>2.99902299999999</v>
      </c>
      <c r="T381">
        <v>-0.13134770000000001</v>
      </c>
      <c r="U381">
        <v>-0.13674929999999999</v>
      </c>
      <c r="V381">
        <v>1.134692E-2</v>
      </c>
      <c r="W381">
        <v>1.5892139999999999E-2</v>
      </c>
      <c r="X381">
        <v>0.99980930000000001</v>
      </c>
      <c r="Y381">
        <v>-9.0240939999999999E-3</v>
      </c>
      <c r="Z381">
        <v>2.5857599999999999E-3</v>
      </c>
      <c r="AA381">
        <v>0.99995599999999996</v>
      </c>
      <c r="AB381">
        <v>59</v>
      </c>
      <c r="AC381">
        <v>24.794</v>
      </c>
      <c r="AD381">
        <v>-1.103400619798</v>
      </c>
      <c r="AE381">
        <v>-1.12660000000005</v>
      </c>
      <c r="AF381">
        <v>-0.22898199330253999</v>
      </c>
      <c r="AG381">
        <v>-1.103400619798</v>
      </c>
      <c r="AH381">
        <v>24.769566907363799</v>
      </c>
      <c r="AI381">
        <v>92.550538513454299</v>
      </c>
      <c r="AJ381">
        <v>90.529655125979602</v>
      </c>
      <c r="AK381">
        <v>24.7951884537989</v>
      </c>
    </row>
    <row r="382" spans="1:37" x14ac:dyDescent="0.2">
      <c r="A382" t="str">
        <f>"20200111153412410"</f>
        <v>20200111153412410</v>
      </c>
      <c r="B382" t="str">
        <f>"1578728052406864"</f>
        <v>1578728052406864</v>
      </c>
      <c r="C382" t="s">
        <v>37</v>
      </c>
      <c r="D382">
        <v>4.6643879999999998</v>
      </c>
      <c r="E382">
        <v>0.49214029999999998</v>
      </c>
      <c r="F382" t="s">
        <v>39</v>
      </c>
      <c r="G382">
        <v>-346.91399999999999</v>
      </c>
      <c r="H382" s="1">
        <v>-1.8488499999999899E-6</v>
      </c>
      <c r="I382">
        <v>367.30720000000002</v>
      </c>
      <c r="J382">
        <v>-371.86110000000002</v>
      </c>
      <c r="K382">
        <v>1.103469</v>
      </c>
      <c r="L382">
        <v>368.43950000000001</v>
      </c>
      <c r="M382">
        <v>0.99852030000000003</v>
      </c>
      <c r="N382">
        <v>0</v>
      </c>
      <c r="O382">
        <v>-5.40852E-2</v>
      </c>
      <c r="P382">
        <v>0.99779969999999996</v>
      </c>
      <c r="Q382">
        <v>9.6162390000000004E-3</v>
      </c>
      <c r="R382">
        <v>-6.5600450000000005E-2</v>
      </c>
      <c r="S382">
        <v>2.99902299999999</v>
      </c>
      <c r="T382">
        <v>-0.1309517</v>
      </c>
      <c r="U382">
        <v>-0.1364746</v>
      </c>
      <c r="V382">
        <v>1.1503050000000001E-2</v>
      </c>
      <c r="W382">
        <v>1.5300930000000001E-2</v>
      </c>
      <c r="X382">
        <v>0.99981679999999995</v>
      </c>
      <c r="Y382">
        <v>-8.5778720000000003E-3</v>
      </c>
      <c r="Z382">
        <v>2.5448139999999998E-3</v>
      </c>
      <c r="AA382">
        <v>0.99995990000000001</v>
      </c>
      <c r="AB382">
        <v>59</v>
      </c>
      <c r="AC382">
        <v>24.947099999999999</v>
      </c>
      <c r="AD382">
        <v>-1.10347084885</v>
      </c>
      <c r="AE382">
        <v>-1.1322999999999801</v>
      </c>
      <c r="AF382">
        <v>-0.21822178092160299</v>
      </c>
      <c r="AG382">
        <v>-1.10347084885</v>
      </c>
      <c r="AH382">
        <v>24.9231639027497</v>
      </c>
      <c r="AI382">
        <v>92.5350128285517</v>
      </c>
      <c r="AJ382">
        <v>90.501656514980994</v>
      </c>
      <c r="AK382">
        <v>24.948534377459001</v>
      </c>
    </row>
    <row r="383" spans="1:37" x14ac:dyDescent="0.2">
      <c r="A383" t="str">
        <f>"20200111153412423"</f>
        <v>20200111153412423</v>
      </c>
      <c r="B383" t="str">
        <f>"1578728052416622"</f>
        <v>1578728052416622</v>
      </c>
      <c r="C383" t="s">
        <v>37</v>
      </c>
      <c r="D383">
        <v>4.7045839999999997</v>
      </c>
      <c r="E383">
        <v>0.4920986</v>
      </c>
      <c r="F383" t="s">
        <v>39</v>
      </c>
      <c r="G383">
        <v>-346.86660000000001</v>
      </c>
      <c r="H383" s="1">
        <v>-1.8696010000000001E-6</v>
      </c>
      <c r="I383">
        <v>367.31650000000002</v>
      </c>
      <c r="J383">
        <v>-371.53089999999997</v>
      </c>
      <c r="K383">
        <v>1.1035349999999999</v>
      </c>
      <c r="L383">
        <v>368.42149999999998</v>
      </c>
      <c r="M383">
        <v>0.9985501</v>
      </c>
      <c r="N383">
        <v>0</v>
      </c>
      <c r="O383">
        <v>-5.3531830000000002E-2</v>
      </c>
      <c r="P383">
        <v>0.99782059999999995</v>
      </c>
      <c r="Q383">
        <v>9.0130249999999992E-3</v>
      </c>
      <c r="R383">
        <v>-6.5371460000000006E-2</v>
      </c>
      <c r="S383">
        <v>2.99902299999999</v>
      </c>
      <c r="T383">
        <v>-0.132402399999999</v>
      </c>
      <c r="U383">
        <v>-0.1347351</v>
      </c>
      <c r="V383">
        <v>1.1826130000000001E-2</v>
      </c>
      <c r="W383">
        <v>1.471831E-2</v>
      </c>
      <c r="X383">
        <v>0.99982169999999904</v>
      </c>
      <c r="Y383">
        <v>-8.6017139999999999E-3</v>
      </c>
      <c r="Z383">
        <v>2.5491799999999998E-3</v>
      </c>
      <c r="AA383">
        <v>0.99995979999999995</v>
      </c>
      <c r="AB383">
        <v>59</v>
      </c>
      <c r="AC383">
        <v>24.664299999999901</v>
      </c>
      <c r="AD383">
        <v>-1.1035368696009999</v>
      </c>
      <c r="AE383">
        <v>-1.10499999999996</v>
      </c>
      <c r="AF383">
        <v>-0.216498196226272</v>
      </c>
      <c r="AG383">
        <v>-1.1035368696009999</v>
      </c>
      <c r="AH383">
        <v>24.6388623992361</v>
      </c>
      <c r="AI383">
        <v>92.564377384767695</v>
      </c>
      <c r="AJ383">
        <v>90.503436947925096</v>
      </c>
      <c r="AK383">
        <v>24.664513078916201</v>
      </c>
    </row>
    <row r="384" spans="1:37" x14ac:dyDescent="0.2">
      <c r="A384" t="str">
        <f>"20200111153412436"</f>
        <v>20200111153412436</v>
      </c>
      <c r="B384" t="str">
        <f>"1578728052426382"</f>
        <v>1578728052426382</v>
      </c>
      <c r="C384" t="s">
        <v>37</v>
      </c>
      <c r="D384">
        <v>4.6928849999999898</v>
      </c>
      <c r="E384">
        <v>0.49207429999999902</v>
      </c>
      <c r="F384" t="s">
        <v>39</v>
      </c>
      <c r="G384">
        <v>-346.86579999999998</v>
      </c>
      <c r="H384" s="1">
        <v>-1.8693250000000001E-6</v>
      </c>
      <c r="I384">
        <v>367.32010000000002</v>
      </c>
      <c r="J384">
        <v>-371.166</v>
      </c>
      <c r="K384">
        <v>1.103604</v>
      </c>
      <c r="L384">
        <v>368.40179999999998</v>
      </c>
      <c r="M384">
        <v>0.99858279999999999</v>
      </c>
      <c r="N384">
        <v>0</v>
      </c>
      <c r="O384">
        <v>-5.291684E-2</v>
      </c>
      <c r="P384">
        <v>0.99785550000000001</v>
      </c>
      <c r="Q384">
        <v>8.5038089999999993E-3</v>
      </c>
      <c r="R384">
        <v>-6.4904290000000003E-2</v>
      </c>
      <c r="S384">
        <v>2.998993</v>
      </c>
      <c r="T384">
        <v>-0.13417799999999999</v>
      </c>
      <c r="U384">
        <v>-0.13391110000000001</v>
      </c>
      <c r="V384">
        <v>1.19723E-2</v>
      </c>
      <c r="W384">
        <v>1.423103E-2</v>
      </c>
      <c r="X384">
        <v>0.99982700000000002</v>
      </c>
      <c r="Y384">
        <v>-8.2589199999999995E-3</v>
      </c>
      <c r="Z384">
        <v>2.5482759999999999E-3</v>
      </c>
      <c r="AA384">
        <v>0.99996260000000003</v>
      </c>
      <c r="AB384">
        <v>59</v>
      </c>
      <c r="AC384">
        <v>24.3002</v>
      </c>
      <c r="AD384">
        <v>-1.1036058693249999</v>
      </c>
      <c r="AE384">
        <v>-1.0816999999999499</v>
      </c>
      <c r="AF384">
        <v>-0.20530347777965299</v>
      </c>
      <c r="AG384">
        <v>-1.1036058693249999</v>
      </c>
      <c r="AH384">
        <v>24.273426918701102</v>
      </c>
      <c r="AI384">
        <v>92.603101179016406</v>
      </c>
      <c r="AJ384">
        <v>90.484593393040001</v>
      </c>
      <c r="AK384">
        <v>24.2993693294769</v>
      </c>
    </row>
    <row r="385" spans="1:37" x14ac:dyDescent="0.2">
      <c r="A385" t="str">
        <f>"20200111153412449"</f>
        <v>20200111153412449</v>
      </c>
      <c r="B385" t="str">
        <f>"1578728052437118"</f>
        <v>1578728052437118</v>
      </c>
      <c r="C385" t="s">
        <v>37</v>
      </c>
      <c r="D385">
        <v>4.6930129999999997</v>
      </c>
      <c r="E385">
        <v>0.492040799999999</v>
      </c>
      <c r="F385" t="s">
        <v>39</v>
      </c>
      <c r="G385">
        <v>-346.74770000000001</v>
      </c>
      <c r="H385" s="1">
        <v>-1.9245049999999999E-6</v>
      </c>
      <c r="I385">
        <v>367.32389999999998</v>
      </c>
      <c r="J385">
        <v>-370.83260000000001</v>
      </c>
      <c r="K385">
        <v>1.103661</v>
      </c>
      <c r="L385">
        <v>368.38409999999999</v>
      </c>
      <c r="M385">
        <v>0.99861259999999996</v>
      </c>
      <c r="N385">
        <v>0</v>
      </c>
      <c r="O385">
        <v>-5.2350889999999997E-2</v>
      </c>
      <c r="P385">
        <v>0.99788580000000004</v>
      </c>
      <c r="Q385">
        <v>7.9335180000000005E-3</v>
      </c>
      <c r="R385">
        <v>-6.4508200000000002E-2</v>
      </c>
      <c r="S385">
        <v>2.9989619999999899</v>
      </c>
      <c r="T385">
        <v>-0.13554099999999999</v>
      </c>
      <c r="U385">
        <v>-0.13238529999999901</v>
      </c>
      <c r="V385">
        <v>1.2141529999999999E-2</v>
      </c>
      <c r="W385">
        <v>1.368081E-2</v>
      </c>
      <c r="X385">
        <v>0.99983269999999902</v>
      </c>
      <c r="Y385">
        <v>-8.1989260000000005E-3</v>
      </c>
      <c r="Z385">
        <v>2.5473319999999998E-3</v>
      </c>
      <c r="AA385">
        <v>0.99996319999999905</v>
      </c>
      <c r="AB385">
        <v>59</v>
      </c>
      <c r="AC385">
        <v>24.084900000000001</v>
      </c>
      <c r="AD385">
        <v>-1.103662924505</v>
      </c>
      <c r="AE385">
        <v>-1.0602</v>
      </c>
      <c r="AF385">
        <v>-0.20171738039082501</v>
      </c>
      <c r="AG385">
        <v>-1.103662924505</v>
      </c>
      <c r="AH385">
        <v>24.056958150976101</v>
      </c>
      <c r="AI385">
        <v>92.626628897790994</v>
      </c>
      <c r="AJ385">
        <v>90.480413343473501</v>
      </c>
      <c r="AK385">
        <v>24.083106054458501</v>
      </c>
    </row>
    <row r="386" spans="1:37" x14ac:dyDescent="0.2">
      <c r="A386" t="str">
        <f>"20200111153412467"</f>
        <v>20200111153412467</v>
      </c>
      <c r="B386" t="str">
        <f>"1578728052456637"</f>
        <v>1578728052456637</v>
      </c>
      <c r="C386" t="s">
        <v>37</v>
      </c>
      <c r="D386">
        <v>4.6658869999999997</v>
      </c>
      <c r="E386">
        <v>0.4919714</v>
      </c>
      <c r="F386" t="s">
        <v>39</v>
      </c>
      <c r="G386">
        <v>-346.68770000000001</v>
      </c>
      <c r="H386" s="1">
        <v>-1.9516429999999998E-6</v>
      </c>
      <c r="I386">
        <v>367.33080000000001</v>
      </c>
      <c r="J386">
        <v>-370.38249999999999</v>
      </c>
      <c r="K386">
        <v>1.1037349999999999</v>
      </c>
      <c r="L386">
        <v>368.36040000000003</v>
      </c>
      <c r="M386">
        <v>0.99865230000000005</v>
      </c>
      <c r="N386">
        <v>0</v>
      </c>
      <c r="O386">
        <v>-5.1583339999999998E-2</v>
      </c>
      <c r="P386">
        <v>0.99793989999999999</v>
      </c>
      <c r="Q386">
        <v>8.3493739999999997E-3</v>
      </c>
      <c r="R386">
        <v>-6.3613169999999997E-2</v>
      </c>
      <c r="S386">
        <v>2.9989619999999899</v>
      </c>
      <c r="T386">
        <v>-0.1370828</v>
      </c>
      <c r="U386">
        <v>-0.1308289</v>
      </c>
      <c r="V386">
        <v>1.20097E-2</v>
      </c>
      <c r="W386">
        <v>1.412184E-2</v>
      </c>
      <c r="X386">
        <v>0.99982819999999994</v>
      </c>
      <c r="Y386">
        <v>-7.9479649999999995E-3</v>
      </c>
      <c r="Z386">
        <v>2.5355920000000001E-3</v>
      </c>
      <c r="AA386">
        <v>0.9999652</v>
      </c>
      <c r="AB386">
        <v>59</v>
      </c>
      <c r="AC386">
        <v>23.694799999999901</v>
      </c>
      <c r="AD386">
        <v>-1.103736951643</v>
      </c>
      <c r="AE386">
        <v>-1.0296000000000101</v>
      </c>
      <c r="AF386">
        <v>-0.19362834521287201</v>
      </c>
      <c r="AG386">
        <v>-1.103736951643</v>
      </c>
      <c r="AH386">
        <v>23.665112572866601</v>
      </c>
      <c r="AI386">
        <v>92.670241355959604</v>
      </c>
      <c r="AJ386">
        <v>90.468784561432599</v>
      </c>
      <c r="AK386">
        <v>23.691628907294302</v>
      </c>
    </row>
    <row r="387" spans="1:37" x14ac:dyDescent="0.2">
      <c r="A387" t="str">
        <f>"20200111153412481"</f>
        <v>20200111153412481</v>
      </c>
      <c r="B387" t="str">
        <f>"1578728052477134"</f>
        <v>1578728052477134</v>
      </c>
      <c r="C387" t="s">
        <v>37</v>
      </c>
      <c r="D387">
        <v>4.722283</v>
      </c>
      <c r="E387">
        <v>0.4918942</v>
      </c>
      <c r="F387" t="s">
        <v>39</v>
      </c>
      <c r="G387">
        <v>-345.98340000000002</v>
      </c>
      <c r="H387" s="1">
        <v>-2.2858300000000002E-6</v>
      </c>
      <c r="I387">
        <v>367.32369999999997</v>
      </c>
      <c r="J387">
        <v>-370.01049999999998</v>
      </c>
      <c r="K387">
        <v>1.103791</v>
      </c>
      <c r="L387">
        <v>368.34109999999998</v>
      </c>
      <c r="M387">
        <v>0.99868489999999999</v>
      </c>
      <c r="N387">
        <v>0</v>
      </c>
      <c r="O387">
        <v>-5.0946020000000002E-2</v>
      </c>
      <c r="P387">
        <v>0.99799009999999999</v>
      </c>
      <c r="Q387">
        <v>9.1347809999999998E-3</v>
      </c>
      <c r="R387">
        <v>-6.2711039999999996E-2</v>
      </c>
      <c r="S387">
        <v>2.9992070000000002</v>
      </c>
      <c r="T387">
        <v>-0.13567460000000001</v>
      </c>
      <c r="U387">
        <v>-0.12744140000000001</v>
      </c>
      <c r="V387">
        <v>1.173978E-2</v>
      </c>
      <c r="W387">
        <v>1.4927609999999999E-2</v>
      </c>
      <c r="X387">
        <v>0.99981960000000003</v>
      </c>
      <c r="Y387">
        <v>-8.4421080000000003E-3</v>
      </c>
      <c r="Z387">
        <v>2.491853E-3</v>
      </c>
      <c r="AA387">
        <v>0.99996130000000005</v>
      </c>
      <c r="AB387">
        <v>59</v>
      </c>
      <c r="AC387">
        <v>24.027099999999901</v>
      </c>
      <c r="AD387">
        <v>-1.1037932858299999</v>
      </c>
      <c r="AE387">
        <v>-1.0174000000000001</v>
      </c>
      <c r="AF387">
        <v>-0.20758920937009601</v>
      </c>
      <c r="AG387">
        <v>-1.1037932858299999</v>
      </c>
      <c r="AH387">
        <v>23.997176981830801</v>
      </c>
      <c r="AI387">
        <v>92.633467727104005</v>
      </c>
      <c r="AJ387">
        <v>90.495628669439895</v>
      </c>
      <c r="AK387">
        <v>24.0234459642034</v>
      </c>
    </row>
    <row r="388" spans="1:37" x14ac:dyDescent="0.2">
      <c r="A388" t="str">
        <f>"20200111153412500"</f>
        <v>20200111153412500</v>
      </c>
      <c r="B388" t="str">
        <f>"1578728052496654"</f>
        <v>1578728052496654</v>
      </c>
      <c r="C388" t="s">
        <v>37</v>
      </c>
      <c r="D388">
        <v>4.8711169999999999</v>
      </c>
      <c r="E388">
        <v>0.4918438</v>
      </c>
      <c r="F388" t="s">
        <v>39</v>
      </c>
      <c r="G388">
        <v>-345.1721</v>
      </c>
      <c r="H388" s="1">
        <v>-2.6705489999999898E-6</v>
      </c>
      <c r="I388">
        <v>367.31689999999998</v>
      </c>
      <c r="J388">
        <v>-369.53140000000002</v>
      </c>
      <c r="K388">
        <v>1.1038559999999999</v>
      </c>
      <c r="L388">
        <v>368.31659999999999</v>
      </c>
      <c r="M388">
        <v>0.99872649999999996</v>
      </c>
      <c r="N388">
        <v>0</v>
      </c>
      <c r="O388">
        <v>-5.0119990000000003E-2</v>
      </c>
      <c r="P388">
        <v>0.99804780000000004</v>
      </c>
      <c r="Q388">
        <v>1.058741E-2</v>
      </c>
      <c r="R388">
        <v>-6.1552219999999998E-2</v>
      </c>
      <c r="S388">
        <v>2.9994809999999998</v>
      </c>
      <c r="T388">
        <v>-0.133294</v>
      </c>
      <c r="U388">
        <v>-0.1236877</v>
      </c>
      <c r="V388">
        <v>1.1399930000000001E-2</v>
      </c>
      <c r="W388">
        <v>1.640515E-2</v>
      </c>
      <c r="X388">
        <v>0.99980040000000003</v>
      </c>
      <c r="Y388">
        <v>-8.8706280000000002E-3</v>
      </c>
      <c r="Z388">
        <v>2.4209229999999902E-3</v>
      </c>
      <c r="AA388">
        <v>0.99995769999999995</v>
      </c>
      <c r="AB388">
        <v>59</v>
      </c>
      <c r="AC388">
        <v>24.359300000000001</v>
      </c>
      <c r="AD388">
        <v>-1.1038586705490001</v>
      </c>
      <c r="AE388">
        <v>-0.99970000000001802</v>
      </c>
      <c r="AF388">
        <v>-0.22200956878463801</v>
      </c>
      <c r="AG388">
        <v>-1.1038586705490001</v>
      </c>
      <c r="AH388">
        <v>24.328914361057201</v>
      </c>
      <c r="AI388">
        <v>92.597751267633797</v>
      </c>
      <c r="AJ388">
        <v>90.522828846921399</v>
      </c>
      <c r="AK388">
        <v>24.354955680535198</v>
      </c>
    </row>
    <row r="389" spans="1:37" x14ac:dyDescent="0.2">
      <c r="A389" t="str">
        <f>"20200111153412513"</f>
        <v>20200111153412513</v>
      </c>
      <c r="B389" t="str">
        <f>"1578728052506413"</f>
        <v>1578728052506413</v>
      </c>
      <c r="C389" t="s">
        <v>37</v>
      </c>
      <c r="D389">
        <v>4.7468079999999997</v>
      </c>
      <c r="E389">
        <v>0.49182409999999999</v>
      </c>
      <c r="F389" t="s">
        <v>39</v>
      </c>
      <c r="G389">
        <v>-343.76280000000003</v>
      </c>
      <c r="H389" s="1">
        <v>-3.3419679999999999E-6</v>
      </c>
      <c r="I389">
        <v>367.28739999999999</v>
      </c>
      <c r="J389">
        <v>-369.14589999999998</v>
      </c>
      <c r="K389">
        <v>1.103901</v>
      </c>
      <c r="L389">
        <v>368.29719999999998</v>
      </c>
      <c r="M389">
        <v>0.99875970000000003</v>
      </c>
      <c r="N389">
        <v>0</v>
      </c>
      <c r="O389">
        <v>-4.9450889999999997E-2</v>
      </c>
      <c r="P389">
        <v>0.99807199999999996</v>
      </c>
      <c r="Q389">
        <v>1.1367550000000001E-2</v>
      </c>
      <c r="R389">
        <v>-6.101968E-2</v>
      </c>
      <c r="S389">
        <v>2.99981699999999</v>
      </c>
      <c r="T389">
        <v>-0.12850419999999901</v>
      </c>
      <c r="U389">
        <v>-0.119811999999999</v>
      </c>
      <c r="V389">
        <v>1.153238E-2</v>
      </c>
      <c r="W389">
        <v>1.7206599999999999E-2</v>
      </c>
      <c r="X389">
        <v>0.99978539999999905</v>
      </c>
      <c r="Y389">
        <v>-9.4992659999999993E-3</v>
      </c>
      <c r="Z389">
        <v>2.3186840000000001E-3</v>
      </c>
      <c r="AA389">
        <v>0.99995219999999996</v>
      </c>
      <c r="AB389">
        <v>59</v>
      </c>
      <c r="AC389">
        <v>25.383099999999899</v>
      </c>
      <c r="AD389">
        <v>-1.1039043419679999</v>
      </c>
      <c r="AE389">
        <v>-1.00979999999998</v>
      </c>
      <c r="AF389">
        <v>-0.246208561301659</v>
      </c>
      <c r="AG389">
        <v>-1.1039043419679999</v>
      </c>
      <c r="AH389">
        <v>25.3541026184351</v>
      </c>
      <c r="AI389">
        <v>92.492936272163405</v>
      </c>
      <c r="AJ389">
        <v>90.556370235654001</v>
      </c>
      <c r="AK389">
        <v>25.379317229547599</v>
      </c>
    </row>
    <row r="390" spans="1:37" x14ac:dyDescent="0.2">
      <c r="A390" t="str">
        <f>"20200111153412524"</f>
        <v>20200111153412524</v>
      </c>
      <c r="B390" t="str">
        <f>"1578728052517150"</f>
        <v>1578728052517150</v>
      </c>
      <c r="C390" t="s">
        <v>37</v>
      </c>
      <c r="D390">
        <v>4.7109259999999997</v>
      </c>
      <c r="E390">
        <v>0.49179849999999897</v>
      </c>
      <c r="F390" t="s">
        <v>39</v>
      </c>
      <c r="G390">
        <v>-342.8537</v>
      </c>
      <c r="H390" s="1">
        <v>-3.776087E-6</v>
      </c>
      <c r="I390">
        <v>367.2627</v>
      </c>
      <c r="J390">
        <v>-368.83909999999997</v>
      </c>
      <c r="K390">
        <v>1.1039350000000001</v>
      </c>
      <c r="L390">
        <v>368.28190000000001</v>
      </c>
      <c r="M390">
        <v>0.99878599999999995</v>
      </c>
      <c r="N390">
        <v>0</v>
      </c>
      <c r="O390">
        <v>-4.8917000000000002E-2</v>
      </c>
      <c r="P390">
        <v>0.9980966</v>
      </c>
      <c r="Q390">
        <v>1.1794539999999999E-2</v>
      </c>
      <c r="R390">
        <v>-6.0533959999999998E-2</v>
      </c>
      <c r="S390">
        <v>3.0000309999999999</v>
      </c>
      <c r="T390">
        <v>-0.1259595</v>
      </c>
      <c r="U390">
        <v>-0.11804199999999999</v>
      </c>
      <c r="V390">
        <v>1.157764E-2</v>
      </c>
      <c r="W390">
        <v>1.7649990000000001E-2</v>
      </c>
      <c r="X390">
        <v>0.99977719999999903</v>
      </c>
      <c r="Y390">
        <v>-9.5591740000000001E-3</v>
      </c>
      <c r="Z390">
        <v>2.2515729999999898E-3</v>
      </c>
      <c r="AA390">
        <v>0.99995179999999995</v>
      </c>
      <c r="AB390">
        <v>59</v>
      </c>
      <c r="AC390">
        <v>25.985399999999899</v>
      </c>
      <c r="AD390">
        <v>-1.1039387760870001</v>
      </c>
      <c r="AE390">
        <v>-1.0192000000000101</v>
      </c>
      <c r="AF390">
        <v>-0.25271398082386598</v>
      </c>
      <c r="AG390">
        <v>-1.1039387760870001</v>
      </c>
      <c r="AH390">
        <v>25.957371367854599</v>
      </c>
      <c r="AI390">
        <v>92.435144411892196</v>
      </c>
      <c r="AJ390">
        <v>90.557798664223895</v>
      </c>
      <c r="AK390">
        <v>25.982064458125201</v>
      </c>
    </row>
    <row r="391" spans="1:37" x14ac:dyDescent="0.2">
      <c r="A391" t="str">
        <f>"20200111153412536"</f>
        <v>20200111153412536</v>
      </c>
      <c r="B391" t="str">
        <f>"1578728052526910"</f>
        <v>1578728052526910</v>
      </c>
      <c r="C391" t="s">
        <v>37</v>
      </c>
      <c r="D391">
        <v>4.740043</v>
      </c>
      <c r="E391">
        <v>0.49177520000000002</v>
      </c>
      <c r="F391" t="s">
        <v>39</v>
      </c>
      <c r="G391">
        <v>-342.22199999999998</v>
      </c>
      <c r="H391" s="1">
        <v>-4.0766359999999901E-6</v>
      </c>
      <c r="I391">
        <v>367.25170000000003</v>
      </c>
      <c r="J391">
        <v>-368.51429999999999</v>
      </c>
      <c r="K391">
        <v>1.1039669999999999</v>
      </c>
      <c r="L391">
        <v>368.26589999999999</v>
      </c>
      <c r="M391">
        <v>0.99881350000000002</v>
      </c>
      <c r="N391">
        <v>0</v>
      </c>
      <c r="O391">
        <v>-4.8350219999999999E-2</v>
      </c>
      <c r="P391">
        <v>0.99811219999999901</v>
      </c>
      <c r="Q391">
        <v>1.211601E-2</v>
      </c>
      <c r="R391">
        <v>-6.0212790000000002E-2</v>
      </c>
      <c r="S391">
        <v>3.0001530000000001</v>
      </c>
      <c r="T391">
        <v>-0.124431</v>
      </c>
      <c r="U391">
        <v>-0.1161194</v>
      </c>
      <c r="V391">
        <v>1.182102E-2</v>
      </c>
      <c r="W391">
        <v>1.7989450000000001E-2</v>
      </c>
      <c r="X391">
        <v>0.99976830000000005</v>
      </c>
      <c r="Y391">
        <v>-9.6348370000000003E-3</v>
      </c>
      <c r="Z391">
        <v>2.2023289999999998E-3</v>
      </c>
      <c r="AA391">
        <v>0.99995119999999904</v>
      </c>
      <c r="AB391">
        <v>59</v>
      </c>
      <c r="AC391">
        <v>26.292300000000001</v>
      </c>
      <c r="AD391">
        <v>-1.103971076636</v>
      </c>
      <c r="AE391">
        <v>-1.01419999999995</v>
      </c>
      <c r="AF391">
        <v>-0.25779238934368598</v>
      </c>
      <c r="AG391">
        <v>-1.103971076636</v>
      </c>
      <c r="AH391">
        <v>26.264350385151701</v>
      </c>
      <c r="AI391">
        <v>92.406784456253902</v>
      </c>
      <c r="AJ391">
        <v>90.562357011815806</v>
      </c>
      <c r="AK391">
        <v>26.288805796537599</v>
      </c>
    </row>
    <row r="392" spans="1:37" x14ac:dyDescent="0.2">
      <c r="A392" t="str">
        <f>"20200111153412556"</f>
        <v>20200111153412556</v>
      </c>
      <c r="B392" t="str">
        <f>"1578728052546429"</f>
        <v>1578728052546429</v>
      </c>
      <c r="C392" t="s">
        <v>37</v>
      </c>
      <c r="D392">
        <v>4.7317099999999996</v>
      </c>
      <c r="E392">
        <v>0.49173019999999901</v>
      </c>
      <c r="F392" t="s">
        <v>39</v>
      </c>
      <c r="G392">
        <v>-341.64280000000002</v>
      </c>
      <c r="H392" s="1">
        <v>-4.353051E-6</v>
      </c>
      <c r="I392">
        <v>367.2371</v>
      </c>
      <c r="J392">
        <v>-368.01389999999998</v>
      </c>
      <c r="K392">
        <v>1.1040080000000001</v>
      </c>
      <c r="L392">
        <v>368.24169999999998</v>
      </c>
      <c r="M392">
        <v>0.99885539999999995</v>
      </c>
      <c r="N392">
        <v>0</v>
      </c>
      <c r="O392">
        <v>-4.7473229999999998E-2</v>
      </c>
      <c r="P392">
        <v>0.99815759999999898</v>
      </c>
      <c r="Q392">
        <v>1.2615929999999999E-2</v>
      </c>
      <c r="R392">
        <v>-5.9351649999999999E-2</v>
      </c>
      <c r="S392">
        <v>3.0002439999999999</v>
      </c>
      <c r="T392">
        <v>-0.12325999999999999</v>
      </c>
      <c r="U392">
        <v>-0.1148682</v>
      </c>
      <c r="V392">
        <v>1.1832840000000001E-2</v>
      </c>
      <c r="W392">
        <v>1.8515790000000001E-2</v>
      </c>
      <c r="X392">
        <v>0.999758499999999</v>
      </c>
      <c r="Y392">
        <v>-9.1765049999999997E-3</v>
      </c>
      <c r="Z392">
        <v>2.1362159999999998E-3</v>
      </c>
      <c r="AA392">
        <v>0.99995560000000006</v>
      </c>
      <c r="AB392">
        <v>59</v>
      </c>
      <c r="AC392">
        <v>26.371099999999899</v>
      </c>
      <c r="AD392">
        <v>-1.104012353051</v>
      </c>
      <c r="AE392">
        <v>-1.00459999999998</v>
      </c>
      <c r="AF392">
        <v>-0.24804131176783101</v>
      </c>
      <c r="AG392">
        <v>-1.104012353051</v>
      </c>
      <c r="AH392">
        <v>26.342955599179302</v>
      </c>
      <c r="AI392">
        <v>92.3997100364451</v>
      </c>
      <c r="AJ392">
        <v>90.539472508417504</v>
      </c>
      <c r="AK392">
        <v>26.3672463004457</v>
      </c>
    </row>
    <row r="393" spans="1:37" x14ac:dyDescent="0.2">
      <c r="A393" t="str">
        <f>"20200111153412579"</f>
        <v>20200111153412579</v>
      </c>
      <c r="B393" t="str">
        <f>"1578728052566928"</f>
        <v>1578728052566928</v>
      </c>
      <c r="C393" t="s">
        <v>37</v>
      </c>
      <c r="D393">
        <v>4.7297310000000001</v>
      </c>
      <c r="E393">
        <v>0.49170509999999901</v>
      </c>
      <c r="F393" t="s">
        <v>39</v>
      </c>
      <c r="G393">
        <v>-340.73579999999998</v>
      </c>
      <c r="H393" s="1">
        <v>-4.7842340000000004E-6</v>
      </c>
      <c r="I393">
        <v>367.22309999999999</v>
      </c>
      <c r="J393">
        <v>-367.43849999999998</v>
      </c>
      <c r="K393">
        <v>1.1040410000000001</v>
      </c>
      <c r="L393">
        <v>368.21420000000001</v>
      </c>
      <c r="M393">
        <v>0.99890279999999998</v>
      </c>
      <c r="N393">
        <v>0</v>
      </c>
      <c r="O393">
        <v>-4.6461790000000003E-2</v>
      </c>
      <c r="P393">
        <v>0.99822500000000003</v>
      </c>
      <c r="Q393">
        <v>1.294374E-2</v>
      </c>
      <c r="R393">
        <v>-5.8132209999999997E-2</v>
      </c>
      <c r="S393">
        <v>3.0004270000000002</v>
      </c>
      <c r="T393">
        <v>-0.12143469999999899</v>
      </c>
      <c r="U393">
        <v>-0.11202999999999901</v>
      </c>
      <c r="V393">
        <v>1.162116E-2</v>
      </c>
      <c r="W393">
        <v>1.8872880000000002E-2</v>
      </c>
      <c r="X393">
        <v>0.99975439999999904</v>
      </c>
      <c r="Y393">
        <v>-9.11311699999999E-3</v>
      </c>
      <c r="Z393">
        <v>2.062393E-3</v>
      </c>
      <c r="AA393">
        <v>0.99995639999999997</v>
      </c>
      <c r="AB393">
        <v>59</v>
      </c>
      <c r="AC393">
        <v>26.7027</v>
      </c>
      <c r="AD393">
        <v>-1.1040457842339999</v>
      </c>
      <c r="AE393">
        <v>-0.99110000000001697</v>
      </c>
      <c r="AF393">
        <v>-0.25021984107456902</v>
      </c>
      <c r="AG393">
        <v>-1.1040457842339999</v>
      </c>
      <c r="AH393">
        <v>26.674374420131102</v>
      </c>
      <c r="AI393">
        <v>92.370001242489295</v>
      </c>
      <c r="AJ393">
        <v>90.537449168579101</v>
      </c>
      <c r="AK393">
        <v>26.698385302633898</v>
      </c>
    </row>
    <row r="394" spans="1:37" x14ac:dyDescent="0.2">
      <c r="A394" t="str">
        <f>"20200111153412592"</f>
        <v>20200111153412592</v>
      </c>
      <c r="B394" t="str">
        <f>"1578728052587421"</f>
        <v>1578728052587421</v>
      </c>
      <c r="C394" t="s">
        <v>37</v>
      </c>
      <c r="D394">
        <v>4.7364980000000001</v>
      </c>
      <c r="E394">
        <v>0.49166959999999998</v>
      </c>
      <c r="F394" t="s">
        <v>39</v>
      </c>
      <c r="G394">
        <v>-339.87009999999998</v>
      </c>
      <c r="H394" s="1">
        <v>-6.6776560000000003E-7</v>
      </c>
      <c r="I394">
        <v>367.22050000000002</v>
      </c>
      <c r="J394">
        <v>-367.04399999999998</v>
      </c>
      <c r="K394">
        <v>1.104061</v>
      </c>
      <c r="L394">
        <v>368.19589999999999</v>
      </c>
      <c r="M394">
        <v>0.99893460000000001</v>
      </c>
      <c r="N394">
        <v>0</v>
      </c>
      <c r="O394">
        <v>-4.5770699999999997E-2</v>
      </c>
      <c r="P394">
        <v>0.99828229999999996</v>
      </c>
      <c r="Q394">
        <v>1.300022E-2</v>
      </c>
      <c r="R394">
        <v>-5.7128449999999997E-2</v>
      </c>
      <c r="S394">
        <v>3.0005799999999998</v>
      </c>
      <c r="T394">
        <v>-0.12016499999999999</v>
      </c>
      <c r="U394">
        <v>-0.10815429999999999</v>
      </c>
      <c r="V394">
        <v>1.130623E-2</v>
      </c>
      <c r="W394">
        <v>1.8948199999999998E-2</v>
      </c>
      <c r="X394">
        <v>0.99975650000000005</v>
      </c>
      <c r="Y394">
        <v>-9.7140969999999997E-3</v>
      </c>
      <c r="Z394">
        <v>2.0252079999999902E-3</v>
      </c>
      <c r="AA394">
        <v>0.99995080000000003</v>
      </c>
      <c r="AB394">
        <v>60</v>
      </c>
      <c r="AC394">
        <v>27.1739</v>
      </c>
      <c r="AD394">
        <v>-1.1040616677656001</v>
      </c>
      <c r="AE394">
        <v>-0.97539999999997895</v>
      </c>
      <c r="AF394">
        <v>-0.26896886084365401</v>
      </c>
      <c r="AG394">
        <v>-1.1040616677656001</v>
      </c>
      <c r="AH394">
        <v>27.1453129171888</v>
      </c>
      <c r="AI394">
        <v>92.328951871652194</v>
      </c>
      <c r="AJ394">
        <v>90.567695656710796</v>
      </c>
      <c r="AK394">
        <v>27.1690873933305</v>
      </c>
    </row>
    <row r="395" spans="1:37" x14ac:dyDescent="0.2">
      <c r="A395" t="str">
        <f>"20200111153412604"</f>
        <v>20200111153412604</v>
      </c>
      <c r="B395" t="str">
        <f>"1578728052597181"</f>
        <v>1578728052597181</v>
      </c>
      <c r="C395" t="s">
        <v>37</v>
      </c>
      <c r="D395">
        <v>4.7337889999999998</v>
      </c>
      <c r="E395">
        <v>0.49165720000000002</v>
      </c>
      <c r="F395" t="s">
        <v>39</v>
      </c>
      <c r="G395">
        <v>-339.37909999999999</v>
      </c>
      <c r="H395" s="1">
        <v>-8.3294159999999897E-7</v>
      </c>
      <c r="I395">
        <v>367.22770000000003</v>
      </c>
      <c r="J395">
        <v>-366.71190000000001</v>
      </c>
      <c r="K395">
        <v>1.1040760000000001</v>
      </c>
      <c r="L395">
        <v>368.18060000000003</v>
      </c>
      <c r="M395">
        <v>0.99896070000000003</v>
      </c>
      <c r="N395">
        <v>0</v>
      </c>
      <c r="O395">
        <v>-4.5192280000000001E-2</v>
      </c>
      <c r="P395">
        <v>0.99831440000000005</v>
      </c>
      <c r="Q395">
        <v>1.3331519999999999E-2</v>
      </c>
      <c r="R395">
        <v>-5.6484729999999997E-2</v>
      </c>
      <c r="S395">
        <v>3.0007320000000002</v>
      </c>
      <c r="T395">
        <v>-0.11975419999999901</v>
      </c>
      <c r="U395">
        <v>-0.10501099999999999</v>
      </c>
      <c r="V395">
        <v>1.1238659999999999E-2</v>
      </c>
      <c r="W395">
        <v>1.929575E-2</v>
      </c>
      <c r="X395">
        <v>0.99975069999999999</v>
      </c>
      <c r="Y395">
        <v>-1.018346E-2</v>
      </c>
      <c r="Z395">
        <v>2.004554E-3</v>
      </c>
      <c r="AA395">
        <v>0.99994609999999995</v>
      </c>
      <c r="AB395">
        <v>60</v>
      </c>
      <c r="AC395">
        <v>27.332799999999999</v>
      </c>
      <c r="AD395">
        <v>-1.1040768329416</v>
      </c>
      <c r="AE395">
        <v>-0.95289999999999897</v>
      </c>
      <c r="AF395">
        <v>-0.28286590177558402</v>
      </c>
      <c r="AG395">
        <v>-1.1040768329416</v>
      </c>
      <c r="AH395">
        <v>27.303441844907699</v>
      </c>
      <c r="AI395">
        <v>92.315499567298403</v>
      </c>
      <c r="AJ395">
        <v>90.593567749773896</v>
      </c>
      <c r="AK395">
        <v>27.327219678366099</v>
      </c>
    </row>
    <row r="396" spans="1:37" x14ac:dyDescent="0.2">
      <c r="A396" t="str">
        <f>"20200111153412621"</f>
        <v>20200111153412621</v>
      </c>
      <c r="B396" t="str">
        <f>"1578728052616702"</f>
        <v>1578728052616702</v>
      </c>
      <c r="C396" t="s">
        <v>37</v>
      </c>
      <c r="D396">
        <v>4.7428049999999997</v>
      </c>
      <c r="E396">
        <v>0.49162860000000003</v>
      </c>
      <c r="F396" t="s">
        <v>39</v>
      </c>
      <c r="G396">
        <v>-338.77780000000001</v>
      </c>
      <c r="H396" s="1">
        <v>-1.0386169999999999E-6</v>
      </c>
      <c r="I396">
        <v>367.22370000000001</v>
      </c>
      <c r="J396">
        <v>-366.27719999999999</v>
      </c>
      <c r="K396">
        <v>1.1040859999999999</v>
      </c>
      <c r="L396">
        <v>368.16079999999999</v>
      </c>
      <c r="M396">
        <v>0.99899439999999995</v>
      </c>
      <c r="N396">
        <v>0</v>
      </c>
      <c r="O396">
        <v>-4.4441609999999999E-2</v>
      </c>
      <c r="P396">
        <v>0.99838979999999999</v>
      </c>
      <c r="Q396">
        <v>1.3357229999999999E-2</v>
      </c>
      <c r="R396">
        <v>-5.5135169999999997E-2</v>
      </c>
      <c r="S396">
        <v>3.0008240000000002</v>
      </c>
      <c r="T396">
        <v>-0.1186055</v>
      </c>
      <c r="U396">
        <v>-0.10278319999999901</v>
      </c>
      <c r="V396">
        <v>1.063717E-2</v>
      </c>
      <c r="W396">
        <v>1.934104E-2</v>
      </c>
      <c r="X396">
        <v>0.99975630000000004</v>
      </c>
      <c r="Y396">
        <v>-1.0176019999999999E-2</v>
      </c>
      <c r="Z396">
        <v>1.9555499999999999E-3</v>
      </c>
      <c r="AA396">
        <v>0.99994629999999995</v>
      </c>
      <c r="AB396">
        <v>60</v>
      </c>
      <c r="AC396">
        <v>27.499399999999898</v>
      </c>
      <c r="AD396">
        <v>-1.1040870386170001</v>
      </c>
      <c r="AE396">
        <v>-0.93709999999998606</v>
      </c>
      <c r="AF396">
        <v>-0.28550528555024002</v>
      </c>
      <c r="AG396">
        <v>-1.1040870386170001</v>
      </c>
      <c r="AH396">
        <v>27.469646934912799</v>
      </c>
      <c r="AI396">
        <v>92.301525203809902</v>
      </c>
      <c r="AJ396">
        <v>90.595481221046498</v>
      </c>
      <c r="AK396">
        <v>27.493308716589301</v>
      </c>
    </row>
    <row r="397" spans="1:37" x14ac:dyDescent="0.2">
      <c r="A397" t="str">
        <f>"20200111153412634"</f>
        <v>20200111153412634</v>
      </c>
      <c r="B397" t="str">
        <f>"1578728052627439"</f>
        <v>1578728052627439</v>
      </c>
      <c r="C397" t="s">
        <v>37</v>
      </c>
      <c r="D397">
        <v>4.7360110000000004</v>
      </c>
      <c r="E397">
        <v>0.49161929999999998</v>
      </c>
      <c r="F397" t="s">
        <v>39</v>
      </c>
      <c r="G397">
        <v>-338.23880000000003</v>
      </c>
      <c r="H397" s="1">
        <v>-1.2177039999999999E-6</v>
      </c>
      <c r="I397">
        <v>367.24</v>
      </c>
      <c r="J397">
        <v>-365.9248</v>
      </c>
      <c r="K397">
        <v>1.1040859999999999</v>
      </c>
      <c r="L397">
        <v>368.14510000000001</v>
      </c>
      <c r="M397">
        <v>0.99902080000000004</v>
      </c>
      <c r="N397">
        <v>0</v>
      </c>
      <c r="O397">
        <v>-4.384151E-2</v>
      </c>
      <c r="P397">
        <v>0.99843219999999999</v>
      </c>
      <c r="Q397">
        <v>1.3174780000000001E-2</v>
      </c>
      <c r="R397">
        <v>-5.4403390000000003E-2</v>
      </c>
      <c r="S397">
        <v>3.0009459999999999</v>
      </c>
      <c r="T397">
        <v>-0.1181701</v>
      </c>
      <c r="U397">
        <v>-9.8541260000000006E-2</v>
      </c>
      <c r="V397">
        <v>1.050535E-2</v>
      </c>
      <c r="W397">
        <v>1.9175129999999999E-2</v>
      </c>
      <c r="X397">
        <v>0.99976089999999995</v>
      </c>
      <c r="Y397">
        <v>-1.098877E-2</v>
      </c>
      <c r="Z397">
        <v>1.940761E-3</v>
      </c>
      <c r="AA397">
        <v>0.99993770000000004</v>
      </c>
      <c r="AB397">
        <v>60</v>
      </c>
      <c r="AC397">
        <v>27.6859999999999</v>
      </c>
      <c r="AD397">
        <v>-1.104087217704</v>
      </c>
      <c r="AE397">
        <v>-0.90510000000000401</v>
      </c>
      <c r="AF397">
        <v>-0.309096753823</v>
      </c>
      <c r="AG397">
        <v>-1.104087217704</v>
      </c>
      <c r="AH397">
        <v>27.655126855850501</v>
      </c>
      <c r="AI397">
        <v>92.286086637057096</v>
      </c>
      <c r="AJ397">
        <v>90.640358735341707</v>
      </c>
      <c r="AK397">
        <v>27.6788834818297</v>
      </c>
    </row>
    <row r="398" spans="1:37" x14ac:dyDescent="0.2">
      <c r="A398" t="str">
        <f>"20200111153412645"</f>
        <v>20200111153412645</v>
      </c>
      <c r="B398" t="str">
        <f>"1578728052637198"</f>
        <v>1578728052637198</v>
      </c>
      <c r="C398" t="s">
        <v>37</v>
      </c>
      <c r="D398">
        <v>4.7386220000000003</v>
      </c>
      <c r="E398">
        <v>0.4916103</v>
      </c>
      <c r="F398" t="s">
        <v>39</v>
      </c>
      <c r="G398">
        <v>-337.98970000000003</v>
      </c>
      <c r="H398" s="1">
        <v>-1.299546E-6</v>
      </c>
      <c r="I398">
        <v>367.25099999999998</v>
      </c>
      <c r="J398">
        <v>-365.61520000000002</v>
      </c>
      <c r="K398">
        <v>1.104088</v>
      </c>
      <c r="L398">
        <v>368.13130000000001</v>
      </c>
      <c r="M398">
        <v>0.99904349999999997</v>
      </c>
      <c r="N398">
        <v>0</v>
      </c>
      <c r="O398">
        <v>-4.3320810000000001E-2</v>
      </c>
      <c r="P398">
        <v>0.99848150000000002</v>
      </c>
      <c r="Q398">
        <v>1.3113039999999999E-2</v>
      </c>
      <c r="R398">
        <v>-5.35063E-2</v>
      </c>
      <c r="S398">
        <v>3.001007</v>
      </c>
      <c r="T398">
        <v>-0.11860950000000001</v>
      </c>
      <c r="U398">
        <v>-9.6038819999999997E-2</v>
      </c>
      <c r="V398">
        <v>1.0128150000000001E-2</v>
      </c>
      <c r="W398">
        <v>1.9127459999999999E-2</v>
      </c>
      <c r="X398">
        <v>0.99976580000000004</v>
      </c>
      <c r="Y398">
        <v>-1.130104E-2</v>
      </c>
      <c r="Z398">
        <v>1.9335870000000001E-3</v>
      </c>
      <c r="AA398">
        <v>0.99993430000000005</v>
      </c>
      <c r="AB398">
        <v>60</v>
      </c>
      <c r="AC398">
        <v>27.625499999999899</v>
      </c>
      <c r="AD398">
        <v>-1.1040892995460001</v>
      </c>
      <c r="AE398">
        <v>-0.88030000000003295</v>
      </c>
      <c r="AF398">
        <v>-0.31680114375225199</v>
      </c>
      <c r="AG398">
        <v>-1.1040892995460001</v>
      </c>
      <c r="AH398">
        <v>27.593669783256601</v>
      </c>
      <c r="AI398">
        <v>92.291169258028901</v>
      </c>
      <c r="AJ398">
        <v>90.657780250526798</v>
      </c>
      <c r="AK398">
        <v>27.617566660614099</v>
      </c>
    </row>
    <row r="399" spans="1:37" x14ac:dyDescent="0.2">
      <c r="A399" t="str">
        <f>"20200111153412657"</f>
        <v>20200111153412657</v>
      </c>
      <c r="B399" t="str">
        <f>"1578728052646958"</f>
        <v>1578728052646958</v>
      </c>
      <c r="C399" t="s">
        <v>37</v>
      </c>
      <c r="D399">
        <v>4.6968589999999999</v>
      </c>
      <c r="E399">
        <v>0.49159829999999999</v>
      </c>
      <c r="F399" t="s">
        <v>39</v>
      </c>
      <c r="G399">
        <v>-337.7063</v>
      </c>
      <c r="H399" s="1">
        <v>-1.3920939999999901E-6</v>
      </c>
      <c r="I399">
        <v>367.26569999999998</v>
      </c>
      <c r="J399">
        <v>-365.27910000000003</v>
      </c>
      <c r="K399">
        <v>1.1040889999999901</v>
      </c>
      <c r="L399">
        <v>368.11660000000001</v>
      </c>
      <c r="M399">
        <v>0.999067499999999</v>
      </c>
      <c r="N399">
        <v>0</v>
      </c>
      <c r="O399">
        <v>-4.2759579999999998E-2</v>
      </c>
      <c r="P399">
        <v>0.99850949999999905</v>
      </c>
      <c r="Q399">
        <v>1.292015E-2</v>
      </c>
      <c r="R399">
        <v>-5.3026169999999997E-2</v>
      </c>
      <c r="S399">
        <v>3.0011290000000002</v>
      </c>
      <c r="T399">
        <v>-0.1187255</v>
      </c>
      <c r="U399">
        <v>-9.3078610000000006E-2</v>
      </c>
      <c r="V399">
        <v>1.0209630000000001E-2</v>
      </c>
      <c r="W399">
        <v>1.8950580000000002E-2</v>
      </c>
      <c r="X399">
        <v>0.99976830000000005</v>
      </c>
      <c r="Y399">
        <v>-1.172598E-2</v>
      </c>
      <c r="Z399">
        <v>1.9216729999999901E-3</v>
      </c>
      <c r="AA399">
        <v>0.99992939999999997</v>
      </c>
      <c r="AB399">
        <v>60</v>
      </c>
      <c r="AC399">
        <v>27.572800000000001</v>
      </c>
      <c r="AD399">
        <v>-1.104090392094</v>
      </c>
      <c r="AE399">
        <v>-0.85090000000002397</v>
      </c>
      <c r="AF399">
        <v>-0.32837466879576499</v>
      </c>
      <c r="AG399">
        <v>-1.104090392094</v>
      </c>
      <c r="AH399">
        <v>27.539849586693201</v>
      </c>
      <c r="AI399">
        <v>92.295632418097199</v>
      </c>
      <c r="AJ399">
        <v>90.683140661413404</v>
      </c>
      <c r="AK399">
        <v>27.563928616485398</v>
      </c>
    </row>
    <row r="400" spans="1:37" x14ac:dyDescent="0.2">
      <c r="A400" t="str">
        <f>"20200111153412671"</f>
        <v>20200111153412671</v>
      </c>
      <c r="B400" t="str">
        <f>"1578728052666478"</f>
        <v>1578728052666478</v>
      </c>
      <c r="C400" t="s">
        <v>37</v>
      </c>
      <c r="D400">
        <v>4.7409499999999998</v>
      </c>
      <c r="E400">
        <v>0.49158279999999899</v>
      </c>
      <c r="F400" t="s">
        <v>39</v>
      </c>
      <c r="G400">
        <v>-337.47239999999999</v>
      </c>
      <c r="H400" s="1">
        <v>-1.4835059999999901E-6</v>
      </c>
      <c r="I400">
        <v>367.2663</v>
      </c>
      <c r="J400">
        <v>-364.94199999999898</v>
      </c>
      <c r="K400">
        <v>1.1040909999999999</v>
      </c>
      <c r="L400">
        <v>368.10210000000001</v>
      </c>
      <c r="M400">
        <v>0.99909079999999995</v>
      </c>
      <c r="N400">
        <v>0</v>
      </c>
      <c r="O400">
        <v>-4.22079E-2</v>
      </c>
      <c r="P400">
        <v>0.99855329999999998</v>
      </c>
      <c r="Q400">
        <v>1.3051770000000001E-2</v>
      </c>
      <c r="R400">
        <v>-5.2163040000000001E-2</v>
      </c>
      <c r="S400">
        <v>3.0011899999999998</v>
      </c>
      <c r="T400">
        <v>-0.119164899999999</v>
      </c>
      <c r="U400">
        <v>-9.1766360000000005E-2</v>
      </c>
      <c r="V400">
        <v>9.8966560000000002E-3</v>
      </c>
      <c r="W400">
        <v>1.9097429999999999E-2</v>
      </c>
      <c r="X400">
        <v>0.99976869999999995</v>
      </c>
      <c r="Y400">
        <v>-1.161147E-2</v>
      </c>
      <c r="Z400">
        <v>1.904616E-3</v>
      </c>
      <c r="AA400">
        <v>0.99993080000000001</v>
      </c>
      <c r="AB400">
        <v>60</v>
      </c>
      <c r="AC400">
        <v>27.4695999999999</v>
      </c>
      <c r="AD400">
        <v>-1.104092483506</v>
      </c>
      <c r="AE400">
        <v>-0.83580000000000598</v>
      </c>
      <c r="AF400">
        <v>-0.32387715051371102</v>
      </c>
      <c r="AG400">
        <v>-1.104092483506</v>
      </c>
      <c r="AH400">
        <v>27.436115592366701</v>
      </c>
      <c r="AI400">
        <v>92.304310307000094</v>
      </c>
      <c r="AJ400">
        <v>90.676332326819804</v>
      </c>
      <c r="AK400">
        <v>27.4602322535419</v>
      </c>
    </row>
    <row r="401" spans="1:37" x14ac:dyDescent="0.2">
      <c r="A401" t="str">
        <f>"20200111153412684"</f>
        <v>20200111153412684</v>
      </c>
      <c r="B401" t="str">
        <f>"1578728052677214"</f>
        <v>1578728052677214</v>
      </c>
      <c r="C401" t="s">
        <v>37</v>
      </c>
      <c r="D401">
        <v>4.760561</v>
      </c>
      <c r="E401">
        <v>0.49157299999999998</v>
      </c>
      <c r="F401" t="s">
        <v>39</v>
      </c>
      <c r="G401">
        <v>-337.0016</v>
      </c>
      <c r="H401" s="1">
        <v>-1.6844370000000001E-6</v>
      </c>
      <c r="I401">
        <v>367.2722</v>
      </c>
      <c r="J401">
        <v>-364.5883</v>
      </c>
      <c r="K401">
        <v>1.1040920000000001</v>
      </c>
      <c r="L401">
        <v>368.08710000000002</v>
      </c>
      <c r="M401">
        <v>0.99911469999999902</v>
      </c>
      <c r="N401">
        <v>0</v>
      </c>
      <c r="O401">
        <v>-4.1634530000000003E-2</v>
      </c>
      <c r="P401">
        <v>0.99857149999999995</v>
      </c>
      <c r="Q401">
        <v>1.2934029999999999E-2</v>
      </c>
      <c r="R401">
        <v>-5.1841140000000001E-2</v>
      </c>
      <c r="S401">
        <v>3.0012819999999998</v>
      </c>
      <c r="T401">
        <v>-0.1185986</v>
      </c>
      <c r="U401">
        <v>-8.9141849999999995E-2</v>
      </c>
      <c r="V401">
        <v>1.0148610000000001E-2</v>
      </c>
      <c r="W401">
        <v>1.899731E-2</v>
      </c>
      <c r="X401">
        <v>0.99976799999999999</v>
      </c>
      <c r="Y401">
        <v>-1.191278E-2</v>
      </c>
      <c r="Z401">
        <v>1.8788729999999899E-3</v>
      </c>
      <c r="AA401">
        <v>0.99992729999999996</v>
      </c>
      <c r="AB401">
        <v>60</v>
      </c>
      <c r="AC401">
        <v>27.5867</v>
      </c>
      <c r="AD401">
        <v>-1.104093684437</v>
      </c>
      <c r="AE401">
        <v>-0.81490000000002205</v>
      </c>
      <c r="AF401">
        <v>-0.333852498930027</v>
      </c>
      <c r="AG401">
        <v>-1.104093684437</v>
      </c>
      <c r="AH401">
        <v>27.552611782853401</v>
      </c>
      <c r="AI401">
        <v>92.294571742676297</v>
      </c>
      <c r="AJ401">
        <v>90.694213792293496</v>
      </c>
      <c r="AK401">
        <v>27.576745573248601</v>
      </c>
    </row>
    <row r="402" spans="1:37" x14ac:dyDescent="0.2">
      <c r="A402" t="str">
        <f>"20200111153412700"</f>
        <v>20200111153412700</v>
      </c>
      <c r="B402" t="str">
        <f>"1578728052686975"</f>
        <v>1578728052686975</v>
      </c>
      <c r="C402" t="s">
        <v>37</v>
      </c>
      <c r="D402">
        <v>4.7446919999999997</v>
      </c>
      <c r="E402">
        <v>0.49155529999999997</v>
      </c>
      <c r="F402" t="s">
        <v>39</v>
      </c>
      <c r="G402">
        <v>-336.70960000000002</v>
      </c>
      <c r="H402" s="1">
        <v>-1.8107019999999999E-6</v>
      </c>
      <c r="I402">
        <v>367.26659999999998</v>
      </c>
      <c r="J402">
        <v>-364.15370000000001</v>
      </c>
      <c r="K402">
        <v>1.104093</v>
      </c>
      <c r="L402">
        <v>368.06880000000001</v>
      </c>
      <c r="M402">
        <v>0.99914349999999996</v>
      </c>
      <c r="N402">
        <v>0</v>
      </c>
      <c r="O402">
        <v>-4.0939570000000002E-2</v>
      </c>
      <c r="P402">
        <v>0.99856590000000001</v>
      </c>
      <c r="Q402">
        <v>1.3652289999999999E-2</v>
      </c>
      <c r="R402">
        <v>-5.1769229999999999E-2</v>
      </c>
      <c r="S402">
        <v>3.0012509999999999</v>
      </c>
      <c r="T402">
        <v>-0.1188596</v>
      </c>
      <c r="U402">
        <v>-8.8317870000000007E-2</v>
      </c>
      <c r="V402">
        <v>1.07698E-2</v>
      </c>
      <c r="W402">
        <v>1.973865E-2</v>
      </c>
      <c r="X402">
        <v>0.99974719999999995</v>
      </c>
      <c r="Y402">
        <v>-1.1491929999999999E-2</v>
      </c>
      <c r="Z402">
        <v>1.847226E-3</v>
      </c>
      <c r="AA402">
        <v>0.9999323</v>
      </c>
      <c r="AB402">
        <v>60</v>
      </c>
      <c r="AC402">
        <v>27.444099999999899</v>
      </c>
      <c r="AD402">
        <v>-1.1040948107019899</v>
      </c>
      <c r="AE402">
        <v>-0.802200000000027</v>
      </c>
      <c r="AF402">
        <v>-0.32152262668189602</v>
      </c>
      <c r="AG402">
        <v>-1.1040948107019899</v>
      </c>
      <c r="AH402">
        <v>27.409608230970498</v>
      </c>
      <c r="AI402">
        <v>92.306543235923698</v>
      </c>
      <c r="AJ402">
        <v>90.672065229559294</v>
      </c>
      <c r="AK402">
        <v>27.433720592106599</v>
      </c>
    </row>
    <row r="403" spans="1:37" x14ac:dyDescent="0.2">
      <c r="A403" t="str">
        <f>"20200111153412712"</f>
        <v>20200111153412712</v>
      </c>
      <c r="B403" t="str">
        <f>"1578728052707471"</f>
        <v>1578728052707471</v>
      </c>
      <c r="C403" t="s">
        <v>37</v>
      </c>
      <c r="D403">
        <v>4.670293</v>
      </c>
      <c r="E403">
        <v>0.49152709999999999</v>
      </c>
      <c r="F403" t="s">
        <v>39</v>
      </c>
      <c r="G403">
        <v>-335.74919999999997</v>
      </c>
      <c r="H403" s="1">
        <v>-2.2277150000000001E-6</v>
      </c>
      <c r="I403">
        <v>367.23840000000001</v>
      </c>
      <c r="J403">
        <v>-363.8057</v>
      </c>
      <c r="K403">
        <v>1.104093</v>
      </c>
      <c r="L403">
        <v>368.05439999999999</v>
      </c>
      <c r="M403">
        <v>0.99916550000000004</v>
      </c>
      <c r="N403">
        <v>0</v>
      </c>
      <c r="O403">
        <v>-4.0393730000000003E-2</v>
      </c>
      <c r="P403">
        <v>0.99857090000000004</v>
      </c>
      <c r="Q403">
        <v>1.435853E-2</v>
      </c>
      <c r="R403">
        <v>-5.1483250000000001E-2</v>
      </c>
      <c r="S403">
        <v>3.0013730000000001</v>
      </c>
      <c r="T403">
        <v>-0.1166642</v>
      </c>
      <c r="U403">
        <v>-8.7738040000000003E-2</v>
      </c>
      <c r="V403">
        <v>1.102736E-2</v>
      </c>
      <c r="W403">
        <v>2.0462339999999999E-2</v>
      </c>
      <c r="X403">
        <v>0.9997298</v>
      </c>
      <c r="Y403">
        <v>-1.1142060000000001E-2</v>
      </c>
      <c r="Z403">
        <v>1.7850839999999999E-3</v>
      </c>
      <c r="AA403">
        <v>0.9999363</v>
      </c>
      <c r="AB403">
        <v>60</v>
      </c>
      <c r="AC403">
        <v>28.0565</v>
      </c>
      <c r="AD403">
        <v>-1.104095227715</v>
      </c>
      <c r="AE403">
        <v>-0.81599999999997397</v>
      </c>
      <c r="AF403">
        <v>-0.31750218900606503</v>
      </c>
      <c r="AG403">
        <v>-1.104095227715</v>
      </c>
      <c r="AH403">
        <v>28.023201727660499</v>
      </c>
      <c r="AI403">
        <v>92.256103396546294</v>
      </c>
      <c r="AJ403">
        <v>90.649132003087303</v>
      </c>
      <c r="AK403">
        <v>28.046740790705801</v>
      </c>
    </row>
    <row r="404" spans="1:37" x14ac:dyDescent="0.2">
      <c r="A404" t="str">
        <f>"20200111153412726"</f>
        <v>20200111153412726</v>
      </c>
      <c r="B404" t="str">
        <f>"1578728052717230"</f>
        <v>1578728052717230</v>
      </c>
      <c r="C404" t="s">
        <v>37</v>
      </c>
      <c r="D404">
        <v>4.7392959999999897</v>
      </c>
      <c r="E404">
        <v>0.49149680000000001</v>
      </c>
      <c r="F404" t="s">
        <v>39</v>
      </c>
      <c r="G404">
        <v>-334.84359999999998</v>
      </c>
      <c r="H404" s="1">
        <v>-2.6200279999999998E-6</v>
      </c>
      <c r="I404">
        <v>367.21690000000001</v>
      </c>
      <c r="J404">
        <v>-363.44589999999999</v>
      </c>
      <c r="K404">
        <v>1.1040939999999999</v>
      </c>
      <c r="L404">
        <v>368.03980000000001</v>
      </c>
      <c r="M404">
        <v>0.99918779999999996</v>
      </c>
      <c r="N404">
        <v>0</v>
      </c>
      <c r="O404">
        <v>-3.9835620000000002E-2</v>
      </c>
      <c r="P404">
        <v>0.9985676</v>
      </c>
      <c r="Q404">
        <v>1.5075440000000001E-2</v>
      </c>
      <c r="R404">
        <v>-5.1339940000000001E-2</v>
      </c>
      <c r="S404">
        <v>3.0014340000000002</v>
      </c>
      <c r="T404">
        <v>-0.1144208</v>
      </c>
      <c r="U404">
        <v>-8.6791989999999999E-2</v>
      </c>
      <c r="V404">
        <v>1.1440219999999999E-2</v>
      </c>
      <c r="W404">
        <v>2.1197939999999998E-2</v>
      </c>
      <c r="X404">
        <v>0.99970979999999998</v>
      </c>
      <c r="Y404">
        <v>-1.09011E-2</v>
      </c>
      <c r="Z404">
        <v>1.724923E-3</v>
      </c>
      <c r="AA404">
        <v>0.99993909999999997</v>
      </c>
      <c r="AB404">
        <v>60</v>
      </c>
      <c r="AC404">
        <v>28.6023</v>
      </c>
      <c r="AD404">
        <v>-1.104096620028</v>
      </c>
      <c r="AE404">
        <v>-0.82290000000000396</v>
      </c>
      <c r="AF404">
        <v>-0.31669304870922199</v>
      </c>
      <c r="AG404">
        <v>-1.104096620028</v>
      </c>
      <c r="AH404">
        <v>28.569840927306501</v>
      </c>
      <c r="AI404">
        <v>92.212988584567398</v>
      </c>
      <c r="AJ404">
        <v>90.635090408819906</v>
      </c>
      <c r="AK404">
        <v>28.592921054783002</v>
      </c>
    </row>
    <row r="405" spans="1:37" x14ac:dyDescent="0.2">
      <c r="A405" t="str">
        <f>"20200111153412740"</f>
        <v>20200111153412740</v>
      </c>
      <c r="B405" t="str">
        <f>"1578728052736749"</f>
        <v>1578728052736749</v>
      </c>
      <c r="C405" t="s">
        <v>37</v>
      </c>
      <c r="D405">
        <v>4.7453149999999997</v>
      </c>
      <c r="E405">
        <v>0.49142590000000003</v>
      </c>
      <c r="F405" t="s">
        <v>39</v>
      </c>
      <c r="G405">
        <v>-333.9554</v>
      </c>
      <c r="H405" s="1">
        <v>-3.0053499999999999E-6</v>
      </c>
      <c r="I405">
        <v>367.1927</v>
      </c>
      <c r="J405">
        <v>-363.0591</v>
      </c>
      <c r="K405">
        <v>1.104093</v>
      </c>
      <c r="L405">
        <v>368.02420000000001</v>
      </c>
      <c r="M405">
        <v>0.99921119999999997</v>
      </c>
      <c r="N405">
        <v>0</v>
      </c>
      <c r="O405">
        <v>-3.9242480000000003E-2</v>
      </c>
      <c r="P405">
        <v>0.99857459999999898</v>
      </c>
      <c r="Q405">
        <v>1.5942970000000001E-2</v>
      </c>
      <c r="R405">
        <v>-5.0938799999999999E-2</v>
      </c>
      <c r="S405">
        <v>3.0015559999999999</v>
      </c>
      <c r="T405">
        <v>-0.1123755</v>
      </c>
      <c r="U405">
        <v>-8.6212159999999996E-2</v>
      </c>
      <c r="V405">
        <v>1.1629509999999999E-2</v>
      </c>
      <c r="W405">
        <v>2.2083700000000001E-2</v>
      </c>
      <c r="X405">
        <v>0.99968849999999998</v>
      </c>
      <c r="Y405">
        <v>-1.050369E-2</v>
      </c>
      <c r="Z405">
        <v>1.6644369999999999E-3</v>
      </c>
      <c r="AA405">
        <v>0.99994340000000004</v>
      </c>
      <c r="AB405">
        <v>61</v>
      </c>
      <c r="AC405">
        <v>29.1037</v>
      </c>
      <c r="AD405">
        <v>-1.10409600535</v>
      </c>
      <c r="AE405">
        <v>-0.83150000000000501</v>
      </c>
      <c r="AF405">
        <v>-0.31081605402807799</v>
      </c>
      <c r="AG405">
        <v>-1.10409600535</v>
      </c>
      <c r="AH405">
        <v>29.072105740948501</v>
      </c>
      <c r="AI405">
        <v>92.174800979494506</v>
      </c>
      <c r="AJ405">
        <v>90.612538004369597</v>
      </c>
      <c r="AK405">
        <v>29.094724037553</v>
      </c>
    </row>
    <row r="406" spans="1:37" x14ac:dyDescent="0.2">
      <c r="A406" t="str">
        <f>"20200111153412756"</f>
        <v>20200111153412756</v>
      </c>
      <c r="B406" t="str">
        <f>"1578728052746509"</f>
        <v>1578728052746509</v>
      </c>
      <c r="C406" t="s">
        <v>37</v>
      </c>
      <c r="D406">
        <v>4.7308250000000003</v>
      </c>
      <c r="E406">
        <v>0.49138509999999902</v>
      </c>
      <c r="F406" t="s">
        <v>39</v>
      </c>
      <c r="G406">
        <v>-332.94529999999997</v>
      </c>
      <c r="H406" s="1">
        <v>-3.4415870000000001E-6</v>
      </c>
      <c r="I406">
        <v>367.1764</v>
      </c>
      <c r="J406">
        <v>-362.62639999999999</v>
      </c>
      <c r="K406">
        <v>1.104098</v>
      </c>
      <c r="L406">
        <v>368.00709999999998</v>
      </c>
      <c r="M406">
        <v>0.99923649999999997</v>
      </c>
      <c r="N406">
        <v>0</v>
      </c>
      <c r="O406">
        <v>-3.8589730000000003E-2</v>
      </c>
      <c r="P406">
        <v>0.99854730000000003</v>
      </c>
      <c r="Q406">
        <v>1.7696920000000001E-2</v>
      </c>
      <c r="R406">
        <v>-5.0892710000000001E-2</v>
      </c>
      <c r="S406">
        <v>3.001709</v>
      </c>
      <c r="T406">
        <v>-0.11005479999999999</v>
      </c>
      <c r="U406">
        <v>-8.4503170000000002E-2</v>
      </c>
      <c r="V406">
        <v>1.2231560000000001E-2</v>
      </c>
      <c r="W406">
        <v>2.38604E-2</v>
      </c>
      <c r="X406">
        <v>0.99964050000000004</v>
      </c>
      <c r="Y406">
        <v>-1.04227E-2</v>
      </c>
      <c r="Z406">
        <v>1.6046389999999999E-3</v>
      </c>
      <c r="AA406">
        <v>0.99994439999999996</v>
      </c>
      <c r="AB406">
        <v>61</v>
      </c>
      <c r="AC406">
        <v>29.681100000000001</v>
      </c>
      <c r="AD406">
        <v>-1.1041014415870001</v>
      </c>
      <c r="AE406">
        <v>-0.83069999999997801</v>
      </c>
      <c r="AF406">
        <v>-0.31489035868888399</v>
      </c>
      <c r="AG406">
        <v>-1.1041014415870001</v>
      </c>
      <c r="AH406">
        <v>29.6500517883564</v>
      </c>
      <c r="AI406">
        <v>92.132460853911596</v>
      </c>
      <c r="AJ406">
        <v>90.608471459894403</v>
      </c>
      <c r="AK406">
        <v>29.672272696636</v>
      </c>
    </row>
    <row r="407" spans="1:37" x14ac:dyDescent="0.2">
      <c r="A407" t="str">
        <f>"20200111153412770"</f>
        <v>20200111153412770</v>
      </c>
      <c r="B407" t="str">
        <f>"1578728052767008"</f>
        <v>1578728052767008</v>
      </c>
      <c r="C407" t="s">
        <v>37</v>
      </c>
      <c r="D407">
        <v>4.7914260000000004</v>
      </c>
      <c r="E407">
        <v>0.49130299999999999</v>
      </c>
      <c r="F407" t="s">
        <v>39</v>
      </c>
      <c r="G407">
        <v>-331.00659999999999</v>
      </c>
      <c r="H407" s="1">
        <v>-4.2832029999999998E-6</v>
      </c>
      <c r="I407">
        <v>367.12049999999999</v>
      </c>
      <c r="J407">
        <v>-362.25240000000002</v>
      </c>
      <c r="K407">
        <v>1.104096</v>
      </c>
      <c r="L407">
        <v>367.99259999999998</v>
      </c>
      <c r="M407">
        <v>0.99925769999999903</v>
      </c>
      <c r="N407">
        <v>0</v>
      </c>
      <c r="O407">
        <v>-3.8034970000000001E-2</v>
      </c>
      <c r="P407">
        <v>0.99855210000000005</v>
      </c>
      <c r="Q407">
        <v>1.8472590000000001E-2</v>
      </c>
      <c r="R407">
        <v>-5.0524319999999998E-2</v>
      </c>
      <c r="S407">
        <v>3.0019230000000001</v>
      </c>
      <c r="T407">
        <v>-0.10482080000000001</v>
      </c>
      <c r="U407">
        <v>-8.4167480000000003E-2</v>
      </c>
      <c r="V407">
        <v>1.241573E-2</v>
      </c>
      <c r="W407">
        <v>2.4654099999999901E-2</v>
      </c>
      <c r="X407">
        <v>0.99961889999999998</v>
      </c>
      <c r="Y407">
        <v>-9.9849510000000006E-3</v>
      </c>
      <c r="Z407">
        <v>1.5012839999999901E-3</v>
      </c>
      <c r="AA407">
        <v>0.99994899999999998</v>
      </c>
      <c r="AB407">
        <v>61</v>
      </c>
      <c r="AC407">
        <v>31.245799999999999</v>
      </c>
      <c r="AD407">
        <v>-1.104100283203</v>
      </c>
      <c r="AE407">
        <v>-0.872099999999989</v>
      </c>
      <c r="AF407">
        <v>-0.31659135384632903</v>
      </c>
      <c r="AG407">
        <v>-1.104100283203</v>
      </c>
      <c r="AH407">
        <v>31.2174122300469</v>
      </c>
      <c r="AI407">
        <v>92.025493957814206</v>
      </c>
      <c r="AJ407">
        <v>90.5810451690581</v>
      </c>
      <c r="AK407">
        <v>31.238535398788802</v>
      </c>
    </row>
    <row r="408" spans="1:37" x14ac:dyDescent="0.2">
      <c r="A408" t="str">
        <f>"20200111153412783"</f>
        <v>20200111153412783</v>
      </c>
      <c r="B408" t="str">
        <f>"1578728052776766"</f>
        <v>1578728052776766</v>
      </c>
      <c r="C408" t="s">
        <v>37</v>
      </c>
      <c r="D408">
        <v>4.7732269999999897</v>
      </c>
      <c r="E408">
        <v>0.49126909999999901</v>
      </c>
      <c r="F408" t="s">
        <v>39</v>
      </c>
      <c r="G408">
        <v>-329.98009999999999</v>
      </c>
      <c r="H408" s="1">
        <v>-4.7255139999999999E-6</v>
      </c>
      <c r="I408">
        <v>367.10930000000002</v>
      </c>
      <c r="J408">
        <v>-361.88630000000001</v>
      </c>
      <c r="K408">
        <v>1.10409</v>
      </c>
      <c r="L408">
        <v>367.9785</v>
      </c>
      <c r="M408">
        <v>0.99927779999999999</v>
      </c>
      <c r="N408">
        <v>0</v>
      </c>
      <c r="O408">
        <v>-3.749893E-2</v>
      </c>
      <c r="P408">
        <v>0.99855890000000003</v>
      </c>
      <c r="Q408">
        <v>1.8954720000000001E-2</v>
      </c>
      <c r="R408">
        <v>-5.0207870000000002E-2</v>
      </c>
      <c r="S408">
        <v>3.0021059999999999</v>
      </c>
      <c r="T408">
        <v>-0.10270789999999901</v>
      </c>
      <c r="U408">
        <v>-8.2153320000000002E-2</v>
      </c>
      <c r="V408">
        <v>1.263415E-2</v>
      </c>
      <c r="W408">
        <v>2.515367E-2</v>
      </c>
      <c r="X408">
        <v>0.99960369999999998</v>
      </c>
      <c r="Y408">
        <v>-1.0122030000000001E-2</v>
      </c>
      <c r="Z408">
        <v>1.4549949999999999E-3</v>
      </c>
      <c r="AA408">
        <v>0.999947699999999</v>
      </c>
      <c r="AB408">
        <v>61</v>
      </c>
      <c r="AC408">
        <v>31.906199999999998</v>
      </c>
      <c r="AD408">
        <v>-1.1040947255139999</v>
      </c>
      <c r="AE408">
        <v>-0.86919999999997799</v>
      </c>
      <c r="AF408">
        <v>-0.32749041147771901</v>
      </c>
      <c r="AG408">
        <v>-1.1040947255139999</v>
      </c>
      <c r="AH408">
        <v>31.8782084782449</v>
      </c>
      <c r="AI408">
        <v>91.983529200053397</v>
      </c>
      <c r="AJ408">
        <v>90.588588858871603</v>
      </c>
      <c r="AK408">
        <v>31.899003917285</v>
      </c>
    </row>
    <row r="409" spans="1:37" x14ac:dyDescent="0.2">
      <c r="A409" t="str">
        <f>"20200111153412800"</f>
        <v>20200111153412800</v>
      </c>
      <c r="B409" t="str">
        <f>"1578728052797262"</f>
        <v>1578728052797262</v>
      </c>
      <c r="C409" t="s">
        <v>37</v>
      </c>
      <c r="D409">
        <v>4.7471930000000002</v>
      </c>
      <c r="E409">
        <v>0.49120710000000001</v>
      </c>
      <c r="F409" t="s">
        <v>39</v>
      </c>
      <c r="G409">
        <v>-329.19709999999998</v>
      </c>
      <c r="H409" s="1">
        <v>-9.2996790000000001E-7</v>
      </c>
      <c r="I409">
        <v>367.0958</v>
      </c>
      <c r="J409">
        <v>-361.43830000000003</v>
      </c>
      <c r="K409">
        <v>1.1040749999999999</v>
      </c>
      <c r="L409">
        <v>367.9615</v>
      </c>
      <c r="M409">
        <v>0.99930149999999995</v>
      </c>
      <c r="N409">
        <v>0</v>
      </c>
      <c r="O409">
        <v>-3.6856939999999998E-2</v>
      </c>
      <c r="P409">
        <v>0.99855780000000005</v>
      </c>
      <c r="Q409">
        <v>1.9757009999999998E-2</v>
      </c>
      <c r="R409">
        <v>-4.9917860000000001E-2</v>
      </c>
      <c r="S409">
        <v>3.002167</v>
      </c>
      <c r="T409">
        <v>-0.101398899999999</v>
      </c>
      <c r="U409">
        <v>-8.1054689999999999E-2</v>
      </c>
      <c r="V409">
        <v>1.2984600000000001E-2</v>
      </c>
      <c r="W409">
        <v>2.5977859999999998E-2</v>
      </c>
      <c r="X409">
        <v>0.99957819999999997</v>
      </c>
      <c r="Y409">
        <v>-9.8470629999999996E-3</v>
      </c>
      <c r="Z409">
        <v>1.410145E-3</v>
      </c>
      <c r="AA409">
        <v>0.99995049999999996</v>
      </c>
      <c r="AB409">
        <v>61</v>
      </c>
      <c r="AC409">
        <v>32.241199999999999</v>
      </c>
      <c r="AD409">
        <v>-1.1040759299678999</v>
      </c>
      <c r="AE409">
        <v>-0.86570000000000302</v>
      </c>
      <c r="AF409">
        <v>-0.32284450226168698</v>
      </c>
      <c r="AG409">
        <v>-1.1040759299678999</v>
      </c>
      <c r="AH409">
        <v>32.213452107114001</v>
      </c>
      <c r="AI409">
        <v>91.962874561845197</v>
      </c>
      <c r="AJ409">
        <v>90.574201364260105</v>
      </c>
      <c r="AK409">
        <v>32.233983757660198</v>
      </c>
    </row>
    <row r="410" spans="1:37" x14ac:dyDescent="0.2">
      <c r="A410" t="str">
        <f>"20200111153412811"</f>
        <v>20200111153412811</v>
      </c>
      <c r="B410" t="str">
        <f>"1578728052807022"</f>
        <v>1578728052807022</v>
      </c>
      <c r="C410" t="s">
        <v>37</v>
      </c>
      <c r="D410">
        <v>4.7416089999999897</v>
      </c>
      <c r="E410">
        <v>0.49117549999999999</v>
      </c>
      <c r="F410" t="s">
        <v>39</v>
      </c>
      <c r="G410">
        <v>-328.03120000000001</v>
      </c>
      <c r="H410" s="1">
        <v>-1.3323210000000001E-6</v>
      </c>
      <c r="I410">
        <v>367.07479999999998</v>
      </c>
      <c r="J410">
        <v>-361.11149999999998</v>
      </c>
      <c r="K410">
        <v>1.1040589999999999</v>
      </c>
      <c r="L410">
        <v>367.94940000000003</v>
      </c>
      <c r="M410">
        <v>0.99931809999999999</v>
      </c>
      <c r="N410">
        <v>0</v>
      </c>
      <c r="O410">
        <v>-3.6403409999999997E-2</v>
      </c>
      <c r="P410">
        <v>0.99856699999999998</v>
      </c>
      <c r="Q410">
        <v>1.985951E-2</v>
      </c>
      <c r="R410">
        <v>-4.9698810000000003E-2</v>
      </c>
      <c r="S410">
        <v>3.0023499999999999</v>
      </c>
      <c r="T410">
        <v>-9.9224690000000004E-2</v>
      </c>
      <c r="U410">
        <v>-7.9681399999999999E-2</v>
      </c>
      <c r="V410">
        <v>1.3219160000000001E-2</v>
      </c>
      <c r="W410">
        <v>2.6096069999999999E-2</v>
      </c>
      <c r="X410">
        <v>0.99957199999999902</v>
      </c>
      <c r="Y410">
        <v>-9.8533100000000005E-3</v>
      </c>
      <c r="Z410">
        <v>1.364983E-3</v>
      </c>
      <c r="AA410">
        <v>0.99995049999999996</v>
      </c>
      <c r="AB410">
        <v>61</v>
      </c>
      <c r="AC410">
        <v>33.080299999999902</v>
      </c>
      <c r="AD410">
        <v>-1.1040603323210001</v>
      </c>
      <c r="AE410">
        <v>-0.87460000000004301</v>
      </c>
      <c r="AF410">
        <v>-0.32987122174536099</v>
      </c>
      <c r="AG410">
        <v>-1.1040603323210001</v>
      </c>
      <c r="AH410">
        <v>33.053419252500603</v>
      </c>
      <c r="AI410">
        <v>91.913004527694596</v>
      </c>
      <c r="AJ410">
        <v>90.571789599105401</v>
      </c>
      <c r="AK410">
        <v>33.073498280676603</v>
      </c>
    </row>
    <row r="411" spans="1:37" x14ac:dyDescent="0.2">
      <c r="A411" t="str">
        <f>"20200111153412824"</f>
        <v>20200111153412824</v>
      </c>
      <c r="B411" t="str">
        <f>"1578728052816782"</f>
        <v>1578728052816782</v>
      </c>
      <c r="C411" t="s">
        <v>37</v>
      </c>
      <c r="D411">
        <v>4.7119309999999999</v>
      </c>
      <c r="E411">
        <v>0.49114409999999997</v>
      </c>
      <c r="F411" t="s">
        <v>39</v>
      </c>
      <c r="G411">
        <v>-327.63929999999999</v>
      </c>
      <c r="H411" s="1">
        <v>-1.4672059999999899E-6</v>
      </c>
      <c r="I411">
        <v>367.06909999999999</v>
      </c>
      <c r="J411">
        <v>-360.77760000000001</v>
      </c>
      <c r="K411">
        <v>1.1040399999999999</v>
      </c>
      <c r="L411">
        <v>367.93709999999999</v>
      </c>
      <c r="M411">
        <v>0.99933449999999902</v>
      </c>
      <c r="N411">
        <v>0</v>
      </c>
      <c r="O411">
        <v>-3.5948210000000001E-2</v>
      </c>
      <c r="P411">
        <v>0.99857859999999998</v>
      </c>
      <c r="Q411">
        <v>1.9633339999999999E-2</v>
      </c>
      <c r="R411">
        <v>-4.9552980000000003E-2</v>
      </c>
      <c r="S411">
        <v>3.00238</v>
      </c>
      <c r="T411">
        <v>-9.9031330000000001E-2</v>
      </c>
      <c r="U411">
        <v>-7.8948969999999993E-2</v>
      </c>
      <c r="V411">
        <v>1.3530189999999999E-2</v>
      </c>
      <c r="W411">
        <v>2.5886329999999999E-2</v>
      </c>
      <c r="X411">
        <v>0.9995733</v>
      </c>
      <c r="Y411">
        <v>-9.6423299999999993E-3</v>
      </c>
      <c r="Z411">
        <v>1.343842E-3</v>
      </c>
      <c r="AA411">
        <v>0.99995259999999997</v>
      </c>
      <c r="AB411">
        <v>61</v>
      </c>
      <c r="AC411">
        <v>33.138300000000001</v>
      </c>
      <c r="AD411">
        <v>-1.1040414672059999</v>
      </c>
      <c r="AE411">
        <v>-0.867999999999994</v>
      </c>
      <c r="AF411">
        <v>-0.32348760585936698</v>
      </c>
      <c r="AG411">
        <v>-1.1040414672059999</v>
      </c>
      <c r="AH411">
        <v>33.111356686293099</v>
      </c>
      <c r="AI411">
        <v>91.909631035490506</v>
      </c>
      <c r="AJ411">
        <v>90.559744049889304</v>
      </c>
      <c r="AK411">
        <v>33.131337030059299</v>
      </c>
    </row>
    <row r="412" spans="1:37" x14ac:dyDescent="0.2">
      <c r="A412" t="str">
        <f>"20200111153412836"</f>
        <v>20200111153412836</v>
      </c>
      <c r="B412" t="str">
        <f>"1578728052826542"</f>
        <v>1578728052826542</v>
      </c>
      <c r="C412" t="s">
        <v>37</v>
      </c>
      <c r="D412">
        <v>4.711436</v>
      </c>
      <c r="E412">
        <v>0.4911124</v>
      </c>
      <c r="F412" t="s">
        <v>39</v>
      </c>
      <c r="G412">
        <v>-327.58429999999998</v>
      </c>
      <c r="H412" s="1">
        <v>-1.4846139999999999E-6</v>
      </c>
      <c r="I412">
        <v>367.07400000000001</v>
      </c>
      <c r="J412">
        <v>-360.42750000000001</v>
      </c>
      <c r="K412">
        <v>1.1040190000000001</v>
      </c>
      <c r="L412">
        <v>367.92439999999999</v>
      </c>
      <c r="M412">
        <v>0.99935099999999999</v>
      </c>
      <c r="N412">
        <v>0</v>
      </c>
      <c r="O412">
        <v>-3.5481459999999999E-2</v>
      </c>
      <c r="P412">
        <v>0.998596699999999</v>
      </c>
      <c r="Q412">
        <v>1.9479150000000001E-2</v>
      </c>
      <c r="R412">
        <v>-4.9246909999999998E-2</v>
      </c>
      <c r="S412">
        <v>3.00238</v>
      </c>
      <c r="T412">
        <v>-9.9861740000000004E-2</v>
      </c>
      <c r="U412">
        <v>-7.8063960000000002E-2</v>
      </c>
      <c r="V412">
        <v>1.36920999999999E-2</v>
      </c>
      <c r="W412">
        <v>2.5748569999999998E-2</v>
      </c>
      <c r="X412">
        <v>0.99957469999999904</v>
      </c>
      <c r="Y412">
        <v>-9.469791E-3</v>
      </c>
      <c r="Z412">
        <v>1.336736E-3</v>
      </c>
      <c r="AA412">
        <v>0.99995429999999996</v>
      </c>
      <c r="AB412">
        <v>61</v>
      </c>
      <c r="AC412">
        <v>32.843200000000003</v>
      </c>
      <c r="AD412">
        <v>-1.104020484614</v>
      </c>
      <c r="AE412">
        <v>-0.85039999999997895</v>
      </c>
      <c r="AF412">
        <v>-0.31512685022994302</v>
      </c>
      <c r="AG412">
        <v>-1.104020484614</v>
      </c>
      <c r="AH412">
        <v>32.815637458794299</v>
      </c>
      <c r="AI412">
        <v>91.926793343368303</v>
      </c>
      <c r="AJ412">
        <v>90.550191462197205</v>
      </c>
      <c r="AK412">
        <v>32.835715737428401</v>
      </c>
    </row>
    <row r="413" spans="1:37" x14ac:dyDescent="0.2">
      <c r="A413" t="str">
        <f>"20200111153412849"</f>
        <v>20200111153412849</v>
      </c>
      <c r="B413" t="str">
        <f>"1578728052837279"</f>
        <v>1578728052837279</v>
      </c>
      <c r="C413" t="s">
        <v>37</v>
      </c>
      <c r="D413">
        <v>4.7639809999999896</v>
      </c>
      <c r="E413">
        <v>0.4910834</v>
      </c>
      <c r="F413" t="s">
        <v>39</v>
      </c>
      <c r="G413">
        <v>-327.43740000000003</v>
      </c>
      <c r="H413" s="1">
        <v>-1.5335429999999999E-6</v>
      </c>
      <c r="I413">
        <v>367.0779</v>
      </c>
      <c r="J413">
        <v>-360.10120000000001</v>
      </c>
      <c r="K413">
        <v>1.1039920000000001</v>
      </c>
      <c r="L413">
        <v>367.91269999999997</v>
      </c>
      <c r="M413">
        <v>0.99936569999999902</v>
      </c>
      <c r="N413">
        <v>0</v>
      </c>
      <c r="O413">
        <v>-3.5063839999999999E-2</v>
      </c>
      <c r="P413">
        <v>0.99859379999999998</v>
      </c>
      <c r="Q413">
        <v>1.9363379999999999E-2</v>
      </c>
      <c r="R413">
        <v>-4.9353130000000002E-2</v>
      </c>
      <c r="S413">
        <v>3.00238</v>
      </c>
      <c r="T413">
        <v>-0.1004752</v>
      </c>
      <c r="U413">
        <v>-7.7026369999999997E-2</v>
      </c>
      <c r="V413">
        <v>1.421766E-2</v>
      </c>
      <c r="W413">
        <v>2.564895E-2</v>
      </c>
      <c r="X413">
        <v>0.99956990000000001</v>
      </c>
      <c r="Y413">
        <v>-9.3972340000000008E-3</v>
      </c>
      <c r="Z413">
        <v>1.3297770000000001E-3</v>
      </c>
      <c r="AA413">
        <v>0.99995489999999998</v>
      </c>
      <c r="AB413">
        <v>61</v>
      </c>
      <c r="AC413">
        <v>32.663799999999902</v>
      </c>
      <c r="AD413">
        <v>-1.103993533543</v>
      </c>
      <c r="AE413">
        <v>-0.83479999999997201</v>
      </c>
      <c r="AF413">
        <v>-0.310699097627681</v>
      </c>
      <c r="AG413">
        <v>-1.103993533543</v>
      </c>
      <c r="AH413">
        <v>32.635728150820597</v>
      </c>
      <c r="AI413">
        <v>91.937361277681106</v>
      </c>
      <c r="AJ413">
        <v>90.545451571428202</v>
      </c>
      <c r="AK413">
        <v>32.655873707277102</v>
      </c>
    </row>
    <row r="414" spans="1:37" x14ac:dyDescent="0.2">
      <c r="A414" t="str">
        <f>"20200111153412862"</f>
        <v>20200111153412862</v>
      </c>
      <c r="B414" t="str">
        <f>"1578728052856798"</f>
        <v>1578728052856798</v>
      </c>
      <c r="C414" t="s">
        <v>37</v>
      </c>
      <c r="D414">
        <v>4.7348080000000001</v>
      </c>
      <c r="E414">
        <v>0.49101919999999999</v>
      </c>
      <c r="F414" t="s">
        <v>39</v>
      </c>
      <c r="G414">
        <v>-327.2466</v>
      </c>
      <c r="H414" s="1">
        <v>-1.615183E-6</v>
      </c>
      <c r="I414">
        <v>367.07</v>
      </c>
      <c r="J414">
        <v>-359.73829999999998</v>
      </c>
      <c r="K414">
        <v>1.1039639999999999</v>
      </c>
      <c r="L414">
        <v>367.89980000000003</v>
      </c>
      <c r="M414">
        <v>0.99938150000000003</v>
      </c>
      <c r="N414">
        <v>0</v>
      </c>
      <c r="O414">
        <v>-3.4608800000000002E-2</v>
      </c>
      <c r="P414">
        <v>0.99861160000000004</v>
      </c>
      <c r="Q414">
        <v>1.8787310000000002E-2</v>
      </c>
      <c r="R414">
        <v>-4.9216799999999998E-2</v>
      </c>
      <c r="S414">
        <v>3.00238</v>
      </c>
      <c r="T414">
        <v>-0.100886899999999</v>
      </c>
      <c r="U414">
        <v>-7.6995850000000005E-2</v>
      </c>
      <c r="V414">
        <v>1.4539450000000001E-2</v>
      </c>
      <c r="W414">
        <v>2.5089790000000001E-2</v>
      </c>
      <c r="X414">
        <v>0.99957949999999995</v>
      </c>
      <c r="Y414">
        <v>-8.9523869999999992E-3</v>
      </c>
      <c r="Z414">
        <v>1.31248E-3</v>
      </c>
      <c r="AA414">
        <v>0.99995909999999999</v>
      </c>
      <c r="AB414">
        <v>61</v>
      </c>
      <c r="AC414">
        <v>32.491699999999902</v>
      </c>
      <c r="AD414">
        <v>-1.103965615183</v>
      </c>
      <c r="AE414">
        <v>-0.82980000000003395</v>
      </c>
      <c r="AF414">
        <v>-0.29487752019694602</v>
      </c>
      <c r="AG414">
        <v>-1.103965615183</v>
      </c>
      <c r="AH414">
        <v>32.463501284146197</v>
      </c>
      <c r="AI414">
        <v>91.947590253893097</v>
      </c>
      <c r="AJ414">
        <v>90.520423616519196</v>
      </c>
      <c r="AK414">
        <v>32.483605225670203</v>
      </c>
    </row>
    <row r="415" spans="1:37" x14ac:dyDescent="0.2">
      <c r="A415" t="str">
        <f>"20200111153412878"</f>
        <v>20200111153412878</v>
      </c>
      <c r="B415" t="str">
        <f>"1578728052866558"</f>
        <v>1578728052866558</v>
      </c>
      <c r="C415" t="s">
        <v>37</v>
      </c>
      <c r="D415">
        <v>4.7379470000000001</v>
      </c>
      <c r="E415">
        <v>0.49099280000000001</v>
      </c>
      <c r="F415" t="s">
        <v>39</v>
      </c>
      <c r="G415">
        <v>-327.5335</v>
      </c>
      <c r="H415" s="1">
        <v>-1.4997630000000001E-6</v>
      </c>
      <c r="I415">
        <v>367.08199999999999</v>
      </c>
      <c r="J415">
        <v>-359.30930000000001</v>
      </c>
      <c r="K415">
        <v>1.1039239999999999</v>
      </c>
      <c r="L415">
        <v>367.88470000000001</v>
      </c>
      <c r="M415">
        <v>0.99939920000000004</v>
      </c>
      <c r="N415">
        <v>0</v>
      </c>
      <c r="O415">
        <v>-3.4091669999999998E-2</v>
      </c>
      <c r="P415">
        <v>0.99861499999999903</v>
      </c>
      <c r="Q415">
        <v>1.7270500000000001E-2</v>
      </c>
      <c r="R415">
        <v>-4.9699090000000001E-2</v>
      </c>
      <c r="S415">
        <v>3.0023499999999999</v>
      </c>
      <c r="T415">
        <v>-0.1029191</v>
      </c>
      <c r="U415">
        <v>-7.6232910000000001E-2</v>
      </c>
      <c r="V415">
        <v>1.554556E-2</v>
      </c>
      <c r="W415">
        <v>2.3594879999999999E-2</v>
      </c>
      <c r="X415">
        <v>0.99960070000000001</v>
      </c>
      <c r="Y415">
        <v>-8.6881089999999994E-3</v>
      </c>
      <c r="Z415">
        <v>1.3166860000000001E-3</v>
      </c>
      <c r="AA415">
        <v>0.9999614</v>
      </c>
      <c r="AB415">
        <v>61</v>
      </c>
      <c r="AC415">
        <v>31.7758</v>
      </c>
      <c r="AD415">
        <v>-1.1039254997629999</v>
      </c>
      <c r="AE415">
        <v>-0.80270000000001496</v>
      </c>
      <c r="AF415">
        <v>-0.280739210435824</v>
      </c>
      <c r="AG415">
        <v>-1.1039254997629999</v>
      </c>
      <c r="AH415">
        <v>31.7464025999646</v>
      </c>
      <c r="AI415">
        <v>91.991480032222498</v>
      </c>
      <c r="AJ415">
        <v>90.506663788881895</v>
      </c>
      <c r="AK415">
        <v>31.7668308783288</v>
      </c>
    </row>
    <row r="416" spans="1:37" x14ac:dyDescent="0.2">
      <c r="A416" t="str">
        <f>"20200111153412889"</f>
        <v>20200111153412889</v>
      </c>
      <c r="B416" t="str">
        <f>"1578728052887053"</f>
        <v>1578728052887053</v>
      </c>
      <c r="C416" t="s">
        <v>37</v>
      </c>
      <c r="D416">
        <v>4.7579039999999999</v>
      </c>
      <c r="E416">
        <v>0.4909385</v>
      </c>
      <c r="F416" t="s">
        <v>39</v>
      </c>
      <c r="G416">
        <v>-328.50389999999999</v>
      </c>
      <c r="H416" s="1">
        <v>-1.167261E-6</v>
      </c>
      <c r="I416">
        <v>367.09050000000002</v>
      </c>
      <c r="J416">
        <v>-358.97430000000003</v>
      </c>
      <c r="K416">
        <v>1.103896</v>
      </c>
      <c r="L416">
        <v>367.87329999999997</v>
      </c>
      <c r="M416">
        <v>0.99941219999999997</v>
      </c>
      <c r="N416">
        <v>0</v>
      </c>
      <c r="O416">
        <v>-3.3705190000000003E-2</v>
      </c>
      <c r="P416">
        <v>0.99862779999999995</v>
      </c>
      <c r="Q416">
        <v>1.6916999999999901E-2</v>
      </c>
      <c r="R416">
        <v>-4.9565129999999999E-2</v>
      </c>
      <c r="S416">
        <v>3.002167</v>
      </c>
      <c r="T416">
        <v>-0.1075837</v>
      </c>
      <c r="U416">
        <v>-7.7392580000000002E-2</v>
      </c>
      <c r="V416">
        <v>1.5800290000000002E-2</v>
      </c>
      <c r="W416">
        <v>2.3256889999999999E-2</v>
      </c>
      <c r="X416">
        <v>0.99960459999999995</v>
      </c>
      <c r="Y416">
        <v>-7.9122640000000004E-3</v>
      </c>
      <c r="Z416">
        <v>1.3486710000000001E-3</v>
      </c>
      <c r="AA416">
        <v>0.99996779999999996</v>
      </c>
      <c r="AB416">
        <v>61</v>
      </c>
      <c r="AC416">
        <v>30.470400000000001</v>
      </c>
      <c r="AD416">
        <v>-1.1038971672610001</v>
      </c>
      <c r="AE416">
        <v>-0.78279999999995198</v>
      </c>
      <c r="AF416">
        <v>-0.24435504304501801</v>
      </c>
      <c r="AG416">
        <v>-1.1038971672610001</v>
      </c>
      <c r="AH416">
        <v>30.4395458470749</v>
      </c>
      <c r="AI416">
        <v>92.0768676450936</v>
      </c>
      <c r="AJ416">
        <v>90.459934981051504</v>
      </c>
      <c r="AK416">
        <v>30.460535939459799</v>
      </c>
    </row>
    <row r="417" spans="1:37" x14ac:dyDescent="0.2">
      <c r="A417" t="str">
        <f>"20200111153412902"</f>
        <v>20200111153412902</v>
      </c>
      <c r="B417" t="str">
        <f>"1578728052896814"</f>
        <v>1578728052896814</v>
      </c>
      <c r="C417" t="s">
        <v>37</v>
      </c>
      <c r="D417">
        <v>4.7518089999999997</v>
      </c>
      <c r="E417">
        <v>0.4909385</v>
      </c>
      <c r="F417" t="s">
        <v>39</v>
      </c>
      <c r="G417">
        <v>-328.54109999999997</v>
      </c>
      <c r="H417" s="1">
        <v>-1.152976E-6</v>
      </c>
      <c r="I417">
        <v>367.0967</v>
      </c>
      <c r="J417">
        <v>-358.62709999999998</v>
      </c>
      <c r="K417">
        <v>1.1038749999999999</v>
      </c>
      <c r="L417">
        <v>367.8614</v>
      </c>
      <c r="M417">
        <v>0.99942520000000001</v>
      </c>
      <c r="N417">
        <v>0</v>
      </c>
      <c r="O417">
        <v>-3.3310949999999999E-2</v>
      </c>
      <c r="P417">
        <v>0.9986796</v>
      </c>
      <c r="Q417">
        <v>1.601491E-2</v>
      </c>
      <c r="R417">
        <v>-4.88098E-2</v>
      </c>
      <c r="S417">
        <v>3.0021969999999998</v>
      </c>
      <c r="T417">
        <v>-0.1088976</v>
      </c>
      <c r="U417">
        <v>-7.6599120000000007E-2</v>
      </c>
      <c r="V417">
        <v>1.5442340000000001E-2</v>
      </c>
      <c r="W417">
        <v>2.2368780000000001E-2</v>
      </c>
      <c r="X417">
        <v>0.99963049999999998</v>
      </c>
      <c r="Y417">
        <v>-7.78188199999999E-3</v>
      </c>
      <c r="Z417">
        <v>1.3484759999999999E-3</v>
      </c>
      <c r="AA417">
        <v>0.99996879999999999</v>
      </c>
      <c r="AB417">
        <v>61</v>
      </c>
      <c r="AC417">
        <v>30.085999999999999</v>
      </c>
      <c r="AD417">
        <v>-1.1038761529759999</v>
      </c>
      <c r="AE417">
        <v>-0.76470000000000404</v>
      </c>
      <c r="AF417">
        <v>-0.237617832207558</v>
      </c>
      <c r="AG417">
        <v>-1.1038761529759999</v>
      </c>
      <c r="AH417">
        <v>30.054342847255</v>
      </c>
      <c r="AI417">
        <v>92.103424878451094</v>
      </c>
      <c r="AJ417">
        <v>90.452986622447696</v>
      </c>
      <c r="AK417">
        <v>30.075547023714101</v>
      </c>
    </row>
    <row r="418" spans="1:37" x14ac:dyDescent="0.2">
      <c r="A418" t="str">
        <f>"20200111153412915"</f>
        <v>20200111153412915</v>
      </c>
      <c r="B418" t="str">
        <f>"1578728052906574"</f>
        <v>1578728052906574</v>
      </c>
      <c r="C418" t="s">
        <v>37</v>
      </c>
      <c r="D418">
        <v>4.7880180000000001</v>
      </c>
      <c r="E418">
        <v>0.48151819999999901</v>
      </c>
      <c r="F418" t="s">
        <v>39</v>
      </c>
      <c r="G418">
        <v>-328.94909999999999</v>
      </c>
      <c r="H418" s="1">
        <v>-1.0065429999999999E-6</v>
      </c>
      <c r="I418">
        <v>367.12520000000001</v>
      </c>
      <c r="J418">
        <v>-358.27690000000001</v>
      </c>
      <c r="K418">
        <v>1.1038509999999999</v>
      </c>
      <c r="L418">
        <v>367.84949999999998</v>
      </c>
      <c r="M418">
        <v>0.99943789999999999</v>
      </c>
      <c r="N418">
        <v>0</v>
      </c>
      <c r="O418">
        <v>-3.292494E-2</v>
      </c>
      <c r="P418">
        <v>0.99871089999999996</v>
      </c>
      <c r="Q418">
        <v>1.5691380000000001E-2</v>
      </c>
      <c r="R418">
        <v>-4.8278229999999998E-2</v>
      </c>
      <c r="S418">
        <v>3.002075</v>
      </c>
      <c r="T418">
        <v>-0.111661999999999</v>
      </c>
      <c r="U418">
        <v>-7.4462890000000004E-2</v>
      </c>
      <c r="V418">
        <v>1.529818E-2</v>
      </c>
      <c r="W418">
        <v>2.2059860000000001E-2</v>
      </c>
      <c r="X418">
        <v>0.99963959999999996</v>
      </c>
      <c r="Y418">
        <v>-8.1043969999999993E-3</v>
      </c>
      <c r="Z418">
        <v>1.374409E-3</v>
      </c>
      <c r="AA418">
        <v>0.99996620000000003</v>
      </c>
      <c r="AB418">
        <v>62</v>
      </c>
      <c r="AC418">
        <v>29.3278</v>
      </c>
      <c r="AD418">
        <v>-1.103852006543</v>
      </c>
      <c r="AE418">
        <v>-0.72429999999997097</v>
      </c>
      <c r="AF418">
        <v>-0.241386247196027</v>
      </c>
      <c r="AG418">
        <v>-1.103852006543</v>
      </c>
      <c r="AH418">
        <v>29.294272189566001</v>
      </c>
      <c r="AI418">
        <v>92.157896533165996</v>
      </c>
      <c r="AJ418">
        <v>90.472109363190697</v>
      </c>
      <c r="AK418">
        <v>29.316056005013099</v>
      </c>
    </row>
    <row r="419" spans="1:37" x14ac:dyDescent="0.2">
      <c r="A419" t="str">
        <f>"20200111153412927"</f>
        <v>20200111153412927</v>
      </c>
      <c r="B419" t="str">
        <f>"1578728052917310"</f>
        <v>1578728052917310</v>
      </c>
      <c r="C419" t="s">
        <v>37</v>
      </c>
      <c r="D419">
        <v>4.7428679999999996</v>
      </c>
      <c r="E419">
        <v>0.48151819999999901</v>
      </c>
      <c r="F419" t="s">
        <v>39</v>
      </c>
      <c r="G419">
        <v>-335.30360000000002</v>
      </c>
      <c r="H419" s="1">
        <v>-2.308056E-6</v>
      </c>
      <c r="I419">
        <v>367.86320000000001</v>
      </c>
      <c r="J419">
        <v>-357.95420000000001</v>
      </c>
      <c r="K419">
        <v>1.103839</v>
      </c>
      <c r="L419">
        <v>367.83890000000002</v>
      </c>
      <c r="M419">
        <v>0.99944909999999998</v>
      </c>
      <c r="N419">
        <v>0</v>
      </c>
      <c r="O419">
        <v>-3.2578030000000001E-2</v>
      </c>
      <c r="P419">
        <v>0.99875910000000001</v>
      </c>
      <c r="Q419">
        <v>1.5635590000000001E-2</v>
      </c>
      <c r="R419">
        <v>-4.7287719999999998E-2</v>
      </c>
      <c r="S419">
        <v>3.006256</v>
      </c>
      <c r="T419">
        <v>-0.1444484</v>
      </c>
      <c r="U419">
        <v>1.8005370000000001E-3</v>
      </c>
      <c r="V419">
        <v>1.4655079999999999E-2</v>
      </c>
      <c r="W419">
        <v>2.2016000000000001E-2</v>
      </c>
      <c r="X419">
        <v>0.99965020000000004</v>
      </c>
      <c r="Y419">
        <v>-3.3101529999999997E-2</v>
      </c>
      <c r="Z419">
        <v>2.3590690000000001E-3</v>
      </c>
      <c r="AA419">
        <v>0.99944920000000004</v>
      </c>
      <c r="AB419">
        <v>62</v>
      </c>
      <c r="AC419">
        <v>22.650600000000001</v>
      </c>
      <c r="AD419">
        <v>-1.1038413080559999</v>
      </c>
      <c r="AE419">
        <v>2.4299999999982402E-2</v>
      </c>
      <c r="AF419">
        <v>-0.76040792189540096</v>
      </c>
      <c r="AG419">
        <v>-1.1038413080559999</v>
      </c>
      <c r="AH419">
        <v>22.584148718279099</v>
      </c>
      <c r="AI419">
        <v>92.796626248848796</v>
      </c>
      <c r="AJ419">
        <v>91.928419460214599</v>
      </c>
      <c r="AK419">
        <v>22.623891335718501</v>
      </c>
    </row>
    <row r="420" spans="1:37" x14ac:dyDescent="0.2">
      <c r="A420" t="str">
        <f>"20200111153412940"</f>
        <v>20200111153412940</v>
      </c>
      <c r="B420" t="str">
        <f>"1578728052936830"</f>
        <v>1578728052936830</v>
      </c>
      <c r="C420" t="s">
        <v>37</v>
      </c>
      <c r="D420">
        <v>4.7454960000000002</v>
      </c>
      <c r="E420">
        <v>0.45790159999999902</v>
      </c>
      <c r="F420" t="s">
        <v>39</v>
      </c>
      <c r="G420">
        <v>-335.02809999999999</v>
      </c>
      <c r="H420" s="1">
        <v>-2.4237249999999998E-6</v>
      </c>
      <c r="I420">
        <v>367.87740000000002</v>
      </c>
      <c r="J420">
        <v>-357.59739999999999</v>
      </c>
      <c r="K420">
        <v>1.103826</v>
      </c>
      <c r="L420">
        <v>367.82709999999997</v>
      </c>
      <c r="M420">
        <v>0.9994613</v>
      </c>
      <c r="N420">
        <v>0</v>
      </c>
      <c r="O420">
        <v>-3.219905E-2</v>
      </c>
      <c r="P420">
        <v>0.99880789999999997</v>
      </c>
      <c r="Q420">
        <v>1.5941279999999999E-2</v>
      </c>
      <c r="R420">
        <v>-4.6140559999999997E-2</v>
      </c>
      <c r="S420">
        <v>3.0062259999999998</v>
      </c>
      <c r="T420">
        <v>-0.1447425</v>
      </c>
      <c r="U420">
        <v>5.065918E-3</v>
      </c>
      <c r="V420">
        <v>1.388618E-2</v>
      </c>
      <c r="W420">
        <v>2.2335890000000001E-2</v>
      </c>
      <c r="X420">
        <v>0.99965409999999899</v>
      </c>
      <c r="Y420">
        <v>-3.3807480000000001E-2</v>
      </c>
      <c r="Z420">
        <v>2.3626519999999998E-3</v>
      </c>
      <c r="AA420">
        <v>0.99942559999999903</v>
      </c>
      <c r="AB420">
        <v>62</v>
      </c>
      <c r="AC420">
        <v>22.569299999999998</v>
      </c>
      <c r="AD420">
        <v>-1.103828423725</v>
      </c>
      <c r="AE420">
        <v>5.0300000000049701E-2</v>
      </c>
      <c r="AF420">
        <v>-0.77514443027561597</v>
      </c>
      <c r="AG420">
        <v>-1.103828423725</v>
      </c>
      <c r="AH420">
        <v>22.50215156578</v>
      </c>
      <c r="AI420">
        <v>92.806693965813906</v>
      </c>
      <c r="AJ420">
        <v>91.972920215662697</v>
      </c>
      <c r="AK420">
        <v>22.542540033592999</v>
      </c>
    </row>
    <row r="421" spans="1:37" x14ac:dyDescent="0.2">
      <c r="A421" t="str">
        <f>"20200111153412956"</f>
        <v>20200111153412956</v>
      </c>
      <c r="B421" t="str">
        <f>"1578728052946589"</f>
        <v>1578728052946589</v>
      </c>
      <c r="C421" t="s">
        <v>37</v>
      </c>
      <c r="D421">
        <v>4.690461</v>
      </c>
      <c r="E421">
        <v>0.45233770000000001</v>
      </c>
      <c r="F421" t="s">
        <v>39</v>
      </c>
      <c r="G421">
        <v>-330.99090000000001</v>
      </c>
      <c r="H421" s="1">
        <v>-3.8567869999999902E-6</v>
      </c>
      <c r="I421">
        <v>369.56240000000003</v>
      </c>
      <c r="J421">
        <v>-357.1397</v>
      </c>
      <c r="K421">
        <v>1.1038250000000001</v>
      </c>
      <c r="L421">
        <v>367.81220000000002</v>
      </c>
      <c r="M421">
        <v>0.99947629999999998</v>
      </c>
      <c r="N421">
        <v>0</v>
      </c>
      <c r="O421">
        <v>-3.1724740000000001E-2</v>
      </c>
      <c r="P421">
        <v>0.99885959999999996</v>
      </c>
      <c r="Q421">
        <v>1.7428249999999999E-2</v>
      </c>
      <c r="R421">
        <v>-4.4449199999999897E-2</v>
      </c>
      <c r="S421">
        <v>3.01464799999999</v>
      </c>
      <c r="T421">
        <v>-0.12506909999999999</v>
      </c>
      <c r="U421">
        <v>0.19662479999999999</v>
      </c>
      <c r="V421">
        <v>1.26652999999999E-2</v>
      </c>
      <c r="W421">
        <v>2.3838950000000001E-2</v>
      </c>
      <c r="X421">
        <v>0.99963559999999996</v>
      </c>
      <c r="Y421">
        <v>-9.6600220000000001E-2</v>
      </c>
      <c r="Z421">
        <v>3.3152590000000001E-3</v>
      </c>
      <c r="AA421">
        <v>0.99531780000000003</v>
      </c>
      <c r="AB421">
        <v>62</v>
      </c>
      <c r="AC421">
        <v>26.148799999999898</v>
      </c>
      <c r="AD421">
        <v>-1.103828856787</v>
      </c>
      <c r="AE421">
        <v>1.7502</v>
      </c>
      <c r="AF421">
        <v>-2.5743328198381801</v>
      </c>
      <c r="AG421">
        <v>-1.103828856787</v>
      </c>
      <c r="AH421">
        <v>26.033926807565798</v>
      </c>
      <c r="AI421">
        <v>92.416096158643896</v>
      </c>
      <c r="AJ421">
        <v>95.647264093275595</v>
      </c>
      <c r="AK421">
        <v>26.184174087300601</v>
      </c>
    </row>
    <row r="422" spans="1:37" x14ac:dyDescent="0.2">
      <c r="A422" t="str">
        <f>"20200111153412969"</f>
        <v>20200111153412969</v>
      </c>
      <c r="B422" t="str">
        <f>"1578728052957325"</f>
        <v>1578728052957325</v>
      </c>
      <c r="C422" t="s">
        <v>37</v>
      </c>
      <c r="D422">
        <v>4.75535</v>
      </c>
      <c r="E422">
        <v>0.44827829999999902</v>
      </c>
      <c r="F422" t="s">
        <v>39</v>
      </c>
      <c r="G422">
        <v>-329.68040000000002</v>
      </c>
      <c r="H422" s="1">
        <v>-2.351451E-7</v>
      </c>
      <c r="I422">
        <v>370.05119999999999</v>
      </c>
      <c r="J422">
        <v>-356.79739999999998</v>
      </c>
      <c r="K422">
        <v>1.1038209999999999</v>
      </c>
      <c r="L422">
        <v>367.80130000000003</v>
      </c>
      <c r="M422">
        <v>0.99948729999999997</v>
      </c>
      <c r="N422">
        <v>0</v>
      </c>
      <c r="O422">
        <v>-3.1376630000000003E-2</v>
      </c>
      <c r="P422">
        <v>0.99887190000000003</v>
      </c>
      <c r="Q422">
        <v>1.845726E-2</v>
      </c>
      <c r="R422">
        <v>-4.3757919999999999E-2</v>
      </c>
      <c r="S422">
        <v>3.0165099999999998</v>
      </c>
      <c r="T422">
        <v>-0.12125899999999901</v>
      </c>
      <c r="U422">
        <v>0.24597169999999999</v>
      </c>
      <c r="V422">
        <v>1.2320289999999999E-2</v>
      </c>
      <c r="W422">
        <v>2.4881960000000002E-2</v>
      </c>
      <c r="X422">
        <v>0.99961449999999996</v>
      </c>
      <c r="Y422">
        <v>-0.11239010000000001</v>
      </c>
      <c r="Z422">
        <v>3.5132729999999999E-3</v>
      </c>
      <c r="AA422">
        <v>0.99365789999999998</v>
      </c>
      <c r="AB422">
        <v>62</v>
      </c>
      <c r="AC422">
        <v>27.116999999999901</v>
      </c>
      <c r="AD422">
        <v>-1.1038212351451</v>
      </c>
      <c r="AE422">
        <v>2.2498999999999598</v>
      </c>
      <c r="AF422">
        <v>-3.0945570182168001</v>
      </c>
      <c r="AG422">
        <v>-1.1038212351451</v>
      </c>
      <c r="AH422">
        <v>26.988638633851799</v>
      </c>
      <c r="AI422">
        <v>92.326833289341906</v>
      </c>
      <c r="AJ422">
        <v>96.541052575986797</v>
      </c>
      <c r="AK422">
        <v>27.187889211315898</v>
      </c>
    </row>
    <row r="423" spans="1:37" x14ac:dyDescent="0.2">
      <c r="A423" t="str">
        <f>"20200111153412980"</f>
        <v>20200111153412980</v>
      </c>
      <c r="B423" t="str">
        <f>"1578728052976846"</f>
        <v>1578728052976846</v>
      </c>
      <c r="C423" t="s">
        <v>37</v>
      </c>
      <c r="D423">
        <v>4.6788480000000003</v>
      </c>
      <c r="E423">
        <v>0.44419839999999999</v>
      </c>
      <c r="F423" t="s">
        <v>39</v>
      </c>
      <c r="G423">
        <v>-328.96080000000001</v>
      </c>
      <c r="H423" s="1">
        <v>-6.3346599999999996E-7</v>
      </c>
      <c r="I423">
        <v>370.38810000000001</v>
      </c>
      <c r="J423">
        <v>-356.4701</v>
      </c>
      <c r="K423">
        <v>1.1038219999999901</v>
      </c>
      <c r="L423">
        <v>367.79090000000002</v>
      </c>
      <c r="M423">
        <v>0.99949759999999999</v>
      </c>
      <c r="N423">
        <v>0</v>
      </c>
      <c r="O423">
        <v>-3.104556E-2</v>
      </c>
      <c r="P423">
        <v>0.99888659999999996</v>
      </c>
      <c r="Q423">
        <v>1.9495269999999999E-2</v>
      </c>
      <c r="R423">
        <v>-4.2963340000000003E-2</v>
      </c>
      <c r="S423">
        <v>3.0178829999999999</v>
      </c>
      <c r="T423">
        <v>-0.11966980000000001</v>
      </c>
      <c r="U423">
        <v>0.2804565</v>
      </c>
      <c r="V423">
        <v>1.1854740000000001E-2</v>
      </c>
      <c r="W423">
        <v>2.5933049999999999E-2</v>
      </c>
      <c r="X423">
        <v>0.99959339999999997</v>
      </c>
      <c r="Y423">
        <v>-0.1232809</v>
      </c>
      <c r="Z423">
        <v>3.6663159999999898E-3</v>
      </c>
      <c r="AA423">
        <v>0.9923651</v>
      </c>
      <c r="AB423">
        <v>62</v>
      </c>
      <c r="AC423">
        <v>27.5093</v>
      </c>
      <c r="AD423">
        <v>-1.103822633466</v>
      </c>
      <c r="AE423">
        <v>2.59719999999998</v>
      </c>
      <c r="AF423">
        <v>-3.4445101956028998</v>
      </c>
      <c r="AG423">
        <v>-1.103822633466</v>
      </c>
      <c r="AH423">
        <v>27.371725481294</v>
      </c>
      <c r="AI423">
        <v>92.291270244530693</v>
      </c>
      <c r="AJ423">
        <v>97.172507146321493</v>
      </c>
      <c r="AK423">
        <v>27.609680018375499</v>
      </c>
    </row>
    <row r="424" spans="1:37" x14ac:dyDescent="0.2">
      <c r="A424" t="str">
        <f>"20200111153412992"</f>
        <v>20200111153412992</v>
      </c>
      <c r="B424" t="str">
        <f>"1578728052986606"</f>
        <v>1578728052986606</v>
      </c>
      <c r="C424" t="s">
        <v>37</v>
      </c>
      <c r="D424">
        <v>4.702032</v>
      </c>
      <c r="E424">
        <v>0.44303239999999999</v>
      </c>
      <c r="F424" t="s">
        <v>39</v>
      </c>
      <c r="G424">
        <v>-328.65429999999998</v>
      </c>
      <c r="H424" s="1">
        <v>-8.4667950000000005E-7</v>
      </c>
      <c r="I424">
        <v>370.6952</v>
      </c>
      <c r="J424">
        <v>-356.1343</v>
      </c>
      <c r="K424">
        <v>1.103818</v>
      </c>
      <c r="L424">
        <v>367.78039999999999</v>
      </c>
      <c r="M424">
        <v>0.99950779999999995</v>
      </c>
      <c r="N424">
        <v>0</v>
      </c>
      <c r="O424">
        <v>-3.0710680000000001E-2</v>
      </c>
      <c r="P424">
        <v>0.99889150000000004</v>
      </c>
      <c r="Q424">
        <v>2.0958290000000001E-2</v>
      </c>
      <c r="R424">
        <v>-4.2155730000000002E-2</v>
      </c>
      <c r="S424">
        <v>3.0192570000000001</v>
      </c>
      <c r="T424">
        <v>-0.1198134</v>
      </c>
      <c r="U424">
        <v>0.31524659999999999</v>
      </c>
      <c r="V424">
        <v>1.137877E-2</v>
      </c>
      <c r="W424">
        <v>2.7409280000000001E-2</v>
      </c>
      <c r="X424">
        <v>0.99955949999999905</v>
      </c>
      <c r="Y424">
        <v>-0.13421520000000001</v>
      </c>
      <c r="Z424">
        <v>3.870067E-3</v>
      </c>
      <c r="AA424">
        <v>0.99094459999999995</v>
      </c>
      <c r="AB424">
        <v>62</v>
      </c>
      <c r="AC424">
        <v>27.48</v>
      </c>
      <c r="AD424">
        <v>-1.1038188466795</v>
      </c>
      <c r="AE424">
        <v>2.9148000000000098</v>
      </c>
      <c r="AF424">
        <v>-3.7513864449680101</v>
      </c>
      <c r="AG424">
        <v>-1.1038188466795</v>
      </c>
      <c r="AH424">
        <v>27.333908361976199</v>
      </c>
      <c r="AI424">
        <v>92.291052748491893</v>
      </c>
      <c r="AJ424">
        <v>97.814621876728594</v>
      </c>
      <c r="AK424">
        <v>27.612204958073999</v>
      </c>
    </row>
    <row r="425" spans="1:37" x14ac:dyDescent="0.2">
      <c r="A425" t="str">
        <f>"20200111153413005"</f>
        <v>20200111153413005</v>
      </c>
      <c r="B425" t="str">
        <f>"1578728052997341"</f>
        <v>1578728052997341</v>
      </c>
      <c r="C425" t="s">
        <v>37</v>
      </c>
      <c r="D425">
        <v>4.6527830000000003</v>
      </c>
      <c r="E425">
        <v>0.44293729999999998</v>
      </c>
      <c r="F425" t="s">
        <v>39</v>
      </c>
      <c r="G425">
        <v>-327.47590000000002</v>
      </c>
      <c r="H425" s="1">
        <v>-1.402241E-6</v>
      </c>
      <c r="I425">
        <v>370.88319999999999</v>
      </c>
      <c r="J425">
        <v>-355.80500000000001</v>
      </c>
      <c r="K425">
        <v>1.103815</v>
      </c>
      <c r="L425">
        <v>367.77019999999999</v>
      </c>
      <c r="M425">
        <v>0.99951759999999901</v>
      </c>
      <c r="N425">
        <v>0</v>
      </c>
      <c r="O425">
        <v>-3.0383540000000001E-2</v>
      </c>
      <c r="P425">
        <v>0.99890730000000005</v>
      </c>
      <c r="Q425">
        <v>2.179277E-2</v>
      </c>
      <c r="R425">
        <v>-4.1343730000000002E-2</v>
      </c>
      <c r="S425">
        <v>3.0195620000000001</v>
      </c>
      <c r="T425">
        <v>-0.11630219999999999</v>
      </c>
      <c r="U425">
        <v>0.32693479999999903</v>
      </c>
      <c r="V425">
        <v>1.0892560000000001E-2</v>
      </c>
      <c r="W425">
        <v>2.8257250000000001E-2</v>
      </c>
      <c r="X425">
        <v>0.99954129999999997</v>
      </c>
      <c r="Y425">
        <v>-0.13767779999999999</v>
      </c>
      <c r="Z425">
        <v>3.8095099999999999E-3</v>
      </c>
      <c r="AA425">
        <v>0.99046979999999996</v>
      </c>
      <c r="AB425">
        <v>62</v>
      </c>
      <c r="AC425">
        <v>28.329099999999901</v>
      </c>
      <c r="AD425">
        <v>-1.103816402241</v>
      </c>
      <c r="AE425">
        <v>3.1129999999999902</v>
      </c>
      <c r="AF425">
        <v>-3.9663689913572702</v>
      </c>
      <c r="AG425">
        <v>-1.103816402241</v>
      </c>
      <c r="AH425">
        <v>28.179163290285999</v>
      </c>
      <c r="AI425">
        <v>92.221332837928102</v>
      </c>
      <c r="AJ425">
        <v>98.012054395132495</v>
      </c>
      <c r="AK425">
        <v>28.4783380372882</v>
      </c>
    </row>
    <row r="426" spans="1:37" x14ac:dyDescent="0.2">
      <c r="A426" t="str">
        <f>"20200111153413017"</f>
        <v>20200111153413017</v>
      </c>
      <c r="B426" t="str">
        <f>"1578728053007102"</f>
        <v>1578728053007102</v>
      </c>
      <c r="C426" t="s">
        <v>37</v>
      </c>
      <c r="D426">
        <v>4.7655659999999997</v>
      </c>
      <c r="E426">
        <v>0.44282089999999902</v>
      </c>
      <c r="F426" t="s">
        <v>39</v>
      </c>
      <c r="G426">
        <v>-326.32760000000002</v>
      </c>
      <c r="H426" s="1">
        <v>-1.92369E-6</v>
      </c>
      <c r="I426">
        <v>370.99160000000001</v>
      </c>
      <c r="J426">
        <v>-355.4237</v>
      </c>
      <c r="K426">
        <v>1.103807</v>
      </c>
      <c r="L426">
        <v>367.75839999999999</v>
      </c>
      <c r="M426">
        <v>0.99952890000000005</v>
      </c>
      <c r="N426">
        <v>0</v>
      </c>
      <c r="O426">
        <v>-3.0007059999999999E-2</v>
      </c>
      <c r="P426">
        <v>0.99891260000000004</v>
      </c>
      <c r="Q426">
        <v>2.2557799999999999E-2</v>
      </c>
      <c r="R426">
        <v>-4.0806120000000001E-2</v>
      </c>
      <c r="S426">
        <v>3.0194399999999999</v>
      </c>
      <c r="T426">
        <v>-0.1130664</v>
      </c>
      <c r="U426">
        <v>0.32998660000000002</v>
      </c>
      <c r="V426">
        <v>1.073056E-2</v>
      </c>
      <c r="W426">
        <v>2.9038939999999999E-2</v>
      </c>
      <c r="X426">
        <v>0.99952070000000004</v>
      </c>
      <c r="Y426">
        <v>-0.13830499999999901</v>
      </c>
      <c r="Z426">
        <v>3.7011929999999902E-3</v>
      </c>
      <c r="AA426">
        <v>0.99038280000000001</v>
      </c>
      <c r="AB426">
        <v>62</v>
      </c>
      <c r="AC426">
        <v>29.0960999999999</v>
      </c>
      <c r="AD426">
        <v>-1.1038089236899999</v>
      </c>
      <c r="AE426">
        <v>3.2332000000000098</v>
      </c>
      <c r="AF426">
        <v>-4.0990232270292504</v>
      </c>
      <c r="AG426">
        <v>-1.1038089236899999</v>
      </c>
      <c r="AH426">
        <v>28.9448272453131</v>
      </c>
      <c r="AI426">
        <v>92.162357781257995</v>
      </c>
      <c r="AJ426">
        <v>98.060347048481603</v>
      </c>
      <c r="AK426">
        <v>29.254459656892699</v>
      </c>
    </row>
    <row r="427" spans="1:37" x14ac:dyDescent="0.2">
      <c r="A427" t="str">
        <f>"20200111153413035"</f>
        <v>20200111153413035</v>
      </c>
      <c r="B427" t="str">
        <f>"1578728053026635"</f>
        <v>1578728053026635</v>
      </c>
      <c r="C427" t="s">
        <v>37</v>
      </c>
      <c r="D427">
        <v>4.6965170000000001</v>
      </c>
      <c r="E427">
        <v>0.44250209999999901</v>
      </c>
      <c r="F427" t="s">
        <v>39</v>
      </c>
      <c r="G427">
        <v>-324.96879999999999</v>
      </c>
      <c r="H427" s="1">
        <v>-2.5381010000000001E-6</v>
      </c>
      <c r="I427">
        <v>371.10989999999998</v>
      </c>
      <c r="J427">
        <v>-354.94450000000001</v>
      </c>
      <c r="K427">
        <v>1.1038059999999901</v>
      </c>
      <c r="L427">
        <v>367.74400000000003</v>
      </c>
      <c r="M427">
        <v>0.99954270000000001</v>
      </c>
      <c r="N427">
        <v>0</v>
      </c>
      <c r="O427">
        <v>-2.953774E-2</v>
      </c>
      <c r="P427">
        <v>0.99892539999999996</v>
      </c>
      <c r="Q427">
        <v>2.325228E-2</v>
      </c>
      <c r="R427">
        <v>-4.0092679999999999E-2</v>
      </c>
      <c r="S427">
        <v>3.0193479999999999</v>
      </c>
      <c r="T427">
        <v>-0.1094329</v>
      </c>
      <c r="U427">
        <v>0.3322754</v>
      </c>
      <c r="V427">
        <v>1.048581E-2</v>
      </c>
      <c r="W427">
        <v>2.9757220000000001E-2</v>
      </c>
      <c r="X427">
        <v>0.99950219999999901</v>
      </c>
      <c r="Y427">
        <v>-0.13859250000000001</v>
      </c>
      <c r="Z427">
        <v>3.5705259999999901E-3</v>
      </c>
      <c r="AA427">
        <v>0.99034299999999997</v>
      </c>
      <c r="AB427">
        <v>62</v>
      </c>
      <c r="AC427">
        <v>29.9757</v>
      </c>
      <c r="AD427">
        <v>-1.1038085381010001</v>
      </c>
      <c r="AE427">
        <v>3.3658999999999502</v>
      </c>
      <c r="AF427">
        <v>-4.2441809621655402</v>
      </c>
      <c r="AG427">
        <v>-1.1038085381010001</v>
      </c>
      <c r="AH427">
        <v>29.823261064896201</v>
      </c>
      <c r="AI427">
        <v>92.098520277093598</v>
      </c>
      <c r="AJ427">
        <v>98.099439544479395</v>
      </c>
      <c r="AK427">
        <v>30.143960686567802</v>
      </c>
    </row>
    <row r="428" spans="1:37" x14ac:dyDescent="0.2">
      <c r="A428" t="str">
        <f>"20200111153413048"</f>
        <v>20200111153413048</v>
      </c>
      <c r="B428" t="str">
        <f>"1578728053037358"</f>
        <v>1578728053037358</v>
      </c>
      <c r="C428" t="s">
        <v>37</v>
      </c>
      <c r="D428">
        <v>4.73048</v>
      </c>
      <c r="E428">
        <v>0.4422951</v>
      </c>
      <c r="F428" t="s">
        <v>39</v>
      </c>
      <c r="G428">
        <v>-324.95979999999997</v>
      </c>
      <c r="H428" s="1">
        <v>-2.5358509999999999E-6</v>
      </c>
      <c r="I428">
        <v>371.08710000000002</v>
      </c>
      <c r="J428">
        <v>-354.60590000000002</v>
      </c>
      <c r="K428">
        <v>1.1037999999999999</v>
      </c>
      <c r="L428">
        <v>367.73390000000001</v>
      </c>
      <c r="M428">
        <v>0.99955229999999995</v>
      </c>
      <c r="N428">
        <v>0</v>
      </c>
      <c r="O428">
        <v>-2.9208709999999999E-2</v>
      </c>
      <c r="P428">
        <v>0.99892630000000004</v>
      </c>
      <c r="Q428">
        <v>2.3420130000000001E-2</v>
      </c>
      <c r="R428">
        <v>-3.9973309999999998E-2</v>
      </c>
      <c r="S428">
        <v>3.0193479999999999</v>
      </c>
      <c r="T428">
        <v>-0.111149199999999</v>
      </c>
      <c r="U428">
        <v>0.33663939999999998</v>
      </c>
      <c r="V428">
        <v>1.069585E-2</v>
      </c>
      <c r="W428">
        <v>2.9946919999999998E-2</v>
      </c>
      <c r="X428">
        <v>0.99949429999999995</v>
      </c>
      <c r="Y428">
        <v>-0.13967660000000001</v>
      </c>
      <c r="Z428">
        <v>3.6340109999999999E-3</v>
      </c>
      <c r="AA428">
        <v>0.99019049999999997</v>
      </c>
      <c r="AB428">
        <v>62</v>
      </c>
      <c r="AC428">
        <v>29.646100000000001</v>
      </c>
      <c r="AD428">
        <v>-1.103802535851</v>
      </c>
      <c r="AE428">
        <v>3.35320000000001</v>
      </c>
      <c r="AF428">
        <v>-4.2119466525342197</v>
      </c>
      <c r="AG428">
        <v>-1.103802535851</v>
      </c>
      <c r="AH428">
        <v>29.495134084434099</v>
      </c>
      <c r="AI428">
        <v>92.121687893494695</v>
      </c>
      <c r="AJ428">
        <v>98.126972779650004</v>
      </c>
      <c r="AK428">
        <v>29.814791786975299</v>
      </c>
    </row>
    <row r="429" spans="1:37" x14ac:dyDescent="0.2">
      <c r="A429" t="str">
        <f>"20200111153413061"</f>
        <v>20200111153413061</v>
      </c>
      <c r="B429" t="str">
        <f>"1578728053056878"</f>
        <v>1578728053056878</v>
      </c>
      <c r="C429" t="s">
        <v>37</v>
      </c>
      <c r="D429">
        <v>4.7111789999999996</v>
      </c>
      <c r="E429">
        <v>0.44198900000000002</v>
      </c>
      <c r="F429" t="s">
        <v>39</v>
      </c>
      <c r="G429">
        <v>-324.9624</v>
      </c>
      <c r="H429" s="1">
        <v>-2.526327E-6</v>
      </c>
      <c r="I429">
        <v>371.05540000000002</v>
      </c>
      <c r="J429">
        <v>-354.2484</v>
      </c>
      <c r="K429">
        <v>1.1037950000000001</v>
      </c>
      <c r="L429">
        <v>367.72340000000003</v>
      </c>
      <c r="M429">
        <v>0.99956209999999901</v>
      </c>
      <c r="N429">
        <v>0</v>
      </c>
      <c r="O429">
        <v>-2.8863119999999999E-2</v>
      </c>
      <c r="P429">
        <v>0.9989268</v>
      </c>
      <c r="Q429">
        <v>2.350913E-2</v>
      </c>
      <c r="R429">
        <v>-3.9908270000000003E-2</v>
      </c>
      <c r="S429">
        <v>3.0193789999999998</v>
      </c>
      <c r="T429">
        <v>-0.112429</v>
      </c>
      <c r="U429">
        <v>0.3383179</v>
      </c>
      <c r="V429">
        <v>1.097732E-2</v>
      </c>
      <c r="W429">
        <v>3.0063220000000002E-2</v>
      </c>
      <c r="X429">
        <v>0.99948769999999998</v>
      </c>
      <c r="Y429">
        <v>-0.13987430000000001</v>
      </c>
      <c r="Z429">
        <v>3.6665159999999999E-3</v>
      </c>
      <c r="AA429">
        <v>0.99016249999999995</v>
      </c>
      <c r="AB429">
        <v>62</v>
      </c>
      <c r="AC429">
        <v>29.286000000000001</v>
      </c>
      <c r="AD429">
        <v>-1.1037975263269999</v>
      </c>
      <c r="AE429">
        <v>3.3319999999999901</v>
      </c>
      <c r="AF429">
        <v>-4.1700669315283996</v>
      </c>
      <c r="AG429">
        <v>-1.1037975263269999</v>
      </c>
      <c r="AH429">
        <v>29.1367626924348</v>
      </c>
      <c r="AI429">
        <v>92.147653929926406</v>
      </c>
      <c r="AJ429">
        <v>98.144887130889103</v>
      </c>
      <c r="AK429">
        <v>29.454350568087701</v>
      </c>
    </row>
    <row r="430" spans="1:37" x14ac:dyDescent="0.2">
      <c r="A430" t="str">
        <f>"20200111153413072"</f>
        <v>20200111153413072</v>
      </c>
      <c r="B430" t="str">
        <f>"1578728053066638"</f>
        <v>1578728053066638</v>
      </c>
      <c r="C430" t="s">
        <v>37</v>
      </c>
      <c r="D430">
        <v>4.6836779999999996</v>
      </c>
      <c r="E430">
        <v>0.44189979999999901</v>
      </c>
      <c r="F430" t="s">
        <v>39</v>
      </c>
      <c r="G430">
        <v>-325.52210000000002</v>
      </c>
      <c r="H430" s="1">
        <v>-2.2621820000000001E-6</v>
      </c>
      <c r="I430">
        <v>370.96510000000001</v>
      </c>
      <c r="J430">
        <v>-353.89850000000001</v>
      </c>
      <c r="K430">
        <v>1.103785</v>
      </c>
      <c r="L430">
        <v>367.7133</v>
      </c>
      <c r="M430">
        <v>0.9995716</v>
      </c>
      <c r="N430">
        <v>0</v>
      </c>
      <c r="O430">
        <v>-2.8529220000000001E-2</v>
      </c>
      <c r="P430">
        <v>0.99892199999999998</v>
      </c>
      <c r="Q430">
        <v>2.3671930000000001E-2</v>
      </c>
      <c r="R430">
        <v>-3.9935989999999998E-2</v>
      </c>
      <c r="S430">
        <v>3.0195919999999998</v>
      </c>
      <c r="T430">
        <v>-0.1160263</v>
      </c>
      <c r="U430">
        <v>0.34075929999999999</v>
      </c>
      <c r="V430">
        <v>1.133937E-2</v>
      </c>
      <c r="W430">
        <v>3.0260539999999999E-2</v>
      </c>
      <c r="X430">
        <v>0.99947770000000002</v>
      </c>
      <c r="Y430">
        <v>-0.14031879999999999</v>
      </c>
      <c r="Z430">
        <v>3.7790329999999998E-3</v>
      </c>
      <c r="AA430">
        <v>0.99009919999999996</v>
      </c>
      <c r="AB430">
        <v>62</v>
      </c>
      <c r="AC430">
        <v>28.376399999999901</v>
      </c>
      <c r="AD430">
        <v>-1.103787262182</v>
      </c>
      <c r="AE430">
        <v>3.2517999999999998</v>
      </c>
      <c r="AF430">
        <v>-4.0539957386977896</v>
      </c>
      <c r="AG430">
        <v>-1.103787262182</v>
      </c>
      <c r="AH430">
        <v>28.229915938089199</v>
      </c>
      <c r="AI430">
        <v>92.216404842601406</v>
      </c>
      <c r="AJ430">
        <v>98.172166907499999</v>
      </c>
      <c r="AK430">
        <v>28.540872124746201</v>
      </c>
    </row>
    <row r="431" spans="1:37" x14ac:dyDescent="0.2">
      <c r="A431" t="str">
        <f>"20200111153413085"</f>
        <v>20200111153413085</v>
      </c>
      <c r="B431" t="str">
        <f>"1578728053076399"</f>
        <v>1578728053076399</v>
      </c>
      <c r="C431" t="s">
        <v>37</v>
      </c>
      <c r="D431">
        <v>4.7309400000000004</v>
      </c>
      <c r="E431">
        <v>0.44179929999999901</v>
      </c>
      <c r="F431" t="s">
        <v>39</v>
      </c>
      <c r="G431">
        <v>-325.46440000000001</v>
      </c>
      <c r="H431" s="1">
        <v>-2.2767370000000001E-6</v>
      </c>
      <c r="I431">
        <v>370.92680000000001</v>
      </c>
      <c r="J431">
        <v>-353.5779</v>
      </c>
      <c r="K431">
        <v>1.103782</v>
      </c>
      <c r="L431">
        <v>367.70409999999998</v>
      </c>
      <c r="M431">
        <v>0.99957980000000002</v>
      </c>
      <c r="N431">
        <v>0</v>
      </c>
      <c r="O431">
        <v>-2.8225960000000001E-2</v>
      </c>
      <c r="P431">
        <v>0.99892959999999997</v>
      </c>
      <c r="Q431">
        <v>2.3733589999999999E-2</v>
      </c>
      <c r="R431">
        <v>-3.9709599999999998E-2</v>
      </c>
      <c r="S431">
        <v>3.0196529999999999</v>
      </c>
      <c r="T431">
        <v>-0.117219899999999</v>
      </c>
      <c r="U431">
        <v>0.34127809999999997</v>
      </c>
      <c r="V431">
        <v>1.1416849999999999E-2</v>
      </c>
      <c r="W431">
        <v>3.0357769999999999E-2</v>
      </c>
      <c r="X431">
        <v>0.99947389999999903</v>
      </c>
      <c r="Y431">
        <v>-0.1401819</v>
      </c>
      <c r="Z431">
        <v>3.8033849999999998E-3</v>
      </c>
      <c r="AA431">
        <v>0.99011839999999995</v>
      </c>
      <c r="AB431">
        <v>62</v>
      </c>
      <c r="AC431">
        <v>28.113499999999899</v>
      </c>
      <c r="AD431">
        <v>-1.1037842767370001</v>
      </c>
      <c r="AE431">
        <v>3.2227000000000299</v>
      </c>
      <c r="AF431">
        <v>-4.0088642673315</v>
      </c>
      <c r="AG431">
        <v>-1.1037842767370001</v>
      </c>
      <c r="AH431">
        <v>27.9687782210761</v>
      </c>
      <c r="AI431">
        <v>92.237157616575601</v>
      </c>
      <c r="AJ431">
        <v>98.156850755869897</v>
      </c>
      <c r="AK431">
        <v>28.276171728563199</v>
      </c>
    </row>
    <row r="432" spans="1:37" x14ac:dyDescent="0.2">
      <c r="A432" t="str">
        <f>"20200111153413095"</f>
        <v>20200111153413095</v>
      </c>
      <c r="B432" t="str">
        <f>"1578728053087134"</f>
        <v>1578728053087134</v>
      </c>
      <c r="C432" t="s">
        <v>37</v>
      </c>
      <c r="D432">
        <v>4.8508839999999998</v>
      </c>
      <c r="E432">
        <v>0.44199329999999998</v>
      </c>
      <c r="F432" t="s">
        <v>39</v>
      </c>
      <c r="G432">
        <v>-325.52769999999998</v>
      </c>
      <c r="H432" s="1">
        <v>-2.23921799999999E-6</v>
      </c>
      <c r="I432">
        <v>370.88780000000003</v>
      </c>
      <c r="J432">
        <v>-353.2405</v>
      </c>
      <c r="K432">
        <v>1.1037790000000001</v>
      </c>
      <c r="L432">
        <v>367.69439999999997</v>
      </c>
      <c r="M432">
        <v>0.99958849999999999</v>
      </c>
      <c r="N432">
        <v>0</v>
      </c>
      <c r="O432">
        <v>-2.790948E-2</v>
      </c>
      <c r="P432">
        <v>0.99893339999999997</v>
      </c>
      <c r="Q432">
        <v>2.383946E-2</v>
      </c>
      <c r="R432">
        <v>-3.9548479999999997E-2</v>
      </c>
      <c r="S432">
        <v>3.0196839999999998</v>
      </c>
      <c r="T432">
        <v>-0.118825</v>
      </c>
      <c r="U432">
        <v>0.34274290000000002</v>
      </c>
      <c r="V432">
        <v>1.157277E-2</v>
      </c>
      <c r="W432">
        <v>3.0505999999999998E-2</v>
      </c>
      <c r="X432">
        <v>0.99946759999999901</v>
      </c>
      <c r="Y432">
        <v>-0.1403382</v>
      </c>
      <c r="Z432">
        <v>3.8459309999999999E-3</v>
      </c>
      <c r="AA432">
        <v>0.99009619999999998</v>
      </c>
      <c r="AB432">
        <v>63</v>
      </c>
      <c r="AC432">
        <v>27.712800000000001</v>
      </c>
      <c r="AD432">
        <v>-1.103781239218</v>
      </c>
      <c r="AE432">
        <v>3.1934000000000502</v>
      </c>
      <c r="AF432">
        <v>-3.95942397154632</v>
      </c>
      <c r="AG432">
        <v>-1.103781239218</v>
      </c>
      <c r="AH432">
        <v>27.569713336423799</v>
      </c>
      <c r="AI432">
        <v>92.269410373959303</v>
      </c>
      <c r="AJ432">
        <v>98.172650573972504</v>
      </c>
      <c r="AK432">
        <v>27.8744410645862</v>
      </c>
    </row>
    <row r="433" spans="1:37" x14ac:dyDescent="0.2">
      <c r="A433" t="str">
        <f>"20200111153413114"</f>
        <v>20200111153413114</v>
      </c>
      <c r="B433" t="str">
        <f>"1578728053106655"</f>
        <v>1578728053106655</v>
      </c>
      <c r="C433" t="s">
        <v>37</v>
      </c>
      <c r="D433">
        <v>4.8889949999999898</v>
      </c>
      <c r="E433">
        <v>0.47975600000000002</v>
      </c>
      <c r="F433" t="s">
        <v>39</v>
      </c>
      <c r="G433">
        <v>-325.28390000000002</v>
      </c>
      <c r="H433" s="1">
        <v>-2.33538E-6</v>
      </c>
      <c r="I433">
        <v>370.85610000000003</v>
      </c>
      <c r="J433">
        <v>-352.75259999999997</v>
      </c>
      <c r="K433">
        <v>1.1037840000000001</v>
      </c>
      <c r="L433">
        <v>367.68079999999998</v>
      </c>
      <c r="M433">
        <v>0.99960039999999994</v>
      </c>
      <c r="N433">
        <v>0</v>
      </c>
      <c r="O433">
        <v>-2.7461510000000001E-2</v>
      </c>
      <c r="P433">
        <v>0.99896879999999999</v>
      </c>
      <c r="Q433">
        <v>2.3431179999999999E-2</v>
      </c>
      <c r="R433">
        <v>-3.8894409999999997E-2</v>
      </c>
      <c r="S433">
        <v>3.0195620000000001</v>
      </c>
      <c r="T433">
        <v>-0.119217499999999</v>
      </c>
      <c r="U433">
        <v>0.34149170000000001</v>
      </c>
      <c r="V433">
        <v>1.136815E-2</v>
      </c>
      <c r="W433">
        <v>3.0178079999999999E-2</v>
      </c>
      <c r="X433">
        <v>0.99947989999999998</v>
      </c>
      <c r="Y433">
        <v>-0.13949400000000001</v>
      </c>
      <c r="Z433">
        <v>3.8246309999999898E-3</v>
      </c>
      <c r="AA433">
        <v>0.99021550000000003</v>
      </c>
      <c r="AB433">
        <v>63</v>
      </c>
      <c r="AC433">
        <v>27.468699999999899</v>
      </c>
      <c r="AD433">
        <v>-1.1037863353799999</v>
      </c>
      <c r="AE433">
        <v>3.17530000000004</v>
      </c>
      <c r="AF433">
        <v>-3.9222016408750902</v>
      </c>
      <c r="AG433">
        <v>-1.1037863353799999</v>
      </c>
      <c r="AH433">
        <v>27.327595341622398</v>
      </c>
      <c r="AI433">
        <v>92.289535083032803</v>
      </c>
      <c r="AJ433">
        <v>98.167616432189305</v>
      </c>
      <c r="AK433">
        <v>27.629684709408401</v>
      </c>
    </row>
    <row r="434" spans="1:37" x14ac:dyDescent="0.2">
      <c r="A434" t="str">
        <f>"20200111153413130"</f>
        <v>20200111153413130</v>
      </c>
      <c r="B434" t="str">
        <f>"1578728053116415"</f>
        <v>1578728053116415</v>
      </c>
      <c r="C434" t="s">
        <v>37</v>
      </c>
      <c r="D434">
        <v>4.8488009999999999</v>
      </c>
      <c r="E434">
        <v>0.47975600000000002</v>
      </c>
      <c r="F434" t="s">
        <v>39</v>
      </c>
      <c r="G434">
        <v>-326.41719999999998</v>
      </c>
      <c r="H434" s="1">
        <v>-1.79695E-6</v>
      </c>
      <c r="I434">
        <v>368.05130000000003</v>
      </c>
      <c r="J434">
        <v>-352.33170000000001</v>
      </c>
      <c r="K434">
        <v>1.1037939999999999</v>
      </c>
      <c r="L434">
        <v>367.66910000000001</v>
      </c>
      <c r="M434">
        <v>0.99960990000000005</v>
      </c>
      <c r="N434">
        <v>0</v>
      </c>
      <c r="O434">
        <v>-2.7084480000000001E-2</v>
      </c>
      <c r="P434">
        <v>0.99899269999999996</v>
      </c>
      <c r="Q434">
        <v>2.309684E-2</v>
      </c>
      <c r="R434">
        <v>-3.8475839999999997E-2</v>
      </c>
      <c r="S434">
        <v>3.0077210000000001</v>
      </c>
      <c r="T434">
        <v>-0.12606129999999999</v>
      </c>
      <c r="U434">
        <v>4.2327879999999998E-2</v>
      </c>
      <c r="V434">
        <v>1.132787E-2</v>
      </c>
      <c r="W434">
        <v>2.9938340000000001E-2</v>
      </c>
      <c r="X434">
        <v>0.99948760000000003</v>
      </c>
      <c r="Y434">
        <v>-4.108912E-2</v>
      </c>
      <c r="Z434">
        <v>1.9952569999999998E-3</v>
      </c>
      <c r="AA434">
        <v>0.99915350000000003</v>
      </c>
      <c r="AB434">
        <v>63</v>
      </c>
      <c r="AC434">
        <v>25.9145</v>
      </c>
      <c r="AD434">
        <v>-1.1037957969499901</v>
      </c>
      <c r="AE434">
        <v>0.38220000000001098</v>
      </c>
      <c r="AF434">
        <v>-1.0819942943442</v>
      </c>
      <c r="AG434">
        <v>-1.1037957969499901</v>
      </c>
      <c r="AH434">
        <v>25.847757327289699</v>
      </c>
      <c r="AI434">
        <v>92.443121161214293</v>
      </c>
      <c r="AJ434">
        <v>92.397017798957094</v>
      </c>
      <c r="AK434">
        <v>25.8939304792613</v>
      </c>
    </row>
    <row r="435" spans="1:37" x14ac:dyDescent="0.2">
      <c r="A435" t="str">
        <f>"20200111153413143"</f>
        <v>20200111153413143</v>
      </c>
      <c r="B435" t="str">
        <f>"1578728053136910"</f>
        <v>1578728053136910</v>
      </c>
      <c r="C435" t="s">
        <v>37</v>
      </c>
      <c r="D435">
        <v>4.8204989999999999</v>
      </c>
      <c r="E435">
        <v>0.5281479</v>
      </c>
      <c r="F435" t="s">
        <v>39</v>
      </c>
      <c r="G435">
        <v>-326.24099999999999</v>
      </c>
      <c r="H435" s="1">
        <v>-1.873847E-6</v>
      </c>
      <c r="I435">
        <v>368.04390000000001</v>
      </c>
      <c r="J435">
        <v>-351.93819999999999</v>
      </c>
      <c r="K435">
        <v>1.103804</v>
      </c>
      <c r="L435">
        <v>367.65839999999997</v>
      </c>
      <c r="M435">
        <v>0.99961849999999997</v>
      </c>
      <c r="N435">
        <v>0</v>
      </c>
      <c r="O435">
        <v>-2.6739329999999999E-2</v>
      </c>
      <c r="P435">
        <v>0.99903850000000005</v>
      </c>
      <c r="Q435">
        <v>2.2559949999999999E-2</v>
      </c>
      <c r="R435">
        <v>-3.7594549999999997E-2</v>
      </c>
      <c r="S435">
        <v>3.00766</v>
      </c>
      <c r="T435">
        <v>-0.1272422</v>
      </c>
      <c r="U435">
        <v>4.3212889999999997E-2</v>
      </c>
      <c r="V435">
        <v>1.0792980000000001E-2</v>
      </c>
      <c r="W435">
        <v>2.9511289999999999E-2</v>
      </c>
      <c r="X435">
        <v>0.99950620000000001</v>
      </c>
      <c r="Y435">
        <v>-4.1037589999999999E-2</v>
      </c>
      <c r="Z435">
        <v>1.998288E-3</v>
      </c>
      <c r="AA435">
        <v>0.99915560000000003</v>
      </c>
      <c r="AB435">
        <v>63</v>
      </c>
      <c r="AC435">
        <v>25.697199999999999</v>
      </c>
      <c r="AD435">
        <v>-1.103805873847</v>
      </c>
      <c r="AE435">
        <v>0.38550000000003498</v>
      </c>
      <c r="AF435">
        <v>-1.0705297472081801</v>
      </c>
      <c r="AG435">
        <v>-1.103805873847</v>
      </c>
      <c r="AH435">
        <v>25.6304236273632</v>
      </c>
      <c r="AI435">
        <v>92.463844185810004</v>
      </c>
      <c r="AJ435">
        <v>92.391735928424097</v>
      </c>
      <c r="AK435">
        <v>25.676507485732898</v>
      </c>
    </row>
    <row r="436" spans="1:37" x14ac:dyDescent="0.2">
      <c r="A436" t="str">
        <f>"20200111153413156"</f>
        <v>20200111153413156</v>
      </c>
      <c r="B436" t="str">
        <f>"1578728053146670"</f>
        <v>1578728053146670</v>
      </c>
      <c r="C436" t="s">
        <v>37</v>
      </c>
      <c r="D436">
        <v>4.7749389999999998</v>
      </c>
      <c r="E436">
        <v>0.5283949</v>
      </c>
      <c r="F436" t="s">
        <v>38</v>
      </c>
      <c r="G436">
        <v>-308.46499999999997</v>
      </c>
      <c r="H436">
        <v>-0.05</v>
      </c>
      <c r="I436">
        <v>362.72879999999998</v>
      </c>
      <c r="J436">
        <v>-351.54820000000001</v>
      </c>
      <c r="K436">
        <v>1.103823</v>
      </c>
      <c r="L436">
        <v>367.64789999999999</v>
      </c>
      <c r="M436">
        <v>0.99962649999999997</v>
      </c>
      <c r="N436">
        <v>0</v>
      </c>
      <c r="O436">
        <v>-2.6404960000000002E-2</v>
      </c>
      <c r="P436">
        <v>0.99908589999999997</v>
      </c>
      <c r="Q436">
        <v>2.1843680000000001E-2</v>
      </c>
      <c r="R436">
        <v>-3.6747179999999997E-2</v>
      </c>
      <c r="S436">
        <v>2.9919129999999998</v>
      </c>
      <c r="T436">
        <v>-7.9406980000000002E-2</v>
      </c>
      <c r="U436">
        <v>-0.33926390000000001</v>
      </c>
      <c r="V436">
        <v>1.028162E-2</v>
      </c>
      <c r="W436">
        <v>2.8930270000000001E-2</v>
      </c>
      <c r="X436">
        <v>0.99952849999999904</v>
      </c>
      <c r="Y436">
        <v>8.6373989999999998E-2</v>
      </c>
      <c r="Z436">
        <v>-4.4420789999999999E-4</v>
      </c>
      <c r="AA436">
        <v>0.99626269999999995</v>
      </c>
      <c r="AB436">
        <v>63</v>
      </c>
      <c r="AC436">
        <v>43.083199999999998</v>
      </c>
      <c r="AD436">
        <v>-1.153823</v>
      </c>
      <c r="AE436">
        <v>-4.91910000000001</v>
      </c>
      <c r="AF436">
        <v>3.7770721623278698</v>
      </c>
      <c r="AG436">
        <v>-1.153823</v>
      </c>
      <c r="AH436">
        <v>43.167506332395099</v>
      </c>
      <c r="AI436">
        <v>91.525267888532994</v>
      </c>
      <c r="AJ436">
        <v>84.999466892979299</v>
      </c>
      <c r="AK436">
        <v>43.347793307066198</v>
      </c>
    </row>
    <row r="437" spans="1:37" x14ac:dyDescent="0.2">
      <c r="A437" t="str">
        <f>"20200111153413180"</f>
        <v>20200111153413180</v>
      </c>
      <c r="B437" t="str">
        <f>"1578728053177073"</f>
        <v>1578728053177073</v>
      </c>
      <c r="C437" t="s">
        <v>37</v>
      </c>
      <c r="D437">
        <v>4.7617339999999997</v>
      </c>
      <c r="E437">
        <v>0.52710709999999905</v>
      </c>
      <c r="F437" t="s">
        <v>38</v>
      </c>
      <c r="G437">
        <v>-307.10270000000003</v>
      </c>
      <c r="H437">
        <v>-0.05</v>
      </c>
      <c r="I437">
        <v>362.61439999999999</v>
      </c>
      <c r="J437">
        <v>-350.90480000000002</v>
      </c>
      <c r="K437">
        <v>1.1038680000000001</v>
      </c>
      <c r="L437">
        <v>367.63080000000002</v>
      </c>
      <c r="M437">
        <v>0.99963809999999997</v>
      </c>
      <c r="N437">
        <v>0</v>
      </c>
      <c r="O437">
        <v>-2.587103E-2</v>
      </c>
      <c r="P437">
        <v>0.99913009999999902</v>
      </c>
      <c r="Q437">
        <v>2.116782E-2</v>
      </c>
      <c r="R437">
        <v>-3.5936830000000003E-2</v>
      </c>
      <c r="S437">
        <v>2.9919739999999999</v>
      </c>
      <c r="T437">
        <v>-7.7672840000000007E-2</v>
      </c>
      <c r="U437">
        <v>-0.33883669999999999</v>
      </c>
      <c r="V437">
        <v>1.0006340000000001E-2</v>
      </c>
      <c r="W437">
        <v>2.8560869999999999E-2</v>
      </c>
      <c r="X437">
        <v>0.99954200000000004</v>
      </c>
      <c r="Y437">
        <v>8.6763930000000003E-2</v>
      </c>
      <c r="Z437">
        <v>-4.5334910000000001E-4</v>
      </c>
      <c r="AA437">
        <v>0.99622880000000003</v>
      </c>
      <c r="AB437">
        <v>63</v>
      </c>
      <c r="AC437">
        <v>43.802100000000003</v>
      </c>
      <c r="AD437">
        <v>-1.1538679999999999</v>
      </c>
      <c r="AE437">
        <v>-5.0164000000000302</v>
      </c>
      <c r="AF437">
        <v>3.8788277893469698</v>
      </c>
      <c r="AG437">
        <v>-1.1538679999999999</v>
      </c>
      <c r="AH437">
        <v>43.887160297857797</v>
      </c>
      <c r="AI437">
        <v>91.500211169077701</v>
      </c>
      <c r="AJ437">
        <v>84.949217688907595</v>
      </c>
      <c r="AK437">
        <v>44.073342911455001</v>
      </c>
    </row>
    <row r="438" spans="1:37" x14ac:dyDescent="0.2">
      <c r="A438" t="str">
        <f>"20200111153413193"</f>
        <v>20200111153413193</v>
      </c>
      <c r="B438" t="str">
        <f>"1578728053186834"</f>
        <v>1578728053186834</v>
      </c>
      <c r="C438" t="s">
        <v>37</v>
      </c>
      <c r="D438">
        <v>4.8475089999999996</v>
      </c>
      <c r="E438">
        <v>0.52705709999999995</v>
      </c>
      <c r="F438" t="s">
        <v>38</v>
      </c>
      <c r="G438">
        <v>-305.25819999999999</v>
      </c>
      <c r="H438">
        <v>-0.05</v>
      </c>
      <c r="I438">
        <v>362.6508</v>
      </c>
      <c r="J438">
        <v>-350.5292</v>
      </c>
      <c r="K438">
        <v>1.103904</v>
      </c>
      <c r="L438">
        <v>367.62099999999998</v>
      </c>
      <c r="M438">
        <v>0.99964409999999904</v>
      </c>
      <c r="N438">
        <v>0</v>
      </c>
      <c r="O438">
        <v>-2.5569499999999998E-2</v>
      </c>
      <c r="P438">
        <v>0.99915609999999999</v>
      </c>
      <c r="Q438">
        <v>2.0619289999999998E-2</v>
      </c>
      <c r="R438">
        <v>-3.5527910000000003E-2</v>
      </c>
      <c r="S438">
        <v>2.99246199999999</v>
      </c>
      <c r="T438">
        <v>-7.5644249999999996E-2</v>
      </c>
      <c r="U438">
        <v>-0.32647709999999902</v>
      </c>
      <c r="V438">
        <v>9.9000089999999995E-3</v>
      </c>
      <c r="W438">
        <v>2.825677E-2</v>
      </c>
      <c r="X438">
        <v>0.99955169999999904</v>
      </c>
      <c r="Y438">
        <v>8.2983269999999998E-2</v>
      </c>
      <c r="Z438">
        <v>-4.0148769999999998E-4</v>
      </c>
      <c r="AA438">
        <v>0.99655090000000002</v>
      </c>
      <c r="AB438">
        <v>63</v>
      </c>
      <c r="AC438">
        <v>45.271000000000001</v>
      </c>
      <c r="AD438">
        <v>-1.153904</v>
      </c>
      <c r="AE438">
        <v>-4.97019999999997</v>
      </c>
      <c r="AF438">
        <v>3.80853968987351</v>
      </c>
      <c r="AG438">
        <v>-1.153904</v>
      </c>
      <c r="AH438">
        <v>45.354172108216702</v>
      </c>
      <c r="AI438">
        <v>91.452299539520794</v>
      </c>
      <c r="AJ438">
        <v>85.199945494887402</v>
      </c>
      <c r="AK438">
        <v>45.528424051709699</v>
      </c>
    </row>
    <row r="439" spans="1:37" x14ac:dyDescent="0.2">
      <c r="A439" t="str">
        <f>"20200111153413205"</f>
        <v>20200111153413205</v>
      </c>
      <c r="B439" t="str">
        <f>"1578728053196592"</f>
        <v>1578728053196592</v>
      </c>
      <c r="C439" t="s">
        <v>37</v>
      </c>
      <c r="D439">
        <v>4.7859660000000002</v>
      </c>
      <c r="E439">
        <v>0.52672299999999905</v>
      </c>
      <c r="F439" t="s">
        <v>38</v>
      </c>
      <c r="G439">
        <v>-305.32470000000001</v>
      </c>
      <c r="H439">
        <v>-0.05</v>
      </c>
      <c r="I439">
        <v>362.71839999999997</v>
      </c>
      <c r="J439">
        <v>-350.19110000000001</v>
      </c>
      <c r="K439">
        <v>1.103944</v>
      </c>
      <c r="L439">
        <v>367.6123</v>
      </c>
      <c r="M439">
        <v>0.99964900000000001</v>
      </c>
      <c r="N439">
        <v>0</v>
      </c>
      <c r="O439">
        <v>-2.5301959999999998E-2</v>
      </c>
      <c r="P439">
        <v>0.99917710000000004</v>
      </c>
      <c r="Q439">
        <v>2.0262180000000001E-2</v>
      </c>
      <c r="R439">
        <v>-3.5137300000000003E-2</v>
      </c>
      <c r="S439">
        <v>2.9925839999999999</v>
      </c>
      <c r="T439">
        <v>-7.6389670000000007E-2</v>
      </c>
      <c r="U439">
        <v>-0.32455440000000002</v>
      </c>
      <c r="V439">
        <v>9.7775029999999999E-3</v>
      </c>
      <c r="W439">
        <v>2.8139999999999998E-2</v>
      </c>
      <c r="X439">
        <v>0.99955620000000001</v>
      </c>
      <c r="Y439">
        <v>8.2612480000000002E-2</v>
      </c>
      <c r="Z439">
        <v>-4.0752209999999999E-4</v>
      </c>
      <c r="AA439">
        <v>0.99658169999999902</v>
      </c>
      <c r="AB439">
        <v>63</v>
      </c>
      <c r="AC439">
        <v>44.866399999999999</v>
      </c>
      <c r="AD439">
        <v>-1.1539440000000001</v>
      </c>
      <c r="AE439">
        <v>-4.8939000000000297</v>
      </c>
      <c r="AF439">
        <v>3.7546357952187099</v>
      </c>
      <c r="AG439">
        <v>-1.1539440000000001</v>
      </c>
      <c r="AH439">
        <v>44.946482085662801</v>
      </c>
      <c r="AI439">
        <v>91.465571094360797</v>
      </c>
      <c r="AJ439">
        <v>85.224843771390795</v>
      </c>
      <c r="AK439">
        <v>45.117791707780597</v>
      </c>
    </row>
    <row r="440" spans="1:37" x14ac:dyDescent="0.2">
      <c r="A440" t="str">
        <f>"20200111153413216"</f>
        <v>20200111153413216</v>
      </c>
      <c r="B440" t="str">
        <f>"1578728053207329"</f>
        <v>1578728053207329</v>
      </c>
      <c r="C440" t="s">
        <v>37</v>
      </c>
      <c r="D440">
        <v>4.792306</v>
      </c>
      <c r="E440">
        <v>0.52638699999999905</v>
      </c>
      <c r="F440" t="s">
        <v>38</v>
      </c>
      <c r="G440">
        <v>-304.92329999999998</v>
      </c>
      <c r="H440">
        <v>-0.05</v>
      </c>
      <c r="I440">
        <v>362.76139999999998</v>
      </c>
      <c r="J440">
        <v>-349.86540000000002</v>
      </c>
      <c r="K440">
        <v>1.103988</v>
      </c>
      <c r="L440">
        <v>367.60399999999998</v>
      </c>
      <c r="M440">
        <v>0.99965349999999997</v>
      </c>
      <c r="N440">
        <v>0</v>
      </c>
      <c r="O440">
        <v>-2.5047340000000001E-2</v>
      </c>
      <c r="P440">
        <v>0.99919369999999996</v>
      </c>
      <c r="Q440">
        <v>1.9952310000000001E-2</v>
      </c>
      <c r="R440">
        <v>-3.4846349999999998E-2</v>
      </c>
      <c r="S440">
        <v>2.992737</v>
      </c>
      <c r="T440">
        <v>-7.6289419999999997E-2</v>
      </c>
      <c r="U440">
        <v>-0.32070920000000003</v>
      </c>
      <c r="V440">
        <v>9.7413780000000002E-3</v>
      </c>
      <c r="W440">
        <v>2.807898E-2</v>
      </c>
      <c r="X440">
        <v>0.99955830000000001</v>
      </c>
      <c r="Y440">
        <v>8.1595329999999994E-2</v>
      </c>
      <c r="Z440">
        <v>-4.0053110000000001E-4</v>
      </c>
      <c r="AA440">
        <v>0.99666549999999998</v>
      </c>
      <c r="AB440">
        <v>63</v>
      </c>
      <c r="AC440">
        <v>44.942100000000003</v>
      </c>
      <c r="AD440">
        <v>-1.153988</v>
      </c>
      <c r="AE440">
        <v>-4.8426000000000604</v>
      </c>
      <c r="AF440">
        <v>3.7129437606629998</v>
      </c>
      <c r="AG440">
        <v>-1.153988</v>
      </c>
      <c r="AH440">
        <v>45.019955583313802</v>
      </c>
      <c r="AI440">
        <v>91.463364161843501</v>
      </c>
      <c r="AJ440">
        <v>85.285298909819304</v>
      </c>
      <c r="AK440">
        <v>45.187542978098897</v>
      </c>
    </row>
    <row r="441" spans="1:37" x14ac:dyDescent="0.2">
      <c r="A441" t="str">
        <f>"20200111153413228"</f>
        <v>20200111153413228</v>
      </c>
      <c r="B441" t="str">
        <f>"1578728053217089"</f>
        <v>1578728053217089</v>
      </c>
      <c r="C441" t="s">
        <v>37</v>
      </c>
      <c r="D441">
        <v>4.8366419999999897</v>
      </c>
      <c r="E441">
        <v>0.52611390000000002</v>
      </c>
      <c r="F441" t="s">
        <v>38</v>
      </c>
      <c r="G441">
        <v>-305.07859999999999</v>
      </c>
      <c r="H441">
        <v>-0.05</v>
      </c>
      <c r="I441">
        <v>362.85</v>
      </c>
      <c r="J441">
        <v>-349.53550000000001</v>
      </c>
      <c r="K441">
        <v>1.1040410000000001</v>
      </c>
      <c r="L441">
        <v>367.5958</v>
      </c>
      <c r="M441">
        <v>0.99965749999999998</v>
      </c>
      <c r="N441">
        <v>0</v>
      </c>
      <c r="O441">
        <v>-2.47949999999999E-2</v>
      </c>
      <c r="P441">
        <v>0.99921499999999996</v>
      </c>
      <c r="Q441">
        <v>1.9521770000000001E-2</v>
      </c>
      <c r="R441">
        <v>-3.4475110000000003E-2</v>
      </c>
      <c r="S441">
        <v>2.9928889999999999</v>
      </c>
      <c r="T441">
        <v>-7.7115539999999996E-2</v>
      </c>
      <c r="U441">
        <v>-0.31768800000000003</v>
      </c>
      <c r="V441">
        <v>9.6227080000000006E-3</v>
      </c>
      <c r="W441">
        <v>2.793551E-2</v>
      </c>
      <c r="X441">
        <v>0.99956339999999999</v>
      </c>
      <c r="Y441">
        <v>8.0846409999999994E-2</v>
      </c>
      <c r="Z441">
        <v>-4.0172180000000001E-4</v>
      </c>
      <c r="AA441">
        <v>0.99672649999999996</v>
      </c>
      <c r="AB441">
        <v>63</v>
      </c>
      <c r="AC441">
        <v>44.456899999999997</v>
      </c>
      <c r="AD441">
        <v>-1.1540410000000001</v>
      </c>
      <c r="AE441">
        <v>-4.7457999999999698</v>
      </c>
      <c r="AF441">
        <v>3.6395684702020499</v>
      </c>
      <c r="AG441">
        <v>-1.1540410000000001</v>
      </c>
      <c r="AH441">
        <v>44.531237968089599</v>
      </c>
      <c r="AI441">
        <v>91.479574545113493</v>
      </c>
      <c r="AJ441">
        <v>85.327562182860206</v>
      </c>
      <c r="AK441">
        <v>44.694624109053599</v>
      </c>
    </row>
    <row r="442" spans="1:37" x14ac:dyDescent="0.2">
      <c r="A442" t="str">
        <f>"20200111153413241"</f>
        <v>20200111153413241</v>
      </c>
      <c r="B442" t="str">
        <f>"1578728053236609"</f>
        <v>1578728053236609</v>
      </c>
      <c r="C442" t="s">
        <v>37</v>
      </c>
      <c r="D442">
        <v>4.8173000000000004</v>
      </c>
      <c r="E442">
        <v>0.52563609999999905</v>
      </c>
      <c r="F442" t="s">
        <v>38</v>
      </c>
      <c r="G442">
        <v>-305.22910000000002</v>
      </c>
      <c r="H442">
        <v>-0.05</v>
      </c>
      <c r="I442">
        <v>362.94580000000002</v>
      </c>
      <c r="J442">
        <v>-349.17959999999999</v>
      </c>
      <c r="K442">
        <v>1.1041000000000001</v>
      </c>
      <c r="L442">
        <v>367.58690000000001</v>
      </c>
      <c r="M442">
        <v>0.99966109999999897</v>
      </c>
      <c r="N442">
        <v>0</v>
      </c>
      <c r="O442">
        <v>-2.4526739999999998E-2</v>
      </c>
      <c r="P442">
        <v>0.99923680000000004</v>
      </c>
      <c r="Q442">
        <v>1.908437E-2</v>
      </c>
      <c r="R442">
        <v>-3.4084509999999998E-2</v>
      </c>
      <c r="S442">
        <v>2.993042</v>
      </c>
      <c r="T442">
        <v>-7.7959299999999995E-2</v>
      </c>
      <c r="U442">
        <v>-0.31411739999999999</v>
      </c>
      <c r="V442">
        <v>9.5005200000000001E-3</v>
      </c>
      <c r="W442">
        <v>2.7827790000000002E-2</v>
      </c>
      <c r="X442">
        <v>0.9995676</v>
      </c>
      <c r="Y442">
        <v>7.9932320000000001E-2</v>
      </c>
      <c r="Z442">
        <v>-4.0120769999999899E-4</v>
      </c>
      <c r="AA442">
        <v>0.99680020000000003</v>
      </c>
      <c r="AB442">
        <v>63</v>
      </c>
      <c r="AC442">
        <v>43.950499999999899</v>
      </c>
      <c r="AD442">
        <v>-1.1540999999999999</v>
      </c>
      <c r="AE442">
        <v>-4.64109999999999</v>
      </c>
      <c r="AF442">
        <v>3.5592730189681201</v>
      </c>
      <c r="AG442">
        <v>-1.1540999999999999</v>
      </c>
      <c r="AH442">
        <v>44.021093396755703</v>
      </c>
      <c r="AI442">
        <v>91.496895481282195</v>
      </c>
      <c r="AJ442">
        <v>85.377473568823802</v>
      </c>
      <c r="AK442">
        <v>44.179826109655998</v>
      </c>
    </row>
    <row r="443" spans="1:37" x14ac:dyDescent="0.2">
      <c r="A443" t="str">
        <f>"20200111153413258"</f>
        <v>20200111153413258</v>
      </c>
      <c r="B443" t="str">
        <f>"1578728053247345"</f>
        <v>1578728053247345</v>
      </c>
      <c r="C443" t="s">
        <v>37</v>
      </c>
      <c r="D443">
        <v>4.8098599999999996</v>
      </c>
      <c r="E443">
        <v>0.52544389999999996</v>
      </c>
      <c r="F443" t="s">
        <v>38</v>
      </c>
      <c r="G443">
        <v>-304.89179999999999</v>
      </c>
      <c r="H443">
        <v>-0.05</v>
      </c>
      <c r="I443">
        <v>363.010999999999</v>
      </c>
      <c r="J443">
        <v>-348.71409999999997</v>
      </c>
      <c r="K443">
        <v>1.1041889999999901</v>
      </c>
      <c r="L443">
        <v>367.57549999999998</v>
      </c>
      <c r="M443">
        <v>0.99966509999999997</v>
      </c>
      <c r="N443">
        <v>0</v>
      </c>
      <c r="O443">
        <v>-2.419079E-2</v>
      </c>
      <c r="P443">
        <v>0.9992645</v>
      </c>
      <c r="Q443">
        <v>1.866744E-2</v>
      </c>
      <c r="R443">
        <v>-3.3502299999999999E-2</v>
      </c>
      <c r="S443">
        <v>2.9932560000000001</v>
      </c>
      <c r="T443">
        <v>-7.8001500000000001E-2</v>
      </c>
      <c r="U443">
        <v>-0.30926509999999902</v>
      </c>
      <c r="V443">
        <v>9.2539590000000008E-3</v>
      </c>
      <c r="W443">
        <v>2.790262E-2</v>
      </c>
      <c r="X443">
        <v>0.99956780000000001</v>
      </c>
      <c r="Y443">
        <v>7.8661499999999995E-2</v>
      </c>
      <c r="Z443">
        <v>-3.9363499999999998E-4</v>
      </c>
      <c r="AA443">
        <v>0.99690129999999999</v>
      </c>
      <c r="AB443">
        <v>63</v>
      </c>
      <c r="AC443">
        <v>43.822299999999899</v>
      </c>
      <c r="AD443">
        <v>-1.1541889999999999</v>
      </c>
      <c r="AE443">
        <v>-4.5644999999999998</v>
      </c>
      <c r="AF443">
        <v>3.50062101435537</v>
      </c>
      <c r="AG443">
        <v>-1.1541889999999999</v>
      </c>
      <c r="AH443">
        <v>43.889779283870404</v>
      </c>
      <c r="AI443">
        <v>91.501618800051602</v>
      </c>
      <c r="AJ443">
        <v>85.439778578730994</v>
      </c>
      <c r="AK443">
        <v>44.044287090617402</v>
      </c>
    </row>
    <row r="444" spans="1:37" x14ac:dyDescent="0.2">
      <c r="A444" t="str">
        <f>"20200111153413271"</f>
        <v>20200111153413271</v>
      </c>
      <c r="B444" t="str">
        <f>"1578728053266865"</f>
        <v>1578728053266865</v>
      </c>
      <c r="C444" t="s">
        <v>37</v>
      </c>
      <c r="D444">
        <v>4.8464970000000003</v>
      </c>
      <c r="E444">
        <v>0.52493570000000001</v>
      </c>
      <c r="F444" t="s">
        <v>38</v>
      </c>
      <c r="G444">
        <v>-304.83010000000002</v>
      </c>
      <c r="H444">
        <v>-0.05</v>
      </c>
      <c r="I444">
        <v>363.08850000000001</v>
      </c>
      <c r="J444">
        <v>-348.34829999999999</v>
      </c>
      <c r="K444">
        <v>1.1042529999999999</v>
      </c>
      <c r="L444">
        <v>367.56670000000003</v>
      </c>
      <c r="M444">
        <v>0.99966699999999997</v>
      </c>
      <c r="N444">
        <v>0</v>
      </c>
      <c r="O444">
        <v>-2.3933039999999999E-2</v>
      </c>
      <c r="P444">
        <v>0.99927749999999904</v>
      </c>
      <c r="Q444">
        <v>1.836784E-2</v>
      </c>
      <c r="R444">
        <v>-3.3274610000000003E-2</v>
      </c>
      <c r="S444">
        <v>2.9934080000000001</v>
      </c>
      <c r="T444">
        <v>-7.8729270000000004E-2</v>
      </c>
      <c r="U444">
        <v>-0.30606079999999902</v>
      </c>
      <c r="V444">
        <v>9.2840000000000006E-3</v>
      </c>
      <c r="W444">
        <v>2.8021790000000001E-2</v>
      </c>
      <c r="X444">
        <v>0.99956420000000001</v>
      </c>
      <c r="Y444">
        <v>7.7857049999999997E-2</v>
      </c>
      <c r="Z444">
        <v>-3.9350879999999999E-4</v>
      </c>
      <c r="AA444">
        <v>0.99696450000000003</v>
      </c>
      <c r="AB444">
        <v>63</v>
      </c>
      <c r="AC444">
        <v>43.518199999999901</v>
      </c>
      <c r="AD444">
        <v>-1.154253</v>
      </c>
      <c r="AE444">
        <v>-4.47820000000001</v>
      </c>
      <c r="AF444">
        <v>3.4329560978672502</v>
      </c>
      <c r="AG444">
        <v>-1.154253</v>
      </c>
      <c r="AH444">
        <v>43.582576778855099</v>
      </c>
      <c r="AI444">
        <v>91.512400167952507</v>
      </c>
      <c r="AJ444">
        <v>85.496167999194697</v>
      </c>
      <c r="AK444">
        <v>43.732807893419</v>
      </c>
    </row>
    <row r="445" spans="1:37" x14ac:dyDescent="0.2">
      <c r="A445" t="str">
        <f>"20200111153413284"</f>
        <v>20200111153413284</v>
      </c>
      <c r="B445" t="str">
        <f>"1578728053276625"</f>
        <v>1578728053276625</v>
      </c>
      <c r="C445" t="s">
        <v>37</v>
      </c>
      <c r="D445">
        <v>4.8822799999999997</v>
      </c>
      <c r="E445">
        <v>0.52494619999999903</v>
      </c>
      <c r="F445" t="s">
        <v>38</v>
      </c>
      <c r="G445">
        <v>-305.36529999999999</v>
      </c>
      <c r="H445">
        <v>-0.05</v>
      </c>
      <c r="I445">
        <v>363.23829999999998</v>
      </c>
      <c r="J445">
        <v>-347.99340000000001</v>
      </c>
      <c r="K445">
        <v>1.104312</v>
      </c>
      <c r="L445">
        <v>367.5582</v>
      </c>
      <c r="M445">
        <v>0.99966909999999898</v>
      </c>
      <c r="N445">
        <v>0</v>
      </c>
      <c r="O445">
        <v>-2.3683579999999999E-2</v>
      </c>
      <c r="P445">
        <v>0.99928819999999996</v>
      </c>
      <c r="Q445">
        <v>1.7747679999999998E-2</v>
      </c>
      <c r="R445">
        <v>-3.3291420000000002E-2</v>
      </c>
      <c r="S445">
        <v>2.9936219999999998</v>
      </c>
      <c r="T445">
        <v>-8.0389859999999994E-2</v>
      </c>
      <c r="U445">
        <v>-0.30145259999999902</v>
      </c>
      <c r="V445">
        <v>9.5511019999999901E-3</v>
      </c>
      <c r="W445">
        <v>2.7810149999999999E-2</v>
      </c>
      <c r="X445">
        <v>0.9995676</v>
      </c>
      <c r="Y445">
        <v>7.6579040000000001E-2</v>
      </c>
      <c r="Z445">
        <v>-3.9136559999999898E-4</v>
      </c>
      <c r="AA445">
        <v>0.99706349999999999</v>
      </c>
      <c r="AB445">
        <v>63</v>
      </c>
      <c r="AC445">
        <v>42.628100000000003</v>
      </c>
      <c r="AD445">
        <v>-1.154312</v>
      </c>
      <c r="AE445">
        <v>-4.3199000000000103</v>
      </c>
      <c r="AF445">
        <v>3.3066513047486401</v>
      </c>
      <c r="AG445">
        <v>-1.154312</v>
      </c>
      <c r="AH445">
        <v>42.687475081397501</v>
      </c>
      <c r="AI445">
        <v>91.544333604889502</v>
      </c>
      <c r="AJ445">
        <v>85.570607389052597</v>
      </c>
      <c r="AK445">
        <v>42.830910658885998</v>
      </c>
    </row>
    <row r="446" spans="1:37" x14ac:dyDescent="0.2">
      <c r="A446" t="str">
        <f>"20200111153413295"</f>
        <v>20200111153413295</v>
      </c>
      <c r="B446" t="str">
        <f>"1578728053286385"</f>
        <v>1578728053286385</v>
      </c>
      <c r="C446" t="s">
        <v>37</v>
      </c>
      <c r="D446">
        <v>4.9011239999999896</v>
      </c>
      <c r="E446">
        <v>0.5250283</v>
      </c>
      <c r="F446" t="s">
        <v>38</v>
      </c>
      <c r="G446">
        <v>-306.03469999999999</v>
      </c>
      <c r="H446">
        <v>-0.05</v>
      </c>
      <c r="I446">
        <v>363.33170000000001</v>
      </c>
      <c r="J446">
        <v>-347.65410000000003</v>
      </c>
      <c r="K446">
        <v>1.1043639999999999</v>
      </c>
      <c r="L446">
        <v>367.55020000000002</v>
      </c>
      <c r="M446">
        <v>0.99967079999999997</v>
      </c>
      <c r="N446">
        <v>0</v>
      </c>
      <c r="O446">
        <v>-2.344452E-2</v>
      </c>
      <c r="P446">
        <v>0.99930079999999999</v>
      </c>
      <c r="Q446">
        <v>1.7235810000000001E-2</v>
      </c>
      <c r="R446">
        <v>-3.318629E-2</v>
      </c>
      <c r="S446">
        <v>2.9935909999999999</v>
      </c>
      <c r="T446">
        <v>-8.2355620000000004E-2</v>
      </c>
      <c r="U446">
        <v>-0.30154419999999998</v>
      </c>
      <c r="V446">
        <v>9.6858610000000005E-3</v>
      </c>
      <c r="W446">
        <v>2.7686700000000002E-2</v>
      </c>
      <c r="X446">
        <v>0.99956970000000001</v>
      </c>
      <c r="Y446">
        <v>7.6847460000000006E-2</v>
      </c>
      <c r="Z446">
        <v>-4.1116900000000002E-4</v>
      </c>
      <c r="AA446">
        <v>0.99704280000000001</v>
      </c>
      <c r="AB446">
        <v>63</v>
      </c>
      <c r="AC446">
        <v>41.619399999999999</v>
      </c>
      <c r="AD446">
        <v>-1.1543639999999999</v>
      </c>
      <c r="AE446">
        <v>-4.2184999999999997</v>
      </c>
      <c r="AF446">
        <v>3.2390740396533402</v>
      </c>
      <c r="AG446">
        <v>-1.1543639999999999</v>
      </c>
      <c r="AH446">
        <v>41.675130791857399</v>
      </c>
      <c r="AI446">
        <v>91.581868187808794</v>
      </c>
      <c r="AJ446">
        <v>85.555792428448598</v>
      </c>
      <c r="AK446">
        <v>41.816751229588199</v>
      </c>
    </row>
    <row r="447" spans="1:37" x14ac:dyDescent="0.2">
      <c r="A447" t="str">
        <f>"20200111153413306"</f>
        <v>20200111153413306</v>
      </c>
      <c r="B447" t="str">
        <f>"1578728053297121"</f>
        <v>1578728053297121</v>
      </c>
      <c r="C447" t="s">
        <v>37</v>
      </c>
      <c r="D447">
        <v>4.8831910000000001</v>
      </c>
      <c r="E447">
        <v>0.52512479999999995</v>
      </c>
      <c r="F447" t="s">
        <v>38</v>
      </c>
      <c r="G447">
        <v>-306.39870000000002</v>
      </c>
      <c r="H447">
        <v>-0.05</v>
      </c>
      <c r="I447">
        <v>363.39269999999999</v>
      </c>
      <c r="J447">
        <v>-347.33640000000003</v>
      </c>
      <c r="K447">
        <v>1.1044020000000001</v>
      </c>
      <c r="L447">
        <v>367.5428</v>
      </c>
      <c r="M447">
        <v>0.99967249999999996</v>
      </c>
      <c r="N447">
        <v>0</v>
      </c>
      <c r="O447">
        <v>-2.3218720000000002E-2</v>
      </c>
      <c r="P447">
        <v>0.99930669999999899</v>
      </c>
      <c r="Q447">
        <v>1.6965879999999999E-2</v>
      </c>
      <c r="R447">
        <v>-3.3148190000000001E-2</v>
      </c>
      <c r="S447">
        <v>2.9935</v>
      </c>
      <c r="T447">
        <v>-8.3760860000000006E-2</v>
      </c>
      <c r="U447">
        <v>-0.3016663</v>
      </c>
      <c r="V447">
        <v>9.8739780000000003E-3</v>
      </c>
      <c r="W447">
        <v>2.7762479999999999E-2</v>
      </c>
      <c r="X447">
        <v>0.99956579999999995</v>
      </c>
      <c r="Y447">
        <v>7.7114989999999994E-2</v>
      </c>
      <c r="Z447">
        <v>-4.282205E-4</v>
      </c>
      <c r="AA447">
        <v>0.99702209999999902</v>
      </c>
      <c r="AB447">
        <v>63</v>
      </c>
      <c r="AC447">
        <v>40.9377</v>
      </c>
      <c r="AD447">
        <v>-1.1544019999999999</v>
      </c>
      <c r="AE447">
        <v>-4.1501000000000001</v>
      </c>
      <c r="AF447">
        <v>3.19588954919594</v>
      </c>
      <c r="AG447">
        <v>-1.1544019999999999</v>
      </c>
      <c r="AH447">
        <v>40.990764286413999</v>
      </c>
      <c r="AI447">
        <v>91.608287265881103</v>
      </c>
      <c r="AJ447">
        <v>85.541890782851397</v>
      </c>
      <c r="AK447">
        <v>41.131364076244999</v>
      </c>
    </row>
    <row r="448" spans="1:37" x14ac:dyDescent="0.2">
      <c r="A448" t="str">
        <f>"20200111153413319"</f>
        <v>20200111153413319</v>
      </c>
      <c r="B448" t="str">
        <f>"1578728053306881"</f>
        <v>1578728053306881</v>
      </c>
      <c r="C448" t="s">
        <v>37</v>
      </c>
      <c r="D448">
        <v>4.8587579999999999</v>
      </c>
      <c r="E448">
        <v>0.52514099999999997</v>
      </c>
      <c r="F448" t="s">
        <v>38</v>
      </c>
      <c r="G448">
        <v>-306.33080000000001</v>
      </c>
      <c r="H448">
        <v>-0.05</v>
      </c>
      <c r="I448">
        <v>363.39830000000001</v>
      </c>
      <c r="J448">
        <v>-346.99849999999998</v>
      </c>
      <c r="K448">
        <v>1.104436</v>
      </c>
      <c r="L448">
        <v>367.53500000000003</v>
      </c>
      <c r="M448">
        <v>0.99967399999999995</v>
      </c>
      <c r="N448">
        <v>0</v>
      </c>
      <c r="O448">
        <v>-2.2977569999999999E-2</v>
      </c>
      <c r="P448">
        <v>0.99930229999999998</v>
      </c>
      <c r="Q448">
        <v>1.7090609999999999E-2</v>
      </c>
      <c r="R448">
        <v>-3.3209080000000002E-2</v>
      </c>
      <c r="S448">
        <v>2.993439</v>
      </c>
      <c r="T448">
        <v>-8.4272150000000004E-2</v>
      </c>
      <c r="U448">
        <v>-0.30255129999999902</v>
      </c>
      <c r="V448">
        <v>1.0176070000000001E-2</v>
      </c>
      <c r="W448">
        <v>2.8248189999999999E-2</v>
      </c>
      <c r="X448">
        <v>0.99954920000000003</v>
      </c>
      <c r="Y448">
        <v>7.764865E-2</v>
      </c>
      <c r="Z448">
        <v>-4.450907E-4</v>
      </c>
      <c r="AA448">
        <v>0.99698069999999905</v>
      </c>
      <c r="AB448">
        <v>63</v>
      </c>
      <c r="AC448">
        <v>40.667699999999897</v>
      </c>
      <c r="AD448">
        <v>-1.154436</v>
      </c>
      <c r="AE448">
        <v>-4.13670000000001</v>
      </c>
      <c r="AF448">
        <v>3.1985537893721898</v>
      </c>
      <c r="AG448">
        <v>-1.154436</v>
      </c>
      <c r="AH448">
        <v>40.719542044572798</v>
      </c>
      <c r="AI448">
        <v>91.618968026227506</v>
      </c>
      <c r="AJ448">
        <v>85.508591541457903</v>
      </c>
      <c r="AK448">
        <v>40.861284526325598</v>
      </c>
    </row>
    <row r="449" spans="1:37" x14ac:dyDescent="0.2">
      <c r="A449" t="str">
        <f>"20200111153413336"</f>
        <v>20200111153413336</v>
      </c>
      <c r="B449" t="str">
        <f>"1578728053327376"</f>
        <v>1578728053327376</v>
      </c>
      <c r="C449" t="s">
        <v>37</v>
      </c>
      <c r="D449">
        <v>4.857405</v>
      </c>
      <c r="E449">
        <v>0.52534329999999996</v>
      </c>
      <c r="F449" t="s">
        <v>38</v>
      </c>
      <c r="G449">
        <v>-305.56299999999999</v>
      </c>
      <c r="H449">
        <v>-0.05</v>
      </c>
      <c r="I449">
        <v>363.3433</v>
      </c>
      <c r="J449">
        <v>-346.52670000000001</v>
      </c>
      <c r="K449">
        <v>1.1044719999999999</v>
      </c>
      <c r="L449">
        <v>367.52420000000001</v>
      </c>
      <c r="M449">
        <v>0.99967659999999903</v>
      </c>
      <c r="N449">
        <v>0</v>
      </c>
      <c r="O449">
        <v>-2.263629E-2</v>
      </c>
      <c r="P449">
        <v>0.99929419999999902</v>
      </c>
      <c r="Q449">
        <v>1.7336890000000001E-2</v>
      </c>
      <c r="R449">
        <v>-3.3328690000000001E-2</v>
      </c>
      <c r="S449">
        <v>2.9934689999999899</v>
      </c>
      <c r="T449">
        <v>-8.3401199999999995E-2</v>
      </c>
      <c r="U449">
        <v>-0.30282589999999998</v>
      </c>
      <c r="V449">
        <v>1.0636670000000001E-2</v>
      </c>
      <c r="W449">
        <v>2.89541E-2</v>
      </c>
      <c r="X449">
        <v>0.99952419999999997</v>
      </c>
      <c r="Y449">
        <v>7.8078579999999995E-2</v>
      </c>
      <c r="Z449">
        <v>-4.559314E-4</v>
      </c>
      <c r="AA449">
        <v>0.99694709999999997</v>
      </c>
      <c r="AB449">
        <v>63</v>
      </c>
      <c r="AC449">
        <v>40.963700000000003</v>
      </c>
      <c r="AD449">
        <v>-1.1544719999999999</v>
      </c>
      <c r="AE449">
        <v>-4.1809000000000003</v>
      </c>
      <c r="AF449">
        <v>3.2499453834683201</v>
      </c>
      <c r="AG449">
        <v>-1.1544719999999999</v>
      </c>
      <c r="AH449">
        <v>41.015607103871098</v>
      </c>
      <c r="AI449">
        <v>91.607251592730506</v>
      </c>
      <c r="AJ449">
        <v>85.469531528527298</v>
      </c>
      <c r="AK449">
        <v>41.160356858188599</v>
      </c>
    </row>
    <row r="450" spans="1:37" x14ac:dyDescent="0.2">
      <c r="A450" t="str">
        <f>"20200111153413347"</f>
        <v>20200111153413347</v>
      </c>
      <c r="B450" t="str">
        <f>"1578728053337137"</f>
        <v>1578728053337137</v>
      </c>
      <c r="C450" t="s">
        <v>37</v>
      </c>
      <c r="D450">
        <v>4.8874940000000002</v>
      </c>
      <c r="E450">
        <v>0.52546809999999999</v>
      </c>
      <c r="F450" t="s">
        <v>38</v>
      </c>
      <c r="G450">
        <v>-304.91609999999997</v>
      </c>
      <c r="H450">
        <v>-0.05</v>
      </c>
      <c r="I450">
        <v>363.28199999999998</v>
      </c>
      <c r="J450">
        <v>-346.2</v>
      </c>
      <c r="K450">
        <v>1.10449</v>
      </c>
      <c r="L450">
        <v>367.51690000000002</v>
      </c>
      <c r="M450">
        <v>0.99967850000000003</v>
      </c>
      <c r="N450">
        <v>0</v>
      </c>
      <c r="O450">
        <v>-2.23988E-2</v>
      </c>
      <c r="P450">
        <v>0.99928240000000002</v>
      </c>
      <c r="Q450">
        <v>1.7615909999999999E-2</v>
      </c>
      <c r="R450">
        <v>-3.3532979999999997E-2</v>
      </c>
      <c r="S450">
        <v>2.9933779999999999</v>
      </c>
      <c r="T450">
        <v>-8.3050250000000006E-2</v>
      </c>
      <c r="U450">
        <v>-0.3051758</v>
      </c>
      <c r="V450">
        <v>1.107846E-2</v>
      </c>
      <c r="W450">
        <v>2.952749E-2</v>
      </c>
      <c r="X450">
        <v>0.99950260000000002</v>
      </c>
      <c r="Y450">
        <v>7.9092679999999999E-2</v>
      </c>
      <c r="Z450">
        <v>-4.74604E-4</v>
      </c>
      <c r="AA450">
        <v>0.99686719999999895</v>
      </c>
      <c r="AB450">
        <v>63</v>
      </c>
      <c r="AC450">
        <v>41.283900000000003</v>
      </c>
      <c r="AD450">
        <v>-1.15449</v>
      </c>
      <c r="AE450">
        <v>-4.2349000000000299</v>
      </c>
      <c r="AF450">
        <v>3.3065034400589299</v>
      </c>
      <c r="AG450">
        <v>-1.15449</v>
      </c>
      <c r="AH450">
        <v>41.336415048921999</v>
      </c>
      <c r="AI450">
        <v>91.594714197231795</v>
      </c>
      <c r="AJ450">
        <v>85.4266430961477</v>
      </c>
      <c r="AK450">
        <v>41.4845154395706</v>
      </c>
    </row>
    <row r="451" spans="1:37" x14ac:dyDescent="0.2">
      <c r="A451" t="str">
        <f>"20200111153413359"</f>
        <v>20200111153413359</v>
      </c>
      <c r="B451" t="str">
        <f>"1578728053356657"</f>
        <v>1578728053356657</v>
      </c>
      <c r="C451" t="s">
        <v>37</v>
      </c>
      <c r="D451">
        <v>4.8385259999999999</v>
      </c>
      <c r="E451">
        <v>0.52563879999999996</v>
      </c>
      <c r="F451" t="s">
        <v>38</v>
      </c>
      <c r="G451">
        <v>-303.96550000000002</v>
      </c>
      <c r="H451">
        <v>-0.05</v>
      </c>
      <c r="I451">
        <v>363.19029999999998</v>
      </c>
      <c r="J451">
        <v>-345.88920000000002</v>
      </c>
      <c r="K451">
        <v>1.104506</v>
      </c>
      <c r="L451">
        <v>367.50990000000002</v>
      </c>
      <c r="M451">
        <v>0.99968020000000002</v>
      </c>
      <c r="N451">
        <v>0</v>
      </c>
      <c r="O451">
        <v>-2.2172569999999999E-2</v>
      </c>
      <c r="P451">
        <v>0.99928039999999996</v>
      </c>
      <c r="Q451">
        <v>1.8197250000000002E-2</v>
      </c>
      <c r="R451">
        <v>-3.3283769999999997E-2</v>
      </c>
      <c r="S451">
        <v>2.9933169999999998</v>
      </c>
      <c r="T451">
        <v>-8.1822989999999998E-2</v>
      </c>
      <c r="U451">
        <v>-0.30664059999999999</v>
      </c>
      <c r="V451">
        <v>1.1054349999999999E-2</v>
      </c>
      <c r="W451">
        <v>3.0381120000000001E-2</v>
      </c>
      <c r="X451">
        <v>0.99947730000000001</v>
      </c>
      <c r="Y451">
        <v>7.9803299999999994E-2</v>
      </c>
      <c r="Z451">
        <v>-4.834374E-4</v>
      </c>
      <c r="AA451">
        <v>0.99681049999999904</v>
      </c>
      <c r="AB451">
        <v>63</v>
      </c>
      <c r="AC451">
        <v>41.923699999999997</v>
      </c>
      <c r="AD451">
        <v>-1.154506</v>
      </c>
      <c r="AE451">
        <v>-4.3196000000000296</v>
      </c>
      <c r="AF451">
        <v>3.3863718967884999</v>
      </c>
      <c r="AG451">
        <v>-1.154506</v>
      </c>
      <c r="AH451">
        <v>41.977675978635098</v>
      </c>
      <c r="AI451">
        <v>91.570301736805405</v>
      </c>
      <c r="AJ451">
        <v>85.387892280281704</v>
      </c>
      <c r="AK451">
        <v>42.129866832149801</v>
      </c>
    </row>
    <row r="452" spans="1:37" x14ac:dyDescent="0.2">
      <c r="A452" t="str">
        <f>"20200111153413371"</f>
        <v>20200111153413371</v>
      </c>
      <c r="B452" t="str">
        <f>"1578728053367392"</f>
        <v>1578728053367392</v>
      </c>
      <c r="C452" t="s">
        <v>37</v>
      </c>
      <c r="D452">
        <v>4.8459409999999998</v>
      </c>
      <c r="E452">
        <v>0.52565769999999901</v>
      </c>
      <c r="F452" t="s">
        <v>38</v>
      </c>
      <c r="G452">
        <v>-302.85109999999997</v>
      </c>
      <c r="H452">
        <v>-0.05</v>
      </c>
      <c r="I452">
        <v>363.09230000000002</v>
      </c>
      <c r="J452">
        <v>-345.54070000000002</v>
      </c>
      <c r="K452">
        <v>1.1045180000000001</v>
      </c>
      <c r="L452">
        <v>367.50229999999999</v>
      </c>
      <c r="M452">
        <v>0.99968230000000002</v>
      </c>
      <c r="N452">
        <v>0</v>
      </c>
      <c r="O452">
        <v>-2.1918750000000001E-2</v>
      </c>
      <c r="P452">
        <v>0.99928189999999995</v>
      </c>
      <c r="Q452">
        <v>1.8421150000000001E-2</v>
      </c>
      <c r="R452">
        <v>-3.3112259999999998E-2</v>
      </c>
      <c r="S452">
        <v>2.993347</v>
      </c>
      <c r="T452">
        <v>-8.0297229999999997E-2</v>
      </c>
      <c r="U452">
        <v>-0.307251</v>
      </c>
      <c r="V452">
        <v>1.1136490000000001E-2</v>
      </c>
      <c r="W452">
        <v>3.0879179999999999E-2</v>
      </c>
      <c r="X452">
        <v>0.99946109999999899</v>
      </c>
      <c r="Y452">
        <v>8.0256969999999997E-2</v>
      </c>
      <c r="Z452">
        <v>-4.872675E-4</v>
      </c>
      <c r="AA452">
        <v>0.9967741</v>
      </c>
      <c r="AB452">
        <v>63</v>
      </c>
      <c r="AC452">
        <v>42.689599999999999</v>
      </c>
      <c r="AD452">
        <v>-1.1545179999999999</v>
      </c>
      <c r="AE452">
        <v>-4.4099999999999602</v>
      </c>
      <c r="AF452">
        <v>3.47065357764505</v>
      </c>
      <c r="AG452">
        <v>-1.1545179999999999</v>
      </c>
      <c r="AH452">
        <v>42.745077837083201</v>
      </c>
      <c r="AI452">
        <v>91.542075014498494</v>
      </c>
      <c r="AJ452">
        <v>85.358096155816895</v>
      </c>
      <c r="AK452">
        <v>42.901282351074798</v>
      </c>
    </row>
    <row r="453" spans="1:37" x14ac:dyDescent="0.2">
      <c r="A453" t="str">
        <f>"20200111153413384"</f>
        <v>20200111153413384</v>
      </c>
      <c r="B453" t="str">
        <f>"1578728053377153"</f>
        <v>1578728053377153</v>
      </c>
      <c r="C453" t="s">
        <v>37</v>
      </c>
      <c r="D453">
        <v>4.8607430000000003</v>
      </c>
      <c r="E453">
        <v>0.52572129999999995</v>
      </c>
      <c r="F453" t="s">
        <v>38</v>
      </c>
      <c r="G453">
        <v>-301.8073</v>
      </c>
      <c r="H453">
        <v>-0.05</v>
      </c>
      <c r="I453">
        <v>363.02010000000001</v>
      </c>
      <c r="J453">
        <v>-345.15750000000003</v>
      </c>
      <c r="K453">
        <v>1.104527</v>
      </c>
      <c r="L453">
        <v>367.49400000000003</v>
      </c>
      <c r="M453">
        <v>0.99968489999999999</v>
      </c>
      <c r="N453">
        <v>0</v>
      </c>
      <c r="O453">
        <v>-2.1640139999999999E-2</v>
      </c>
      <c r="P453">
        <v>0.99929210000000002</v>
      </c>
      <c r="Q453">
        <v>1.859251E-2</v>
      </c>
      <c r="R453">
        <v>-3.2709259999999997E-2</v>
      </c>
      <c r="S453">
        <v>2.993439</v>
      </c>
      <c r="T453">
        <v>-7.9023720000000006E-2</v>
      </c>
      <c r="U453">
        <v>-0.30679319999999999</v>
      </c>
      <c r="V453">
        <v>1.1011979999999999E-2</v>
      </c>
      <c r="W453">
        <v>3.1338629999999999E-2</v>
      </c>
      <c r="X453">
        <v>0.99944820000000001</v>
      </c>
      <c r="Y453">
        <v>8.0381270000000005E-2</v>
      </c>
      <c r="Z453">
        <v>-4.884949E-4</v>
      </c>
      <c r="AA453">
        <v>0.99676409999999904</v>
      </c>
      <c r="AB453">
        <v>63</v>
      </c>
      <c r="AC453">
        <v>43.350200000000001</v>
      </c>
      <c r="AD453">
        <v>-1.1545270000000001</v>
      </c>
      <c r="AE453">
        <v>-4.4739000000000102</v>
      </c>
      <c r="AF453">
        <v>3.5321928944701599</v>
      </c>
      <c r="AG453">
        <v>-1.1545270000000001</v>
      </c>
      <c r="AH453">
        <v>43.406407052702797</v>
      </c>
      <c r="AI453">
        <v>91.518581114969606</v>
      </c>
      <c r="AJ453">
        <v>85.347811206223497</v>
      </c>
      <c r="AK453">
        <v>43.565186702944402</v>
      </c>
    </row>
    <row r="454" spans="1:37" x14ac:dyDescent="0.2">
      <c r="A454" t="str">
        <f>"20200111153413397"</f>
        <v>20200111153413397</v>
      </c>
      <c r="B454" t="str">
        <f>"1578728053386913"</f>
        <v>1578728053386913</v>
      </c>
      <c r="C454" t="s">
        <v>37</v>
      </c>
      <c r="D454">
        <v>4.8768940000000001</v>
      </c>
      <c r="E454">
        <v>0.52575399999999906</v>
      </c>
      <c r="F454" t="s">
        <v>38</v>
      </c>
      <c r="G454">
        <v>-300.80410000000001</v>
      </c>
      <c r="H454">
        <v>-0.05</v>
      </c>
      <c r="I454">
        <v>362.95710000000003</v>
      </c>
      <c r="J454">
        <v>-344.80900000000003</v>
      </c>
      <c r="K454">
        <v>1.1045259999999999</v>
      </c>
      <c r="L454">
        <v>367.48649999999998</v>
      </c>
      <c r="M454">
        <v>0.999687199999999</v>
      </c>
      <c r="N454">
        <v>0</v>
      </c>
      <c r="O454">
        <v>-2.1387199999999999E-2</v>
      </c>
      <c r="P454">
        <v>0.9993107</v>
      </c>
      <c r="Q454">
        <v>1.871196E-2</v>
      </c>
      <c r="R454">
        <v>-3.2065620000000003E-2</v>
      </c>
      <c r="S454">
        <v>2.9935610000000001</v>
      </c>
      <c r="T454">
        <v>-7.7923060000000002E-2</v>
      </c>
      <c r="U454">
        <v>-0.30621340000000002</v>
      </c>
      <c r="V454">
        <v>1.062097E-2</v>
      </c>
      <c r="W454">
        <v>3.1703710000000003E-2</v>
      </c>
      <c r="X454">
        <v>0.99944080000000002</v>
      </c>
      <c r="Y454">
        <v>8.0438679999999999E-2</v>
      </c>
      <c r="Z454">
        <v>-4.8898349999999997E-4</v>
      </c>
      <c r="AA454">
        <v>0.99675939999999996</v>
      </c>
      <c r="AB454">
        <v>63</v>
      </c>
      <c r="AC454">
        <v>44.004899999999999</v>
      </c>
      <c r="AD454">
        <v>-1.1545259999999999</v>
      </c>
      <c r="AE454">
        <v>-4.5293999999999501</v>
      </c>
      <c r="AF454">
        <v>3.5847014613214401</v>
      </c>
      <c r="AG454">
        <v>-1.1545259999999999</v>
      </c>
      <c r="AH454">
        <v>44.0617006531632</v>
      </c>
      <c r="AI454">
        <v>91.496007784901195</v>
      </c>
      <c r="AJ454">
        <v>85.348865183356807</v>
      </c>
      <c r="AK454">
        <v>44.222352711049098</v>
      </c>
    </row>
    <row r="455" spans="1:37" x14ac:dyDescent="0.2">
      <c r="A455" t="str">
        <f>"20200111153413415"</f>
        <v>20200111153413415</v>
      </c>
      <c r="B455" t="str">
        <f>"1578728053407408"</f>
        <v>1578728053407408</v>
      </c>
      <c r="C455" t="s">
        <v>37</v>
      </c>
      <c r="D455">
        <v>4.8142230000000001</v>
      </c>
      <c r="E455">
        <v>0.52579189999999998</v>
      </c>
      <c r="F455" t="s">
        <v>38</v>
      </c>
      <c r="G455">
        <v>-299.9083</v>
      </c>
      <c r="H455">
        <v>-0.05</v>
      </c>
      <c r="I455">
        <v>362.92140000000001</v>
      </c>
      <c r="J455">
        <v>-344.32170000000002</v>
      </c>
      <c r="K455">
        <v>1.10453</v>
      </c>
      <c r="L455">
        <v>367.47620000000001</v>
      </c>
      <c r="M455">
        <v>0.99969039999999998</v>
      </c>
      <c r="N455">
        <v>0</v>
      </c>
      <c r="O455">
        <v>-2.1035040000000001E-2</v>
      </c>
      <c r="P455">
        <v>0.99935419999999997</v>
      </c>
      <c r="Q455">
        <v>1.8845939999999999E-2</v>
      </c>
      <c r="R455">
        <v>-3.0595049999999999E-2</v>
      </c>
      <c r="S455">
        <v>2.993744</v>
      </c>
      <c r="T455">
        <v>-7.6977729999999994E-2</v>
      </c>
      <c r="U455">
        <v>-0.30438229999999999</v>
      </c>
      <c r="V455">
        <v>9.5020699999999996E-3</v>
      </c>
      <c r="W455">
        <v>3.2147889999999998E-2</v>
      </c>
      <c r="X455">
        <v>0.99943789999999999</v>
      </c>
      <c r="Y455">
        <v>8.0180609999999999E-2</v>
      </c>
      <c r="Z455">
        <v>-4.887515E-4</v>
      </c>
      <c r="AA455">
        <v>0.99678020000000001</v>
      </c>
      <c r="AB455">
        <v>63</v>
      </c>
      <c r="AC455">
        <v>44.413400000000003</v>
      </c>
      <c r="AD455">
        <v>-1.1545299999999901</v>
      </c>
      <c r="AE455">
        <v>-4.5548000000000002</v>
      </c>
      <c r="AF455">
        <v>3.6170530945619599</v>
      </c>
      <c r="AG455">
        <v>-1.1545299999999901</v>
      </c>
      <c r="AH455">
        <v>44.469652822365902</v>
      </c>
      <c r="AI455">
        <v>91.482297367932105</v>
      </c>
      <c r="AJ455">
        <v>85.349937641403102</v>
      </c>
      <c r="AK455">
        <v>44.631446702426501</v>
      </c>
    </row>
    <row r="456" spans="1:37" x14ac:dyDescent="0.2">
      <c r="A456" t="str">
        <f>"20200111153413427"</f>
        <v>20200111153413427</v>
      </c>
      <c r="B456" t="str">
        <f>"1578728053417169"</f>
        <v>1578728053417169</v>
      </c>
      <c r="C456" t="s">
        <v>37</v>
      </c>
      <c r="D456">
        <v>4.8515459999999999</v>
      </c>
      <c r="E456">
        <v>0.52589039999999998</v>
      </c>
      <c r="F456" t="s">
        <v>38</v>
      </c>
      <c r="G456">
        <v>-298.75650000000002</v>
      </c>
      <c r="H456">
        <v>-0.05</v>
      </c>
      <c r="I456">
        <v>362.90449999999998</v>
      </c>
      <c r="J456">
        <v>-343.97770000000003</v>
      </c>
      <c r="K456">
        <v>1.1045339999999999</v>
      </c>
      <c r="L456">
        <v>367.46910000000003</v>
      </c>
      <c r="M456">
        <v>0.99969300000000005</v>
      </c>
      <c r="N456">
        <v>0</v>
      </c>
      <c r="O456">
        <v>-2.078762E-2</v>
      </c>
      <c r="P456">
        <v>0.99939169999999999</v>
      </c>
      <c r="Q456">
        <v>1.861022E-2</v>
      </c>
      <c r="R456">
        <v>-2.950233E-2</v>
      </c>
      <c r="S456">
        <v>2.9941709999999899</v>
      </c>
      <c r="T456">
        <v>-7.5866340000000004E-2</v>
      </c>
      <c r="U456">
        <v>-0.30041499999999999</v>
      </c>
      <c r="V456">
        <v>8.6569149999999994E-3</v>
      </c>
      <c r="W456">
        <v>3.2112620000000001E-2</v>
      </c>
      <c r="X456">
        <v>0.99944669999999902</v>
      </c>
      <c r="Y456">
        <v>7.9106300000000004E-2</v>
      </c>
      <c r="Z456">
        <v>-4.7433209999999998E-4</v>
      </c>
      <c r="AA456">
        <v>0.99686600000000003</v>
      </c>
      <c r="AB456">
        <v>62</v>
      </c>
      <c r="AC456">
        <v>45.221200000000003</v>
      </c>
      <c r="AD456">
        <v>-1.1545339999999999</v>
      </c>
      <c r="AE456">
        <v>-4.5646000000000404</v>
      </c>
      <c r="AF456">
        <v>3.6211503605337598</v>
      </c>
      <c r="AG456">
        <v>-1.1545339999999999</v>
      </c>
      <c r="AH456">
        <v>45.277107385323397</v>
      </c>
      <c r="AI456">
        <v>91.456037782882504</v>
      </c>
      <c r="AJ456">
        <v>85.427359064788305</v>
      </c>
      <c r="AK456">
        <v>45.436352537069503</v>
      </c>
    </row>
    <row r="457" spans="1:37" x14ac:dyDescent="0.2">
      <c r="A457" t="str">
        <f>"20200111153413440"</f>
        <v>20200111153413440</v>
      </c>
      <c r="B457" t="str">
        <f>"1578728053436690"</f>
        <v>1578728053436690</v>
      </c>
      <c r="C457" t="s">
        <v>37</v>
      </c>
      <c r="D457">
        <v>4.8263400000000001</v>
      </c>
      <c r="E457">
        <v>0.52604649999999997</v>
      </c>
      <c r="F457" t="s">
        <v>38</v>
      </c>
      <c r="G457">
        <v>-298.5736</v>
      </c>
      <c r="H457">
        <v>-0.05</v>
      </c>
      <c r="I457">
        <v>362.95049999999998</v>
      </c>
      <c r="J457">
        <v>-343.62029999999999</v>
      </c>
      <c r="K457">
        <v>1.1045370000000001</v>
      </c>
      <c r="L457">
        <v>367.46170000000001</v>
      </c>
      <c r="M457">
        <v>0.99969549999999996</v>
      </c>
      <c r="N457">
        <v>0</v>
      </c>
      <c r="O457">
        <v>-2.053104E-2</v>
      </c>
      <c r="P457">
        <v>0.99942509999999996</v>
      </c>
      <c r="Q457">
        <v>1.8572120000000001E-2</v>
      </c>
      <c r="R457">
        <v>-2.8369020000000002E-2</v>
      </c>
      <c r="S457">
        <v>2.9944459999999999</v>
      </c>
      <c r="T457">
        <v>-7.6142669999999996E-2</v>
      </c>
      <c r="U457">
        <v>-0.2980042</v>
      </c>
      <c r="V457">
        <v>7.7799890000000002E-3</v>
      </c>
      <c r="W457">
        <v>3.227323E-2</v>
      </c>
      <c r="X457">
        <v>0.99944880000000003</v>
      </c>
      <c r="Y457">
        <v>7.8558310000000006E-2</v>
      </c>
      <c r="Z457">
        <v>-4.7558710000000001E-4</v>
      </c>
      <c r="AA457">
        <v>0.99690939999999995</v>
      </c>
      <c r="AB457">
        <v>62</v>
      </c>
      <c r="AC457">
        <v>45.046699999999902</v>
      </c>
      <c r="AD457">
        <v>-1.1545369999999999</v>
      </c>
      <c r="AE457">
        <v>-4.5112000000000299</v>
      </c>
      <c r="AF457">
        <v>3.5829764340435202</v>
      </c>
      <c r="AG457">
        <v>-1.1545369999999999</v>
      </c>
      <c r="AH457">
        <v>45.100499701184901</v>
      </c>
      <c r="AI457">
        <v>91.461802478275402</v>
      </c>
      <c r="AJ457">
        <v>85.457718431481297</v>
      </c>
      <c r="AK457">
        <v>45.257328126037898</v>
      </c>
    </row>
    <row r="458" spans="1:37" x14ac:dyDescent="0.2">
      <c r="A458" t="str">
        <f>"20200111153413459"</f>
        <v>20200111153413459</v>
      </c>
      <c r="B458" t="str">
        <f>"1578728053446448"</f>
        <v>1578728053446448</v>
      </c>
      <c r="C458" t="s">
        <v>37</v>
      </c>
      <c r="D458">
        <v>4.8483299999999998</v>
      </c>
      <c r="E458">
        <v>0.52616850000000004</v>
      </c>
      <c r="F458" t="s">
        <v>38</v>
      </c>
      <c r="G458">
        <v>-297.37209999999999</v>
      </c>
      <c r="H458">
        <v>-0.05</v>
      </c>
      <c r="I458">
        <v>362.89679999999998</v>
      </c>
      <c r="J458">
        <v>-343.09800000000001</v>
      </c>
      <c r="K458">
        <v>1.1045389999999999</v>
      </c>
      <c r="L458">
        <v>367.4511</v>
      </c>
      <c r="M458">
        <v>0.99969949999999996</v>
      </c>
      <c r="N458">
        <v>0</v>
      </c>
      <c r="O458">
        <v>-2.0157339999999999E-2</v>
      </c>
      <c r="P458">
        <v>0.99948649999999895</v>
      </c>
      <c r="Q458">
        <v>1.8478890000000001E-2</v>
      </c>
      <c r="R458">
        <v>-2.6181759999999998E-2</v>
      </c>
      <c r="S458">
        <v>2.9947509999999999</v>
      </c>
      <c r="T458">
        <v>-7.4760789999999994E-2</v>
      </c>
      <c r="U458">
        <v>-0.2955933</v>
      </c>
      <c r="V458">
        <v>5.9659930000000002E-3</v>
      </c>
      <c r="W458">
        <v>3.2439570000000001E-2</v>
      </c>
      <c r="X458">
        <v>0.99945589999999995</v>
      </c>
      <c r="Y458">
        <v>7.8126799999999996E-2</v>
      </c>
      <c r="Z458">
        <v>-4.7085410000000002E-4</v>
      </c>
      <c r="AA458">
        <v>0.99694329999999998</v>
      </c>
      <c r="AB458">
        <v>62</v>
      </c>
      <c r="AC458">
        <v>45.725900000000003</v>
      </c>
      <c r="AD458">
        <v>-1.154539</v>
      </c>
      <c r="AE458">
        <v>-4.5543000000000102</v>
      </c>
      <c r="AF458">
        <v>3.6292812669388899</v>
      </c>
      <c r="AG458">
        <v>-1.154539</v>
      </c>
      <c r="AH458">
        <v>45.779520512733001</v>
      </c>
      <c r="AI458">
        <v>91.440151056631095</v>
      </c>
      <c r="AJ458">
        <v>85.467219854262098</v>
      </c>
      <c r="AK458">
        <v>45.937665822207599</v>
      </c>
    </row>
    <row r="459" spans="1:37" x14ac:dyDescent="0.2">
      <c r="A459" t="str">
        <f>"20200111153413472"</f>
        <v>20200111153413472</v>
      </c>
      <c r="B459" t="str">
        <f>"1578728053467323"</f>
        <v>1578728053467323</v>
      </c>
      <c r="C459" t="s">
        <v>37</v>
      </c>
      <c r="D459">
        <v>4.8247470000000003</v>
      </c>
      <c r="E459">
        <v>0.52624930000000003</v>
      </c>
      <c r="F459" t="s">
        <v>38</v>
      </c>
      <c r="G459">
        <v>-296.47640000000001</v>
      </c>
      <c r="H459">
        <v>-0.05</v>
      </c>
      <c r="I459">
        <v>362.93239999999997</v>
      </c>
      <c r="J459">
        <v>-342.7285</v>
      </c>
      <c r="K459">
        <v>1.1045419999999999</v>
      </c>
      <c r="L459">
        <v>367.44369999999998</v>
      </c>
      <c r="M459">
        <v>0.99970239999999999</v>
      </c>
      <c r="N459">
        <v>0</v>
      </c>
      <c r="O459">
        <v>-1.9893910000000001E-2</v>
      </c>
      <c r="P459">
        <v>0.99951480000000004</v>
      </c>
      <c r="Q459">
        <v>1.9011549999999999E-2</v>
      </c>
      <c r="R459">
        <v>-2.4677020000000001E-2</v>
      </c>
      <c r="S459">
        <v>2.9952999999999999</v>
      </c>
      <c r="T459">
        <v>-7.4175829999999998E-2</v>
      </c>
      <c r="U459">
        <v>-0.29031370000000001</v>
      </c>
      <c r="V459">
        <v>4.7236589999999998E-3</v>
      </c>
      <c r="W459">
        <v>3.3134900000000002E-2</v>
      </c>
      <c r="X459">
        <v>0.99943969999999904</v>
      </c>
      <c r="Y459">
        <v>7.6631619999999998E-2</v>
      </c>
      <c r="Z459">
        <v>-4.5515909999999999E-4</v>
      </c>
      <c r="AA459">
        <v>0.99705929999999998</v>
      </c>
      <c r="AB459">
        <v>62</v>
      </c>
      <c r="AC459">
        <v>46.252099999999899</v>
      </c>
      <c r="AD459">
        <v>-1.154542</v>
      </c>
      <c r="AE459">
        <v>-4.5113000000000003</v>
      </c>
      <c r="AF459">
        <v>3.58796559353351</v>
      </c>
      <c r="AG459">
        <v>-1.154542</v>
      </c>
      <c r="AH459">
        <v>46.304120947683501</v>
      </c>
      <c r="AI459">
        <v>91.424043915895794</v>
      </c>
      <c r="AJ459">
        <v>85.569177928810802</v>
      </c>
      <c r="AK459">
        <v>46.4572715628872</v>
      </c>
    </row>
    <row r="460" spans="1:37" x14ac:dyDescent="0.2">
      <c r="A460" t="str">
        <f>"20200111153413485"</f>
        <v>20200111153413485</v>
      </c>
      <c r="B460" t="str">
        <f>"1578728053477081"</f>
        <v>1578728053477081</v>
      </c>
      <c r="C460" t="s">
        <v>37</v>
      </c>
      <c r="D460">
        <v>4.7890119999999996</v>
      </c>
      <c r="E460">
        <v>0.52619729999999998</v>
      </c>
      <c r="F460" t="s">
        <v>38</v>
      </c>
      <c r="G460">
        <v>-293.99970000000002</v>
      </c>
      <c r="H460">
        <v>-0.05</v>
      </c>
      <c r="I460">
        <v>362.78449999999998</v>
      </c>
      <c r="J460">
        <v>-342.36189999999999</v>
      </c>
      <c r="K460">
        <v>1.1045479999999901</v>
      </c>
      <c r="L460">
        <v>367.43650000000002</v>
      </c>
      <c r="M460">
        <v>0.99970550000000002</v>
      </c>
      <c r="N460">
        <v>0</v>
      </c>
      <c r="O460">
        <v>-1.9632920000000002E-2</v>
      </c>
      <c r="P460">
        <v>0.99954319999999897</v>
      </c>
      <c r="Q460">
        <v>1.9002850000000002E-2</v>
      </c>
      <c r="R460">
        <v>-2.350058E-2</v>
      </c>
      <c r="S460">
        <v>2.9957579999999999</v>
      </c>
      <c r="T460">
        <v>-7.0979120000000007E-2</v>
      </c>
      <c r="U460">
        <v>-0.28643800000000003</v>
      </c>
      <c r="V460">
        <v>3.8082109999999902E-3</v>
      </c>
      <c r="W460">
        <v>3.3278820000000001E-2</v>
      </c>
      <c r="X460">
        <v>0.99943879999999996</v>
      </c>
      <c r="Y460">
        <v>7.5600749999999994E-2</v>
      </c>
      <c r="Z460">
        <v>-4.2948999999999998E-4</v>
      </c>
      <c r="AA460">
        <v>0.99713809999999903</v>
      </c>
      <c r="AB460">
        <v>62</v>
      </c>
      <c r="AC460">
        <v>48.362199999999902</v>
      </c>
      <c r="AD460">
        <v>-1.1545479999999999</v>
      </c>
      <c r="AE460">
        <v>-4.6520000000000401</v>
      </c>
      <c r="AF460">
        <v>3.6994263217694301</v>
      </c>
      <c r="AG460">
        <v>-1.1545479999999999</v>
      </c>
      <c r="AH460">
        <v>48.416877553547501</v>
      </c>
      <c r="AI460">
        <v>91.362046630117106</v>
      </c>
      <c r="AJ460">
        <v>85.630646237849703</v>
      </c>
      <c r="AK460">
        <v>48.571728075390901</v>
      </c>
    </row>
    <row r="461" spans="1:37" x14ac:dyDescent="0.2">
      <c r="A461" t="str">
        <f>"20200111153413498"</f>
        <v>20200111153413498</v>
      </c>
      <c r="B461" t="str">
        <f>"1578728053486842"</f>
        <v>1578728053486842</v>
      </c>
      <c r="C461" t="s">
        <v>37</v>
      </c>
      <c r="D461">
        <v>4.8228530000000003</v>
      </c>
      <c r="E461">
        <v>0.52623249999999999</v>
      </c>
      <c r="F461" t="s">
        <v>38</v>
      </c>
      <c r="G461">
        <v>-293.28550000000001</v>
      </c>
      <c r="H461">
        <v>-0.05</v>
      </c>
      <c r="I461">
        <v>362.80650000000003</v>
      </c>
      <c r="J461">
        <v>-341.98860000000002</v>
      </c>
      <c r="K461">
        <v>1.1045510000000001</v>
      </c>
      <c r="L461">
        <v>367.42919999999998</v>
      </c>
      <c r="M461">
        <v>0.99970859999999995</v>
      </c>
      <c r="N461">
        <v>0</v>
      </c>
      <c r="O461">
        <v>-1.936736E-2</v>
      </c>
      <c r="P461">
        <v>0.99956970000000001</v>
      </c>
      <c r="Q461">
        <v>1.928216E-2</v>
      </c>
      <c r="R461">
        <v>-2.211252E-2</v>
      </c>
      <c r="S461">
        <v>2.9960330000000002</v>
      </c>
      <c r="T461">
        <v>-7.0483210000000004E-2</v>
      </c>
      <c r="U461">
        <v>-0.28265380000000001</v>
      </c>
      <c r="V461">
        <v>2.6849609999999901E-3</v>
      </c>
      <c r="W461">
        <v>3.3702969999999999E-2</v>
      </c>
      <c r="X461">
        <v>0.99942830000000005</v>
      </c>
      <c r="Y461">
        <v>7.4609120000000001E-2</v>
      </c>
      <c r="Z461">
        <v>-4.210668E-4</v>
      </c>
      <c r="AA461">
        <v>0.99721280000000001</v>
      </c>
      <c r="AB461">
        <v>62</v>
      </c>
      <c r="AC461">
        <v>48.703099999999999</v>
      </c>
      <c r="AD461">
        <v>-1.1545510000000001</v>
      </c>
      <c r="AE461">
        <v>-4.6226999999999503</v>
      </c>
      <c r="AF461">
        <v>3.6764367587223998</v>
      </c>
      <c r="AG461">
        <v>-1.1545510000000001</v>
      </c>
      <c r="AH461">
        <v>48.756346942887397</v>
      </c>
      <c r="AI461">
        <v>91.352672740590904</v>
      </c>
      <c r="AJ461">
        <v>85.687813953725296</v>
      </c>
      <c r="AK461">
        <v>48.908389285149198</v>
      </c>
    </row>
    <row r="462" spans="1:37" x14ac:dyDescent="0.2">
      <c r="A462" t="str">
        <f>"20200111153413515"</f>
        <v>20200111153413515</v>
      </c>
      <c r="B462" t="str">
        <f>"1578728053507336"</f>
        <v>1578728053507336</v>
      </c>
      <c r="C462" t="s">
        <v>37</v>
      </c>
      <c r="D462">
        <v>4.8632059999999999</v>
      </c>
      <c r="E462">
        <v>0.52632789999999996</v>
      </c>
      <c r="F462" t="s">
        <v>38</v>
      </c>
      <c r="G462">
        <v>-291.7559</v>
      </c>
      <c r="H462">
        <v>-0.05</v>
      </c>
      <c r="I462">
        <v>362.75830000000002</v>
      </c>
      <c r="J462">
        <v>-341.53660000000002</v>
      </c>
      <c r="K462">
        <v>1.104565</v>
      </c>
      <c r="L462">
        <v>367.4205</v>
      </c>
      <c r="M462">
        <v>0.9997123</v>
      </c>
      <c r="N462">
        <v>0</v>
      </c>
      <c r="O462">
        <v>-1.9045869999999999E-2</v>
      </c>
      <c r="P462">
        <v>0.99959140000000002</v>
      </c>
      <c r="Q462">
        <v>1.9924790000000001E-2</v>
      </c>
      <c r="R462">
        <v>-2.049627E-2</v>
      </c>
      <c r="S462">
        <v>2.9964599999999999</v>
      </c>
      <c r="T462">
        <v>-6.8870780000000006E-2</v>
      </c>
      <c r="U462">
        <v>-0.27862550000000003</v>
      </c>
      <c r="V462">
        <v>1.389054E-3</v>
      </c>
      <c r="W462">
        <v>3.450073E-2</v>
      </c>
      <c r="X462">
        <v>0.99940370000000001</v>
      </c>
      <c r="Y462">
        <v>7.3588349999999997E-2</v>
      </c>
      <c r="Z462">
        <v>-4.0706660000000002E-4</v>
      </c>
      <c r="AA462">
        <v>0.99728859999999997</v>
      </c>
      <c r="AB462">
        <v>62</v>
      </c>
      <c r="AC462">
        <v>49.780700000000003</v>
      </c>
      <c r="AD462">
        <v>-1.1545650000000001</v>
      </c>
      <c r="AE462">
        <v>-4.6621999999999799</v>
      </c>
      <c r="AF462">
        <v>3.7111576850042498</v>
      </c>
      <c r="AG462">
        <v>-1.1545650000000001</v>
      </c>
      <c r="AH462">
        <v>49.833900110564102</v>
      </c>
      <c r="AI462">
        <v>91.323542656301797</v>
      </c>
      <c r="AJ462">
        <v>85.741013731570106</v>
      </c>
      <c r="AK462">
        <v>49.985230938066799</v>
      </c>
    </row>
    <row r="463" spans="1:37" x14ac:dyDescent="0.2">
      <c r="A463" t="str">
        <f>"20200111153413527"</f>
        <v>20200111153413527</v>
      </c>
      <c r="B463" t="str">
        <f>"1578728053517099"</f>
        <v>1578728053517099</v>
      </c>
      <c r="C463" t="s">
        <v>37</v>
      </c>
      <c r="D463">
        <v>4.8663019999999904</v>
      </c>
      <c r="E463">
        <v>0.52638869999999904</v>
      </c>
      <c r="F463" t="s">
        <v>38</v>
      </c>
      <c r="G463">
        <v>-288.6438</v>
      </c>
      <c r="H463">
        <v>-0.05</v>
      </c>
      <c r="I463">
        <v>362.57089999999999</v>
      </c>
      <c r="J463">
        <v>-341.19979999999998</v>
      </c>
      <c r="K463">
        <v>1.1045739999999999</v>
      </c>
      <c r="L463">
        <v>367.41419999999999</v>
      </c>
      <c r="M463">
        <v>0.99971540000000003</v>
      </c>
      <c r="N463">
        <v>0</v>
      </c>
      <c r="O463">
        <v>-1.880689E-2</v>
      </c>
      <c r="P463">
        <v>0.99960099999999996</v>
      </c>
      <c r="Q463">
        <v>2.0163750000000001E-2</v>
      </c>
      <c r="R463">
        <v>-1.9794619999999999E-2</v>
      </c>
      <c r="S463">
        <v>2.9968870000000001</v>
      </c>
      <c r="T463">
        <v>-6.5417290000000003E-2</v>
      </c>
      <c r="U463">
        <v>-0.27478029999999998</v>
      </c>
      <c r="V463">
        <v>9.2609219999999996E-4</v>
      </c>
      <c r="W463">
        <v>3.4846240000000001E-2</v>
      </c>
      <c r="X463">
        <v>0.99939230000000001</v>
      </c>
      <c r="Y463">
        <v>7.2546390000000002E-2</v>
      </c>
      <c r="Z463">
        <v>-3.8048079999999999E-4</v>
      </c>
      <c r="AA463">
        <v>0.9973649</v>
      </c>
      <c r="AB463">
        <v>62</v>
      </c>
      <c r="AC463">
        <v>52.555999999999898</v>
      </c>
      <c r="AD463">
        <v>-1.154574</v>
      </c>
      <c r="AE463">
        <v>-4.8432999999999904</v>
      </c>
      <c r="AF463">
        <v>3.8520784064942202</v>
      </c>
      <c r="AG463">
        <v>-1.154574</v>
      </c>
      <c r="AH463">
        <v>52.612622184725097</v>
      </c>
      <c r="AI463">
        <v>91.253788283145198</v>
      </c>
      <c r="AJ463">
        <v>85.812511963834098</v>
      </c>
      <c r="AK463">
        <v>52.7660834468874</v>
      </c>
    </row>
    <row r="464" spans="1:37" x14ac:dyDescent="0.2">
      <c r="A464" t="str">
        <f>"20200111153413539"</f>
        <v>20200111153413539</v>
      </c>
      <c r="B464" t="str">
        <f>"1578728053536617"</f>
        <v>1578728053536617</v>
      </c>
      <c r="C464" t="s">
        <v>37</v>
      </c>
      <c r="D464">
        <v>4.9094169999999897</v>
      </c>
      <c r="E464">
        <v>0.55526799999999998</v>
      </c>
      <c r="F464" t="s">
        <v>38</v>
      </c>
      <c r="G464">
        <v>-287.74650000000003</v>
      </c>
      <c r="H464">
        <v>-0.05</v>
      </c>
      <c r="I464">
        <v>362.54829999999998</v>
      </c>
      <c r="J464">
        <v>-340.85899999999998</v>
      </c>
      <c r="K464">
        <v>1.104581</v>
      </c>
      <c r="L464">
        <v>367.40780000000001</v>
      </c>
      <c r="M464">
        <v>0.99971829999999995</v>
      </c>
      <c r="N464">
        <v>0</v>
      </c>
      <c r="O464">
        <v>-1.8564669999999998E-2</v>
      </c>
      <c r="P464">
        <v>0.99961049999999996</v>
      </c>
      <c r="Q464">
        <v>2.042716E-2</v>
      </c>
      <c r="R464">
        <v>-1.901777E-2</v>
      </c>
      <c r="S464">
        <v>2.9971009999999998</v>
      </c>
      <c r="T464">
        <v>-6.4736370000000001E-2</v>
      </c>
      <c r="U464">
        <v>-0.27282709999999999</v>
      </c>
      <c r="V464">
        <v>3.9110300000000001E-4</v>
      </c>
      <c r="W464">
        <v>3.5212689999999998E-2</v>
      </c>
      <c r="X464">
        <v>0.99937980000000004</v>
      </c>
      <c r="Y464">
        <v>7.2137259999999995E-2</v>
      </c>
      <c r="Z464">
        <v>-3.7731359999999999E-4</v>
      </c>
      <c r="AA464">
        <v>0.99739460000000002</v>
      </c>
      <c r="AB464">
        <v>62</v>
      </c>
      <c r="AC464">
        <v>53.112499999999997</v>
      </c>
      <c r="AD464">
        <v>-1.1545810000000001</v>
      </c>
      <c r="AE464">
        <v>-4.8595000000000201</v>
      </c>
      <c r="AF464">
        <v>3.8707245201015299</v>
      </c>
      <c r="AG464">
        <v>-1.1545810000000001</v>
      </c>
      <c r="AH464">
        <v>53.168652856740302</v>
      </c>
      <c r="AI464">
        <v>91.240725351494902</v>
      </c>
      <c r="AJ464">
        <v>85.836162742440095</v>
      </c>
      <c r="AK464">
        <v>53.321864297834097</v>
      </c>
    </row>
    <row r="465" spans="1:37" x14ac:dyDescent="0.2">
      <c r="A465" t="str">
        <f>"20200111153413551"</f>
        <v>20200111153413551</v>
      </c>
      <c r="B465" t="str">
        <f>"1578728053547353"</f>
        <v>1578728053547353</v>
      </c>
      <c r="C465" t="s">
        <v>37</v>
      </c>
      <c r="D465">
        <v>5.0583200000000001</v>
      </c>
      <c r="E465">
        <v>0.56404940000000003</v>
      </c>
      <c r="F465" t="s">
        <v>38</v>
      </c>
      <c r="G465">
        <v>-242.2302</v>
      </c>
      <c r="H465">
        <v>-0.05</v>
      </c>
      <c r="I465">
        <v>350.91890000000001</v>
      </c>
      <c r="J465">
        <v>-340.5215</v>
      </c>
      <c r="K465">
        <v>1.104587</v>
      </c>
      <c r="L465">
        <v>367.40159999999997</v>
      </c>
      <c r="M465">
        <v>0.99972150000000004</v>
      </c>
      <c r="N465">
        <v>0</v>
      </c>
      <c r="O465">
        <v>-1.832524E-2</v>
      </c>
      <c r="P465">
        <v>0.99961</v>
      </c>
      <c r="Q465">
        <v>2.083076E-2</v>
      </c>
      <c r="R465">
        <v>-1.8611610000000001E-2</v>
      </c>
      <c r="S465">
        <v>2.9924009999999899</v>
      </c>
      <c r="T465">
        <v>-3.503001E-2</v>
      </c>
      <c r="U465">
        <v>-0.50027469999999996</v>
      </c>
      <c r="V465">
        <v>2.2376150000000001E-4</v>
      </c>
      <c r="W465">
        <v>3.570686E-2</v>
      </c>
      <c r="X465">
        <v>0.99936229999999904</v>
      </c>
      <c r="Y465">
        <v>0.14678060000000001</v>
      </c>
      <c r="Z465">
        <v>-6.402119E-4</v>
      </c>
      <c r="AA465">
        <v>0.98916890000000002</v>
      </c>
      <c r="AB465">
        <v>62</v>
      </c>
      <c r="AC465">
        <v>98.291300000000007</v>
      </c>
      <c r="AD465">
        <v>-1.154587</v>
      </c>
      <c r="AE465">
        <v>-16.482699999999902</v>
      </c>
      <c r="AF465">
        <v>14.6765510511492</v>
      </c>
      <c r="AG465">
        <v>-1.154587</v>
      </c>
      <c r="AH465">
        <v>98.5636459277612</v>
      </c>
      <c r="AI465">
        <v>90.663821032477301</v>
      </c>
      <c r="AJ465">
        <v>81.530641579631194</v>
      </c>
      <c r="AK465">
        <v>99.657044510012597</v>
      </c>
    </row>
    <row r="466" spans="1:37" x14ac:dyDescent="0.2">
      <c r="A466" t="str">
        <f>"20200111153413563"</f>
        <v>20200111153413563</v>
      </c>
      <c r="B466" t="str">
        <f>"1578728053557113"</f>
        <v>1578728053557113</v>
      </c>
      <c r="C466" t="s">
        <v>37</v>
      </c>
      <c r="D466">
        <v>4.9527839999999896</v>
      </c>
      <c r="E466">
        <v>0.57002769999999903</v>
      </c>
      <c r="F466" t="s">
        <v>38</v>
      </c>
      <c r="G466">
        <v>-279.60250000000002</v>
      </c>
      <c r="H466">
        <v>-0.05</v>
      </c>
      <c r="I466">
        <v>355.80119999999999</v>
      </c>
      <c r="J466">
        <v>-340.18279999999999</v>
      </c>
      <c r="K466">
        <v>1.1045959999999999</v>
      </c>
      <c r="L466">
        <v>367.3954</v>
      </c>
      <c r="M466">
        <v>0.99972439999999996</v>
      </c>
      <c r="N466">
        <v>0</v>
      </c>
      <c r="O466">
        <v>-1.8084579999999999E-2</v>
      </c>
      <c r="P466">
        <v>0.99960890000000002</v>
      </c>
      <c r="Q466">
        <v>2.1243080000000001E-2</v>
      </c>
      <c r="R466">
        <v>-1.818738E-2</v>
      </c>
      <c r="S466">
        <v>2.99175999999999</v>
      </c>
      <c r="T466">
        <v>-5.6702259999999997E-2</v>
      </c>
      <c r="U466">
        <v>-0.56970209999999999</v>
      </c>
      <c r="V466" s="1">
        <v>3.9741979999999999E-5</v>
      </c>
      <c r="W466">
        <v>3.620578E-2</v>
      </c>
      <c r="X466">
        <v>0.99934429999999996</v>
      </c>
      <c r="Y466">
        <v>0.16923829999999901</v>
      </c>
      <c r="Z466">
        <v>-1.249799E-3</v>
      </c>
      <c r="AA466">
        <v>0.98557439999999996</v>
      </c>
      <c r="AB466">
        <v>62</v>
      </c>
      <c r="AC466">
        <v>60.580299999999902</v>
      </c>
      <c r="AD466">
        <v>-1.154596</v>
      </c>
      <c r="AE466">
        <v>-11.594200000000001</v>
      </c>
      <c r="AF466">
        <v>10.492934611804699</v>
      </c>
      <c r="AG466">
        <v>-1.154596</v>
      </c>
      <c r="AH466">
        <v>60.758799871624298</v>
      </c>
      <c r="AI466">
        <v>91.072781054090797</v>
      </c>
      <c r="AJ466">
        <v>80.201769522421401</v>
      </c>
      <c r="AK466">
        <v>61.6690078607635</v>
      </c>
    </row>
    <row r="467" spans="1:37" x14ac:dyDescent="0.2">
      <c r="A467" t="str">
        <f>"20200111153413575"</f>
        <v>20200111153413575</v>
      </c>
      <c r="B467" t="str">
        <f>"1578728053566873"</f>
        <v>1578728053566873</v>
      </c>
      <c r="C467" t="s">
        <v>37</v>
      </c>
      <c r="D467">
        <v>5.0012749999999997</v>
      </c>
      <c r="E467">
        <v>0.57199309999999903</v>
      </c>
      <c r="F467" t="s">
        <v>38</v>
      </c>
      <c r="G467">
        <v>-286.07</v>
      </c>
      <c r="H467">
        <v>-0.05</v>
      </c>
      <c r="I467">
        <v>356.24579999999997</v>
      </c>
      <c r="J467">
        <v>-339.83440000000002</v>
      </c>
      <c r="K467">
        <v>1.1046020000000001</v>
      </c>
      <c r="L467">
        <v>367.38920000000002</v>
      </c>
      <c r="M467">
        <v>0.99972759999999905</v>
      </c>
      <c r="N467">
        <v>0</v>
      </c>
      <c r="O467">
        <v>-1.7837459999999999E-2</v>
      </c>
      <c r="P467">
        <v>0.99961</v>
      </c>
      <c r="Q467">
        <v>2.1692070000000001E-2</v>
      </c>
      <c r="R467">
        <v>-1.7590189999999999E-2</v>
      </c>
      <c r="S467">
        <v>2.9912719999999999</v>
      </c>
      <c r="T467">
        <v>-6.38243E-2</v>
      </c>
      <c r="U467">
        <v>-0.61633300000000002</v>
      </c>
      <c r="V467">
        <v>-3.1098969999999998E-4</v>
      </c>
      <c r="W467">
        <v>3.6736629999999999E-2</v>
      </c>
      <c r="X467">
        <v>0.99932489999999996</v>
      </c>
      <c r="Y467">
        <v>0.18426380000000001</v>
      </c>
      <c r="Z467">
        <v>-1.5687019999999999E-3</v>
      </c>
      <c r="AA467">
        <v>0.98287559999999996</v>
      </c>
      <c r="AB467">
        <v>62</v>
      </c>
      <c r="AC467">
        <v>53.764400000000002</v>
      </c>
      <c r="AD467">
        <v>-1.1546019999999999</v>
      </c>
      <c r="AE467">
        <v>-11.1434</v>
      </c>
      <c r="AF467">
        <v>10.177997095164701</v>
      </c>
      <c r="AG467">
        <v>-1.1546019999999999</v>
      </c>
      <c r="AH467">
        <v>53.930788997629001</v>
      </c>
      <c r="AI467">
        <v>91.205187525884298</v>
      </c>
      <c r="AJ467">
        <v>79.312649600495405</v>
      </c>
      <c r="AK467">
        <v>54.894942686502198</v>
      </c>
    </row>
    <row r="468" spans="1:37" x14ac:dyDescent="0.2">
      <c r="A468" t="str">
        <f>"20200111153413588"</f>
        <v>20200111153413588</v>
      </c>
      <c r="B468" t="str">
        <f>"1578728053576634"</f>
        <v>1578728053576634</v>
      </c>
      <c r="C468" t="s">
        <v>37</v>
      </c>
      <c r="D468">
        <v>4.971393</v>
      </c>
      <c r="E468">
        <v>0.5727989</v>
      </c>
      <c r="F468" t="s">
        <v>38</v>
      </c>
      <c r="G468">
        <v>-291.28910000000002</v>
      </c>
      <c r="H468">
        <v>-0.05</v>
      </c>
      <c r="I468">
        <v>357.15609999999998</v>
      </c>
      <c r="J468">
        <v>-339.5093</v>
      </c>
      <c r="K468">
        <v>1.104608</v>
      </c>
      <c r="L468">
        <v>367.38339999999999</v>
      </c>
      <c r="M468">
        <v>0.99973080000000003</v>
      </c>
      <c r="N468">
        <v>0</v>
      </c>
      <c r="O468">
        <v>-1.7606819999999999E-2</v>
      </c>
      <c r="P468">
        <v>0.99960729999999998</v>
      </c>
      <c r="Q468">
        <v>2.2184860000000001E-2</v>
      </c>
      <c r="R468">
        <v>-1.7129419999999999E-2</v>
      </c>
      <c r="S468">
        <v>2.9916079999999998</v>
      </c>
      <c r="T468">
        <v>-7.1152450000000006E-2</v>
      </c>
      <c r="U468">
        <v>-0.63061519999999904</v>
      </c>
      <c r="V468">
        <v>-5.4208839999999995E-4</v>
      </c>
      <c r="W468">
        <v>3.7297959999999998E-2</v>
      </c>
      <c r="X468">
        <v>0.99930409999999903</v>
      </c>
      <c r="Y468">
        <v>0.1889535</v>
      </c>
      <c r="Z468">
        <v>-1.8083159999999999E-3</v>
      </c>
      <c r="AA468">
        <v>0.98198439999999998</v>
      </c>
      <c r="AB468">
        <v>62</v>
      </c>
      <c r="AC468">
        <v>48.220199999999899</v>
      </c>
      <c r="AD468">
        <v>-1.1546080000000001</v>
      </c>
      <c r="AE468">
        <v>-10.2273</v>
      </c>
      <c r="AF468">
        <v>9.3714712323852698</v>
      </c>
      <c r="AG468">
        <v>-1.1546080000000001</v>
      </c>
      <c r="AH468">
        <v>48.366277856341803</v>
      </c>
      <c r="AI468">
        <v>91.342554605655195</v>
      </c>
      <c r="AJ468">
        <v>79.034226843056402</v>
      </c>
      <c r="AK468">
        <v>49.279350912628097</v>
      </c>
    </row>
    <row r="469" spans="1:37" x14ac:dyDescent="0.2">
      <c r="A469" t="str">
        <f>"20200111153413604"</f>
        <v>20200111153413604</v>
      </c>
      <c r="B469" t="str">
        <f>"1578728053597132"</f>
        <v>1578728053597132</v>
      </c>
      <c r="C469" t="s">
        <v>37</v>
      </c>
      <c r="D469">
        <v>4.9974739999999898</v>
      </c>
      <c r="E469">
        <v>0.57399299999999998</v>
      </c>
      <c r="F469" t="s">
        <v>38</v>
      </c>
      <c r="G469">
        <v>-293.36590000000001</v>
      </c>
      <c r="H469">
        <v>-0.05</v>
      </c>
      <c r="I469">
        <v>357.58109999999999</v>
      </c>
      <c r="J469">
        <v>-339.05399999999997</v>
      </c>
      <c r="K469">
        <v>1.1046199999999999</v>
      </c>
      <c r="L469">
        <v>367.37549999999999</v>
      </c>
      <c r="M469">
        <v>0.99973489999999998</v>
      </c>
      <c r="N469">
        <v>0</v>
      </c>
      <c r="O469">
        <v>-1.7283710000000001E-2</v>
      </c>
      <c r="P469">
        <v>0.99960659999999901</v>
      </c>
      <c r="Q469">
        <v>2.2963859999999999E-2</v>
      </c>
      <c r="R469">
        <v>-1.610284E-2</v>
      </c>
      <c r="S469">
        <v>2.9919739999999999</v>
      </c>
      <c r="T469">
        <v>-7.4865580000000001E-2</v>
      </c>
      <c r="U469">
        <v>-0.63558959999999998</v>
      </c>
      <c r="V469">
        <v>-1.2458460000000001E-3</v>
      </c>
      <c r="W469">
        <v>3.8165190000000002E-2</v>
      </c>
      <c r="X469">
        <v>0.99927069999999996</v>
      </c>
      <c r="Y469">
        <v>0.19080329999999901</v>
      </c>
      <c r="Z469">
        <v>-1.932977E-3</v>
      </c>
      <c r="AA469">
        <v>0.98162640000000001</v>
      </c>
      <c r="AB469">
        <v>62</v>
      </c>
      <c r="AC469">
        <v>45.688099999999999</v>
      </c>
      <c r="AD469">
        <v>-1.15462</v>
      </c>
      <c r="AE469">
        <v>-9.7943999999999907</v>
      </c>
      <c r="AF469">
        <v>8.9976913680992094</v>
      </c>
      <c r="AG469">
        <v>-1.15462</v>
      </c>
      <c r="AH469">
        <v>45.822597573754699</v>
      </c>
      <c r="AI469">
        <v>91.416375367905204</v>
      </c>
      <c r="AJ469">
        <v>78.890783210734398</v>
      </c>
      <c r="AK469">
        <v>46.711904753566202</v>
      </c>
    </row>
    <row r="470" spans="1:37" x14ac:dyDescent="0.2">
      <c r="A470" t="str">
        <f>"20200111153413615"</f>
        <v>20200111153413615</v>
      </c>
      <c r="B470" t="str">
        <f>"1578728053606889"</f>
        <v>1578728053606889</v>
      </c>
      <c r="C470" t="s">
        <v>37</v>
      </c>
      <c r="D470">
        <v>5.0182969999999996</v>
      </c>
      <c r="E470">
        <v>0.57436769999999904</v>
      </c>
      <c r="F470" t="s">
        <v>38</v>
      </c>
      <c r="G470">
        <v>-296.29950000000002</v>
      </c>
      <c r="H470">
        <v>-0.05</v>
      </c>
      <c r="I470">
        <v>358.20339999999999</v>
      </c>
      <c r="J470">
        <v>-338.72620000000001</v>
      </c>
      <c r="K470">
        <v>1.1046260000000001</v>
      </c>
      <c r="L470">
        <v>367.36989999999997</v>
      </c>
      <c r="M470">
        <v>0.99973799999999902</v>
      </c>
      <c r="N470">
        <v>0</v>
      </c>
      <c r="O470">
        <v>-1.7051569999999999E-2</v>
      </c>
      <c r="P470">
        <v>0.99960400000000005</v>
      </c>
      <c r="Q470">
        <v>2.3427449999999999E-2</v>
      </c>
      <c r="R470">
        <v>-1.5593910000000001E-2</v>
      </c>
      <c r="S470">
        <v>2.992737</v>
      </c>
      <c r="T470">
        <v>-8.0821390000000007E-2</v>
      </c>
      <c r="U470">
        <v>-0.64202879999999996</v>
      </c>
      <c r="V470">
        <v>-1.523609E-3</v>
      </c>
      <c r="W470">
        <v>3.868742E-2</v>
      </c>
      <c r="X470">
        <v>0.99925019999999998</v>
      </c>
      <c r="Y470">
        <v>0.19299059999999901</v>
      </c>
      <c r="Z470">
        <v>-2.121108E-3</v>
      </c>
      <c r="AA470">
        <v>0.98119829999999997</v>
      </c>
      <c r="AB470">
        <v>62</v>
      </c>
      <c r="AC470">
        <v>42.426699999999897</v>
      </c>
      <c r="AD470">
        <v>-1.1546259999999999</v>
      </c>
      <c r="AE470">
        <v>-9.1664999999999797</v>
      </c>
      <c r="AF470">
        <v>8.43567166481591</v>
      </c>
      <c r="AG470">
        <v>-1.1546259999999999</v>
      </c>
      <c r="AH470">
        <v>42.5467453947644</v>
      </c>
      <c r="AI470">
        <v>91.524833588590496</v>
      </c>
      <c r="AJ470">
        <v>78.785501184469894</v>
      </c>
      <c r="AK470">
        <v>43.390312989460597</v>
      </c>
    </row>
    <row r="471" spans="1:37" x14ac:dyDescent="0.2">
      <c r="A471" t="str">
        <f>"20200111153413628"</f>
        <v>20200111153413628</v>
      </c>
      <c r="B471" t="str">
        <f>"1578728053616649"</f>
        <v>1578728053616649</v>
      </c>
      <c r="C471" t="s">
        <v>37</v>
      </c>
      <c r="D471">
        <v>5.0144650000000004</v>
      </c>
      <c r="E471">
        <v>0.57456169999999995</v>
      </c>
      <c r="F471" t="s">
        <v>38</v>
      </c>
      <c r="G471">
        <v>-296.75040000000001</v>
      </c>
      <c r="H471">
        <v>-0.05</v>
      </c>
      <c r="I471">
        <v>358.3415</v>
      </c>
      <c r="J471">
        <v>-338.40679999999998</v>
      </c>
      <c r="K471">
        <v>1.104625</v>
      </c>
      <c r="L471">
        <v>367.36450000000002</v>
      </c>
      <c r="M471">
        <v>0.99974110000000005</v>
      </c>
      <c r="N471">
        <v>0</v>
      </c>
      <c r="O471">
        <v>-1.6825099999999999E-2</v>
      </c>
      <c r="P471">
        <v>0.99960400000000005</v>
      </c>
      <c r="Q471">
        <v>2.3685310000000001E-2</v>
      </c>
      <c r="R471">
        <v>-1.52117E-2</v>
      </c>
      <c r="S471">
        <v>2.9930729999999999</v>
      </c>
      <c r="T471">
        <v>-8.2330349999999997E-2</v>
      </c>
      <c r="U471">
        <v>-0.64376829999999996</v>
      </c>
      <c r="V471">
        <v>-1.679874E-3</v>
      </c>
      <c r="W471">
        <v>3.8997129999999998E-2</v>
      </c>
      <c r="X471">
        <v>0.99923790000000001</v>
      </c>
      <c r="Y471">
        <v>0.19373270000000001</v>
      </c>
      <c r="Z471">
        <v>-2.1765700000000001E-3</v>
      </c>
      <c r="AA471">
        <v>0.98105189999999998</v>
      </c>
      <c r="AB471">
        <v>62</v>
      </c>
      <c r="AC471">
        <v>41.656399999999898</v>
      </c>
      <c r="AD471">
        <v>-1.154625</v>
      </c>
      <c r="AE471">
        <v>-9.0230000000000192</v>
      </c>
      <c r="AF471">
        <v>8.3146654401906002</v>
      </c>
      <c r="AG471">
        <v>-1.154625</v>
      </c>
      <c r="AH471">
        <v>41.771678718160999</v>
      </c>
      <c r="AI471">
        <v>91.552879567909201</v>
      </c>
      <c r="AJ471">
        <v>78.742397689245294</v>
      </c>
      <c r="AK471">
        <v>42.6068065361181</v>
      </c>
    </row>
    <row r="472" spans="1:37" x14ac:dyDescent="0.2">
      <c r="A472" t="str">
        <f>"20200111153413641"</f>
        <v>20200111153413641</v>
      </c>
      <c r="B472" t="str">
        <f>"1578728053637145"</f>
        <v>1578728053637145</v>
      </c>
      <c r="C472" t="s">
        <v>37</v>
      </c>
      <c r="D472">
        <v>4.93194</v>
      </c>
      <c r="E472">
        <v>0.57506179999999996</v>
      </c>
      <c r="F472" t="s">
        <v>38</v>
      </c>
      <c r="G472">
        <v>-297.50740000000002</v>
      </c>
      <c r="H472">
        <v>-0.05</v>
      </c>
      <c r="I472">
        <v>358.5643</v>
      </c>
      <c r="J472">
        <v>-338.06020000000001</v>
      </c>
      <c r="K472">
        <v>1.10463</v>
      </c>
      <c r="L472">
        <v>367.3587</v>
      </c>
      <c r="M472">
        <v>0.99974439999999998</v>
      </c>
      <c r="N472">
        <v>0</v>
      </c>
      <c r="O472">
        <v>-1.6579219999999999E-2</v>
      </c>
      <c r="P472">
        <v>0.99960360000000004</v>
      </c>
      <c r="Q472">
        <v>2.390538E-2</v>
      </c>
      <c r="R472">
        <v>-1.486844E-2</v>
      </c>
      <c r="S472">
        <v>2.9933779999999999</v>
      </c>
      <c r="T472">
        <v>-8.4505559999999993E-2</v>
      </c>
      <c r="U472">
        <v>-0.64407349999999997</v>
      </c>
      <c r="V472">
        <v>-1.777055E-3</v>
      </c>
      <c r="W472">
        <v>3.9270619999999999E-2</v>
      </c>
      <c r="X472">
        <v>0.99922699999999998</v>
      </c>
      <c r="Y472">
        <v>0.1940453</v>
      </c>
      <c r="Z472">
        <v>-2.2450249999999999E-3</v>
      </c>
      <c r="AA472">
        <v>0.98098999999999903</v>
      </c>
      <c r="AB472">
        <v>62</v>
      </c>
      <c r="AC472">
        <v>40.552799999999898</v>
      </c>
      <c r="AD472">
        <v>-1.1546299999999901</v>
      </c>
      <c r="AE472">
        <v>-8.7943999999999907</v>
      </c>
      <c r="AF472">
        <v>8.1144950362235306</v>
      </c>
      <c r="AG472">
        <v>-1.1546299999999901</v>
      </c>
      <c r="AH472">
        <v>40.661563940514597</v>
      </c>
      <c r="AI472">
        <v>91.595104207873007</v>
      </c>
      <c r="AJ472">
        <v>78.714210718337199</v>
      </c>
      <c r="AK472">
        <v>41.479404313687503</v>
      </c>
    </row>
    <row r="473" spans="1:37" x14ac:dyDescent="0.2">
      <c r="A473" t="str">
        <f>"20200111153413652"</f>
        <v>20200111153413652</v>
      </c>
      <c r="B473" t="str">
        <f>"1578728053646905"</f>
        <v>1578728053646905</v>
      </c>
      <c r="C473" t="s">
        <v>37</v>
      </c>
      <c r="D473">
        <v>4.9412570000000002</v>
      </c>
      <c r="E473">
        <v>0.57555190000000001</v>
      </c>
      <c r="F473" t="s">
        <v>38</v>
      </c>
      <c r="G473">
        <v>-296.85700000000003</v>
      </c>
      <c r="H473">
        <v>-0.05</v>
      </c>
      <c r="I473">
        <v>358.45260000000002</v>
      </c>
      <c r="J473">
        <v>-337.7158</v>
      </c>
      <c r="K473">
        <v>1.104635</v>
      </c>
      <c r="L473">
        <v>367.35300000000001</v>
      </c>
      <c r="M473">
        <v>0.99974759999999996</v>
      </c>
      <c r="N473">
        <v>0</v>
      </c>
      <c r="O473">
        <v>-1.633532E-2</v>
      </c>
      <c r="P473">
        <v>0.99960939999999998</v>
      </c>
      <c r="Q473">
        <v>2.4023949999999999E-2</v>
      </c>
      <c r="R473">
        <v>-1.4282130000000001E-2</v>
      </c>
      <c r="S473">
        <v>2.9935909999999999</v>
      </c>
      <c r="T473">
        <v>-8.3888770000000001E-2</v>
      </c>
      <c r="U473">
        <v>-0.64706419999999998</v>
      </c>
      <c r="V473">
        <v>-2.1200989999999999E-3</v>
      </c>
      <c r="W473">
        <v>3.9435959999999999E-2</v>
      </c>
      <c r="X473">
        <v>0.99921979999999999</v>
      </c>
      <c r="Y473">
        <v>0.19520709999999999</v>
      </c>
      <c r="Z473">
        <v>-2.2510970000000001E-3</v>
      </c>
      <c r="AA473">
        <v>0.98075939999999995</v>
      </c>
      <c r="AB473">
        <v>62</v>
      </c>
      <c r="AC473">
        <v>40.858799999999903</v>
      </c>
      <c r="AD473">
        <v>-1.1546350000000001</v>
      </c>
      <c r="AE473">
        <v>-8.9003999999999905</v>
      </c>
      <c r="AF473">
        <v>8.2254200758356308</v>
      </c>
      <c r="AG473">
        <v>-1.1546350000000001</v>
      </c>
      <c r="AH473">
        <v>40.9675213355317</v>
      </c>
      <c r="AI473">
        <v>91.582833777109997</v>
      </c>
      <c r="AJ473">
        <v>78.647154383660705</v>
      </c>
      <c r="AK473">
        <v>41.801058859608197</v>
      </c>
    </row>
    <row r="474" spans="1:37" x14ac:dyDescent="0.2">
      <c r="A474" t="str">
        <f>"20200111153413663"</f>
        <v>20200111153413663</v>
      </c>
      <c r="B474" t="str">
        <f>"1578728053656665"</f>
        <v>1578728053656665</v>
      </c>
      <c r="C474" t="s">
        <v>37</v>
      </c>
      <c r="D474">
        <v>4.842327</v>
      </c>
      <c r="E474">
        <v>0.57632950000000005</v>
      </c>
      <c r="F474" t="s">
        <v>38</v>
      </c>
      <c r="G474">
        <v>-296.33260000000001</v>
      </c>
      <c r="H474">
        <v>-0.05</v>
      </c>
      <c r="I474">
        <v>358.37900000000002</v>
      </c>
      <c r="J474">
        <v>-337.41210000000001</v>
      </c>
      <c r="K474">
        <v>1.1046339999999999</v>
      </c>
      <c r="L474">
        <v>367.34809999999999</v>
      </c>
      <c r="M474">
        <v>0.99975049999999899</v>
      </c>
      <c r="N474">
        <v>0</v>
      </c>
      <c r="O474">
        <v>-1.6120329999999999E-2</v>
      </c>
      <c r="P474">
        <v>0.99961230000000001</v>
      </c>
      <c r="Q474">
        <v>2.4053519999999998E-2</v>
      </c>
      <c r="R474">
        <v>-1.4032060000000001E-2</v>
      </c>
      <c r="S474">
        <v>2.9938959999999999</v>
      </c>
      <c r="T474">
        <v>-8.3533049999999998E-2</v>
      </c>
      <c r="U474">
        <v>-0.649231</v>
      </c>
      <c r="V474">
        <v>-2.1548750000000001E-3</v>
      </c>
      <c r="W474">
        <v>3.9504570000000003E-2</v>
      </c>
      <c r="X474">
        <v>0.99921709999999997</v>
      </c>
      <c r="Y474">
        <v>0.19607550000000001</v>
      </c>
      <c r="Z474">
        <v>-2.2590589999999999E-3</v>
      </c>
      <c r="AA474">
        <v>0.98058619999999996</v>
      </c>
      <c r="AB474">
        <v>62</v>
      </c>
      <c r="AC474">
        <v>41.079500000000003</v>
      </c>
      <c r="AD474">
        <v>-1.1546339999999999</v>
      </c>
      <c r="AE474">
        <v>-8.9690999999999601</v>
      </c>
      <c r="AF474">
        <v>8.2993816534547395</v>
      </c>
      <c r="AG474">
        <v>-1.1546339999999999</v>
      </c>
      <c r="AH474">
        <v>41.187704388566701</v>
      </c>
      <c r="AI474">
        <v>91.574155364325506</v>
      </c>
      <c r="AJ474">
        <v>78.607374105905507</v>
      </c>
      <c r="AK474">
        <v>42.031415730422601</v>
      </c>
    </row>
    <row r="475" spans="1:37" x14ac:dyDescent="0.2">
      <c r="A475" t="str">
        <f>"20200111153413675"</f>
        <v>20200111153413675</v>
      </c>
      <c r="B475" t="str">
        <f>"1578728053667400"</f>
        <v>1578728053667400</v>
      </c>
      <c r="C475" t="s">
        <v>37</v>
      </c>
      <c r="D475">
        <v>5.0116189999999996</v>
      </c>
      <c r="E475">
        <v>0.57657159999999996</v>
      </c>
      <c r="F475" t="s">
        <v>38</v>
      </c>
      <c r="G475">
        <v>-293.18959999999998</v>
      </c>
      <c r="H475">
        <v>-0.05</v>
      </c>
      <c r="I475">
        <v>357.68119999999999</v>
      </c>
      <c r="J475">
        <v>-337.09309999999999</v>
      </c>
      <c r="K475">
        <v>1.104638</v>
      </c>
      <c r="L475">
        <v>367.34300000000002</v>
      </c>
      <c r="M475">
        <v>0.99975369999999997</v>
      </c>
      <c r="N475">
        <v>0</v>
      </c>
      <c r="O475">
        <v>-1.5894249999999999E-2</v>
      </c>
      <c r="P475">
        <v>0.9996176</v>
      </c>
      <c r="Q475">
        <v>2.407347E-2</v>
      </c>
      <c r="R475">
        <v>-1.3610870000000001E-2</v>
      </c>
      <c r="S475">
        <v>2.9938660000000001</v>
      </c>
      <c r="T475">
        <v>-7.8168749999999995E-2</v>
      </c>
      <c r="U475">
        <v>-0.65444950000000002</v>
      </c>
      <c r="V475">
        <v>-2.3502200000000001E-3</v>
      </c>
      <c r="W475">
        <v>3.9562689999999998E-2</v>
      </c>
      <c r="X475">
        <v>0.99921439999999995</v>
      </c>
      <c r="Y475">
        <v>0.19793839999999999</v>
      </c>
      <c r="Z475">
        <v>-2.1435339999999999E-3</v>
      </c>
      <c r="AA475">
        <v>0.98021209999999903</v>
      </c>
      <c r="AB475">
        <v>62</v>
      </c>
      <c r="AC475">
        <v>43.903500000000001</v>
      </c>
      <c r="AD475">
        <v>-1.1546379999999901</v>
      </c>
      <c r="AE475">
        <v>-9.6618000000000208</v>
      </c>
      <c r="AF475">
        <v>8.9567734033648492</v>
      </c>
      <c r="AG475">
        <v>-1.1546379999999901</v>
      </c>
      <c r="AH475">
        <v>44.022496068582697</v>
      </c>
      <c r="AI475">
        <v>91.472279792162993</v>
      </c>
      <c r="AJ475">
        <v>78.499630875819804</v>
      </c>
      <c r="AK475">
        <v>44.939260550421203</v>
      </c>
    </row>
    <row r="476" spans="1:37" x14ac:dyDescent="0.2">
      <c r="A476" t="str">
        <f>"20200111153413686"</f>
        <v>20200111153413686</v>
      </c>
      <c r="B476" t="str">
        <f>"1578728053677161"</f>
        <v>1578728053677161</v>
      </c>
      <c r="C476" t="s">
        <v>37</v>
      </c>
      <c r="D476">
        <v>4.8252309999999996</v>
      </c>
      <c r="E476">
        <v>0.57728590000000002</v>
      </c>
      <c r="F476" t="s">
        <v>38</v>
      </c>
      <c r="G476">
        <v>-294.4128</v>
      </c>
      <c r="H476">
        <v>-0.05</v>
      </c>
      <c r="I476">
        <v>358.005</v>
      </c>
      <c r="J476">
        <v>-336.7851</v>
      </c>
      <c r="K476">
        <v>1.1046419999999999</v>
      </c>
      <c r="L476">
        <v>367.3381</v>
      </c>
      <c r="M476">
        <v>0.99975639999999999</v>
      </c>
      <c r="N476">
        <v>0</v>
      </c>
      <c r="O476">
        <v>-1.5675870000000001E-2</v>
      </c>
      <c r="P476">
        <v>0.99961699999999998</v>
      </c>
      <c r="Q476">
        <v>2.419234E-2</v>
      </c>
      <c r="R476">
        <v>-1.3437309999999999E-2</v>
      </c>
      <c r="S476">
        <v>2.9941709999999899</v>
      </c>
      <c r="T476">
        <v>-8.1002000000000005E-2</v>
      </c>
      <c r="U476">
        <v>-0.65509030000000001</v>
      </c>
      <c r="V476">
        <v>-2.3054180000000001E-3</v>
      </c>
      <c r="W476">
        <v>3.9714680000000002E-2</v>
      </c>
      <c r="X476">
        <v>0.9992084</v>
      </c>
      <c r="Y476">
        <v>0.19832729999999901</v>
      </c>
      <c r="Z476">
        <v>-2.2319589999999999E-3</v>
      </c>
      <c r="AA476">
        <v>0.98013329999999999</v>
      </c>
      <c r="AB476">
        <v>62</v>
      </c>
      <c r="AC476">
        <v>42.372300000000003</v>
      </c>
      <c r="AD476">
        <v>-1.1546419999999999</v>
      </c>
      <c r="AE476">
        <v>-9.3331</v>
      </c>
      <c r="AF476">
        <v>8.6615159938428103</v>
      </c>
      <c r="AG476">
        <v>-1.1546419999999999</v>
      </c>
      <c r="AH476">
        <v>42.483327754889899</v>
      </c>
      <c r="AI476">
        <v>91.525475270580301</v>
      </c>
      <c r="AJ476">
        <v>78.476450968681903</v>
      </c>
      <c r="AK476">
        <v>43.372666445460297</v>
      </c>
    </row>
    <row r="477" spans="1:37" x14ac:dyDescent="0.2">
      <c r="A477" t="str">
        <f>"20200111153413697"</f>
        <v>20200111153413697</v>
      </c>
      <c r="B477" t="str">
        <f>"1578728053686922"</f>
        <v>1578728053686922</v>
      </c>
      <c r="C477" t="s">
        <v>37</v>
      </c>
      <c r="D477">
        <v>4.8795799999999998</v>
      </c>
      <c r="E477">
        <v>0.57807559999999902</v>
      </c>
      <c r="F477" t="s">
        <v>38</v>
      </c>
      <c r="G477">
        <v>-291.71469999999999</v>
      </c>
      <c r="H477">
        <v>-0.05</v>
      </c>
      <c r="I477">
        <v>357.39980000000003</v>
      </c>
      <c r="J477">
        <v>-336.47239999999999</v>
      </c>
      <c r="K477">
        <v>1.104646</v>
      </c>
      <c r="L477">
        <v>367.33319999999998</v>
      </c>
      <c r="M477">
        <v>0.99975959999999997</v>
      </c>
      <c r="N477">
        <v>0</v>
      </c>
      <c r="O477">
        <v>-1.5454519999999999E-2</v>
      </c>
      <c r="P477">
        <v>0.99961129999999998</v>
      </c>
      <c r="Q477">
        <v>2.4514049999999999E-2</v>
      </c>
      <c r="R477">
        <v>-1.3286009999999999E-2</v>
      </c>
      <c r="S477">
        <v>2.99411</v>
      </c>
      <c r="T477">
        <v>-7.6704980000000006E-2</v>
      </c>
      <c r="U477">
        <v>-0.66021730000000001</v>
      </c>
      <c r="V477">
        <v>-2.2358230000000001E-3</v>
      </c>
      <c r="W477">
        <v>4.0069170000000001E-2</v>
      </c>
      <c r="X477">
        <v>0.99919439999999904</v>
      </c>
      <c r="Y477">
        <v>0.20015520000000001</v>
      </c>
      <c r="Z477">
        <v>-2.1419859999999998E-3</v>
      </c>
      <c r="AA477">
        <v>0.97976180000000002</v>
      </c>
      <c r="AB477">
        <v>62</v>
      </c>
      <c r="AC477">
        <v>44.7577</v>
      </c>
      <c r="AD477">
        <v>-1.1546459999999901</v>
      </c>
      <c r="AE477">
        <v>-9.9333999999999492</v>
      </c>
      <c r="AF477">
        <v>9.2345636430698796</v>
      </c>
      <c r="AG477">
        <v>-1.1546459999999901</v>
      </c>
      <c r="AH477">
        <v>44.877423044734002</v>
      </c>
      <c r="AI477">
        <v>91.443598534438493</v>
      </c>
      <c r="AJ477">
        <v>78.372374768153804</v>
      </c>
      <c r="AK477">
        <v>45.832231804694501</v>
      </c>
    </row>
    <row r="478" spans="1:37" x14ac:dyDescent="0.2">
      <c r="A478" t="str">
        <f>"20200111153413710"</f>
        <v>20200111153413710</v>
      </c>
      <c r="B478" t="str">
        <f>"1578728053707417"</f>
        <v>1578728053707417</v>
      </c>
      <c r="C478" t="s">
        <v>37</v>
      </c>
      <c r="D478">
        <v>5.1645769999999898</v>
      </c>
      <c r="E478">
        <v>0.57849150000000005</v>
      </c>
      <c r="F478" t="s">
        <v>38</v>
      </c>
      <c r="G478">
        <v>-289.41520000000003</v>
      </c>
      <c r="H478">
        <v>-0.05</v>
      </c>
      <c r="I478">
        <v>356.87099999999998</v>
      </c>
      <c r="J478">
        <v>-336.14499999999998</v>
      </c>
      <c r="K478">
        <v>1.104652</v>
      </c>
      <c r="L478">
        <v>367.32819999999998</v>
      </c>
      <c r="M478">
        <v>0.9997625</v>
      </c>
      <c r="N478">
        <v>0</v>
      </c>
      <c r="O478">
        <v>-1.522253E-2</v>
      </c>
      <c r="P478">
        <v>0.99960729999999998</v>
      </c>
      <c r="Q478">
        <v>2.4759159999999999E-2</v>
      </c>
      <c r="R478">
        <v>-1.3133809999999999E-2</v>
      </c>
      <c r="S478">
        <v>2.99411</v>
      </c>
      <c r="T478">
        <v>-7.3466779999999995E-2</v>
      </c>
      <c r="U478">
        <v>-0.66567989999999999</v>
      </c>
      <c r="V478">
        <v>-2.1567079999999998E-3</v>
      </c>
      <c r="W478">
        <v>4.0344560000000002E-2</v>
      </c>
      <c r="X478">
        <v>0.999183499999999</v>
      </c>
      <c r="Y478">
        <v>0.202090299999999</v>
      </c>
      <c r="Z478">
        <v>-2.0802569999999999E-3</v>
      </c>
      <c r="AA478">
        <v>0.97936469999999898</v>
      </c>
      <c r="AB478">
        <v>62</v>
      </c>
      <c r="AC478">
        <v>46.729799999999898</v>
      </c>
      <c r="AD478">
        <v>-1.154652</v>
      </c>
      <c r="AE478">
        <v>-10.4572</v>
      </c>
      <c r="AF478">
        <v>9.7388933041686396</v>
      </c>
      <c r="AG478">
        <v>-1.154652</v>
      </c>
      <c r="AH478">
        <v>46.856345123228401</v>
      </c>
      <c r="AI478">
        <v>91.382093189969396</v>
      </c>
      <c r="AJ478">
        <v>78.258486756558099</v>
      </c>
      <c r="AK478">
        <v>47.871665339093603</v>
      </c>
    </row>
    <row r="479" spans="1:37" x14ac:dyDescent="0.2">
      <c r="A479" t="str">
        <f>"20200111153413723"</f>
        <v>20200111153413723</v>
      </c>
      <c r="B479" t="str">
        <f>"1578728053717177"</f>
        <v>1578728053717177</v>
      </c>
      <c r="C479" t="s">
        <v>37</v>
      </c>
      <c r="D479">
        <v>5.3351920000000002</v>
      </c>
      <c r="E479">
        <v>0.57820479999999996</v>
      </c>
      <c r="F479" t="s">
        <v>38</v>
      </c>
      <c r="G479">
        <v>-289.05</v>
      </c>
      <c r="H479">
        <v>-0.05</v>
      </c>
      <c r="I479">
        <v>356.8143</v>
      </c>
      <c r="J479">
        <v>-335.79059999999998</v>
      </c>
      <c r="K479">
        <v>1.10466</v>
      </c>
      <c r="L479">
        <v>367.3229</v>
      </c>
      <c r="M479">
        <v>0.99976589999999999</v>
      </c>
      <c r="N479">
        <v>0</v>
      </c>
      <c r="O479">
        <v>-1.49716E-2</v>
      </c>
      <c r="P479">
        <v>0.99960389999999999</v>
      </c>
      <c r="Q479">
        <v>2.503006E-2</v>
      </c>
      <c r="R479">
        <v>-1.287056E-2</v>
      </c>
      <c r="S479">
        <v>2.994202</v>
      </c>
      <c r="T479">
        <v>-7.3410390000000006E-2</v>
      </c>
      <c r="U479">
        <v>-0.66845699999999997</v>
      </c>
      <c r="V479">
        <v>-2.169069E-3</v>
      </c>
      <c r="W479">
        <v>4.064566E-2</v>
      </c>
      <c r="X479">
        <v>0.99917129999999998</v>
      </c>
      <c r="Y479">
        <v>0.20319479999999901</v>
      </c>
      <c r="Z479">
        <v>-2.097837E-3</v>
      </c>
      <c r="AA479">
        <v>0.97913609999999895</v>
      </c>
      <c r="AB479">
        <v>62</v>
      </c>
      <c r="AC479">
        <v>46.740599999999901</v>
      </c>
      <c r="AD479">
        <v>-1.15466</v>
      </c>
      <c r="AE479">
        <v>-10.508599999999999</v>
      </c>
      <c r="AF479">
        <v>9.8018610124791401</v>
      </c>
      <c r="AG479">
        <v>-1.15466</v>
      </c>
      <c r="AH479">
        <v>46.865485436864503</v>
      </c>
      <c r="AI479">
        <v>91.381473718474794</v>
      </c>
      <c r="AJ479">
        <v>78.186937974186307</v>
      </c>
      <c r="AK479">
        <v>47.893459305593197</v>
      </c>
    </row>
    <row r="480" spans="1:37" x14ac:dyDescent="0.2">
      <c r="A480" t="str">
        <f>"20200111153413745"</f>
        <v>20200111153413745</v>
      </c>
      <c r="B480" t="str">
        <f>"1578728053736697"</f>
        <v>1578728053736697</v>
      </c>
      <c r="C480" t="s">
        <v>37</v>
      </c>
      <c r="D480">
        <v>4.8838330000000001</v>
      </c>
      <c r="E480">
        <v>0.57965129999999998</v>
      </c>
      <c r="F480" t="s">
        <v>38</v>
      </c>
      <c r="G480">
        <v>-288.2971</v>
      </c>
      <c r="H480">
        <v>-0.05</v>
      </c>
      <c r="I480">
        <v>356.76249999999999</v>
      </c>
      <c r="J480">
        <v>-335.15159999999997</v>
      </c>
      <c r="K480">
        <v>1.1046750000000001</v>
      </c>
      <c r="L480">
        <v>367.31349999999998</v>
      </c>
      <c r="M480">
        <v>0.99977169999999904</v>
      </c>
      <c r="N480">
        <v>0</v>
      </c>
      <c r="O480">
        <v>-1.451911E-2</v>
      </c>
      <c r="P480">
        <v>0.99959430000000005</v>
      </c>
      <c r="Q480">
        <v>2.57988E-2</v>
      </c>
      <c r="R480">
        <v>-1.206933E-2</v>
      </c>
      <c r="S480">
        <v>2.9944459999999999</v>
      </c>
      <c r="T480">
        <v>-7.2800870000000004E-2</v>
      </c>
      <c r="U480">
        <v>-0.66583249999999905</v>
      </c>
      <c r="V480">
        <v>-2.5186929999999998E-3</v>
      </c>
      <c r="W480">
        <v>4.1462279999999997E-2</v>
      </c>
      <c r="X480">
        <v>0.99913689999999999</v>
      </c>
      <c r="Y480">
        <v>0.20280419999999999</v>
      </c>
      <c r="Z480">
        <v>-2.0866209999999999E-3</v>
      </c>
      <c r="AA480">
        <v>0.97921709999999995</v>
      </c>
      <c r="AB480">
        <v>62</v>
      </c>
      <c r="AC480">
        <v>46.854499999999902</v>
      </c>
      <c r="AD480">
        <v>-1.1546749999999999</v>
      </c>
      <c r="AE480">
        <v>-10.550999999999901</v>
      </c>
      <c r="AF480">
        <v>9.8638169524715202</v>
      </c>
      <c r="AG480">
        <v>-1.1546749999999999</v>
      </c>
      <c r="AH480">
        <v>46.975617588483999</v>
      </c>
      <c r="AI480">
        <v>91.378024928164805</v>
      </c>
      <c r="AJ480">
        <v>78.141462352670004</v>
      </c>
      <c r="AK480">
        <v>48.013923054120198</v>
      </c>
    </row>
    <row r="481" spans="1:37" x14ac:dyDescent="0.2">
      <c r="A481" t="str">
        <f>"20200111153413760"</f>
        <v>20200111153413760</v>
      </c>
      <c r="B481" t="str">
        <f>"1578728053757192"</f>
        <v>1578728053757192</v>
      </c>
      <c r="C481" t="s">
        <v>37</v>
      </c>
      <c r="D481">
        <v>4.9363570000000001</v>
      </c>
      <c r="E481">
        <v>0.58020280000000002</v>
      </c>
      <c r="F481" t="s">
        <v>38</v>
      </c>
      <c r="G481">
        <v>-283.23039999999997</v>
      </c>
      <c r="H481">
        <v>-0.05</v>
      </c>
      <c r="I481">
        <v>355.62060000000002</v>
      </c>
      <c r="J481">
        <v>-334.77609999999999</v>
      </c>
      <c r="K481">
        <v>1.104689</v>
      </c>
      <c r="L481">
        <v>367.30810000000002</v>
      </c>
      <c r="M481">
        <v>0.99977510000000003</v>
      </c>
      <c r="N481">
        <v>0</v>
      </c>
      <c r="O481">
        <v>-1.4253119999999999E-2</v>
      </c>
      <c r="P481">
        <v>0.99955869999999902</v>
      </c>
      <c r="Q481">
        <v>2.718044E-2</v>
      </c>
      <c r="R481">
        <v>-1.198161E-2</v>
      </c>
      <c r="S481">
        <v>2.9947810000000001</v>
      </c>
      <c r="T481">
        <v>-6.6600919999999994E-2</v>
      </c>
      <c r="U481">
        <v>-0.67443850000000005</v>
      </c>
      <c r="V481">
        <v>-2.3427529999999999E-3</v>
      </c>
      <c r="W481">
        <v>4.2868660000000003E-2</v>
      </c>
      <c r="X481">
        <v>0.99907800000000002</v>
      </c>
      <c r="Y481">
        <v>0.2057282</v>
      </c>
      <c r="Z481">
        <v>-1.9461089999999999E-3</v>
      </c>
      <c r="AA481">
        <v>0.97860720000000001</v>
      </c>
      <c r="AB481">
        <v>62</v>
      </c>
      <c r="AC481">
        <v>51.545699999999997</v>
      </c>
      <c r="AD481">
        <v>-1.1546890000000001</v>
      </c>
      <c r="AE481">
        <v>-11.6875</v>
      </c>
      <c r="AF481">
        <v>10.9463103834654</v>
      </c>
      <c r="AG481">
        <v>-1.1546890000000001</v>
      </c>
      <c r="AH481">
        <v>51.6823995981227</v>
      </c>
      <c r="AI481">
        <v>91.252122990692797</v>
      </c>
      <c r="AJ481">
        <v>78.041503543600896</v>
      </c>
      <c r="AK481">
        <v>52.841512524888202</v>
      </c>
    </row>
    <row r="482" spans="1:37" x14ac:dyDescent="0.2">
      <c r="A482" t="str">
        <f>"20200111153413770"</f>
        <v>20200111153413770</v>
      </c>
      <c r="B482" t="str">
        <f>"1578728053766953"</f>
        <v>1578728053766953</v>
      </c>
      <c r="C482" t="s">
        <v>37</v>
      </c>
      <c r="D482">
        <v>5.184876</v>
      </c>
      <c r="E482">
        <v>0.58011820000000003</v>
      </c>
      <c r="F482" t="s">
        <v>38</v>
      </c>
      <c r="G482">
        <v>-280.57170000000002</v>
      </c>
      <c r="H482">
        <v>-0.05</v>
      </c>
      <c r="I482">
        <v>355.02640000000002</v>
      </c>
      <c r="J482">
        <v>-334.46570000000003</v>
      </c>
      <c r="K482">
        <v>1.1046929999999999</v>
      </c>
      <c r="L482">
        <v>367.30369999999999</v>
      </c>
      <c r="M482">
        <v>0.999778099999999</v>
      </c>
      <c r="N482">
        <v>0</v>
      </c>
      <c r="O482">
        <v>-1.4033210000000001E-2</v>
      </c>
      <c r="P482">
        <v>0.99954869999999996</v>
      </c>
      <c r="Q482">
        <v>2.761887E-2</v>
      </c>
      <c r="R482">
        <v>-1.184025E-2</v>
      </c>
      <c r="S482">
        <v>2.994904</v>
      </c>
      <c r="T482">
        <v>-6.3798900000000006E-2</v>
      </c>
      <c r="U482">
        <v>-0.67858890000000005</v>
      </c>
      <c r="V482">
        <v>-2.2645790000000001E-3</v>
      </c>
      <c r="W482">
        <v>4.3325040000000002E-2</v>
      </c>
      <c r="X482">
        <v>0.99905849999999996</v>
      </c>
      <c r="Y482">
        <v>0.207228299999999</v>
      </c>
      <c r="Z482">
        <v>-1.884295E-3</v>
      </c>
      <c r="AA482">
        <v>0.97829080000000002</v>
      </c>
      <c r="AB482">
        <v>62</v>
      </c>
      <c r="AC482">
        <v>53.893999999999998</v>
      </c>
      <c r="AD482">
        <v>-1.154693</v>
      </c>
      <c r="AE482">
        <v>-12.277299999999901</v>
      </c>
      <c r="AF482">
        <v>11.514666634834199</v>
      </c>
      <c r="AG482">
        <v>-1.154693</v>
      </c>
      <c r="AH482">
        <v>54.037421258537499</v>
      </c>
      <c r="AI482">
        <v>91.197260989393698</v>
      </c>
      <c r="AJ482">
        <v>77.970930444355901</v>
      </c>
      <c r="AK482">
        <v>55.262679630183101</v>
      </c>
    </row>
    <row r="483" spans="1:37" x14ac:dyDescent="0.2">
      <c r="A483" t="str">
        <f>"20200111153413782"</f>
        <v>20200111153413782</v>
      </c>
      <c r="B483" t="str">
        <f>"1578728053776713"</f>
        <v>1578728053776713</v>
      </c>
      <c r="C483" t="s">
        <v>37</v>
      </c>
      <c r="D483">
        <v>5.162299</v>
      </c>
      <c r="E483">
        <v>0.58001759999999902</v>
      </c>
      <c r="F483" t="s">
        <v>38</v>
      </c>
      <c r="G483">
        <v>-281.3897</v>
      </c>
      <c r="H483">
        <v>-0.05</v>
      </c>
      <c r="I483">
        <v>355.29480000000001</v>
      </c>
      <c r="J483">
        <v>-334.13619999999997</v>
      </c>
      <c r="K483">
        <v>1.104698</v>
      </c>
      <c r="L483">
        <v>367.29910000000001</v>
      </c>
      <c r="M483">
        <v>0.99978099999999903</v>
      </c>
      <c r="N483">
        <v>0</v>
      </c>
      <c r="O483">
        <v>-1.379972E-2</v>
      </c>
      <c r="P483">
        <v>0.99954789999999905</v>
      </c>
      <c r="Q483">
        <v>2.761912E-2</v>
      </c>
      <c r="R483">
        <v>-1.1895299999999999E-2</v>
      </c>
      <c r="S483">
        <v>2.995117</v>
      </c>
      <c r="T483">
        <v>-6.5160270000000006E-2</v>
      </c>
      <c r="U483">
        <v>-0.67767330000000003</v>
      </c>
      <c r="V483">
        <v>-1.9763620000000002E-3</v>
      </c>
      <c r="W483">
        <v>4.3344090000000002E-2</v>
      </c>
      <c r="X483">
        <v>0.99905820000000001</v>
      </c>
      <c r="Y483">
        <v>0.20715549999999999</v>
      </c>
      <c r="Z483">
        <v>-1.9286539999999999E-3</v>
      </c>
      <c r="AA483">
        <v>0.97830609999999996</v>
      </c>
      <c r="AB483">
        <v>62</v>
      </c>
      <c r="AC483">
        <v>52.746499999999898</v>
      </c>
      <c r="AD483">
        <v>-1.154698</v>
      </c>
      <c r="AE483">
        <v>-12.004300000000001</v>
      </c>
      <c r="AF483">
        <v>11.270044584984801</v>
      </c>
      <c r="AG483">
        <v>-1.154698</v>
      </c>
      <c r="AH483">
        <v>52.8830572327415</v>
      </c>
      <c r="AI483">
        <v>91.2233865784671</v>
      </c>
      <c r="AJ483">
        <v>77.969523245136202</v>
      </c>
      <c r="AK483">
        <v>54.082945321978997</v>
      </c>
    </row>
    <row r="484" spans="1:37" x14ac:dyDescent="0.2">
      <c r="A484" t="str">
        <f>"20200111153413794"</f>
        <v>20200111153413794</v>
      </c>
      <c r="B484" t="str">
        <f>"1578728053787449"</f>
        <v>1578728053787449</v>
      </c>
      <c r="C484" t="s">
        <v>37</v>
      </c>
      <c r="D484">
        <v>4.9388199999999998</v>
      </c>
      <c r="E484">
        <v>0.58056090000000005</v>
      </c>
      <c r="F484" t="s">
        <v>38</v>
      </c>
      <c r="G484">
        <v>-283.79700000000003</v>
      </c>
      <c r="H484">
        <v>-0.05</v>
      </c>
      <c r="I484">
        <v>355.91899999999998</v>
      </c>
      <c r="J484">
        <v>-333.8168</v>
      </c>
      <c r="K484">
        <v>1.1047</v>
      </c>
      <c r="L484">
        <v>367.29480000000001</v>
      </c>
      <c r="M484">
        <v>0.9997838</v>
      </c>
      <c r="N484">
        <v>0</v>
      </c>
      <c r="O484">
        <v>-1.357336E-2</v>
      </c>
      <c r="P484">
        <v>0.99954319999999897</v>
      </c>
      <c r="Q484">
        <v>2.7734430000000001E-2</v>
      </c>
      <c r="R484">
        <v>-1.202394E-2</v>
      </c>
      <c r="S484">
        <v>2.995209</v>
      </c>
      <c r="T484">
        <v>-6.8705080000000002E-2</v>
      </c>
      <c r="U484">
        <v>-0.67712399999999995</v>
      </c>
      <c r="V484">
        <v>-1.6214439999999899E-3</v>
      </c>
      <c r="W484">
        <v>4.3477010000000003E-2</v>
      </c>
      <c r="X484">
        <v>0.99905309999999903</v>
      </c>
      <c r="Y484">
        <v>0.20719499999999999</v>
      </c>
      <c r="Z484">
        <v>-2.0390989999999999E-3</v>
      </c>
      <c r="AA484">
        <v>0.97829750000000004</v>
      </c>
      <c r="AB484">
        <v>62</v>
      </c>
      <c r="AC484">
        <v>50.019799999999897</v>
      </c>
      <c r="AD484">
        <v>-1.1547000000000001</v>
      </c>
      <c r="AE484">
        <v>-11.3757999999999</v>
      </c>
      <c r="AF484">
        <v>10.6903139677488</v>
      </c>
      <c r="AG484">
        <v>-1.1547000000000001</v>
      </c>
      <c r="AH484">
        <v>50.144209697745801</v>
      </c>
      <c r="AI484">
        <v>91.2901667476482</v>
      </c>
      <c r="AJ484">
        <v>77.965203596830094</v>
      </c>
      <c r="AK484">
        <v>51.284090233039699</v>
      </c>
    </row>
    <row r="485" spans="1:37" x14ac:dyDescent="0.2">
      <c r="A485" t="str">
        <f>"20200111153413805"</f>
        <v>20200111153413805</v>
      </c>
      <c r="B485" t="str">
        <f>"1578728053797209"</f>
        <v>1578728053797209</v>
      </c>
      <c r="C485" t="s">
        <v>37</v>
      </c>
      <c r="D485">
        <v>4.8857530000000002</v>
      </c>
      <c r="E485">
        <v>0.58060829999999997</v>
      </c>
      <c r="F485" t="s">
        <v>38</v>
      </c>
      <c r="G485">
        <v>-283.86329999999998</v>
      </c>
      <c r="H485">
        <v>-0.05</v>
      </c>
      <c r="I485">
        <v>355.92660000000001</v>
      </c>
      <c r="J485">
        <v>-333.5145</v>
      </c>
      <c r="K485">
        <v>1.1047020000000001</v>
      </c>
      <c r="L485">
        <v>367.29070000000002</v>
      </c>
      <c r="M485">
        <v>0.99978650000000002</v>
      </c>
      <c r="N485">
        <v>0</v>
      </c>
      <c r="O485">
        <v>-1.335914E-2</v>
      </c>
      <c r="P485">
        <v>0.99954989999999999</v>
      </c>
      <c r="Q485">
        <v>2.7358420000000001E-2</v>
      </c>
      <c r="R485">
        <v>-1.232217E-2</v>
      </c>
      <c r="S485">
        <v>2.9950869999999998</v>
      </c>
      <c r="T485">
        <v>-6.9232940000000007E-2</v>
      </c>
      <c r="U485">
        <v>-0.6816101</v>
      </c>
      <c r="V485">
        <v>-1.108394E-3</v>
      </c>
      <c r="W485">
        <v>4.3115430000000003E-2</v>
      </c>
      <c r="X485">
        <v>0.99906949999999894</v>
      </c>
      <c r="Y485">
        <v>0.2088053</v>
      </c>
      <c r="Z485">
        <v>-2.0777679999999998E-3</v>
      </c>
      <c r="AA485">
        <v>0.97795499999999902</v>
      </c>
      <c r="AB485">
        <v>62</v>
      </c>
      <c r="AC485">
        <v>49.651200000000003</v>
      </c>
      <c r="AD485">
        <v>-1.1547019999999999</v>
      </c>
      <c r="AE485">
        <v>-11.364100000000001</v>
      </c>
      <c r="AF485">
        <v>10.6942097937541</v>
      </c>
      <c r="AG485">
        <v>-1.1547019999999999</v>
      </c>
      <c r="AH485">
        <v>49.773021688905601</v>
      </c>
      <c r="AI485">
        <v>91.299343765840703</v>
      </c>
      <c r="AJ485">
        <v>77.873810870280394</v>
      </c>
      <c r="AK485">
        <v>50.922030083902797</v>
      </c>
    </row>
    <row r="486" spans="1:37" x14ac:dyDescent="0.2">
      <c r="A486" t="str">
        <f>"20200111153413815"</f>
        <v>20200111153413815</v>
      </c>
      <c r="B486" t="str">
        <f>"1578728053806969"</f>
        <v>1578728053806969</v>
      </c>
      <c r="C486" t="s">
        <v>37</v>
      </c>
      <c r="D486">
        <v>4.8488920000000002</v>
      </c>
      <c r="E486">
        <v>0.58050360000000001</v>
      </c>
      <c r="F486" t="s">
        <v>38</v>
      </c>
      <c r="G486">
        <v>-284.79910000000001</v>
      </c>
      <c r="H486">
        <v>-0.05</v>
      </c>
      <c r="I486">
        <v>356.18020000000001</v>
      </c>
      <c r="J486">
        <v>-333.20530000000002</v>
      </c>
      <c r="K486">
        <v>1.1047039999999999</v>
      </c>
      <c r="L486">
        <v>367.28660000000002</v>
      </c>
      <c r="M486">
        <v>0.99978919999999905</v>
      </c>
      <c r="N486">
        <v>0</v>
      </c>
      <c r="O486">
        <v>-1.314014E-2</v>
      </c>
      <c r="P486">
        <v>0.99956270000000003</v>
      </c>
      <c r="Q486">
        <v>2.6714580000000002E-2</v>
      </c>
      <c r="R486">
        <v>-1.269142E-2</v>
      </c>
      <c r="S486">
        <v>2.994904</v>
      </c>
      <c r="T486">
        <v>-7.0988300000000004E-2</v>
      </c>
      <c r="U486">
        <v>-0.6830444</v>
      </c>
      <c r="V486">
        <v>-5.1910859999999999E-4</v>
      </c>
      <c r="W486">
        <v>4.2486580000000003E-2</v>
      </c>
      <c r="X486">
        <v>0.99909689999999995</v>
      </c>
      <c r="Y486">
        <v>0.20947479999999999</v>
      </c>
      <c r="Z486">
        <v>-2.1434029999999999E-3</v>
      </c>
      <c r="AA486">
        <v>0.97781169999999995</v>
      </c>
      <c r="AB486">
        <v>62</v>
      </c>
      <c r="AC486">
        <v>48.406199999999998</v>
      </c>
      <c r="AD486">
        <v>-1.154704</v>
      </c>
      <c r="AE486">
        <v>-11.106400000000001</v>
      </c>
      <c r="AF486">
        <v>10.463641060723999</v>
      </c>
      <c r="AG486">
        <v>-1.154704</v>
      </c>
      <c r="AH486">
        <v>48.521747838087997</v>
      </c>
      <c r="AI486">
        <v>91.332625261968502</v>
      </c>
      <c r="AJ486">
        <v>77.830611134123799</v>
      </c>
      <c r="AK486">
        <v>49.650590518525398</v>
      </c>
    </row>
    <row r="487" spans="1:37" x14ac:dyDescent="0.2">
      <c r="A487" t="str">
        <f>"20200111153413827"</f>
        <v>20200111153413827</v>
      </c>
      <c r="B487" t="str">
        <f>"1578728053816730"</f>
        <v>1578728053816730</v>
      </c>
      <c r="C487" t="s">
        <v>37</v>
      </c>
      <c r="D487">
        <v>4.8219209999999997</v>
      </c>
      <c r="E487">
        <v>0.58031889999999997</v>
      </c>
      <c r="F487" t="s">
        <v>38</v>
      </c>
      <c r="G487">
        <v>-286.2704</v>
      </c>
      <c r="H487">
        <v>-0.05</v>
      </c>
      <c r="I487">
        <v>356.58260000000001</v>
      </c>
      <c r="J487">
        <v>-332.89940000000001</v>
      </c>
      <c r="K487">
        <v>1.104708</v>
      </c>
      <c r="L487">
        <v>367.2826</v>
      </c>
      <c r="M487">
        <v>0.99979180000000001</v>
      </c>
      <c r="N487">
        <v>0</v>
      </c>
      <c r="O487">
        <v>-1.292305E-2</v>
      </c>
      <c r="P487">
        <v>0.99957090000000004</v>
      </c>
      <c r="Q487">
        <v>2.6186620000000001E-2</v>
      </c>
      <c r="R487">
        <v>-1.312409E-2</v>
      </c>
      <c r="S487">
        <v>2.9945979999999999</v>
      </c>
      <c r="T487">
        <v>-7.3673730000000007E-2</v>
      </c>
      <c r="U487">
        <v>-0.68295289999999997</v>
      </c>
      <c r="V487">
        <v>1.3140419999999999E-4</v>
      </c>
      <c r="W487">
        <v>4.1972049999999997E-2</v>
      </c>
      <c r="X487">
        <v>0.99911879999999997</v>
      </c>
      <c r="Y487">
        <v>0.2096761</v>
      </c>
      <c r="Z487">
        <v>-2.2324049999999998E-3</v>
      </c>
      <c r="AA487">
        <v>0.97776839999999998</v>
      </c>
      <c r="AB487">
        <v>62</v>
      </c>
      <c r="AC487">
        <v>46.628999999999998</v>
      </c>
      <c r="AD487">
        <v>-1.1547080000000001</v>
      </c>
      <c r="AE487">
        <v>-10.6999999999999</v>
      </c>
      <c r="AF487">
        <v>10.090563799543499</v>
      </c>
      <c r="AG487">
        <v>-1.1547080000000001</v>
      </c>
      <c r="AH487">
        <v>46.736172185610897</v>
      </c>
      <c r="AI487">
        <v>91.3834510667496</v>
      </c>
      <c r="AJ487">
        <v>77.816578442523607</v>
      </c>
      <c r="AK487">
        <v>47.8270072126721</v>
      </c>
    </row>
    <row r="488" spans="1:37" x14ac:dyDescent="0.2">
      <c r="A488" t="str">
        <f>"20200111153413839"</f>
        <v>20200111153413839</v>
      </c>
      <c r="B488" t="str">
        <f>"1578728053827465"</f>
        <v>1578728053827465</v>
      </c>
      <c r="C488" t="s">
        <v>37</v>
      </c>
      <c r="D488">
        <v>4.8536950000000001</v>
      </c>
      <c r="E488">
        <v>0.58025789999999999</v>
      </c>
      <c r="F488" t="s">
        <v>38</v>
      </c>
      <c r="G488">
        <v>-287.67809999999997</v>
      </c>
      <c r="H488">
        <v>-0.05</v>
      </c>
      <c r="I488">
        <v>356.96699999999998</v>
      </c>
      <c r="J488">
        <v>-332.58190000000002</v>
      </c>
      <c r="K488">
        <v>1.1047100000000001</v>
      </c>
      <c r="L488">
        <v>367.27859999999998</v>
      </c>
      <c r="M488">
        <v>0.99979449999999903</v>
      </c>
      <c r="N488">
        <v>0</v>
      </c>
      <c r="O488">
        <v>-1.2697369999999999E-2</v>
      </c>
      <c r="P488">
        <v>0.99957220000000002</v>
      </c>
      <c r="Q488">
        <v>2.5656399999999999E-2</v>
      </c>
      <c r="R488">
        <v>-1.4033E-2</v>
      </c>
      <c r="S488">
        <v>2.9943240000000002</v>
      </c>
      <c r="T488">
        <v>-7.6458810000000002E-2</v>
      </c>
      <c r="U488">
        <v>-0.6830444</v>
      </c>
      <c r="V488">
        <v>1.267011E-3</v>
      </c>
      <c r="W488">
        <v>4.1455609999999997E-2</v>
      </c>
      <c r="X488">
        <v>0.99913949999999996</v>
      </c>
      <c r="Y488">
        <v>0.20994019999999999</v>
      </c>
      <c r="Z488">
        <v>-2.3259829999999998E-3</v>
      </c>
      <c r="AA488">
        <v>0.97771140000000001</v>
      </c>
      <c r="AB488">
        <v>62</v>
      </c>
      <c r="AC488">
        <v>44.903799999999997</v>
      </c>
      <c r="AD488">
        <v>-1.1547099999999999</v>
      </c>
      <c r="AE488">
        <v>-10.3116</v>
      </c>
      <c r="AF488">
        <v>9.7344225057500893</v>
      </c>
      <c r="AG488">
        <v>-1.1547099999999999</v>
      </c>
      <c r="AH488">
        <v>45.002857327480498</v>
      </c>
      <c r="AI488">
        <v>91.436596988410102</v>
      </c>
      <c r="AJ488">
        <v>77.794574982986305</v>
      </c>
      <c r="AK488">
        <v>46.058110082178999</v>
      </c>
    </row>
    <row r="489" spans="1:37" x14ac:dyDescent="0.2">
      <c r="A489" t="str">
        <f>"20200111153413850"</f>
        <v>20200111153413850</v>
      </c>
      <c r="B489" t="str">
        <f>"1578728053846985"</f>
        <v>1578728053846985</v>
      </c>
      <c r="C489" t="s">
        <v>37</v>
      </c>
      <c r="D489">
        <v>4.8704589999999897</v>
      </c>
      <c r="E489">
        <v>0.58029779999999997</v>
      </c>
      <c r="F489" t="s">
        <v>38</v>
      </c>
      <c r="G489">
        <v>-288.42230000000001</v>
      </c>
      <c r="H489">
        <v>-0.05</v>
      </c>
      <c r="I489">
        <v>357.17230000000001</v>
      </c>
      <c r="J489">
        <v>-332.25110000000001</v>
      </c>
      <c r="K489">
        <v>1.1047129999999901</v>
      </c>
      <c r="L489">
        <v>367.27440000000001</v>
      </c>
      <c r="M489">
        <v>0.9997973</v>
      </c>
      <c r="N489">
        <v>0</v>
      </c>
      <c r="O489">
        <v>-1.246251E-2</v>
      </c>
      <c r="P489">
        <v>0.99957669999999998</v>
      </c>
      <c r="Q489">
        <v>2.5134710000000001E-2</v>
      </c>
      <c r="R489">
        <v>-1.467271E-2</v>
      </c>
      <c r="S489">
        <v>2.993652</v>
      </c>
      <c r="T489">
        <v>-7.8279730000000006E-2</v>
      </c>
      <c r="U489">
        <v>-0.68511959999999905</v>
      </c>
      <c r="V489">
        <v>2.1420340000000001E-3</v>
      </c>
      <c r="W489">
        <v>4.0945830000000003E-2</v>
      </c>
      <c r="X489">
        <v>0.99915909999999997</v>
      </c>
      <c r="Y489">
        <v>0.21085809999999999</v>
      </c>
      <c r="Z489">
        <v>-2.3996040000000001E-3</v>
      </c>
      <c r="AA489">
        <v>0.97751369999999904</v>
      </c>
      <c r="AB489">
        <v>61</v>
      </c>
      <c r="AC489">
        <v>43.828800000000001</v>
      </c>
      <c r="AD489">
        <v>-1.1547129999999901</v>
      </c>
      <c r="AE489">
        <v>-10.1021</v>
      </c>
      <c r="AF489">
        <v>9.5487365779582607</v>
      </c>
      <c r="AG489">
        <v>-1.1547129999999901</v>
      </c>
      <c r="AH489">
        <v>43.922359607795201</v>
      </c>
      <c r="AI489">
        <v>91.4715927838336</v>
      </c>
      <c r="AJ489">
        <v>77.734731101324101</v>
      </c>
      <c r="AK489">
        <v>44.963156093229102</v>
      </c>
    </row>
    <row r="490" spans="1:37" x14ac:dyDescent="0.2">
      <c r="A490" t="str">
        <f>"20200111153413862"</f>
        <v>20200111153413862</v>
      </c>
      <c r="B490" t="str">
        <f>"1578728053856745"</f>
        <v>1578728053856745</v>
      </c>
      <c r="C490" t="s">
        <v>37</v>
      </c>
      <c r="D490">
        <v>4.8524979999999998</v>
      </c>
      <c r="E490">
        <v>0.58032259999999902</v>
      </c>
      <c r="F490" t="s">
        <v>38</v>
      </c>
      <c r="G490">
        <v>-289.6848</v>
      </c>
      <c r="H490">
        <v>-0.05</v>
      </c>
      <c r="I490">
        <v>357.49699999999899</v>
      </c>
      <c r="J490">
        <v>-331.94409999999999</v>
      </c>
      <c r="K490">
        <v>1.1047169999999999</v>
      </c>
      <c r="L490">
        <v>367.2706</v>
      </c>
      <c r="M490">
        <v>0.99979979999999902</v>
      </c>
      <c r="N490">
        <v>0</v>
      </c>
      <c r="O490">
        <v>-1.224421E-2</v>
      </c>
      <c r="P490">
        <v>0.99956610000000001</v>
      </c>
      <c r="Q490">
        <v>2.497595E-2</v>
      </c>
      <c r="R490">
        <v>-1.5625509999999999E-2</v>
      </c>
      <c r="S490">
        <v>2.9931950000000001</v>
      </c>
      <c r="T490">
        <v>-8.1197500000000006E-2</v>
      </c>
      <c r="U490">
        <v>-0.68753050000000004</v>
      </c>
      <c r="V490">
        <v>3.313533E-3</v>
      </c>
      <c r="W490">
        <v>4.0798609999999999E-2</v>
      </c>
      <c r="X490">
        <v>0.99916190000000005</v>
      </c>
      <c r="Y490">
        <v>0.2118466</v>
      </c>
      <c r="Z490">
        <v>-2.5082389999999898E-3</v>
      </c>
      <c r="AA490">
        <v>0.97729969999999999</v>
      </c>
      <c r="AB490">
        <v>61</v>
      </c>
      <c r="AC490">
        <v>42.259300000000003</v>
      </c>
      <c r="AD490">
        <v>-1.154717</v>
      </c>
      <c r="AE490">
        <v>-9.7736000000000391</v>
      </c>
      <c r="AF490">
        <v>9.2488157599429694</v>
      </c>
      <c r="AG490">
        <v>-1.154717</v>
      </c>
      <c r="AH490">
        <v>42.345804869958698</v>
      </c>
      <c r="AI490">
        <v>91.526039808087205</v>
      </c>
      <c r="AJ490">
        <v>77.679416512084003</v>
      </c>
      <c r="AK490">
        <v>43.359441352444499</v>
      </c>
    </row>
    <row r="491" spans="1:37" x14ac:dyDescent="0.2">
      <c r="A491" t="str">
        <f>"20200111153413873"</f>
        <v>20200111153413873</v>
      </c>
      <c r="B491" t="str">
        <f>"1578728053867481"</f>
        <v>1578728053867481</v>
      </c>
      <c r="C491" t="s">
        <v>37</v>
      </c>
      <c r="D491">
        <v>4.8532019999999996</v>
      </c>
      <c r="E491">
        <v>0.58033040000000002</v>
      </c>
      <c r="F491" t="s">
        <v>38</v>
      </c>
      <c r="G491">
        <v>-289.9391</v>
      </c>
      <c r="H491">
        <v>-0.05</v>
      </c>
      <c r="I491">
        <v>357.58030000000002</v>
      </c>
      <c r="J491">
        <v>-331.62349999999998</v>
      </c>
      <c r="K491">
        <v>1.104722</v>
      </c>
      <c r="L491">
        <v>367.26670000000001</v>
      </c>
      <c r="M491">
        <v>0.99980259999999999</v>
      </c>
      <c r="N491">
        <v>0</v>
      </c>
      <c r="O491">
        <v>-1.201672E-2</v>
      </c>
      <c r="P491">
        <v>0.99955519999999998</v>
      </c>
      <c r="Q491">
        <v>2.4871359999999999E-2</v>
      </c>
      <c r="R491">
        <v>-1.6473069999999999E-2</v>
      </c>
      <c r="S491">
        <v>2.9925540000000002</v>
      </c>
      <c r="T491">
        <v>-8.2265379999999999E-2</v>
      </c>
      <c r="U491">
        <v>-0.69036869999999995</v>
      </c>
      <c r="V491">
        <v>4.3887679999999899E-3</v>
      </c>
      <c r="W491">
        <v>4.0704270000000001E-2</v>
      </c>
      <c r="X491">
        <v>0.99916159999999998</v>
      </c>
      <c r="Y491">
        <v>0.2129924</v>
      </c>
      <c r="Z491">
        <v>-2.5631880000000001E-3</v>
      </c>
      <c r="AA491">
        <v>0.97705049999999904</v>
      </c>
      <c r="AB491">
        <v>61</v>
      </c>
      <c r="AC491">
        <v>41.684399999999897</v>
      </c>
      <c r="AD491">
        <v>-1.154722</v>
      </c>
      <c r="AE491">
        <v>-9.6863999999999901</v>
      </c>
      <c r="AF491">
        <v>9.1780457747703892</v>
      </c>
      <c r="AG491">
        <v>-1.154722</v>
      </c>
      <c r="AH491">
        <v>41.767393596090599</v>
      </c>
      <c r="AI491">
        <v>91.546739527462293</v>
      </c>
      <c r="AJ491">
        <v>77.606688431754606</v>
      </c>
      <c r="AK491">
        <v>42.779493626640999</v>
      </c>
    </row>
    <row r="492" spans="1:37" x14ac:dyDescent="0.2">
      <c r="A492" t="str">
        <f>"20200111153413885"</f>
        <v>20200111153413885</v>
      </c>
      <c r="B492" t="str">
        <f>"1578728053877241"</f>
        <v>1578728053877241</v>
      </c>
      <c r="C492" t="s">
        <v>37</v>
      </c>
      <c r="D492">
        <v>4.9052889999999998</v>
      </c>
      <c r="E492">
        <v>0.5804899</v>
      </c>
      <c r="F492" t="s">
        <v>38</v>
      </c>
      <c r="G492">
        <v>-290.23750000000001</v>
      </c>
      <c r="H492">
        <v>-0.05</v>
      </c>
      <c r="I492">
        <v>357.68360000000001</v>
      </c>
      <c r="J492">
        <v>-331.31459999999998</v>
      </c>
      <c r="K492">
        <v>1.1047279999999999</v>
      </c>
      <c r="L492">
        <v>367.26310000000001</v>
      </c>
      <c r="M492">
        <v>0.99980499999999894</v>
      </c>
      <c r="N492">
        <v>0</v>
      </c>
      <c r="O492">
        <v>-1.1797210000000001E-2</v>
      </c>
      <c r="P492">
        <v>0.99953819999999904</v>
      </c>
      <c r="Q492">
        <v>2.498274E-2</v>
      </c>
      <c r="R492">
        <v>-1.7304010000000002E-2</v>
      </c>
      <c r="S492">
        <v>2.9920040000000001</v>
      </c>
      <c r="T492">
        <v>-8.3480719999999994E-2</v>
      </c>
      <c r="U492">
        <v>-0.69281009999999998</v>
      </c>
      <c r="V492">
        <v>5.4393660000000002E-3</v>
      </c>
      <c r="W492">
        <v>4.0824340000000001E-2</v>
      </c>
      <c r="X492">
        <v>0.99915149999999997</v>
      </c>
      <c r="Y492">
        <v>0.21400029999999901</v>
      </c>
      <c r="Z492">
        <v>-2.6211849999999998E-3</v>
      </c>
      <c r="AA492">
        <v>0.97683009999999904</v>
      </c>
      <c r="AB492">
        <v>61</v>
      </c>
      <c r="AC492">
        <v>41.077099999999902</v>
      </c>
      <c r="AD492">
        <v>-1.154728</v>
      </c>
      <c r="AE492">
        <v>-9.5794999999999906</v>
      </c>
      <c r="AF492">
        <v>9.0873664457439105</v>
      </c>
      <c r="AG492">
        <v>-1.154728</v>
      </c>
      <c r="AH492">
        <v>41.156420365523701</v>
      </c>
      <c r="AI492">
        <v>91.569348914876898</v>
      </c>
      <c r="AJ492">
        <v>77.5488300018405</v>
      </c>
      <c r="AK492">
        <v>42.1635454270263</v>
      </c>
    </row>
    <row r="493" spans="1:37" x14ac:dyDescent="0.2">
      <c r="A493" t="str">
        <f>"20200111153413896"</f>
        <v>20200111153413896</v>
      </c>
      <c r="B493" t="str">
        <f>"1578728053887001"</f>
        <v>1578728053887001</v>
      </c>
      <c r="C493" t="s">
        <v>37</v>
      </c>
      <c r="D493">
        <v>4.8825449999999897</v>
      </c>
      <c r="E493">
        <v>0.58064130000000003</v>
      </c>
      <c r="F493" t="s">
        <v>38</v>
      </c>
      <c r="G493">
        <v>-289.89460000000003</v>
      </c>
      <c r="H493">
        <v>-0.05</v>
      </c>
      <c r="I493">
        <v>357.61950000000002</v>
      </c>
      <c r="J493">
        <v>-330.99860000000001</v>
      </c>
      <c r="K493">
        <v>1.104735</v>
      </c>
      <c r="L493">
        <v>367.25940000000003</v>
      </c>
      <c r="M493">
        <v>0.99980749999999996</v>
      </c>
      <c r="N493">
        <v>0</v>
      </c>
      <c r="O493">
        <v>-1.1572809999999999E-2</v>
      </c>
      <c r="P493">
        <v>0.99952640000000004</v>
      </c>
      <c r="Q493">
        <v>2.50388E-2</v>
      </c>
      <c r="R493">
        <v>-1.7885040000000001E-2</v>
      </c>
      <c r="S493">
        <v>2.991425</v>
      </c>
      <c r="T493">
        <v>-8.3396429999999994E-2</v>
      </c>
      <c r="U493">
        <v>-0.69647219999999999</v>
      </c>
      <c r="V493">
        <v>6.2450250000000004E-3</v>
      </c>
      <c r="W493">
        <v>4.0889130000000003E-2</v>
      </c>
      <c r="X493">
        <v>0.99914419999999904</v>
      </c>
      <c r="Y493">
        <v>0.21539510000000001</v>
      </c>
      <c r="Z493">
        <v>-2.6440280000000001E-3</v>
      </c>
      <c r="AA493">
        <v>0.97652340000000004</v>
      </c>
      <c r="AB493">
        <v>61</v>
      </c>
      <c r="AC493">
        <v>41.1039999999999</v>
      </c>
      <c r="AD493">
        <v>-1.1547350000000001</v>
      </c>
      <c r="AE493">
        <v>-9.6399000000000097</v>
      </c>
      <c r="AF493">
        <v>9.1566559443065803</v>
      </c>
      <c r="AG493">
        <v>-1.1547350000000001</v>
      </c>
      <c r="AH493">
        <v>41.182014321436299</v>
      </c>
      <c r="AI493">
        <v>91.567872041442598</v>
      </c>
      <c r="AJ493">
        <v>77.464434543375901</v>
      </c>
      <c r="AK493">
        <v>42.203507728311003</v>
      </c>
    </row>
    <row r="494" spans="1:37" x14ac:dyDescent="0.2">
      <c r="A494" t="str">
        <f>"20200111153413908"</f>
        <v>20200111153413908</v>
      </c>
      <c r="B494" t="str">
        <f>"1578728053896762"</f>
        <v>1578728053896762</v>
      </c>
      <c r="C494" t="s">
        <v>37</v>
      </c>
      <c r="D494">
        <v>4.9172659999999997</v>
      </c>
      <c r="E494">
        <v>0.58079709999999996</v>
      </c>
      <c r="F494" t="s">
        <v>38</v>
      </c>
      <c r="G494">
        <v>-289.53199999999998</v>
      </c>
      <c r="H494">
        <v>-0.05</v>
      </c>
      <c r="I494">
        <v>357.55970000000002</v>
      </c>
      <c r="J494">
        <v>-330.69880000000001</v>
      </c>
      <c r="K494">
        <v>1.104743</v>
      </c>
      <c r="L494">
        <v>367.25599999999997</v>
      </c>
      <c r="M494">
        <v>0.99980990000000003</v>
      </c>
      <c r="N494">
        <v>0</v>
      </c>
      <c r="O494">
        <v>-1.136008E-2</v>
      </c>
      <c r="P494">
        <v>0.99950090000000003</v>
      </c>
      <c r="Q494">
        <v>2.5704149999999999E-2</v>
      </c>
      <c r="R494">
        <v>-1.837217E-2</v>
      </c>
      <c r="S494">
        <v>2.991028</v>
      </c>
      <c r="T494">
        <v>-8.3292130000000006E-2</v>
      </c>
      <c r="U494">
        <v>-0.69964599999999999</v>
      </c>
      <c r="V494">
        <v>6.9439200000000001E-3</v>
      </c>
      <c r="W494">
        <v>4.1560899999999998E-2</v>
      </c>
      <c r="X494">
        <v>0.99911179999999999</v>
      </c>
      <c r="Y494">
        <v>0.21661369999999999</v>
      </c>
      <c r="Z494">
        <v>-2.6633270000000001E-3</v>
      </c>
      <c r="AA494">
        <v>0.9762537</v>
      </c>
      <c r="AB494">
        <v>61</v>
      </c>
      <c r="AC494">
        <v>41.166800000000002</v>
      </c>
      <c r="AD494">
        <v>-1.1547430000000001</v>
      </c>
      <c r="AE494">
        <v>-9.6962999999999493</v>
      </c>
      <c r="AF494">
        <v>9.2210832947099597</v>
      </c>
      <c r="AG494">
        <v>-1.1547430000000001</v>
      </c>
      <c r="AH494">
        <v>41.243561862781597</v>
      </c>
      <c r="AI494">
        <v>91.565135467371405</v>
      </c>
      <c r="AJ494">
        <v>77.397281102917404</v>
      </c>
      <c r="AK494">
        <v>42.277573294278803</v>
      </c>
    </row>
    <row r="495" spans="1:37" x14ac:dyDescent="0.2">
      <c r="A495" t="str">
        <f>"20200111153413920"</f>
        <v>20200111153413920</v>
      </c>
      <c r="B495" t="str">
        <f>"1578728053917257"</f>
        <v>1578728053917257</v>
      </c>
      <c r="C495" t="s">
        <v>37</v>
      </c>
      <c r="D495">
        <v>4.8914299999999997</v>
      </c>
      <c r="E495">
        <v>0.5811771</v>
      </c>
      <c r="F495" t="s">
        <v>38</v>
      </c>
      <c r="G495">
        <v>-288.19850000000002</v>
      </c>
      <c r="H495">
        <v>-0.05</v>
      </c>
      <c r="I495">
        <v>357.27609999999999</v>
      </c>
      <c r="J495">
        <v>-330.3689</v>
      </c>
      <c r="K495">
        <v>1.104751</v>
      </c>
      <c r="L495">
        <v>367.25220000000002</v>
      </c>
      <c r="M495">
        <v>0.99981229999999999</v>
      </c>
      <c r="N495">
        <v>0</v>
      </c>
      <c r="O495">
        <v>-1.112542E-2</v>
      </c>
      <c r="P495">
        <v>0.99947359999999896</v>
      </c>
      <c r="Q495">
        <v>2.6711410000000001E-2</v>
      </c>
      <c r="R495">
        <v>-1.8408440000000002E-2</v>
      </c>
      <c r="S495">
        <v>2.9906919999999899</v>
      </c>
      <c r="T495">
        <v>-8.1257940000000001E-2</v>
      </c>
      <c r="U495">
        <v>-0.70227050000000002</v>
      </c>
      <c r="V495">
        <v>7.2131169999999998E-3</v>
      </c>
      <c r="W495">
        <v>4.2574710000000002E-2</v>
      </c>
      <c r="X495">
        <v>0.99906719999999904</v>
      </c>
      <c r="Y495">
        <v>0.21768219999999999</v>
      </c>
      <c r="Z495">
        <v>-2.6189379999999999E-3</v>
      </c>
      <c r="AA495">
        <v>0.9760162</v>
      </c>
      <c r="AB495">
        <v>61</v>
      </c>
      <c r="AC495">
        <v>42.170399999999901</v>
      </c>
      <c r="AD495">
        <v>-1.1547510000000001</v>
      </c>
      <c r="AE495">
        <v>-9.9761000000000202</v>
      </c>
      <c r="AF495">
        <v>9.4995144958230107</v>
      </c>
      <c r="AG495">
        <v>-1.1547510000000001</v>
      </c>
      <c r="AH495">
        <v>42.248791342280299</v>
      </c>
      <c r="AI495">
        <v>91.527510272225697</v>
      </c>
      <c r="AJ495">
        <v>77.327959971622207</v>
      </c>
      <c r="AK495">
        <v>43.318986546454298</v>
      </c>
    </row>
    <row r="496" spans="1:37" x14ac:dyDescent="0.2">
      <c r="A496" t="str">
        <f>"20200111153413931"</f>
        <v>20200111153413931</v>
      </c>
      <c r="B496" t="str">
        <f>"1578728053927018"</f>
        <v>1578728053927018</v>
      </c>
      <c r="C496" t="s">
        <v>37</v>
      </c>
      <c r="D496">
        <v>4.9642559999999998</v>
      </c>
      <c r="E496">
        <v>0.58104119999999904</v>
      </c>
      <c r="F496" t="s">
        <v>38</v>
      </c>
      <c r="G496">
        <v>-286.17</v>
      </c>
      <c r="H496">
        <v>-0.05</v>
      </c>
      <c r="I496">
        <v>356.82510000000002</v>
      </c>
      <c r="J496">
        <v>-330.0489</v>
      </c>
      <c r="K496">
        <v>1.1047579999999999</v>
      </c>
      <c r="L496">
        <v>367.24869999999999</v>
      </c>
      <c r="M496">
        <v>0.99981469999999995</v>
      </c>
      <c r="N496">
        <v>0</v>
      </c>
      <c r="O496">
        <v>-1.089803E-2</v>
      </c>
      <c r="P496">
        <v>0.99946569999999901</v>
      </c>
      <c r="Q496">
        <v>2.7048740000000002E-2</v>
      </c>
      <c r="R496">
        <v>-1.8355239999999998E-2</v>
      </c>
      <c r="S496">
        <v>2.9906619999999999</v>
      </c>
      <c r="T496">
        <v>-7.8134780000000001E-2</v>
      </c>
      <c r="U496">
        <v>-0.70553589999999999</v>
      </c>
      <c r="V496">
        <v>7.3868129999999999E-3</v>
      </c>
      <c r="W496">
        <v>4.2917240000000002E-2</v>
      </c>
      <c r="X496">
        <v>0.99905129999999998</v>
      </c>
      <c r="Y496">
        <v>0.218921</v>
      </c>
      <c r="Z496">
        <v>-2.5398450000000002E-3</v>
      </c>
      <c r="AA496">
        <v>0.97573929999999998</v>
      </c>
      <c r="AB496">
        <v>61</v>
      </c>
      <c r="AC496">
        <v>43.878899999999902</v>
      </c>
      <c r="AD496">
        <v>-1.154758</v>
      </c>
      <c r="AE496">
        <v>-10.423599999999899</v>
      </c>
      <c r="AF496">
        <v>9.9382117086141601</v>
      </c>
      <c r="AG496">
        <v>-1.154758</v>
      </c>
      <c r="AH496">
        <v>43.961084363765998</v>
      </c>
      <c r="AI496">
        <v>91.467664417698998</v>
      </c>
      <c r="AJ496">
        <v>77.261365085182604</v>
      </c>
      <c r="AK496">
        <v>45.085235459537699</v>
      </c>
    </row>
    <row r="497" spans="1:37" x14ac:dyDescent="0.2">
      <c r="A497" t="str">
        <f>"20200111153413943"</f>
        <v>20200111153413943</v>
      </c>
      <c r="B497" t="str">
        <f>"1578728053936778"</f>
        <v>1578728053936778</v>
      </c>
      <c r="C497" t="s">
        <v>37</v>
      </c>
      <c r="D497">
        <v>4.7684280000000001</v>
      </c>
      <c r="E497">
        <v>0.58104119999999904</v>
      </c>
      <c r="F497" t="s">
        <v>38</v>
      </c>
      <c r="G497">
        <v>-285.02670000000001</v>
      </c>
      <c r="H497">
        <v>-0.05</v>
      </c>
      <c r="I497">
        <v>356.64339999999999</v>
      </c>
      <c r="J497">
        <v>-329.73020000000002</v>
      </c>
      <c r="K497">
        <v>1.1047639999999901</v>
      </c>
      <c r="L497">
        <v>367.24529999999999</v>
      </c>
      <c r="M497">
        <v>0.99981710000000001</v>
      </c>
      <c r="N497">
        <v>0</v>
      </c>
      <c r="O497">
        <v>-1.0671470000000001E-2</v>
      </c>
      <c r="P497">
        <v>0.99946279999999998</v>
      </c>
      <c r="Q497">
        <v>2.7557990000000001E-2</v>
      </c>
      <c r="R497">
        <v>-1.7739029999999999E-2</v>
      </c>
      <c r="S497">
        <v>2.99075299999999</v>
      </c>
      <c r="T497">
        <v>-7.6708789999999999E-2</v>
      </c>
      <c r="U497">
        <v>-0.70449830000000002</v>
      </c>
      <c r="V497">
        <v>6.9965849999999996E-3</v>
      </c>
      <c r="W497">
        <v>4.3429839999999997E-2</v>
      </c>
      <c r="X497">
        <v>0.99903199999999903</v>
      </c>
      <c r="Y497">
        <v>0.21881709999999999</v>
      </c>
      <c r="Z497">
        <v>-2.4979439999999898E-3</v>
      </c>
      <c r="AA497">
        <v>0.97576269999999998</v>
      </c>
      <c r="AB497">
        <v>61</v>
      </c>
      <c r="AC497">
        <v>44.703499999999998</v>
      </c>
      <c r="AD497">
        <v>-1.1547639999999999</v>
      </c>
      <c r="AE497">
        <v>-10.601900000000001</v>
      </c>
      <c r="AF497">
        <v>10.1177921859147</v>
      </c>
      <c r="AG497">
        <v>-1.1547639999999999</v>
      </c>
      <c r="AH497">
        <v>44.785812959730997</v>
      </c>
      <c r="AI497">
        <v>91.440703885943506</v>
      </c>
      <c r="AJ497">
        <v>77.269720428005698</v>
      </c>
      <c r="AK497">
        <v>45.9289912917436</v>
      </c>
    </row>
    <row r="498" spans="1:37" x14ac:dyDescent="0.2">
      <c r="A498" t="str">
        <f>"20200111153413955"</f>
        <v>20200111153413955</v>
      </c>
      <c r="B498" t="str">
        <f>"1578728053947513"</f>
        <v>1578728053947513</v>
      </c>
      <c r="C498" t="s">
        <v>37</v>
      </c>
      <c r="D498">
        <v>4.8628749999999998</v>
      </c>
      <c r="E498">
        <v>0.51956420000000003</v>
      </c>
      <c r="F498" t="s">
        <v>38</v>
      </c>
      <c r="G498">
        <v>-283.76859999999999</v>
      </c>
      <c r="H498">
        <v>-0.05</v>
      </c>
      <c r="I498">
        <v>356.45170000000002</v>
      </c>
      <c r="J498">
        <v>-329.38440000000003</v>
      </c>
      <c r="K498">
        <v>1.1047719999999901</v>
      </c>
      <c r="L498">
        <v>367.24169999999998</v>
      </c>
      <c r="M498">
        <v>0.99981980000000004</v>
      </c>
      <c r="N498">
        <v>0</v>
      </c>
      <c r="O498">
        <v>-1.0425830000000001E-2</v>
      </c>
      <c r="P498">
        <v>0.99946859999999904</v>
      </c>
      <c r="Q498">
        <v>2.803332E-2</v>
      </c>
      <c r="R498">
        <v>-1.664411E-2</v>
      </c>
      <c r="S498">
        <v>2.9911799999999999</v>
      </c>
      <c r="T498">
        <v>-7.5152159999999996E-2</v>
      </c>
      <c r="U498">
        <v>-0.70245360000000001</v>
      </c>
      <c r="V498">
        <v>6.1463179999999996E-3</v>
      </c>
      <c r="W498">
        <v>4.3908610000000001E-2</v>
      </c>
      <c r="X498">
        <v>0.99901659999999903</v>
      </c>
      <c r="Y498">
        <v>0.21839629999999999</v>
      </c>
      <c r="Z498">
        <v>-2.4479879999999999E-3</v>
      </c>
      <c r="AA498">
        <v>0.97585710000000003</v>
      </c>
      <c r="AB498">
        <v>61</v>
      </c>
      <c r="AC498">
        <v>45.6158</v>
      </c>
      <c r="AD498">
        <v>-1.1547719999999999</v>
      </c>
      <c r="AE498">
        <v>-10.7899999999999</v>
      </c>
      <c r="AF498">
        <v>10.3075153368484</v>
      </c>
      <c r="AG498">
        <v>-1.1547719999999999</v>
      </c>
      <c r="AH498">
        <v>45.698094778866</v>
      </c>
      <c r="AI498">
        <v>91.412072948543894</v>
      </c>
      <c r="AJ498">
        <v>77.289255892827398</v>
      </c>
      <c r="AK498">
        <v>46.860369580377501</v>
      </c>
    </row>
    <row r="499" spans="1:37" x14ac:dyDescent="0.2">
      <c r="A499" t="str">
        <f>"20200111153413967"</f>
        <v>20200111153413967</v>
      </c>
      <c r="B499" t="str">
        <f>"1578728053957274"</f>
        <v>1578728053957274</v>
      </c>
      <c r="C499" t="s">
        <v>37</v>
      </c>
      <c r="D499">
        <v>4.9020449999999904</v>
      </c>
      <c r="E499">
        <v>0.51956420000000003</v>
      </c>
      <c r="F499" t="s">
        <v>38</v>
      </c>
      <c r="G499">
        <v>-296.95679999999999</v>
      </c>
      <c r="H499">
        <v>-0.05</v>
      </c>
      <c r="I499">
        <v>364.97800000000001</v>
      </c>
      <c r="J499">
        <v>-329.0718</v>
      </c>
      <c r="K499">
        <v>1.104773</v>
      </c>
      <c r="L499">
        <v>367.23849999999999</v>
      </c>
      <c r="M499">
        <v>0.99982190000000004</v>
      </c>
      <c r="N499">
        <v>0</v>
      </c>
      <c r="O499">
        <v>-1.0203189999999999E-2</v>
      </c>
      <c r="P499">
        <v>0.99947949999999997</v>
      </c>
      <c r="Q499">
        <v>2.8408929999999999E-2</v>
      </c>
      <c r="R499">
        <v>-1.5291999999999899E-2</v>
      </c>
      <c r="S499">
        <v>3.001099</v>
      </c>
      <c r="T499">
        <v>-0.1068712</v>
      </c>
      <c r="U499">
        <v>-0.2095032</v>
      </c>
      <c r="V499">
        <v>5.0163020000000003E-3</v>
      </c>
      <c r="W499">
        <v>4.4284940000000002E-2</v>
      </c>
      <c r="X499">
        <v>0.99900630000000001</v>
      </c>
      <c r="Y499">
        <v>5.9424970000000001E-2</v>
      </c>
      <c r="Z499">
        <v>-6.9366770000000005E-4</v>
      </c>
      <c r="AA499">
        <v>0.99823249999999997</v>
      </c>
      <c r="AB499">
        <v>61</v>
      </c>
      <c r="AC499">
        <v>32.115000000000002</v>
      </c>
      <c r="AD499">
        <v>-1.154773</v>
      </c>
      <c r="AE499">
        <v>-2.2604999999999702</v>
      </c>
      <c r="AF499">
        <v>1.9301822495091601</v>
      </c>
      <c r="AG499">
        <v>-1.154773</v>
      </c>
      <c r="AH499">
        <v>32.095102717598898</v>
      </c>
      <c r="AI499">
        <v>92.056884509942705</v>
      </c>
      <c r="AJ499">
        <v>86.558407713102895</v>
      </c>
      <c r="AK499">
        <v>32.173820454696902</v>
      </c>
    </row>
    <row r="500" spans="1:37" x14ac:dyDescent="0.2">
      <c r="A500" t="str">
        <f>"20200111153413978"</f>
        <v>20200111153413978</v>
      </c>
      <c r="B500" t="str">
        <f>"1578728053967033"</f>
        <v>1578728053967033</v>
      </c>
      <c r="C500" t="s">
        <v>37</v>
      </c>
      <c r="D500">
        <v>4.9927950000000001</v>
      </c>
      <c r="E500">
        <v>0.4588602</v>
      </c>
      <c r="F500" t="s">
        <v>38</v>
      </c>
      <c r="G500">
        <v>-296.29950000000002</v>
      </c>
      <c r="H500">
        <v>-0.05</v>
      </c>
      <c r="I500">
        <v>364.99470000000002</v>
      </c>
      <c r="J500">
        <v>-328.767</v>
      </c>
      <c r="K500">
        <v>1.104776</v>
      </c>
      <c r="L500">
        <v>367.23540000000003</v>
      </c>
      <c r="M500">
        <v>0.99982399999999905</v>
      </c>
      <c r="N500">
        <v>0</v>
      </c>
      <c r="O500">
        <v>-9.9860379999999992E-3</v>
      </c>
      <c r="P500">
        <v>0.99948440000000005</v>
      </c>
      <c r="Q500">
        <v>2.878826E-2</v>
      </c>
      <c r="R500">
        <v>-1.421687E-2</v>
      </c>
      <c r="S500">
        <v>3.001465</v>
      </c>
      <c r="T500">
        <v>-0.1057603</v>
      </c>
      <c r="U500">
        <v>-0.2055054</v>
      </c>
      <c r="V500">
        <v>4.1577699999999999E-3</v>
      </c>
      <c r="W500">
        <v>4.4666030000000002E-2</v>
      </c>
      <c r="X500">
        <v>0.99899329999999997</v>
      </c>
      <c r="Y500">
        <v>5.8311210000000002E-2</v>
      </c>
      <c r="Z500">
        <v>-6.7445530000000001E-4</v>
      </c>
      <c r="AA500">
        <v>0.99829820000000002</v>
      </c>
      <c r="AB500">
        <v>61</v>
      </c>
      <c r="AC500">
        <v>32.467499999999902</v>
      </c>
      <c r="AD500">
        <v>-1.154776</v>
      </c>
      <c r="AE500">
        <v>-2.2406999999999999</v>
      </c>
      <c r="AF500">
        <v>1.9139159906779699</v>
      </c>
      <c r="AG500">
        <v>-1.154776</v>
      </c>
      <c r="AH500">
        <v>32.447407160126602</v>
      </c>
      <c r="AI500">
        <v>92.034714888148898</v>
      </c>
      <c r="AJ500">
        <v>86.624309748877806</v>
      </c>
      <c r="AK500">
        <v>32.5243111140664</v>
      </c>
    </row>
    <row r="501" spans="1:37" x14ac:dyDescent="0.2">
      <c r="A501" t="str">
        <f>"20200111153413995"</f>
        <v>20200111153413995</v>
      </c>
      <c r="B501" t="str">
        <f>"1578728053986553"</f>
        <v>1578728053986553</v>
      </c>
      <c r="C501" t="s">
        <v>37</v>
      </c>
      <c r="D501">
        <v>4.8832329999999997</v>
      </c>
      <c r="E501">
        <v>0.45810609999999902</v>
      </c>
      <c r="F501" t="s">
        <v>38</v>
      </c>
      <c r="G501">
        <v>-301.75099999999998</v>
      </c>
      <c r="H501">
        <v>-0.05</v>
      </c>
      <c r="I501">
        <v>369.76260000000002</v>
      </c>
      <c r="J501">
        <v>-328.30799999999999</v>
      </c>
      <c r="K501">
        <v>1.1047799999999901</v>
      </c>
      <c r="L501">
        <v>367.23090000000002</v>
      </c>
      <c r="M501">
        <v>0.99982729999999997</v>
      </c>
      <c r="N501">
        <v>0</v>
      </c>
      <c r="O501">
        <v>-9.6589889999999998E-3</v>
      </c>
      <c r="P501">
        <v>0.99952059999999998</v>
      </c>
      <c r="Q501">
        <v>2.888315E-2</v>
      </c>
      <c r="R501">
        <v>-1.1170869999999999E-2</v>
      </c>
      <c r="S501">
        <v>3.0092469999999998</v>
      </c>
      <c r="T501">
        <v>-0.12862779999999999</v>
      </c>
      <c r="U501">
        <v>0.28149409999999903</v>
      </c>
      <c r="V501">
        <v>1.4381189999999901E-3</v>
      </c>
      <c r="W501">
        <v>4.4760349999999997E-2</v>
      </c>
      <c r="X501">
        <v>0.99899669999999896</v>
      </c>
      <c r="Y501">
        <v>-0.10264860000000001</v>
      </c>
      <c r="Z501">
        <v>2.599919E-3</v>
      </c>
      <c r="AA501">
        <v>0.99471430000000005</v>
      </c>
      <c r="AB501">
        <v>61</v>
      </c>
      <c r="AC501">
        <v>26.556999999999999</v>
      </c>
      <c r="AD501">
        <v>-1.1547799999999999</v>
      </c>
      <c r="AE501">
        <v>2.5316999999999998</v>
      </c>
      <c r="AF501">
        <v>-2.7829134939946498</v>
      </c>
      <c r="AG501">
        <v>-1.1547799999999999</v>
      </c>
      <c r="AH501">
        <v>26.481684048085601</v>
      </c>
      <c r="AI501">
        <v>92.483243507604897</v>
      </c>
      <c r="AJ501">
        <v>95.999093390528799</v>
      </c>
      <c r="AK501">
        <v>26.652536734541599</v>
      </c>
    </row>
    <row r="502" spans="1:37" x14ac:dyDescent="0.2">
      <c r="A502" t="str">
        <f>"20200111153414008"</f>
        <v>20200111153414008</v>
      </c>
      <c r="B502" t="str">
        <f>"1578728053997289"</f>
        <v>1578728053997289</v>
      </c>
      <c r="C502" t="s">
        <v>37</v>
      </c>
      <c r="D502">
        <v>4.8448330000000004</v>
      </c>
      <c r="E502">
        <v>0.45880359999999998</v>
      </c>
      <c r="F502" t="s">
        <v>38</v>
      </c>
      <c r="G502">
        <v>-302.86020000000002</v>
      </c>
      <c r="H502">
        <v>-0.05</v>
      </c>
      <c r="I502">
        <v>369.73880000000003</v>
      </c>
      <c r="J502">
        <v>-327.96609999999998</v>
      </c>
      <c r="K502">
        <v>1.104781</v>
      </c>
      <c r="L502">
        <v>367.22770000000003</v>
      </c>
      <c r="M502">
        <v>0.99982950000000004</v>
      </c>
      <c r="N502">
        <v>0</v>
      </c>
      <c r="O502">
        <v>-9.4154819999999993E-3</v>
      </c>
      <c r="P502">
        <v>0.99953609999999904</v>
      </c>
      <c r="Q502">
        <v>2.8878290000000001E-2</v>
      </c>
      <c r="R502">
        <v>-9.6813909999999993E-3</v>
      </c>
      <c r="S502">
        <v>3.0086979999999999</v>
      </c>
      <c r="T502">
        <v>-0.1365297</v>
      </c>
      <c r="U502">
        <v>0.29650879999999902</v>
      </c>
      <c r="V502">
        <v>1.9220559999999999E-4</v>
      </c>
      <c r="W502">
        <v>4.4755589999999998E-2</v>
      </c>
      <c r="X502">
        <v>0.998997899999999</v>
      </c>
      <c r="Y502">
        <v>-0.107323399999999</v>
      </c>
      <c r="Z502">
        <v>2.8540620000000001E-3</v>
      </c>
      <c r="AA502">
        <v>0.99422009999999905</v>
      </c>
      <c r="AB502">
        <v>61</v>
      </c>
      <c r="AC502">
        <v>25.105899999999899</v>
      </c>
      <c r="AD502">
        <v>-1.1547810000000001</v>
      </c>
      <c r="AE502">
        <v>2.5110999999999901</v>
      </c>
      <c r="AF502">
        <v>-2.7416596502770099</v>
      </c>
      <c r="AG502">
        <v>-1.1547810000000001</v>
      </c>
      <c r="AH502">
        <v>25.0287126864811</v>
      </c>
      <c r="AI502">
        <v>92.625968078935202</v>
      </c>
      <c r="AJ502">
        <v>96.251288941741606</v>
      </c>
      <c r="AK502">
        <v>25.204893880719599</v>
      </c>
    </row>
    <row r="503" spans="1:37" x14ac:dyDescent="0.2">
      <c r="A503" t="str">
        <f>"20200111153414021"</f>
        <v>20200111153414021</v>
      </c>
      <c r="B503" t="str">
        <f>"1578728054016810"</f>
        <v>1578728054016810</v>
      </c>
      <c r="C503" t="s">
        <v>37</v>
      </c>
      <c r="D503">
        <v>4.8222059999999898</v>
      </c>
      <c r="E503">
        <v>0.46046809999999899</v>
      </c>
      <c r="F503" t="s">
        <v>38</v>
      </c>
      <c r="G503">
        <v>-302.66489999999999</v>
      </c>
      <c r="H503">
        <v>-0.05</v>
      </c>
      <c r="I503">
        <v>369.71120000000002</v>
      </c>
      <c r="J503">
        <v>-327.60239999999999</v>
      </c>
      <c r="K503">
        <v>1.1047799999999901</v>
      </c>
      <c r="L503">
        <v>367.22430000000003</v>
      </c>
      <c r="M503">
        <v>0.9998319</v>
      </c>
      <c r="N503">
        <v>0</v>
      </c>
      <c r="O503">
        <v>-9.1568350000000003E-3</v>
      </c>
      <c r="P503">
        <v>0.99955269999999996</v>
      </c>
      <c r="Q503">
        <v>2.8957489999999999E-2</v>
      </c>
      <c r="R503">
        <v>-7.4868299999999999E-3</v>
      </c>
      <c r="S503">
        <v>3.0082399999999998</v>
      </c>
      <c r="T503">
        <v>-0.13730020000000001</v>
      </c>
      <c r="U503">
        <v>0.2952881</v>
      </c>
      <c r="V503">
        <v>-1.74377E-3</v>
      </c>
      <c r="W503">
        <v>4.4833709999999999E-2</v>
      </c>
      <c r="X503">
        <v>0.99899289999999996</v>
      </c>
      <c r="Y503">
        <v>-0.1066809</v>
      </c>
      <c r="Z503">
        <v>2.8442479999999902E-3</v>
      </c>
      <c r="AA503">
        <v>0.99428919999999998</v>
      </c>
      <c r="AB503">
        <v>61</v>
      </c>
      <c r="AC503">
        <v>24.9375</v>
      </c>
      <c r="AD503">
        <v>-1.1547799999999999</v>
      </c>
      <c r="AE503">
        <v>2.4868999999999901</v>
      </c>
      <c r="AF503">
        <v>-2.7094204040683501</v>
      </c>
      <c r="AG503">
        <v>-1.1547799999999999</v>
      </c>
      <c r="AH503">
        <v>24.860894096986499</v>
      </c>
      <c r="AI503">
        <v>92.643825683733397</v>
      </c>
      <c r="AJ503">
        <v>96.219731687355093</v>
      </c>
      <c r="AK503">
        <v>25.0347464751685</v>
      </c>
    </row>
    <row r="504" spans="1:37" x14ac:dyDescent="0.2">
      <c r="A504" t="str">
        <f>"20200111153414034"</f>
        <v>20200111153414034</v>
      </c>
      <c r="B504" t="str">
        <f>"1578728054026569"</f>
        <v>1578728054026569</v>
      </c>
      <c r="C504" t="s">
        <v>37</v>
      </c>
      <c r="D504">
        <v>4.8948450000000001</v>
      </c>
      <c r="E504">
        <v>0.46087600000000001</v>
      </c>
      <c r="F504" t="s">
        <v>38</v>
      </c>
      <c r="G504">
        <v>-302.36590000000001</v>
      </c>
      <c r="H504">
        <v>-0.05</v>
      </c>
      <c r="I504">
        <v>369.6465</v>
      </c>
      <c r="J504">
        <v>-327.2328</v>
      </c>
      <c r="K504">
        <v>1.104776</v>
      </c>
      <c r="L504">
        <v>367.221</v>
      </c>
      <c r="M504">
        <v>0.99983419999999901</v>
      </c>
      <c r="N504">
        <v>0</v>
      </c>
      <c r="O504">
        <v>-8.8935379999999994E-3</v>
      </c>
      <c r="P504">
        <v>0.99957779999999996</v>
      </c>
      <c r="Q504">
        <v>2.8546220000000001E-2</v>
      </c>
      <c r="R504">
        <v>-5.4171200000000001E-3</v>
      </c>
      <c r="S504">
        <v>3.0074770000000002</v>
      </c>
      <c r="T504">
        <v>-0.13761689999999999</v>
      </c>
      <c r="U504">
        <v>0.28866579999999997</v>
      </c>
      <c r="V504">
        <v>-3.5497009999999902E-3</v>
      </c>
      <c r="W504">
        <v>4.4421179999999998E-2</v>
      </c>
      <c r="X504">
        <v>0.99900659999999897</v>
      </c>
      <c r="Y504">
        <v>-0.10427639999999901</v>
      </c>
      <c r="Z504">
        <v>2.7849469999999999E-3</v>
      </c>
      <c r="AA504">
        <v>0.9945444</v>
      </c>
      <c r="AB504">
        <v>61</v>
      </c>
      <c r="AC504">
        <v>24.866899999999902</v>
      </c>
      <c r="AD504">
        <v>-1.154776</v>
      </c>
      <c r="AE504">
        <v>2.4254999999999902</v>
      </c>
      <c r="AF504">
        <v>-2.64094513428119</v>
      </c>
      <c r="AG504">
        <v>-1.154776</v>
      </c>
      <c r="AH504">
        <v>24.791383201397601</v>
      </c>
      <c r="AI504">
        <v>92.6519116158195</v>
      </c>
      <c r="AJ504">
        <v>96.080600797111501</v>
      </c>
      <c r="AK504">
        <v>24.9583809541204</v>
      </c>
    </row>
    <row r="505" spans="1:37" x14ac:dyDescent="0.2">
      <c r="A505" t="str">
        <f>"20200111153414046"</f>
        <v>20200111153414046</v>
      </c>
      <c r="B505" t="str">
        <f>"1578728054037305"</f>
        <v>1578728054037305</v>
      </c>
      <c r="C505" t="s">
        <v>37</v>
      </c>
      <c r="D505">
        <v>4.8131240000000002</v>
      </c>
      <c r="E505">
        <v>0.46163539999999997</v>
      </c>
      <c r="F505" t="s">
        <v>38</v>
      </c>
      <c r="G505">
        <v>-302.04750000000001</v>
      </c>
      <c r="H505">
        <v>-0.05</v>
      </c>
      <c r="I505">
        <v>369.66399999999999</v>
      </c>
      <c r="J505">
        <v>-326.91629999999998</v>
      </c>
      <c r="K505">
        <v>1.104773</v>
      </c>
      <c r="L505">
        <v>367.2183</v>
      </c>
      <c r="M505">
        <v>0.99983619999999995</v>
      </c>
      <c r="N505">
        <v>0</v>
      </c>
      <c r="O505">
        <v>-8.6680209999999997E-3</v>
      </c>
      <c r="P505">
        <v>0.99959480000000001</v>
      </c>
      <c r="Q505">
        <v>2.8275680000000001E-2</v>
      </c>
      <c r="R505">
        <v>-3.3527769999999999E-3</v>
      </c>
      <c r="S505">
        <v>3.0068049999999999</v>
      </c>
      <c r="T505">
        <v>-0.1378655</v>
      </c>
      <c r="U505">
        <v>0.29165649999999999</v>
      </c>
      <c r="V505">
        <v>-5.3880450000000002E-3</v>
      </c>
      <c r="W505">
        <v>4.4148710000000001E-2</v>
      </c>
      <c r="X505">
        <v>0.99901039999999997</v>
      </c>
      <c r="Y505">
        <v>-0.1050523</v>
      </c>
      <c r="Z505">
        <v>2.7978829999999902E-3</v>
      </c>
      <c r="AA505">
        <v>0.99446279999999998</v>
      </c>
      <c r="AB505">
        <v>61</v>
      </c>
      <c r="AC505">
        <v>24.868799999999901</v>
      </c>
      <c r="AD505">
        <v>-1.154773</v>
      </c>
      <c r="AE505">
        <v>2.44569999999998</v>
      </c>
      <c r="AF505">
        <v>-2.6555276607773299</v>
      </c>
      <c r="AG505">
        <v>-1.154773</v>
      </c>
      <c r="AH505">
        <v>24.793715984047601</v>
      </c>
      <c r="AI505">
        <v>92.651493914959005</v>
      </c>
      <c r="AJ505">
        <v>96.113351604508296</v>
      </c>
      <c r="AK505">
        <v>24.962245094067601</v>
      </c>
    </row>
    <row r="506" spans="1:37" x14ac:dyDescent="0.2">
      <c r="A506" t="str">
        <f>"20200111153414061"</f>
        <v>20200111153414061</v>
      </c>
      <c r="B506" t="str">
        <f>"1578728054056825"</f>
        <v>1578728054056825</v>
      </c>
      <c r="C506" t="s">
        <v>37</v>
      </c>
      <c r="D506">
        <v>4.8736699999999997</v>
      </c>
      <c r="E506">
        <v>0.4628679</v>
      </c>
      <c r="F506" t="s">
        <v>38</v>
      </c>
      <c r="G506">
        <v>-301.72890000000001</v>
      </c>
      <c r="H506">
        <v>-0.05</v>
      </c>
      <c r="I506">
        <v>369.66379999999998</v>
      </c>
      <c r="J506">
        <v>-326.49849999999998</v>
      </c>
      <c r="K506">
        <v>1.1047610000000001</v>
      </c>
      <c r="L506">
        <v>367.21469999999999</v>
      </c>
      <c r="M506">
        <v>0.99983880000000003</v>
      </c>
      <c r="N506">
        <v>0</v>
      </c>
      <c r="O506">
        <v>-8.3706279999999997E-3</v>
      </c>
      <c r="P506">
        <v>0.99961169999999999</v>
      </c>
      <c r="Q506">
        <v>2.78591999999999E-2</v>
      </c>
      <c r="R506">
        <v>6.233012E-4</v>
      </c>
      <c r="S506">
        <v>3.0061339999999999</v>
      </c>
      <c r="T506">
        <v>-0.1378229</v>
      </c>
      <c r="U506">
        <v>0.29187009999999902</v>
      </c>
      <c r="V506">
        <v>-9.0661860000000004E-3</v>
      </c>
      <c r="W506">
        <v>4.372711E-2</v>
      </c>
      <c r="X506">
        <v>0.99900239999999996</v>
      </c>
      <c r="Y506">
        <v>-0.10484839999999999</v>
      </c>
      <c r="Z506">
        <v>2.7793700000000002E-3</v>
      </c>
      <c r="AA506">
        <v>0.99448440000000005</v>
      </c>
      <c r="AB506">
        <v>61</v>
      </c>
      <c r="AC506">
        <v>24.769599999999901</v>
      </c>
      <c r="AD506">
        <v>-1.1547609999999999</v>
      </c>
      <c r="AE506">
        <v>2.4490999999999801</v>
      </c>
      <c r="AF506">
        <v>-2.6506721629363801</v>
      </c>
      <c r="AG506">
        <v>-1.1547609999999999</v>
      </c>
      <c r="AH506">
        <v>24.695075459274399</v>
      </c>
      <c r="AI506">
        <v>92.661976909962803</v>
      </c>
      <c r="AJ506">
        <v>96.126447558576999</v>
      </c>
      <c r="AK506">
        <v>24.863754499707898</v>
      </c>
    </row>
    <row r="507" spans="1:37" x14ac:dyDescent="0.2">
      <c r="A507" t="str">
        <f>"20200111153414073"</f>
        <v>20200111153414073</v>
      </c>
      <c r="B507" t="str">
        <f>"1578728054066586"</f>
        <v>1578728054066586</v>
      </c>
      <c r="C507" t="s">
        <v>37</v>
      </c>
      <c r="D507">
        <v>4.8446699999999998</v>
      </c>
      <c r="E507">
        <v>0.46337240000000002</v>
      </c>
      <c r="F507" t="s">
        <v>38</v>
      </c>
      <c r="G507">
        <v>-301.6019</v>
      </c>
      <c r="H507">
        <v>-0.05</v>
      </c>
      <c r="I507">
        <v>369.64949999999999</v>
      </c>
      <c r="J507">
        <v>-326.16359999999997</v>
      </c>
      <c r="K507">
        <v>1.1047579999999999</v>
      </c>
      <c r="L507">
        <v>367.21199999999999</v>
      </c>
      <c r="M507">
        <v>0.99984059999999897</v>
      </c>
      <c r="N507">
        <v>0</v>
      </c>
      <c r="O507">
        <v>-8.1319970000000002E-3</v>
      </c>
      <c r="P507">
        <v>0.99961999999999995</v>
      </c>
      <c r="Q507">
        <v>2.7430570000000001E-2</v>
      </c>
      <c r="R507">
        <v>2.649509E-3</v>
      </c>
      <c r="S507">
        <v>3.0048219999999999</v>
      </c>
      <c r="T507">
        <v>-0.13936999999999999</v>
      </c>
      <c r="U507">
        <v>0.2938538</v>
      </c>
      <c r="V507">
        <v>-1.085321E-2</v>
      </c>
      <c r="W507">
        <v>4.3295970000000003E-2</v>
      </c>
      <c r="X507">
        <v>0.99900339999999999</v>
      </c>
      <c r="Y507">
        <v>-0.10530009999999999</v>
      </c>
      <c r="Z507">
        <v>2.8110740000000002E-3</v>
      </c>
      <c r="AA507">
        <v>0.99443649999999995</v>
      </c>
      <c r="AB507">
        <v>61</v>
      </c>
      <c r="AC507">
        <v>24.561699999999899</v>
      </c>
      <c r="AD507">
        <v>-1.154758</v>
      </c>
      <c r="AE507">
        <v>2.4375</v>
      </c>
      <c r="AF507">
        <v>-2.6314205993828499</v>
      </c>
      <c r="AG507">
        <v>-1.154758</v>
      </c>
      <c r="AH507">
        <v>24.487464902175599</v>
      </c>
      <c r="AI507">
        <v>92.684470697729907</v>
      </c>
      <c r="AJ507">
        <v>96.133462178928397</v>
      </c>
      <c r="AK507">
        <v>24.655501977139</v>
      </c>
    </row>
    <row r="508" spans="1:37" x14ac:dyDescent="0.2">
      <c r="A508" t="str">
        <f>"20200111153414085"</f>
        <v>20200111153414085</v>
      </c>
      <c r="B508" t="str">
        <f>"1578728054077321"</f>
        <v>1578728054077321</v>
      </c>
      <c r="C508" t="s">
        <v>37</v>
      </c>
      <c r="D508">
        <v>4.8253909999999998</v>
      </c>
      <c r="E508">
        <v>0.4638196</v>
      </c>
      <c r="F508" t="s">
        <v>38</v>
      </c>
      <c r="G508">
        <v>-301.48680000000002</v>
      </c>
      <c r="H508">
        <v>-0.05</v>
      </c>
      <c r="I508">
        <v>369.64049999999997</v>
      </c>
      <c r="J508">
        <v>-325.8596</v>
      </c>
      <c r="K508">
        <v>1.1047559999999901</v>
      </c>
      <c r="L508">
        <v>367.20949999999999</v>
      </c>
      <c r="M508">
        <v>0.99984229999999996</v>
      </c>
      <c r="N508">
        <v>0</v>
      </c>
      <c r="O508">
        <v>-7.9161739999999998E-3</v>
      </c>
      <c r="P508">
        <v>0.99962779999999996</v>
      </c>
      <c r="Q508">
        <v>2.68507999999999E-2</v>
      </c>
      <c r="R508">
        <v>4.84110599999999E-3</v>
      </c>
      <c r="S508">
        <v>3.0042110000000002</v>
      </c>
      <c r="T508">
        <v>-0.14058289999999901</v>
      </c>
      <c r="U508">
        <v>0.29565429999999998</v>
      </c>
      <c r="V508">
        <v>-1.2828020000000001E-2</v>
      </c>
      <c r="W508">
        <v>4.2719060000000003E-2</v>
      </c>
      <c r="X508">
        <v>0.99900480000000003</v>
      </c>
      <c r="Y508">
        <v>-0.105693</v>
      </c>
      <c r="Z508">
        <v>2.8350950000000001E-3</v>
      </c>
      <c r="AA508">
        <v>0.99439480000000002</v>
      </c>
      <c r="AB508">
        <v>61</v>
      </c>
      <c r="AC508">
        <v>24.372799999999899</v>
      </c>
      <c r="AD508">
        <v>-1.1547559999999999</v>
      </c>
      <c r="AE508">
        <v>2.4309999999999801</v>
      </c>
      <c r="AF508">
        <v>-2.61806847803929</v>
      </c>
      <c r="AG508">
        <v>-1.1547559999999999</v>
      </c>
      <c r="AH508">
        <v>24.298781874974502</v>
      </c>
      <c r="AI508">
        <v>92.705198543235298</v>
      </c>
      <c r="AJ508">
        <v>96.149601277999906</v>
      </c>
      <c r="AK508">
        <v>24.466682337064601</v>
      </c>
    </row>
    <row r="509" spans="1:37" x14ac:dyDescent="0.2">
      <c r="A509" t="str">
        <f>"20200111153414095"</f>
        <v>20200111153414095</v>
      </c>
      <c r="B509" t="str">
        <f>"1578728054087082"</f>
        <v>1578728054087082</v>
      </c>
      <c r="C509" t="s">
        <v>37</v>
      </c>
      <c r="D509">
        <v>4.8399299999999998</v>
      </c>
      <c r="E509">
        <v>0.46438549999999901</v>
      </c>
      <c r="F509" t="s">
        <v>38</v>
      </c>
      <c r="G509">
        <v>-301.26830000000001</v>
      </c>
      <c r="H509">
        <v>-0.05</v>
      </c>
      <c r="I509">
        <v>369.65629999999999</v>
      </c>
      <c r="J509">
        <v>-325.55840000000001</v>
      </c>
      <c r="K509">
        <v>1.104757</v>
      </c>
      <c r="L509">
        <v>367.2072</v>
      </c>
      <c r="M509">
        <v>0.99984390000000001</v>
      </c>
      <c r="N509">
        <v>0</v>
      </c>
      <c r="O509">
        <v>-7.7028869999999899E-3</v>
      </c>
      <c r="P509">
        <v>0.99962479999999998</v>
      </c>
      <c r="Q509">
        <v>2.6542010000000001E-2</v>
      </c>
      <c r="R509">
        <v>6.7808059999999899E-3</v>
      </c>
      <c r="S509">
        <v>3.0034480000000001</v>
      </c>
      <c r="T509">
        <v>-0.14103540000000001</v>
      </c>
      <c r="U509">
        <v>0.29882809999999999</v>
      </c>
      <c r="V509">
        <v>-1.4554050000000001E-2</v>
      </c>
      <c r="W509">
        <v>4.2418930000000001E-2</v>
      </c>
      <c r="X509">
        <v>0.99899389999999999</v>
      </c>
      <c r="Y509">
        <v>-0.1065446</v>
      </c>
      <c r="Z509">
        <v>2.854727E-3</v>
      </c>
      <c r="AA509">
        <v>0.99430379999999996</v>
      </c>
      <c r="AB509">
        <v>61</v>
      </c>
      <c r="AC509">
        <v>24.290099999999899</v>
      </c>
      <c r="AD509">
        <v>-1.154757</v>
      </c>
      <c r="AE509">
        <v>2.4490999999999801</v>
      </c>
      <c r="AF509">
        <v>-2.6302700972988902</v>
      </c>
      <c r="AG509">
        <v>-1.154757</v>
      </c>
      <c r="AH509">
        <v>24.216331764795399</v>
      </c>
      <c r="AI509">
        <v>92.714145284449103</v>
      </c>
      <c r="AJ509">
        <v>96.19891171175</v>
      </c>
      <c r="AK509">
        <v>24.386113028861999</v>
      </c>
    </row>
    <row r="510" spans="1:37" x14ac:dyDescent="0.2">
      <c r="A510" t="str">
        <f>"20200111153414107"</f>
        <v>20200111153414107</v>
      </c>
      <c r="B510" t="str">
        <f>"1578728054096843"</f>
        <v>1578728054096843</v>
      </c>
      <c r="C510" t="s">
        <v>37</v>
      </c>
      <c r="D510">
        <v>4.8695959999999996</v>
      </c>
      <c r="E510">
        <v>0.4648505</v>
      </c>
      <c r="F510" t="s">
        <v>38</v>
      </c>
      <c r="G510">
        <v>-301.10829999999999</v>
      </c>
      <c r="H510">
        <v>-0.05</v>
      </c>
      <c r="I510">
        <v>369.64929999999998</v>
      </c>
      <c r="J510">
        <v>-325.24360000000001</v>
      </c>
      <c r="K510">
        <v>1.104762</v>
      </c>
      <c r="L510">
        <v>367.20490000000001</v>
      </c>
      <c r="M510">
        <v>0.99984509999999904</v>
      </c>
      <c r="N510">
        <v>0</v>
      </c>
      <c r="O510">
        <v>-7.4811039999999997E-3</v>
      </c>
      <c r="P510">
        <v>0.99962209999999996</v>
      </c>
      <c r="Q510">
        <v>2.6096629999999999E-2</v>
      </c>
      <c r="R510">
        <v>8.6598760000000004E-3</v>
      </c>
      <c r="S510">
        <v>3.002869</v>
      </c>
      <c r="T510">
        <v>-0.1418227</v>
      </c>
      <c r="U510">
        <v>0.29992679999999999</v>
      </c>
      <c r="V510">
        <v>-1.6210619999999999E-2</v>
      </c>
      <c r="W510">
        <v>4.1994440000000001E-2</v>
      </c>
      <c r="X510">
        <v>0.99898629999999999</v>
      </c>
      <c r="Y510">
        <v>-0.1067018</v>
      </c>
      <c r="Z510">
        <v>2.8643990000000001E-3</v>
      </c>
      <c r="AA510">
        <v>0.99428700000000003</v>
      </c>
      <c r="AB510">
        <v>61</v>
      </c>
      <c r="AC510">
        <v>24.135300000000001</v>
      </c>
      <c r="AD510">
        <v>-1.1547620000000001</v>
      </c>
      <c r="AE510">
        <v>2.4443999999999702</v>
      </c>
      <c r="AF510">
        <v>-2.6189787499509798</v>
      </c>
      <c r="AG510">
        <v>-1.1547620000000001</v>
      </c>
      <c r="AH510">
        <v>24.061812787086101</v>
      </c>
      <c r="AI510">
        <v>92.731493453288806</v>
      </c>
      <c r="AJ510">
        <v>96.211835983178005</v>
      </c>
      <c r="AK510">
        <v>24.231453930173501</v>
      </c>
    </row>
    <row r="511" spans="1:37" x14ac:dyDescent="0.2">
      <c r="A511" t="str">
        <f>"20200111153414120"</f>
        <v>20200111153414120</v>
      </c>
      <c r="B511" t="str">
        <f>"1578728054106601"</f>
        <v>1578728054106601</v>
      </c>
      <c r="C511" t="s">
        <v>37</v>
      </c>
      <c r="D511">
        <v>4.8544660000000004</v>
      </c>
      <c r="E511">
        <v>0.46528890000000001</v>
      </c>
      <c r="F511" t="s">
        <v>38</v>
      </c>
      <c r="G511">
        <v>-300.87509999999997</v>
      </c>
      <c r="H511">
        <v>-0.05</v>
      </c>
      <c r="I511">
        <v>369.65440000000001</v>
      </c>
      <c r="J511">
        <v>-324.90260000000001</v>
      </c>
      <c r="K511">
        <v>1.104768</v>
      </c>
      <c r="L511">
        <v>367.20240000000001</v>
      </c>
      <c r="M511">
        <v>0.99984640000000002</v>
      </c>
      <c r="N511">
        <v>0</v>
      </c>
      <c r="O511">
        <v>-7.2413779999999997E-3</v>
      </c>
      <c r="P511">
        <v>0.99960949999999904</v>
      </c>
      <c r="Q511">
        <v>2.5809439999999999E-2</v>
      </c>
      <c r="R511">
        <v>1.0732129999999999E-2</v>
      </c>
      <c r="S511">
        <v>3.0022279999999899</v>
      </c>
      <c r="T511">
        <v>-0.14226810000000001</v>
      </c>
      <c r="U511">
        <v>0.30178829999999901</v>
      </c>
      <c r="V511">
        <v>-1.8042840000000001E-2</v>
      </c>
      <c r="W511">
        <v>4.1734790000000001E-2</v>
      </c>
      <c r="X511">
        <v>0.99896580000000001</v>
      </c>
      <c r="Y511">
        <v>-0.107093699999999</v>
      </c>
      <c r="Z511">
        <v>2.8718350000000001E-3</v>
      </c>
      <c r="AA511">
        <v>0.99424480000000004</v>
      </c>
      <c r="AB511">
        <v>61</v>
      </c>
      <c r="AC511">
        <v>24.0275</v>
      </c>
      <c r="AD511">
        <v>-1.154768</v>
      </c>
      <c r="AE511">
        <v>2.4519999999999902</v>
      </c>
      <c r="AF511">
        <v>-2.6199608851674001</v>
      </c>
      <c r="AG511">
        <v>-1.154768</v>
      </c>
      <c r="AH511">
        <v>23.9543525094392</v>
      </c>
      <c r="AI511">
        <v>92.743586264590206</v>
      </c>
      <c r="AJ511">
        <v>96.241804627868106</v>
      </c>
      <c r="AK511">
        <v>24.124856234185199</v>
      </c>
    </row>
    <row r="512" spans="1:37" x14ac:dyDescent="0.2">
      <c r="A512" t="str">
        <f>"20200111153414132"</f>
        <v>20200111153414132</v>
      </c>
      <c r="B512" t="str">
        <f>"1578728054127097"</f>
        <v>1578728054127097</v>
      </c>
      <c r="C512" t="s">
        <v>37</v>
      </c>
      <c r="D512">
        <v>4.9607999999999999</v>
      </c>
      <c r="E512">
        <v>0.46592889999999998</v>
      </c>
      <c r="F512" t="s">
        <v>38</v>
      </c>
      <c r="G512">
        <v>-300.73669999999998</v>
      </c>
      <c r="H512">
        <v>-0.05</v>
      </c>
      <c r="I512">
        <v>369.65339999999998</v>
      </c>
      <c r="J512">
        <v>-324.54669999999999</v>
      </c>
      <c r="K512">
        <v>1.104779</v>
      </c>
      <c r="L512">
        <v>367.19990000000001</v>
      </c>
      <c r="M512">
        <v>0.99984740000000005</v>
      </c>
      <c r="N512">
        <v>0</v>
      </c>
      <c r="O512">
        <v>-6.9922350000000003E-3</v>
      </c>
      <c r="P512">
        <v>0.9995927</v>
      </c>
      <c r="Q512">
        <v>2.5586660000000001E-2</v>
      </c>
      <c r="R512">
        <v>1.2637570000000001E-2</v>
      </c>
      <c r="S512">
        <v>3.0016479999999999</v>
      </c>
      <c r="T512">
        <v>-0.1434338</v>
      </c>
      <c r="U512">
        <v>0.30444339999999998</v>
      </c>
      <c r="V512">
        <v>-1.9698259999999999E-2</v>
      </c>
      <c r="W512">
        <v>4.1556139999999998E-2</v>
      </c>
      <c r="X512">
        <v>0.998942</v>
      </c>
      <c r="Y512">
        <v>-0.1077331</v>
      </c>
      <c r="Z512">
        <v>2.8991249999999998E-3</v>
      </c>
      <c r="AA512">
        <v>0.99417559999999905</v>
      </c>
      <c r="AB512">
        <v>61</v>
      </c>
      <c r="AC512">
        <v>23.81</v>
      </c>
      <c r="AD512">
        <v>-1.154779</v>
      </c>
      <c r="AE512">
        <v>2.45349999999996</v>
      </c>
      <c r="AF512">
        <v>-2.61386266448363</v>
      </c>
      <c r="AG512">
        <v>-1.154779</v>
      </c>
      <c r="AH512">
        <v>23.737011977966901</v>
      </c>
      <c r="AI512">
        <v>92.768471298754505</v>
      </c>
      <c r="AJ512">
        <v>96.283955533480693</v>
      </c>
      <c r="AK512">
        <v>23.908398737886401</v>
      </c>
    </row>
    <row r="513" spans="1:37" x14ac:dyDescent="0.2">
      <c r="A513" t="str">
        <f>"20200111153414144"</f>
        <v>20200111153414144</v>
      </c>
      <c r="B513" t="str">
        <f>"1578728054136857"</f>
        <v>1578728054136857</v>
      </c>
      <c r="C513" t="s">
        <v>37</v>
      </c>
      <c r="D513">
        <v>4.896992</v>
      </c>
      <c r="E513">
        <v>0.46632509999999999</v>
      </c>
      <c r="F513" t="s">
        <v>38</v>
      </c>
      <c r="G513">
        <v>-300.33499999999998</v>
      </c>
      <c r="H513">
        <v>-0.05</v>
      </c>
      <c r="I513">
        <v>369.66</v>
      </c>
      <c r="J513">
        <v>-324.23200000000003</v>
      </c>
      <c r="K513">
        <v>1.1047879999999899</v>
      </c>
      <c r="L513">
        <v>367.19779999999997</v>
      </c>
      <c r="M513">
        <v>0.99984819999999996</v>
      </c>
      <c r="N513">
        <v>0</v>
      </c>
      <c r="O513">
        <v>-6.7722879999999996E-3</v>
      </c>
      <c r="P513">
        <v>0.9995716</v>
      </c>
      <c r="Q513">
        <v>2.5479350000000001E-2</v>
      </c>
      <c r="R513">
        <v>1.4404770000000001E-2</v>
      </c>
      <c r="S513">
        <v>3.0010379999999999</v>
      </c>
      <c r="T513">
        <v>-0.1431345</v>
      </c>
      <c r="U513">
        <v>0.30493159999999903</v>
      </c>
      <c r="V513">
        <v>-2.1245420000000001E-2</v>
      </c>
      <c r="W513">
        <v>4.1491340000000002E-2</v>
      </c>
      <c r="X513">
        <v>0.99891289999999999</v>
      </c>
      <c r="Y513">
        <v>-0.1076956</v>
      </c>
      <c r="Z513">
        <v>2.8822919999999998E-3</v>
      </c>
      <c r="AA513">
        <v>0.994179699999999</v>
      </c>
      <c r="AB513">
        <v>61</v>
      </c>
      <c r="AC513">
        <v>23.896999999999998</v>
      </c>
      <c r="AD513">
        <v>-1.1547879999999999</v>
      </c>
      <c r="AE513">
        <v>2.4622000000000499</v>
      </c>
      <c r="AF513">
        <v>-2.6179526095153398</v>
      </c>
      <c r="AG513">
        <v>-1.1547879999999999</v>
      </c>
      <c r="AH513">
        <v>23.824724696684498</v>
      </c>
      <c r="AI513">
        <v>92.758386138621901</v>
      </c>
      <c r="AJ513">
        <v>96.270723383444604</v>
      </c>
      <c r="AK513">
        <v>23.995931281436398</v>
      </c>
    </row>
    <row r="514" spans="1:37" x14ac:dyDescent="0.2">
      <c r="A514" t="str">
        <f>"20200111153414155"</f>
        <v>20200111153414155</v>
      </c>
      <c r="B514" t="str">
        <f>"1578728054146617"</f>
        <v>1578728054146617</v>
      </c>
      <c r="C514" t="s">
        <v>37</v>
      </c>
      <c r="D514">
        <v>4.913144</v>
      </c>
      <c r="E514">
        <v>0.4667076</v>
      </c>
      <c r="F514" t="s">
        <v>38</v>
      </c>
      <c r="G514">
        <v>-300.14510000000001</v>
      </c>
      <c r="H514">
        <v>-0.05</v>
      </c>
      <c r="I514">
        <v>369.66320000000002</v>
      </c>
      <c r="J514">
        <v>-323.91590000000002</v>
      </c>
      <c r="K514">
        <v>1.1047990000000001</v>
      </c>
      <c r="L514">
        <v>367.19569999999999</v>
      </c>
      <c r="M514">
        <v>0.99984879999999998</v>
      </c>
      <c r="N514">
        <v>0</v>
      </c>
      <c r="O514">
        <v>-6.5517750000000001E-3</v>
      </c>
      <c r="P514">
        <v>0.99955090000000002</v>
      </c>
      <c r="Q514">
        <v>2.5432449999999999E-2</v>
      </c>
      <c r="R514">
        <v>1.5854119999999999E-2</v>
      </c>
      <c r="S514">
        <v>3.0005189999999899</v>
      </c>
      <c r="T514">
        <v>-0.1438527</v>
      </c>
      <c r="U514">
        <v>0.30712889999999998</v>
      </c>
      <c r="V514">
        <v>-2.247383E-2</v>
      </c>
      <c r="W514">
        <v>4.1491819999999999E-2</v>
      </c>
      <c r="X514">
        <v>0.99888600000000005</v>
      </c>
      <c r="Y514">
        <v>-0.1082125</v>
      </c>
      <c r="Z514">
        <v>2.89894E-3</v>
      </c>
      <c r="AA514">
        <v>0.994123599999999</v>
      </c>
      <c r="AB514">
        <v>61</v>
      </c>
      <c r="AC514">
        <v>23.770800000000001</v>
      </c>
      <c r="AD514">
        <v>-1.1547989999999999</v>
      </c>
      <c r="AE514">
        <v>2.4675000000000198</v>
      </c>
      <c r="AF514">
        <v>-2.61709747314171</v>
      </c>
      <c r="AG514">
        <v>-1.1547989999999999</v>
      </c>
      <c r="AH514">
        <v>23.698786477190001</v>
      </c>
      <c r="AI514">
        <v>92.772883005606005</v>
      </c>
      <c r="AJ514">
        <v>96.301736683750903</v>
      </c>
      <c r="AK514">
        <v>23.870803095115399</v>
      </c>
    </row>
    <row r="515" spans="1:37" x14ac:dyDescent="0.2">
      <c r="A515" t="str">
        <f>"20200111153414167"</f>
        <v>20200111153414167</v>
      </c>
      <c r="B515" t="str">
        <f>"1578728054157354"</f>
        <v>1578728054157354</v>
      </c>
      <c r="C515" t="s">
        <v>37</v>
      </c>
      <c r="D515">
        <v>4.9047010000000002</v>
      </c>
      <c r="E515">
        <v>0.4670473</v>
      </c>
      <c r="F515" t="s">
        <v>38</v>
      </c>
      <c r="G515">
        <v>-299.71800000000002</v>
      </c>
      <c r="H515">
        <v>-0.05</v>
      </c>
      <c r="I515">
        <v>369.6832</v>
      </c>
      <c r="J515">
        <v>-323.6223</v>
      </c>
      <c r="K515">
        <v>1.104806</v>
      </c>
      <c r="L515">
        <v>367.19380000000001</v>
      </c>
      <c r="M515">
        <v>0.99984930000000005</v>
      </c>
      <c r="N515">
        <v>0</v>
      </c>
      <c r="O515">
        <v>-6.3473380000000001E-3</v>
      </c>
      <c r="P515">
        <v>0.9995252</v>
      </c>
      <c r="Q515">
        <v>2.55389E-2</v>
      </c>
      <c r="R515">
        <v>1.7239919999999999E-2</v>
      </c>
      <c r="S515">
        <v>3.0000610000000001</v>
      </c>
      <c r="T515">
        <v>-0.1431723</v>
      </c>
      <c r="U515">
        <v>0.30841059999999998</v>
      </c>
      <c r="V515">
        <v>-2.365538E-2</v>
      </c>
      <c r="W515">
        <v>4.1643800000000002E-2</v>
      </c>
      <c r="X515">
        <v>0.99885239999999997</v>
      </c>
      <c r="Y515">
        <v>-0.108446</v>
      </c>
      <c r="Z515">
        <v>2.8814449999999998E-3</v>
      </c>
      <c r="AA515">
        <v>0.99409820000000004</v>
      </c>
      <c r="AB515">
        <v>61</v>
      </c>
      <c r="AC515">
        <v>23.9042999999999</v>
      </c>
      <c r="AD515">
        <v>-1.154806</v>
      </c>
      <c r="AE515">
        <v>2.4893999999999799</v>
      </c>
      <c r="AF515">
        <v>-2.6350146696387999</v>
      </c>
      <c r="AG515">
        <v>-1.154806</v>
      </c>
      <c r="AH515">
        <v>23.8329902273016</v>
      </c>
      <c r="AI515">
        <v>92.757270681331804</v>
      </c>
      <c r="AJ515">
        <v>96.309091866165701</v>
      </c>
      <c r="AK515">
        <v>24.006005548226899</v>
      </c>
    </row>
    <row r="516" spans="1:37" x14ac:dyDescent="0.2">
      <c r="A516" t="str">
        <f>"20200111153414177"</f>
        <v>20200111153414177</v>
      </c>
      <c r="B516" t="str">
        <f>"1578728054167113"</f>
        <v>1578728054167113</v>
      </c>
      <c r="C516" t="s">
        <v>37</v>
      </c>
      <c r="D516">
        <v>4.9419170000000001</v>
      </c>
      <c r="E516">
        <v>0.46736149999999999</v>
      </c>
      <c r="F516" t="s">
        <v>38</v>
      </c>
      <c r="G516">
        <v>-299.29989999999998</v>
      </c>
      <c r="H516">
        <v>-0.05</v>
      </c>
      <c r="I516">
        <v>369.70510000000002</v>
      </c>
      <c r="J516">
        <v>-323.32929999999999</v>
      </c>
      <c r="K516">
        <v>1.104816</v>
      </c>
      <c r="L516">
        <v>367.19199999999898</v>
      </c>
      <c r="M516">
        <v>0.99984989999999996</v>
      </c>
      <c r="N516">
        <v>0</v>
      </c>
      <c r="O516">
        <v>-6.1433809999999998E-3</v>
      </c>
      <c r="P516">
        <v>0.99950000000000006</v>
      </c>
      <c r="Q516">
        <v>2.5575049999999998E-2</v>
      </c>
      <c r="R516">
        <v>1.8605529999999999E-2</v>
      </c>
      <c r="S516">
        <v>2.9997250000000002</v>
      </c>
      <c r="T516">
        <v>-0.14242389999999999</v>
      </c>
      <c r="U516">
        <v>0.30972290000000002</v>
      </c>
      <c r="V516">
        <v>-2.481742E-2</v>
      </c>
      <c r="W516">
        <v>4.1724789999999998E-2</v>
      </c>
      <c r="X516">
        <v>0.99882090000000001</v>
      </c>
      <c r="Y516">
        <v>-0.1086862</v>
      </c>
      <c r="Z516">
        <v>2.862683E-3</v>
      </c>
      <c r="AA516">
        <v>0.99407199999999996</v>
      </c>
      <c r="AB516">
        <v>61</v>
      </c>
      <c r="AC516">
        <v>24.029399999999999</v>
      </c>
      <c r="AD516">
        <v>-1.1548160000000001</v>
      </c>
      <c r="AE516">
        <v>2.5131000000000601</v>
      </c>
      <c r="AF516">
        <v>-2.65462886127996</v>
      </c>
      <c r="AG516">
        <v>-1.1548160000000001</v>
      </c>
      <c r="AH516">
        <v>23.9587686278334</v>
      </c>
      <c r="AI516">
        <v>92.742770139473194</v>
      </c>
      <c r="AJ516">
        <v>96.322576789029497</v>
      </c>
      <c r="AK516">
        <v>24.1330323114823</v>
      </c>
    </row>
    <row r="517" spans="1:37" x14ac:dyDescent="0.2">
      <c r="A517" t="str">
        <f>"20200111153414189"</f>
        <v>20200111153414189</v>
      </c>
      <c r="B517" t="str">
        <f>"1578728054186633"</f>
        <v>1578728054186633</v>
      </c>
      <c r="C517" t="s">
        <v>37</v>
      </c>
      <c r="D517">
        <v>4.8991419999999897</v>
      </c>
      <c r="E517">
        <v>0.46792020000000001</v>
      </c>
      <c r="F517" t="s">
        <v>38</v>
      </c>
      <c r="G517">
        <v>-298.91239999999999</v>
      </c>
      <c r="H517">
        <v>-0.05</v>
      </c>
      <c r="I517">
        <v>369.7278</v>
      </c>
      <c r="J517">
        <v>-323.0145</v>
      </c>
      <c r="K517">
        <v>1.1048260000000001</v>
      </c>
      <c r="L517">
        <v>367.1902</v>
      </c>
      <c r="M517">
        <v>0.99985049999999998</v>
      </c>
      <c r="N517">
        <v>0</v>
      </c>
      <c r="O517">
        <v>-5.9243079999999997E-3</v>
      </c>
      <c r="P517">
        <v>0.99945669999999898</v>
      </c>
      <c r="Q517">
        <v>2.63853E-2</v>
      </c>
      <c r="R517">
        <v>1.97541E-2</v>
      </c>
      <c r="S517">
        <v>2.999298</v>
      </c>
      <c r="T517">
        <v>-0.14185400000000001</v>
      </c>
      <c r="U517">
        <v>0.31149290000000002</v>
      </c>
      <c r="V517">
        <v>-2.5748070000000001E-2</v>
      </c>
      <c r="W517">
        <v>4.2582809999999999E-2</v>
      </c>
      <c r="X517">
        <v>0.99876109999999896</v>
      </c>
      <c r="Y517">
        <v>-0.1090641</v>
      </c>
      <c r="Z517">
        <v>2.8501359999999901E-3</v>
      </c>
      <c r="AA517">
        <v>0.99403069999999905</v>
      </c>
      <c r="AB517">
        <v>61</v>
      </c>
      <c r="AC517">
        <v>24.1021</v>
      </c>
      <c r="AD517">
        <v>-1.1548259999999999</v>
      </c>
      <c r="AE517">
        <v>2.5375999999999901</v>
      </c>
      <c r="AF517">
        <v>-2.6742903890807801</v>
      </c>
      <c r="AG517">
        <v>-1.1548259999999999</v>
      </c>
      <c r="AH517">
        <v>24.032074811591102</v>
      </c>
      <c r="AI517">
        <v>92.734296303126897</v>
      </c>
      <c r="AJ517">
        <v>96.349752781616502</v>
      </c>
      <c r="AK517">
        <v>24.207975378484601</v>
      </c>
    </row>
    <row r="518" spans="1:37" x14ac:dyDescent="0.2">
      <c r="A518" t="str">
        <f>"20200111153414203"</f>
        <v>20200111153414203</v>
      </c>
      <c r="B518" t="str">
        <f>"1578728054197369"</f>
        <v>1578728054197369</v>
      </c>
      <c r="C518" t="s">
        <v>37</v>
      </c>
      <c r="D518">
        <v>4.9084890000000003</v>
      </c>
      <c r="E518">
        <v>0.46818969999999999</v>
      </c>
      <c r="F518" t="s">
        <v>38</v>
      </c>
      <c r="G518">
        <v>-298.08069999999998</v>
      </c>
      <c r="H518">
        <v>-0.05</v>
      </c>
      <c r="I518">
        <v>369.76679999999999</v>
      </c>
      <c r="J518">
        <v>-322.65289999999999</v>
      </c>
      <c r="K518">
        <v>1.1048420000000001</v>
      </c>
      <c r="L518">
        <v>367.18810000000002</v>
      </c>
      <c r="M518">
        <v>0.99985089999999999</v>
      </c>
      <c r="N518">
        <v>0</v>
      </c>
      <c r="O518">
        <v>-5.6727440000000004E-3</v>
      </c>
      <c r="P518">
        <v>0.99943210000000005</v>
      </c>
      <c r="Q518">
        <v>2.658992E-2</v>
      </c>
      <c r="R518">
        <v>2.0702749999999999E-2</v>
      </c>
      <c r="S518">
        <v>2.9991759999999998</v>
      </c>
      <c r="T518">
        <v>-0.13890859999999999</v>
      </c>
      <c r="U518">
        <v>0.3099365</v>
      </c>
      <c r="V518">
        <v>-2.6445E-2</v>
      </c>
      <c r="W518">
        <v>4.2842440000000002E-2</v>
      </c>
      <c r="X518">
        <v>0.99873179999999995</v>
      </c>
      <c r="Y518">
        <v>-0.10831399999999999</v>
      </c>
      <c r="Z518">
        <v>2.7622749999999998E-3</v>
      </c>
      <c r="AA518">
        <v>0.99411289999999997</v>
      </c>
      <c r="AB518">
        <v>61</v>
      </c>
      <c r="AC518">
        <v>24.572199999999999</v>
      </c>
      <c r="AD518">
        <v>-1.1548419999999999</v>
      </c>
      <c r="AE518">
        <v>2.57869999999996</v>
      </c>
      <c r="AF518">
        <v>-2.71214350525277</v>
      </c>
      <c r="AG518">
        <v>-1.1548419999999999</v>
      </c>
      <c r="AH518">
        <v>24.5036401329352</v>
      </c>
      <c r="AI518">
        <v>92.681965450527201</v>
      </c>
      <c r="AJ518">
        <v>96.3159771935252</v>
      </c>
      <c r="AK518">
        <v>24.680311225801901</v>
      </c>
    </row>
    <row r="519" spans="1:37" x14ac:dyDescent="0.2">
      <c r="A519" t="str">
        <f>"20200111153414216"</f>
        <v>20200111153414216</v>
      </c>
      <c r="B519" t="str">
        <f>"1578728054207128"</f>
        <v>1578728054207128</v>
      </c>
      <c r="C519" t="s">
        <v>37</v>
      </c>
      <c r="D519">
        <v>4.9273959999999999</v>
      </c>
      <c r="E519">
        <v>0.46840979999999999</v>
      </c>
      <c r="F519" t="s">
        <v>38</v>
      </c>
      <c r="G519">
        <v>-297.61919999999998</v>
      </c>
      <c r="H519">
        <v>-0.05</v>
      </c>
      <c r="I519">
        <v>369.78089999999997</v>
      </c>
      <c r="J519">
        <v>-322.2645</v>
      </c>
      <c r="K519">
        <v>1.1048530000000001</v>
      </c>
      <c r="L519">
        <v>367.18599999999998</v>
      </c>
      <c r="M519">
        <v>0.99985139999999995</v>
      </c>
      <c r="N519">
        <v>0</v>
      </c>
      <c r="O519">
        <v>-5.4023659999999996E-3</v>
      </c>
      <c r="P519">
        <v>0.99936719999999901</v>
      </c>
      <c r="Q519">
        <v>2.7677810000000001E-2</v>
      </c>
      <c r="R519">
        <v>2.2338520000000001E-2</v>
      </c>
      <c r="S519">
        <v>2.9989319999999999</v>
      </c>
      <c r="T519">
        <v>-0.13834489999999999</v>
      </c>
      <c r="U519">
        <v>0.31060789999999999</v>
      </c>
      <c r="V519">
        <v>-2.7811809999999999E-2</v>
      </c>
      <c r="W519">
        <v>4.3984830000000003E-2</v>
      </c>
      <c r="X519">
        <v>0.998645</v>
      </c>
      <c r="Y519">
        <v>-0.108275</v>
      </c>
      <c r="Z519">
        <v>2.737934E-3</v>
      </c>
      <c r="AA519">
        <v>0.99411719999999903</v>
      </c>
      <c r="AB519">
        <v>61</v>
      </c>
      <c r="AC519">
        <v>24.645299999999999</v>
      </c>
      <c r="AD519">
        <v>-1.1548529999999999</v>
      </c>
      <c r="AE519">
        <v>2.5948999999999902</v>
      </c>
      <c r="AF519">
        <v>-2.7221113255378002</v>
      </c>
      <c r="AG519">
        <v>-1.1548529999999999</v>
      </c>
      <c r="AH519">
        <v>24.5775450579644</v>
      </c>
      <c r="AI519">
        <v>92.673916664452804</v>
      </c>
      <c r="AJ519">
        <v>96.320094437817104</v>
      </c>
      <c r="AK519">
        <v>24.7547833074034</v>
      </c>
    </row>
    <row r="520" spans="1:37" x14ac:dyDescent="0.2">
      <c r="A520" t="str">
        <f>"20200111153414229"</f>
        <v>20200111153414229</v>
      </c>
      <c r="B520" t="str">
        <f>"1578728054216889"</f>
        <v>1578728054216889</v>
      </c>
      <c r="C520" t="s">
        <v>37</v>
      </c>
      <c r="D520">
        <v>4.9007170000000002</v>
      </c>
      <c r="E520">
        <v>0.46867809999999999</v>
      </c>
      <c r="F520" t="s">
        <v>38</v>
      </c>
      <c r="G520">
        <v>-296.61380000000003</v>
      </c>
      <c r="H520">
        <v>-0.05</v>
      </c>
      <c r="I520">
        <v>369.86959999999999</v>
      </c>
      <c r="J520">
        <v>-321.95780000000002</v>
      </c>
      <c r="K520">
        <v>1.1048559999999901</v>
      </c>
      <c r="L520">
        <v>367.18439999999998</v>
      </c>
      <c r="M520">
        <v>0.99985179999999996</v>
      </c>
      <c r="N520">
        <v>0</v>
      </c>
      <c r="O520">
        <v>-5.1888569999999998E-3</v>
      </c>
      <c r="P520">
        <v>0.99934639999999997</v>
      </c>
      <c r="Q520">
        <v>2.786839E-2</v>
      </c>
      <c r="R520">
        <v>2.3025839999999999E-2</v>
      </c>
      <c r="S520">
        <v>2.9986269999999999</v>
      </c>
      <c r="T520">
        <v>-0.13500509999999999</v>
      </c>
      <c r="U520">
        <v>0.31372070000000002</v>
      </c>
      <c r="V520">
        <v>-2.828628E-2</v>
      </c>
      <c r="W520">
        <v>4.4218250000000001E-2</v>
      </c>
      <c r="X520">
        <v>0.99862129999999905</v>
      </c>
      <c r="Y520">
        <v>-0.109099</v>
      </c>
      <c r="Z520">
        <v>2.6809389999999998E-3</v>
      </c>
      <c r="AA520">
        <v>0.99402729999999995</v>
      </c>
      <c r="AB520">
        <v>61</v>
      </c>
      <c r="AC520">
        <v>25.343999999999902</v>
      </c>
      <c r="AD520">
        <v>-1.1548559999999899</v>
      </c>
      <c r="AE520">
        <v>2.6852</v>
      </c>
      <c r="AF520">
        <v>-2.8109162341384901</v>
      </c>
      <c r="AG520">
        <v>-1.1548559999999899</v>
      </c>
      <c r="AH520">
        <v>25.277820184386702</v>
      </c>
      <c r="AI520">
        <v>92.599823975875097</v>
      </c>
      <c r="AJ520">
        <v>96.345273212516801</v>
      </c>
      <c r="AK520">
        <v>25.459833772636198</v>
      </c>
    </row>
    <row r="521" spans="1:37" x14ac:dyDescent="0.2">
      <c r="A521" t="str">
        <f>"20200111153414240"</f>
        <v>20200111153414240</v>
      </c>
      <c r="B521" t="str">
        <f>"1578728054237385"</f>
        <v>1578728054237385</v>
      </c>
      <c r="C521" t="s">
        <v>37</v>
      </c>
      <c r="D521">
        <v>4.8717040000000003</v>
      </c>
      <c r="E521">
        <v>0.46911959999999903</v>
      </c>
      <c r="F521" t="s">
        <v>38</v>
      </c>
      <c r="G521">
        <v>-296.16480000000001</v>
      </c>
      <c r="H521">
        <v>-0.05</v>
      </c>
      <c r="I521">
        <v>369.88150000000002</v>
      </c>
      <c r="J521">
        <v>-321.6551</v>
      </c>
      <c r="K521">
        <v>1.1048629999999999</v>
      </c>
      <c r="L521">
        <v>367.18290000000002</v>
      </c>
      <c r="M521">
        <v>0.99985219999999897</v>
      </c>
      <c r="N521">
        <v>0</v>
      </c>
      <c r="O521">
        <v>-4.9784390000000003E-3</v>
      </c>
      <c r="P521">
        <v>0.99932790000000005</v>
      </c>
      <c r="Q521">
        <v>2.800679E-2</v>
      </c>
      <c r="R521">
        <v>2.3652070000000001E-2</v>
      </c>
      <c r="S521">
        <v>2.9984739999999999</v>
      </c>
      <c r="T521">
        <v>-0.1342537</v>
      </c>
      <c r="U521">
        <v>0.31353759999999897</v>
      </c>
      <c r="V521">
        <v>-2.8702229999999999E-2</v>
      </c>
      <c r="W521">
        <v>4.4397359999999997E-2</v>
      </c>
      <c r="X521">
        <v>0.99860159999999998</v>
      </c>
      <c r="Y521">
        <v>-0.10883669999999999</v>
      </c>
      <c r="Z521">
        <v>2.6509300000000001E-3</v>
      </c>
      <c r="AA521">
        <v>0.9940561</v>
      </c>
      <c r="AB521">
        <v>61</v>
      </c>
      <c r="AC521">
        <v>25.490299999999898</v>
      </c>
      <c r="AD521">
        <v>-1.154863</v>
      </c>
      <c r="AE521">
        <v>2.6985999999999901</v>
      </c>
      <c r="AF521">
        <v>-2.8197618570405201</v>
      </c>
      <c r="AG521">
        <v>-1.154863</v>
      </c>
      <c r="AH521">
        <v>25.424937795487999</v>
      </c>
      <c r="AI521">
        <v>92.584900278749402</v>
      </c>
      <c r="AJ521">
        <v>96.328546527769504</v>
      </c>
      <c r="AK521">
        <v>25.606878516984999</v>
      </c>
    </row>
    <row r="522" spans="1:37" x14ac:dyDescent="0.2">
      <c r="A522" t="str">
        <f>"20200111153414251"</f>
        <v>20200111153414251</v>
      </c>
      <c r="B522" t="str">
        <f>"1578728054247145"</f>
        <v>1578728054247145</v>
      </c>
      <c r="C522" t="s">
        <v>37</v>
      </c>
      <c r="D522">
        <v>4.8721819999999996</v>
      </c>
      <c r="E522">
        <v>0.46934100000000001</v>
      </c>
      <c r="F522" t="s">
        <v>38</v>
      </c>
      <c r="G522">
        <v>-295.73009999999999</v>
      </c>
      <c r="H522">
        <v>-0.05</v>
      </c>
      <c r="I522">
        <v>369.88040000000001</v>
      </c>
      <c r="J522">
        <v>-321.35410000000002</v>
      </c>
      <c r="K522">
        <v>1.104867</v>
      </c>
      <c r="L522">
        <v>367.1814</v>
      </c>
      <c r="M522">
        <v>0.99985270000000004</v>
      </c>
      <c r="N522">
        <v>0</v>
      </c>
      <c r="O522">
        <v>-4.7691909999999999E-3</v>
      </c>
      <c r="P522">
        <v>0.99929859999999904</v>
      </c>
      <c r="Q522">
        <v>2.8351040000000001E-2</v>
      </c>
      <c r="R522">
        <v>2.4463539999999999E-2</v>
      </c>
      <c r="S522">
        <v>2.998383</v>
      </c>
      <c r="T522">
        <v>-0.13356689999999999</v>
      </c>
      <c r="U522">
        <v>0.31198120000000001</v>
      </c>
      <c r="V522">
        <v>-2.9305029999999999E-2</v>
      </c>
      <c r="W522">
        <v>4.4778940000000003E-2</v>
      </c>
      <c r="X522">
        <v>0.99856699999999998</v>
      </c>
      <c r="Y522">
        <v>-0.10812339999999999</v>
      </c>
      <c r="Z522">
        <v>2.6124009999999999E-3</v>
      </c>
      <c r="AA522">
        <v>0.99413410000000002</v>
      </c>
      <c r="AB522">
        <v>60</v>
      </c>
      <c r="AC522">
        <v>25.623999999999999</v>
      </c>
      <c r="AD522">
        <v>-1.1548670000000001</v>
      </c>
      <c r="AE522">
        <v>2.6990000000000101</v>
      </c>
      <c r="AF522">
        <v>-2.8155352711930401</v>
      </c>
      <c r="AG522">
        <v>-1.1548670000000001</v>
      </c>
      <c r="AH522">
        <v>25.559485898002698</v>
      </c>
      <c r="AI522">
        <v>92.571530349666702</v>
      </c>
      <c r="AJ522">
        <v>96.286139683804194</v>
      </c>
      <c r="AK522">
        <v>25.740013131722002</v>
      </c>
    </row>
    <row r="523" spans="1:37" x14ac:dyDescent="0.2">
      <c r="A523" t="str">
        <f>"20200111153414262"</f>
        <v>20200111153414262</v>
      </c>
      <c r="B523" t="str">
        <f>"1578728054256905"</f>
        <v>1578728054256905</v>
      </c>
      <c r="C523" t="s">
        <v>37</v>
      </c>
      <c r="D523">
        <v>4.891362</v>
      </c>
      <c r="E523">
        <v>0.46959289999999998</v>
      </c>
      <c r="F523" t="s">
        <v>38</v>
      </c>
      <c r="G523">
        <v>-295.20249999999999</v>
      </c>
      <c r="H523">
        <v>-0.05</v>
      </c>
      <c r="I523">
        <v>369.90879999999999</v>
      </c>
      <c r="J523">
        <v>-321.03449999999998</v>
      </c>
      <c r="K523">
        <v>1.104819</v>
      </c>
      <c r="L523">
        <v>367.18</v>
      </c>
      <c r="M523">
        <v>0.99985599999999997</v>
      </c>
      <c r="N523">
        <v>0</v>
      </c>
      <c r="O523">
        <v>-4.5398469999999996E-3</v>
      </c>
      <c r="P523">
        <v>0.99927929999999998</v>
      </c>
      <c r="Q523">
        <v>2.8581869999999999E-2</v>
      </c>
      <c r="R523">
        <v>2.498657E-2</v>
      </c>
      <c r="S523">
        <v>2.9981990000000001</v>
      </c>
      <c r="T523">
        <v>-0.1324022</v>
      </c>
      <c r="U523">
        <v>0.31268309999999999</v>
      </c>
      <c r="V523">
        <v>-2.9598220000000001E-2</v>
      </c>
      <c r="W523">
        <v>4.4870399999999998E-2</v>
      </c>
      <c r="X523">
        <v>0.99855419999999995</v>
      </c>
      <c r="Y523">
        <v>-0.10813399999999999</v>
      </c>
      <c r="Z523">
        <v>2.5799029999999902E-3</v>
      </c>
      <c r="AA523">
        <v>0.99413300000000004</v>
      </c>
      <c r="AB523">
        <v>60</v>
      </c>
      <c r="AC523">
        <v>25.831999999999901</v>
      </c>
      <c r="AD523">
        <v>-1.154819</v>
      </c>
      <c r="AE523">
        <v>2.7287999999999699</v>
      </c>
      <c r="AF523">
        <v>-2.8404467955278601</v>
      </c>
      <c r="AG523">
        <v>-1.154819</v>
      </c>
      <c r="AH523">
        <v>25.768412996318698</v>
      </c>
      <c r="AI523">
        <v>92.550582059161201</v>
      </c>
      <c r="AJ523">
        <v>96.290306850640206</v>
      </c>
      <c r="AK523">
        <v>25.9501994842011</v>
      </c>
    </row>
    <row r="524" spans="1:37" x14ac:dyDescent="0.2">
      <c r="A524" t="str">
        <f>"20200111153414274"</f>
        <v>20200111153414274</v>
      </c>
      <c r="B524" t="str">
        <f>"1578728054266665"</f>
        <v>1578728054266665</v>
      </c>
      <c r="C524" t="s">
        <v>37</v>
      </c>
      <c r="D524">
        <v>4.9016789999999997</v>
      </c>
      <c r="E524">
        <v>0.46980450000000001</v>
      </c>
      <c r="F524" t="s">
        <v>38</v>
      </c>
      <c r="G524">
        <v>-294.75650000000002</v>
      </c>
      <c r="H524">
        <v>-0.05</v>
      </c>
      <c r="I524">
        <v>369.91250000000002</v>
      </c>
      <c r="J524">
        <v>-320.72590000000002</v>
      </c>
      <c r="K524">
        <v>1.1046860000000001</v>
      </c>
      <c r="L524">
        <v>367.17869999999999</v>
      </c>
      <c r="M524">
        <v>0.99986430000000004</v>
      </c>
      <c r="N524">
        <v>0</v>
      </c>
      <c r="O524">
        <v>-4.3054690000000001E-3</v>
      </c>
      <c r="P524">
        <v>0.99925390000000003</v>
      </c>
      <c r="Q524">
        <v>2.9026099999999899E-2</v>
      </c>
      <c r="R524">
        <v>2.5478270000000001E-2</v>
      </c>
      <c r="S524">
        <v>2.998138</v>
      </c>
      <c r="T524">
        <v>-0.13175699999999901</v>
      </c>
      <c r="U524">
        <v>0.31176759999999998</v>
      </c>
      <c r="V524">
        <v>-2.985488E-2</v>
      </c>
      <c r="W524">
        <v>4.4861350000000001E-2</v>
      </c>
      <c r="X524">
        <v>0.99854699999999996</v>
      </c>
      <c r="Y524">
        <v>-0.107604399999999</v>
      </c>
      <c r="Z524">
        <v>2.5455650000000001E-3</v>
      </c>
      <c r="AA524">
        <v>0.99419049999999998</v>
      </c>
      <c r="AB524">
        <v>60</v>
      </c>
      <c r="AC524">
        <v>25.9694</v>
      </c>
      <c r="AD524">
        <v>-1.1546860000000001</v>
      </c>
      <c r="AE524">
        <v>2.73380000000002</v>
      </c>
      <c r="AF524">
        <v>-2.84004604302838</v>
      </c>
      <c r="AG524">
        <v>-1.1546860000000001</v>
      </c>
      <c r="AH524">
        <v>25.906731528618401</v>
      </c>
      <c r="AI524">
        <v>92.536856497931296</v>
      </c>
      <c r="AJ524">
        <v>96.2561135960038</v>
      </c>
      <c r="AK524">
        <v>26.087504667580401</v>
      </c>
    </row>
    <row r="525" spans="1:37" x14ac:dyDescent="0.2">
      <c r="A525" t="str">
        <f>"20200111153414285"</f>
        <v>20200111153414285</v>
      </c>
      <c r="B525" t="str">
        <f>"1578728054277401"</f>
        <v>1578728054277401</v>
      </c>
      <c r="C525" t="s">
        <v>37</v>
      </c>
      <c r="D525">
        <v>4.8658570000000001</v>
      </c>
      <c r="E525">
        <v>0.47002089999999902</v>
      </c>
      <c r="F525" t="s">
        <v>38</v>
      </c>
      <c r="G525">
        <v>-294.16860000000003</v>
      </c>
      <c r="H525">
        <v>-0.05</v>
      </c>
      <c r="I525">
        <v>369.93680000000001</v>
      </c>
      <c r="J525">
        <v>-320.43360000000001</v>
      </c>
      <c r="K525">
        <v>1.1045419999999999</v>
      </c>
      <c r="L525">
        <v>367.17750000000001</v>
      </c>
      <c r="M525">
        <v>0.99987150000000002</v>
      </c>
      <c r="N525">
        <v>0</v>
      </c>
      <c r="O525">
        <v>-4.0777230000000001E-3</v>
      </c>
      <c r="P525">
        <v>0.9992219</v>
      </c>
      <c r="Q525">
        <v>2.957779E-2</v>
      </c>
      <c r="R525">
        <v>2.6091630000000001E-2</v>
      </c>
      <c r="S525">
        <v>2.9980769999999999</v>
      </c>
      <c r="T525">
        <v>-0.13035369999999999</v>
      </c>
      <c r="U525">
        <v>0.3113708</v>
      </c>
      <c r="V525">
        <v>-3.023986E-2</v>
      </c>
      <c r="W525">
        <v>4.5014249999999999E-2</v>
      </c>
      <c r="X525">
        <v>0.99852849999999904</v>
      </c>
      <c r="Y525">
        <v>-0.10725270000000001</v>
      </c>
      <c r="Z525">
        <v>2.5010509999999998E-3</v>
      </c>
      <c r="AA525">
        <v>0.99422869999999997</v>
      </c>
      <c r="AB525">
        <v>60</v>
      </c>
      <c r="AC525">
        <v>26.264999999999901</v>
      </c>
      <c r="AD525">
        <v>-1.154542</v>
      </c>
      <c r="AE525">
        <v>2.7592999999999899</v>
      </c>
      <c r="AF525">
        <v>-2.8609236309086001</v>
      </c>
      <c r="AG525">
        <v>-1.154542</v>
      </c>
      <c r="AH525">
        <v>26.203449508272001</v>
      </c>
      <c r="AI525">
        <v>92.507974987770794</v>
      </c>
      <c r="AJ525">
        <v>96.230940530011907</v>
      </c>
      <c r="AK525">
        <v>26.384438924946199</v>
      </c>
    </row>
    <row r="526" spans="1:37" x14ac:dyDescent="0.2">
      <c r="A526" t="str">
        <f>"20200111153414295"</f>
        <v>20200111153414295</v>
      </c>
      <c r="B526" t="str">
        <f>"1578728054287161"</f>
        <v>1578728054287161</v>
      </c>
      <c r="C526" t="s">
        <v>37</v>
      </c>
      <c r="D526">
        <v>4.8834269999999904</v>
      </c>
      <c r="E526">
        <v>0.47022129999999901</v>
      </c>
      <c r="F526" t="s">
        <v>38</v>
      </c>
      <c r="G526">
        <v>-293.59050000000002</v>
      </c>
      <c r="H526">
        <v>-0.05</v>
      </c>
      <c r="I526">
        <v>369.96679999999998</v>
      </c>
      <c r="J526">
        <v>-320.12470000000002</v>
      </c>
      <c r="K526">
        <v>1.104384</v>
      </c>
      <c r="L526">
        <v>367.17619999999999</v>
      </c>
      <c r="M526">
        <v>0.99987879999999996</v>
      </c>
      <c r="N526">
        <v>0</v>
      </c>
      <c r="O526">
        <v>-3.83323E-3</v>
      </c>
      <c r="P526">
        <v>0.99920089999999995</v>
      </c>
      <c r="Q526">
        <v>2.9839799999999899E-2</v>
      </c>
      <c r="R526">
        <v>2.6595099999999899E-2</v>
      </c>
      <c r="S526">
        <v>2.9979550000000001</v>
      </c>
      <c r="T526">
        <v>-0.12894439999999999</v>
      </c>
      <c r="U526">
        <v>0.31152340000000001</v>
      </c>
      <c r="V526">
        <v>-3.049812E-2</v>
      </c>
      <c r="W526">
        <v>4.4876590000000001E-2</v>
      </c>
      <c r="X526">
        <v>0.9985269</v>
      </c>
      <c r="Y526">
        <v>-0.10706639999999901</v>
      </c>
      <c r="Z526">
        <v>2.4596489999999999E-3</v>
      </c>
      <c r="AA526">
        <v>0.99424880000000004</v>
      </c>
      <c r="AB526">
        <v>61</v>
      </c>
      <c r="AC526">
        <v>26.534199999999998</v>
      </c>
      <c r="AD526">
        <v>-1.1543840000000001</v>
      </c>
      <c r="AE526">
        <v>2.79059999999998</v>
      </c>
      <c r="AF526">
        <v>-2.8868984235519699</v>
      </c>
      <c r="AG526">
        <v>-1.1543840000000001</v>
      </c>
      <c r="AH526">
        <v>26.473747298159999</v>
      </c>
      <c r="AI526">
        <v>92.482097098495899</v>
      </c>
      <c r="AJ526">
        <v>96.223376418642303</v>
      </c>
      <c r="AK526">
        <v>26.6556950938106</v>
      </c>
    </row>
    <row r="527" spans="1:37" x14ac:dyDescent="0.2">
      <c r="A527" t="str">
        <f>"20200111153414309"</f>
        <v>20200111153414309</v>
      </c>
      <c r="B527" t="str">
        <f>"1578728054296921"</f>
        <v>1578728054296921</v>
      </c>
      <c r="C527" t="s">
        <v>37</v>
      </c>
      <c r="D527">
        <v>4.8781419999999898</v>
      </c>
      <c r="E527">
        <v>0.47022129999999901</v>
      </c>
      <c r="F527" t="s">
        <v>38</v>
      </c>
      <c r="G527">
        <v>-293.00979999999998</v>
      </c>
      <c r="H527">
        <v>-0.05</v>
      </c>
      <c r="I527">
        <v>369.99299999999999</v>
      </c>
      <c r="J527">
        <v>-319.79410000000001</v>
      </c>
      <c r="K527">
        <v>1.104212</v>
      </c>
      <c r="L527">
        <v>367.17500000000001</v>
      </c>
      <c r="M527">
        <v>0.99988120000000003</v>
      </c>
      <c r="N527">
        <v>0</v>
      </c>
      <c r="O527">
        <v>-3.561392E-3</v>
      </c>
      <c r="P527">
        <v>0.99918560000000001</v>
      </c>
      <c r="Q527">
        <v>2.9852899999999901E-2</v>
      </c>
      <c r="R527">
        <v>2.7152849999999999E-2</v>
      </c>
      <c r="S527">
        <v>2.9978940000000001</v>
      </c>
      <c r="T527">
        <v>-0.12763139999999901</v>
      </c>
      <c r="U527">
        <v>0.31143189999999998</v>
      </c>
      <c r="V527">
        <v>-3.0783930000000001E-2</v>
      </c>
      <c r="W527">
        <v>4.4781790000000002E-2</v>
      </c>
      <c r="X527">
        <v>0.99852240000000003</v>
      </c>
      <c r="Y527">
        <v>-0.106770699999999</v>
      </c>
      <c r="Z527">
        <v>2.4168649999999998E-3</v>
      </c>
      <c r="AA527">
        <v>0.99428079999999996</v>
      </c>
      <c r="AB527">
        <v>61</v>
      </c>
      <c r="AC527">
        <v>26.784300000000002</v>
      </c>
      <c r="AD527">
        <v>-1.154212</v>
      </c>
      <c r="AE527">
        <v>2.81800000000004</v>
      </c>
      <c r="AF527">
        <v>-2.9080411515685598</v>
      </c>
      <c r="AG527">
        <v>-1.154212</v>
      </c>
      <c r="AH527">
        <v>26.725008119242499</v>
      </c>
      <c r="AI527">
        <v>92.458485893751401</v>
      </c>
      <c r="AJ527">
        <v>96.210120055894805</v>
      </c>
      <c r="AK527">
        <v>26.907526226944999</v>
      </c>
    </row>
    <row r="528" spans="1:37" x14ac:dyDescent="0.2">
      <c r="A528" t="str">
        <f>"20200111153414321"</f>
        <v>20200111153414321</v>
      </c>
      <c r="B528" t="str">
        <f>"1578728054317417"</f>
        <v>1578728054317417</v>
      </c>
      <c r="C528" t="s">
        <v>37</v>
      </c>
      <c r="D528">
        <v>4.8376979999999996</v>
      </c>
      <c r="E528">
        <v>0.4708388</v>
      </c>
      <c r="F528" t="s">
        <v>38</v>
      </c>
      <c r="G528">
        <v>-292.6995</v>
      </c>
      <c r="H528">
        <v>-0.05</v>
      </c>
      <c r="I528">
        <v>370.0027</v>
      </c>
      <c r="J528">
        <v>-319.46170000000001</v>
      </c>
      <c r="K528">
        <v>1.1040289999999999</v>
      </c>
      <c r="L528">
        <v>367.17380000000003</v>
      </c>
      <c r="M528">
        <v>0.99988189999999999</v>
      </c>
      <c r="N528">
        <v>0</v>
      </c>
      <c r="O528">
        <v>-3.2852039999999999E-3</v>
      </c>
      <c r="P528">
        <v>0.9991778</v>
      </c>
      <c r="Q528">
        <v>2.982054E-2</v>
      </c>
      <c r="R528">
        <v>2.746842E-2</v>
      </c>
      <c r="S528">
        <v>2.9977719999999999</v>
      </c>
      <c r="T528">
        <v>-0.12770329999999999</v>
      </c>
      <c r="U528">
        <v>0.31286619999999998</v>
      </c>
      <c r="V528">
        <v>-3.082298E-2</v>
      </c>
      <c r="W528">
        <v>4.4776549999999998E-2</v>
      </c>
      <c r="X528">
        <v>0.9985214</v>
      </c>
      <c r="Y528">
        <v>-0.1069708</v>
      </c>
      <c r="Z528">
        <v>2.4107809999999999E-3</v>
      </c>
      <c r="AA528">
        <v>0.99425919999999901</v>
      </c>
      <c r="AB528">
        <v>61</v>
      </c>
      <c r="AC528">
        <v>26.7622</v>
      </c>
      <c r="AD528">
        <v>-1.154029</v>
      </c>
      <c r="AE528">
        <v>2.8288999999999702</v>
      </c>
      <c r="AF528">
        <v>-2.9114599696119599</v>
      </c>
      <c r="AG528">
        <v>-1.154029</v>
      </c>
      <c r="AH528">
        <v>26.703654959667301</v>
      </c>
      <c r="AI528">
        <v>92.460002870222098</v>
      </c>
      <c r="AJ528">
        <v>96.2222964302496</v>
      </c>
      <c r="AK528">
        <v>26.886680164952601</v>
      </c>
    </row>
    <row r="529" spans="1:37" x14ac:dyDescent="0.2">
      <c r="A529" t="str">
        <f>"20200111153414333"</f>
        <v>20200111153414333</v>
      </c>
      <c r="B529" t="str">
        <f>"1578728054327178"</f>
        <v>1578728054327178</v>
      </c>
      <c r="C529" t="s">
        <v>37</v>
      </c>
      <c r="D529">
        <v>4.8417180000000002</v>
      </c>
      <c r="E529">
        <v>0.4708388</v>
      </c>
      <c r="F529" t="s">
        <v>38</v>
      </c>
      <c r="G529">
        <v>-292.32679999999999</v>
      </c>
      <c r="H529">
        <v>-0.05</v>
      </c>
      <c r="I529">
        <v>369.97039999999998</v>
      </c>
      <c r="J529">
        <v>-319.13659999999999</v>
      </c>
      <c r="K529">
        <v>1.1038059999999901</v>
      </c>
      <c r="L529">
        <v>367.17270000000002</v>
      </c>
      <c r="M529">
        <v>0.99987789999999999</v>
      </c>
      <c r="N529">
        <v>0</v>
      </c>
      <c r="O529">
        <v>-3.011255E-3</v>
      </c>
      <c r="P529">
        <v>0.99917440000000002</v>
      </c>
      <c r="Q529">
        <v>2.9571139999999999E-2</v>
      </c>
      <c r="R529">
        <v>2.7863760000000001E-2</v>
      </c>
      <c r="S529">
        <v>2.9977719999999999</v>
      </c>
      <c r="T529">
        <v>-0.1274933</v>
      </c>
      <c r="U529">
        <v>0.30896000000000001</v>
      </c>
      <c r="V529">
        <v>-3.09442999999999E-2</v>
      </c>
      <c r="W529">
        <v>4.4839909999999997E-2</v>
      </c>
      <c r="X529">
        <v>0.99851480000000004</v>
      </c>
      <c r="Y529">
        <v>-0.1054184</v>
      </c>
      <c r="Z529">
        <v>2.3624549999999999E-3</v>
      </c>
      <c r="AA529">
        <v>0.99442509999999995</v>
      </c>
      <c r="AB529">
        <v>61</v>
      </c>
      <c r="AC529">
        <v>26.809799999999999</v>
      </c>
      <c r="AD529">
        <v>-1.1538059999999899</v>
      </c>
      <c r="AE529">
        <v>2.7976999999999599</v>
      </c>
      <c r="AF529">
        <v>-2.8731637169898301</v>
      </c>
      <c r="AG529">
        <v>-1.1538059999999899</v>
      </c>
      <c r="AH529">
        <v>26.752237189780502</v>
      </c>
      <c r="AI529">
        <v>92.455494462766595</v>
      </c>
      <c r="AJ529">
        <v>96.1300129286073</v>
      </c>
      <c r="AK529">
        <v>26.930810100859201</v>
      </c>
    </row>
    <row r="530" spans="1:37" x14ac:dyDescent="0.2">
      <c r="A530" t="str">
        <f>"20200111153414343"</f>
        <v>20200111153414343</v>
      </c>
      <c r="B530" t="str">
        <f>"1578728054336937"</f>
        <v>1578728054336937</v>
      </c>
      <c r="C530" t="s">
        <v>37</v>
      </c>
      <c r="D530">
        <v>4.8310820000000003</v>
      </c>
      <c r="E530">
        <v>0.47809879999999999</v>
      </c>
      <c r="F530" t="s">
        <v>38</v>
      </c>
      <c r="G530">
        <v>-292.17989999999998</v>
      </c>
      <c r="H530">
        <v>-0.05</v>
      </c>
      <c r="I530">
        <v>369.95979999999997</v>
      </c>
      <c r="J530">
        <v>-318.8381</v>
      </c>
      <c r="K530">
        <v>1.103561</v>
      </c>
      <c r="L530">
        <v>367.17169999999999</v>
      </c>
      <c r="M530">
        <v>0.99987269999999995</v>
      </c>
      <c r="N530">
        <v>0</v>
      </c>
      <c r="O530">
        <v>-2.7611229999999999E-3</v>
      </c>
      <c r="P530">
        <v>0.9991833</v>
      </c>
      <c r="Q530">
        <v>2.9013089999999998E-2</v>
      </c>
      <c r="R530">
        <v>2.8130169999999999E-2</v>
      </c>
      <c r="S530">
        <v>2.9976500000000001</v>
      </c>
      <c r="T530">
        <v>-0.12830619999999901</v>
      </c>
      <c r="U530">
        <v>0.3099365</v>
      </c>
      <c r="V530">
        <v>-3.0961209999999999E-2</v>
      </c>
      <c r="W530">
        <v>4.4663660000000001E-2</v>
      </c>
      <c r="X530">
        <v>0.99852220000000003</v>
      </c>
      <c r="Y530">
        <v>-0.1054933</v>
      </c>
      <c r="Z530">
        <v>2.3684829999999998E-3</v>
      </c>
      <c r="AA530">
        <v>0.994417199999999</v>
      </c>
      <c r="AB530">
        <v>61</v>
      </c>
      <c r="AC530">
        <v>26.658200000000001</v>
      </c>
      <c r="AD530">
        <v>-1.1535610000000001</v>
      </c>
      <c r="AE530">
        <v>2.78809999999998</v>
      </c>
      <c r="AF530">
        <v>-2.8564142945723598</v>
      </c>
      <c r="AG530">
        <v>-1.1535610000000001</v>
      </c>
      <c r="AH530">
        <v>26.601127727013701</v>
      </c>
      <c r="AI530">
        <v>92.468907253336994</v>
      </c>
      <c r="AJ530">
        <v>96.128904791469196</v>
      </c>
      <c r="AK530">
        <v>26.778905914018502</v>
      </c>
    </row>
    <row r="531" spans="1:37" x14ac:dyDescent="0.2">
      <c r="A531" t="str">
        <f>"20200111153414355"</f>
        <v>20200111153414355</v>
      </c>
      <c r="B531" t="str">
        <f>"1578728054346697"</f>
        <v>1578728054346697</v>
      </c>
      <c r="C531" t="s">
        <v>37</v>
      </c>
      <c r="D531">
        <v>4.8304809999999998</v>
      </c>
      <c r="E531">
        <v>0.47801099999999902</v>
      </c>
      <c r="F531" t="s">
        <v>38</v>
      </c>
      <c r="G531">
        <v>-289.48379999999997</v>
      </c>
      <c r="H531">
        <v>-0.05</v>
      </c>
      <c r="I531">
        <v>369.65300000000002</v>
      </c>
      <c r="J531">
        <v>-318.52460000000002</v>
      </c>
      <c r="K531">
        <v>1.1032500000000001</v>
      </c>
      <c r="L531">
        <v>367.17070000000001</v>
      </c>
      <c r="M531">
        <v>0.99986520000000001</v>
      </c>
      <c r="N531">
        <v>0</v>
      </c>
      <c r="O531">
        <v>-2.4996479999999902E-3</v>
      </c>
      <c r="P531">
        <v>0.99918490000000004</v>
      </c>
      <c r="Q531">
        <v>2.8483390000000001E-2</v>
      </c>
      <c r="R531">
        <v>2.860474E-2</v>
      </c>
      <c r="S531">
        <v>2.9987490000000001</v>
      </c>
      <c r="T531">
        <v>-0.1178443</v>
      </c>
      <c r="U531">
        <v>0.25347900000000001</v>
      </c>
      <c r="V531">
        <v>-3.117549E-2</v>
      </c>
      <c r="W531">
        <v>4.464746E-2</v>
      </c>
      <c r="X531">
        <v>0.99851630000000002</v>
      </c>
      <c r="Y531">
        <v>-8.6650389999999994E-2</v>
      </c>
      <c r="Z531">
        <v>1.7969360000000001E-3</v>
      </c>
      <c r="AA531">
        <v>0.99623719999999905</v>
      </c>
      <c r="AB531">
        <v>61</v>
      </c>
      <c r="AC531">
        <v>29.040800000000001</v>
      </c>
      <c r="AD531">
        <v>-1.1532500000000001</v>
      </c>
      <c r="AE531">
        <v>2.4823</v>
      </c>
      <c r="AF531">
        <v>-2.5509000066922898</v>
      </c>
      <c r="AG531">
        <v>-1.1532500000000001</v>
      </c>
      <c r="AH531">
        <v>28.989119500997599</v>
      </c>
      <c r="AI531">
        <v>92.269389045441997</v>
      </c>
      <c r="AJ531">
        <v>95.028794082262394</v>
      </c>
      <c r="AK531">
        <v>29.1239785374486</v>
      </c>
    </row>
    <row r="532" spans="1:37" x14ac:dyDescent="0.2">
      <c r="A532" t="str">
        <f>"20200111153414367"</f>
        <v>20200111153414367</v>
      </c>
      <c r="B532" t="str">
        <f>"1578728054357433"</f>
        <v>1578728054357433</v>
      </c>
      <c r="C532" t="s">
        <v>37</v>
      </c>
      <c r="D532">
        <v>4.8404339999999904</v>
      </c>
      <c r="E532">
        <v>0.47781359999999901</v>
      </c>
      <c r="F532" t="s">
        <v>38</v>
      </c>
      <c r="G532">
        <v>-289.83199999999999</v>
      </c>
      <c r="H532">
        <v>-0.05</v>
      </c>
      <c r="I532">
        <v>369.61410000000001</v>
      </c>
      <c r="J532">
        <v>-318.21379999999999</v>
      </c>
      <c r="K532">
        <v>1.1028229999999899</v>
      </c>
      <c r="L532">
        <v>367.16989999999998</v>
      </c>
      <c r="M532">
        <v>0.99985669999999904</v>
      </c>
      <c r="N532">
        <v>0</v>
      </c>
      <c r="O532">
        <v>-2.25384E-3</v>
      </c>
      <c r="P532">
        <v>0.99919500000000006</v>
      </c>
      <c r="Q532">
        <v>2.764289E-2</v>
      </c>
      <c r="R532">
        <v>2.906943E-2</v>
      </c>
      <c r="S532">
        <v>2.998535</v>
      </c>
      <c r="T532">
        <v>-0.12052110000000001</v>
      </c>
      <c r="U532">
        <v>0.25534059999999997</v>
      </c>
      <c r="V532">
        <v>-3.1394940000000003E-2</v>
      </c>
      <c r="W532">
        <v>4.4344010000000003E-2</v>
      </c>
      <c r="X532">
        <v>0.99852289999999999</v>
      </c>
      <c r="Y532">
        <v>-8.7022269999999999E-2</v>
      </c>
      <c r="Z532">
        <v>1.8354020000000001E-3</v>
      </c>
      <c r="AA532">
        <v>0.99620469999999905</v>
      </c>
      <c r="AB532">
        <v>61</v>
      </c>
      <c r="AC532">
        <v>28.381799999999998</v>
      </c>
      <c r="AD532">
        <v>-1.1528229999999999</v>
      </c>
      <c r="AE532">
        <v>2.4442000000000199</v>
      </c>
      <c r="AF532">
        <v>-2.5040698973354898</v>
      </c>
      <c r="AG532">
        <v>-1.1528229999999999</v>
      </c>
      <c r="AH532">
        <v>28.329822315121699</v>
      </c>
      <c r="AI532">
        <v>92.321206589259006</v>
      </c>
      <c r="AJ532">
        <v>95.051240251701898</v>
      </c>
      <c r="AK532">
        <v>28.4636294124</v>
      </c>
    </row>
    <row r="533" spans="1:37" x14ac:dyDescent="0.2">
      <c r="A533" t="str">
        <f>"20200111153414379"</f>
        <v>20200111153414379</v>
      </c>
      <c r="B533" t="str">
        <f>"1578728054367193"</f>
        <v>1578728054367193</v>
      </c>
      <c r="C533" t="s">
        <v>37</v>
      </c>
      <c r="D533">
        <v>4.8346099999999996</v>
      </c>
      <c r="E533">
        <v>0.47758420000000001</v>
      </c>
      <c r="F533" t="s">
        <v>38</v>
      </c>
      <c r="G533">
        <v>-290.6628</v>
      </c>
      <c r="H533">
        <v>-0.05</v>
      </c>
      <c r="I533">
        <v>369.54140000000001</v>
      </c>
      <c r="J533">
        <v>-317.88010000000003</v>
      </c>
      <c r="K533">
        <v>1.102312</v>
      </c>
      <c r="L533">
        <v>367.16899999999998</v>
      </c>
      <c r="M533">
        <v>0.99984719999999905</v>
      </c>
      <c r="N533">
        <v>0</v>
      </c>
      <c r="O533">
        <v>-1.9960720000000002E-3</v>
      </c>
      <c r="P533">
        <v>0.99920209999999998</v>
      </c>
      <c r="Q533">
        <v>2.6841650000000002E-2</v>
      </c>
      <c r="R533">
        <v>2.9578009999999998E-2</v>
      </c>
      <c r="S533">
        <v>2.9983520000000001</v>
      </c>
      <c r="T533">
        <v>-0.12546070000000001</v>
      </c>
      <c r="U533">
        <v>0.25808720000000002</v>
      </c>
      <c r="V533">
        <v>-3.1647580000000002E-2</v>
      </c>
      <c r="W533">
        <v>4.413632E-2</v>
      </c>
      <c r="X533">
        <v>0.99852410000000003</v>
      </c>
      <c r="Y533">
        <v>-8.767018E-2</v>
      </c>
      <c r="Z533">
        <v>1.913367E-3</v>
      </c>
      <c r="AA533">
        <v>0.99614769999999897</v>
      </c>
      <c r="AB533">
        <v>60</v>
      </c>
      <c r="AC533">
        <v>27.217300000000002</v>
      </c>
      <c r="AD533">
        <v>-1.152312</v>
      </c>
      <c r="AE533">
        <v>2.3723999999999701</v>
      </c>
      <c r="AF533">
        <v>-2.4224217982509999</v>
      </c>
      <c r="AG533">
        <v>-1.152312</v>
      </c>
      <c r="AH533">
        <v>27.164185932908701</v>
      </c>
      <c r="AI533">
        <v>92.419456027377194</v>
      </c>
      <c r="AJ533">
        <v>95.095988075323902</v>
      </c>
      <c r="AK533">
        <v>27.296317475286301</v>
      </c>
    </row>
    <row r="534" spans="1:37" x14ac:dyDescent="0.2">
      <c r="A534" t="str">
        <f>"20200111153414392"</f>
        <v>20200111153414392</v>
      </c>
      <c r="B534" t="str">
        <f>"1578728054386713"</f>
        <v>1578728054386713</v>
      </c>
      <c r="C534" t="s">
        <v>37</v>
      </c>
      <c r="D534">
        <v>4.8754999999999997</v>
      </c>
      <c r="E534">
        <v>0.47757519999999998</v>
      </c>
      <c r="F534" t="s">
        <v>38</v>
      </c>
      <c r="G534">
        <v>-291.65129999999999</v>
      </c>
      <c r="H534">
        <v>-0.05</v>
      </c>
      <c r="I534">
        <v>369.4529</v>
      </c>
      <c r="J534">
        <v>-317.51609999999999</v>
      </c>
      <c r="K534">
        <v>1.1015520000000001</v>
      </c>
      <c r="L534">
        <v>367.16820000000001</v>
      </c>
      <c r="M534">
        <v>0.99983419999999901</v>
      </c>
      <c r="N534">
        <v>0</v>
      </c>
      <c r="O534">
        <v>-1.724962E-3</v>
      </c>
      <c r="P534">
        <v>0.99918759999999995</v>
      </c>
      <c r="Q534">
        <v>2.6345710000000001E-2</v>
      </c>
      <c r="R534">
        <v>3.0503309999999999E-2</v>
      </c>
      <c r="S534">
        <v>2.9981990000000001</v>
      </c>
      <c r="T534">
        <v>-0.13172</v>
      </c>
      <c r="U534">
        <v>0.26107789999999997</v>
      </c>
      <c r="V534">
        <v>-3.23033E-2</v>
      </c>
      <c r="W534">
        <v>4.4401179999999998E-2</v>
      </c>
      <c r="X534">
        <v>0.99849140000000003</v>
      </c>
      <c r="Y534">
        <v>-8.8382290000000002E-2</v>
      </c>
      <c r="Z534">
        <v>2.0124729999999999E-3</v>
      </c>
      <c r="AA534">
        <v>0.99608459999999999</v>
      </c>
      <c r="AB534">
        <v>61</v>
      </c>
      <c r="AC534">
        <v>25.864799999999999</v>
      </c>
      <c r="AD534">
        <v>-1.1515519999999999</v>
      </c>
      <c r="AE534">
        <v>2.28469999999998</v>
      </c>
      <c r="AF534">
        <v>-2.3247472773836702</v>
      </c>
      <c r="AG534">
        <v>-1.1515519999999999</v>
      </c>
      <c r="AH534">
        <v>25.810055081926802</v>
      </c>
      <c r="AI534">
        <v>92.544351274104798</v>
      </c>
      <c r="AJ534">
        <v>95.146821439990205</v>
      </c>
      <c r="AK534">
        <v>25.940113053811199</v>
      </c>
    </row>
    <row r="535" spans="1:37" x14ac:dyDescent="0.2">
      <c r="A535" t="str">
        <f>"20200111153414408"</f>
        <v>20200111153414408</v>
      </c>
      <c r="B535" t="str">
        <f>"1578728054397448"</f>
        <v>1578728054397448</v>
      </c>
      <c r="C535" t="s">
        <v>37</v>
      </c>
      <c r="D535">
        <v>4.9389050000000001</v>
      </c>
      <c r="E535">
        <v>0.47757519999999998</v>
      </c>
      <c r="F535" t="s">
        <v>38</v>
      </c>
      <c r="G535">
        <v>-292.05799999999999</v>
      </c>
      <c r="H535">
        <v>-0.05</v>
      </c>
      <c r="I535">
        <v>369.40719999999999</v>
      </c>
      <c r="J535">
        <v>-317.1114</v>
      </c>
      <c r="K535">
        <v>1.100576</v>
      </c>
      <c r="L535">
        <v>367.16730000000001</v>
      </c>
      <c r="M535">
        <v>0.99981799999999998</v>
      </c>
      <c r="N535">
        <v>0</v>
      </c>
      <c r="O535">
        <v>-1.426332E-3</v>
      </c>
      <c r="P535">
        <v>0.99911669999999997</v>
      </c>
      <c r="Q535">
        <v>2.684636E-2</v>
      </c>
      <c r="R535">
        <v>3.23284E-2</v>
      </c>
      <c r="S535">
        <v>2.9979550000000001</v>
      </c>
      <c r="T535">
        <v>-0.1356068</v>
      </c>
      <c r="U535">
        <v>0.26367190000000001</v>
      </c>
      <c r="V535">
        <v>-3.3833759999999997E-2</v>
      </c>
      <c r="W535">
        <v>4.5789259999999998E-2</v>
      </c>
      <c r="X535">
        <v>0.99837799999999999</v>
      </c>
      <c r="Y535">
        <v>-8.8941709999999993E-2</v>
      </c>
      <c r="Z535">
        <v>2.0710329999999999E-3</v>
      </c>
      <c r="AA535">
        <v>0.99603469999999905</v>
      </c>
      <c r="AB535">
        <v>61</v>
      </c>
      <c r="AC535">
        <v>25.0534</v>
      </c>
      <c r="AD535">
        <v>-1.150576</v>
      </c>
      <c r="AE535">
        <v>2.2398999999999698</v>
      </c>
      <c r="AF535">
        <v>-2.2708871065446501</v>
      </c>
      <c r="AG535">
        <v>-1.150576</v>
      </c>
      <c r="AH535">
        <v>24.997874144644701</v>
      </c>
      <c r="AI535">
        <v>92.624498446070703</v>
      </c>
      <c r="AJ535">
        <v>95.190685073207007</v>
      </c>
      <c r="AK535">
        <v>25.127165879460801</v>
      </c>
    </row>
    <row r="536" spans="1:37" x14ac:dyDescent="0.2">
      <c r="A536" t="str">
        <f>"20200111153414420"</f>
        <v>20200111153414420</v>
      </c>
      <c r="B536" t="str">
        <f>"1578728054416970"</f>
        <v>1578728054416970</v>
      </c>
      <c r="C536" t="s">
        <v>37</v>
      </c>
      <c r="D536">
        <v>4.8458649999999999</v>
      </c>
      <c r="E536">
        <v>0.44609090000000001</v>
      </c>
      <c r="F536" t="s">
        <v>38</v>
      </c>
      <c r="G536">
        <v>-291.42430000000002</v>
      </c>
      <c r="H536">
        <v>-0.05</v>
      </c>
      <c r="I536">
        <v>369.47250000000003</v>
      </c>
      <c r="J536">
        <v>-316.76220000000001</v>
      </c>
      <c r="K536">
        <v>1.0996109999999999</v>
      </c>
      <c r="L536">
        <v>367.16660000000002</v>
      </c>
      <c r="M536">
        <v>0.99980309999999994</v>
      </c>
      <c r="N536">
        <v>0</v>
      </c>
      <c r="O536">
        <v>-1.1712199999999999E-3</v>
      </c>
      <c r="P536">
        <v>0.99908200000000003</v>
      </c>
      <c r="Q536">
        <v>2.698002E-2</v>
      </c>
      <c r="R536">
        <v>3.328267E-2</v>
      </c>
      <c r="S536">
        <v>2.9975589999999999</v>
      </c>
      <c r="T536">
        <v>-0.13426629999999901</v>
      </c>
      <c r="U536">
        <v>0.26901249999999999</v>
      </c>
      <c r="V536">
        <v>-3.4536379999999998E-2</v>
      </c>
      <c r="W536">
        <v>4.6708099999999898E-2</v>
      </c>
      <c r="X536">
        <v>0.99831130000000001</v>
      </c>
      <c r="Y536">
        <v>-9.0460180000000001E-2</v>
      </c>
      <c r="Z536">
        <v>2.0732110000000002E-3</v>
      </c>
      <c r="AA536">
        <v>0.995897899999999</v>
      </c>
      <c r="AB536">
        <v>60</v>
      </c>
      <c r="AC536">
        <v>25.337899999999902</v>
      </c>
      <c r="AD536">
        <v>-1.1496109999999999</v>
      </c>
      <c r="AE536">
        <v>2.3058999999999998</v>
      </c>
      <c r="AF536">
        <v>-2.3308218049741298</v>
      </c>
      <c r="AG536">
        <v>-1.1496109999999999</v>
      </c>
      <c r="AH536">
        <v>25.283561512720301</v>
      </c>
      <c r="AI536">
        <v>92.592394942964106</v>
      </c>
      <c r="AJ536">
        <v>95.267052897429707</v>
      </c>
      <c r="AK536">
        <v>25.416782221700998</v>
      </c>
    </row>
    <row r="537" spans="1:37" x14ac:dyDescent="0.2">
      <c r="A537" t="str">
        <f>"20200111153414433"</f>
        <v>20200111153414433</v>
      </c>
      <c r="B537" t="str">
        <f>"1578728054426729"</f>
        <v>1578728054426729</v>
      </c>
      <c r="C537" t="s">
        <v>37</v>
      </c>
      <c r="D537">
        <v>4.8493629999999897</v>
      </c>
      <c r="E537">
        <v>0.441739099999999</v>
      </c>
      <c r="F537" t="s">
        <v>38</v>
      </c>
      <c r="G537">
        <v>-292.57240000000002</v>
      </c>
      <c r="H537">
        <v>-0.05</v>
      </c>
      <c r="I537">
        <v>371.39760000000001</v>
      </c>
      <c r="J537">
        <v>-316.41500000000002</v>
      </c>
      <c r="K537">
        <v>1.0984780000000001</v>
      </c>
      <c r="L537">
        <v>367.166</v>
      </c>
      <c r="M537">
        <v>0.99978820000000002</v>
      </c>
      <c r="N537">
        <v>0</v>
      </c>
      <c r="O537">
        <v>-9.2196789999999997E-4</v>
      </c>
      <c r="P537">
        <v>0.99904319999999902</v>
      </c>
      <c r="Q537">
        <v>2.7006180000000001E-2</v>
      </c>
      <c r="R537">
        <v>3.4398629999999999E-2</v>
      </c>
      <c r="S537">
        <v>2.9891359999999998</v>
      </c>
      <c r="T537">
        <v>-0.14205719999999999</v>
      </c>
      <c r="U537">
        <v>0.52282709999999999</v>
      </c>
      <c r="V537">
        <v>-3.5407180000000003E-2</v>
      </c>
      <c r="W537">
        <v>4.7474479999999999E-2</v>
      </c>
      <c r="X537">
        <v>0.99824469999999998</v>
      </c>
      <c r="Y537">
        <v>-0.17301129999999901</v>
      </c>
      <c r="Z537">
        <v>4.1213909999999899E-3</v>
      </c>
      <c r="AA537">
        <v>0.98491119999999899</v>
      </c>
      <c r="AB537">
        <v>60</v>
      </c>
      <c r="AC537">
        <v>23.842600000000001</v>
      </c>
      <c r="AD537">
        <v>-1.1484780000000001</v>
      </c>
      <c r="AE537">
        <v>4.23160000000001</v>
      </c>
      <c r="AF537">
        <v>-4.2440383657873202</v>
      </c>
      <c r="AG537">
        <v>-1.1484780000000001</v>
      </c>
      <c r="AH537">
        <v>23.785184938399102</v>
      </c>
      <c r="AI537">
        <v>92.721486863698502</v>
      </c>
      <c r="AJ537">
        <v>100.11693024488601</v>
      </c>
      <c r="AK537">
        <v>24.188135230327401</v>
      </c>
    </row>
    <row r="538" spans="1:37" x14ac:dyDescent="0.2">
      <c r="A538" t="str">
        <f>"20200111153414445"</f>
        <v>20200111153414445</v>
      </c>
      <c r="B538" t="str">
        <f>"1578728054436490"</f>
        <v>1578728054436490</v>
      </c>
      <c r="C538" t="s">
        <v>37</v>
      </c>
      <c r="D538">
        <v>4.7748029999999897</v>
      </c>
      <c r="E538">
        <v>0.43952790000000003</v>
      </c>
      <c r="F538" t="s">
        <v>38</v>
      </c>
      <c r="G538">
        <v>-293.2912</v>
      </c>
      <c r="H538">
        <v>-0.05</v>
      </c>
      <c r="I538">
        <v>371.50279999999998</v>
      </c>
      <c r="J538">
        <v>-316.0915</v>
      </c>
      <c r="K538">
        <v>1.097324</v>
      </c>
      <c r="L538">
        <v>367.16559999999998</v>
      </c>
      <c r="M538">
        <v>0.99977549999999904</v>
      </c>
      <c r="N538">
        <v>0</v>
      </c>
      <c r="O538">
        <v>-6.9741529999999897E-4</v>
      </c>
      <c r="P538">
        <v>0.99900900000000004</v>
      </c>
      <c r="Q538">
        <v>2.7126339999999999E-2</v>
      </c>
      <c r="R538">
        <v>3.5285789999999997E-2</v>
      </c>
      <c r="S538">
        <v>2.9875790000000002</v>
      </c>
      <c r="T538">
        <v>-0.14838209999999999</v>
      </c>
      <c r="U538">
        <v>0.56030269999999904</v>
      </c>
      <c r="V538">
        <v>-3.607469E-2</v>
      </c>
      <c r="W538">
        <v>4.8204160000000003E-2</v>
      </c>
      <c r="X538">
        <v>0.99818580000000001</v>
      </c>
      <c r="Y538">
        <v>-0.18479499999999999</v>
      </c>
      <c r="Z538">
        <v>4.5809839999999998E-3</v>
      </c>
      <c r="AA538">
        <v>0.98276640000000004</v>
      </c>
      <c r="AB538">
        <v>60</v>
      </c>
      <c r="AC538">
        <v>22.8003</v>
      </c>
      <c r="AD538">
        <v>-1.147324</v>
      </c>
      <c r="AE538">
        <v>4.3371999999999904</v>
      </c>
      <c r="AF538">
        <v>-4.3424919071564503</v>
      </c>
      <c r="AG538">
        <v>-1.147324</v>
      </c>
      <c r="AH538">
        <v>22.7416943592496</v>
      </c>
      <c r="AI538">
        <v>92.836966599929596</v>
      </c>
      <c r="AJ538">
        <v>100.810408238544</v>
      </c>
      <c r="AK538">
        <v>23.180988992150901</v>
      </c>
    </row>
    <row r="539" spans="1:37" x14ac:dyDescent="0.2">
      <c r="A539" t="str">
        <f>"20200111153414458"</f>
        <v>20200111153414458</v>
      </c>
      <c r="B539" t="str">
        <f>"1578728054447225"</f>
        <v>1578728054447225</v>
      </c>
      <c r="C539" t="s">
        <v>37</v>
      </c>
      <c r="D539">
        <v>4.7338300000000002</v>
      </c>
      <c r="E539">
        <v>0.43868390000000002</v>
      </c>
      <c r="F539" t="s">
        <v>38</v>
      </c>
      <c r="G539">
        <v>-293.7457</v>
      </c>
      <c r="H539">
        <v>-0.05</v>
      </c>
      <c r="I539">
        <v>371.51190000000003</v>
      </c>
      <c r="J539">
        <v>-315.73419999999999</v>
      </c>
      <c r="K539">
        <v>1.095963</v>
      </c>
      <c r="L539">
        <v>367.16520000000003</v>
      </c>
      <c r="M539">
        <v>0.9997625</v>
      </c>
      <c r="N539">
        <v>0</v>
      </c>
      <c r="O539">
        <v>-4.5556969999999998E-4</v>
      </c>
      <c r="P539">
        <v>0.99897130000000001</v>
      </c>
      <c r="Q539">
        <v>2.738266E-2</v>
      </c>
      <c r="R539">
        <v>3.6145620000000003E-2</v>
      </c>
      <c r="S539">
        <v>2.9866329999999999</v>
      </c>
      <c r="T539">
        <v>-0.1533457</v>
      </c>
      <c r="U539">
        <v>0.58090209999999998</v>
      </c>
      <c r="V539">
        <v>-3.6699530000000001E-2</v>
      </c>
      <c r="W539">
        <v>4.9064299999999998E-2</v>
      </c>
      <c r="X539">
        <v>0.99812109999999998</v>
      </c>
      <c r="Y539">
        <v>-0.19112689999999999</v>
      </c>
      <c r="Z539">
        <v>4.8811159999999996E-3</v>
      </c>
      <c r="AA539">
        <v>0.98155319999999902</v>
      </c>
      <c r="AB539">
        <v>60</v>
      </c>
      <c r="AC539">
        <v>21.988499999999899</v>
      </c>
      <c r="AD539">
        <v>-1.1459629999999901</v>
      </c>
      <c r="AE539">
        <v>4.3466999999999896</v>
      </c>
      <c r="AF539">
        <v>-4.3453605431728404</v>
      </c>
      <c r="AG539">
        <v>-1.1459629999999901</v>
      </c>
      <c r="AH539">
        <v>21.929194581499701</v>
      </c>
      <c r="AI539">
        <v>92.934454790390902</v>
      </c>
      <c r="AJ539">
        <v>101.208203797178</v>
      </c>
      <c r="AK539">
        <v>22.384927170772901</v>
      </c>
    </row>
    <row r="540" spans="1:37" x14ac:dyDescent="0.2">
      <c r="A540" t="str">
        <f>"20200111153414471"</f>
        <v>20200111153414471</v>
      </c>
      <c r="B540" t="str">
        <f>"1578728054466746"</f>
        <v>1578728054466746</v>
      </c>
      <c r="C540" t="s">
        <v>37</v>
      </c>
      <c r="D540">
        <v>4.76145</v>
      </c>
      <c r="E540">
        <v>0.43792309999999901</v>
      </c>
      <c r="F540" t="s">
        <v>38</v>
      </c>
      <c r="G540">
        <v>-293.44619999999998</v>
      </c>
      <c r="H540">
        <v>-0.05</v>
      </c>
      <c r="I540">
        <v>371.56909999999999</v>
      </c>
      <c r="J540">
        <v>-315.37520000000001</v>
      </c>
      <c r="K540">
        <v>1.09443</v>
      </c>
      <c r="L540">
        <v>367.16500000000002</v>
      </c>
      <c r="M540">
        <v>0.99975369999999997</v>
      </c>
      <c r="N540">
        <v>0</v>
      </c>
      <c r="O540">
        <v>-2.3625830000000001E-4</v>
      </c>
      <c r="P540">
        <v>0.99895059999999902</v>
      </c>
      <c r="Q540">
        <v>2.7192770000000002E-2</v>
      </c>
      <c r="R540">
        <v>3.6858229999999999E-2</v>
      </c>
      <c r="S540">
        <v>2.9859619999999998</v>
      </c>
      <c r="T540">
        <v>-0.15352679999999999</v>
      </c>
      <c r="U540">
        <v>0.58999630000000003</v>
      </c>
      <c r="V540">
        <v>-3.7199349999999999E-2</v>
      </c>
      <c r="W540">
        <v>4.92772E-2</v>
      </c>
      <c r="X540">
        <v>0.99809219999999899</v>
      </c>
      <c r="Y540">
        <v>-0.19382739999999901</v>
      </c>
      <c r="Z540">
        <v>4.9440859999999899E-3</v>
      </c>
      <c r="AA540">
        <v>0.98102319999999998</v>
      </c>
      <c r="AB540">
        <v>60</v>
      </c>
      <c r="AC540">
        <v>21.928999999999998</v>
      </c>
      <c r="AD540">
        <v>-1.1444299999999901</v>
      </c>
      <c r="AE540">
        <v>4.4040999999999704</v>
      </c>
      <c r="AF540">
        <v>-4.39776875146321</v>
      </c>
      <c r="AG540">
        <v>-1.1444299999999901</v>
      </c>
      <c r="AH540">
        <v>21.870701371403499</v>
      </c>
      <c r="AI540">
        <v>92.9367128565776</v>
      </c>
      <c r="AJ540">
        <v>101.36944000590699</v>
      </c>
      <c r="AK540">
        <v>22.337808050329301</v>
      </c>
    </row>
    <row r="541" spans="1:37" x14ac:dyDescent="0.2">
      <c r="A541" t="str">
        <f>"20200111153414487"</f>
        <v>20200111153414487</v>
      </c>
      <c r="B541" t="str">
        <f>"1578728054476505"</f>
        <v>1578728054476505</v>
      </c>
      <c r="C541" t="s">
        <v>37</v>
      </c>
      <c r="D541">
        <v>4.782673</v>
      </c>
      <c r="E541">
        <v>0.43780360000000001</v>
      </c>
      <c r="F541" t="s">
        <v>38</v>
      </c>
      <c r="G541">
        <v>-293.7654</v>
      </c>
      <c r="H541">
        <v>-0.05</v>
      </c>
      <c r="I541">
        <v>371.49400000000003</v>
      </c>
      <c r="J541">
        <v>-314.98540000000003</v>
      </c>
      <c r="K541">
        <v>1.0926769999999999</v>
      </c>
      <c r="L541">
        <v>367.16489999999999</v>
      </c>
      <c r="M541">
        <v>0.99974629999999998</v>
      </c>
      <c r="N541">
        <v>0</v>
      </c>
      <c r="O541" s="1">
        <v>-6.905248E-6</v>
      </c>
      <c r="P541">
        <v>0.998901499999999</v>
      </c>
      <c r="Q541">
        <v>2.727796E-2</v>
      </c>
      <c r="R541">
        <v>3.8104789999999999E-2</v>
      </c>
      <c r="S541">
        <v>2.9854129999999999</v>
      </c>
      <c r="T541">
        <v>-0.15810379999999999</v>
      </c>
      <c r="U541">
        <v>0.59805299999999995</v>
      </c>
      <c r="V541">
        <v>-3.8224180000000003E-2</v>
      </c>
      <c r="W541">
        <v>4.9683430000000001E-2</v>
      </c>
      <c r="X541">
        <v>0.99803330000000001</v>
      </c>
      <c r="Y541">
        <v>-0.19616510000000001</v>
      </c>
      <c r="Z541">
        <v>5.1401060000000002E-3</v>
      </c>
      <c r="AA541">
        <v>0.98055740000000002</v>
      </c>
      <c r="AB541">
        <v>60</v>
      </c>
      <c r="AC541">
        <v>21.22</v>
      </c>
      <c r="AD541">
        <v>-1.1426769999999999</v>
      </c>
      <c r="AE541">
        <v>4.3291000000000404</v>
      </c>
      <c r="AF541">
        <v>-4.3172280242036702</v>
      </c>
      <c r="AG541">
        <v>-1.1426769999999999</v>
      </c>
      <c r="AH541">
        <v>21.161060747074899</v>
      </c>
      <c r="AI541">
        <v>93.028646658889201</v>
      </c>
      <c r="AJ541">
        <v>101.53109641506001</v>
      </c>
      <c r="AK541">
        <v>21.6271741214771</v>
      </c>
    </row>
    <row r="542" spans="1:37" x14ac:dyDescent="0.2">
      <c r="A542" t="str">
        <f>"20200111153414500"</f>
        <v>20200111153414500</v>
      </c>
      <c r="B542" t="str">
        <f>"1578728054497002"</f>
        <v>1578728054497002</v>
      </c>
      <c r="C542" t="s">
        <v>37</v>
      </c>
      <c r="D542">
        <v>4.7767109999999997</v>
      </c>
      <c r="E542">
        <v>0.4376157</v>
      </c>
      <c r="F542" t="s">
        <v>38</v>
      </c>
      <c r="G542">
        <v>-293.53070000000002</v>
      </c>
      <c r="H542">
        <v>-0.05</v>
      </c>
      <c r="I542">
        <v>371.49619999999999</v>
      </c>
      <c r="J542">
        <v>-314.6103</v>
      </c>
      <c r="K542">
        <v>1.0909070000000001</v>
      </c>
      <c r="L542">
        <v>367.16489999999999</v>
      </c>
      <c r="M542">
        <v>0.99974169999999996</v>
      </c>
      <c r="N542">
        <v>0</v>
      </c>
      <c r="O542">
        <v>1.9662400000000001E-4</v>
      </c>
      <c r="P542">
        <v>0.99888159999999904</v>
      </c>
      <c r="Q542">
        <v>2.7097030000000001E-2</v>
      </c>
      <c r="R542">
        <v>3.8748119999999997E-2</v>
      </c>
      <c r="S542">
        <v>2.9846499999999998</v>
      </c>
      <c r="T542">
        <v>-0.1589624</v>
      </c>
      <c r="U542">
        <v>0.60253909999999999</v>
      </c>
      <c r="V542">
        <v>-3.8669580000000002E-2</v>
      </c>
      <c r="W542">
        <v>4.9701530000000001E-2</v>
      </c>
      <c r="X542">
        <v>0.99801519999999999</v>
      </c>
      <c r="Y542">
        <v>-0.19742579999999901</v>
      </c>
      <c r="Z542">
        <v>5.1910029999999996E-3</v>
      </c>
      <c r="AA542">
        <v>0.98030409999999901</v>
      </c>
      <c r="AB542">
        <v>60</v>
      </c>
      <c r="AC542">
        <v>21.0795999999999</v>
      </c>
      <c r="AD542">
        <v>-1.1409069999999999</v>
      </c>
      <c r="AE542">
        <v>4.3312999999999899</v>
      </c>
      <c r="AF542">
        <v>-4.3150257879271097</v>
      </c>
      <c r="AG542">
        <v>-1.1409069999999999</v>
      </c>
      <c r="AH542">
        <v>21.021366406585301</v>
      </c>
      <c r="AI542">
        <v>93.0432751712748</v>
      </c>
      <c r="AJ542">
        <v>101.599892686361</v>
      </c>
      <c r="AK542">
        <v>21.489973520994401</v>
      </c>
    </row>
    <row r="543" spans="1:37" x14ac:dyDescent="0.2">
      <c r="A543" t="str">
        <f>"20200111153414512"</f>
        <v>20200111153414512</v>
      </c>
      <c r="B543" t="str">
        <f>"1578728054506762"</f>
        <v>1578728054506762</v>
      </c>
      <c r="C543" t="s">
        <v>37</v>
      </c>
      <c r="D543">
        <v>4.7588419999999996</v>
      </c>
      <c r="E543">
        <v>0.43757209999999902</v>
      </c>
      <c r="F543" t="s">
        <v>38</v>
      </c>
      <c r="G543">
        <v>-293.58769999999998</v>
      </c>
      <c r="H543">
        <v>-0.05</v>
      </c>
      <c r="I543">
        <v>371.4341</v>
      </c>
      <c r="J543">
        <v>-314.26979999999998</v>
      </c>
      <c r="K543">
        <v>1.089215</v>
      </c>
      <c r="L543">
        <v>367.1651</v>
      </c>
      <c r="M543">
        <v>0.99973999999999996</v>
      </c>
      <c r="N543">
        <v>0</v>
      </c>
      <c r="O543">
        <v>3.1890959999999899E-4</v>
      </c>
      <c r="P543">
        <v>0.99886520000000001</v>
      </c>
      <c r="Q543">
        <v>2.687749E-2</v>
      </c>
      <c r="R543">
        <v>3.9319649999999998E-2</v>
      </c>
      <c r="S543">
        <v>2.9842219999999999</v>
      </c>
      <c r="T543">
        <v>-0.16195509999999999</v>
      </c>
      <c r="U543">
        <v>0.6060181</v>
      </c>
      <c r="V543">
        <v>-3.9122909999999997E-2</v>
      </c>
      <c r="W543">
        <v>4.9553420000000001E-2</v>
      </c>
      <c r="X543">
        <v>0.99800489999999997</v>
      </c>
      <c r="Y543">
        <v>-0.1984194</v>
      </c>
      <c r="Z543">
        <v>5.3088359999999999E-3</v>
      </c>
      <c r="AA543">
        <v>0.98010280000000005</v>
      </c>
      <c r="AB543">
        <v>60</v>
      </c>
      <c r="AC543">
        <v>20.682099999999899</v>
      </c>
      <c r="AD543">
        <v>-1.1392150000000001</v>
      </c>
      <c r="AE543">
        <v>4.2690000000000001</v>
      </c>
      <c r="AF543">
        <v>-4.25003448440419</v>
      </c>
      <c r="AG543">
        <v>-1.1392150000000001</v>
      </c>
      <c r="AH543">
        <v>20.623445225898401</v>
      </c>
      <c r="AI543">
        <v>93.096795563535395</v>
      </c>
      <c r="AJ543">
        <v>101.64437721260801</v>
      </c>
      <c r="AK543">
        <v>21.087605291271998</v>
      </c>
    </row>
    <row r="544" spans="1:37" x14ac:dyDescent="0.2">
      <c r="A544" t="str">
        <f>"20200111153414525"</f>
        <v>20200111153414525</v>
      </c>
      <c r="B544" t="str">
        <f>"1578728054517497"</f>
        <v>1578728054517497</v>
      </c>
      <c r="C544" t="s">
        <v>37</v>
      </c>
      <c r="D544">
        <v>4.7801010000000002</v>
      </c>
      <c r="E544">
        <v>0.437611799999999</v>
      </c>
      <c r="F544" t="s">
        <v>38</v>
      </c>
      <c r="G544">
        <v>-293.48559999999998</v>
      </c>
      <c r="H544">
        <v>-0.05</v>
      </c>
      <c r="I544">
        <v>371.39929999999998</v>
      </c>
      <c r="J544">
        <v>-313.94659999999999</v>
      </c>
      <c r="K544">
        <v>1.0875729999999999</v>
      </c>
      <c r="L544">
        <v>367.16539999999998</v>
      </c>
      <c r="M544">
        <v>0.99973849999999997</v>
      </c>
      <c r="N544">
        <v>0</v>
      </c>
      <c r="O544">
        <v>4.2823509999999999E-4</v>
      </c>
      <c r="P544">
        <v>0.99884619999999902</v>
      </c>
      <c r="Q544">
        <v>2.6809380000000001E-2</v>
      </c>
      <c r="R544">
        <v>3.9849910000000002E-2</v>
      </c>
      <c r="S544">
        <v>2.98388699999999</v>
      </c>
      <c r="T544">
        <v>-0.16355129999999901</v>
      </c>
      <c r="U544">
        <v>0.60787959999999996</v>
      </c>
      <c r="V544">
        <v>-3.9545990000000003E-2</v>
      </c>
      <c r="W544">
        <v>4.9548189999999999E-2</v>
      </c>
      <c r="X544">
        <v>0.99798849999999995</v>
      </c>
      <c r="Y544">
        <v>-0.1989147</v>
      </c>
      <c r="Z544">
        <v>5.3688429999999999E-3</v>
      </c>
      <c r="AA544">
        <v>0.98000209999999999</v>
      </c>
      <c r="AB544">
        <v>60</v>
      </c>
      <c r="AC544">
        <v>20.460999999999999</v>
      </c>
      <c r="AD544">
        <v>-1.1375729999999999</v>
      </c>
      <c r="AE544">
        <v>4.2339000000000002</v>
      </c>
      <c r="AF544">
        <v>-4.2126483925350096</v>
      </c>
      <c r="AG544">
        <v>-1.1375729999999999</v>
      </c>
      <c r="AH544">
        <v>20.402336658560301</v>
      </c>
      <c r="AI544">
        <v>93.125540114631406</v>
      </c>
      <c r="AJ544">
        <v>101.666410084887</v>
      </c>
      <c r="AK544">
        <v>20.863744149569399</v>
      </c>
    </row>
    <row r="545" spans="1:37" x14ac:dyDescent="0.2">
      <c r="A545" t="str">
        <f>"20200111153414537"</f>
        <v>20200111153414537</v>
      </c>
      <c r="B545" t="str">
        <f>"1578728054527258"</f>
        <v>1578728054527258</v>
      </c>
      <c r="C545" t="s">
        <v>37</v>
      </c>
      <c r="D545">
        <v>4.7794080000000001</v>
      </c>
      <c r="E545">
        <v>0.43765379999999998</v>
      </c>
      <c r="F545" t="s">
        <v>38</v>
      </c>
      <c r="G545">
        <v>-293.37920000000003</v>
      </c>
      <c r="H545">
        <v>-0.05</v>
      </c>
      <c r="I545">
        <v>371.36250000000001</v>
      </c>
      <c r="J545">
        <v>-313.61500000000001</v>
      </c>
      <c r="K545">
        <v>1.08586</v>
      </c>
      <c r="L545">
        <v>367.16570000000002</v>
      </c>
      <c r="M545">
        <v>0.99973679999999998</v>
      </c>
      <c r="N545">
        <v>0</v>
      </c>
      <c r="O545">
        <v>5.3441060000000002E-4</v>
      </c>
      <c r="P545">
        <v>0.99883049999999995</v>
      </c>
      <c r="Q545">
        <v>2.6506680000000001E-2</v>
      </c>
      <c r="R545">
        <v>4.0434739999999997E-2</v>
      </c>
      <c r="S545">
        <v>2.9836119999999999</v>
      </c>
      <c r="T545">
        <v>-0.16502259999999999</v>
      </c>
      <c r="U545">
        <v>0.60885619999999996</v>
      </c>
      <c r="V545">
        <v>-4.002472E-2</v>
      </c>
      <c r="W545">
        <v>4.9304819999999999E-2</v>
      </c>
      <c r="X545">
        <v>0.99798149999999997</v>
      </c>
      <c r="Y545">
        <v>-0.1991309</v>
      </c>
      <c r="Z545">
        <v>5.4174840000000002E-3</v>
      </c>
      <c r="AA545">
        <v>0.97995789999999905</v>
      </c>
      <c r="AB545">
        <v>60</v>
      </c>
      <c r="AC545">
        <v>20.235799999999902</v>
      </c>
      <c r="AD545">
        <v>-1.1358600000000001</v>
      </c>
      <c r="AE545">
        <v>4.1967999999999899</v>
      </c>
      <c r="AF545">
        <v>-4.1733754739283704</v>
      </c>
      <c r="AG545">
        <v>-1.1358600000000001</v>
      </c>
      <c r="AH545">
        <v>20.177089935765601</v>
      </c>
      <c r="AI545">
        <v>93.155388519400105</v>
      </c>
      <c r="AJ545">
        <v>101.686115443571</v>
      </c>
      <c r="AK545">
        <v>20.635459749226801</v>
      </c>
    </row>
    <row r="546" spans="1:37" x14ac:dyDescent="0.2">
      <c r="A546" t="str">
        <f>"20200111153414553"</f>
        <v>20200111153414553</v>
      </c>
      <c r="B546" t="str">
        <f>"1578728054546779"</f>
        <v>1578728054546779</v>
      </c>
      <c r="C546" t="s">
        <v>37</v>
      </c>
      <c r="D546">
        <v>4.7748229999999996</v>
      </c>
      <c r="E546">
        <v>0.43766109999999903</v>
      </c>
      <c r="F546" t="s">
        <v>38</v>
      </c>
      <c r="G546">
        <v>-293.29820000000001</v>
      </c>
      <c r="H546">
        <v>-0.05</v>
      </c>
      <c r="I546">
        <v>371.32089999999999</v>
      </c>
      <c r="J546">
        <v>-313.18680000000001</v>
      </c>
      <c r="K546">
        <v>1.0836049999999999</v>
      </c>
      <c r="L546">
        <v>367.16629999999998</v>
      </c>
      <c r="M546">
        <v>0.99973480000000003</v>
      </c>
      <c r="N546">
        <v>0</v>
      </c>
      <c r="O546">
        <v>7.1988199999999895E-4</v>
      </c>
      <c r="P546">
        <v>0.99881909999999896</v>
      </c>
      <c r="Q546">
        <v>2.5326830000000002E-2</v>
      </c>
      <c r="R546">
        <v>4.1459669999999997E-2</v>
      </c>
      <c r="S546">
        <v>2.9832459999999998</v>
      </c>
      <c r="T546">
        <v>-0.16678499999999999</v>
      </c>
      <c r="U546">
        <v>0.61013790000000001</v>
      </c>
      <c r="V546">
        <v>-4.085776E-2</v>
      </c>
      <c r="W546">
        <v>4.8212249999999998E-2</v>
      </c>
      <c r="X546">
        <v>0.99800109999999997</v>
      </c>
      <c r="Y546">
        <v>-0.19937050000000001</v>
      </c>
      <c r="Z546">
        <v>5.47204599999999E-3</v>
      </c>
      <c r="AA546">
        <v>0.97990889999999997</v>
      </c>
      <c r="AB546">
        <v>60</v>
      </c>
      <c r="AC546">
        <v>19.8886</v>
      </c>
      <c r="AD546">
        <v>-1.133605</v>
      </c>
      <c r="AE546">
        <v>4.1546000000000101</v>
      </c>
      <c r="AF546">
        <v>-4.1274293894326597</v>
      </c>
      <c r="AG546">
        <v>-1.133605</v>
      </c>
      <c r="AH546">
        <v>19.8298580014302</v>
      </c>
      <c r="AI546">
        <v>93.203336208382197</v>
      </c>
      <c r="AJ546">
        <v>101.75779049732</v>
      </c>
      <c r="AK546">
        <v>20.286547316329202</v>
      </c>
    </row>
    <row r="547" spans="1:37" x14ac:dyDescent="0.2">
      <c r="A547" t="str">
        <f>"20200111153414565"</f>
        <v>20200111153414565</v>
      </c>
      <c r="B547" t="str">
        <f>"1578728054556537"</f>
        <v>1578728054556537</v>
      </c>
      <c r="C547" t="s">
        <v>37</v>
      </c>
      <c r="D547">
        <v>4.7585519999999999</v>
      </c>
      <c r="E547">
        <v>0.43774249999999998</v>
      </c>
      <c r="F547" t="s">
        <v>38</v>
      </c>
      <c r="G547">
        <v>-293.48320000000001</v>
      </c>
      <c r="H547">
        <v>-0.05</v>
      </c>
      <c r="I547">
        <v>371.21749999999997</v>
      </c>
      <c r="J547">
        <v>-312.89120000000003</v>
      </c>
      <c r="K547">
        <v>1.082055</v>
      </c>
      <c r="L547">
        <v>367.16669999999999</v>
      </c>
      <c r="M547">
        <v>0.99973369999999995</v>
      </c>
      <c r="N547">
        <v>0</v>
      </c>
      <c r="O547">
        <v>8.8143279999999997E-4</v>
      </c>
      <c r="P547">
        <v>0.99881769999999903</v>
      </c>
      <c r="Q547">
        <v>2.437025E-2</v>
      </c>
      <c r="R547">
        <v>4.2069969999999998E-2</v>
      </c>
      <c r="S547">
        <v>2.9824519999999999</v>
      </c>
      <c r="T547">
        <v>-0.17158879999999899</v>
      </c>
      <c r="U547">
        <v>0.61322019999999899</v>
      </c>
      <c r="V547">
        <v>-4.1300699999999899E-2</v>
      </c>
      <c r="W547">
        <v>4.7306830000000001E-2</v>
      </c>
      <c r="X547">
        <v>0.99802619999999898</v>
      </c>
      <c r="Y547">
        <v>-0.20021649999999999</v>
      </c>
      <c r="Z547">
        <v>5.6451679999999999E-3</v>
      </c>
      <c r="AA547">
        <v>0.97973539999999903</v>
      </c>
      <c r="AB547">
        <v>60</v>
      </c>
      <c r="AC547">
        <v>19.408000000000001</v>
      </c>
      <c r="AD547">
        <v>-1.132055</v>
      </c>
      <c r="AE547">
        <v>4.0507999999999802</v>
      </c>
      <c r="AF547">
        <v>-4.0205788203740198</v>
      </c>
      <c r="AG547">
        <v>-1.132055</v>
      </c>
      <c r="AH547">
        <v>19.348482469995702</v>
      </c>
      <c r="AI547">
        <v>93.278605994356894</v>
      </c>
      <c r="AJ547">
        <v>101.738897458037</v>
      </c>
      <c r="AK547">
        <v>19.794200576572901</v>
      </c>
    </row>
    <row r="548" spans="1:37" x14ac:dyDescent="0.2">
      <c r="A548" t="str">
        <f>"20200111153414577"</f>
        <v>20200111153414577</v>
      </c>
      <c r="B548" t="str">
        <f>"1578728054567272"</f>
        <v>1578728054567272</v>
      </c>
      <c r="C548" t="s">
        <v>37</v>
      </c>
      <c r="D548">
        <v>4.797091</v>
      </c>
      <c r="E548">
        <v>0.43775119999999901</v>
      </c>
      <c r="F548" t="s">
        <v>38</v>
      </c>
      <c r="G548">
        <v>-293.61720000000003</v>
      </c>
      <c r="H548">
        <v>-0.05</v>
      </c>
      <c r="I548">
        <v>371.13619999999997</v>
      </c>
      <c r="J548">
        <v>-312.54230000000001</v>
      </c>
      <c r="K548">
        <v>1.080233</v>
      </c>
      <c r="L548">
        <v>367.16730000000001</v>
      </c>
      <c r="M548">
        <v>0.99973230000000002</v>
      </c>
      <c r="N548">
        <v>0</v>
      </c>
      <c r="O548">
        <v>1.104385E-3</v>
      </c>
      <c r="P548">
        <v>0.99880049999999898</v>
      </c>
      <c r="Q548">
        <v>2.3851830000000001E-2</v>
      </c>
      <c r="R548">
        <v>4.2769979999999999E-2</v>
      </c>
      <c r="S548">
        <v>2.9819640000000001</v>
      </c>
      <c r="T548">
        <v>-0.17514469999999999</v>
      </c>
      <c r="U548">
        <v>0.61413569999999995</v>
      </c>
      <c r="V548">
        <v>-4.1770849999999998E-2</v>
      </c>
      <c r="W548">
        <v>4.6838619999999997E-2</v>
      </c>
      <c r="X548">
        <v>0.99802880000000005</v>
      </c>
      <c r="Y548">
        <v>-0.20030519999999999</v>
      </c>
      <c r="Z548">
        <v>5.7523309999999899E-3</v>
      </c>
      <c r="AA548">
        <v>0.9797167</v>
      </c>
      <c r="AB548">
        <v>60</v>
      </c>
      <c r="AC548">
        <v>18.925099999999901</v>
      </c>
      <c r="AD548">
        <v>-1.130233</v>
      </c>
      <c r="AE548">
        <v>3.9688999999999601</v>
      </c>
      <c r="AF548">
        <v>-3.9345494545183399</v>
      </c>
      <c r="AG548">
        <v>-1.130233</v>
      </c>
      <c r="AH548">
        <v>18.865022600228102</v>
      </c>
      <c r="AI548">
        <v>93.356526899452902</v>
      </c>
      <c r="AJ548">
        <v>101.780910810452</v>
      </c>
      <c r="AK548">
        <v>19.304071688414801</v>
      </c>
    </row>
    <row r="549" spans="1:37" x14ac:dyDescent="0.2">
      <c r="A549" t="str">
        <f>"20200111153414589"</f>
        <v>20200111153414589</v>
      </c>
      <c r="B549" t="str">
        <f>"1578728054577034"</f>
        <v>1578728054577034</v>
      </c>
      <c r="C549" t="s">
        <v>37</v>
      </c>
      <c r="D549">
        <v>6.1064879999999997</v>
      </c>
      <c r="E549">
        <v>0.43801059999999897</v>
      </c>
      <c r="F549" t="s">
        <v>38</v>
      </c>
      <c r="G549">
        <v>-293.52370000000002</v>
      </c>
      <c r="H549">
        <v>-0.05</v>
      </c>
      <c r="I549">
        <v>371.09690000000001</v>
      </c>
      <c r="J549">
        <v>-312.23770000000002</v>
      </c>
      <c r="K549">
        <v>1.0786910000000001</v>
      </c>
      <c r="L549">
        <v>367.16789999999997</v>
      </c>
      <c r="M549">
        <v>0.99973199999999995</v>
      </c>
      <c r="N549">
        <v>0</v>
      </c>
      <c r="O549">
        <v>1.346138E-3</v>
      </c>
      <c r="P549">
        <v>0.9987798</v>
      </c>
      <c r="Q549">
        <v>2.29041E-2</v>
      </c>
      <c r="R549">
        <v>4.3754670000000002E-2</v>
      </c>
      <c r="S549">
        <v>2.9814449999999999</v>
      </c>
      <c r="T549">
        <v>-0.17718029999999901</v>
      </c>
      <c r="U549">
        <v>0.61602780000000001</v>
      </c>
      <c r="V549">
        <v>-4.2506530000000001E-2</v>
      </c>
      <c r="W549">
        <v>4.5893589999999998E-2</v>
      </c>
      <c r="X549">
        <v>0.99804159999999997</v>
      </c>
      <c r="Y549">
        <v>-0.20069029999999999</v>
      </c>
      <c r="Z549">
        <v>5.8168009999999999E-3</v>
      </c>
      <c r="AA549">
        <v>0.97963739999999999</v>
      </c>
      <c r="AB549">
        <v>60</v>
      </c>
      <c r="AC549">
        <v>18.713999999999999</v>
      </c>
      <c r="AD549">
        <v>-1.1286910000000001</v>
      </c>
      <c r="AE549">
        <v>3.92900000000003</v>
      </c>
      <c r="AF549">
        <v>-3.8902443015385502</v>
      </c>
      <c r="AG549">
        <v>-1.1286910000000001</v>
      </c>
      <c r="AH549">
        <v>18.6542811001171</v>
      </c>
      <c r="AI549">
        <v>93.389750726917001</v>
      </c>
      <c r="AJ549">
        <v>101.77987404085501</v>
      </c>
      <c r="AK549">
        <v>19.089005931721999</v>
      </c>
    </row>
    <row r="550" spans="1:37" x14ac:dyDescent="0.2">
      <c r="A550" t="str">
        <f>"20200111153414602"</f>
        <v>20200111153414602</v>
      </c>
      <c r="B550" t="str">
        <f>"1578728054597529"</f>
        <v>1578728054597529</v>
      </c>
      <c r="C550" t="s">
        <v>37</v>
      </c>
      <c r="D550">
        <v>4.7621630000000001</v>
      </c>
      <c r="E550">
        <v>0.43843900000000002</v>
      </c>
      <c r="F550" t="s">
        <v>38</v>
      </c>
      <c r="G550">
        <v>-293.52440000000001</v>
      </c>
      <c r="H550">
        <v>-0.05</v>
      </c>
      <c r="I550">
        <v>371.03989999999999</v>
      </c>
      <c r="J550">
        <v>-311.90460000000002</v>
      </c>
      <c r="K550">
        <v>1.0770329999999999</v>
      </c>
      <c r="L550">
        <v>367.16849999999999</v>
      </c>
      <c r="M550">
        <v>0.99973199999999995</v>
      </c>
      <c r="N550">
        <v>0</v>
      </c>
      <c r="O550">
        <v>1.6218389999999999E-3</v>
      </c>
      <c r="P550">
        <v>0.99876299999999996</v>
      </c>
      <c r="Q550">
        <v>2.2331819999999999E-2</v>
      </c>
      <c r="R550">
        <v>4.4427899999999999E-2</v>
      </c>
      <c r="S550">
        <v>2.9807739999999998</v>
      </c>
      <c r="T550">
        <v>-0.17978559999999999</v>
      </c>
      <c r="U550">
        <v>0.61676030000000004</v>
      </c>
      <c r="V550">
        <v>-4.2897919999999999E-2</v>
      </c>
      <c r="W550">
        <v>4.5306249999999999E-2</v>
      </c>
      <c r="X550">
        <v>0.99805159999999904</v>
      </c>
      <c r="Y550">
        <v>-0.20068510000000001</v>
      </c>
      <c r="Z550">
        <v>5.8867390000000002E-3</v>
      </c>
      <c r="AA550">
        <v>0.97963809999999996</v>
      </c>
      <c r="AB550">
        <v>60</v>
      </c>
      <c r="AC550">
        <v>18.380199999999999</v>
      </c>
      <c r="AD550">
        <v>-1.127033</v>
      </c>
      <c r="AE550">
        <v>3.8713999999999902</v>
      </c>
      <c r="AF550">
        <v>-3.8277965835062302</v>
      </c>
      <c r="AG550">
        <v>-1.127033</v>
      </c>
      <c r="AH550">
        <v>18.320499713781299</v>
      </c>
      <c r="AI550">
        <v>93.446034232594201</v>
      </c>
      <c r="AJ550">
        <v>101.801332854351</v>
      </c>
      <c r="AK550">
        <v>18.7500117288083</v>
      </c>
    </row>
    <row r="551" spans="1:37" x14ac:dyDescent="0.2">
      <c r="A551" t="str">
        <f>"20200111153414613"</f>
        <v>20200111153414613</v>
      </c>
      <c r="B551" t="str">
        <f>"1578728054607289"</f>
        <v>1578728054607289</v>
      </c>
      <c r="C551" t="s">
        <v>37</v>
      </c>
      <c r="D551">
        <v>4.8410760000000002</v>
      </c>
      <c r="E551">
        <v>0.4384632</v>
      </c>
      <c r="F551" t="s">
        <v>38</v>
      </c>
      <c r="G551">
        <v>-293.38749999999999</v>
      </c>
      <c r="H551">
        <v>-0.05</v>
      </c>
      <c r="I551">
        <v>370.98899999999998</v>
      </c>
      <c r="J551">
        <v>-311.58190000000002</v>
      </c>
      <c r="K551">
        <v>1.075499</v>
      </c>
      <c r="L551">
        <v>367.16919999999999</v>
      </c>
      <c r="M551">
        <v>0.99973299999999998</v>
      </c>
      <c r="N551">
        <v>0</v>
      </c>
      <c r="O551">
        <v>1.9095639999999899E-3</v>
      </c>
      <c r="P551">
        <v>0.99873159999999905</v>
      </c>
      <c r="Q551">
        <v>2.1923999999999999E-2</v>
      </c>
      <c r="R551">
        <v>4.5326520000000002E-2</v>
      </c>
      <c r="S551">
        <v>2.9804080000000002</v>
      </c>
      <c r="T551">
        <v>-0.1814009</v>
      </c>
      <c r="U551">
        <v>0.61492919999999995</v>
      </c>
      <c r="V551">
        <v>-4.3504189999999998E-2</v>
      </c>
      <c r="W551">
        <v>4.4837050000000003E-2</v>
      </c>
      <c r="X551">
        <v>0.99804660000000001</v>
      </c>
      <c r="Y551">
        <v>-0.19984540000000001</v>
      </c>
      <c r="Z551">
        <v>5.8980319999999897E-3</v>
      </c>
      <c r="AA551">
        <v>0.97980970000000001</v>
      </c>
      <c r="AB551">
        <v>60</v>
      </c>
      <c r="AC551">
        <v>18.194400000000002</v>
      </c>
      <c r="AD551">
        <v>-1.125499</v>
      </c>
      <c r="AE551">
        <v>3.8198000000000398</v>
      </c>
      <c r="AF551">
        <v>-3.7712186580617302</v>
      </c>
      <c r="AG551">
        <v>-1.125499</v>
      </c>
      <c r="AH551">
        <v>18.1351961017508</v>
      </c>
      <c r="AI551">
        <v>93.4771151176448</v>
      </c>
      <c r="AJ551">
        <v>101.747251575406</v>
      </c>
      <c r="AK551">
        <v>18.557321353440798</v>
      </c>
    </row>
    <row r="552" spans="1:37" x14ac:dyDescent="0.2">
      <c r="A552" t="str">
        <f>"20200111153414625"</f>
        <v>20200111153414625</v>
      </c>
      <c r="B552" t="str">
        <f>"1578728054617049"</f>
        <v>1578728054617049</v>
      </c>
      <c r="C552" t="s">
        <v>37</v>
      </c>
      <c r="D552">
        <v>4.8255210000000002</v>
      </c>
      <c r="E552">
        <v>0.43845420000000002</v>
      </c>
      <c r="F552" t="s">
        <v>38</v>
      </c>
      <c r="G552">
        <v>-293.28629999999998</v>
      </c>
      <c r="H552">
        <v>-0.05</v>
      </c>
      <c r="I552">
        <v>370.95960000000002</v>
      </c>
      <c r="J552">
        <v>-311.26499999999999</v>
      </c>
      <c r="K552">
        <v>1.074055</v>
      </c>
      <c r="L552">
        <v>367.17</v>
      </c>
      <c r="M552">
        <v>0.99973459999999903</v>
      </c>
      <c r="N552">
        <v>0</v>
      </c>
      <c r="O552">
        <v>2.1908140000000001E-3</v>
      </c>
      <c r="P552">
        <v>0.99869549999999996</v>
      </c>
      <c r="Q552">
        <v>2.1985589999999999E-2</v>
      </c>
      <c r="R552">
        <v>4.6088490000000003E-2</v>
      </c>
      <c r="S552">
        <v>2.9797669999999998</v>
      </c>
      <c r="T552">
        <v>-0.1833079</v>
      </c>
      <c r="U552">
        <v>0.61734009999999995</v>
      </c>
      <c r="V552">
        <v>-4.3983019999999998E-2</v>
      </c>
      <c r="W552">
        <v>4.4803699999999898E-2</v>
      </c>
      <c r="X552">
        <v>0.99802709999999994</v>
      </c>
      <c r="Y552">
        <v>-0.20036370000000001</v>
      </c>
      <c r="Z552">
        <v>5.9593479999999997E-3</v>
      </c>
      <c r="AA552">
        <v>0.9797034</v>
      </c>
      <c r="AB552">
        <v>60</v>
      </c>
      <c r="AC552">
        <v>17.9787</v>
      </c>
      <c r="AD552">
        <v>-1.124055</v>
      </c>
      <c r="AE552">
        <v>3.7896000000000001</v>
      </c>
      <c r="AF552">
        <v>-3.7362092195704499</v>
      </c>
      <c r="AG552">
        <v>-1.124055</v>
      </c>
      <c r="AH552">
        <v>17.9198933949666</v>
      </c>
      <c r="AI552">
        <v>93.513903022846904</v>
      </c>
      <c r="AJ552">
        <v>101.77716936018101</v>
      </c>
      <c r="AK552">
        <v>18.3397202340274</v>
      </c>
    </row>
    <row r="553" spans="1:37" x14ac:dyDescent="0.2">
      <c r="A553" t="str">
        <f>"20200111153414637"</f>
        <v>20200111153414637</v>
      </c>
      <c r="B553" t="str">
        <f>"1578728054626809"</f>
        <v>1578728054626809</v>
      </c>
      <c r="C553" t="s">
        <v>37</v>
      </c>
      <c r="D553">
        <v>4.7947040000000003</v>
      </c>
      <c r="E553">
        <v>0.4383473</v>
      </c>
      <c r="F553" t="s">
        <v>38</v>
      </c>
      <c r="G553">
        <v>-293.03480000000002</v>
      </c>
      <c r="H553">
        <v>-0.05</v>
      </c>
      <c r="I553">
        <v>370.96080000000001</v>
      </c>
      <c r="J553">
        <v>-310.95</v>
      </c>
      <c r="K553">
        <v>1.072665</v>
      </c>
      <c r="L553">
        <v>367.17070000000001</v>
      </c>
      <c r="M553">
        <v>0.99973670000000003</v>
      </c>
      <c r="N553">
        <v>0</v>
      </c>
      <c r="O553">
        <v>2.4693939999999902E-3</v>
      </c>
      <c r="P553">
        <v>0.99865319999999902</v>
      </c>
      <c r="Q553">
        <v>2.233023E-2</v>
      </c>
      <c r="R553">
        <v>4.6829759999999998E-2</v>
      </c>
      <c r="S553">
        <v>2.9793699999999999</v>
      </c>
      <c r="T553">
        <v>-0.1837049</v>
      </c>
      <c r="U553">
        <v>0.61953740000000002</v>
      </c>
      <c r="V553">
        <v>-4.4444169999999998E-2</v>
      </c>
      <c r="W553">
        <v>4.5029979999999997E-2</v>
      </c>
      <c r="X553">
        <v>0.99799649999999995</v>
      </c>
      <c r="Y553">
        <v>-0.2008075</v>
      </c>
      <c r="Z553">
        <v>5.9691090000000002E-3</v>
      </c>
      <c r="AA553">
        <v>0.9796125</v>
      </c>
      <c r="AB553">
        <v>59</v>
      </c>
      <c r="AC553">
        <v>17.915199999999899</v>
      </c>
      <c r="AD553">
        <v>-1.122665</v>
      </c>
      <c r="AE553">
        <v>3.79009999999999</v>
      </c>
      <c r="AF553">
        <v>-3.7318103425871501</v>
      </c>
      <c r="AG553">
        <v>-1.122665</v>
      </c>
      <c r="AH553">
        <v>17.857385827452699</v>
      </c>
      <c r="AI553">
        <v>93.521482854366397</v>
      </c>
      <c r="AJ553">
        <v>101.803713994983</v>
      </c>
      <c r="AK553">
        <v>18.277664340001799</v>
      </c>
    </row>
    <row r="554" spans="1:37" x14ac:dyDescent="0.2">
      <c r="A554" t="str">
        <f>"20200111153414654"</f>
        <v>20200111153414654</v>
      </c>
      <c r="B554" t="str">
        <f>"1578728054647304"</f>
        <v>1578728054647304</v>
      </c>
      <c r="C554" t="s">
        <v>37</v>
      </c>
      <c r="D554">
        <v>4.8199990000000001</v>
      </c>
      <c r="E554">
        <v>0.43829979999999902</v>
      </c>
      <c r="F554" t="s">
        <v>38</v>
      </c>
      <c r="G554">
        <v>-292.70460000000003</v>
      </c>
      <c r="H554">
        <v>-0.05</v>
      </c>
      <c r="I554">
        <v>370.98230000000001</v>
      </c>
      <c r="J554">
        <v>-310.5222</v>
      </c>
      <c r="K554">
        <v>1.0709329999999999</v>
      </c>
      <c r="L554">
        <v>367.17189999999999</v>
      </c>
      <c r="M554">
        <v>0.99974099999999999</v>
      </c>
      <c r="N554">
        <v>0</v>
      </c>
      <c r="O554">
        <v>2.8238920000000002E-3</v>
      </c>
      <c r="P554">
        <v>0.99859229999999999</v>
      </c>
      <c r="Q554">
        <v>2.2791740000000001E-2</v>
      </c>
      <c r="R554">
        <v>4.7896000000000001E-2</v>
      </c>
      <c r="S554">
        <v>2.9789430000000001</v>
      </c>
      <c r="T554">
        <v>-0.18329870000000001</v>
      </c>
      <c r="U554">
        <v>0.62231449999999999</v>
      </c>
      <c r="V554">
        <v>-4.5156080000000001E-2</v>
      </c>
      <c r="W554">
        <v>4.5267199999999903E-2</v>
      </c>
      <c r="X554">
        <v>0.9979538</v>
      </c>
      <c r="Y554">
        <v>-0.2013645</v>
      </c>
      <c r="Z554">
        <v>5.9515879999999998E-3</v>
      </c>
      <c r="AA554">
        <v>0.97949830000000004</v>
      </c>
      <c r="AB554">
        <v>59</v>
      </c>
      <c r="AC554">
        <v>17.817599999999899</v>
      </c>
      <c r="AD554">
        <v>-1.120933</v>
      </c>
      <c r="AE554">
        <v>3.8104000000000098</v>
      </c>
      <c r="AF554">
        <v>-3.7458796933007199</v>
      </c>
      <c r="AG554">
        <v>-1.120933</v>
      </c>
      <c r="AH554">
        <v>17.7610702547397</v>
      </c>
      <c r="AI554">
        <v>93.533717653881993</v>
      </c>
      <c r="AJ554">
        <v>101.90937447853599</v>
      </c>
      <c r="AK554">
        <v>18.186360880092799</v>
      </c>
    </row>
    <row r="555" spans="1:37" x14ac:dyDescent="0.2">
      <c r="A555" t="str">
        <f>"20200111153414664"</f>
        <v>20200111153414664</v>
      </c>
      <c r="B555" t="str">
        <f>"1578728054657066"</f>
        <v>1578728054657066</v>
      </c>
      <c r="C555" t="s">
        <v>37</v>
      </c>
      <c r="D555">
        <v>4.8502150000000004</v>
      </c>
      <c r="E555">
        <v>0.43825360000000002</v>
      </c>
      <c r="F555" t="s">
        <v>38</v>
      </c>
      <c r="G555">
        <v>-292.16370000000001</v>
      </c>
      <c r="H555">
        <v>-0.05</v>
      </c>
      <c r="I555">
        <v>371.02910000000003</v>
      </c>
      <c r="J555">
        <v>-310.22489999999999</v>
      </c>
      <c r="K555">
        <v>1.0697950000000001</v>
      </c>
      <c r="L555">
        <v>367.17290000000003</v>
      </c>
      <c r="M555">
        <v>0.99974409999999903</v>
      </c>
      <c r="N555">
        <v>0</v>
      </c>
      <c r="O555">
        <v>3.0581620000000001E-3</v>
      </c>
      <c r="P555">
        <v>0.9985579</v>
      </c>
      <c r="Q555">
        <v>2.342545E-2</v>
      </c>
      <c r="R555">
        <v>4.8308030000000002E-2</v>
      </c>
      <c r="S555">
        <v>2.9783330000000001</v>
      </c>
      <c r="T555">
        <v>-0.18185009999999999</v>
      </c>
      <c r="U555">
        <v>0.62576290000000001</v>
      </c>
      <c r="V555">
        <v>-4.5335489999999999E-2</v>
      </c>
      <c r="W555">
        <v>4.5723050000000001E-2</v>
      </c>
      <c r="X555">
        <v>0.9979249</v>
      </c>
      <c r="Y555">
        <v>-0.202266</v>
      </c>
      <c r="Z555">
        <v>5.9181900000000003E-3</v>
      </c>
      <c r="AA555">
        <v>0.97931270000000004</v>
      </c>
      <c r="AB555">
        <v>59</v>
      </c>
      <c r="AC555">
        <v>18.0611999999999</v>
      </c>
      <c r="AD555">
        <v>-1.1197950000000001</v>
      </c>
      <c r="AE555">
        <v>3.8561999999999999</v>
      </c>
      <c r="AF555">
        <v>-3.7870113845480202</v>
      </c>
      <c r="AG555">
        <v>-1.1197950000000001</v>
      </c>
      <c r="AH555">
        <v>18.006711234999599</v>
      </c>
      <c r="AI555">
        <v>93.482516939120899</v>
      </c>
      <c r="AJ555">
        <v>101.876850319257</v>
      </c>
      <c r="AK555">
        <v>18.434669662605302</v>
      </c>
    </row>
    <row r="556" spans="1:37" x14ac:dyDescent="0.2">
      <c r="A556" t="str">
        <f>"20200111153414676"</f>
        <v>20200111153414676</v>
      </c>
      <c r="B556" t="str">
        <f>"1578728054666825"</f>
        <v>1578728054666825</v>
      </c>
      <c r="C556" t="s">
        <v>37</v>
      </c>
      <c r="D556">
        <v>5.1025780000000003</v>
      </c>
      <c r="E556">
        <v>0.43825360000000002</v>
      </c>
      <c r="F556" t="s">
        <v>38</v>
      </c>
      <c r="G556">
        <v>-291.73020000000002</v>
      </c>
      <c r="H556">
        <v>-0.05</v>
      </c>
      <c r="I556">
        <v>371.06720000000001</v>
      </c>
      <c r="J556">
        <v>-309.92009999999999</v>
      </c>
      <c r="K556">
        <v>1.068681</v>
      </c>
      <c r="L556">
        <v>367.17380000000003</v>
      </c>
      <c r="M556">
        <v>0.99974789999999902</v>
      </c>
      <c r="N556">
        <v>0</v>
      </c>
      <c r="O556">
        <v>3.2886529999999999E-3</v>
      </c>
      <c r="P556">
        <v>0.99851000000000001</v>
      </c>
      <c r="Q556">
        <v>2.4048569999999998E-2</v>
      </c>
      <c r="R556">
        <v>4.898599E-2</v>
      </c>
      <c r="S556">
        <v>2.9782099999999998</v>
      </c>
      <c r="T556">
        <v>-0.1803216</v>
      </c>
      <c r="U556">
        <v>0.62710569999999999</v>
      </c>
      <c r="V556">
        <v>-4.578426E-2</v>
      </c>
      <c r="W556">
        <v>4.6146520000000003E-2</v>
      </c>
      <c r="X556">
        <v>0.99788489999999996</v>
      </c>
      <c r="Y556">
        <v>-0.20247709999999999</v>
      </c>
      <c r="Z556">
        <v>5.8610229999999999E-3</v>
      </c>
      <c r="AA556">
        <v>0.97926939999999996</v>
      </c>
      <c r="AB556">
        <v>59</v>
      </c>
      <c r="AC556">
        <v>18.189899999999898</v>
      </c>
      <c r="AD556">
        <v>-1.118681</v>
      </c>
      <c r="AE556">
        <v>3.8933999999999802</v>
      </c>
      <c r="AF556">
        <v>-3.81972956683944</v>
      </c>
      <c r="AG556">
        <v>-1.118681</v>
      </c>
      <c r="AH556">
        <v>18.137014912206801</v>
      </c>
      <c r="AI556">
        <v>93.453923255825302</v>
      </c>
      <c r="AJ556">
        <v>101.892925125948</v>
      </c>
      <c r="AK556">
        <v>18.568604984466699</v>
      </c>
    </row>
    <row r="557" spans="1:37" x14ac:dyDescent="0.2">
      <c r="A557" t="str">
        <f>"20200111153414688"</f>
        <v>20200111153414688</v>
      </c>
      <c r="B557" t="str">
        <f>"1578728054676585"</f>
        <v>1578728054676585</v>
      </c>
      <c r="C557" t="s">
        <v>37</v>
      </c>
      <c r="D557">
        <v>5.0485699999999998</v>
      </c>
      <c r="E557">
        <v>0.46450429999999998</v>
      </c>
      <c r="F557" t="s">
        <v>38</v>
      </c>
      <c r="G557">
        <v>-291.24619999999999</v>
      </c>
      <c r="H557">
        <v>-0.05</v>
      </c>
      <c r="I557">
        <v>371.11810000000003</v>
      </c>
      <c r="J557">
        <v>-309.61250000000001</v>
      </c>
      <c r="K557">
        <v>1.067645</v>
      </c>
      <c r="L557">
        <v>367.17489999999998</v>
      </c>
      <c r="M557">
        <v>0.99975190000000003</v>
      </c>
      <c r="N557">
        <v>0</v>
      </c>
      <c r="O557">
        <v>3.5094129999999999E-3</v>
      </c>
      <c r="P557">
        <v>0.99845709999999999</v>
      </c>
      <c r="Q557">
        <v>2.4892250000000001E-2</v>
      </c>
      <c r="R557">
        <v>4.9638580000000002E-2</v>
      </c>
      <c r="S557">
        <v>2.9779049999999998</v>
      </c>
      <c r="T557">
        <v>-0.17839449999999901</v>
      </c>
      <c r="U557">
        <v>0.62899780000000005</v>
      </c>
      <c r="V557">
        <v>-4.6218309999999999E-2</v>
      </c>
      <c r="W557">
        <v>4.6767639999999999E-2</v>
      </c>
      <c r="X557">
        <v>0.99783599999999995</v>
      </c>
      <c r="Y557">
        <v>-0.20288399999999901</v>
      </c>
      <c r="Z557">
        <v>5.7976759999999999E-3</v>
      </c>
      <c r="AA557">
        <v>0.97918559999999999</v>
      </c>
      <c r="AB557">
        <v>59</v>
      </c>
      <c r="AC557">
        <v>18.366299999999999</v>
      </c>
      <c r="AD557">
        <v>-1.117645</v>
      </c>
      <c r="AE557">
        <v>3.94320000000004</v>
      </c>
      <c r="AF557">
        <v>-3.8650233083927099</v>
      </c>
      <c r="AG557">
        <v>-1.117645</v>
      </c>
      <c r="AH557">
        <v>18.315194216464398</v>
      </c>
      <c r="AI557">
        <v>93.416949992246501</v>
      </c>
      <c r="AJ557">
        <v>101.916193208119</v>
      </c>
      <c r="AK557">
        <v>18.751903228932601</v>
      </c>
    </row>
    <row r="558" spans="1:37" x14ac:dyDescent="0.2">
      <c r="A558" t="str">
        <f>"20200111153414700"</f>
        <v>20200111153414700</v>
      </c>
      <c r="B558" t="str">
        <f>"1578728054697082"</f>
        <v>1578728054697082</v>
      </c>
      <c r="C558" t="s">
        <v>37</v>
      </c>
      <c r="D558">
        <v>4.9218859999999998</v>
      </c>
      <c r="E558">
        <v>0.4844521</v>
      </c>
      <c r="F558" t="s">
        <v>38</v>
      </c>
      <c r="G558">
        <v>-291.142</v>
      </c>
      <c r="H558">
        <v>-0.05</v>
      </c>
      <c r="I558">
        <v>369.78160000000003</v>
      </c>
      <c r="J558">
        <v>-309.29719999999998</v>
      </c>
      <c r="K558">
        <v>1.0666229999999901</v>
      </c>
      <c r="L558">
        <v>367.17610000000002</v>
      </c>
      <c r="M558">
        <v>0.99975630000000004</v>
      </c>
      <c r="N558">
        <v>0</v>
      </c>
      <c r="O558">
        <v>3.7320579999999999E-3</v>
      </c>
      <c r="P558">
        <v>0.99841150000000001</v>
      </c>
      <c r="Q558">
        <v>2.5650570000000001E-2</v>
      </c>
      <c r="R558">
        <v>5.0165710000000002E-2</v>
      </c>
      <c r="S558">
        <v>2.9882200000000001</v>
      </c>
      <c r="T558">
        <v>-0.18081649999999999</v>
      </c>
      <c r="U558">
        <v>0.4217224</v>
      </c>
      <c r="V558">
        <v>-4.6524040000000003E-2</v>
      </c>
      <c r="W558">
        <v>4.7293010000000003E-2</v>
      </c>
      <c r="X558">
        <v>0.99779699999999905</v>
      </c>
      <c r="Y558">
        <v>-0.1358094</v>
      </c>
      <c r="Z558">
        <v>3.8604109999999998E-3</v>
      </c>
      <c r="AA558">
        <v>0.99072749999999998</v>
      </c>
      <c r="AB558">
        <v>59</v>
      </c>
      <c r="AC558">
        <v>18.155199999999901</v>
      </c>
      <c r="AD558">
        <v>-1.1166229999999999</v>
      </c>
      <c r="AE558">
        <v>2.6055000000000001</v>
      </c>
      <c r="AF558">
        <v>-2.5283384021719502</v>
      </c>
      <c r="AG558">
        <v>-1.1166229999999999</v>
      </c>
      <c r="AH558">
        <v>18.0977215213838</v>
      </c>
      <c r="AI558">
        <v>93.496779910384902</v>
      </c>
      <c r="AJ558">
        <v>97.953020636884403</v>
      </c>
      <c r="AK558">
        <v>18.307563089214899</v>
      </c>
    </row>
    <row r="559" spans="1:37" x14ac:dyDescent="0.2">
      <c r="A559" t="str">
        <f>"20200111153414710"</f>
        <v>20200111153414710</v>
      </c>
      <c r="B559" t="str">
        <f>"1578728054706841"</f>
        <v>1578728054706841</v>
      </c>
      <c r="C559" t="s">
        <v>37</v>
      </c>
      <c r="D559">
        <v>4.9404699999999897</v>
      </c>
      <c r="E559">
        <v>0.48944349999999998</v>
      </c>
      <c r="F559" t="s">
        <v>38</v>
      </c>
      <c r="G559">
        <v>-286.78649999999999</v>
      </c>
      <c r="H559">
        <v>-0.05</v>
      </c>
      <c r="I559">
        <v>369.16890000000001</v>
      </c>
      <c r="J559">
        <v>-309.01519999999999</v>
      </c>
      <c r="K559">
        <v>1.0657909999999999</v>
      </c>
      <c r="L559">
        <v>367.17720000000003</v>
      </c>
      <c r="M559">
        <v>0.99976030000000005</v>
      </c>
      <c r="N559">
        <v>0</v>
      </c>
      <c r="O559">
        <v>3.92494E-3</v>
      </c>
      <c r="P559">
        <v>0.99835640000000003</v>
      </c>
      <c r="Q559">
        <v>2.6470919999999998E-2</v>
      </c>
      <c r="R559">
        <v>5.0832049999999997E-2</v>
      </c>
      <c r="S559">
        <v>2.9952700000000001</v>
      </c>
      <c r="T559">
        <v>-0.1485774</v>
      </c>
      <c r="U559">
        <v>0.26516719999999999</v>
      </c>
      <c r="V559">
        <v>-4.6998959999999999E-2</v>
      </c>
      <c r="W559">
        <v>4.7892190000000001E-2</v>
      </c>
      <c r="X559">
        <v>0.99774619999999903</v>
      </c>
      <c r="Y559">
        <v>-8.4174659999999998E-2</v>
      </c>
      <c r="Z559">
        <v>1.88812299999999E-3</v>
      </c>
      <c r="AA559">
        <v>0.99644920000000003</v>
      </c>
      <c r="AB559">
        <v>59</v>
      </c>
      <c r="AC559">
        <v>22.2287</v>
      </c>
      <c r="AD559">
        <v>-1.115791</v>
      </c>
      <c r="AE559">
        <v>1.99169999999998</v>
      </c>
      <c r="AF559">
        <v>-1.89966973944938</v>
      </c>
      <c r="AG559">
        <v>-1.115791</v>
      </c>
      <c r="AH559">
        <v>22.180905146977999</v>
      </c>
      <c r="AI559">
        <v>92.869300297621507</v>
      </c>
      <c r="AJ559">
        <v>94.895116007246699</v>
      </c>
      <c r="AK559">
        <v>22.2900490760764</v>
      </c>
    </row>
    <row r="560" spans="1:37" x14ac:dyDescent="0.2">
      <c r="A560" t="str">
        <f>"20200111153414721"</f>
        <v>20200111153414721</v>
      </c>
      <c r="B560" t="str">
        <f>"1578728054716601"</f>
        <v>1578728054716601</v>
      </c>
      <c r="C560" t="s">
        <v>37</v>
      </c>
      <c r="D560">
        <v>4.848859</v>
      </c>
      <c r="E560">
        <v>0.49243900000000002</v>
      </c>
      <c r="F560" t="s">
        <v>38</v>
      </c>
      <c r="G560">
        <v>-285.77620000000002</v>
      </c>
      <c r="H560">
        <v>-0.05</v>
      </c>
      <c r="I560">
        <v>368.94150000000002</v>
      </c>
      <c r="J560">
        <v>-308.73599999999999</v>
      </c>
      <c r="K560">
        <v>1.064986</v>
      </c>
      <c r="L560">
        <v>367.17840000000001</v>
      </c>
      <c r="M560">
        <v>0.99976419999999999</v>
      </c>
      <c r="N560">
        <v>0</v>
      </c>
      <c r="O560">
        <v>4.1158619999999996E-3</v>
      </c>
      <c r="P560">
        <v>0.99828649999999997</v>
      </c>
      <c r="Q560">
        <v>2.7644499999999999E-2</v>
      </c>
      <c r="R560">
        <v>5.1572720000000002E-2</v>
      </c>
      <c r="S560">
        <v>2.9971619999999999</v>
      </c>
      <c r="T560">
        <v>-0.1439049</v>
      </c>
      <c r="U560">
        <v>0.22753909999999999</v>
      </c>
      <c r="V560">
        <v>-4.7551490000000002E-2</v>
      </c>
      <c r="W560">
        <v>4.8844739999999998E-2</v>
      </c>
      <c r="X560">
        <v>0.99767380000000006</v>
      </c>
      <c r="Y560">
        <v>-7.1517529999999996E-2</v>
      </c>
      <c r="Z560">
        <v>1.5162039999999999E-3</v>
      </c>
      <c r="AA560">
        <v>0.99743819999999905</v>
      </c>
      <c r="AB560">
        <v>59</v>
      </c>
      <c r="AC560">
        <v>22.959799999999898</v>
      </c>
      <c r="AD560">
        <v>-1.114986</v>
      </c>
      <c r="AE560">
        <v>1.7630999999999999</v>
      </c>
      <c r="AF560">
        <v>-1.66466141452677</v>
      </c>
      <c r="AG560">
        <v>-1.114986</v>
      </c>
      <c r="AH560">
        <v>22.913144026808801</v>
      </c>
      <c r="AI560">
        <v>92.7785843941747</v>
      </c>
      <c r="AJ560">
        <v>94.155291644692099</v>
      </c>
      <c r="AK560">
        <v>23.000575223208902</v>
      </c>
    </row>
    <row r="561" spans="1:37" x14ac:dyDescent="0.2">
      <c r="A561" t="str">
        <f>"20200111153414733"</f>
        <v>20200111153414733</v>
      </c>
      <c r="B561" t="str">
        <f>"1578728054727337"</f>
        <v>1578728054727337</v>
      </c>
      <c r="C561" t="s">
        <v>37</v>
      </c>
      <c r="D561">
        <v>4.9248580000000004</v>
      </c>
      <c r="E561">
        <v>0.49385659999999998</v>
      </c>
      <c r="F561" t="s">
        <v>38</v>
      </c>
      <c r="G561">
        <v>-283.2242</v>
      </c>
      <c r="H561">
        <v>-0.05</v>
      </c>
      <c r="I561">
        <v>368.92959999999999</v>
      </c>
      <c r="J561">
        <v>-308.40789999999998</v>
      </c>
      <c r="K561">
        <v>1.06412</v>
      </c>
      <c r="L561">
        <v>367.17989999999998</v>
      </c>
      <c r="M561">
        <v>0.99976889999999996</v>
      </c>
      <c r="N561">
        <v>0</v>
      </c>
      <c r="O561">
        <v>4.3393570000000003E-3</v>
      </c>
      <c r="P561">
        <v>0.99821099999999996</v>
      </c>
      <c r="Q561">
        <v>2.8873719999999999E-2</v>
      </c>
      <c r="R561">
        <v>5.2363159999999999E-2</v>
      </c>
      <c r="S561">
        <v>2.998138</v>
      </c>
      <c r="T561">
        <v>-0.13103310000000001</v>
      </c>
      <c r="U561">
        <v>0.20581050000000001</v>
      </c>
      <c r="V561">
        <v>-4.8120540000000003E-2</v>
      </c>
      <c r="W561">
        <v>4.9811069999999999E-2</v>
      </c>
      <c r="X561">
        <v>0.99759880000000001</v>
      </c>
      <c r="Y561">
        <v>-6.4097399999999999E-2</v>
      </c>
      <c r="Z561">
        <v>1.208998E-3</v>
      </c>
      <c r="AA561">
        <v>0.99794289999999997</v>
      </c>
      <c r="AB561">
        <v>59</v>
      </c>
      <c r="AC561">
        <v>25.183699999999899</v>
      </c>
      <c r="AD561">
        <v>-1.11412</v>
      </c>
      <c r="AE561">
        <v>1.74970000000001</v>
      </c>
      <c r="AF561">
        <v>-1.63718938531439</v>
      </c>
      <c r="AG561">
        <v>-1.11412</v>
      </c>
      <c r="AH561">
        <v>25.142086511957999</v>
      </c>
      <c r="AI561">
        <v>92.531929686217495</v>
      </c>
      <c r="AJ561">
        <v>93.725696869251706</v>
      </c>
      <c r="AK561">
        <v>25.219955722256199</v>
      </c>
    </row>
    <row r="562" spans="1:37" x14ac:dyDescent="0.2">
      <c r="A562" t="str">
        <f>"20200111153414745"</f>
        <v>20200111153414745</v>
      </c>
      <c r="B562" t="str">
        <f>"1578728054737097"</f>
        <v>1578728054737097</v>
      </c>
      <c r="C562" t="s">
        <v>37</v>
      </c>
      <c r="D562">
        <v>4.8903460000000001</v>
      </c>
      <c r="E562">
        <v>0.49473400000000001</v>
      </c>
      <c r="F562" t="s">
        <v>38</v>
      </c>
      <c r="G562">
        <v>-280.8492</v>
      </c>
      <c r="H562">
        <v>-0.05</v>
      </c>
      <c r="I562">
        <v>368.99400000000003</v>
      </c>
      <c r="J562">
        <v>-308.084</v>
      </c>
      <c r="K562">
        <v>1.063318</v>
      </c>
      <c r="L562">
        <v>367.1814</v>
      </c>
      <c r="M562">
        <v>0.99977320000000003</v>
      </c>
      <c r="N562">
        <v>0</v>
      </c>
      <c r="O562">
        <v>4.5632609999999999E-3</v>
      </c>
      <c r="P562">
        <v>0.99812540000000005</v>
      </c>
      <c r="Q562">
        <v>3.0128740000000001E-2</v>
      </c>
      <c r="R562">
        <v>5.3274910000000002E-2</v>
      </c>
      <c r="S562">
        <v>2.9985659999999998</v>
      </c>
      <c r="T562">
        <v>-0.1212239</v>
      </c>
      <c r="U562">
        <v>0.1973877</v>
      </c>
      <c r="V562">
        <v>-4.881021E-2</v>
      </c>
      <c r="W562">
        <v>5.0806400000000002E-2</v>
      </c>
      <c r="X562">
        <v>0.99751499999999904</v>
      </c>
      <c r="Y562">
        <v>-6.108417E-2</v>
      </c>
      <c r="Z562">
        <v>1.0486580000000001E-3</v>
      </c>
      <c r="AA562">
        <v>0.99813209999999997</v>
      </c>
      <c r="AB562">
        <v>59</v>
      </c>
      <c r="AC562">
        <v>27.2348</v>
      </c>
      <c r="AD562">
        <v>-1.113318</v>
      </c>
      <c r="AE562">
        <v>1.81260000000003</v>
      </c>
      <c r="AF562">
        <v>-1.6854706315929699</v>
      </c>
      <c r="AG562">
        <v>-1.113318</v>
      </c>
      <c r="AH562">
        <v>27.197541381683799</v>
      </c>
      <c r="AI562">
        <v>92.339582687497696</v>
      </c>
      <c r="AJ562">
        <v>93.5461666038739</v>
      </c>
      <c r="AK562">
        <v>27.2724503011279</v>
      </c>
    </row>
    <row r="563" spans="1:37" x14ac:dyDescent="0.2">
      <c r="A563" t="str">
        <f>"20200111153414758"</f>
        <v>20200111153414758</v>
      </c>
      <c r="B563" t="str">
        <f>"1578728054746858"</f>
        <v>1578728054746858</v>
      </c>
      <c r="C563" t="s">
        <v>37</v>
      </c>
      <c r="D563">
        <v>4.9052759999999997</v>
      </c>
      <c r="E563">
        <v>0.49536059999999998</v>
      </c>
      <c r="F563" t="s">
        <v>39</v>
      </c>
      <c r="G563">
        <v>-279.4751</v>
      </c>
      <c r="H563" s="1">
        <v>-3.2186380000000002E-7</v>
      </c>
      <c r="I563">
        <v>369.02550000000002</v>
      </c>
      <c r="J563">
        <v>-307.76409999999998</v>
      </c>
      <c r="K563">
        <v>1.0625639999999901</v>
      </c>
      <c r="L563">
        <v>367.18299999999999</v>
      </c>
      <c r="M563">
        <v>0.99977739999999904</v>
      </c>
      <c r="N563">
        <v>0</v>
      </c>
      <c r="O563">
        <v>4.7866439999999996E-3</v>
      </c>
      <c r="P563">
        <v>0.9980388</v>
      </c>
      <c r="Q563">
        <v>3.110535E-2</v>
      </c>
      <c r="R563">
        <v>5.4326159999999998E-2</v>
      </c>
      <c r="S563">
        <v>2.998688</v>
      </c>
      <c r="T563">
        <v>-0.111453199999999</v>
      </c>
      <c r="U563">
        <v>0.19329830000000001</v>
      </c>
      <c r="V563">
        <v>-4.9639309999999999E-2</v>
      </c>
      <c r="W563">
        <v>5.1526910000000002E-2</v>
      </c>
      <c r="X563">
        <v>0.99743719999999902</v>
      </c>
      <c r="Y563">
        <v>-5.9511370000000001E-2</v>
      </c>
      <c r="Z563">
        <v>9.2672149999999999E-4</v>
      </c>
      <c r="AA563">
        <v>0.99822719999999898</v>
      </c>
      <c r="AB563">
        <v>59</v>
      </c>
      <c r="AC563">
        <v>28.288999999999898</v>
      </c>
      <c r="AD563">
        <v>-1.0625643218637999</v>
      </c>
      <c r="AE563">
        <v>1.8424999999999701</v>
      </c>
      <c r="AF563">
        <v>-1.7046461045372501</v>
      </c>
      <c r="AG563">
        <v>-1.0625643218637999</v>
      </c>
      <c r="AH563">
        <v>28.257798438974799</v>
      </c>
      <c r="AI563">
        <v>92.149546938433303</v>
      </c>
      <c r="AJ563">
        <v>93.452173048288699</v>
      </c>
      <c r="AK563">
        <v>28.329102243056401</v>
      </c>
    </row>
    <row r="564" spans="1:37" x14ac:dyDescent="0.2">
      <c r="A564" t="str">
        <f>"20200111153414769"</f>
        <v>20200111153414769</v>
      </c>
      <c r="B564" t="str">
        <f>"1578728054766886"</f>
        <v>1578728054766886</v>
      </c>
      <c r="C564" t="s">
        <v>37</v>
      </c>
      <c r="D564">
        <v>4.9081429999999999</v>
      </c>
      <c r="E564">
        <v>0.49655450000000001</v>
      </c>
      <c r="F564" t="s">
        <v>39</v>
      </c>
      <c r="G564">
        <v>-277.42540000000002</v>
      </c>
      <c r="H564" s="1">
        <v>-1.174601E-6</v>
      </c>
      <c r="I564">
        <v>369.12150000000003</v>
      </c>
      <c r="J564">
        <v>-307.45359999999999</v>
      </c>
      <c r="K564">
        <v>1.0619129999999899</v>
      </c>
      <c r="L564">
        <v>367.18459999999999</v>
      </c>
      <c r="M564">
        <v>0.99978120000000004</v>
      </c>
      <c r="N564">
        <v>0</v>
      </c>
      <c r="O564">
        <v>5.0108269999999998E-3</v>
      </c>
      <c r="P564">
        <v>0.997942</v>
      </c>
      <c r="Q564">
        <v>3.2024370000000003E-2</v>
      </c>
      <c r="R564">
        <v>5.5554609999999997E-2</v>
      </c>
      <c r="S564">
        <v>2.9987789999999999</v>
      </c>
      <c r="T564">
        <v>-0.1050271</v>
      </c>
      <c r="U564">
        <v>0.19161989999999901</v>
      </c>
      <c r="V564">
        <v>-5.064486E-2</v>
      </c>
      <c r="W564">
        <v>5.2203109999999997E-2</v>
      </c>
      <c r="X564">
        <v>0.99735149999999995</v>
      </c>
      <c r="Y564">
        <v>-5.8733960000000002E-2</v>
      </c>
      <c r="Z564">
        <v>8.5187469999999999E-4</v>
      </c>
      <c r="AA564">
        <v>0.99827330000000003</v>
      </c>
      <c r="AB564">
        <v>59</v>
      </c>
      <c r="AC564">
        <v>30.028199999999899</v>
      </c>
      <c r="AD564">
        <v>-1.0619141746009999</v>
      </c>
      <c r="AE564">
        <v>1.93690000000003</v>
      </c>
      <c r="AF564">
        <v>-1.7841564888324299</v>
      </c>
      <c r="AG564">
        <v>-1.0619141746009999</v>
      </c>
      <c r="AH564">
        <v>30.000167421343701</v>
      </c>
      <c r="AI564">
        <v>92.023676372823004</v>
      </c>
      <c r="AJ564">
        <v>93.403460127967804</v>
      </c>
      <c r="AK564">
        <v>30.071929126670799</v>
      </c>
    </row>
    <row r="565" spans="1:37" x14ac:dyDescent="0.2">
      <c r="A565" t="str">
        <f>"20200111153414782"</f>
        <v>20200111153414782</v>
      </c>
      <c r="B565" t="str">
        <f>"1578728054776647"</f>
        <v>1578728054776647</v>
      </c>
      <c r="C565" t="s">
        <v>37</v>
      </c>
      <c r="D565">
        <v>4.9171440000000004</v>
      </c>
      <c r="E565">
        <v>0.49682169999999998</v>
      </c>
      <c r="F565" t="s">
        <v>39</v>
      </c>
      <c r="G565">
        <v>-274.92500000000001</v>
      </c>
      <c r="H565" s="1">
        <v>-2.23346399999999E-6</v>
      </c>
      <c r="I565">
        <v>369.19909999999999</v>
      </c>
      <c r="J565">
        <v>-307.14249999999998</v>
      </c>
      <c r="K565">
        <v>1.061283</v>
      </c>
      <c r="L565">
        <v>367.18619999999999</v>
      </c>
      <c r="M565">
        <v>0.99978480000000003</v>
      </c>
      <c r="N565">
        <v>0</v>
      </c>
      <c r="O565">
        <v>5.2381140000000003E-3</v>
      </c>
      <c r="P565">
        <v>0.99787190000000003</v>
      </c>
      <c r="Q565">
        <v>3.2378129999999998E-2</v>
      </c>
      <c r="R565">
        <v>5.6598379999999997E-2</v>
      </c>
      <c r="S565">
        <v>2.998993</v>
      </c>
      <c r="T565">
        <v>-9.7903909999999997E-2</v>
      </c>
      <c r="U565">
        <v>0.18573000000000001</v>
      </c>
      <c r="V565">
        <v>-5.1461099999999899E-2</v>
      </c>
      <c r="W565">
        <v>5.2317389999999998E-2</v>
      </c>
      <c r="X565">
        <v>0.99730370000000002</v>
      </c>
      <c r="Y565">
        <v>-5.6555130000000002E-2</v>
      </c>
      <c r="Z565">
        <v>7.5119029999999999E-4</v>
      </c>
      <c r="AA565">
        <v>0.99839920000000004</v>
      </c>
      <c r="AB565">
        <v>59</v>
      </c>
      <c r="AC565">
        <v>32.217499999999902</v>
      </c>
      <c r="AD565">
        <v>-1.0612852334639999</v>
      </c>
      <c r="AE565">
        <v>2.0129000000000001</v>
      </c>
      <c r="AF565">
        <v>-1.8420883007045801</v>
      </c>
      <c r="AG565">
        <v>-1.0612852334639999</v>
      </c>
      <c r="AH565">
        <v>32.192806304612603</v>
      </c>
      <c r="AI565">
        <v>91.8850781358977</v>
      </c>
      <c r="AJ565">
        <v>93.274921726882994</v>
      </c>
      <c r="AK565">
        <v>32.262925989758998</v>
      </c>
    </row>
    <row r="566" spans="1:37" x14ac:dyDescent="0.2">
      <c r="A566" t="str">
        <f>"20200111153414795"</f>
        <v>20200111153414795</v>
      </c>
      <c r="B566" t="str">
        <f>"1578728054787382"</f>
        <v>1578728054787382</v>
      </c>
      <c r="C566" t="s">
        <v>37</v>
      </c>
      <c r="D566">
        <v>4.9123049999999999</v>
      </c>
      <c r="E566">
        <v>0.49700129999999998</v>
      </c>
      <c r="F566" t="s">
        <v>39</v>
      </c>
      <c r="G566">
        <v>-274.15050000000002</v>
      </c>
      <c r="H566" s="1">
        <v>-2.5579629999999999E-6</v>
      </c>
      <c r="I566">
        <v>369.24290000000002</v>
      </c>
      <c r="J566">
        <v>-306.79059999999998</v>
      </c>
      <c r="K566">
        <v>1.0606329999999999</v>
      </c>
      <c r="L566">
        <v>367.18819999999999</v>
      </c>
      <c r="M566">
        <v>0.99978880000000003</v>
      </c>
      <c r="N566">
        <v>0</v>
      </c>
      <c r="O566">
        <v>5.5011869999999899E-3</v>
      </c>
      <c r="P566">
        <v>0.997784</v>
      </c>
      <c r="Q566">
        <v>3.3064730000000001E-2</v>
      </c>
      <c r="R566">
        <v>5.774286E-2</v>
      </c>
      <c r="S566">
        <v>2.9989319999999999</v>
      </c>
      <c r="T566">
        <v>-9.6469340000000001E-2</v>
      </c>
      <c r="U566">
        <v>0.1869507</v>
      </c>
      <c r="V566">
        <v>-5.2343010000000002E-2</v>
      </c>
      <c r="W566">
        <v>5.2741199999999898E-2</v>
      </c>
      <c r="X566">
        <v>0.99723549999999905</v>
      </c>
      <c r="Y566">
        <v>-5.6699380000000001E-2</v>
      </c>
      <c r="Z566">
        <v>7.3406009999999995E-4</v>
      </c>
      <c r="AA566">
        <v>0.99839100000000003</v>
      </c>
      <c r="AB566">
        <v>59</v>
      </c>
      <c r="AC566">
        <v>32.640099999999897</v>
      </c>
      <c r="AD566">
        <v>-1.060635557963</v>
      </c>
      <c r="AE566">
        <v>2.05470000000002</v>
      </c>
      <c r="AF566">
        <v>-1.87310435644118</v>
      </c>
      <c r="AG566">
        <v>-1.060635557963</v>
      </c>
      <c r="AH566">
        <v>32.616606952762098</v>
      </c>
      <c r="AI566">
        <v>91.859441681074102</v>
      </c>
      <c r="AJ566">
        <v>93.286768207054905</v>
      </c>
      <c r="AK566">
        <v>32.687559052763604</v>
      </c>
    </row>
    <row r="567" spans="1:37" x14ac:dyDescent="0.2">
      <c r="A567" t="str">
        <f>"20200111153414809"</f>
        <v>20200111153414809</v>
      </c>
      <c r="B567" t="str">
        <f>"1578728054797142"</f>
        <v>1578728054797142</v>
      </c>
      <c r="C567" t="s">
        <v>37</v>
      </c>
      <c r="D567">
        <v>4.9275890000000002</v>
      </c>
      <c r="E567">
        <v>0.49721149999999997</v>
      </c>
      <c r="F567" t="s">
        <v>39</v>
      </c>
      <c r="G567">
        <v>-273.3252</v>
      </c>
      <c r="H567" s="1">
        <v>-2.9027479999999998E-6</v>
      </c>
      <c r="I567">
        <v>369.29520000000002</v>
      </c>
      <c r="J567">
        <v>-306.42599999999999</v>
      </c>
      <c r="K567">
        <v>1.060011</v>
      </c>
      <c r="L567">
        <v>367.19040000000001</v>
      </c>
      <c r="M567">
        <v>0.99979229999999997</v>
      </c>
      <c r="N567">
        <v>0</v>
      </c>
      <c r="O567">
        <v>5.777829E-3</v>
      </c>
      <c r="P567">
        <v>0.99771390000000004</v>
      </c>
      <c r="Q567">
        <v>3.2414569999999997E-2</v>
      </c>
      <c r="R567">
        <v>5.9300980000000003E-2</v>
      </c>
      <c r="S567">
        <v>2.9988709999999998</v>
      </c>
      <c r="T567">
        <v>-9.5044489999999995E-2</v>
      </c>
      <c r="U567">
        <v>0.18881229999999999</v>
      </c>
      <c r="V567">
        <v>-5.3622299999999998E-2</v>
      </c>
      <c r="W567">
        <v>5.1829300000000002E-2</v>
      </c>
      <c r="X567">
        <v>0.99721530000000003</v>
      </c>
      <c r="Y567">
        <v>-5.7042490000000001E-2</v>
      </c>
      <c r="Z567">
        <v>7.198978E-4</v>
      </c>
      <c r="AA567">
        <v>0.99837149999999997</v>
      </c>
      <c r="AB567">
        <v>59</v>
      </c>
      <c r="AC567">
        <v>33.1007999999999</v>
      </c>
      <c r="AD567">
        <v>-1.060013902748</v>
      </c>
      <c r="AE567">
        <v>2.1048000000000102</v>
      </c>
      <c r="AF567">
        <v>-1.9115251327606</v>
      </c>
      <c r="AG567">
        <v>-1.060013902748</v>
      </c>
      <c r="AH567">
        <v>33.0786244382071</v>
      </c>
      <c r="AI567">
        <v>91.832376553132306</v>
      </c>
      <c r="AJ567">
        <v>93.307291523202693</v>
      </c>
      <c r="AK567">
        <v>33.150760964586397</v>
      </c>
    </row>
    <row r="568" spans="1:37" x14ac:dyDescent="0.2">
      <c r="A568" t="str">
        <f>"20200111153414821"</f>
        <v>20200111153414821</v>
      </c>
      <c r="B568" t="str">
        <f>"1578728054816662"</f>
        <v>1578728054816662</v>
      </c>
      <c r="C568" t="s">
        <v>37</v>
      </c>
      <c r="D568">
        <v>4.8798579999999996</v>
      </c>
      <c r="E568">
        <v>0.49752859999999999</v>
      </c>
      <c r="F568" t="s">
        <v>39</v>
      </c>
      <c r="G568">
        <v>-273.6755</v>
      </c>
      <c r="H568" s="1">
        <v>-2.7540120000000001E-6</v>
      </c>
      <c r="I568">
        <v>369.28649999999999</v>
      </c>
      <c r="J568">
        <v>-306.10570000000001</v>
      </c>
      <c r="K568">
        <v>1.059507</v>
      </c>
      <c r="L568">
        <v>367.19229999999999</v>
      </c>
      <c r="M568">
        <v>0.99979509999999905</v>
      </c>
      <c r="N568">
        <v>0</v>
      </c>
      <c r="O568">
        <v>6.0223289999999999E-3</v>
      </c>
      <c r="P568">
        <v>0.99768609999999902</v>
      </c>
      <c r="Q568">
        <v>3.1893699999999997E-2</v>
      </c>
      <c r="R568">
        <v>6.0045910000000001E-2</v>
      </c>
      <c r="S568">
        <v>2.9986570000000001</v>
      </c>
      <c r="T568">
        <v>-9.7055260000000004E-2</v>
      </c>
      <c r="U568">
        <v>0.19192500000000001</v>
      </c>
      <c r="V568">
        <v>-5.4120809999999998E-2</v>
      </c>
      <c r="W568">
        <v>5.1085470000000001E-2</v>
      </c>
      <c r="X568">
        <v>0.99722679999999997</v>
      </c>
      <c r="Y568">
        <v>-5.7833639999999999E-2</v>
      </c>
      <c r="Z568">
        <v>7.4003190000000003E-4</v>
      </c>
      <c r="AA568">
        <v>0.99832589999999999</v>
      </c>
      <c r="AB568">
        <v>59</v>
      </c>
      <c r="AC568">
        <v>32.430199999999999</v>
      </c>
      <c r="AD568">
        <v>-1.059509754012</v>
      </c>
      <c r="AE568">
        <v>2.0941999999999998</v>
      </c>
      <c r="AF568">
        <v>-1.89680402825058</v>
      </c>
      <c r="AG568">
        <v>-1.059509754012</v>
      </c>
      <c r="AH568">
        <v>32.407778894195502</v>
      </c>
      <c r="AI568">
        <v>91.869311117361207</v>
      </c>
      <c r="AJ568">
        <v>93.349659371334994</v>
      </c>
      <c r="AK568">
        <v>32.480525846967097</v>
      </c>
    </row>
    <row r="569" spans="1:37" x14ac:dyDescent="0.2">
      <c r="A569" t="str">
        <f>"20200111153414832"</f>
        <v>20200111153414832</v>
      </c>
      <c r="B569" t="str">
        <f>"1578728054827398"</f>
        <v>1578728054827398</v>
      </c>
      <c r="C569" t="s">
        <v>37</v>
      </c>
      <c r="D569">
        <v>4.9176489999999999</v>
      </c>
      <c r="E569">
        <v>0.49765130000000002</v>
      </c>
      <c r="F569" t="s">
        <v>39</v>
      </c>
      <c r="G569">
        <v>-273.59309999999999</v>
      </c>
      <c r="H569" s="1">
        <v>-2.7922510000000001E-6</v>
      </c>
      <c r="I569">
        <v>369.27030000000002</v>
      </c>
      <c r="J569">
        <v>-305.81110000000001</v>
      </c>
      <c r="K569">
        <v>1.0590999999999999</v>
      </c>
      <c r="L569">
        <v>367.19420000000002</v>
      </c>
      <c r="M569">
        <v>0.99979750000000001</v>
      </c>
      <c r="N569">
        <v>0</v>
      </c>
      <c r="O569">
        <v>6.2484339999999998E-3</v>
      </c>
      <c r="P569">
        <v>0.99768500000000004</v>
      </c>
      <c r="Q569">
        <v>3.111303E-2</v>
      </c>
      <c r="R569">
        <v>6.0469090000000003E-2</v>
      </c>
      <c r="S569">
        <v>2.998535</v>
      </c>
      <c r="T569">
        <v>-9.7714899999999993E-2</v>
      </c>
      <c r="U569">
        <v>0.1916504</v>
      </c>
      <c r="V569">
        <v>-5.4316070000000001E-2</v>
      </c>
      <c r="W569">
        <v>5.0111580000000003E-2</v>
      </c>
      <c r="X569">
        <v>0.99726559999999898</v>
      </c>
      <c r="Y569">
        <v>-5.7519340000000002E-2</v>
      </c>
      <c r="Z569">
        <v>7.3261829999999998E-4</v>
      </c>
      <c r="AA569">
        <v>0.99834409999999896</v>
      </c>
      <c r="AB569">
        <v>59</v>
      </c>
      <c r="AC569">
        <v>32.218000000000004</v>
      </c>
      <c r="AD569">
        <v>-1.0591027922509999</v>
      </c>
      <c r="AE569">
        <v>2.0760999999999901</v>
      </c>
      <c r="AF569">
        <v>-1.87269523613301</v>
      </c>
      <c r="AG569">
        <v>-1.0591027922509999</v>
      </c>
      <c r="AH569">
        <v>32.195697640021102</v>
      </c>
      <c r="AI569">
        <v>91.880933410451306</v>
      </c>
      <c r="AJ569">
        <v>93.328915979990697</v>
      </c>
      <c r="AK569">
        <v>32.267501184623001</v>
      </c>
    </row>
    <row r="570" spans="1:37" x14ac:dyDescent="0.2">
      <c r="A570" t="str">
        <f>"20200111153414843"</f>
        <v>20200111153414843</v>
      </c>
      <c r="B570" t="str">
        <f>"1578728054837159"</f>
        <v>1578728054837159</v>
      </c>
      <c r="C570" t="s">
        <v>37</v>
      </c>
      <c r="D570">
        <v>4.926304</v>
      </c>
      <c r="E570">
        <v>0.49772440000000001</v>
      </c>
      <c r="F570" t="s">
        <v>39</v>
      </c>
      <c r="G570">
        <v>-274.2516</v>
      </c>
      <c r="H570" s="1">
        <v>-2.5194259999999998E-6</v>
      </c>
      <c r="I570">
        <v>369.2158</v>
      </c>
      <c r="J570">
        <v>-305.52409999999998</v>
      </c>
      <c r="K570">
        <v>1.0587219999999999</v>
      </c>
      <c r="L570">
        <v>367.195999999999</v>
      </c>
      <c r="M570">
        <v>0.99979949999999995</v>
      </c>
      <c r="N570">
        <v>0</v>
      </c>
      <c r="O570">
        <v>6.467726E-3</v>
      </c>
      <c r="P570">
        <v>0.99768829999999997</v>
      </c>
      <c r="Q570">
        <v>3.0356589999999999E-2</v>
      </c>
      <c r="R570">
        <v>6.079756E-2</v>
      </c>
      <c r="S570">
        <v>2.9984130000000002</v>
      </c>
      <c r="T570">
        <v>-0.100623</v>
      </c>
      <c r="U570">
        <v>0.19207759999999999</v>
      </c>
      <c r="V570">
        <v>-5.4423230000000003E-2</v>
      </c>
      <c r="W570">
        <v>4.9171470000000002E-2</v>
      </c>
      <c r="X570">
        <v>0.99730649999999998</v>
      </c>
      <c r="Y570">
        <v>-5.7443180000000003E-2</v>
      </c>
      <c r="Z570">
        <v>7.4581099999999998E-4</v>
      </c>
      <c r="AA570">
        <v>0.99834849999999997</v>
      </c>
      <c r="AB570">
        <v>59</v>
      </c>
      <c r="AC570">
        <v>31.272499999999901</v>
      </c>
      <c r="AD570">
        <v>-1.058724519426</v>
      </c>
      <c r="AE570">
        <v>2.0198000000000298</v>
      </c>
      <c r="AF570">
        <v>-1.8153873894179999</v>
      </c>
      <c r="AG570">
        <v>-1.058724519426</v>
      </c>
      <c r="AH570">
        <v>31.249244054869401</v>
      </c>
      <c r="AI570">
        <v>91.937175400992601</v>
      </c>
      <c r="AJ570">
        <v>93.324792747463803</v>
      </c>
      <c r="AK570">
        <v>31.3198305069245</v>
      </c>
    </row>
    <row r="571" spans="1:37" x14ac:dyDescent="0.2">
      <c r="A571" t="str">
        <f>"20200111153414853"</f>
        <v>20200111153414853</v>
      </c>
      <c r="B571" t="str">
        <f>"1578728054846919"</f>
        <v>1578728054846919</v>
      </c>
      <c r="C571" t="s">
        <v>37</v>
      </c>
      <c r="D571">
        <v>4.8935969999999998</v>
      </c>
      <c r="E571">
        <v>0.49774819999999997</v>
      </c>
      <c r="F571" t="s">
        <v>39</v>
      </c>
      <c r="G571">
        <v>-274.68689999999998</v>
      </c>
      <c r="H571" s="1">
        <v>-2.3400850000000001E-6</v>
      </c>
      <c r="I571">
        <v>369.17399999999998</v>
      </c>
      <c r="J571">
        <v>-305.22840000000002</v>
      </c>
      <c r="K571">
        <v>1.058371</v>
      </c>
      <c r="L571">
        <v>367.19799999999998</v>
      </c>
      <c r="M571">
        <v>0.99980159999999996</v>
      </c>
      <c r="N571">
        <v>0</v>
      </c>
      <c r="O571">
        <v>6.6921400000000001E-3</v>
      </c>
      <c r="P571">
        <v>0.99770609999999904</v>
      </c>
      <c r="Q571">
        <v>2.9344829999999999E-2</v>
      </c>
      <c r="R571">
        <v>6.1006150000000002E-2</v>
      </c>
      <c r="S571">
        <v>2.9983219999999999</v>
      </c>
      <c r="T571">
        <v>-0.1029403</v>
      </c>
      <c r="U571">
        <v>0.19232179999999999</v>
      </c>
      <c r="V571">
        <v>-5.4405460000000003E-2</v>
      </c>
      <c r="W571">
        <v>4.7979349999999997E-2</v>
      </c>
      <c r="X571">
        <v>0.99736550000000002</v>
      </c>
      <c r="Y571">
        <v>-5.730089E-2</v>
      </c>
      <c r="Z571">
        <v>7.5286500000000002E-4</v>
      </c>
      <c r="AA571">
        <v>0.99835669999999899</v>
      </c>
      <c r="AB571">
        <v>59</v>
      </c>
      <c r="AC571">
        <v>30.541499999999999</v>
      </c>
      <c r="AD571">
        <v>-1.0583733400849999</v>
      </c>
      <c r="AE571">
        <v>1.97599999999999</v>
      </c>
      <c r="AF571">
        <v>-1.7694157773457799</v>
      </c>
      <c r="AG571">
        <v>-1.0583733400849999</v>
      </c>
      <c r="AH571">
        <v>30.5175469209296</v>
      </c>
      <c r="AI571">
        <v>91.982940564252701</v>
      </c>
      <c r="AJ571">
        <v>93.318310006107197</v>
      </c>
      <c r="AK571">
        <v>30.587115856047401</v>
      </c>
    </row>
    <row r="572" spans="1:37" x14ac:dyDescent="0.2">
      <c r="A572" t="str">
        <f>"20200111153414866"</f>
        <v>20200111153414866</v>
      </c>
      <c r="B572" t="str">
        <f>"1578728054856678"</f>
        <v>1578728054856678</v>
      </c>
      <c r="C572" t="s">
        <v>37</v>
      </c>
      <c r="D572">
        <v>4.9219189999999999</v>
      </c>
      <c r="E572">
        <v>0.49784459999999903</v>
      </c>
      <c r="F572" t="s">
        <v>39</v>
      </c>
      <c r="G572">
        <v>-275.34179999999998</v>
      </c>
      <c r="H572" s="1">
        <v>-2.068768E-6</v>
      </c>
      <c r="I572">
        <v>369.11959999999999</v>
      </c>
      <c r="J572">
        <v>-304.93189999999998</v>
      </c>
      <c r="K572">
        <v>1.058052</v>
      </c>
      <c r="L572">
        <v>367.2</v>
      </c>
      <c r="M572">
        <v>0.99980340000000001</v>
      </c>
      <c r="N572">
        <v>0</v>
      </c>
      <c r="O572">
        <v>6.9155450000000004E-3</v>
      </c>
      <c r="P572">
        <v>0.99772749999999999</v>
      </c>
      <c r="Q572">
        <v>2.8438330000000001E-2</v>
      </c>
      <c r="R572">
        <v>6.1085029999999998E-2</v>
      </c>
      <c r="S572">
        <v>2.9981990000000001</v>
      </c>
      <c r="T572">
        <v>-0.1061748</v>
      </c>
      <c r="U572">
        <v>0.19277949999999999</v>
      </c>
      <c r="V572">
        <v>-5.425891E-2</v>
      </c>
      <c r="W572">
        <v>4.690006E-2</v>
      </c>
      <c r="X572">
        <v>0.9974248</v>
      </c>
      <c r="Y572">
        <v>-5.7230499999999997E-2</v>
      </c>
      <c r="Z572">
        <v>7.6738920000000001E-4</v>
      </c>
      <c r="AA572">
        <v>0.99836069999999999</v>
      </c>
      <c r="AB572">
        <v>59</v>
      </c>
      <c r="AC572">
        <v>29.5901</v>
      </c>
      <c r="AD572">
        <v>-1.058054068768</v>
      </c>
      <c r="AE572">
        <v>1.9196</v>
      </c>
      <c r="AF572">
        <v>-1.7127064411916</v>
      </c>
      <c r="AG572">
        <v>-1.058054068768</v>
      </c>
      <c r="AH572">
        <v>29.565027155859202</v>
      </c>
      <c r="AI572">
        <v>92.046162041793806</v>
      </c>
      <c r="AJ572">
        <v>93.315447609721602</v>
      </c>
      <c r="AK572">
        <v>29.6334890367777</v>
      </c>
    </row>
    <row r="573" spans="1:37" x14ac:dyDescent="0.2">
      <c r="A573" t="str">
        <f>"20200111153414879"</f>
        <v>20200111153414879</v>
      </c>
      <c r="B573" t="str">
        <f>"1578728054867415"</f>
        <v>1578728054867415</v>
      </c>
      <c r="C573" t="s">
        <v>37</v>
      </c>
      <c r="D573">
        <v>4.9005650000000003</v>
      </c>
      <c r="E573">
        <v>0.49797279999999999</v>
      </c>
      <c r="F573" t="s">
        <v>39</v>
      </c>
      <c r="G573">
        <v>-275.58420000000001</v>
      </c>
      <c r="H573" s="1">
        <v>-1.971526E-6</v>
      </c>
      <c r="I573">
        <v>369.08159999999998</v>
      </c>
      <c r="J573">
        <v>-304.58620000000002</v>
      </c>
      <c r="K573">
        <v>1.0577080000000001</v>
      </c>
      <c r="L573">
        <v>367.20249999999999</v>
      </c>
      <c r="M573">
        <v>0.99980519999999995</v>
      </c>
      <c r="N573">
        <v>0</v>
      </c>
      <c r="O573">
        <v>7.1750190000000004E-3</v>
      </c>
      <c r="P573">
        <v>0.99776239999999905</v>
      </c>
      <c r="Q573">
        <v>2.740975E-2</v>
      </c>
      <c r="R573">
        <v>6.0986449999999998E-2</v>
      </c>
      <c r="S573">
        <v>2.9981689999999999</v>
      </c>
      <c r="T573">
        <v>-0.1080906</v>
      </c>
      <c r="U573">
        <v>0.19223019999999999</v>
      </c>
      <c r="V573">
        <v>-5.3899080000000002E-2</v>
      </c>
      <c r="W573">
        <v>4.5676370000000001E-2</v>
      </c>
      <c r="X573">
        <v>0.99750110000000003</v>
      </c>
      <c r="Y573">
        <v>-5.6789230000000003E-2</v>
      </c>
      <c r="Z573">
        <v>7.6395420000000003E-4</v>
      </c>
      <c r="AA573">
        <v>0.99838590000000005</v>
      </c>
      <c r="AB573">
        <v>59</v>
      </c>
      <c r="AC573">
        <v>29.001999999999999</v>
      </c>
      <c r="AD573">
        <v>-1.0577099715260001</v>
      </c>
      <c r="AE573">
        <v>1.87909999999999</v>
      </c>
      <c r="AF573">
        <v>-1.6687162833931</v>
      </c>
      <c r="AG573">
        <v>-1.0577099715260001</v>
      </c>
      <c r="AH573">
        <v>28.976358356182899</v>
      </c>
      <c r="AI573">
        <v>92.0870570116805</v>
      </c>
      <c r="AJ573">
        <v>93.295959838451196</v>
      </c>
      <c r="AK573">
        <v>29.043634552243301</v>
      </c>
    </row>
    <row r="574" spans="1:37" x14ac:dyDescent="0.2">
      <c r="A574" t="str">
        <f>"20200111153414890"</f>
        <v>20200111153414890</v>
      </c>
      <c r="B574" t="str">
        <f>"1578728054886936"</f>
        <v>1578728054886936</v>
      </c>
      <c r="C574" t="s">
        <v>37</v>
      </c>
      <c r="D574">
        <v>4.911651</v>
      </c>
      <c r="E574">
        <v>0.498204599999999</v>
      </c>
      <c r="F574" t="s">
        <v>39</v>
      </c>
      <c r="G574">
        <v>-276.12040000000002</v>
      </c>
      <c r="H574" s="1">
        <v>-1.7538189999999999E-6</v>
      </c>
      <c r="I574">
        <v>369.01209999999998</v>
      </c>
      <c r="J574">
        <v>-304.2672</v>
      </c>
      <c r="K574">
        <v>1.0574379999999901</v>
      </c>
      <c r="L574">
        <v>367.20479999999998</v>
      </c>
      <c r="M574">
        <v>0.99980650000000004</v>
      </c>
      <c r="N574">
        <v>0</v>
      </c>
      <c r="O574">
        <v>7.411071E-3</v>
      </c>
      <c r="P574">
        <v>0.99777719999999903</v>
      </c>
      <c r="Q574">
        <v>2.725586E-2</v>
      </c>
      <c r="R574">
        <v>6.081375E-2</v>
      </c>
      <c r="S574">
        <v>2.998138</v>
      </c>
      <c r="T574">
        <v>-0.111402399999999</v>
      </c>
      <c r="U574">
        <v>0.1906128</v>
      </c>
      <c r="V574">
        <v>-5.3490320000000001E-2</v>
      </c>
      <c r="W574">
        <v>4.5356750000000001E-2</v>
      </c>
      <c r="X574">
        <v>0.99753769999999997</v>
      </c>
      <c r="Y574">
        <v>-5.6016440000000001E-2</v>
      </c>
      <c r="Z574">
        <v>7.6426969999999995E-4</v>
      </c>
      <c r="AA574">
        <v>0.99842949999999997</v>
      </c>
      <c r="AB574">
        <v>59</v>
      </c>
      <c r="AC574">
        <v>28.146799999999899</v>
      </c>
      <c r="AD574">
        <v>-1.0574397538189999</v>
      </c>
      <c r="AE574">
        <v>1.8072999999999899</v>
      </c>
      <c r="AF574">
        <v>-1.59637389077837</v>
      </c>
      <c r="AG574">
        <v>-1.0574397538189999</v>
      </c>
      <c r="AH574">
        <v>28.119897272746599</v>
      </c>
      <c r="AI574">
        <v>92.150116015723</v>
      </c>
      <c r="AJ574">
        <v>93.249208733719797</v>
      </c>
      <c r="AK574">
        <v>28.185017492666798</v>
      </c>
    </row>
    <row r="575" spans="1:37" x14ac:dyDescent="0.2">
      <c r="A575" t="str">
        <f>"20200111153414902"</f>
        <v>20200111153414902</v>
      </c>
      <c r="B575" t="str">
        <f>"1578728054896694"</f>
        <v>1578728054896694</v>
      </c>
      <c r="C575" t="s">
        <v>37</v>
      </c>
      <c r="D575">
        <v>4.8827299999999996</v>
      </c>
      <c r="E575">
        <v>0.49825190000000003</v>
      </c>
      <c r="F575" t="s">
        <v>39</v>
      </c>
      <c r="G575">
        <v>-275.62799999999999</v>
      </c>
      <c r="H575" s="1">
        <v>-1.9666770000000002E-6</v>
      </c>
      <c r="I575">
        <v>369.00310000000002</v>
      </c>
      <c r="J575">
        <v>-303.97699999999998</v>
      </c>
      <c r="K575">
        <v>1.0572029999999999</v>
      </c>
      <c r="L575">
        <v>367.20699999999999</v>
      </c>
      <c r="M575">
        <v>0.99980759999999902</v>
      </c>
      <c r="N575">
        <v>0</v>
      </c>
      <c r="O575">
        <v>7.6252619999999998E-3</v>
      </c>
      <c r="P575">
        <v>0.99779010000000001</v>
      </c>
      <c r="Q575">
        <v>2.7038280000000001E-2</v>
      </c>
      <c r="R575">
        <v>6.0694119999999997E-2</v>
      </c>
      <c r="S575">
        <v>2.9982599999999899</v>
      </c>
      <c r="T575">
        <v>-0.1107041</v>
      </c>
      <c r="U575">
        <v>0.18826289999999901</v>
      </c>
      <c r="V575">
        <v>-5.3155849999999998E-2</v>
      </c>
      <c r="W575">
        <v>4.4992339999999999E-2</v>
      </c>
      <c r="X575">
        <v>0.99757209999999996</v>
      </c>
      <c r="Y575">
        <v>-5.5021809999999997E-2</v>
      </c>
      <c r="Z575">
        <v>7.3323429999999905E-4</v>
      </c>
      <c r="AA575">
        <v>0.99848490000000001</v>
      </c>
      <c r="AB575">
        <v>59</v>
      </c>
      <c r="AC575">
        <v>28.349</v>
      </c>
      <c r="AD575">
        <v>-1.057204966677</v>
      </c>
      <c r="AE575">
        <v>1.79610000000002</v>
      </c>
      <c r="AF575">
        <v>-1.5776585765584401</v>
      </c>
      <c r="AG575">
        <v>-1.057204966677</v>
      </c>
      <c r="AH575">
        <v>28.322641842171599</v>
      </c>
      <c r="AI575">
        <v>92.134392956899205</v>
      </c>
      <c r="AJ575">
        <v>93.188256958854595</v>
      </c>
      <c r="AK575">
        <v>28.386241911279601</v>
      </c>
    </row>
    <row r="576" spans="1:37" x14ac:dyDescent="0.2">
      <c r="A576" t="str">
        <f>"20200111153414912"</f>
        <v>20200111153414912</v>
      </c>
      <c r="B576" t="str">
        <f>"1578728054907433"</f>
        <v>1578728054907433</v>
      </c>
      <c r="C576" t="s">
        <v>37</v>
      </c>
      <c r="D576">
        <v>4.9075879999999996</v>
      </c>
      <c r="E576">
        <v>0.49834099999999998</v>
      </c>
      <c r="F576" t="s">
        <v>39</v>
      </c>
      <c r="G576">
        <v>-275.52690000000001</v>
      </c>
      <c r="H576" s="1">
        <v>-2.0129429999999999E-6</v>
      </c>
      <c r="I576">
        <v>368.98669999999998</v>
      </c>
      <c r="J576">
        <v>-303.6934</v>
      </c>
      <c r="K576">
        <v>1.057002</v>
      </c>
      <c r="L576">
        <v>367.20920000000001</v>
      </c>
      <c r="M576">
        <v>0.99980849999999899</v>
      </c>
      <c r="N576">
        <v>0</v>
      </c>
      <c r="O576">
        <v>7.8327329999999997E-3</v>
      </c>
      <c r="P576">
        <v>0.99778509999999998</v>
      </c>
      <c r="Q576">
        <v>2.7735719999999998E-2</v>
      </c>
      <c r="R576">
        <v>6.0463790000000003E-2</v>
      </c>
      <c r="S576">
        <v>2.9982599999999899</v>
      </c>
      <c r="T576">
        <v>-0.1114151</v>
      </c>
      <c r="U576">
        <v>0.18756099999999901</v>
      </c>
      <c r="V576">
        <v>-5.2719729999999999E-2</v>
      </c>
      <c r="W576">
        <v>4.5553950000000003E-2</v>
      </c>
      <c r="X576">
        <v>0.99756979999999995</v>
      </c>
      <c r="Y576">
        <v>-5.4581810000000001E-2</v>
      </c>
      <c r="Z576">
        <v>7.2208299999999999E-4</v>
      </c>
      <c r="AA576">
        <v>0.99850899999999998</v>
      </c>
      <c r="AB576">
        <v>59</v>
      </c>
      <c r="AC576">
        <v>28.1664999999999</v>
      </c>
      <c r="AD576">
        <v>-1.0570040129430001</v>
      </c>
      <c r="AE576">
        <v>1.7774999999999701</v>
      </c>
      <c r="AF576">
        <v>-1.5546086632382199</v>
      </c>
      <c r="AG576">
        <v>-1.0570040129430001</v>
      </c>
      <c r="AH576">
        <v>28.140088808565501</v>
      </c>
      <c r="AI576">
        <v>92.147872830532904</v>
      </c>
      <c r="AJ576">
        <v>93.162110238722804</v>
      </c>
      <c r="AK576">
        <v>28.202813046452398</v>
      </c>
    </row>
    <row r="577" spans="1:37" x14ac:dyDescent="0.2">
      <c r="A577" t="str">
        <f>"20200111153414923"</f>
        <v>20200111153414923</v>
      </c>
      <c r="B577" t="str">
        <f>"1578728054917191"</f>
        <v>1578728054917191</v>
      </c>
      <c r="C577" t="s">
        <v>37</v>
      </c>
      <c r="D577">
        <v>4.9182079999999999</v>
      </c>
      <c r="E577">
        <v>0.4984693</v>
      </c>
      <c r="F577" t="s">
        <v>39</v>
      </c>
      <c r="G577">
        <v>-274.65449999999998</v>
      </c>
      <c r="H577" s="1">
        <v>-2.3827359999999998E-6</v>
      </c>
      <c r="I577">
        <v>369.01170000000002</v>
      </c>
      <c r="J577">
        <v>-303.42110000000002</v>
      </c>
      <c r="K577">
        <v>1.056824</v>
      </c>
      <c r="L577">
        <v>367.21140000000003</v>
      </c>
      <c r="M577">
        <v>0.99980910000000001</v>
      </c>
      <c r="N577">
        <v>0</v>
      </c>
      <c r="O577">
        <v>8.0317069999999904E-3</v>
      </c>
      <c r="P577">
        <v>0.99777830000000001</v>
      </c>
      <c r="Q577">
        <v>2.8892660000000001E-2</v>
      </c>
      <c r="R577">
        <v>6.00317E-2</v>
      </c>
      <c r="S577">
        <v>2.9984130000000002</v>
      </c>
      <c r="T577">
        <v>-0.109140899999999</v>
      </c>
      <c r="U577">
        <v>0.18612670000000001</v>
      </c>
      <c r="V577">
        <v>-5.2090780000000003E-2</v>
      </c>
      <c r="W577">
        <v>4.6586160000000001E-2</v>
      </c>
      <c r="X577">
        <v>0.99755509999999903</v>
      </c>
      <c r="Y577">
        <v>-5.3906019999999999E-2</v>
      </c>
      <c r="Z577">
        <v>6.8781179999999895E-4</v>
      </c>
      <c r="AA577">
        <v>0.99854580000000004</v>
      </c>
      <c r="AB577">
        <v>59</v>
      </c>
      <c r="AC577">
        <v>28.7666</v>
      </c>
      <c r="AD577">
        <v>-1.056826382736</v>
      </c>
      <c r="AE577">
        <v>1.80029999999999</v>
      </c>
      <c r="AF577">
        <v>-1.5670535854714001</v>
      </c>
      <c r="AG577">
        <v>-1.056826382736</v>
      </c>
      <c r="AH577">
        <v>28.741493198740098</v>
      </c>
      <c r="AI577">
        <v>92.102700245126499</v>
      </c>
      <c r="AJ577">
        <v>93.120810263988702</v>
      </c>
      <c r="AK577">
        <v>28.803575650189899</v>
      </c>
    </row>
    <row r="578" spans="1:37" x14ac:dyDescent="0.2">
      <c r="A578" t="str">
        <f>"20200111153414934"</f>
        <v>20200111153414934</v>
      </c>
      <c r="B578" t="str">
        <f>"1578728054926950"</f>
        <v>1578728054926950</v>
      </c>
      <c r="C578" t="s">
        <v>37</v>
      </c>
      <c r="D578">
        <v>4.8726649999999996</v>
      </c>
      <c r="E578">
        <v>0.49863059999999998</v>
      </c>
      <c r="F578" t="s">
        <v>39</v>
      </c>
      <c r="G578">
        <v>-273.25420000000003</v>
      </c>
      <c r="H578" s="1">
        <v>-2.9755979999999999E-6</v>
      </c>
      <c r="I578">
        <v>369.05619999999999</v>
      </c>
      <c r="J578">
        <v>-303.1198</v>
      </c>
      <c r="K578">
        <v>1.056651</v>
      </c>
      <c r="L578">
        <v>367.21390000000002</v>
      </c>
      <c r="M578">
        <v>0.99980959999999997</v>
      </c>
      <c r="N578">
        <v>0</v>
      </c>
      <c r="O578">
        <v>8.2514040000000004E-3</v>
      </c>
      <c r="P578">
        <v>0.99776119999999902</v>
      </c>
      <c r="Q578">
        <v>3.042048E-2</v>
      </c>
      <c r="R578">
        <v>5.9557720000000001E-2</v>
      </c>
      <c r="S578">
        <v>2.9986570000000001</v>
      </c>
      <c r="T578">
        <v>-0.10505059999999999</v>
      </c>
      <c r="U578">
        <v>0.18338009999999999</v>
      </c>
      <c r="V578">
        <v>-5.1400010000000003E-2</v>
      </c>
      <c r="W578">
        <v>4.7983159999999997E-2</v>
      </c>
      <c r="X578">
        <v>0.99752469999999904</v>
      </c>
      <c r="Y578">
        <v>-5.2773470000000003E-2</v>
      </c>
      <c r="Z578">
        <v>6.3451559999999998E-4</v>
      </c>
      <c r="AA578">
        <v>0.99860629999999995</v>
      </c>
      <c r="AB578">
        <v>59</v>
      </c>
      <c r="AC578">
        <v>29.865599999999901</v>
      </c>
      <c r="AD578">
        <v>-1.056653975598</v>
      </c>
      <c r="AE578">
        <v>1.8422999999999601</v>
      </c>
      <c r="AF578">
        <v>-1.5937781204910999</v>
      </c>
      <c r="AG578">
        <v>-1.056653975598</v>
      </c>
      <c r="AH578">
        <v>29.842572589034599</v>
      </c>
      <c r="AI578">
        <v>92.024975705739394</v>
      </c>
      <c r="AJ578">
        <v>93.057045073878299</v>
      </c>
      <c r="AK578">
        <v>29.9037754314284</v>
      </c>
    </row>
    <row r="579" spans="1:37" x14ac:dyDescent="0.2">
      <c r="A579" t="str">
        <f>"20200111153414945"</f>
        <v>20200111153414945</v>
      </c>
      <c r="B579" t="str">
        <f>"1578728054936711"</f>
        <v>1578728054936711</v>
      </c>
      <c r="C579" t="s">
        <v>37</v>
      </c>
      <c r="D579">
        <v>4.910031</v>
      </c>
      <c r="E579">
        <v>0.49868279999999898</v>
      </c>
      <c r="F579" t="s">
        <v>39</v>
      </c>
      <c r="G579">
        <v>-271.43880000000001</v>
      </c>
      <c r="H579" s="1">
        <v>-3.74150199999999E-6</v>
      </c>
      <c r="I579">
        <v>369.12880000000001</v>
      </c>
      <c r="J579">
        <v>-302.85109999999997</v>
      </c>
      <c r="K579">
        <v>1.0565089999999999</v>
      </c>
      <c r="L579">
        <v>367.21620000000001</v>
      </c>
      <c r="M579">
        <v>0.99980999999999998</v>
      </c>
      <c r="N579">
        <v>0</v>
      </c>
      <c r="O579">
        <v>8.4468419999999995E-3</v>
      </c>
      <c r="P579">
        <v>0.99774119999999999</v>
      </c>
      <c r="Q579">
        <v>3.2017770000000001E-2</v>
      </c>
      <c r="R579">
        <v>5.905548E-2</v>
      </c>
      <c r="S579">
        <v>2.9989619999999899</v>
      </c>
      <c r="T579">
        <v>-0.10002419999999999</v>
      </c>
      <c r="U579">
        <v>0.1812744</v>
      </c>
      <c r="V579">
        <v>-5.0705199999999999E-2</v>
      </c>
      <c r="W579">
        <v>4.9470090000000001E-2</v>
      </c>
      <c r="X579">
        <v>0.99748769999999998</v>
      </c>
      <c r="Y579">
        <v>-5.1876619999999998E-2</v>
      </c>
      <c r="Z579">
        <v>5.8267539999999997E-4</v>
      </c>
      <c r="AA579">
        <v>0.99865339999999903</v>
      </c>
      <c r="AB579">
        <v>59</v>
      </c>
      <c r="AC579">
        <v>31.412299999999899</v>
      </c>
      <c r="AD579">
        <v>-1.0565127415019999</v>
      </c>
      <c r="AE579">
        <v>1.9125999999999901</v>
      </c>
      <c r="AF579">
        <v>-1.6453017226605899</v>
      </c>
      <c r="AG579">
        <v>-1.0565127415019999</v>
      </c>
      <c r="AH579">
        <v>31.391956651099001</v>
      </c>
      <c r="AI579">
        <v>91.924951805065007</v>
      </c>
      <c r="AJ579">
        <v>93.000216577489994</v>
      </c>
      <c r="AK579">
        <v>31.452792869887201</v>
      </c>
    </row>
    <row r="580" spans="1:37" x14ac:dyDescent="0.2">
      <c r="A580" t="str">
        <f>"20200111153414956"</f>
        <v>20200111153414956</v>
      </c>
      <c r="B580" t="str">
        <f>"1578728054947446"</f>
        <v>1578728054947446</v>
      </c>
      <c r="C580" t="s">
        <v>37</v>
      </c>
      <c r="D580">
        <v>5.0226689999999996</v>
      </c>
      <c r="E580">
        <v>0.49908249999999998</v>
      </c>
      <c r="F580" t="s">
        <v>39</v>
      </c>
      <c r="G580">
        <v>-269.31330000000003</v>
      </c>
      <c r="H580" s="1">
        <v>-3.4763800000000001E-7</v>
      </c>
      <c r="I580">
        <v>369.21749999999997</v>
      </c>
      <c r="J580">
        <v>-302.54570000000001</v>
      </c>
      <c r="K580">
        <v>1.05636</v>
      </c>
      <c r="L580">
        <v>367.21879999999999</v>
      </c>
      <c r="M580">
        <v>0.99981019999999898</v>
      </c>
      <c r="N580">
        <v>0</v>
      </c>
      <c r="O580">
        <v>8.6695330000000001E-3</v>
      </c>
      <c r="P580">
        <v>0.99770829999999999</v>
      </c>
      <c r="Q580">
        <v>3.3398270000000001E-2</v>
      </c>
      <c r="R580">
        <v>5.8846839999999997E-2</v>
      </c>
      <c r="S580">
        <v>2.9992679999999998</v>
      </c>
      <c r="T580">
        <v>-9.4482899999999995E-2</v>
      </c>
      <c r="U580">
        <v>0.17898559999999999</v>
      </c>
      <c r="V580">
        <v>-5.0276309999999998E-2</v>
      </c>
      <c r="W580">
        <v>5.0729249999999997E-2</v>
      </c>
      <c r="X580">
        <v>0.99744619999999995</v>
      </c>
      <c r="Y580">
        <v>-5.0891899999999997E-2</v>
      </c>
      <c r="Z580">
        <v>5.278689E-4</v>
      </c>
      <c r="AA580">
        <v>0.99870400000000004</v>
      </c>
      <c r="AB580">
        <v>59</v>
      </c>
      <c r="AC580">
        <v>33.232399999999899</v>
      </c>
      <c r="AD580">
        <v>-1.0563603476379999</v>
      </c>
      <c r="AE580">
        <v>1.9986999999999799</v>
      </c>
      <c r="AF580">
        <v>-1.70875128550307</v>
      </c>
      <c r="AG580">
        <v>-1.0563603476379999</v>
      </c>
      <c r="AH580">
        <v>33.2150410504291</v>
      </c>
      <c r="AI580">
        <v>91.819198175270699</v>
      </c>
      <c r="AJ580">
        <v>92.944991173206802</v>
      </c>
      <c r="AK580">
        <v>33.275737108612098</v>
      </c>
    </row>
    <row r="581" spans="1:37" x14ac:dyDescent="0.2">
      <c r="A581" t="str">
        <f>"20200111153414967"</f>
        <v>20200111153414967</v>
      </c>
      <c r="B581" t="str">
        <f>"1578728054957206"</f>
        <v>1578728054957206</v>
      </c>
      <c r="C581" t="s">
        <v>37</v>
      </c>
      <c r="D581">
        <v>5.0084109999999997</v>
      </c>
      <c r="E581">
        <v>0.49908249999999998</v>
      </c>
      <c r="F581" t="s">
        <v>39</v>
      </c>
      <c r="G581">
        <v>-267.29219999999998</v>
      </c>
      <c r="H581" s="1">
        <v>-1.2042639999999999E-6</v>
      </c>
      <c r="I581">
        <v>369.27640000000002</v>
      </c>
      <c r="J581">
        <v>-302.25360000000001</v>
      </c>
      <c r="K581">
        <v>1.0562339999999999</v>
      </c>
      <c r="L581">
        <v>367.22140000000002</v>
      </c>
      <c r="M581">
        <v>0.99981030000000004</v>
      </c>
      <c r="N581">
        <v>0</v>
      </c>
      <c r="O581">
        <v>8.8828559999999997E-3</v>
      </c>
      <c r="P581">
        <v>0.99767830000000002</v>
      </c>
      <c r="Q581">
        <v>3.4705050000000001E-2</v>
      </c>
      <c r="R581">
        <v>5.8596719999999998E-2</v>
      </c>
      <c r="S581">
        <v>2.9995729999999998</v>
      </c>
      <c r="T581">
        <v>-8.9881299999999997E-2</v>
      </c>
      <c r="U581">
        <v>0.17507929999999999</v>
      </c>
      <c r="V581">
        <v>-4.9816159999999998E-2</v>
      </c>
      <c r="W581">
        <v>5.1928349999999998E-2</v>
      </c>
      <c r="X581">
        <v>0.99740759999999995</v>
      </c>
      <c r="Y581">
        <v>-4.937942E-2</v>
      </c>
      <c r="Z581">
        <v>4.731189E-4</v>
      </c>
      <c r="AA581">
        <v>0.998779999999999</v>
      </c>
      <c r="AB581">
        <v>59</v>
      </c>
      <c r="AC581">
        <v>34.961399999999998</v>
      </c>
      <c r="AD581">
        <v>-1.056235204264</v>
      </c>
      <c r="AE581">
        <v>2.0550000000000002</v>
      </c>
      <c r="AF581">
        <v>-1.74272998188191</v>
      </c>
      <c r="AG581">
        <v>-1.056235204264</v>
      </c>
      <c r="AH581">
        <v>34.946490269764602</v>
      </c>
      <c r="AI581">
        <v>91.729053751804301</v>
      </c>
      <c r="AJ581">
        <v>92.854891094899699</v>
      </c>
      <c r="AK581">
        <v>35.0058555497681</v>
      </c>
    </row>
    <row r="582" spans="1:37" x14ac:dyDescent="0.2">
      <c r="A582" t="str">
        <f>"20200111153414980"</f>
        <v>20200111153414980</v>
      </c>
      <c r="B582" t="str">
        <f>"1578728054976728"</f>
        <v>1578728054976728</v>
      </c>
      <c r="C582" t="s">
        <v>37</v>
      </c>
      <c r="D582">
        <v>4.914536</v>
      </c>
      <c r="E582">
        <v>0.53906279999999995</v>
      </c>
      <c r="F582" t="s">
        <v>39</v>
      </c>
      <c r="G582">
        <v>-265.397999999999</v>
      </c>
      <c r="H582" s="1">
        <v>-2.0008910000000002E-6</v>
      </c>
      <c r="I582">
        <v>369.36649999999997</v>
      </c>
      <c r="J582">
        <v>-301.92579999999998</v>
      </c>
      <c r="K582">
        <v>1.0560959999999999</v>
      </c>
      <c r="L582">
        <v>367.22430000000003</v>
      </c>
      <c r="M582">
        <v>0.99981010000000003</v>
      </c>
      <c r="N582">
        <v>0</v>
      </c>
      <c r="O582">
        <v>9.1227670000000004E-3</v>
      </c>
      <c r="P582">
        <v>0.99763049999999998</v>
      </c>
      <c r="Q582">
        <v>3.6150080000000001E-2</v>
      </c>
      <c r="R582">
        <v>5.8539979999999998E-2</v>
      </c>
      <c r="S582">
        <v>2.999695</v>
      </c>
      <c r="T582">
        <v>-8.5967420000000003E-2</v>
      </c>
      <c r="U582">
        <v>0.1745911</v>
      </c>
      <c r="V582">
        <v>-4.9522570000000002E-2</v>
      </c>
      <c r="W582">
        <v>5.3256879999999999E-2</v>
      </c>
      <c r="X582">
        <v>0.99735209999999996</v>
      </c>
      <c r="Y582">
        <v>-4.8977180000000002E-2</v>
      </c>
      <c r="Z582">
        <v>4.3988369999999998E-4</v>
      </c>
      <c r="AA582">
        <v>0.99879979999999902</v>
      </c>
      <c r="AB582">
        <v>59</v>
      </c>
      <c r="AC582">
        <v>36.527799999999999</v>
      </c>
      <c r="AD582">
        <v>-1.0560980008909999</v>
      </c>
      <c r="AE582">
        <v>2.1421999999999399</v>
      </c>
      <c r="AF582">
        <v>-1.80732121533639</v>
      </c>
      <c r="AG582">
        <v>-1.0560980008909999</v>
      </c>
      <c r="AH582">
        <v>36.515406091692697</v>
      </c>
      <c r="AI582">
        <v>91.654621498364406</v>
      </c>
      <c r="AJ582">
        <v>92.833528499898094</v>
      </c>
      <c r="AK582">
        <v>36.575355569072997</v>
      </c>
    </row>
    <row r="583" spans="1:37" x14ac:dyDescent="0.2">
      <c r="A583" t="str">
        <f>"20200111153414992"</f>
        <v>20200111153414992</v>
      </c>
      <c r="B583" t="str">
        <f>"1578728054987462"</f>
        <v>1578728054987462</v>
      </c>
      <c r="C583" t="s">
        <v>37</v>
      </c>
      <c r="D583">
        <v>4.8639799999999997</v>
      </c>
      <c r="E583">
        <v>0.5402439</v>
      </c>
      <c r="F583" t="s">
        <v>45</v>
      </c>
      <c r="G583">
        <v>-158.19499999999999</v>
      </c>
      <c r="H583">
        <v>0.41041369999999999</v>
      </c>
      <c r="I583">
        <v>360.49189999999999</v>
      </c>
      <c r="J583">
        <v>-301.60579999999999</v>
      </c>
      <c r="K583">
        <v>1.0559810000000001</v>
      </c>
      <c r="L583">
        <v>367.22739999999999</v>
      </c>
      <c r="M583">
        <v>0.99980979999999997</v>
      </c>
      <c r="N583">
        <v>0</v>
      </c>
      <c r="O583">
        <v>9.3569719999999999E-3</v>
      </c>
      <c r="P583">
        <v>0.99759390000000003</v>
      </c>
      <c r="Q583">
        <v>3.725034E-2</v>
      </c>
      <c r="R583">
        <v>5.8472320000000001E-2</v>
      </c>
      <c r="S583">
        <v>3.0158689999999999</v>
      </c>
      <c r="T583">
        <v>-1.354635E-2</v>
      </c>
      <c r="U583">
        <v>-0.1412659</v>
      </c>
      <c r="V583">
        <v>-4.9222219999999997E-2</v>
      </c>
      <c r="W583">
        <v>5.4252979999999999E-2</v>
      </c>
      <c r="X583">
        <v>0.99731329999999996</v>
      </c>
      <c r="Y583">
        <v>5.6134940000000001E-2</v>
      </c>
      <c r="Z583">
        <v>-1.6801399999999999E-4</v>
      </c>
      <c r="AA583">
        <v>0.99842319999999996</v>
      </c>
      <c r="AB583">
        <v>59</v>
      </c>
      <c r="AC583">
        <v>143.41079999999999</v>
      </c>
      <c r="AD583">
        <v>-0.64556729999999996</v>
      </c>
      <c r="AE583">
        <v>-6.7355</v>
      </c>
      <c r="AF583">
        <v>8.0771290817027008</v>
      </c>
      <c r="AG583">
        <v>-0.64556729999999996</v>
      </c>
      <c r="AH583">
        <v>143.33858871109501</v>
      </c>
      <c r="AI583">
        <v>90.257637861089293</v>
      </c>
      <c r="AJ583">
        <v>86.774793785065995</v>
      </c>
      <c r="AK583">
        <v>143.567432884445</v>
      </c>
    </row>
    <row r="584" spans="1:37" x14ac:dyDescent="0.2">
      <c r="A584" t="str">
        <f>"20200111153415004"</f>
        <v>20200111153415004</v>
      </c>
      <c r="B584" t="str">
        <f>"1578728054997222"</f>
        <v>1578728054997222</v>
      </c>
      <c r="C584" t="s">
        <v>37</v>
      </c>
      <c r="D584">
        <v>4.8999809999999897</v>
      </c>
      <c r="E584">
        <v>0.54024930000000004</v>
      </c>
      <c r="F584" t="s">
        <v>45</v>
      </c>
      <c r="G584">
        <v>-158.19499999999999</v>
      </c>
      <c r="H584">
        <v>0.46274470000000001</v>
      </c>
      <c r="I584">
        <v>360.05</v>
      </c>
      <c r="J584">
        <v>-301.31139999999999</v>
      </c>
      <c r="K584">
        <v>1.0558889999999901</v>
      </c>
      <c r="L584">
        <v>367.23020000000002</v>
      </c>
      <c r="M584">
        <v>0.99980910000000001</v>
      </c>
      <c r="N584">
        <v>0</v>
      </c>
      <c r="O584">
        <v>9.5732500000000002E-3</v>
      </c>
      <c r="P584">
        <v>0.99756499999999904</v>
      </c>
      <c r="Q584">
        <v>3.793709E-2</v>
      </c>
      <c r="R584">
        <v>5.8523159999999998E-2</v>
      </c>
      <c r="S584">
        <v>3.0165099999999998</v>
      </c>
      <c r="T584">
        <v>-1.2476330000000001E-2</v>
      </c>
      <c r="U584">
        <v>-0.15097049999999901</v>
      </c>
      <c r="V584">
        <v>-4.9058440000000002E-2</v>
      </c>
      <c r="W584">
        <v>5.4848130000000002E-2</v>
      </c>
      <c r="X584">
        <v>0.99728879999999998</v>
      </c>
      <c r="Y584">
        <v>5.9545290000000001E-2</v>
      </c>
      <c r="Z584">
        <v>-1.626403E-4</v>
      </c>
      <c r="AA584">
        <v>0.99822559999999905</v>
      </c>
      <c r="AB584">
        <v>59</v>
      </c>
      <c r="AC584">
        <v>143.1164</v>
      </c>
      <c r="AD584">
        <v>-0.59314429999999896</v>
      </c>
      <c r="AE584">
        <v>-7.1802000000000099</v>
      </c>
      <c r="AF584">
        <v>8.5500122439008006</v>
      </c>
      <c r="AG584">
        <v>-0.59314429999999896</v>
      </c>
      <c r="AH584">
        <v>143.03864124561301</v>
      </c>
      <c r="AI584">
        <v>90.237166128464906</v>
      </c>
      <c r="AJ584">
        <v>86.579264026092105</v>
      </c>
      <c r="AK584">
        <v>143.29517583967299</v>
      </c>
    </row>
    <row r="585" spans="1:37" x14ac:dyDescent="0.2">
      <c r="A585" t="str">
        <f>"20200111153415015"</f>
        <v>20200111153415015</v>
      </c>
      <c r="B585" t="str">
        <f>"1578728055006982"</f>
        <v>1578728055006982</v>
      </c>
      <c r="C585" t="s">
        <v>37</v>
      </c>
      <c r="D585">
        <v>4.8824199999999998</v>
      </c>
      <c r="E585">
        <v>0.54005939999999997</v>
      </c>
      <c r="F585" t="s">
        <v>45</v>
      </c>
      <c r="G585">
        <v>-158.19499999999999</v>
      </c>
      <c r="H585">
        <v>0.4630957</v>
      </c>
      <c r="I585">
        <v>360.0763</v>
      </c>
      <c r="J585">
        <v>-300.99020000000002</v>
      </c>
      <c r="K585">
        <v>1.05579</v>
      </c>
      <c r="L585">
        <v>367.23329999999999</v>
      </c>
      <c r="M585">
        <v>0.99980849999999899</v>
      </c>
      <c r="N585">
        <v>0</v>
      </c>
      <c r="O585">
        <v>9.809623E-3</v>
      </c>
      <c r="P585">
        <v>0.99751160000000005</v>
      </c>
      <c r="Q585">
        <v>3.8717559999999998E-2</v>
      </c>
      <c r="R585">
        <v>5.8923919999999998E-2</v>
      </c>
      <c r="S585">
        <v>3.0165709999999999</v>
      </c>
      <c r="T585">
        <v>-1.2492899999999999E-2</v>
      </c>
      <c r="U585">
        <v>-0.15078739999999999</v>
      </c>
      <c r="V585">
        <v>-4.9225400000000002E-2</v>
      </c>
      <c r="W585">
        <v>5.5532789999999999E-2</v>
      </c>
      <c r="X585">
        <v>0.99724269999999904</v>
      </c>
      <c r="Y585">
        <v>5.971982E-2</v>
      </c>
      <c r="Z585">
        <v>-1.64193E-4</v>
      </c>
      <c r="AA585">
        <v>0.99821510000000002</v>
      </c>
      <c r="AB585">
        <v>59</v>
      </c>
      <c r="AC585">
        <v>142.79519999999999</v>
      </c>
      <c r="AD585">
        <v>-0.59269430000000001</v>
      </c>
      <c r="AE585">
        <v>-7.1569999999999796</v>
      </c>
      <c r="AF585">
        <v>8.5574764255642997</v>
      </c>
      <c r="AG585">
        <v>-0.59269430000000001</v>
      </c>
      <c r="AH585">
        <v>142.715657285069</v>
      </c>
      <c r="AI585">
        <v>90.237519866459294</v>
      </c>
      <c r="AJ585">
        <v>86.568554999963098</v>
      </c>
      <c r="AK585">
        <v>142.973216105733</v>
      </c>
    </row>
    <row r="586" spans="1:37" x14ac:dyDescent="0.2">
      <c r="A586" t="str">
        <f>"20200111153415028"</f>
        <v>20200111153415028</v>
      </c>
      <c r="B586" t="str">
        <f>"1578728055016742"</f>
        <v>1578728055016742</v>
      </c>
      <c r="C586" t="s">
        <v>37</v>
      </c>
      <c r="D586">
        <v>4.8642059999999896</v>
      </c>
      <c r="E586">
        <v>0.53970249999999997</v>
      </c>
      <c r="F586" t="s">
        <v>45</v>
      </c>
      <c r="G586">
        <v>-158.19499999999999</v>
      </c>
      <c r="H586">
        <v>0.55920700000000001</v>
      </c>
      <c r="I586">
        <v>360.21269999999998</v>
      </c>
      <c r="J586">
        <v>-300.67899999999997</v>
      </c>
      <c r="K586">
        <v>1.055707</v>
      </c>
      <c r="L586">
        <v>367.2364</v>
      </c>
      <c r="M586">
        <v>0.99980780000000002</v>
      </c>
      <c r="N586">
        <v>0</v>
      </c>
      <c r="O586">
        <v>1.003889E-2</v>
      </c>
      <c r="P586">
        <v>0.9975212</v>
      </c>
      <c r="Q586">
        <v>3.8844539999999997E-2</v>
      </c>
      <c r="R586">
        <v>5.8677029999999998E-2</v>
      </c>
      <c r="S586">
        <v>3.016632</v>
      </c>
      <c r="T586">
        <v>-1.048875E-2</v>
      </c>
      <c r="U586">
        <v>-0.14831539999999999</v>
      </c>
      <c r="V586">
        <v>-4.8749279999999999E-2</v>
      </c>
      <c r="W586">
        <v>5.5577059999999998E-2</v>
      </c>
      <c r="X586">
        <v>0.99726360000000003</v>
      </c>
      <c r="Y586">
        <v>5.9131889999999999E-2</v>
      </c>
      <c r="Z586">
        <v>-1.376281E-4</v>
      </c>
      <c r="AA586">
        <v>0.99825019999999998</v>
      </c>
      <c r="AB586">
        <v>59</v>
      </c>
      <c r="AC586">
        <v>142.48400000000001</v>
      </c>
      <c r="AD586">
        <v>-0.4965</v>
      </c>
      <c r="AE586">
        <v>-7.0237000000000096</v>
      </c>
      <c r="AF586">
        <v>8.4538276298472201</v>
      </c>
      <c r="AG586">
        <v>-0.4965</v>
      </c>
      <c r="AH586">
        <v>142.40457296222101</v>
      </c>
      <c r="AI586">
        <v>90.199412452050595</v>
      </c>
      <c r="AJ586">
        <v>86.602631276809802</v>
      </c>
      <c r="AK586">
        <v>142.65614643049099</v>
      </c>
    </row>
    <row r="587" spans="1:37" x14ac:dyDescent="0.2">
      <c r="A587" t="str">
        <f>"20200111153415040"</f>
        <v>20200111153415040</v>
      </c>
      <c r="B587" t="str">
        <f>"1578728055037238"</f>
        <v>1578728055037238</v>
      </c>
      <c r="C587" t="s">
        <v>37</v>
      </c>
      <c r="D587">
        <v>4.8565259999999997</v>
      </c>
      <c r="E587">
        <v>0.53945209999999999</v>
      </c>
      <c r="F587" t="s">
        <v>45</v>
      </c>
      <c r="G587">
        <v>-158.19499999999999</v>
      </c>
      <c r="H587">
        <v>0.57233140000000005</v>
      </c>
      <c r="I587">
        <v>360.3374</v>
      </c>
      <c r="J587">
        <v>-300.38780000000003</v>
      </c>
      <c r="K587">
        <v>1.055634</v>
      </c>
      <c r="L587">
        <v>367.23939999999999</v>
      </c>
      <c r="M587">
        <v>0.9998068</v>
      </c>
      <c r="N587">
        <v>0</v>
      </c>
      <c r="O587">
        <v>1.0253490000000001E-2</v>
      </c>
      <c r="P587">
        <v>0.9975427</v>
      </c>
      <c r="Q587">
        <v>3.8478529999999997E-2</v>
      </c>
      <c r="R587">
        <v>5.8550610000000003E-2</v>
      </c>
      <c r="S587">
        <v>3.0164789999999999</v>
      </c>
      <c r="T587">
        <v>-1.0231489999999999E-2</v>
      </c>
      <c r="U587">
        <v>-0.1460571</v>
      </c>
      <c r="V587">
        <v>-4.840713E-2</v>
      </c>
      <c r="W587">
        <v>5.5135719999999999E-2</v>
      </c>
      <c r="X587">
        <v>0.99730479999999999</v>
      </c>
      <c r="Y587">
        <v>5.860307E-2</v>
      </c>
      <c r="Z587">
        <v>-1.3409300000000001E-4</v>
      </c>
      <c r="AA587">
        <v>0.99828139999999999</v>
      </c>
      <c r="AB587">
        <v>59</v>
      </c>
      <c r="AC587">
        <v>142.19280000000001</v>
      </c>
      <c r="AD587">
        <v>-0.48330259999999903</v>
      </c>
      <c r="AE587">
        <v>-6.9019999999999797</v>
      </c>
      <c r="AF587">
        <v>8.3597182284682194</v>
      </c>
      <c r="AG587">
        <v>-0.48330259999999903</v>
      </c>
      <c r="AH587">
        <v>142.112905579509</v>
      </c>
      <c r="AI587">
        <v>90.194516512555793</v>
      </c>
      <c r="AJ587">
        <v>86.633484876289998</v>
      </c>
      <c r="AK587">
        <v>142.359391690584</v>
      </c>
    </row>
    <row r="588" spans="1:37" x14ac:dyDescent="0.2">
      <c r="A588" t="str">
        <f>"20200111153415051"</f>
        <v>20200111153415051</v>
      </c>
      <c r="B588" t="str">
        <f>"1578728055046998"</f>
        <v>1578728055046998</v>
      </c>
      <c r="C588" t="s">
        <v>37</v>
      </c>
      <c r="D588">
        <v>4.8832849999999999</v>
      </c>
      <c r="E588">
        <v>0.53928019999999999</v>
      </c>
      <c r="F588" t="s">
        <v>45</v>
      </c>
      <c r="G588">
        <v>-158.19499999999999</v>
      </c>
      <c r="H588">
        <v>0.41053099999999998</v>
      </c>
      <c r="I588">
        <v>360.41770000000002</v>
      </c>
      <c r="J588">
        <v>-300.05180000000001</v>
      </c>
      <c r="K588">
        <v>1.0555600000000001</v>
      </c>
      <c r="L588">
        <v>367.24299999999999</v>
      </c>
      <c r="M588">
        <v>0.99980559999999996</v>
      </c>
      <c r="N588">
        <v>0</v>
      </c>
      <c r="O588">
        <v>1.050107E-2</v>
      </c>
      <c r="P588">
        <v>0.99756630000000002</v>
      </c>
      <c r="Q588">
        <v>3.8389760000000002E-2</v>
      </c>
      <c r="R588">
        <v>5.8202740000000003E-2</v>
      </c>
      <c r="S588">
        <v>3.0164179999999998</v>
      </c>
      <c r="T588">
        <v>-1.368308E-2</v>
      </c>
      <c r="U588">
        <v>-0.14471439999999999</v>
      </c>
      <c r="V588">
        <v>-4.7811689999999997E-2</v>
      </c>
      <c r="W588">
        <v>5.4968599999999999E-2</v>
      </c>
      <c r="X588">
        <v>0.99734269999999903</v>
      </c>
      <c r="Y588">
        <v>5.8407559999999997E-2</v>
      </c>
      <c r="Z588">
        <v>-1.8001369999999999E-4</v>
      </c>
      <c r="AA588">
        <v>0.99829279999999998</v>
      </c>
      <c r="AB588">
        <v>58</v>
      </c>
      <c r="AC588">
        <v>141.85679999999999</v>
      </c>
      <c r="AD588">
        <v>-0.64502899999999996</v>
      </c>
      <c r="AE588">
        <v>-6.8253000000000199</v>
      </c>
      <c r="AF588">
        <v>8.3146077069409703</v>
      </c>
      <c r="AG588">
        <v>-0.64502899999999996</v>
      </c>
      <c r="AH588">
        <v>141.77436871993001</v>
      </c>
      <c r="AI588">
        <v>90.260228932706994</v>
      </c>
      <c r="AJ588">
        <v>86.643632524575494</v>
      </c>
      <c r="AK588">
        <v>142.019436661556</v>
      </c>
    </row>
    <row r="589" spans="1:37" x14ac:dyDescent="0.2">
      <c r="A589" t="str">
        <f>"20200111153415066"</f>
        <v>20200111153415066</v>
      </c>
      <c r="B589" t="str">
        <f>"1578728055056758"</f>
        <v>1578728055056758</v>
      </c>
      <c r="C589" t="s">
        <v>37</v>
      </c>
      <c r="D589">
        <v>4.8999470000000001</v>
      </c>
      <c r="E589">
        <v>0.53912740000000003</v>
      </c>
      <c r="F589" t="s">
        <v>45</v>
      </c>
      <c r="G589">
        <v>-158.19499999999999</v>
      </c>
      <c r="H589">
        <v>0.30014039999999997</v>
      </c>
      <c r="I589">
        <v>360.44009999999997</v>
      </c>
      <c r="J589">
        <v>-299.68389999999999</v>
      </c>
      <c r="K589">
        <v>1.0554809999999999</v>
      </c>
      <c r="L589">
        <v>367.24689999999998</v>
      </c>
      <c r="M589">
        <v>0.99980400000000003</v>
      </c>
      <c r="N589">
        <v>0</v>
      </c>
      <c r="O589">
        <v>1.0771970000000001E-2</v>
      </c>
      <c r="P589">
        <v>0.99764929999999996</v>
      </c>
      <c r="Q589">
        <v>3.7443440000000001E-2</v>
      </c>
      <c r="R589">
        <v>5.7392440000000003E-2</v>
      </c>
      <c r="S589">
        <v>3.0163880000000001</v>
      </c>
      <c r="T589">
        <v>-1.606107E-2</v>
      </c>
      <c r="U589">
        <v>-0.14465329999999901</v>
      </c>
      <c r="V589">
        <v>-4.6728560000000002E-2</v>
      </c>
      <c r="W589">
        <v>5.3943489999999997E-2</v>
      </c>
      <c r="X589">
        <v>0.99744999999999995</v>
      </c>
      <c r="Y589">
        <v>5.8658099999999998E-2</v>
      </c>
      <c r="Z589">
        <v>-2.134087E-4</v>
      </c>
      <c r="AA589">
        <v>0.99827809999999995</v>
      </c>
      <c r="AB589">
        <v>58</v>
      </c>
      <c r="AC589">
        <v>141.4889</v>
      </c>
      <c r="AD589">
        <v>-0.75534059999999903</v>
      </c>
      <c r="AE589">
        <v>-6.8068000000000097</v>
      </c>
      <c r="AF589">
        <v>8.3304925974107995</v>
      </c>
      <c r="AG589">
        <v>-0.75534059999999903</v>
      </c>
      <c r="AH589">
        <v>141.40333522359501</v>
      </c>
      <c r="AI589">
        <v>90.305526816649007</v>
      </c>
      <c r="AJ589">
        <v>86.628431597308406</v>
      </c>
      <c r="AK589">
        <v>141.65052367956201</v>
      </c>
    </row>
    <row r="590" spans="1:37" x14ac:dyDescent="0.2">
      <c r="A590" t="str">
        <f>"20200111153415077"</f>
        <v>20200111153415077</v>
      </c>
      <c r="B590" t="str">
        <f>"1578728055067269"</f>
        <v>1578728055067269</v>
      </c>
      <c r="C590" t="s">
        <v>37</v>
      </c>
      <c r="D590">
        <v>4.903492</v>
      </c>
      <c r="E590">
        <v>0.53899490000000005</v>
      </c>
      <c r="F590" t="s">
        <v>45</v>
      </c>
      <c r="G590">
        <v>-158.19499999999999</v>
      </c>
      <c r="H590">
        <v>0.16170599999999999</v>
      </c>
      <c r="I590">
        <v>360.41250000000002</v>
      </c>
      <c r="J590">
        <v>-299.38639999999998</v>
      </c>
      <c r="K590">
        <v>1.0554209999999999</v>
      </c>
      <c r="L590">
        <v>367.25020000000001</v>
      </c>
      <c r="M590">
        <v>0.99980259999999999</v>
      </c>
      <c r="N590">
        <v>0</v>
      </c>
      <c r="O590">
        <v>1.099106E-2</v>
      </c>
      <c r="P590">
        <v>0.99769279999999905</v>
      </c>
      <c r="Q590">
        <v>3.6522550000000001E-2</v>
      </c>
      <c r="R590">
        <v>5.7228590000000003E-2</v>
      </c>
      <c r="S590">
        <v>3.0161739999999999</v>
      </c>
      <c r="T590">
        <v>-1.905107E-2</v>
      </c>
      <c r="U590">
        <v>-0.14569089999999901</v>
      </c>
      <c r="V590">
        <v>-4.634336E-2</v>
      </c>
      <c r="W590">
        <v>5.2960220000000002E-2</v>
      </c>
      <c r="X590">
        <v>0.99752070000000004</v>
      </c>
      <c r="Y590">
        <v>5.9222400000000001E-2</v>
      </c>
      <c r="Z590">
        <v>-2.5631729999999999E-4</v>
      </c>
      <c r="AA590">
        <v>0.99824480000000004</v>
      </c>
      <c r="AB590">
        <v>58</v>
      </c>
      <c r="AC590">
        <v>141.19139999999999</v>
      </c>
      <c r="AD590">
        <v>-0.89371499999999904</v>
      </c>
      <c r="AE590">
        <v>-6.8376999999999803</v>
      </c>
      <c r="AF590">
        <v>8.3890072959944195</v>
      </c>
      <c r="AG590">
        <v>-0.89371499999999904</v>
      </c>
      <c r="AH590">
        <v>141.10206509690801</v>
      </c>
      <c r="AI590">
        <v>90.362256613081797</v>
      </c>
      <c r="AJ590">
        <v>86.597572230554704</v>
      </c>
      <c r="AK590">
        <v>141.354048207066</v>
      </c>
    </row>
    <row r="591" spans="1:37" x14ac:dyDescent="0.2">
      <c r="A591" t="str">
        <f>"20200111153415089"</f>
        <v>20200111153415089</v>
      </c>
      <c r="B591" t="str">
        <f>"1578728055086788"</f>
        <v>1578728055086788</v>
      </c>
      <c r="C591" t="s">
        <v>37</v>
      </c>
      <c r="D591">
        <v>4.8711640000000003</v>
      </c>
      <c r="E591">
        <v>0.53864460000000003</v>
      </c>
      <c r="F591" t="s">
        <v>38</v>
      </c>
      <c r="G591">
        <v>-153.17019999999999</v>
      </c>
      <c r="H591">
        <v>-0.05</v>
      </c>
      <c r="I591">
        <v>360.2081</v>
      </c>
      <c r="J591">
        <v>-299.07769999999999</v>
      </c>
      <c r="K591">
        <v>1.055364</v>
      </c>
      <c r="L591">
        <v>367.25369999999998</v>
      </c>
      <c r="M591">
        <v>0.99980119999999895</v>
      </c>
      <c r="N591">
        <v>0</v>
      </c>
      <c r="O591">
        <v>1.121834E-2</v>
      </c>
      <c r="P591">
        <v>0.99774439999999998</v>
      </c>
      <c r="Q591">
        <v>3.5635180000000002E-2</v>
      </c>
      <c r="R591">
        <v>5.6891490000000003E-2</v>
      </c>
      <c r="S591">
        <v>3.0161439999999899</v>
      </c>
      <c r="T591">
        <v>-2.2802590000000001E-2</v>
      </c>
      <c r="U591">
        <v>-0.1452637</v>
      </c>
      <c r="V591">
        <v>-4.5777230000000002E-2</v>
      </c>
      <c r="W591">
        <v>5.2015489999999998E-2</v>
      </c>
      <c r="X591">
        <v>0.9975965</v>
      </c>
      <c r="Y591">
        <v>5.9308119999999999E-2</v>
      </c>
      <c r="Z591">
        <v>-3.0883519999999999E-4</v>
      </c>
      <c r="AA591">
        <v>0.99823969999999995</v>
      </c>
      <c r="AB591">
        <v>58</v>
      </c>
      <c r="AC591">
        <v>145.9075</v>
      </c>
      <c r="AD591">
        <v>-1.105364</v>
      </c>
      <c r="AE591">
        <v>-7.0455999999999701</v>
      </c>
      <c r="AF591">
        <v>8.6817217714372905</v>
      </c>
      <c r="AG591">
        <v>-1.105364</v>
      </c>
      <c r="AH591">
        <v>145.81091623542599</v>
      </c>
      <c r="AI591">
        <v>90.433571939158796</v>
      </c>
      <c r="AJ591">
        <v>86.592577127949596</v>
      </c>
      <c r="AK591">
        <v>146.07332889991801</v>
      </c>
    </row>
    <row r="592" spans="1:37" x14ac:dyDescent="0.2">
      <c r="A592" t="str">
        <f>"20200111153415100"</f>
        <v>20200111153415100</v>
      </c>
      <c r="B592" t="str">
        <f>"1578728055097524"</f>
        <v>1578728055097524</v>
      </c>
      <c r="C592" t="s">
        <v>37</v>
      </c>
      <c r="D592">
        <v>4.8833149999999996</v>
      </c>
      <c r="E592">
        <v>0.5385413</v>
      </c>
      <c r="F592" t="s">
        <v>46</v>
      </c>
      <c r="G592">
        <v>-183.8357</v>
      </c>
      <c r="H592" s="1">
        <v>-6.4358089999999999E-6</v>
      </c>
      <c r="I592">
        <v>361.77530000000002</v>
      </c>
      <c r="J592">
        <v>-298.80220000000003</v>
      </c>
      <c r="K592">
        <v>1.0553170000000001</v>
      </c>
      <c r="L592">
        <v>367.25670000000002</v>
      </c>
      <c r="M592">
        <v>0.99979979999999902</v>
      </c>
      <c r="N592">
        <v>0</v>
      </c>
      <c r="O592">
        <v>1.142118E-2</v>
      </c>
      <c r="P592">
        <v>0.99777479999999996</v>
      </c>
      <c r="Q592">
        <v>3.5312799999999998E-2</v>
      </c>
      <c r="R592">
        <v>5.6558299999999999E-2</v>
      </c>
      <c r="S592">
        <v>3.01593</v>
      </c>
      <c r="T592">
        <v>-2.7619479999999998E-2</v>
      </c>
      <c r="U592">
        <v>-0.14337159999999999</v>
      </c>
      <c r="V592">
        <v>-4.5241049999999998E-2</v>
      </c>
      <c r="W592">
        <v>5.1642630000000002E-2</v>
      </c>
      <c r="X592">
        <v>0.99764039999999998</v>
      </c>
      <c r="Y592">
        <v>5.8888280000000001E-2</v>
      </c>
      <c r="Z592">
        <v>-3.7403959999999999E-4</v>
      </c>
      <c r="AA592">
        <v>0.9982645</v>
      </c>
      <c r="AB592">
        <v>58</v>
      </c>
      <c r="AC592">
        <v>114.9665</v>
      </c>
      <c r="AD592">
        <v>-1.055323435809</v>
      </c>
      <c r="AE592">
        <v>-5.4813999999999998</v>
      </c>
      <c r="AF592">
        <v>6.7937015711600397</v>
      </c>
      <c r="AG592">
        <v>-1.055323435809</v>
      </c>
      <c r="AH592">
        <v>114.88672835850601</v>
      </c>
      <c r="AI592">
        <v>90.525373521440699</v>
      </c>
      <c r="AJ592">
        <v>86.6158174264813</v>
      </c>
      <c r="AK592">
        <v>115.092260563051</v>
      </c>
    </row>
    <row r="593" spans="1:37" x14ac:dyDescent="0.2">
      <c r="A593" t="str">
        <f>"20200111153415111"</f>
        <v>20200111153415111</v>
      </c>
      <c r="B593" t="str">
        <f>"1578728055107285"</f>
        <v>1578728055107285</v>
      </c>
      <c r="C593" t="s">
        <v>37</v>
      </c>
      <c r="D593">
        <v>4.8711599999999997</v>
      </c>
      <c r="E593">
        <v>0.53838920000000001</v>
      </c>
      <c r="F593" t="s">
        <v>46</v>
      </c>
      <c r="G593">
        <v>-188.7244</v>
      </c>
      <c r="H593" s="1">
        <v>-6.2411689999999998E-6</v>
      </c>
      <c r="I593">
        <v>362.0204</v>
      </c>
      <c r="J593">
        <v>-298.52080000000001</v>
      </c>
      <c r="K593">
        <v>1.0552760000000001</v>
      </c>
      <c r="L593">
        <v>367.26</v>
      </c>
      <c r="M593">
        <v>0.99979810000000002</v>
      </c>
      <c r="N593">
        <v>0</v>
      </c>
      <c r="O593">
        <v>1.162788E-2</v>
      </c>
      <c r="P593">
        <v>0.99782380000000004</v>
      </c>
      <c r="Q593">
        <v>3.4918589999999999E-2</v>
      </c>
      <c r="R593">
        <v>5.5932530000000001E-2</v>
      </c>
      <c r="S593">
        <v>3.0158390000000002</v>
      </c>
      <c r="T593">
        <v>-2.8913020000000001E-2</v>
      </c>
      <c r="U593">
        <v>-0.14346310000000001</v>
      </c>
      <c r="V593">
        <v>-4.4407160000000001E-2</v>
      </c>
      <c r="W593">
        <v>5.1202619999999997E-2</v>
      </c>
      <c r="X593">
        <v>0.99770049999999899</v>
      </c>
      <c r="Y593">
        <v>5.912601E-2</v>
      </c>
      <c r="Z593">
        <v>-3.9468789999999999E-4</v>
      </c>
      <c r="AA593">
        <v>0.99825039999999998</v>
      </c>
      <c r="AB593">
        <v>58</v>
      </c>
      <c r="AC593">
        <v>109.79640000000001</v>
      </c>
      <c r="AD593">
        <v>-1.0552822411689999</v>
      </c>
      <c r="AE593">
        <v>-5.2395999999999896</v>
      </c>
      <c r="AF593">
        <v>6.5155159916403802</v>
      </c>
      <c r="AG593">
        <v>-1.0552822411689999</v>
      </c>
      <c r="AH593">
        <v>109.717929159929</v>
      </c>
      <c r="AI593">
        <v>90.550092717551294</v>
      </c>
      <c r="AJ593">
        <v>86.601524742286799</v>
      </c>
      <c r="AK593">
        <v>109.916284273028</v>
      </c>
    </row>
    <row r="594" spans="1:37" x14ac:dyDescent="0.2">
      <c r="A594" t="str">
        <f>"20200111153415123"</f>
        <v>20200111153415123</v>
      </c>
      <c r="B594" t="str">
        <f>"1578728055117045"</f>
        <v>1578728055117045</v>
      </c>
      <c r="C594" t="s">
        <v>37</v>
      </c>
      <c r="D594">
        <v>4.8745640000000003</v>
      </c>
      <c r="E594">
        <v>0.53812499999999996</v>
      </c>
      <c r="F594" t="s">
        <v>46</v>
      </c>
      <c r="G594">
        <v>-194.90119999999999</v>
      </c>
      <c r="H594" s="1">
        <v>-8.1456379999999993E-6</v>
      </c>
      <c r="I594">
        <v>362.31810000000002</v>
      </c>
      <c r="J594">
        <v>-298.17320000000001</v>
      </c>
      <c r="K594">
        <v>1.055229</v>
      </c>
      <c r="L594">
        <v>367.26420000000002</v>
      </c>
      <c r="M594">
        <v>0.99979599999999902</v>
      </c>
      <c r="N594">
        <v>0</v>
      </c>
      <c r="O594">
        <v>1.188315E-2</v>
      </c>
      <c r="P594">
        <v>0.99787619999999899</v>
      </c>
      <c r="Q594">
        <v>3.4243509999999998E-2</v>
      </c>
      <c r="R594">
        <v>5.5410830000000001E-2</v>
      </c>
      <c r="S594">
        <v>3.015717</v>
      </c>
      <c r="T594">
        <v>-3.0712719999999999E-2</v>
      </c>
      <c r="U594">
        <v>-0.14382929999999999</v>
      </c>
      <c r="V594">
        <v>-4.3628550000000002E-2</v>
      </c>
      <c r="W594">
        <v>5.047256E-2</v>
      </c>
      <c r="X594">
        <v>0.99777199999999899</v>
      </c>
      <c r="Y594">
        <v>5.9503279999999999E-2</v>
      </c>
      <c r="Z594">
        <v>-4.237887E-4</v>
      </c>
      <c r="AA594">
        <v>0.998228</v>
      </c>
      <c r="AB594">
        <v>58</v>
      </c>
      <c r="AC594">
        <v>103.27200000000001</v>
      </c>
      <c r="AD594">
        <v>-1.0552371456380001</v>
      </c>
      <c r="AE594">
        <v>-4.9461000000000004</v>
      </c>
      <c r="AF594">
        <v>6.1724680713937401</v>
      </c>
      <c r="AG594">
        <v>-1.0552371456380001</v>
      </c>
      <c r="AH594">
        <v>103.195173453935</v>
      </c>
      <c r="AI594">
        <v>90.584820708612298</v>
      </c>
      <c r="AJ594">
        <v>86.577015116881597</v>
      </c>
      <c r="AK594">
        <v>103.384992681306</v>
      </c>
    </row>
    <row r="595" spans="1:37" x14ac:dyDescent="0.2">
      <c r="A595" t="str">
        <f>"20200111153415145"</f>
        <v>20200111153415145</v>
      </c>
      <c r="B595" t="str">
        <f>"1578728055136564"</f>
        <v>1578728055136564</v>
      </c>
      <c r="C595" t="s">
        <v>37</v>
      </c>
      <c r="D595">
        <v>4.9028089999999898</v>
      </c>
      <c r="E595">
        <v>0.53800819999999905</v>
      </c>
      <c r="F595" t="s">
        <v>46</v>
      </c>
      <c r="G595">
        <v>-203.8175</v>
      </c>
      <c r="H595" s="1">
        <v>-3.8781959999999901E-6</v>
      </c>
      <c r="I595">
        <v>362.76850000000002</v>
      </c>
      <c r="J595">
        <v>-297.63170000000002</v>
      </c>
      <c r="K595">
        <v>1.0551740000000001</v>
      </c>
      <c r="L595">
        <v>367.27080000000001</v>
      </c>
      <c r="M595">
        <v>0.99979259999999903</v>
      </c>
      <c r="N595">
        <v>0</v>
      </c>
      <c r="O595">
        <v>1.228067E-2</v>
      </c>
      <c r="P595">
        <v>0.998005699999999</v>
      </c>
      <c r="Q595">
        <v>3.3152010000000003E-2</v>
      </c>
      <c r="R595">
        <v>5.3720560000000001E-2</v>
      </c>
      <c r="S595">
        <v>3.0155029999999998</v>
      </c>
      <c r="T595">
        <v>-3.3724070000000002E-2</v>
      </c>
      <c r="U595">
        <v>-0.14367679999999999</v>
      </c>
      <c r="V595">
        <v>-4.1537959999999999E-2</v>
      </c>
      <c r="W595">
        <v>4.930673E-2</v>
      </c>
      <c r="X595">
        <v>0.99791960000000002</v>
      </c>
      <c r="Y595">
        <v>5.9852330000000002E-2</v>
      </c>
      <c r="Z595">
        <v>-4.717662E-4</v>
      </c>
      <c r="AA595">
        <v>0.99820719999999996</v>
      </c>
      <c r="AB595">
        <v>58</v>
      </c>
      <c r="AC595">
        <v>93.8142</v>
      </c>
      <c r="AD595">
        <v>-1.055177878196</v>
      </c>
      <c r="AE595">
        <v>-4.5022999999999902</v>
      </c>
      <c r="AF595">
        <v>5.65350013307211</v>
      </c>
      <c r="AG595">
        <v>-1.055177878196</v>
      </c>
      <c r="AH595">
        <v>93.739993513881899</v>
      </c>
      <c r="AI595">
        <v>90.643749208876898</v>
      </c>
      <c r="AJ595">
        <v>86.548646942306107</v>
      </c>
      <c r="AK595">
        <v>93.916249116390404</v>
      </c>
    </row>
    <row r="596" spans="1:37" x14ac:dyDescent="0.2">
      <c r="A596" t="str">
        <f>"20200111153415156"</f>
        <v>20200111153415156</v>
      </c>
      <c r="B596" t="str">
        <f>"1578728055147300"</f>
        <v>1578728055147300</v>
      </c>
      <c r="C596" t="s">
        <v>37</v>
      </c>
      <c r="D596">
        <v>4.9124249999999998</v>
      </c>
      <c r="E596">
        <v>0.5379121</v>
      </c>
      <c r="F596" t="s">
        <v>39</v>
      </c>
      <c r="G596">
        <v>-210.3528</v>
      </c>
      <c r="H596" s="1">
        <v>-5.2937169999999997E-6</v>
      </c>
      <c r="I596">
        <v>363.00490000000002</v>
      </c>
      <c r="J596">
        <v>-297.34460000000001</v>
      </c>
      <c r="K596">
        <v>1.055145</v>
      </c>
      <c r="L596">
        <v>367.27429999999998</v>
      </c>
      <c r="M596">
        <v>0.99979069999999903</v>
      </c>
      <c r="N596">
        <v>0</v>
      </c>
      <c r="O596">
        <v>1.2491520000000001E-2</v>
      </c>
      <c r="P596">
        <v>0.99804570000000004</v>
      </c>
      <c r="Q596">
        <v>3.290394E-2</v>
      </c>
      <c r="R596">
        <v>5.3127389999999997E-2</v>
      </c>
      <c r="S596">
        <v>3.01513699999999</v>
      </c>
      <c r="T596">
        <v>-3.6452169999999999E-2</v>
      </c>
      <c r="U596">
        <v>-0.14736939999999901</v>
      </c>
      <c r="V596">
        <v>-4.073338E-2</v>
      </c>
      <c r="W596">
        <v>4.9020960000000002E-2</v>
      </c>
      <c r="X596">
        <v>0.99796679999999904</v>
      </c>
      <c r="Y596">
        <v>6.1287319999999999E-2</v>
      </c>
      <c r="Z596">
        <v>-5.2119089999999905E-4</v>
      </c>
      <c r="AA596">
        <v>0.99812000000000001</v>
      </c>
      <c r="AB596">
        <v>58</v>
      </c>
      <c r="AC596">
        <v>86.991799999999998</v>
      </c>
      <c r="AD596">
        <v>-1.0551502937170001</v>
      </c>
      <c r="AE596">
        <v>-4.2693999999999601</v>
      </c>
      <c r="AF596">
        <v>5.3550833293181404</v>
      </c>
      <c r="AG596">
        <v>-1.0551502937170001</v>
      </c>
      <c r="AH596">
        <v>86.918915846665797</v>
      </c>
      <c r="AI596">
        <v>90.694190580250293</v>
      </c>
      <c r="AJ596">
        <v>86.474457392453601</v>
      </c>
      <c r="AK596">
        <v>87.090115349366997</v>
      </c>
    </row>
    <row r="597" spans="1:37" x14ac:dyDescent="0.2">
      <c r="A597" t="str">
        <f>"20200111153415167"</f>
        <v>20200111153415167</v>
      </c>
      <c r="B597" t="str">
        <f>"1578728055157060"</f>
        <v>1578728055157060</v>
      </c>
      <c r="C597" t="s">
        <v>37</v>
      </c>
      <c r="D597">
        <v>4.9074</v>
      </c>
      <c r="E597">
        <v>0.53783239999999999</v>
      </c>
      <c r="F597" t="s">
        <v>39</v>
      </c>
      <c r="G597">
        <v>-211.9915</v>
      </c>
      <c r="H597" s="1">
        <v>-4.579539E-6</v>
      </c>
      <c r="I597">
        <v>363.06779999999998</v>
      </c>
      <c r="J597">
        <v>-297.0471</v>
      </c>
      <c r="K597">
        <v>1.055118</v>
      </c>
      <c r="L597">
        <v>367.27809999999999</v>
      </c>
      <c r="M597">
        <v>0.99978849999999997</v>
      </c>
      <c r="N597">
        <v>0</v>
      </c>
      <c r="O597">
        <v>1.2710050000000001E-2</v>
      </c>
      <c r="P597">
        <v>0.99810189999999999</v>
      </c>
      <c r="Q597">
        <v>3.2478989999999999E-2</v>
      </c>
      <c r="R597">
        <v>5.2325110000000001E-2</v>
      </c>
      <c r="S597">
        <v>3.015015</v>
      </c>
      <c r="T597">
        <v>-3.7272100000000002E-2</v>
      </c>
      <c r="U597">
        <v>-0.1485901</v>
      </c>
      <c r="V597">
        <v>-3.9711620000000003E-2</v>
      </c>
      <c r="W597">
        <v>4.856137E-2</v>
      </c>
      <c r="X597">
        <v>0.99803039999999998</v>
      </c>
      <c r="Y597">
        <v>6.1910279999999998E-2</v>
      </c>
      <c r="Z597">
        <v>-5.3947779999999996E-4</v>
      </c>
      <c r="AA597">
        <v>0.99808159999999901</v>
      </c>
      <c r="AB597">
        <v>58</v>
      </c>
      <c r="AC597">
        <v>85.055599999999998</v>
      </c>
      <c r="AD597">
        <v>-1.055122579539</v>
      </c>
      <c r="AE597">
        <v>-4.2103000000000099</v>
      </c>
      <c r="AF597">
        <v>5.2903499540707504</v>
      </c>
      <c r="AG597">
        <v>-1.055122579539</v>
      </c>
      <c r="AH597">
        <v>84.982162011176996</v>
      </c>
      <c r="AI597">
        <v>90.709962885555001</v>
      </c>
      <c r="AJ597">
        <v>86.437792771288798</v>
      </c>
      <c r="AK597">
        <v>85.153208667602897</v>
      </c>
    </row>
    <row r="598" spans="1:37" x14ac:dyDescent="0.2">
      <c r="A598" t="str">
        <f>"20200111153415178"</f>
        <v>20200111153415178</v>
      </c>
      <c r="B598" t="str">
        <f>"1578728055167374"</f>
        <v>1578728055167374</v>
      </c>
      <c r="C598" t="s">
        <v>37</v>
      </c>
      <c r="D598">
        <v>4.8892160000000002</v>
      </c>
      <c r="E598">
        <v>0.53783939999999997</v>
      </c>
      <c r="F598" t="s">
        <v>39</v>
      </c>
      <c r="G598">
        <v>-214.79470000000001</v>
      </c>
      <c r="H598" s="1">
        <v>-3.470698E-6</v>
      </c>
      <c r="I598">
        <v>363.17750000000001</v>
      </c>
      <c r="J598">
        <v>-296.7534</v>
      </c>
      <c r="K598">
        <v>1.055094</v>
      </c>
      <c r="L598">
        <v>367.28190000000001</v>
      </c>
      <c r="M598">
        <v>0.99978639999999996</v>
      </c>
      <c r="N598">
        <v>0</v>
      </c>
      <c r="O598">
        <v>1.292535E-2</v>
      </c>
      <c r="P598">
        <v>0.99812659999999997</v>
      </c>
      <c r="Q598">
        <v>3.2555319999999999E-2</v>
      </c>
      <c r="R598">
        <v>5.1806829999999998E-2</v>
      </c>
      <c r="S598">
        <v>3.0148320000000002</v>
      </c>
      <c r="T598">
        <v>-3.8673760000000001E-2</v>
      </c>
      <c r="U598">
        <v>-0.15029909999999999</v>
      </c>
      <c r="V598">
        <v>-3.8978159999999998E-2</v>
      </c>
      <c r="W598">
        <v>4.8603279999999999E-2</v>
      </c>
      <c r="X598">
        <v>0.99805730000000004</v>
      </c>
      <c r="Y598">
        <v>6.2692020000000001E-2</v>
      </c>
      <c r="Z598">
        <v>-5.6756139999999998E-4</v>
      </c>
      <c r="AA598">
        <v>0.998032699999999</v>
      </c>
      <c r="AB598">
        <v>58</v>
      </c>
      <c r="AC598">
        <v>81.958699999999993</v>
      </c>
      <c r="AD598">
        <v>-1.0550974706980001</v>
      </c>
      <c r="AE598">
        <v>-4.1043999999999903</v>
      </c>
      <c r="AF598">
        <v>5.1626862590155103</v>
      </c>
      <c r="AG598">
        <v>-1.0550974706980001</v>
      </c>
      <c r="AH598">
        <v>81.885257319426898</v>
      </c>
      <c r="AI598">
        <v>90.736756716158595</v>
      </c>
      <c r="AJ598">
        <v>86.392401543303905</v>
      </c>
      <c r="AK598">
        <v>82.0546276961297</v>
      </c>
    </row>
    <row r="599" spans="1:37" x14ac:dyDescent="0.2">
      <c r="A599" t="str">
        <f>"20200111153415189"</f>
        <v>20200111153415189</v>
      </c>
      <c r="B599" t="str">
        <f>"1578728055186894"</f>
        <v>1578728055186894</v>
      </c>
      <c r="C599" t="s">
        <v>37</v>
      </c>
      <c r="D599">
        <v>4.9043109999999999</v>
      </c>
      <c r="E599">
        <v>0.53765339999999995</v>
      </c>
      <c r="F599" t="s">
        <v>39</v>
      </c>
      <c r="G599">
        <v>-213.99449999999999</v>
      </c>
      <c r="H599" s="1">
        <v>-3.76143199999999E-6</v>
      </c>
      <c r="I599">
        <v>363.10820000000001</v>
      </c>
      <c r="J599">
        <v>-296.47640000000001</v>
      </c>
      <c r="K599">
        <v>1.055077</v>
      </c>
      <c r="L599">
        <v>367.28559999999999</v>
      </c>
      <c r="M599">
        <v>0.99978419999999901</v>
      </c>
      <c r="N599">
        <v>0</v>
      </c>
      <c r="O599">
        <v>1.312904E-2</v>
      </c>
      <c r="P599">
        <v>0.99814570000000002</v>
      </c>
      <c r="Q599">
        <v>3.2533140000000002E-2</v>
      </c>
      <c r="R599">
        <v>5.1449920000000003E-2</v>
      </c>
      <c r="S599">
        <v>3.0147710000000001</v>
      </c>
      <c r="T599">
        <v>-3.8435459999999998E-2</v>
      </c>
      <c r="U599">
        <v>-0.1520386</v>
      </c>
      <c r="V599">
        <v>-3.8417149999999997E-2</v>
      </c>
      <c r="W599">
        <v>4.8552320000000003E-2</v>
      </c>
      <c r="X599">
        <v>0.99808159999999901</v>
      </c>
      <c r="Y599">
        <v>6.3470739999999998E-2</v>
      </c>
      <c r="Z599">
        <v>-5.7162399999999996E-4</v>
      </c>
      <c r="AA599">
        <v>0.99798349999999902</v>
      </c>
      <c r="AB599">
        <v>58</v>
      </c>
      <c r="AC599">
        <v>82.481899999999996</v>
      </c>
      <c r="AD599">
        <v>-1.0550807614319999</v>
      </c>
      <c r="AE599">
        <v>-4.1773999999999702</v>
      </c>
      <c r="AF599">
        <v>5.2592300364558398</v>
      </c>
      <c r="AG599">
        <v>-1.0550807614319999</v>
      </c>
      <c r="AH599">
        <v>82.406487316813099</v>
      </c>
      <c r="AI599">
        <v>90.732049827513507</v>
      </c>
      <c r="AJ599">
        <v>86.348302462631693</v>
      </c>
      <c r="AK599">
        <v>82.580880643679095</v>
      </c>
    </row>
    <row r="600" spans="1:37" x14ac:dyDescent="0.2">
      <c r="A600" t="str">
        <f>"20200111153415200"</f>
        <v>20200111153415200</v>
      </c>
      <c r="B600" t="str">
        <f>"1578728055196662"</f>
        <v>1578728055196662</v>
      </c>
      <c r="C600" t="s">
        <v>37</v>
      </c>
      <c r="D600">
        <v>4.8518460000000001</v>
      </c>
      <c r="E600">
        <v>0.53758479999999997</v>
      </c>
      <c r="F600" t="s">
        <v>39</v>
      </c>
      <c r="G600">
        <v>-213.57419999999999</v>
      </c>
      <c r="H600" s="1">
        <v>-3.9010119999999999E-6</v>
      </c>
      <c r="I600">
        <v>363.12119999999999</v>
      </c>
      <c r="J600">
        <v>-296.18509999999998</v>
      </c>
      <c r="K600">
        <v>1.055061</v>
      </c>
      <c r="L600">
        <v>367.2894</v>
      </c>
      <c r="M600">
        <v>0.999781699999999</v>
      </c>
      <c r="N600">
        <v>0</v>
      </c>
      <c r="O600">
        <v>1.334346E-2</v>
      </c>
      <c r="P600">
        <v>0.99815609999999999</v>
      </c>
      <c r="Q600">
        <v>3.2771429999999997E-2</v>
      </c>
      <c r="R600">
        <v>5.1092430000000001E-2</v>
      </c>
      <c r="S600">
        <v>3.0145869999999899</v>
      </c>
      <c r="T600">
        <v>-3.8366079999999997E-2</v>
      </c>
      <c r="U600">
        <v>-0.15142820000000001</v>
      </c>
      <c r="V600">
        <v>-3.7845179999999999E-2</v>
      </c>
      <c r="W600">
        <v>4.8760449999999997E-2</v>
      </c>
      <c r="X600">
        <v>0.99809319999999901</v>
      </c>
      <c r="Y600">
        <v>6.3486290000000001E-2</v>
      </c>
      <c r="Z600">
        <v>-5.7345629999999996E-4</v>
      </c>
      <c r="AA600">
        <v>0.99798259999999905</v>
      </c>
      <c r="AB600">
        <v>58</v>
      </c>
      <c r="AC600">
        <v>82.610899999999901</v>
      </c>
      <c r="AD600">
        <v>-1.0550649010119999</v>
      </c>
      <c r="AE600">
        <v>-4.1682000000000103</v>
      </c>
      <c r="AF600">
        <v>5.2694292417730502</v>
      </c>
      <c r="AG600">
        <v>-1.0550649010119999</v>
      </c>
      <c r="AH600">
        <v>82.534489910773502</v>
      </c>
      <c r="AI600">
        <v>90.730902487021396</v>
      </c>
      <c r="AJ600">
        <v>86.346898943581607</v>
      </c>
      <c r="AK600">
        <v>82.709262306654495</v>
      </c>
    </row>
    <row r="601" spans="1:37" x14ac:dyDescent="0.2">
      <c r="A601" t="str">
        <f>"20200111153415211"</f>
        <v>20200111153415211</v>
      </c>
      <c r="B601" t="str">
        <f>"1578728055207391"</f>
        <v>1578728055207391</v>
      </c>
      <c r="C601" t="s">
        <v>37</v>
      </c>
      <c r="D601">
        <v>4.8777330000000001</v>
      </c>
      <c r="E601">
        <v>0.53750609999999999</v>
      </c>
      <c r="F601" t="s">
        <v>39</v>
      </c>
      <c r="G601">
        <v>-210.3689</v>
      </c>
      <c r="H601" s="1">
        <v>-5.2945650000000002E-6</v>
      </c>
      <c r="I601">
        <v>362.96120000000002</v>
      </c>
      <c r="J601">
        <v>-295.89299999999997</v>
      </c>
      <c r="K601">
        <v>1.0550469999999901</v>
      </c>
      <c r="L601">
        <v>367.29340000000002</v>
      </c>
      <c r="M601">
        <v>0.99977939999999998</v>
      </c>
      <c r="N601">
        <v>0</v>
      </c>
      <c r="O601">
        <v>1.355816E-2</v>
      </c>
      <c r="P601">
        <v>0.9981428</v>
      </c>
      <c r="Q601">
        <v>3.3421260000000001E-2</v>
      </c>
      <c r="R601">
        <v>5.0937160000000002E-2</v>
      </c>
      <c r="S601">
        <v>3.014526</v>
      </c>
      <c r="T601">
        <v>-3.7062049999999999E-2</v>
      </c>
      <c r="U601">
        <v>-0.1520386</v>
      </c>
      <c r="V601">
        <v>-3.7477089999999998E-2</v>
      </c>
      <c r="W601">
        <v>4.9381500000000002E-2</v>
      </c>
      <c r="X601">
        <v>0.99807659999999998</v>
      </c>
      <c r="Y601">
        <v>6.3903509999999997E-2</v>
      </c>
      <c r="Z601">
        <v>-5.5917629999999998E-4</v>
      </c>
      <c r="AA601">
        <v>0.99795590000000001</v>
      </c>
      <c r="AB601">
        <v>58</v>
      </c>
      <c r="AC601">
        <v>85.524099999999905</v>
      </c>
      <c r="AD601">
        <v>-1.0550522945649901</v>
      </c>
      <c r="AE601">
        <v>-4.3322000000000003</v>
      </c>
      <c r="AF601">
        <v>5.4906668943504897</v>
      </c>
      <c r="AG601">
        <v>-1.0550522945649901</v>
      </c>
      <c r="AH601">
        <v>85.444522649611301</v>
      </c>
      <c r="AI601">
        <v>90.705985173197206</v>
      </c>
      <c r="AJ601">
        <v>86.323227288755703</v>
      </c>
      <c r="AK601">
        <v>85.627256227844498</v>
      </c>
    </row>
    <row r="602" spans="1:37" x14ac:dyDescent="0.2">
      <c r="A602" t="str">
        <f>"20200111153415223"</f>
        <v>20200111153415223</v>
      </c>
      <c r="B602" t="str">
        <f>"1578728055217150"</f>
        <v>1578728055217150</v>
      </c>
      <c r="C602" t="s">
        <v>37</v>
      </c>
      <c r="D602">
        <v>4.8658409999999996</v>
      </c>
      <c r="E602">
        <v>0.53743209999999997</v>
      </c>
      <c r="F602" t="s">
        <v>46</v>
      </c>
      <c r="G602">
        <v>-204.72120000000001</v>
      </c>
      <c r="H602" s="1">
        <v>-4.3488230000000002E-6</v>
      </c>
      <c r="I602">
        <v>362.69690000000003</v>
      </c>
      <c r="J602">
        <v>-295.60320000000002</v>
      </c>
      <c r="K602">
        <v>1.055034</v>
      </c>
      <c r="L602">
        <v>367.29739999999998</v>
      </c>
      <c r="M602">
        <v>0.99977700000000003</v>
      </c>
      <c r="N602">
        <v>0</v>
      </c>
      <c r="O602">
        <v>1.3771129999999999E-2</v>
      </c>
      <c r="P602">
        <v>0.99814699999999901</v>
      </c>
      <c r="Q602">
        <v>3.3562210000000002E-2</v>
      </c>
      <c r="R602">
        <v>5.0762300000000003E-2</v>
      </c>
      <c r="S602">
        <v>3.0144959999999998</v>
      </c>
      <c r="T602">
        <v>-3.4884100000000001E-2</v>
      </c>
      <c r="U602">
        <v>-0.15197749999999999</v>
      </c>
      <c r="V602">
        <v>-3.7089490000000003E-2</v>
      </c>
      <c r="W602">
        <v>4.9496270000000002E-2</v>
      </c>
      <c r="X602">
        <v>0.99808539999999901</v>
      </c>
      <c r="Y602">
        <v>6.4097070000000006E-2</v>
      </c>
      <c r="Z602">
        <v>-5.2990669999999896E-4</v>
      </c>
      <c r="AA602">
        <v>0.99794349999999998</v>
      </c>
      <c r="AB602">
        <v>58</v>
      </c>
      <c r="AC602">
        <v>90.882000000000005</v>
      </c>
      <c r="AD602">
        <v>-1.055038348823</v>
      </c>
      <c r="AE602">
        <v>-4.6004999999999496</v>
      </c>
      <c r="AF602">
        <v>5.8509853968051297</v>
      </c>
      <c r="AG602">
        <v>-1.055038348823</v>
      </c>
      <c r="AH602">
        <v>90.797812369558997</v>
      </c>
      <c r="AI602">
        <v>90.664348865276395</v>
      </c>
      <c r="AJ602">
        <v>86.312973934487502</v>
      </c>
      <c r="AK602">
        <v>90.992251687320902</v>
      </c>
    </row>
    <row r="603" spans="1:37" x14ac:dyDescent="0.2">
      <c r="A603" t="str">
        <f>"20200111153415234"</f>
        <v>20200111153415234</v>
      </c>
      <c r="B603" t="str">
        <f>"1578728055226909"</f>
        <v>1578728055226909</v>
      </c>
      <c r="C603" t="s">
        <v>37</v>
      </c>
      <c r="D603">
        <v>4.8633199999999999</v>
      </c>
      <c r="E603">
        <v>0.53743430000000003</v>
      </c>
      <c r="F603" t="s">
        <v>46</v>
      </c>
      <c r="G603">
        <v>-202.84190000000001</v>
      </c>
      <c r="H603" s="1">
        <v>-3.4202229999999999E-6</v>
      </c>
      <c r="I603">
        <v>362.6198</v>
      </c>
      <c r="J603">
        <v>-295.28050000000002</v>
      </c>
      <c r="K603">
        <v>1.0550170000000001</v>
      </c>
      <c r="L603">
        <v>367.30189999999999</v>
      </c>
      <c r="M603">
        <v>0.99977419999999995</v>
      </c>
      <c r="N603">
        <v>0</v>
      </c>
      <c r="O603">
        <v>1.4008359999999999E-2</v>
      </c>
      <c r="P603">
        <v>0.99814219999999898</v>
      </c>
      <c r="Q603">
        <v>3.4200210000000002E-2</v>
      </c>
      <c r="R603">
        <v>5.0429179999999997E-2</v>
      </c>
      <c r="S603">
        <v>3.014465</v>
      </c>
      <c r="T603">
        <v>-3.4285549999999998E-2</v>
      </c>
      <c r="U603">
        <v>-0.15200810000000001</v>
      </c>
      <c r="V603">
        <v>-3.65201E-2</v>
      </c>
      <c r="W603">
        <v>5.0107289999999999E-2</v>
      </c>
      <c r="X603">
        <v>0.99807590000000002</v>
      </c>
      <c r="Y603">
        <v>6.4344589999999993E-2</v>
      </c>
      <c r="Z603">
        <v>-5.2492369999999997E-4</v>
      </c>
      <c r="AA603">
        <v>0.99792760000000003</v>
      </c>
      <c r="AB603">
        <v>58</v>
      </c>
      <c r="AC603">
        <v>92.438599999999994</v>
      </c>
      <c r="AD603">
        <v>-1.055020420223</v>
      </c>
      <c r="AE603">
        <v>-4.6820999999999904</v>
      </c>
      <c r="AF603">
        <v>5.9759425484576596</v>
      </c>
      <c r="AG603">
        <v>-1.055020420223</v>
      </c>
      <c r="AH603">
        <v>92.351931428821899</v>
      </c>
      <c r="AI603">
        <v>90.653147648895697</v>
      </c>
      <c r="AJ603">
        <v>86.297645456948302</v>
      </c>
      <c r="AK603">
        <v>92.551089653571196</v>
      </c>
    </row>
    <row r="604" spans="1:37" x14ac:dyDescent="0.2">
      <c r="A604" t="str">
        <f>"20200111153415246"</f>
        <v>20200111153415246</v>
      </c>
      <c r="B604" t="str">
        <f>"1578728055236670"</f>
        <v>1578728055236670</v>
      </c>
      <c r="C604" t="s">
        <v>37</v>
      </c>
      <c r="D604">
        <v>4.8745310000000002</v>
      </c>
      <c r="E604">
        <v>0.53741119999999898</v>
      </c>
      <c r="F604" t="s">
        <v>46</v>
      </c>
      <c r="G604">
        <v>-196.89150000000001</v>
      </c>
      <c r="H604" s="1">
        <v>-8.8451059999999907E-6</v>
      </c>
      <c r="I604">
        <v>362.3125</v>
      </c>
      <c r="J604">
        <v>-295.0043</v>
      </c>
      <c r="K604">
        <v>1.055005</v>
      </c>
      <c r="L604">
        <v>367.30579999999998</v>
      </c>
      <c r="M604">
        <v>0.99977150000000004</v>
      </c>
      <c r="N604">
        <v>0</v>
      </c>
      <c r="O604">
        <v>1.421151E-2</v>
      </c>
      <c r="P604">
        <v>0.99815769999999904</v>
      </c>
      <c r="Q604">
        <v>3.417398E-2</v>
      </c>
      <c r="R604">
        <v>5.0130979999999999E-2</v>
      </c>
      <c r="S604">
        <v>3.0144039999999999</v>
      </c>
      <c r="T604">
        <v>-3.2323480000000002E-2</v>
      </c>
      <c r="U604">
        <v>-0.15286250000000001</v>
      </c>
      <c r="V604">
        <v>-3.6019040000000002E-2</v>
      </c>
      <c r="W604">
        <v>5.0059670000000001E-2</v>
      </c>
      <c r="X604">
        <v>0.99809650000000005</v>
      </c>
      <c r="Y604">
        <v>6.4831059999999996E-2</v>
      </c>
      <c r="Z604">
        <v>-4.99676E-4</v>
      </c>
      <c r="AA604">
        <v>0.99789609999999995</v>
      </c>
      <c r="AB604">
        <v>58</v>
      </c>
      <c r="AC604">
        <v>98.112799999999993</v>
      </c>
      <c r="AD604">
        <v>-1.055013845106</v>
      </c>
      <c r="AE604">
        <v>-4.9932999999999703</v>
      </c>
      <c r="AF604">
        <v>6.38656787949036</v>
      </c>
      <c r="AG604">
        <v>-1.055013845106</v>
      </c>
      <c r="AH604">
        <v>98.020613118209397</v>
      </c>
      <c r="AI604">
        <v>90.615356498413803</v>
      </c>
      <c r="AJ604">
        <v>86.272142359447201</v>
      </c>
      <c r="AK604">
        <v>98.234117798056204</v>
      </c>
    </row>
    <row r="605" spans="1:37" x14ac:dyDescent="0.2">
      <c r="A605" t="str">
        <f>"20200111153415259"</f>
        <v>20200111153415259</v>
      </c>
      <c r="B605" t="str">
        <f>"1578728055257168"</f>
        <v>1578728055257168</v>
      </c>
      <c r="C605" t="s">
        <v>37</v>
      </c>
      <c r="D605">
        <v>4.8418979999999996</v>
      </c>
      <c r="E605">
        <v>0.53739269999999995</v>
      </c>
      <c r="F605" t="s">
        <v>46</v>
      </c>
      <c r="G605">
        <v>-196.40729999999999</v>
      </c>
      <c r="H605" s="1">
        <v>-8.6788459999999998E-6</v>
      </c>
      <c r="I605">
        <v>362.28890000000001</v>
      </c>
      <c r="J605">
        <v>-294.66750000000002</v>
      </c>
      <c r="K605">
        <v>1.0549869999999999</v>
      </c>
      <c r="L605">
        <v>367.3107</v>
      </c>
      <c r="M605">
        <v>0.99976849999999995</v>
      </c>
      <c r="N605">
        <v>0</v>
      </c>
      <c r="O605">
        <v>1.4459100000000001E-2</v>
      </c>
      <c r="P605">
        <v>0.99816309999999997</v>
      </c>
      <c r="Q605">
        <v>3.4444849999999999E-2</v>
      </c>
      <c r="R605">
        <v>4.9841870000000003E-2</v>
      </c>
      <c r="S605">
        <v>3.0143740000000001</v>
      </c>
      <c r="T605">
        <v>-3.2254579999999998E-2</v>
      </c>
      <c r="U605">
        <v>-0.1533813</v>
      </c>
      <c r="V605">
        <v>-3.5482699999999999E-2</v>
      </c>
      <c r="W605">
        <v>5.0304939999999999E-2</v>
      </c>
      <c r="X605">
        <v>0.99810339999999997</v>
      </c>
      <c r="Y605">
        <v>6.5249959999999996E-2</v>
      </c>
      <c r="Z605">
        <v>-5.0350139999999998E-4</v>
      </c>
      <c r="AA605">
        <v>0.9978688</v>
      </c>
      <c r="AB605">
        <v>58</v>
      </c>
      <c r="AC605">
        <v>98.260199999999998</v>
      </c>
      <c r="AD605">
        <v>-1.054995678846</v>
      </c>
      <c r="AE605">
        <v>-5.0217999999999803</v>
      </c>
      <c r="AF605">
        <v>6.4414687152258097</v>
      </c>
      <c r="AG605">
        <v>-1.054995678846</v>
      </c>
      <c r="AH605">
        <v>98.166018622346201</v>
      </c>
      <c r="AI605">
        <v>90.614415999711994</v>
      </c>
      <c r="AJ605">
        <v>86.245741284959493</v>
      </c>
      <c r="AK605">
        <v>98.382786844317593</v>
      </c>
    </row>
    <row r="606" spans="1:37" x14ac:dyDescent="0.2">
      <c r="A606" t="str">
        <f>"20200111153415271"</f>
        <v>20200111153415271</v>
      </c>
      <c r="B606" t="str">
        <f>"1578728055266926"</f>
        <v>1578728055266926</v>
      </c>
      <c r="C606" t="s">
        <v>37</v>
      </c>
      <c r="D606">
        <v>4.8980680000000003</v>
      </c>
      <c r="E606">
        <v>0.53737489999999999</v>
      </c>
      <c r="F606" t="s">
        <v>46</v>
      </c>
      <c r="G606">
        <v>-192.8433</v>
      </c>
      <c r="H606" s="1">
        <v>-7.4569529999999997E-6</v>
      </c>
      <c r="I606">
        <v>362.1026</v>
      </c>
      <c r="J606">
        <v>-294.3331</v>
      </c>
      <c r="K606">
        <v>1.0549770000000001</v>
      </c>
      <c r="L606">
        <v>367.31560000000002</v>
      </c>
      <c r="M606">
        <v>0.99976529999999997</v>
      </c>
      <c r="N606">
        <v>0</v>
      </c>
      <c r="O606">
        <v>1.470523E-2</v>
      </c>
      <c r="P606">
        <v>0.99818890000000005</v>
      </c>
      <c r="Q606">
        <v>3.4304130000000002E-2</v>
      </c>
      <c r="R606">
        <v>4.9419089999999999E-2</v>
      </c>
      <c r="S606">
        <v>3.0142820000000001</v>
      </c>
      <c r="T606">
        <v>-3.1230810000000001E-2</v>
      </c>
      <c r="U606">
        <v>-0.154174799999999</v>
      </c>
      <c r="V606">
        <v>-3.4813339999999998E-2</v>
      </c>
      <c r="W606">
        <v>5.0143010000000002E-2</v>
      </c>
      <c r="X606">
        <v>0.99813510000000005</v>
      </c>
      <c r="Y606">
        <v>6.5759390000000001E-2</v>
      </c>
      <c r="Z606">
        <v>-4.9271899999999997E-4</v>
      </c>
      <c r="AA606">
        <v>0.99783539999999904</v>
      </c>
      <c r="AB606">
        <v>58</v>
      </c>
      <c r="AC606">
        <v>101.4898</v>
      </c>
      <c r="AD606">
        <v>-1.054984456953</v>
      </c>
      <c r="AE606">
        <v>-5.2130000000000196</v>
      </c>
      <c r="AF606">
        <v>6.70433340829711</v>
      </c>
      <c r="AG606">
        <v>-1.054984456953</v>
      </c>
      <c r="AH606">
        <v>101.391228229939</v>
      </c>
      <c r="AI606">
        <v>90.594847089686297</v>
      </c>
      <c r="AJ606">
        <v>86.2169150620891</v>
      </c>
      <c r="AK606">
        <v>101.618119647185</v>
      </c>
    </row>
    <row r="607" spans="1:37" x14ac:dyDescent="0.2">
      <c r="A607" t="str">
        <f>"20200111153415284"</f>
        <v>20200111153415284</v>
      </c>
      <c r="B607" t="str">
        <f>"1578728055276685"</f>
        <v>1578728055276685</v>
      </c>
      <c r="C607" t="s">
        <v>37</v>
      </c>
      <c r="D607">
        <v>4.8591540000000002</v>
      </c>
      <c r="E607">
        <v>0.53735749999999904</v>
      </c>
      <c r="F607" t="s">
        <v>46</v>
      </c>
      <c r="G607">
        <v>-193.06280000000001</v>
      </c>
      <c r="H607" s="1">
        <v>-7.5352219999999996E-6</v>
      </c>
      <c r="I607">
        <v>362.09469999999999</v>
      </c>
      <c r="J607">
        <v>-294.01330000000002</v>
      </c>
      <c r="K607">
        <v>1.0549629999999901</v>
      </c>
      <c r="L607">
        <v>367.32040000000001</v>
      </c>
      <c r="M607">
        <v>0.99976209999999899</v>
      </c>
      <c r="N607">
        <v>0</v>
      </c>
      <c r="O607">
        <v>1.494062E-2</v>
      </c>
      <c r="P607">
        <v>0.99821289999999996</v>
      </c>
      <c r="Q607">
        <v>3.420231E-2</v>
      </c>
      <c r="R607">
        <v>4.9004409999999998E-2</v>
      </c>
      <c r="S607">
        <v>3.014221</v>
      </c>
      <c r="T607">
        <v>-3.140068E-2</v>
      </c>
      <c r="U607">
        <v>-0.15539549999999999</v>
      </c>
      <c r="V607">
        <v>-3.4162919999999999E-2</v>
      </c>
      <c r="W607">
        <v>5.0021099999999999E-2</v>
      </c>
      <c r="X607">
        <v>0.99816369999999899</v>
      </c>
      <c r="Y607">
        <v>6.6398280000000004E-2</v>
      </c>
      <c r="Z607">
        <v>-5.0118039999999997E-4</v>
      </c>
      <c r="AA607">
        <v>0.99779309999999999</v>
      </c>
      <c r="AB607">
        <v>58</v>
      </c>
      <c r="AC607">
        <v>100.95050000000001</v>
      </c>
      <c r="AD607">
        <v>-1.05497053522199</v>
      </c>
      <c r="AE607">
        <v>-5.2257000000000096</v>
      </c>
      <c r="AF607">
        <v>6.7328367735500496</v>
      </c>
      <c r="AG607">
        <v>-1.05497053522199</v>
      </c>
      <c r="AH607">
        <v>100.85015982969</v>
      </c>
      <c r="AI607">
        <v>90.598005152403005</v>
      </c>
      <c r="AJ607">
        <v>86.180555947598904</v>
      </c>
      <c r="AK607">
        <v>101.080160227037</v>
      </c>
    </row>
    <row r="608" spans="1:37" x14ac:dyDescent="0.2">
      <c r="A608" t="str">
        <f>"20200111153415295"</f>
        <v>20200111153415295</v>
      </c>
      <c r="B608" t="str">
        <f>"1578728055287421"</f>
        <v>1578728055287421</v>
      </c>
      <c r="C608" t="s">
        <v>37</v>
      </c>
      <c r="D608">
        <v>4.8449989999999996</v>
      </c>
      <c r="E608">
        <v>0.53732559999999996</v>
      </c>
      <c r="F608" t="s">
        <v>46</v>
      </c>
      <c r="G608">
        <v>-193.01230000000001</v>
      </c>
      <c r="H608" s="1">
        <v>-7.5181409999999997E-6</v>
      </c>
      <c r="I608">
        <v>362.09070000000003</v>
      </c>
      <c r="J608">
        <v>-293.707999999999</v>
      </c>
      <c r="K608">
        <v>1.0549500000000001</v>
      </c>
      <c r="L608">
        <v>367.32499999999999</v>
      </c>
      <c r="M608">
        <v>0.99975890000000001</v>
      </c>
      <c r="N608">
        <v>0</v>
      </c>
      <c r="O608">
        <v>1.516527E-2</v>
      </c>
      <c r="P608">
        <v>0.99824619999999997</v>
      </c>
      <c r="Q608">
        <v>3.3904919999999998E-2</v>
      </c>
      <c r="R608">
        <v>4.853122E-2</v>
      </c>
      <c r="S608">
        <v>3.01412999999999</v>
      </c>
      <c r="T608">
        <v>-3.1483049999999999E-2</v>
      </c>
      <c r="U608">
        <v>-0.15606689999999901</v>
      </c>
      <c r="V608">
        <v>-3.3464720000000003E-2</v>
      </c>
      <c r="W608">
        <v>4.9706769999999997E-2</v>
      </c>
      <c r="X608">
        <v>0.99820299999999995</v>
      </c>
      <c r="Y608">
        <v>6.6845630000000003E-2</v>
      </c>
      <c r="Z608">
        <v>-5.0718759999999997E-4</v>
      </c>
      <c r="AA608">
        <v>0.99776319999999996</v>
      </c>
      <c r="AB608">
        <v>58</v>
      </c>
      <c r="AC608">
        <v>100.69569999999899</v>
      </c>
      <c r="AD608">
        <v>-1.054957518141</v>
      </c>
      <c r="AE608">
        <v>-5.2342999999999602</v>
      </c>
      <c r="AF608">
        <v>6.7602279433221497</v>
      </c>
      <c r="AG608">
        <v>-1.054957518141</v>
      </c>
      <c r="AH608">
        <v>100.59371604545601</v>
      </c>
      <c r="AI608">
        <v>90.599504452008006</v>
      </c>
      <c r="AJ608">
        <v>86.155316464923104</v>
      </c>
      <c r="AK608">
        <v>100.82613413716</v>
      </c>
    </row>
    <row r="609" spans="1:37" x14ac:dyDescent="0.2">
      <c r="A609" t="str">
        <f>"20200111153415307"</f>
        <v>20200111153415307</v>
      </c>
      <c r="B609" t="str">
        <f>"1578728055297183"</f>
        <v>1578728055297183</v>
      </c>
      <c r="C609" t="s">
        <v>37</v>
      </c>
      <c r="D609">
        <v>4.8494440000000001</v>
      </c>
      <c r="E609">
        <v>0.53730299999999998</v>
      </c>
      <c r="F609" t="s">
        <v>46</v>
      </c>
      <c r="G609">
        <v>-195.6523</v>
      </c>
      <c r="H609" s="1">
        <v>-8.4286320000000001E-6</v>
      </c>
      <c r="I609">
        <v>362.19409999999999</v>
      </c>
      <c r="J609">
        <v>-293.40010000000001</v>
      </c>
      <c r="K609">
        <v>1.054937</v>
      </c>
      <c r="L609">
        <v>367.32979999999998</v>
      </c>
      <c r="M609">
        <v>0.99975579999999997</v>
      </c>
      <c r="N609">
        <v>0</v>
      </c>
      <c r="O609">
        <v>1.539169E-2</v>
      </c>
      <c r="P609">
        <v>0.99826879999999996</v>
      </c>
      <c r="Q609">
        <v>3.3604189999999999E-2</v>
      </c>
      <c r="R609">
        <v>4.8271969999999997E-2</v>
      </c>
      <c r="S609">
        <v>3.0140380000000002</v>
      </c>
      <c r="T609">
        <v>-3.2427310000000001E-2</v>
      </c>
      <c r="U609">
        <v>-0.15771479999999999</v>
      </c>
      <c r="V609">
        <v>-3.2977840000000001E-2</v>
      </c>
      <c r="W609">
        <v>4.938911E-2</v>
      </c>
      <c r="X609">
        <v>0.99823499999999998</v>
      </c>
      <c r="Y609">
        <v>6.7616880000000004E-2</v>
      </c>
      <c r="Z609">
        <v>-5.2898780000000002E-4</v>
      </c>
      <c r="AA609">
        <v>0.99771119999999902</v>
      </c>
      <c r="AB609">
        <v>58</v>
      </c>
      <c r="AC609">
        <v>97.747799999999998</v>
      </c>
      <c r="AD609">
        <v>-1.0549454286319999</v>
      </c>
      <c r="AE609">
        <v>-5.1356999999999804</v>
      </c>
      <c r="AF609">
        <v>6.6390133176399999</v>
      </c>
      <c r="AG609">
        <v>-1.0549454286319999</v>
      </c>
      <c r="AH609">
        <v>97.645818597332706</v>
      </c>
      <c r="AI609">
        <v>90.617562127714194</v>
      </c>
      <c r="AJ609">
        <v>86.110402630714304</v>
      </c>
      <c r="AK609">
        <v>97.876939557959204</v>
      </c>
    </row>
    <row r="610" spans="1:37" x14ac:dyDescent="0.2">
      <c r="A610" t="str">
        <f>"20200111153415320"</f>
        <v>20200111153415320</v>
      </c>
      <c r="B610" t="str">
        <f>"1578728055316703"</f>
        <v>1578728055316703</v>
      </c>
      <c r="C610" t="s">
        <v>37</v>
      </c>
      <c r="D610">
        <v>4.8837390000000003</v>
      </c>
      <c r="E610">
        <v>0.5372673</v>
      </c>
      <c r="F610" t="s">
        <v>46</v>
      </c>
      <c r="G610">
        <v>-198.0609</v>
      </c>
      <c r="H610" s="1">
        <v>-9.2619319999999994E-6</v>
      </c>
      <c r="I610">
        <v>362.33600000000001</v>
      </c>
      <c r="J610">
        <v>-293.08789999999999</v>
      </c>
      <c r="K610">
        <v>1.0549230000000001</v>
      </c>
      <c r="L610">
        <v>367.33460000000002</v>
      </c>
      <c r="M610">
        <v>0.99975259999999999</v>
      </c>
      <c r="N610">
        <v>0</v>
      </c>
      <c r="O610">
        <v>1.5621339999999999E-2</v>
      </c>
      <c r="P610">
        <v>0.99828229999999996</v>
      </c>
      <c r="Q610">
        <v>3.3478220000000003E-2</v>
      </c>
      <c r="R610">
        <v>4.8081930000000002E-2</v>
      </c>
      <c r="S610">
        <v>3.013916</v>
      </c>
      <c r="T610">
        <v>-3.3349509999999999E-2</v>
      </c>
      <c r="U610">
        <v>-0.15786739999999999</v>
      </c>
      <c r="V610">
        <v>-3.2558240000000002E-2</v>
      </c>
      <c r="W610">
        <v>4.9247190000000003E-2</v>
      </c>
      <c r="X610">
        <v>0.99825580000000003</v>
      </c>
      <c r="Y610">
        <v>6.7898230000000004E-2</v>
      </c>
      <c r="Z610">
        <v>-5.4814739999999897E-4</v>
      </c>
      <c r="AA610">
        <v>0.99769209999999997</v>
      </c>
      <c r="AB610">
        <v>58</v>
      </c>
      <c r="AC610">
        <v>95.027000000000001</v>
      </c>
      <c r="AD610">
        <v>-1.0549322619320001</v>
      </c>
      <c r="AE610">
        <v>-4.9985999999999997</v>
      </c>
      <c r="AF610">
        <v>6.4818284885386497</v>
      </c>
      <c r="AG610">
        <v>-1.0549322619320001</v>
      </c>
      <c r="AH610">
        <v>94.925640774798396</v>
      </c>
      <c r="AI610">
        <v>90.635236956996295</v>
      </c>
      <c r="AJ610">
        <v>86.093723239473704</v>
      </c>
      <c r="AK610">
        <v>95.152531543507294</v>
      </c>
    </row>
    <row r="611" spans="1:37" x14ac:dyDescent="0.2">
      <c r="A611" t="str">
        <f>"20200111153415334"</f>
        <v>20200111153415334</v>
      </c>
      <c r="B611" t="str">
        <f>"1578728055327437"</f>
        <v>1578728055327437</v>
      </c>
      <c r="C611" t="s">
        <v>37</v>
      </c>
      <c r="D611">
        <v>4.8592870000000001</v>
      </c>
      <c r="E611">
        <v>0.53725959999999995</v>
      </c>
      <c r="F611" t="s">
        <v>46</v>
      </c>
      <c r="G611">
        <v>-198.62200000000001</v>
      </c>
      <c r="H611" s="1">
        <v>-9.4604709999999993E-6</v>
      </c>
      <c r="I611">
        <v>362.3741</v>
      </c>
      <c r="J611">
        <v>-292.69830000000002</v>
      </c>
      <c r="K611">
        <v>1.054905</v>
      </c>
      <c r="L611">
        <v>367.34089999999998</v>
      </c>
      <c r="M611">
        <v>0.99974830000000003</v>
      </c>
      <c r="N611">
        <v>0</v>
      </c>
      <c r="O611">
        <v>1.5908439999999999E-2</v>
      </c>
      <c r="P611">
        <v>0.99830110000000005</v>
      </c>
      <c r="Q611">
        <v>3.3020630000000002E-2</v>
      </c>
      <c r="R611">
        <v>4.8004930000000001E-2</v>
      </c>
      <c r="S611">
        <v>3.013916</v>
      </c>
      <c r="T611">
        <v>-3.3657430000000002E-2</v>
      </c>
      <c r="U611">
        <v>-0.15826419999999999</v>
      </c>
      <c r="V611">
        <v>-3.2192459999999999E-2</v>
      </c>
      <c r="W611">
        <v>4.8770929999999997E-2</v>
      </c>
      <c r="X611">
        <v>0.99829109999999999</v>
      </c>
      <c r="Y611">
        <v>6.8315570000000006E-2</v>
      </c>
      <c r="Z611">
        <v>-5.5873960000000003E-4</v>
      </c>
      <c r="AA611">
        <v>0.99766359999999998</v>
      </c>
      <c r="AB611">
        <v>58</v>
      </c>
      <c r="AC611">
        <v>94.076300000000003</v>
      </c>
      <c r="AD611">
        <v>-1.0549144604709999</v>
      </c>
      <c r="AE611">
        <v>-4.9667999999999699</v>
      </c>
      <c r="AF611">
        <v>6.4621554921208899</v>
      </c>
      <c r="AG611">
        <v>-1.0549144604709999</v>
      </c>
      <c r="AH611">
        <v>93.973584585450197</v>
      </c>
      <c r="AI611">
        <v>90.641640135162305</v>
      </c>
      <c r="AJ611">
        <v>86.066210742972501</v>
      </c>
      <c r="AK611">
        <v>94.201416645197099</v>
      </c>
    </row>
    <row r="612" spans="1:37" x14ac:dyDescent="0.2">
      <c r="A612" t="str">
        <f>"20200111153415345"</f>
        <v>20200111153415345</v>
      </c>
      <c r="B612" t="str">
        <f>"1578728055337197"</f>
        <v>1578728055337197</v>
      </c>
      <c r="C612" t="s">
        <v>37</v>
      </c>
      <c r="D612">
        <v>4.8333639999999898</v>
      </c>
      <c r="E612">
        <v>0.53725429999999996</v>
      </c>
      <c r="F612" t="s">
        <v>46</v>
      </c>
      <c r="G612">
        <v>-201.56790000000001</v>
      </c>
      <c r="H612" s="1">
        <v>-2.79585899999999E-6</v>
      </c>
      <c r="I612">
        <v>362.54430000000002</v>
      </c>
      <c r="J612">
        <v>-292.41210000000001</v>
      </c>
      <c r="K612">
        <v>1.0548949999999999</v>
      </c>
      <c r="L612">
        <v>367.34550000000002</v>
      </c>
      <c r="M612">
        <v>0.99974509999999905</v>
      </c>
      <c r="N612">
        <v>0</v>
      </c>
      <c r="O612">
        <v>1.611922E-2</v>
      </c>
      <c r="P612">
        <v>0.99828819999999996</v>
      </c>
      <c r="Q612">
        <v>3.2754829999999999E-2</v>
      </c>
      <c r="R612">
        <v>4.845497E-2</v>
      </c>
      <c r="S612">
        <v>3.013855</v>
      </c>
      <c r="T612">
        <v>-3.4887790000000002E-2</v>
      </c>
      <c r="U612">
        <v>-0.15863039999999901</v>
      </c>
      <c r="V612">
        <v>-3.2431870000000002E-2</v>
      </c>
      <c r="W612">
        <v>4.8491359999999997E-2</v>
      </c>
      <c r="X612">
        <v>0.99829690000000004</v>
      </c>
      <c r="Y612">
        <v>6.8647429999999995E-2</v>
      </c>
      <c r="Z612">
        <v>-5.8353129999999997E-4</v>
      </c>
      <c r="AA612">
        <v>0.99764079999999999</v>
      </c>
      <c r="AB612">
        <v>58</v>
      </c>
      <c r="AC612">
        <v>90.844200000000001</v>
      </c>
      <c r="AD612">
        <v>-1.054897795859</v>
      </c>
      <c r="AE612">
        <v>-4.8011999999999899</v>
      </c>
      <c r="AF612">
        <v>6.2642543764269796</v>
      </c>
      <c r="AG612">
        <v>-1.054897795859</v>
      </c>
      <c r="AH612">
        <v>90.742791131280299</v>
      </c>
      <c r="AI612">
        <v>90.664460306364205</v>
      </c>
      <c r="AJ612">
        <v>86.050961041881195</v>
      </c>
      <c r="AK612">
        <v>90.964871431489698</v>
      </c>
    </row>
    <row r="613" spans="1:37" x14ac:dyDescent="0.2">
      <c r="A613" t="str">
        <f>"20200111153415357"</f>
        <v>20200111153415357</v>
      </c>
      <c r="B613" t="str">
        <f>"1578728055346958"</f>
        <v>1578728055346958</v>
      </c>
      <c r="C613" t="s">
        <v>37</v>
      </c>
      <c r="D613">
        <v>4.8606569999999998</v>
      </c>
      <c r="E613">
        <v>0.53725579999999995</v>
      </c>
      <c r="F613" t="s">
        <v>46</v>
      </c>
      <c r="G613">
        <v>-203.08930000000001</v>
      </c>
      <c r="H613" s="1">
        <v>-3.52948899999999E-6</v>
      </c>
      <c r="I613">
        <v>362.68849999999998</v>
      </c>
      <c r="J613">
        <v>-292.11279999999999</v>
      </c>
      <c r="K613">
        <v>1.05487999999999</v>
      </c>
      <c r="L613">
        <v>367.35039999999998</v>
      </c>
      <c r="M613">
        <v>0.99974189999999996</v>
      </c>
      <c r="N613">
        <v>0</v>
      </c>
      <c r="O613">
        <v>1.633948E-2</v>
      </c>
      <c r="P613">
        <v>0.99827140000000003</v>
      </c>
      <c r="Q613">
        <v>3.2719379999999999E-2</v>
      </c>
      <c r="R613">
        <v>4.8824220000000002E-2</v>
      </c>
      <c r="S613">
        <v>3.013916</v>
      </c>
      <c r="T613">
        <v>-3.5594220000000003E-2</v>
      </c>
      <c r="U613">
        <v>-0.157135</v>
      </c>
      <c r="V613">
        <v>-3.258142E-2</v>
      </c>
      <c r="W613">
        <v>4.8442300000000001E-2</v>
      </c>
      <c r="X613">
        <v>0.99829449999999997</v>
      </c>
      <c r="Y613">
        <v>6.8372279999999994E-2</v>
      </c>
      <c r="Z613">
        <v>-5.9631799999999998E-4</v>
      </c>
      <c r="AA613">
        <v>0.99765969999999904</v>
      </c>
      <c r="AB613">
        <v>58</v>
      </c>
      <c r="AC613">
        <v>89.023499999999899</v>
      </c>
      <c r="AD613">
        <v>-1.05488352948899</v>
      </c>
      <c r="AE613">
        <v>-4.6619000000000002</v>
      </c>
      <c r="AF613">
        <v>6.1152001408869596</v>
      </c>
      <c r="AG613">
        <v>-1.05488352948899</v>
      </c>
      <c r="AH613">
        <v>88.922978469819299</v>
      </c>
      <c r="AI613">
        <v>90.678060338603501</v>
      </c>
      <c r="AJ613">
        <v>86.065984424064297</v>
      </c>
      <c r="AK613">
        <v>89.139242491552693</v>
      </c>
    </row>
    <row r="614" spans="1:37" x14ac:dyDescent="0.2">
      <c r="A614" t="str">
        <f>"20200111153415370"</f>
        <v>20200111153415370</v>
      </c>
      <c r="B614" t="str">
        <f>"1578728055367454"</f>
        <v>1578728055367454</v>
      </c>
      <c r="C614" t="s">
        <v>37</v>
      </c>
      <c r="D614">
        <v>4.8284390000000004</v>
      </c>
      <c r="E614">
        <v>0.53718719999999998</v>
      </c>
      <c r="F614" t="s">
        <v>46</v>
      </c>
      <c r="G614">
        <v>-202.73140000000001</v>
      </c>
      <c r="H614" s="1">
        <v>-3.342333E-6</v>
      </c>
      <c r="I614">
        <v>362.72039999999998</v>
      </c>
      <c r="J614">
        <v>-291.80290000000002</v>
      </c>
      <c r="K614">
        <v>1.054872</v>
      </c>
      <c r="L614">
        <v>367.35550000000001</v>
      </c>
      <c r="M614">
        <v>0.99973829999999997</v>
      </c>
      <c r="N614">
        <v>0</v>
      </c>
      <c r="O614">
        <v>1.6567950000000001E-2</v>
      </c>
      <c r="P614">
        <v>0.9982472</v>
      </c>
      <c r="Q614">
        <v>3.253267E-2</v>
      </c>
      <c r="R614">
        <v>4.9440850000000001E-2</v>
      </c>
      <c r="S614">
        <v>3.014008</v>
      </c>
      <c r="T614">
        <v>-3.5571459999999999E-2</v>
      </c>
      <c r="U614">
        <v>-0.15612789999999999</v>
      </c>
      <c r="V614">
        <v>-3.2969690000000003E-2</v>
      </c>
      <c r="W614">
        <v>4.8242260000000002E-2</v>
      </c>
      <c r="X614">
        <v>0.99829140000000005</v>
      </c>
      <c r="Y614">
        <v>6.8266240000000006E-2</v>
      </c>
      <c r="Z614">
        <v>-5.979933E-4</v>
      </c>
      <c r="AA614">
        <v>0.99766699999999997</v>
      </c>
      <c r="AB614">
        <v>58</v>
      </c>
      <c r="AC614">
        <v>89.0715</v>
      </c>
      <c r="AD614">
        <v>-1.054875342333</v>
      </c>
      <c r="AE614">
        <v>-4.63510000000002</v>
      </c>
      <c r="AF614">
        <v>6.1095248469580303</v>
      </c>
      <c r="AG614">
        <v>-1.054875342333</v>
      </c>
      <c r="AH614">
        <v>88.970022554202501</v>
      </c>
      <c r="AI614">
        <v>90.677701221157207</v>
      </c>
      <c r="AJ614">
        <v>86.071695722297903</v>
      </c>
      <c r="AK614">
        <v>89.185783447468594</v>
      </c>
    </row>
    <row r="615" spans="1:37" x14ac:dyDescent="0.2">
      <c r="A615" t="str">
        <f>"20200111153415382"</f>
        <v>20200111153415382</v>
      </c>
      <c r="B615" t="str">
        <f>"1578728055377213"</f>
        <v>1578728055377213</v>
      </c>
      <c r="C615" t="s">
        <v>37</v>
      </c>
      <c r="D615">
        <v>4.7796580000000004</v>
      </c>
      <c r="E615">
        <v>0.537159099999999</v>
      </c>
      <c r="F615" t="s">
        <v>46</v>
      </c>
      <c r="G615">
        <v>-204.6551</v>
      </c>
      <c r="H615" s="1">
        <v>-4.2685260000000002E-6</v>
      </c>
      <c r="I615">
        <v>362.9092</v>
      </c>
      <c r="J615">
        <v>-291.483</v>
      </c>
      <c r="K615">
        <v>1.0548660000000001</v>
      </c>
      <c r="L615">
        <v>367.36090000000002</v>
      </c>
      <c r="M615">
        <v>0.99973459999999903</v>
      </c>
      <c r="N615">
        <v>0</v>
      </c>
      <c r="O615">
        <v>1.68034E-2</v>
      </c>
      <c r="P615">
        <v>0.99824059999999903</v>
      </c>
      <c r="Q615">
        <v>3.208544E-2</v>
      </c>
      <c r="R615">
        <v>4.9864169999999999E-2</v>
      </c>
      <c r="S615">
        <v>3.0140380000000002</v>
      </c>
      <c r="T615">
        <v>-3.6483290000000002E-2</v>
      </c>
      <c r="U615">
        <v>-0.1537781</v>
      </c>
      <c r="V615">
        <v>-3.3157029999999997E-2</v>
      </c>
      <c r="W615">
        <v>4.7781690000000002E-2</v>
      </c>
      <c r="X615">
        <v>0.99830730000000001</v>
      </c>
      <c r="Y615">
        <v>6.7724619999999999E-2</v>
      </c>
      <c r="Z615">
        <v>-6.128997E-4</v>
      </c>
      <c r="AA615">
        <v>0.99770389999999998</v>
      </c>
      <c r="AB615">
        <v>58</v>
      </c>
      <c r="AC615">
        <v>86.8279</v>
      </c>
      <c r="AD615">
        <v>-1.0548702685260001</v>
      </c>
      <c r="AE615">
        <v>-4.4517000000000104</v>
      </c>
      <c r="AF615">
        <v>5.9093865551868996</v>
      </c>
      <c r="AG615">
        <v>-1.0548702685260001</v>
      </c>
      <c r="AH615">
        <v>86.728057689566597</v>
      </c>
      <c r="AI615">
        <v>90.695240308244294</v>
      </c>
      <c r="AJ615">
        <v>86.102064321918604</v>
      </c>
      <c r="AK615">
        <v>86.935548490515899</v>
      </c>
    </row>
    <row r="616" spans="1:37" x14ac:dyDescent="0.2">
      <c r="A616" t="str">
        <f>"20200111153415393"</f>
        <v>20200111153415393</v>
      </c>
      <c r="B616" t="str">
        <f>"1578728055386973"</f>
        <v>1578728055386973</v>
      </c>
      <c r="C616" t="s">
        <v>37</v>
      </c>
      <c r="D616">
        <v>4.7912970000000001</v>
      </c>
      <c r="E616">
        <v>0.53711750000000003</v>
      </c>
      <c r="F616" t="s">
        <v>46</v>
      </c>
      <c r="G616">
        <v>-207.0652</v>
      </c>
      <c r="H616" s="1">
        <v>-5.3213929999999996E-6</v>
      </c>
      <c r="I616">
        <v>363.09410000000003</v>
      </c>
      <c r="J616">
        <v>-291.18700000000001</v>
      </c>
      <c r="K616">
        <v>1.054864</v>
      </c>
      <c r="L616">
        <v>367.36590000000001</v>
      </c>
      <c r="M616">
        <v>0.99973099999999904</v>
      </c>
      <c r="N616">
        <v>0</v>
      </c>
      <c r="O616">
        <v>1.7021069999999999E-2</v>
      </c>
      <c r="P616">
        <v>0.99822339999999998</v>
      </c>
      <c r="Q616">
        <v>3.1889830000000001E-2</v>
      </c>
      <c r="R616">
        <v>5.0334039999999997E-2</v>
      </c>
      <c r="S616">
        <v>3.0140689999999899</v>
      </c>
      <c r="T616">
        <v>-3.7663339999999997E-2</v>
      </c>
      <c r="U616">
        <v>-0.152343799999999</v>
      </c>
      <c r="V616">
        <v>-3.3409179999999997E-2</v>
      </c>
      <c r="W616">
        <v>4.757546E-2</v>
      </c>
      <c r="X616">
        <v>0.9983088</v>
      </c>
      <c r="Y616">
        <v>6.7467369999999999E-2</v>
      </c>
      <c r="Z616">
        <v>-6.3383600000000003E-4</v>
      </c>
      <c r="AA616">
        <v>0.99772129999999903</v>
      </c>
      <c r="AB616">
        <v>58</v>
      </c>
      <c r="AC616">
        <v>84.121799999999993</v>
      </c>
      <c r="AD616">
        <v>-1.054869321393</v>
      </c>
      <c r="AE616">
        <v>-4.2717999999999803</v>
      </c>
      <c r="AF616">
        <v>5.7023074142619796</v>
      </c>
      <c r="AG616">
        <v>-1.054869321393</v>
      </c>
      <c r="AH616">
        <v>84.023712281296199</v>
      </c>
      <c r="AI616">
        <v>90.717627206193796</v>
      </c>
      <c r="AJ616">
        <v>86.117549079000497</v>
      </c>
      <c r="AK616">
        <v>84.223591022123998</v>
      </c>
    </row>
    <row r="617" spans="1:37" x14ac:dyDescent="0.2">
      <c r="A617" t="str">
        <f>"20200111153415405"</f>
        <v>20200111153415405</v>
      </c>
      <c r="B617" t="str">
        <f>"1578728055396733"</f>
        <v>1578728055396733</v>
      </c>
      <c r="C617" t="s">
        <v>37</v>
      </c>
      <c r="D617">
        <v>4.7992559999999997</v>
      </c>
      <c r="E617">
        <v>0.53712409999999999</v>
      </c>
      <c r="F617" t="s">
        <v>46</v>
      </c>
      <c r="G617">
        <v>-207.8005</v>
      </c>
      <c r="H617" s="1">
        <v>-5.5501249999999997E-6</v>
      </c>
      <c r="I617">
        <v>363.2054</v>
      </c>
      <c r="J617">
        <v>-290.88690000000003</v>
      </c>
      <c r="K617">
        <v>1.0548599999999999</v>
      </c>
      <c r="L617">
        <v>367.37110000000001</v>
      </c>
      <c r="M617">
        <v>0.99972749999999999</v>
      </c>
      <c r="N617">
        <v>0</v>
      </c>
      <c r="O617">
        <v>1.7240390000000001E-2</v>
      </c>
      <c r="P617">
        <v>0.99821309999999996</v>
      </c>
      <c r="Q617">
        <v>3.1759969999999998E-2</v>
      </c>
      <c r="R617">
        <v>5.0620209999999999E-2</v>
      </c>
      <c r="S617">
        <v>3.01412999999999</v>
      </c>
      <c r="T617">
        <v>-3.812981E-2</v>
      </c>
      <c r="U617">
        <v>-0.15039059999999899</v>
      </c>
      <c r="V617">
        <v>-3.3475570000000003E-2</v>
      </c>
      <c r="W617">
        <v>4.7434940000000002E-2</v>
      </c>
      <c r="X617">
        <v>0.99831320000000001</v>
      </c>
      <c r="Y617">
        <v>6.7040180000000005E-2</v>
      </c>
      <c r="Z617">
        <v>-6.4175549999999999E-4</v>
      </c>
      <c r="AA617">
        <v>0.99775000000000003</v>
      </c>
      <c r="AB617">
        <v>58</v>
      </c>
      <c r="AC617">
        <v>83.086399999999998</v>
      </c>
      <c r="AD617">
        <v>-1.0548655501249999</v>
      </c>
      <c r="AE617">
        <v>-4.16570000000001</v>
      </c>
      <c r="AF617">
        <v>5.5968002113168698</v>
      </c>
      <c r="AG617">
        <v>-1.0548655501249999</v>
      </c>
      <c r="AH617">
        <v>82.988877584929099</v>
      </c>
      <c r="AI617">
        <v>90.726592948203404</v>
      </c>
      <c r="AJ617">
        <v>86.141793929392307</v>
      </c>
      <c r="AK617">
        <v>83.184077302934497</v>
      </c>
    </row>
    <row r="618" spans="1:37" x14ac:dyDescent="0.2">
      <c r="A618" t="str">
        <f>"20200111153415416"</f>
        <v>20200111153415416</v>
      </c>
      <c r="B618" t="str">
        <f>"1578728055407469"</f>
        <v>1578728055407469</v>
      </c>
      <c r="C618" t="s">
        <v>37</v>
      </c>
      <c r="D618">
        <v>4.8397829999999997</v>
      </c>
      <c r="E618">
        <v>0.53710440000000004</v>
      </c>
      <c r="F618" t="s">
        <v>46</v>
      </c>
      <c r="G618">
        <v>-208.0197</v>
      </c>
      <c r="H618" s="1">
        <v>-5.6165459999999902E-6</v>
      </c>
      <c r="I618">
        <v>363.25</v>
      </c>
      <c r="J618">
        <v>-290.5883</v>
      </c>
      <c r="K618">
        <v>1.054859</v>
      </c>
      <c r="L618">
        <v>367.37630000000001</v>
      </c>
      <c r="M618">
        <v>0.9997239</v>
      </c>
      <c r="N618">
        <v>0</v>
      </c>
      <c r="O618">
        <v>1.7457980000000001E-2</v>
      </c>
      <c r="P618">
        <v>0.99821309999999996</v>
      </c>
      <c r="Q618">
        <v>3.1474009999999997E-2</v>
      </c>
      <c r="R618">
        <v>5.0796689999999999E-2</v>
      </c>
      <c r="S618">
        <v>3.0141909999999998</v>
      </c>
      <c r="T618">
        <v>-3.8369420000000001E-2</v>
      </c>
      <c r="U618">
        <v>-0.14990229999999999</v>
      </c>
      <c r="V618">
        <v>-3.3434140000000001E-2</v>
      </c>
      <c r="W618">
        <v>4.7139639999999997E-2</v>
      </c>
      <c r="X618">
        <v>0.99832860000000001</v>
      </c>
      <c r="Y618">
        <v>6.7095000000000002E-2</v>
      </c>
      <c r="Z618">
        <v>-6.4889489999999999E-4</v>
      </c>
      <c r="AA618">
        <v>0.99774640000000003</v>
      </c>
      <c r="AB618">
        <v>58</v>
      </c>
      <c r="AC618">
        <v>82.568600000000004</v>
      </c>
      <c r="AD618">
        <v>-1.0548646165459901</v>
      </c>
      <c r="AE618">
        <v>-4.1263000000000103</v>
      </c>
      <c r="AF618">
        <v>5.5664239898741004</v>
      </c>
      <c r="AG618">
        <v>-1.0548646165459901</v>
      </c>
      <c r="AH618">
        <v>82.470540475207699</v>
      </c>
      <c r="AI618">
        <v>90.731155802464798</v>
      </c>
      <c r="AJ618">
        <v>86.138625997065603</v>
      </c>
      <c r="AK618">
        <v>82.664913123205807</v>
      </c>
    </row>
    <row r="619" spans="1:37" x14ac:dyDescent="0.2">
      <c r="A619" t="str">
        <f>"20200111153415428"</f>
        <v>20200111153415428</v>
      </c>
      <c r="B619" t="str">
        <f>"1578728055417230"</f>
        <v>1578728055417230</v>
      </c>
      <c r="C619" t="s">
        <v>37</v>
      </c>
      <c r="D619">
        <v>4.8226170000000002</v>
      </c>
      <c r="E619">
        <v>0.53709839999999998</v>
      </c>
      <c r="F619" t="s">
        <v>39</v>
      </c>
      <c r="G619">
        <v>-210.1131</v>
      </c>
      <c r="H619" s="1">
        <v>-5.3276940000000001E-6</v>
      </c>
      <c r="I619">
        <v>363.3929</v>
      </c>
      <c r="J619">
        <v>-290.28620000000001</v>
      </c>
      <c r="K619">
        <v>1.0548569999999999</v>
      </c>
      <c r="L619">
        <v>367.38170000000002</v>
      </c>
      <c r="M619">
        <v>0.999720099999999</v>
      </c>
      <c r="N619">
        <v>0</v>
      </c>
      <c r="O619">
        <v>1.7673870000000001E-2</v>
      </c>
      <c r="P619">
        <v>0.99820569999999897</v>
      </c>
      <c r="Q619">
        <v>3.1470850000000002E-2</v>
      </c>
      <c r="R619">
        <v>5.0942000000000001E-2</v>
      </c>
      <c r="S619">
        <v>3.0142519999999999</v>
      </c>
      <c r="T619">
        <v>-3.9510610000000002E-2</v>
      </c>
      <c r="U619">
        <v>-0.14920039999999901</v>
      </c>
      <c r="V619">
        <v>-3.3363240000000002E-2</v>
      </c>
      <c r="W619">
        <v>4.7127250000000002E-2</v>
      </c>
      <c r="X619">
        <v>0.99833150000000004</v>
      </c>
      <c r="Y619">
        <v>6.7077269999999994E-2</v>
      </c>
      <c r="Z619">
        <v>-6.7089549999999997E-4</v>
      </c>
      <c r="AA619">
        <v>0.99774750000000001</v>
      </c>
      <c r="AB619">
        <v>58</v>
      </c>
      <c r="AC619">
        <v>80.173100000000005</v>
      </c>
      <c r="AD619">
        <v>-1.0548623276939999</v>
      </c>
      <c r="AE619">
        <v>-3.9888000000000199</v>
      </c>
      <c r="AF619">
        <v>5.4043877729313099</v>
      </c>
      <c r="AG619">
        <v>-1.0548623276939999</v>
      </c>
      <c r="AH619">
        <v>80.076239853790895</v>
      </c>
      <c r="AI619">
        <v>90.753013710754999</v>
      </c>
      <c r="AJ619">
        <v>86.138932788546995</v>
      </c>
      <c r="AK619">
        <v>80.265337044408199</v>
      </c>
    </row>
    <row r="620" spans="1:37" x14ac:dyDescent="0.2">
      <c r="A620" t="str">
        <f>"20200111153415442"</f>
        <v>20200111153415442</v>
      </c>
      <c r="B620" t="str">
        <f>"1578728055436750"</f>
        <v>1578728055436750</v>
      </c>
      <c r="C620" t="s">
        <v>37</v>
      </c>
      <c r="D620">
        <v>4.8440180000000002</v>
      </c>
      <c r="E620">
        <v>0.53711299999999995</v>
      </c>
      <c r="F620" t="s">
        <v>39</v>
      </c>
      <c r="G620">
        <v>-210.17910000000001</v>
      </c>
      <c r="H620" s="1">
        <v>-5.2919010000000003E-6</v>
      </c>
      <c r="I620">
        <v>363.43520000000001</v>
      </c>
      <c r="J620">
        <v>-289.93119999999999</v>
      </c>
      <c r="K620">
        <v>1.0548469999999901</v>
      </c>
      <c r="L620">
        <v>367.38799999999998</v>
      </c>
      <c r="M620">
        <v>0.99971589999999999</v>
      </c>
      <c r="N620">
        <v>0</v>
      </c>
      <c r="O620">
        <v>1.7923459999999999E-2</v>
      </c>
      <c r="P620">
        <v>0.99819690000000005</v>
      </c>
      <c r="Q620">
        <v>3.1229090000000001E-2</v>
      </c>
      <c r="R620">
        <v>5.1261139999999997E-2</v>
      </c>
      <c r="S620">
        <v>3.014221</v>
      </c>
      <c r="T620">
        <v>-3.9691690000000002E-2</v>
      </c>
      <c r="U620">
        <v>-0.14849849999999901</v>
      </c>
      <c r="V620">
        <v>-3.3432190000000001E-2</v>
      </c>
      <c r="W620">
        <v>4.6875760000000002E-2</v>
      </c>
      <c r="X620">
        <v>0.99834109999999998</v>
      </c>
      <c r="Y620">
        <v>6.7095000000000002E-2</v>
      </c>
      <c r="Z620">
        <v>-6.7738249999999998E-4</v>
      </c>
      <c r="AA620">
        <v>0.99774629999999997</v>
      </c>
      <c r="AB620">
        <v>58</v>
      </c>
      <c r="AC620">
        <v>79.752099999999899</v>
      </c>
      <c r="AD620">
        <v>-1.0548522919009999</v>
      </c>
      <c r="AE620">
        <v>-3.9528000000000199</v>
      </c>
      <c r="AF620">
        <v>5.38083588298589</v>
      </c>
      <c r="AG620">
        <v>-1.0548522919009999</v>
      </c>
      <c r="AH620">
        <v>79.654528076913905</v>
      </c>
      <c r="AI620">
        <v>90.756989561444399</v>
      </c>
      <c r="AJ620">
        <v>86.135417280042006</v>
      </c>
      <c r="AK620">
        <v>79.843033204614798</v>
      </c>
    </row>
    <row r="621" spans="1:37" x14ac:dyDescent="0.2">
      <c r="A621" t="str">
        <f>"20200111153415457"</f>
        <v>20200111153415457</v>
      </c>
      <c r="B621" t="str">
        <f>"1578728055446510"</f>
        <v>1578728055446510</v>
      </c>
      <c r="C621" t="s">
        <v>37</v>
      </c>
      <c r="D621">
        <v>4.8519119999999996</v>
      </c>
      <c r="E621">
        <v>0.53711350000000002</v>
      </c>
      <c r="F621" t="s">
        <v>39</v>
      </c>
      <c r="G621">
        <v>-210.23830000000001</v>
      </c>
      <c r="H621" s="1">
        <v>-5.25804899999999E-6</v>
      </c>
      <c r="I621">
        <v>363.48289999999997</v>
      </c>
      <c r="J621">
        <v>-289.55079999999998</v>
      </c>
      <c r="K621">
        <v>1.054845</v>
      </c>
      <c r="L621">
        <v>367.39499999999998</v>
      </c>
      <c r="M621">
        <v>0.99971129999999997</v>
      </c>
      <c r="N621">
        <v>0</v>
      </c>
      <c r="O621">
        <v>1.8182299999999998E-2</v>
      </c>
      <c r="P621">
        <v>0.99818929999999995</v>
      </c>
      <c r="Q621">
        <v>3.153429E-2</v>
      </c>
      <c r="R621">
        <v>5.1221870000000003E-2</v>
      </c>
      <c r="S621">
        <v>3.0142519999999999</v>
      </c>
      <c r="T621">
        <v>-3.9898040000000003E-2</v>
      </c>
      <c r="U621">
        <v>-0.14770510000000001</v>
      </c>
      <c r="V621">
        <v>-3.3134190000000001E-2</v>
      </c>
      <c r="W621">
        <v>4.7171079999999997E-2</v>
      </c>
      <c r="X621">
        <v>0.99833709999999898</v>
      </c>
      <c r="Y621">
        <v>6.7090730000000001E-2</v>
      </c>
      <c r="Z621">
        <v>-6.8429750000000001E-4</v>
      </c>
      <c r="AA621">
        <v>0.99774660000000004</v>
      </c>
      <c r="AB621">
        <v>58</v>
      </c>
      <c r="AC621">
        <v>79.312499999999901</v>
      </c>
      <c r="AD621">
        <v>-1.054850258049</v>
      </c>
      <c r="AE621">
        <v>-3.9121000000000001</v>
      </c>
      <c r="AF621">
        <v>5.35277017940916</v>
      </c>
      <c r="AG621">
        <v>-1.054850258049</v>
      </c>
      <c r="AH621">
        <v>79.214267684777198</v>
      </c>
      <c r="AI621">
        <v>90.761193746458602</v>
      </c>
      <c r="AJ621">
        <v>86.134211371233604</v>
      </c>
      <c r="AK621">
        <v>79.401921025224695</v>
      </c>
    </row>
    <row r="622" spans="1:37" x14ac:dyDescent="0.2">
      <c r="A622" t="str">
        <f>"20200111153415469"</f>
        <v>20200111153415469</v>
      </c>
      <c r="B622" t="str">
        <f>"1578728055467006"</f>
        <v>1578728055467006</v>
      </c>
      <c r="C622" t="s">
        <v>37</v>
      </c>
      <c r="D622">
        <v>4.8182029999999996</v>
      </c>
      <c r="E622">
        <v>0.53713259999999996</v>
      </c>
      <c r="F622" t="s">
        <v>46</v>
      </c>
      <c r="G622">
        <v>-207.6191</v>
      </c>
      <c r="H622" s="1">
        <v>-5.463414E-6</v>
      </c>
      <c r="I622">
        <v>363.37189999999998</v>
      </c>
      <c r="J622">
        <v>-289.23129999999998</v>
      </c>
      <c r="K622">
        <v>1.054837</v>
      </c>
      <c r="L622">
        <v>367.4008</v>
      </c>
      <c r="M622">
        <v>0.99970759999999903</v>
      </c>
      <c r="N622">
        <v>0</v>
      </c>
      <c r="O622">
        <v>1.8388999999999999E-2</v>
      </c>
      <c r="P622">
        <v>0.99817849999999997</v>
      </c>
      <c r="Q622">
        <v>3.1604159999999999E-2</v>
      </c>
      <c r="R622">
        <v>5.1389699999999899E-2</v>
      </c>
      <c r="S622">
        <v>3.0142519999999999</v>
      </c>
      <c r="T622">
        <v>-3.8807750000000002E-2</v>
      </c>
      <c r="U622">
        <v>-0.14801029999999901</v>
      </c>
      <c r="V622">
        <v>-3.3094579999999998E-2</v>
      </c>
      <c r="W622">
        <v>4.7233940000000002E-2</v>
      </c>
      <c r="X622">
        <v>0.99833549999999904</v>
      </c>
      <c r="Y622">
        <v>6.7398150000000004E-2</v>
      </c>
      <c r="Z622">
        <v>-6.7023560000000002E-4</v>
      </c>
      <c r="AA622">
        <v>0.997726</v>
      </c>
      <c r="AB622">
        <v>58</v>
      </c>
      <c r="AC622">
        <v>81.612199999999902</v>
      </c>
      <c r="AD622">
        <v>-1.0548424634139999</v>
      </c>
      <c r="AE622">
        <v>-4.0289000000000197</v>
      </c>
      <c r="AF622">
        <v>5.5282490830650302</v>
      </c>
      <c r="AG622">
        <v>-1.0548424634139999</v>
      </c>
      <c r="AH622">
        <v>81.510716209899499</v>
      </c>
      <c r="AI622">
        <v>90.739732733248104</v>
      </c>
      <c r="AJ622">
        <v>86.1200069322567</v>
      </c>
      <c r="AK622">
        <v>81.704780078021201</v>
      </c>
    </row>
    <row r="623" spans="1:37" x14ac:dyDescent="0.2">
      <c r="A623" t="str">
        <f>"20200111153415482"</f>
        <v>20200111153415482</v>
      </c>
      <c r="B623" t="str">
        <f>"1578728055476765"</f>
        <v>1578728055476765</v>
      </c>
      <c r="C623" t="s">
        <v>37</v>
      </c>
      <c r="D623">
        <v>4.8587509999999998</v>
      </c>
      <c r="E623">
        <v>0.53714810000000002</v>
      </c>
      <c r="F623" t="s">
        <v>46</v>
      </c>
      <c r="G623">
        <v>-205.88509999999999</v>
      </c>
      <c r="H623" s="1">
        <v>-4.7623229999999997E-6</v>
      </c>
      <c r="I623">
        <v>363.32440000000003</v>
      </c>
      <c r="J623">
        <v>-288.89839999999998</v>
      </c>
      <c r="K623">
        <v>1.0548280000000001</v>
      </c>
      <c r="L623">
        <v>367.40699999999998</v>
      </c>
      <c r="M623">
        <v>0.99970389999999998</v>
      </c>
      <c r="N623">
        <v>0</v>
      </c>
      <c r="O623">
        <v>1.8597269999999999E-2</v>
      </c>
      <c r="P623">
        <v>0.99816849999999901</v>
      </c>
      <c r="Q623">
        <v>3.1287710000000003E-2</v>
      </c>
      <c r="R623">
        <v>5.1777980000000001E-2</v>
      </c>
      <c r="S623">
        <v>3.014313</v>
      </c>
      <c r="T623">
        <v>-3.8149599999999999E-2</v>
      </c>
      <c r="U623">
        <v>-0.14743039999999999</v>
      </c>
      <c r="V623">
        <v>-3.3273129999999998E-2</v>
      </c>
      <c r="W623">
        <v>4.6910060000000003E-2</v>
      </c>
      <c r="X623">
        <v>0.99834480000000003</v>
      </c>
      <c r="Y623">
        <v>6.7413760000000003E-2</v>
      </c>
      <c r="Z623">
        <v>-6.6159279999999997E-4</v>
      </c>
      <c r="AA623">
        <v>0.99772490000000003</v>
      </c>
      <c r="AB623">
        <v>58</v>
      </c>
      <c r="AC623">
        <v>83.013299999999902</v>
      </c>
      <c r="AD623">
        <v>-1.0548327623230001</v>
      </c>
      <c r="AE623">
        <v>-4.0825999999999496</v>
      </c>
      <c r="AF623">
        <v>5.6249986035586304</v>
      </c>
      <c r="AG623">
        <v>-1.0548327623230001</v>
      </c>
      <c r="AH623">
        <v>82.909650726533997</v>
      </c>
      <c r="AI623">
        <v>90.727244779733695</v>
      </c>
      <c r="AJ623">
        <v>86.118720232917696</v>
      </c>
      <c r="AK623">
        <v>83.1069399330908</v>
      </c>
    </row>
    <row r="624" spans="1:37" x14ac:dyDescent="0.2">
      <c r="A624" t="str">
        <f>"20200111153415495"</f>
        <v>20200111153415495</v>
      </c>
      <c r="B624" t="str">
        <f>"1578728055486526"</f>
        <v>1578728055486526</v>
      </c>
      <c r="C624" t="s">
        <v>37</v>
      </c>
      <c r="D624">
        <v>4.8334779999999897</v>
      </c>
      <c r="E624">
        <v>0.53716929999999996</v>
      </c>
      <c r="F624" t="s">
        <v>46</v>
      </c>
      <c r="G624">
        <v>-207.11170000000001</v>
      </c>
      <c r="H624" s="1">
        <v>-5.2847389999999996E-6</v>
      </c>
      <c r="I624">
        <v>363.42840000000001</v>
      </c>
      <c r="J624">
        <v>-288.56830000000002</v>
      </c>
      <c r="K624">
        <v>1.0548219999999999</v>
      </c>
      <c r="L624">
        <v>367.41320000000002</v>
      </c>
      <c r="M624">
        <v>0.99970049999999899</v>
      </c>
      <c r="N624">
        <v>0</v>
      </c>
      <c r="O624">
        <v>1.8790930000000001E-2</v>
      </c>
      <c r="P624">
        <v>0.99816659999999902</v>
      </c>
      <c r="Q624">
        <v>3.0781820000000001E-2</v>
      </c>
      <c r="R624">
        <v>5.2116120000000002E-2</v>
      </c>
      <c r="S624">
        <v>3.0143430000000002</v>
      </c>
      <c r="T624">
        <v>-3.8877130000000003E-2</v>
      </c>
      <c r="U624">
        <v>-0.14663699999999999</v>
      </c>
      <c r="V624">
        <v>-3.3414840000000001E-2</v>
      </c>
      <c r="W624">
        <v>4.6398019999999998E-2</v>
      </c>
      <c r="X624">
        <v>0.99836399999999903</v>
      </c>
      <c r="Y624">
        <v>6.7344260000000003E-2</v>
      </c>
      <c r="Z624">
        <v>-6.7625490000000003E-4</v>
      </c>
      <c r="AA624">
        <v>0.99772950000000005</v>
      </c>
      <c r="AB624">
        <v>58</v>
      </c>
      <c r="AC624">
        <v>81.456599999999995</v>
      </c>
      <c r="AD624">
        <v>-1.0548272847389999</v>
      </c>
      <c r="AE624">
        <v>-3.9847999999999999</v>
      </c>
      <c r="AF624">
        <v>5.5140072358355496</v>
      </c>
      <c r="AG624">
        <v>-1.0548272847389999</v>
      </c>
      <c r="AH624">
        <v>81.353717037951199</v>
      </c>
      <c r="AI624">
        <v>90.741151681207299</v>
      </c>
      <c r="AJ624">
        <v>86.122526386432398</v>
      </c>
      <c r="AK624">
        <v>81.547190094377299</v>
      </c>
    </row>
    <row r="625" spans="1:37" x14ac:dyDescent="0.2">
      <c r="A625" t="str">
        <f>"20200111153415507"</f>
        <v>20200111153415507</v>
      </c>
      <c r="B625" t="str">
        <f>"1578728055497262"</f>
        <v>1578728055497262</v>
      </c>
      <c r="C625" t="s">
        <v>37</v>
      </c>
      <c r="D625">
        <v>4.8490190000000002</v>
      </c>
      <c r="E625">
        <v>0.53716929999999996</v>
      </c>
      <c r="F625" t="s">
        <v>46</v>
      </c>
      <c r="G625">
        <v>-209.2501</v>
      </c>
      <c r="H625" s="1">
        <v>-5.9768059999999998E-6</v>
      </c>
      <c r="I625">
        <v>363.5804</v>
      </c>
      <c r="J625">
        <v>-288.25369999999998</v>
      </c>
      <c r="K625">
        <v>1.0548109999999999</v>
      </c>
      <c r="L625">
        <v>367.41919999999999</v>
      </c>
      <c r="M625">
        <v>0.99969739999999996</v>
      </c>
      <c r="N625">
        <v>0</v>
      </c>
      <c r="O625">
        <v>1.8960290000000001E-2</v>
      </c>
      <c r="P625">
        <v>0.99816009999999999</v>
      </c>
      <c r="Q625">
        <v>3.0314319999999999E-2</v>
      </c>
      <c r="R625">
        <v>5.2513770000000001E-2</v>
      </c>
      <c r="S625">
        <v>3.0143740000000001</v>
      </c>
      <c r="T625">
        <v>-4.008722E-2</v>
      </c>
      <c r="U625">
        <v>-0.1456604</v>
      </c>
      <c r="V625">
        <v>-3.3640749999999997E-2</v>
      </c>
      <c r="W625">
        <v>4.5925019999999997E-2</v>
      </c>
      <c r="X625">
        <v>0.99837830000000005</v>
      </c>
      <c r="Y625">
        <v>6.7189869999999999E-2</v>
      </c>
      <c r="Z625">
        <v>-6.9852580000000003E-4</v>
      </c>
      <c r="AA625">
        <v>0.99773999999999996</v>
      </c>
      <c r="AB625">
        <v>58</v>
      </c>
      <c r="AC625">
        <v>79.003599999999906</v>
      </c>
      <c r="AD625">
        <v>-1.0548169768060001</v>
      </c>
      <c r="AE625">
        <v>-3.8387999999999902</v>
      </c>
      <c r="AF625">
        <v>5.3352760766281699</v>
      </c>
      <c r="AG625">
        <v>-1.0548169768060001</v>
      </c>
      <c r="AH625">
        <v>78.902568674034598</v>
      </c>
      <c r="AI625">
        <v>90.764173999114902</v>
      </c>
      <c r="AJ625">
        <v>86.131631910614402</v>
      </c>
      <c r="AK625">
        <v>79.089779068025805</v>
      </c>
    </row>
    <row r="626" spans="1:37" x14ac:dyDescent="0.2">
      <c r="A626" t="str">
        <f>"20200111153415520"</f>
        <v>20200111153415520</v>
      </c>
      <c r="B626" t="str">
        <f>"1578728055516782"</f>
        <v>1578728055516782</v>
      </c>
      <c r="C626" t="s">
        <v>37</v>
      </c>
      <c r="D626">
        <v>4.7643459999999997</v>
      </c>
      <c r="E626">
        <v>0.51389419999999997</v>
      </c>
      <c r="F626" t="s">
        <v>39</v>
      </c>
      <c r="G626">
        <v>-211.4376</v>
      </c>
      <c r="H626" s="1">
        <v>-4.699052E-6</v>
      </c>
      <c r="I626">
        <v>363.73379999999997</v>
      </c>
      <c r="J626">
        <v>-287.93650000000002</v>
      </c>
      <c r="K626">
        <v>1.054799</v>
      </c>
      <c r="L626">
        <v>367.42520000000002</v>
      </c>
      <c r="M626">
        <v>0.99969439999999998</v>
      </c>
      <c r="N626">
        <v>0</v>
      </c>
      <c r="O626">
        <v>1.9122759999999999E-2</v>
      </c>
      <c r="P626">
        <v>0.99815180000000003</v>
      </c>
      <c r="Q626">
        <v>3.0021499999999899E-2</v>
      </c>
      <c r="R626">
        <v>5.283852E-2</v>
      </c>
      <c r="S626">
        <v>3.01443499999999</v>
      </c>
      <c r="T626">
        <v>-4.1393279999999998E-2</v>
      </c>
      <c r="U626">
        <v>-0.1446228</v>
      </c>
      <c r="V626">
        <v>-3.3800690000000001E-2</v>
      </c>
      <c r="W626">
        <v>4.562683E-2</v>
      </c>
      <c r="X626">
        <v>0.99838660000000001</v>
      </c>
      <c r="Y626">
        <v>6.7007899999999995E-2</v>
      </c>
      <c r="Z626">
        <v>-7.2225449999999895E-4</v>
      </c>
      <c r="AA626">
        <v>0.99775219999999898</v>
      </c>
      <c r="AB626">
        <v>58</v>
      </c>
      <c r="AC626">
        <v>76.498900000000006</v>
      </c>
      <c r="AD626">
        <v>-1.054803699052</v>
      </c>
      <c r="AE626">
        <v>-3.6914000000000402</v>
      </c>
      <c r="AF626">
        <v>5.1527971032841</v>
      </c>
      <c r="AG626">
        <v>-1.054803699052</v>
      </c>
      <c r="AH626">
        <v>76.3998182488493</v>
      </c>
      <c r="AI626">
        <v>90.789203411480202</v>
      </c>
      <c r="AJ626">
        <v>86.141521095018206</v>
      </c>
      <c r="AK626">
        <v>76.580651324524197</v>
      </c>
    </row>
    <row r="627" spans="1:37" x14ac:dyDescent="0.2">
      <c r="A627" t="str">
        <f>"20200111153415532"</f>
        <v>20200111153415532</v>
      </c>
      <c r="B627" t="str">
        <f>"1578728055526542"</f>
        <v>1578728055526542</v>
      </c>
      <c r="C627" t="s">
        <v>37</v>
      </c>
      <c r="D627">
        <v>4.883966</v>
      </c>
      <c r="E627">
        <v>0.50680990000000004</v>
      </c>
      <c r="F627" t="s">
        <v>39</v>
      </c>
      <c r="G627">
        <v>-256.72309999999999</v>
      </c>
      <c r="H627" s="1">
        <v>-1.7042469999999999E-6</v>
      </c>
      <c r="I627">
        <v>367.83390000000003</v>
      </c>
      <c r="J627">
        <v>-287.59449999999998</v>
      </c>
      <c r="K627">
        <v>1.0547839999999999</v>
      </c>
      <c r="L627">
        <v>367.43189999999998</v>
      </c>
      <c r="M627">
        <v>0.99969169999999996</v>
      </c>
      <c r="N627">
        <v>0</v>
      </c>
      <c r="O627">
        <v>1.927127E-2</v>
      </c>
      <c r="P627">
        <v>0.99815769999999904</v>
      </c>
      <c r="Q627">
        <v>2.9681409999999998E-2</v>
      </c>
      <c r="R627">
        <v>5.2916879999999999E-2</v>
      </c>
      <c r="S627">
        <v>3.0065309999999998</v>
      </c>
      <c r="T627">
        <v>-0.1016003</v>
      </c>
      <c r="U627">
        <v>3.9367680000000002E-2</v>
      </c>
      <c r="V627">
        <v>-3.3726949999999999E-2</v>
      </c>
      <c r="W627">
        <v>4.5282910000000003E-2</v>
      </c>
      <c r="X627">
        <v>0.99840469999999903</v>
      </c>
      <c r="Y627">
        <v>6.1669659999999899E-3</v>
      </c>
      <c r="Z627">
        <v>-7.5522039999999897E-4</v>
      </c>
      <c r="AA627">
        <v>0.99998069999999895</v>
      </c>
      <c r="AB627">
        <v>57</v>
      </c>
      <c r="AC627">
        <v>30.871399999999898</v>
      </c>
      <c r="AD627">
        <v>-1.0547857042469999</v>
      </c>
      <c r="AE627">
        <v>0.40200000000004299</v>
      </c>
      <c r="AF627">
        <v>0.19285358964559901</v>
      </c>
      <c r="AG627">
        <v>-1.0547857042469999</v>
      </c>
      <c r="AH627">
        <v>30.837420342704998</v>
      </c>
      <c r="AI627">
        <v>91.958984758039406</v>
      </c>
      <c r="AJ627">
        <v>89.641683624110598</v>
      </c>
      <c r="AK627">
        <v>30.8560570841707</v>
      </c>
    </row>
    <row r="628" spans="1:37" x14ac:dyDescent="0.2">
      <c r="A628" t="str">
        <f>"20200111153415546"</f>
        <v>20200111153415546</v>
      </c>
      <c r="B628" t="str">
        <f>"1578728055537277"</f>
        <v>1578728055537277</v>
      </c>
      <c r="C628" t="s">
        <v>37</v>
      </c>
      <c r="D628">
        <v>4.8399070000000002</v>
      </c>
      <c r="E628">
        <v>0.50254319999999997</v>
      </c>
      <c r="F628" t="s">
        <v>39</v>
      </c>
      <c r="G628">
        <v>-257.92649999999998</v>
      </c>
      <c r="H628" s="1">
        <v>-1.0916540000000001E-6</v>
      </c>
      <c r="I628">
        <v>368.37709999999998</v>
      </c>
      <c r="J628">
        <v>-287.26249999999999</v>
      </c>
      <c r="K628">
        <v>1.054772</v>
      </c>
      <c r="L628">
        <v>367.43830000000003</v>
      </c>
      <c r="M628">
        <v>0.9996893</v>
      </c>
      <c r="N628">
        <v>0</v>
      </c>
      <c r="O628">
        <v>1.9397810000000001E-2</v>
      </c>
      <c r="P628">
        <v>0.99814380000000003</v>
      </c>
      <c r="Q628">
        <v>2.9548100000000001E-2</v>
      </c>
      <c r="R628">
        <v>5.3257489999999998E-2</v>
      </c>
      <c r="S628">
        <v>3.00360099999999</v>
      </c>
      <c r="T628">
        <v>-0.1067867</v>
      </c>
      <c r="U628">
        <v>9.5703129999999997E-2</v>
      </c>
      <c r="V628">
        <v>-3.3938070000000001E-2</v>
      </c>
      <c r="W628">
        <v>4.5145730000000002E-2</v>
      </c>
      <c r="X628">
        <v>0.99840379999999995</v>
      </c>
      <c r="Y628">
        <v>-1.2454679999999999E-2</v>
      </c>
      <c r="Z628">
        <v>-4.6798070000000002E-4</v>
      </c>
      <c r="AA628">
        <v>0.99992230000000004</v>
      </c>
      <c r="AB628">
        <v>57</v>
      </c>
      <c r="AC628">
        <v>29.335999999999999</v>
      </c>
      <c r="AD628">
        <v>-1.0547730916539999</v>
      </c>
      <c r="AE628">
        <v>0.938799999999958</v>
      </c>
      <c r="AF628">
        <v>-0.36902286421948199</v>
      </c>
      <c r="AG628">
        <v>-1.0547730916539999</v>
      </c>
      <c r="AH628">
        <v>29.310838847456299</v>
      </c>
      <c r="AI628">
        <v>92.060780222753195</v>
      </c>
      <c r="AJ628">
        <v>90.721314587661993</v>
      </c>
      <c r="AK628">
        <v>29.332132518634701</v>
      </c>
    </row>
    <row r="629" spans="1:37" x14ac:dyDescent="0.2">
      <c r="A629" t="str">
        <f>"20200111153415560"</f>
        <v>20200111153415560</v>
      </c>
      <c r="B629" t="str">
        <f>"1578728055556797"</f>
        <v>1578728055556797</v>
      </c>
      <c r="C629" t="s">
        <v>37</v>
      </c>
      <c r="D629">
        <v>4.7932860000000002</v>
      </c>
      <c r="E629">
        <v>0.49938569999999999</v>
      </c>
      <c r="F629" t="s">
        <v>39</v>
      </c>
      <c r="G629">
        <v>-259.77050000000003</v>
      </c>
      <c r="H629" s="1">
        <v>-3.2602239999999997E-7</v>
      </c>
      <c r="I629">
        <v>368.63209999999998</v>
      </c>
      <c r="J629">
        <v>-286.9205</v>
      </c>
      <c r="K629">
        <v>1.0547489999999999</v>
      </c>
      <c r="L629">
        <v>367.44490000000002</v>
      </c>
      <c r="M629">
        <v>0.99968709999999905</v>
      </c>
      <c r="N629">
        <v>0</v>
      </c>
      <c r="O629">
        <v>1.9513320000000001E-2</v>
      </c>
      <c r="P629">
        <v>0.99812710000000004</v>
      </c>
      <c r="Q629">
        <v>2.956729E-2</v>
      </c>
      <c r="R629">
        <v>5.3556060000000003E-2</v>
      </c>
      <c r="S629">
        <v>3.002075</v>
      </c>
      <c r="T629">
        <v>-0.1151788</v>
      </c>
      <c r="U629">
        <v>0.13037109999999999</v>
      </c>
      <c r="V629">
        <v>-3.4118000000000002E-2</v>
      </c>
      <c r="W629">
        <v>4.5160970000000002E-2</v>
      </c>
      <c r="X629">
        <v>0.99839690000000003</v>
      </c>
      <c r="Y629">
        <v>-2.3877309999999999E-2</v>
      </c>
      <c r="Z629">
        <v>-2.9034580000000001E-4</v>
      </c>
      <c r="AA629">
        <v>0.99971489999999996</v>
      </c>
      <c r="AB629">
        <v>57</v>
      </c>
      <c r="AC629">
        <v>27.149999999999899</v>
      </c>
      <c r="AD629">
        <v>-1.0547493260223999</v>
      </c>
      <c r="AE629">
        <v>1.1871999999999601</v>
      </c>
      <c r="AF629">
        <v>-0.65613399230661495</v>
      </c>
      <c r="AG629">
        <v>-1.0547493260223999</v>
      </c>
      <c r="AH629">
        <v>27.1271350704118</v>
      </c>
      <c r="AI629">
        <v>92.225985732176397</v>
      </c>
      <c r="AJ629">
        <v>91.385563934245098</v>
      </c>
      <c r="AK629">
        <v>27.155560481878599</v>
      </c>
    </row>
    <row r="630" spans="1:37" x14ac:dyDescent="0.2">
      <c r="A630" t="str">
        <f>"20200111153415572"</f>
        <v>20200111153415572</v>
      </c>
      <c r="B630" t="str">
        <f>"1578728055566559"</f>
        <v>1578728055566559</v>
      </c>
      <c r="C630" t="s">
        <v>37</v>
      </c>
      <c r="D630">
        <v>4.7863389999999999</v>
      </c>
      <c r="E630">
        <v>0.49897659999999899</v>
      </c>
      <c r="F630" t="s">
        <v>39</v>
      </c>
      <c r="G630">
        <v>-260.6592</v>
      </c>
      <c r="H630" s="1">
        <v>-4.1322309999999998E-6</v>
      </c>
      <c r="I630">
        <v>368.81150000000002</v>
      </c>
      <c r="J630">
        <v>-286.6028</v>
      </c>
      <c r="K630">
        <v>1.0547249999999999</v>
      </c>
      <c r="L630">
        <v>367.4511</v>
      </c>
      <c r="M630">
        <v>0.99968559999999995</v>
      </c>
      <c r="N630">
        <v>0</v>
      </c>
      <c r="O630">
        <v>1.9595399999999999E-2</v>
      </c>
      <c r="P630">
        <v>0.9981025</v>
      </c>
      <c r="Q630">
        <v>2.981847E-2</v>
      </c>
      <c r="R630">
        <v>5.3873249999999998E-2</v>
      </c>
      <c r="S630">
        <v>3.0008240000000002</v>
      </c>
      <c r="T630">
        <v>-0.1205246</v>
      </c>
      <c r="U630">
        <v>0.156158399999999</v>
      </c>
      <c r="V630">
        <v>-3.4349940000000002E-2</v>
      </c>
      <c r="W630">
        <v>4.540868E-2</v>
      </c>
      <c r="X630">
        <v>0.99837770000000003</v>
      </c>
      <c r="Y630">
        <v>-3.2376639999999998E-2</v>
      </c>
      <c r="Z630">
        <v>-1.3665220000000001E-4</v>
      </c>
      <c r="AA630">
        <v>0.99947569999999997</v>
      </c>
      <c r="AB630">
        <v>57</v>
      </c>
      <c r="AC630">
        <v>25.9436</v>
      </c>
      <c r="AD630">
        <v>-1.054729132231</v>
      </c>
      <c r="AE630">
        <v>1.36040000000002</v>
      </c>
      <c r="AF630">
        <v>-0.85029976661515205</v>
      </c>
      <c r="AG630">
        <v>-1.054729132231</v>
      </c>
      <c r="AH630">
        <v>25.9225508227108</v>
      </c>
      <c r="AI630">
        <v>92.328697621714795</v>
      </c>
      <c r="AJ630">
        <v>91.878716595794998</v>
      </c>
      <c r="AK630">
        <v>25.957929508947799</v>
      </c>
    </row>
    <row r="631" spans="1:37" x14ac:dyDescent="0.2">
      <c r="A631" t="str">
        <f>"20200111153415591"</f>
        <v>20200111153415591</v>
      </c>
      <c r="B631" t="str">
        <f>"1578728055587053"</f>
        <v>1578728055587053</v>
      </c>
      <c r="C631" t="s">
        <v>37</v>
      </c>
      <c r="D631">
        <v>4.8413300000000001</v>
      </c>
      <c r="E631">
        <v>0.49825419999999998</v>
      </c>
      <c r="F631" t="s">
        <v>39</v>
      </c>
      <c r="G631">
        <v>-260.23660000000001</v>
      </c>
      <c r="H631" s="1">
        <v>-4.3048179999999999E-6</v>
      </c>
      <c r="I631">
        <v>368.86079999999998</v>
      </c>
      <c r="J631">
        <v>-286.11189999999999</v>
      </c>
      <c r="K631">
        <v>1.0546869999999999</v>
      </c>
      <c r="L631">
        <v>367.46080000000001</v>
      </c>
      <c r="M631">
        <v>0.99968369999999995</v>
      </c>
      <c r="N631">
        <v>0</v>
      </c>
      <c r="O631">
        <v>1.9701929999999999E-2</v>
      </c>
      <c r="P631">
        <v>0.99803229999999998</v>
      </c>
      <c r="Q631">
        <v>3.0589950000000001E-2</v>
      </c>
      <c r="R631">
        <v>5.4736229999999997E-2</v>
      </c>
      <c r="S631">
        <v>3.0006710000000001</v>
      </c>
      <c r="T631">
        <v>-0.1200355</v>
      </c>
      <c r="U631">
        <v>0.16043089999999999</v>
      </c>
      <c r="V631">
        <v>-3.5103250000000003E-2</v>
      </c>
      <c r="W631">
        <v>4.6175099999999997E-2</v>
      </c>
      <c r="X631">
        <v>0.99831639999999999</v>
      </c>
      <c r="Y631">
        <v>-3.369101E-2</v>
      </c>
      <c r="Z631">
        <v>-1.140925E-4</v>
      </c>
      <c r="AA631">
        <v>0.99943230000000005</v>
      </c>
      <c r="AB631">
        <v>57</v>
      </c>
      <c r="AC631">
        <v>25.8752999999999</v>
      </c>
      <c r="AD631">
        <v>-1.054691304818</v>
      </c>
      <c r="AE631">
        <v>1.3999999999999699</v>
      </c>
      <c r="AF631">
        <v>-0.88840084994731705</v>
      </c>
      <c r="AG631">
        <v>-1.054691304818</v>
      </c>
      <c r="AH631">
        <v>25.8550316673726</v>
      </c>
      <c r="AI631">
        <v>92.334566562275199</v>
      </c>
      <c r="AJ631">
        <v>91.967957394691894</v>
      </c>
      <c r="AK631">
        <v>25.8917804011135</v>
      </c>
    </row>
    <row r="632" spans="1:37" x14ac:dyDescent="0.2">
      <c r="A632" t="str">
        <f>"20200111153415602"</f>
        <v>20200111153415602</v>
      </c>
      <c r="B632" t="str">
        <f>"1578728055596813"</f>
        <v>1578728055596813</v>
      </c>
      <c r="C632" t="s">
        <v>37</v>
      </c>
      <c r="D632">
        <v>4.8109199999999896</v>
      </c>
      <c r="E632">
        <v>0.49807829999999897</v>
      </c>
      <c r="F632" t="s">
        <v>39</v>
      </c>
      <c r="G632">
        <v>-259.29320000000001</v>
      </c>
      <c r="H632" s="1">
        <v>-4.00789599999999E-7</v>
      </c>
      <c r="I632">
        <v>368.96660000000003</v>
      </c>
      <c r="J632">
        <v>-285.81459999999998</v>
      </c>
      <c r="K632">
        <v>1.0546629999999999</v>
      </c>
      <c r="L632">
        <v>367.46660000000003</v>
      </c>
      <c r="M632">
        <v>0.99968269999999904</v>
      </c>
      <c r="N632">
        <v>0</v>
      </c>
      <c r="O632">
        <v>1.9751310000000001E-2</v>
      </c>
      <c r="P632">
        <v>0.99801849999999903</v>
      </c>
      <c r="Q632">
        <v>3.0771659999999999E-2</v>
      </c>
      <c r="R632">
        <v>5.488519E-2</v>
      </c>
      <c r="S632">
        <v>3.000305</v>
      </c>
      <c r="T632">
        <v>-0.1179914</v>
      </c>
      <c r="U632">
        <v>0.168457</v>
      </c>
      <c r="V632">
        <v>-3.5199590000000003E-2</v>
      </c>
      <c r="W632">
        <v>4.6354190000000003E-2</v>
      </c>
      <c r="X632">
        <v>0.99830469999999905</v>
      </c>
      <c r="Y632">
        <v>-3.6311980000000001E-2</v>
      </c>
      <c r="Z632" s="1">
        <v>-6.2614449999999998E-5</v>
      </c>
      <c r="AA632">
        <v>0.99934049999999996</v>
      </c>
      <c r="AB632">
        <v>57</v>
      </c>
      <c r="AC632">
        <v>26.5213999999999</v>
      </c>
      <c r="AD632">
        <v>-1.0546634007896001</v>
      </c>
      <c r="AE632">
        <v>1.5</v>
      </c>
      <c r="AF632">
        <v>-0.97427511946525402</v>
      </c>
      <c r="AG632">
        <v>-1.0546634007896001</v>
      </c>
      <c r="AH632">
        <v>26.504076389761501</v>
      </c>
      <c r="AI632">
        <v>92.277203531659396</v>
      </c>
      <c r="AJ632">
        <v>92.105213128597597</v>
      </c>
      <c r="AK632">
        <v>26.5429386498874</v>
      </c>
    </row>
    <row r="633" spans="1:37" x14ac:dyDescent="0.2">
      <c r="A633" t="str">
        <f>"20200111153415613"</f>
        <v>20200111153415613</v>
      </c>
      <c r="B633" t="str">
        <f>"1578728055606573"</f>
        <v>1578728055606573</v>
      </c>
      <c r="C633" t="s">
        <v>37</v>
      </c>
      <c r="D633">
        <v>4.8186109999999998</v>
      </c>
      <c r="E633">
        <v>0.49786160000000002</v>
      </c>
      <c r="F633" t="s">
        <v>39</v>
      </c>
      <c r="G633">
        <v>-258.97739999999999</v>
      </c>
      <c r="H633" s="1">
        <v>-5.3250699999999997E-7</v>
      </c>
      <c r="I633">
        <v>368.98790000000002</v>
      </c>
      <c r="J633">
        <v>-285.53359999999998</v>
      </c>
      <c r="K633">
        <v>1.0546359999999999</v>
      </c>
      <c r="L633">
        <v>367.47219999999999</v>
      </c>
      <c r="M633">
        <v>0.99968210000000002</v>
      </c>
      <c r="N633">
        <v>0</v>
      </c>
      <c r="O633">
        <v>1.9782359999999999E-2</v>
      </c>
      <c r="P633">
        <v>0.99798729999999902</v>
      </c>
      <c r="Q633">
        <v>3.08954E-2</v>
      </c>
      <c r="R633">
        <v>5.5380850000000002E-2</v>
      </c>
      <c r="S633">
        <v>3.0002439999999999</v>
      </c>
      <c r="T633">
        <v>-0.1179045</v>
      </c>
      <c r="U633">
        <v>0.17007449999999999</v>
      </c>
      <c r="V633">
        <v>-3.5661619999999998E-2</v>
      </c>
      <c r="W633">
        <v>4.6476129999999997E-2</v>
      </c>
      <c r="X633">
        <v>0.99828259999999902</v>
      </c>
      <c r="Y633">
        <v>-3.6818780000000002E-2</v>
      </c>
      <c r="Z633" s="1">
        <v>-5.3839469999999901E-5</v>
      </c>
      <c r="AA633">
        <v>0.99932189999999999</v>
      </c>
      <c r="AB633">
        <v>57</v>
      </c>
      <c r="AC633">
        <v>26.556199999999901</v>
      </c>
      <c r="AD633">
        <v>-1.054636532507</v>
      </c>
      <c r="AE633">
        <v>1.51570000000003</v>
      </c>
      <c r="AF633">
        <v>-0.98844095333495896</v>
      </c>
      <c r="AG633">
        <v>-1.054636532507</v>
      </c>
      <c r="AH633">
        <v>26.539269159545299</v>
      </c>
      <c r="AI633">
        <v>92.274088396656296</v>
      </c>
      <c r="AJ633">
        <v>92.132964927011997</v>
      </c>
      <c r="AK633">
        <v>26.578601943231</v>
      </c>
    </row>
    <row r="634" spans="1:37" x14ac:dyDescent="0.2">
      <c r="A634" t="str">
        <f>"20200111153415626"</f>
        <v>20200111153415626</v>
      </c>
      <c r="B634" t="str">
        <f>"1578728055617309"</f>
        <v>1578728055617309</v>
      </c>
      <c r="C634" t="s">
        <v>37</v>
      </c>
      <c r="D634">
        <v>4.8066909999999998</v>
      </c>
      <c r="E634">
        <v>0.49776690000000001</v>
      </c>
      <c r="F634" t="s">
        <v>39</v>
      </c>
      <c r="G634">
        <v>-258.40019999999998</v>
      </c>
      <c r="H634" s="1">
        <v>-7.7131360000000003E-7</v>
      </c>
      <c r="I634">
        <v>369.03739999999999</v>
      </c>
      <c r="J634">
        <v>-285.23110000000003</v>
      </c>
      <c r="K634">
        <v>1.0546059999999999</v>
      </c>
      <c r="L634">
        <v>367.47820000000002</v>
      </c>
      <c r="M634">
        <v>0.99968189999999901</v>
      </c>
      <c r="N634">
        <v>0</v>
      </c>
      <c r="O634">
        <v>1.9799489999999999E-2</v>
      </c>
      <c r="P634">
        <v>0.99799340000000003</v>
      </c>
      <c r="Q634">
        <v>3.0481979999999999E-2</v>
      </c>
      <c r="R634">
        <v>5.5501639999999998E-2</v>
      </c>
      <c r="S634">
        <v>3.0000610000000001</v>
      </c>
      <c r="T634">
        <v>-0.116607999999999</v>
      </c>
      <c r="U634">
        <v>0.1730652</v>
      </c>
      <c r="V634">
        <v>-3.5761309999999998E-2</v>
      </c>
      <c r="W634">
        <v>4.6061249999999998E-2</v>
      </c>
      <c r="X634">
        <v>0.99829829999999997</v>
      </c>
      <c r="Y634">
        <v>-3.7797600000000001E-2</v>
      </c>
      <c r="Z634" s="1">
        <v>-3.4913009999999902E-5</v>
      </c>
      <c r="AA634">
        <v>0.99928539999999999</v>
      </c>
      <c r="AB634">
        <v>57</v>
      </c>
      <c r="AC634">
        <v>26.8309</v>
      </c>
      <c r="AD634">
        <v>-1.0546067713136</v>
      </c>
      <c r="AE634">
        <v>1.5591999999999699</v>
      </c>
      <c r="AF634">
        <v>-1.0260115089784101</v>
      </c>
      <c r="AG634">
        <v>-1.0546067713136</v>
      </c>
      <c r="AH634">
        <v>26.815225822040599</v>
      </c>
      <c r="AI634">
        <v>92.250560128886903</v>
      </c>
      <c r="AJ634">
        <v>92.191197907377997</v>
      </c>
      <c r="AK634">
        <v>26.855562383716499</v>
      </c>
    </row>
    <row r="635" spans="1:37" x14ac:dyDescent="0.2">
      <c r="A635" t="str">
        <f>"20200111153415639"</f>
        <v>20200111153415639</v>
      </c>
      <c r="B635" t="str">
        <f>"1578728055627070"</f>
        <v>1578728055627070</v>
      </c>
      <c r="C635" t="s">
        <v>37</v>
      </c>
      <c r="D635">
        <v>4.7949599999999997</v>
      </c>
      <c r="E635">
        <v>0.49763459999999998</v>
      </c>
      <c r="F635" t="s">
        <v>39</v>
      </c>
      <c r="G635">
        <v>-258.53789999999998</v>
      </c>
      <c r="H635" s="1">
        <v>-7.1381669999999996E-7</v>
      </c>
      <c r="I635">
        <v>369.02870000000001</v>
      </c>
      <c r="J635">
        <v>-284.87240000000003</v>
      </c>
      <c r="K635">
        <v>1.0545709999999999</v>
      </c>
      <c r="L635">
        <v>367.4853</v>
      </c>
      <c r="M635">
        <v>0.99968199999999996</v>
      </c>
      <c r="N635">
        <v>0</v>
      </c>
      <c r="O635">
        <v>1.9803129999999999E-2</v>
      </c>
      <c r="P635">
        <v>0.99799419999999905</v>
      </c>
      <c r="Q635">
        <v>2.9945329999999999E-2</v>
      </c>
      <c r="R635">
        <v>5.5775970000000001E-2</v>
      </c>
      <c r="S635">
        <v>3</v>
      </c>
      <c r="T635">
        <v>-0.1185247</v>
      </c>
      <c r="U635">
        <v>0.17425539999999901</v>
      </c>
      <c r="V635">
        <v>-3.6026870000000003E-2</v>
      </c>
      <c r="W635">
        <v>4.5523470000000003E-2</v>
      </c>
      <c r="X635">
        <v>0.99831340000000002</v>
      </c>
      <c r="Y635">
        <v>-3.8189500000000001E-2</v>
      </c>
      <c r="Z635" s="1">
        <v>-2.7897129999999901E-5</v>
      </c>
      <c r="AA635">
        <v>0.99927049999999995</v>
      </c>
      <c r="AB635">
        <v>57</v>
      </c>
      <c r="AC635">
        <v>26.334499999999998</v>
      </c>
      <c r="AD635">
        <v>-1.0545717138166999</v>
      </c>
      <c r="AE635">
        <v>1.5434000000000101</v>
      </c>
      <c r="AF635">
        <v>-1.01989823746651</v>
      </c>
      <c r="AG635">
        <v>-1.0545717138166999</v>
      </c>
      <c r="AH635">
        <v>26.317842977933701</v>
      </c>
      <c r="AI635">
        <v>92.292929274137904</v>
      </c>
      <c r="AJ635">
        <v>92.219279059407498</v>
      </c>
      <c r="AK635">
        <v>26.358702034158402</v>
      </c>
    </row>
    <row r="636" spans="1:37" x14ac:dyDescent="0.2">
      <c r="A636" t="str">
        <f>"20200111153415652"</f>
        <v>20200111153415652</v>
      </c>
      <c r="B636" t="str">
        <f>"1578728055646590"</f>
        <v>1578728055646590</v>
      </c>
      <c r="C636" t="s">
        <v>37</v>
      </c>
      <c r="D636">
        <v>4.8226170000000002</v>
      </c>
      <c r="E636">
        <v>0.49735209999999902</v>
      </c>
      <c r="F636" t="s">
        <v>39</v>
      </c>
      <c r="G636">
        <v>-258.44560000000001</v>
      </c>
      <c r="H636" s="1">
        <v>-7.5157910000000003E-7</v>
      </c>
      <c r="I636">
        <v>369.03890000000001</v>
      </c>
      <c r="J636">
        <v>-284.53370000000001</v>
      </c>
      <c r="K636">
        <v>1.0545370000000001</v>
      </c>
      <c r="L636">
        <v>367.49189999999999</v>
      </c>
      <c r="M636">
        <v>0.99968259999999898</v>
      </c>
      <c r="N636">
        <v>0</v>
      </c>
      <c r="O636">
        <v>1.9772330000000001E-2</v>
      </c>
      <c r="P636">
        <v>0.99799769999999899</v>
      </c>
      <c r="Q636">
        <v>2.9533719999999999E-2</v>
      </c>
      <c r="R636">
        <v>5.5931370000000001E-2</v>
      </c>
      <c r="S636">
        <v>2.9997560000000001</v>
      </c>
      <c r="T636">
        <v>-0.119706199999999</v>
      </c>
      <c r="U636">
        <v>0.17636109999999999</v>
      </c>
      <c r="V636">
        <v>-3.6208440000000001E-2</v>
      </c>
      <c r="W636">
        <v>4.5111430000000001E-2</v>
      </c>
      <c r="X636">
        <v>0.99832549999999898</v>
      </c>
      <c r="Y636">
        <v>-3.8923149999999997E-2</v>
      </c>
      <c r="Z636" s="1">
        <v>-1.2328379999999901E-5</v>
      </c>
      <c r="AA636">
        <v>0.99924219999999897</v>
      </c>
      <c r="AB636">
        <v>57</v>
      </c>
      <c r="AC636">
        <v>26.088100000000001</v>
      </c>
      <c r="AD636">
        <v>-1.0545377515790999</v>
      </c>
      <c r="AE636">
        <v>1.5470000000000199</v>
      </c>
      <c r="AF636">
        <v>-1.0291364324721</v>
      </c>
      <c r="AG636">
        <v>-1.0545377515790999</v>
      </c>
      <c r="AH636">
        <v>26.071140544935101</v>
      </c>
      <c r="AI636">
        <v>92.314463439415206</v>
      </c>
      <c r="AJ636">
        <v>92.260529259399704</v>
      </c>
      <c r="AK636">
        <v>26.1127467145818</v>
      </c>
    </row>
    <row r="637" spans="1:37" x14ac:dyDescent="0.2">
      <c r="A637" t="str">
        <f>"20200111153415665"</f>
        <v>20200111153415665</v>
      </c>
      <c r="B637" t="str">
        <f>"1578728055657327"</f>
        <v>1578728055657327</v>
      </c>
      <c r="C637" t="s">
        <v>37</v>
      </c>
      <c r="D637">
        <v>4.7785330000000004</v>
      </c>
      <c r="E637">
        <v>0.49717990000000001</v>
      </c>
      <c r="F637" t="s">
        <v>39</v>
      </c>
      <c r="G637">
        <v>-258.4785</v>
      </c>
      <c r="H637" s="1">
        <v>-7.3630490000000004E-7</v>
      </c>
      <c r="I637">
        <v>369.04559999999998</v>
      </c>
      <c r="J637">
        <v>-284.221</v>
      </c>
      <c r="K637">
        <v>1.0545059999999999</v>
      </c>
      <c r="L637">
        <v>367.49810000000002</v>
      </c>
      <c r="M637">
        <v>0.99968349999999995</v>
      </c>
      <c r="N637">
        <v>0</v>
      </c>
      <c r="O637">
        <v>1.9728200000000001E-2</v>
      </c>
      <c r="P637">
        <v>0.99798699999999996</v>
      </c>
      <c r="Q637">
        <v>2.9381529999999999E-2</v>
      </c>
      <c r="R637">
        <v>5.6204619999999997E-2</v>
      </c>
      <c r="S637">
        <v>2.999603</v>
      </c>
      <c r="T637">
        <v>-0.121403</v>
      </c>
      <c r="U637">
        <v>0.17886350000000001</v>
      </c>
      <c r="V637">
        <v>-3.652097E-2</v>
      </c>
      <c r="W637">
        <v>4.4958989999999997E-2</v>
      </c>
      <c r="X637">
        <v>0.99832109999999996</v>
      </c>
      <c r="Y637">
        <v>-3.9799750000000002E-2</v>
      </c>
      <c r="Z637" s="1">
        <v>6.9977829999999902E-6</v>
      </c>
      <c r="AA637">
        <v>0.99920769999999903</v>
      </c>
      <c r="AB637">
        <v>57</v>
      </c>
      <c r="AC637">
        <v>25.7425</v>
      </c>
      <c r="AD637">
        <v>-1.0545067363049001</v>
      </c>
      <c r="AE637">
        <v>1.5474999999999499</v>
      </c>
      <c r="AF637">
        <v>-1.0375489117388199</v>
      </c>
      <c r="AG637">
        <v>-1.0545067363049001</v>
      </c>
      <c r="AH637">
        <v>25.7250102249854</v>
      </c>
      <c r="AI637">
        <v>92.345421015029999</v>
      </c>
      <c r="AJ637">
        <v>92.309618944840906</v>
      </c>
      <c r="AK637">
        <v>25.767511390834098</v>
      </c>
    </row>
    <row r="638" spans="1:37" x14ac:dyDescent="0.2">
      <c r="A638" t="str">
        <f>"20200111153415676"</f>
        <v>20200111153415676</v>
      </c>
      <c r="B638" t="str">
        <f>"1578728055666618"</f>
        <v>1578728055666618</v>
      </c>
      <c r="C638" t="s">
        <v>37</v>
      </c>
      <c r="D638">
        <v>4.8120500000000002</v>
      </c>
      <c r="E638">
        <v>0.4970656</v>
      </c>
      <c r="F638" t="s">
        <v>39</v>
      </c>
      <c r="G638">
        <v>-258.320999999999</v>
      </c>
      <c r="H638" s="1">
        <v>-8.0119030000000002E-7</v>
      </c>
      <c r="I638">
        <v>369.06049999999999</v>
      </c>
      <c r="J638">
        <v>-283.9074</v>
      </c>
      <c r="K638">
        <v>1.054467</v>
      </c>
      <c r="L638">
        <v>367.50420000000003</v>
      </c>
      <c r="M638">
        <v>0.99968469999999998</v>
      </c>
      <c r="N638">
        <v>0</v>
      </c>
      <c r="O638">
        <v>1.9668660000000001E-2</v>
      </c>
      <c r="P638">
        <v>0.99796090000000004</v>
      </c>
      <c r="Q638">
        <v>2.965812E-2</v>
      </c>
      <c r="R638">
        <v>5.6519590000000001E-2</v>
      </c>
      <c r="S638">
        <v>2.9994200000000002</v>
      </c>
      <c r="T638">
        <v>-0.122119699999999</v>
      </c>
      <c r="U638">
        <v>0.18093870000000001</v>
      </c>
      <c r="V638">
        <v>-3.689133E-2</v>
      </c>
      <c r="W638">
        <v>4.5234799999999999E-2</v>
      </c>
      <c r="X638">
        <v>0.99829489999999999</v>
      </c>
      <c r="Y638">
        <v>-4.0550849999999999E-2</v>
      </c>
      <c r="Z638" s="1">
        <v>2.4731209999999999E-5</v>
      </c>
      <c r="AA638">
        <v>0.99917749999999905</v>
      </c>
      <c r="AB638">
        <v>57</v>
      </c>
      <c r="AC638">
        <v>25.586400000000001</v>
      </c>
      <c r="AD638">
        <v>-1.0544678011902999</v>
      </c>
      <c r="AE638">
        <v>1.55629999999996</v>
      </c>
      <c r="AF638">
        <v>-1.0509090261799501</v>
      </c>
      <c r="AG638">
        <v>-1.0544678011902999</v>
      </c>
      <c r="AH638">
        <v>25.568796453142699</v>
      </c>
      <c r="AI638">
        <v>92.359573627688107</v>
      </c>
      <c r="AJ638">
        <v>92.3536023808511</v>
      </c>
      <c r="AK638">
        <v>25.6120999566084</v>
      </c>
    </row>
    <row r="639" spans="1:37" x14ac:dyDescent="0.2">
      <c r="A639" t="str">
        <f>"20200111153415691"</f>
        <v>20200111153415691</v>
      </c>
      <c r="B639" t="str">
        <f>"1578728055687113"</f>
        <v>1578728055687113</v>
      </c>
      <c r="C639" t="s">
        <v>37</v>
      </c>
      <c r="D639">
        <v>4.7519239999999998</v>
      </c>
      <c r="E639">
        <v>0.496751</v>
      </c>
      <c r="F639" t="s">
        <v>39</v>
      </c>
      <c r="G639">
        <v>-257.85169999999999</v>
      </c>
      <c r="H639" s="1">
        <v>-9.967299999999999E-7</v>
      </c>
      <c r="I639">
        <v>369.0933</v>
      </c>
      <c r="J639">
        <v>-283.5376</v>
      </c>
      <c r="K639">
        <v>1.0544249999999999</v>
      </c>
      <c r="L639">
        <v>367.51139999999998</v>
      </c>
      <c r="M639">
        <v>0.99968690000000004</v>
      </c>
      <c r="N639">
        <v>0</v>
      </c>
      <c r="O639">
        <v>1.9567210000000002E-2</v>
      </c>
      <c r="P639">
        <v>0.99791580000000002</v>
      </c>
      <c r="Q639">
        <v>2.9878330000000002E-2</v>
      </c>
      <c r="R639">
        <v>5.7198539999999999E-2</v>
      </c>
      <c r="S639">
        <v>2.99939</v>
      </c>
      <c r="T639">
        <v>-0.12138409999999999</v>
      </c>
      <c r="U639">
        <v>0.18292239999999901</v>
      </c>
      <c r="V639">
        <v>-3.7666399999999899E-2</v>
      </c>
      <c r="W639">
        <v>4.5455349999999999E-2</v>
      </c>
      <c r="X639">
        <v>0.99825599999999903</v>
      </c>
      <c r="Y639">
        <v>-4.131075E-2</v>
      </c>
      <c r="Z639" s="1">
        <v>4.40381099999999E-5</v>
      </c>
      <c r="AA639">
        <v>0.99914629999999904</v>
      </c>
      <c r="AB639">
        <v>57</v>
      </c>
      <c r="AC639">
        <v>25.6859</v>
      </c>
      <c r="AD639">
        <v>-1.05442599673</v>
      </c>
      <c r="AE639">
        <v>1.5819000000000101</v>
      </c>
      <c r="AF639">
        <v>-1.07712625061462</v>
      </c>
      <c r="AG639">
        <v>-1.05442599673</v>
      </c>
      <c r="AH639">
        <v>25.6688453990959</v>
      </c>
      <c r="AI639">
        <v>92.350210202676394</v>
      </c>
      <c r="AJ639">
        <v>92.402858487872507</v>
      </c>
      <c r="AK639">
        <v>25.713063591587701</v>
      </c>
    </row>
    <row r="640" spans="1:37" x14ac:dyDescent="0.2">
      <c r="A640" t="str">
        <f>"20200111153415704"</f>
        <v>20200111153415704</v>
      </c>
      <c r="B640" t="str">
        <f>"1578728055696874"</f>
        <v>1578728055696874</v>
      </c>
      <c r="C640" t="s">
        <v>37</v>
      </c>
      <c r="D640">
        <v>4.8030520000000001</v>
      </c>
      <c r="E640">
        <v>0.49666640000000001</v>
      </c>
      <c r="F640" t="s">
        <v>39</v>
      </c>
      <c r="G640">
        <v>-257.42570000000001</v>
      </c>
      <c r="H640" s="1">
        <v>-1.17059E-6</v>
      </c>
      <c r="I640">
        <v>369.14330000000001</v>
      </c>
      <c r="J640">
        <v>-283.22629999999998</v>
      </c>
      <c r="K640">
        <v>1.0543830000000001</v>
      </c>
      <c r="L640">
        <v>367.51749999999998</v>
      </c>
      <c r="M640">
        <v>0.99968869999999899</v>
      </c>
      <c r="N640">
        <v>0</v>
      </c>
      <c r="O640">
        <v>1.946823E-2</v>
      </c>
      <c r="P640">
        <v>0.99791209999999997</v>
      </c>
      <c r="Q640">
        <v>3.003728E-2</v>
      </c>
      <c r="R640">
        <v>5.7178909999999999E-2</v>
      </c>
      <c r="S640">
        <v>2.9991460000000001</v>
      </c>
      <c r="T640">
        <v>-0.1211083</v>
      </c>
      <c r="U640">
        <v>0.18743899999999999</v>
      </c>
      <c r="V640">
        <v>-3.7740849999999999E-2</v>
      </c>
      <c r="W640">
        <v>4.5614920000000003E-2</v>
      </c>
      <c r="X640">
        <v>0.99824590000000002</v>
      </c>
      <c r="Y640">
        <v>-4.2912230000000003E-2</v>
      </c>
      <c r="Z640" s="1">
        <v>8.0222849999999997E-5</v>
      </c>
      <c r="AA640">
        <v>0.99907889999999999</v>
      </c>
      <c r="AB640">
        <v>57</v>
      </c>
      <c r="AC640">
        <v>25.8005999999999</v>
      </c>
      <c r="AD640">
        <v>-1.0543841705899999</v>
      </c>
      <c r="AE640">
        <v>1.6258000000000199</v>
      </c>
      <c r="AF640">
        <v>-1.1212734052845801</v>
      </c>
      <c r="AG640">
        <v>-1.0543841705899999</v>
      </c>
      <c r="AH640">
        <v>25.784472375981501</v>
      </c>
      <c r="AI640">
        <v>92.339438153743103</v>
      </c>
      <c r="AJ640">
        <v>92.490017327939299</v>
      </c>
      <c r="AK640">
        <v>25.8303696399479</v>
      </c>
    </row>
    <row r="641" spans="1:37" x14ac:dyDescent="0.2">
      <c r="A641" t="str">
        <f>"20200111153415714"</f>
        <v>20200111153415714</v>
      </c>
      <c r="B641" t="str">
        <f>"1578728055706634"</f>
        <v>1578728055706634</v>
      </c>
      <c r="C641" t="s">
        <v>37</v>
      </c>
      <c r="D641">
        <v>4.8064770000000001</v>
      </c>
      <c r="E641">
        <v>0.4965869</v>
      </c>
      <c r="F641" t="s">
        <v>39</v>
      </c>
      <c r="G641">
        <v>-256.96640000000002</v>
      </c>
      <c r="H641" s="1">
        <v>-1.363778E-6</v>
      </c>
      <c r="I641">
        <v>369.1651</v>
      </c>
      <c r="J641">
        <v>-282.952</v>
      </c>
      <c r="K641">
        <v>1.0543450000000001</v>
      </c>
      <c r="L641">
        <v>367.52280000000002</v>
      </c>
      <c r="M641">
        <v>0.99969079999999999</v>
      </c>
      <c r="N641">
        <v>0</v>
      </c>
      <c r="O641">
        <v>1.9367550000000001E-2</v>
      </c>
      <c r="P641">
        <v>0.99791989999999997</v>
      </c>
      <c r="Q641">
        <v>2.991601E-2</v>
      </c>
      <c r="R641">
        <v>5.7108840000000001E-2</v>
      </c>
      <c r="S641">
        <v>2.9991150000000002</v>
      </c>
      <c r="T641">
        <v>-0.12041969999999901</v>
      </c>
      <c r="U641">
        <v>0.18817139999999999</v>
      </c>
      <c r="V641">
        <v>-3.7767240000000001E-2</v>
      </c>
      <c r="W641">
        <v>4.5494409999999999E-2</v>
      </c>
      <c r="X641">
        <v>0.99825039999999998</v>
      </c>
      <c r="Y641">
        <v>-4.3256370000000002E-2</v>
      </c>
      <c r="Z641" s="1">
        <v>9.0702669999999898E-5</v>
      </c>
      <c r="AA641">
        <v>0.99906399999999995</v>
      </c>
      <c r="AB641">
        <v>57</v>
      </c>
      <c r="AC641">
        <v>25.985599999999899</v>
      </c>
      <c r="AD641">
        <v>-1.054346363778</v>
      </c>
      <c r="AE641">
        <v>1.6422999999999699</v>
      </c>
      <c r="AF641">
        <v>-1.13678924677003</v>
      </c>
      <c r="AG641">
        <v>-1.054346363778</v>
      </c>
      <c r="AH641">
        <v>25.969952460214198</v>
      </c>
      <c r="AI641">
        <v>92.322635832437996</v>
      </c>
      <c r="AJ641">
        <v>92.506422503442906</v>
      </c>
      <c r="AK641">
        <v>26.016194318773302</v>
      </c>
    </row>
    <row r="642" spans="1:37" x14ac:dyDescent="0.2">
      <c r="A642" t="str">
        <f>"20200111153415725"</f>
        <v>20200111153415725</v>
      </c>
      <c r="B642" t="str">
        <f>"1578728055717371"</f>
        <v>1578728055717371</v>
      </c>
      <c r="C642" t="s">
        <v>37</v>
      </c>
      <c r="D642">
        <v>4.7594339999999997</v>
      </c>
      <c r="E642">
        <v>0.49641239999999998</v>
      </c>
      <c r="F642" t="s">
        <v>39</v>
      </c>
      <c r="G642">
        <v>-256.73970000000003</v>
      </c>
      <c r="H642" s="1">
        <v>-1.4602180000000001E-6</v>
      </c>
      <c r="I642">
        <v>369.16980000000001</v>
      </c>
      <c r="J642">
        <v>-282.68049999999999</v>
      </c>
      <c r="K642">
        <v>1.0543049999999901</v>
      </c>
      <c r="L642">
        <v>367.52800000000002</v>
      </c>
      <c r="M642">
        <v>0.9996929</v>
      </c>
      <c r="N642">
        <v>0</v>
      </c>
      <c r="O642">
        <v>1.9256470000000001E-2</v>
      </c>
      <c r="P642">
        <v>0.99794889999999903</v>
      </c>
      <c r="Q642">
        <v>2.9809970000000002E-2</v>
      </c>
      <c r="R642">
        <v>5.6649949999999998E-2</v>
      </c>
      <c r="S642">
        <v>2.9990540000000001</v>
      </c>
      <c r="T642">
        <v>-0.1206313</v>
      </c>
      <c r="U642">
        <v>0.188446</v>
      </c>
      <c r="V642">
        <v>-3.7414219999999998E-2</v>
      </c>
      <c r="W642">
        <v>4.538913E-2</v>
      </c>
      <c r="X642">
        <v>0.9982685</v>
      </c>
      <c r="Y642">
        <v>-4.345947E-2</v>
      </c>
      <c r="Z642" s="1">
        <v>9.9403029999999999E-5</v>
      </c>
      <c r="AA642">
        <v>0.99905519999999903</v>
      </c>
      <c r="AB642">
        <v>57</v>
      </c>
      <c r="AC642">
        <v>25.9407999999999</v>
      </c>
      <c r="AD642">
        <v>-1.0543064602179999</v>
      </c>
      <c r="AE642">
        <v>1.6417999999999799</v>
      </c>
      <c r="AF642">
        <v>-1.1400308530165699</v>
      </c>
      <c r="AG642">
        <v>-1.0543064602179999</v>
      </c>
      <c r="AH642">
        <v>25.924954998589001</v>
      </c>
      <c r="AI642">
        <v>92.326554345218995</v>
      </c>
      <c r="AJ642">
        <v>92.517917657805597</v>
      </c>
      <c r="AK642">
        <v>25.9714174456604</v>
      </c>
    </row>
    <row r="643" spans="1:37" x14ac:dyDescent="0.2">
      <c r="A643" t="str">
        <f>"20200111153415736"</f>
        <v>20200111153415736</v>
      </c>
      <c r="B643" t="str">
        <f>"1578728055727132"</f>
        <v>1578728055727132</v>
      </c>
      <c r="C643" t="s">
        <v>37</v>
      </c>
      <c r="D643">
        <v>4.8080369999999997</v>
      </c>
      <c r="E643">
        <v>0.49631189999999997</v>
      </c>
      <c r="F643" t="s">
        <v>39</v>
      </c>
      <c r="G643">
        <v>-256.6232</v>
      </c>
      <c r="H643" s="1">
        <v>-1.5110790000000001E-6</v>
      </c>
      <c r="I643">
        <v>369.16469999999998</v>
      </c>
      <c r="J643">
        <v>-282.38010000000003</v>
      </c>
      <c r="K643">
        <v>1.054263</v>
      </c>
      <c r="L643">
        <v>367.53370000000001</v>
      </c>
      <c r="M643">
        <v>0.99969560000000002</v>
      </c>
      <c r="N643">
        <v>0</v>
      </c>
      <c r="O643">
        <v>1.9125650000000001E-2</v>
      </c>
      <c r="P643">
        <v>0.99798109999999995</v>
      </c>
      <c r="Q643">
        <v>2.9334869999999999E-2</v>
      </c>
      <c r="R643">
        <v>5.6333719999999997E-2</v>
      </c>
      <c r="S643">
        <v>2.9990839999999999</v>
      </c>
      <c r="T643">
        <v>-0.1213455</v>
      </c>
      <c r="U643">
        <v>0.188385</v>
      </c>
      <c r="V643">
        <v>-3.722367E-2</v>
      </c>
      <c r="W643">
        <v>4.4915169999999997E-2</v>
      </c>
      <c r="X643">
        <v>0.99829699999999999</v>
      </c>
      <c r="Y643">
        <v>-4.3568879999999997E-2</v>
      </c>
      <c r="Z643">
        <v>1.074845E-4</v>
      </c>
      <c r="AA643">
        <v>0.99905040000000001</v>
      </c>
      <c r="AB643">
        <v>57</v>
      </c>
      <c r="AC643">
        <v>25.756900000000002</v>
      </c>
      <c r="AD643">
        <v>-1.0542645110789901</v>
      </c>
      <c r="AE643">
        <v>1.63099999999997</v>
      </c>
      <c r="AF643">
        <v>-1.13612846100448</v>
      </c>
      <c r="AG643">
        <v>-1.0542645110789901</v>
      </c>
      <c r="AH643">
        <v>25.740432691620398</v>
      </c>
      <c r="AI643">
        <v>92.343103939617507</v>
      </c>
      <c r="AJ643">
        <v>92.527274657686704</v>
      </c>
      <c r="AK643">
        <v>25.787053664408099</v>
      </c>
    </row>
    <row r="644" spans="1:37" x14ac:dyDescent="0.2">
      <c r="A644" t="str">
        <f>"20200111153415747"</f>
        <v>20200111153415747</v>
      </c>
      <c r="B644" t="str">
        <f>"1578728055736890"</f>
        <v>1578728055736890</v>
      </c>
      <c r="C644" t="s">
        <v>37</v>
      </c>
      <c r="D644">
        <v>4.738912</v>
      </c>
      <c r="E644">
        <v>0.49611889999999997</v>
      </c>
      <c r="F644" t="s">
        <v>39</v>
      </c>
      <c r="G644">
        <v>-256.5804</v>
      </c>
      <c r="H644" s="1">
        <v>-1.5314930000000001E-6</v>
      </c>
      <c r="I644">
        <v>369.15300000000002</v>
      </c>
      <c r="J644">
        <v>-282.11279999999999</v>
      </c>
      <c r="K644">
        <v>1.0542260000000001</v>
      </c>
      <c r="L644">
        <v>367.53879999999998</v>
      </c>
      <c r="M644">
        <v>0.99969799999999998</v>
      </c>
      <c r="N644">
        <v>0</v>
      </c>
      <c r="O644">
        <v>1.8997179999999999E-2</v>
      </c>
      <c r="P644">
        <v>0.99801499999999999</v>
      </c>
      <c r="Q644">
        <v>2.8716430000000001E-2</v>
      </c>
      <c r="R644">
        <v>5.6047470000000002E-2</v>
      </c>
      <c r="S644">
        <v>2.9990839999999999</v>
      </c>
      <c r="T644">
        <v>-0.12255290000000001</v>
      </c>
      <c r="U644">
        <v>0.18823239999999999</v>
      </c>
      <c r="V644">
        <v>-3.7061410000000003E-2</v>
      </c>
      <c r="W644">
        <v>4.4297330000000003E-2</v>
      </c>
      <c r="X644">
        <v>0.99833069999999902</v>
      </c>
      <c r="Y644">
        <v>-4.3646079999999997E-2</v>
      </c>
      <c r="Z644">
        <v>1.15369E-4</v>
      </c>
      <c r="AA644">
        <v>0.99904699999999902</v>
      </c>
      <c r="AB644">
        <v>57</v>
      </c>
      <c r="AC644">
        <v>25.532399999999999</v>
      </c>
      <c r="AD644">
        <v>-1.0542275314930001</v>
      </c>
      <c r="AE644">
        <v>1.6142000000000301</v>
      </c>
      <c r="AF644">
        <v>-1.1268925491136501</v>
      </c>
      <c r="AG644">
        <v>-1.0542275314930001</v>
      </c>
      <c r="AH644">
        <v>25.515133980928798</v>
      </c>
      <c r="AI644">
        <v>92.363684482765706</v>
      </c>
      <c r="AJ644">
        <v>92.5288620903126</v>
      </c>
      <c r="AK644">
        <v>25.561755506423101</v>
      </c>
    </row>
    <row r="645" spans="1:37" x14ac:dyDescent="0.2">
      <c r="A645" t="str">
        <f>"20200111153415759"</f>
        <v>20200111153415759</v>
      </c>
      <c r="B645" t="str">
        <f>"1578728055746651"</f>
        <v>1578728055746651</v>
      </c>
      <c r="C645" t="s">
        <v>37</v>
      </c>
      <c r="D645">
        <v>4.8353669999999997</v>
      </c>
      <c r="E645">
        <v>0.496060099999999</v>
      </c>
      <c r="F645" t="s">
        <v>39</v>
      </c>
      <c r="G645">
        <v>-256.9101</v>
      </c>
      <c r="H645" s="1">
        <v>-1.3946449999999999E-6</v>
      </c>
      <c r="I645">
        <v>369.12729999999999</v>
      </c>
      <c r="J645">
        <v>-281.82159999999999</v>
      </c>
      <c r="K645">
        <v>1.05419</v>
      </c>
      <c r="L645">
        <v>367.54419999999999</v>
      </c>
      <c r="M645">
        <v>0.9997009</v>
      </c>
      <c r="N645">
        <v>0</v>
      </c>
      <c r="O645">
        <v>1.8854349999999999E-2</v>
      </c>
      <c r="P645">
        <v>0.99805270000000001</v>
      </c>
      <c r="Q645">
        <v>2.799658E-2</v>
      </c>
      <c r="R645">
        <v>5.5743170000000002E-2</v>
      </c>
      <c r="S645">
        <v>2.9989619999999899</v>
      </c>
      <c r="T645">
        <v>-0.12544569999999999</v>
      </c>
      <c r="U645">
        <v>0.1890259</v>
      </c>
      <c r="V645">
        <v>-3.6895490000000003E-2</v>
      </c>
      <c r="W645">
        <v>4.3578480000000003E-2</v>
      </c>
      <c r="X645">
        <v>0.99836849999999999</v>
      </c>
      <c r="Y645">
        <v>-4.4053170000000003E-2</v>
      </c>
      <c r="Z645">
        <v>1.3256060000000001E-4</v>
      </c>
      <c r="AA645">
        <v>0.99902919999999995</v>
      </c>
      <c r="AB645">
        <v>57</v>
      </c>
      <c r="AC645">
        <v>24.911499999999901</v>
      </c>
      <c r="AD645">
        <v>-1.0541913946449999</v>
      </c>
      <c r="AE645">
        <v>1.5831</v>
      </c>
      <c r="AF645">
        <v>-1.1110896917417901</v>
      </c>
      <c r="AG645">
        <v>-1.0541913946449999</v>
      </c>
      <c r="AH645">
        <v>24.892525199032001</v>
      </c>
      <c r="AI645">
        <v>92.422601755585006</v>
      </c>
      <c r="AJ645">
        <v>92.555727966808703</v>
      </c>
      <c r="AK645">
        <v>24.939600048599001</v>
      </c>
    </row>
    <row r="646" spans="1:37" x14ac:dyDescent="0.2">
      <c r="A646" t="str">
        <f>"20200111153415771"</f>
        <v>20200111153415771</v>
      </c>
      <c r="B646" t="str">
        <f>"1578728055757385"</f>
        <v>1578728055757385</v>
      </c>
      <c r="C646" t="s">
        <v>37</v>
      </c>
      <c r="D646">
        <v>4.8243</v>
      </c>
      <c r="E646">
        <v>0.49595790000000001</v>
      </c>
      <c r="F646" t="s">
        <v>39</v>
      </c>
      <c r="G646">
        <v>-257.12520000000001</v>
      </c>
      <c r="H646" s="1">
        <v>-1.3078260000000001E-6</v>
      </c>
      <c r="I646">
        <v>369.09660000000002</v>
      </c>
      <c r="J646">
        <v>-281.53559999999999</v>
      </c>
      <c r="K646">
        <v>1.054154</v>
      </c>
      <c r="L646">
        <v>367.54950000000002</v>
      </c>
      <c r="M646">
        <v>0.99970369999999997</v>
      </c>
      <c r="N646">
        <v>0</v>
      </c>
      <c r="O646">
        <v>1.8702489999999999E-2</v>
      </c>
      <c r="P646">
        <v>0.99806839999999997</v>
      </c>
      <c r="Q646">
        <v>2.76587999999999E-2</v>
      </c>
      <c r="R646">
        <v>5.5631970000000003E-2</v>
      </c>
      <c r="S646">
        <v>2.998901</v>
      </c>
      <c r="T646">
        <v>-0.1280105</v>
      </c>
      <c r="U646">
        <v>0.18850710000000001</v>
      </c>
      <c r="V646">
        <v>-3.6932689999999997E-2</v>
      </c>
      <c r="W646">
        <v>4.3241189999999999E-2</v>
      </c>
      <c r="X646">
        <v>0.99838179999999999</v>
      </c>
      <c r="Y646">
        <v>-4.4033040000000002E-2</v>
      </c>
      <c r="Z646">
        <v>1.4131340000000001E-4</v>
      </c>
      <c r="AA646">
        <v>0.99903009999999903</v>
      </c>
      <c r="AB646">
        <v>57</v>
      </c>
      <c r="AC646">
        <v>24.4103999999999</v>
      </c>
      <c r="AD646">
        <v>-1.054155307826</v>
      </c>
      <c r="AE646">
        <v>1.5470999999999999</v>
      </c>
      <c r="AF646">
        <v>-1.08821734150814</v>
      </c>
      <c r="AG646">
        <v>-1.054155307826</v>
      </c>
      <c r="AH646">
        <v>24.389764650702698</v>
      </c>
      <c r="AI646">
        <v>92.472396333525495</v>
      </c>
      <c r="AJ646">
        <v>92.554716561316297</v>
      </c>
      <c r="AK646">
        <v>24.436777203879501</v>
      </c>
    </row>
    <row r="647" spans="1:37" x14ac:dyDescent="0.2">
      <c r="A647" t="str">
        <f>"20200111153415783"</f>
        <v>20200111153415783</v>
      </c>
      <c r="B647" t="str">
        <f>"1578728055776906"</f>
        <v>1578728055776906</v>
      </c>
      <c r="C647" t="s">
        <v>37</v>
      </c>
      <c r="D647">
        <v>4.9167740000000002</v>
      </c>
      <c r="E647">
        <v>0.4776782</v>
      </c>
      <c r="F647" t="s">
        <v>39</v>
      </c>
      <c r="G647">
        <v>-257.10489999999999</v>
      </c>
      <c r="H647" s="1">
        <v>-1.318043E-6</v>
      </c>
      <c r="I647">
        <v>369.08789999999999</v>
      </c>
      <c r="J647">
        <v>-281.20850000000002</v>
      </c>
      <c r="K647">
        <v>1.054168</v>
      </c>
      <c r="L647">
        <v>367.55560000000003</v>
      </c>
      <c r="M647">
        <v>0.99970369999999997</v>
      </c>
      <c r="N647">
        <v>0</v>
      </c>
      <c r="O647">
        <v>1.8539130000000001E-2</v>
      </c>
      <c r="P647">
        <v>0.99807359999999901</v>
      </c>
      <c r="Q647">
        <v>2.72697999999999E-2</v>
      </c>
      <c r="R647">
        <v>5.572891E-2</v>
      </c>
      <c r="S647">
        <v>2.998901</v>
      </c>
      <c r="T647">
        <v>-0.1293986</v>
      </c>
      <c r="U647">
        <v>0.18884279999999901</v>
      </c>
      <c r="V647">
        <v>-3.7190059999999997E-2</v>
      </c>
      <c r="W647">
        <v>4.3052069999999998E-2</v>
      </c>
      <c r="X647">
        <v>0.99838039999999995</v>
      </c>
      <c r="Y647">
        <v>-4.4306709999999999E-2</v>
      </c>
      <c r="Z647">
        <v>1.557737E-4</v>
      </c>
      <c r="AA647">
        <v>0.99901799999999996</v>
      </c>
      <c r="AB647">
        <v>57</v>
      </c>
      <c r="AC647">
        <v>24.1036</v>
      </c>
      <c r="AD647">
        <v>-1.0541693180429901</v>
      </c>
      <c r="AE647">
        <v>1.53229999999996</v>
      </c>
      <c r="AF647">
        <v>-1.08305793555041</v>
      </c>
      <c r="AG647">
        <v>-1.0541693180429901</v>
      </c>
      <c r="AH647">
        <v>24.0819901760329</v>
      </c>
      <c r="AI647">
        <v>92.503947714018807</v>
      </c>
      <c r="AJ647">
        <v>92.575072111883799</v>
      </c>
      <c r="AK647">
        <v>24.129370863771101</v>
      </c>
    </row>
    <row r="648" spans="1:37" x14ac:dyDescent="0.2">
      <c r="A648" t="str">
        <f>"20200111153415795"</f>
        <v>20200111153415795</v>
      </c>
      <c r="B648" t="str">
        <f>"1578728055786665"</f>
        <v>1578728055786665</v>
      </c>
      <c r="C648" t="s">
        <v>37</v>
      </c>
      <c r="D648">
        <v>4.8404749999999996</v>
      </c>
      <c r="E648">
        <v>0.4718832</v>
      </c>
      <c r="F648" t="s">
        <v>39</v>
      </c>
      <c r="G648">
        <v>-262.21899999999999</v>
      </c>
      <c r="H648" s="1">
        <v>-3.334806E-6</v>
      </c>
      <c r="I648">
        <v>369.67059999999998</v>
      </c>
      <c r="J648">
        <v>-280.89890000000003</v>
      </c>
      <c r="K648">
        <v>1.0542929999999999</v>
      </c>
      <c r="L648">
        <v>367.56130000000002</v>
      </c>
      <c r="M648">
        <v>0.99969719999999995</v>
      </c>
      <c r="N648">
        <v>0</v>
      </c>
      <c r="O648">
        <v>1.8403940000000001E-2</v>
      </c>
      <c r="P648">
        <v>0.99809709999999996</v>
      </c>
      <c r="Q648">
        <v>2.631234E-2</v>
      </c>
      <c r="R648">
        <v>5.5767410000000003E-2</v>
      </c>
      <c r="S648">
        <v>2.99173</v>
      </c>
      <c r="T648">
        <v>-0.16608049999999999</v>
      </c>
      <c r="U648">
        <v>0.3332214</v>
      </c>
      <c r="V648">
        <v>-3.7362090000000001E-2</v>
      </c>
      <c r="W648">
        <v>4.2650460000000001E-2</v>
      </c>
      <c r="X648">
        <v>0.99839120000000003</v>
      </c>
      <c r="Y648">
        <v>-9.2272049999999994E-2</v>
      </c>
      <c r="Z648">
        <v>1.533749E-3</v>
      </c>
      <c r="AA648">
        <v>0.99573269999999903</v>
      </c>
      <c r="AB648">
        <v>57</v>
      </c>
      <c r="AC648">
        <v>18.6799</v>
      </c>
      <c r="AD648">
        <v>-1.0542963348059999</v>
      </c>
      <c r="AE648">
        <v>2.1092999999999602</v>
      </c>
      <c r="AF648">
        <v>-1.75957847789068</v>
      </c>
      <c r="AG648">
        <v>-1.0542963348059999</v>
      </c>
      <c r="AH648">
        <v>18.656876946925301</v>
      </c>
      <c r="AI648">
        <v>93.220073933337304</v>
      </c>
      <c r="AJ648">
        <v>95.387776842165195</v>
      </c>
      <c r="AK648">
        <v>18.769302453585102</v>
      </c>
    </row>
    <row r="649" spans="1:37" x14ac:dyDescent="0.2">
      <c r="A649" t="str">
        <f>"20200111153415808"</f>
        <v>20200111153415808</v>
      </c>
      <c r="B649" t="str">
        <f>"1578728055797402"</f>
        <v>1578728055797402</v>
      </c>
      <c r="C649" t="s">
        <v>37</v>
      </c>
      <c r="D649">
        <v>4.8764339999999997</v>
      </c>
      <c r="E649">
        <v>0.46778609999999998</v>
      </c>
      <c r="F649" t="s">
        <v>39</v>
      </c>
      <c r="G649">
        <v>-260.86759999999998</v>
      </c>
      <c r="H649" s="1">
        <v>-4.0311430000000004E-6</v>
      </c>
      <c r="I649">
        <v>370.10890000000001</v>
      </c>
      <c r="J649">
        <v>-280.59160000000003</v>
      </c>
      <c r="K649">
        <v>1.0545850000000001</v>
      </c>
      <c r="L649">
        <v>367.56689999999998</v>
      </c>
      <c r="M649">
        <v>0.99968809999999997</v>
      </c>
      <c r="N649">
        <v>0</v>
      </c>
      <c r="O649">
        <v>1.8271619999999999E-2</v>
      </c>
      <c r="P649">
        <v>0.99811939999999999</v>
      </c>
      <c r="Q649">
        <v>2.5443469999999999E-2</v>
      </c>
      <c r="R649">
        <v>5.5771309999999998E-2</v>
      </c>
      <c r="S649">
        <v>2.9886169999999899</v>
      </c>
      <c r="T649">
        <v>-0.15729770000000001</v>
      </c>
      <c r="U649">
        <v>0.3800964</v>
      </c>
      <c r="V649">
        <v>-3.7496639999999998E-2</v>
      </c>
      <c r="W649">
        <v>4.2465139999999998E-2</v>
      </c>
      <c r="X649">
        <v>0.99839409999999895</v>
      </c>
      <c r="Y649">
        <v>-0.1078938</v>
      </c>
      <c r="Z649">
        <v>1.8690379999999999E-3</v>
      </c>
      <c r="AA649">
        <v>0.99416070000000001</v>
      </c>
      <c r="AB649">
        <v>57</v>
      </c>
      <c r="AC649">
        <v>19.724</v>
      </c>
      <c r="AD649">
        <v>-1.054589031143</v>
      </c>
      <c r="AE649">
        <v>2.54200000000003</v>
      </c>
      <c r="AF649">
        <v>-2.1750175942676901</v>
      </c>
      <c r="AG649">
        <v>-1.054589031143</v>
      </c>
      <c r="AH649">
        <v>19.7117292411412</v>
      </c>
      <c r="AI649">
        <v>93.0439984996286</v>
      </c>
      <c r="AJ649">
        <v>96.296618358319606</v>
      </c>
      <c r="AK649">
        <v>19.8593839087733</v>
      </c>
    </row>
    <row r="650" spans="1:37" x14ac:dyDescent="0.2">
      <c r="A650" t="str">
        <f>"20200111153415819"</f>
        <v>20200111153415819</v>
      </c>
      <c r="B650" t="str">
        <f>"1578728055816921"</f>
        <v>1578728055816921</v>
      </c>
      <c r="C650" t="s">
        <v>37</v>
      </c>
      <c r="D650">
        <v>4.854819</v>
      </c>
      <c r="E650">
        <v>0.46405740000000001</v>
      </c>
      <c r="F650" t="s">
        <v>39</v>
      </c>
      <c r="G650">
        <v>-260.3177</v>
      </c>
      <c r="H650" s="1">
        <v>-4.3018509999999902E-6</v>
      </c>
      <c r="I650">
        <v>370.37130000000002</v>
      </c>
      <c r="J650">
        <v>-280.28710000000001</v>
      </c>
      <c r="K650">
        <v>1.054945</v>
      </c>
      <c r="L650">
        <v>367.57240000000002</v>
      </c>
      <c r="M650">
        <v>0.99967890000000004</v>
      </c>
      <c r="N650">
        <v>0</v>
      </c>
      <c r="O650">
        <v>1.8139619999999999E-2</v>
      </c>
      <c r="P650">
        <v>0.998138999999999</v>
      </c>
      <c r="Q650">
        <v>2.4316089999999999E-2</v>
      </c>
      <c r="R650">
        <v>5.5926940000000001E-2</v>
      </c>
      <c r="S650">
        <v>2.9865110000000001</v>
      </c>
      <c r="T650">
        <v>-0.15534879999999901</v>
      </c>
      <c r="U650">
        <v>0.4131165</v>
      </c>
      <c r="V650">
        <v>-3.7782999999999997E-2</v>
      </c>
      <c r="W650">
        <v>4.2018750000000001E-2</v>
      </c>
      <c r="X650">
        <v>0.99840219999999902</v>
      </c>
      <c r="Y650">
        <v>-0.1188953</v>
      </c>
      <c r="Z650">
        <v>2.13729E-3</v>
      </c>
      <c r="AA650">
        <v>0.99290449999999997</v>
      </c>
      <c r="AB650">
        <v>56</v>
      </c>
      <c r="AC650">
        <v>19.9694</v>
      </c>
      <c r="AD650">
        <v>-1.0549493018510001</v>
      </c>
      <c r="AE650">
        <v>2.7989000000000002</v>
      </c>
      <c r="AF650">
        <v>-2.4294956194990802</v>
      </c>
      <c r="AG650">
        <v>-1.0549493018510001</v>
      </c>
      <c r="AH650">
        <v>19.9622543235891</v>
      </c>
      <c r="AI650">
        <v>93.002990215088303</v>
      </c>
      <c r="AJ650">
        <v>96.939026630734801</v>
      </c>
      <c r="AK650">
        <v>20.137203496868501</v>
      </c>
    </row>
    <row r="651" spans="1:37" x14ac:dyDescent="0.2">
      <c r="A651" t="str">
        <f>"20200111153415832"</f>
        <v>20200111153415832</v>
      </c>
      <c r="B651" t="str">
        <f>"1578728055826682"</f>
        <v>1578728055826682</v>
      </c>
      <c r="C651" t="s">
        <v>37</v>
      </c>
      <c r="D651">
        <v>4.8603100000000001</v>
      </c>
      <c r="E651">
        <v>0.463225</v>
      </c>
      <c r="F651" t="s">
        <v>39</v>
      </c>
      <c r="G651">
        <v>-260.03390000000002</v>
      </c>
      <c r="H651" s="1">
        <v>-4.4357340000000002E-6</v>
      </c>
      <c r="I651">
        <v>370.58170000000001</v>
      </c>
      <c r="J651">
        <v>-279.95370000000003</v>
      </c>
      <c r="K651">
        <v>1.0553980000000001</v>
      </c>
      <c r="L651">
        <v>367.57839999999999</v>
      </c>
      <c r="M651">
        <v>0.99967819999999996</v>
      </c>
      <c r="N651">
        <v>0</v>
      </c>
      <c r="O651">
        <v>1.798071E-2</v>
      </c>
      <c r="P651">
        <v>0.99815759999999898</v>
      </c>
      <c r="Q651">
        <v>2.358791E-2</v>
      </c>
      <c r="R651">
        <v>5.5902790000000001E-2</v>
      </c>
      <c r="S651">
        <v>2.9845280000000001</v>
      </c>
      <c r="T651">
        <v>-0.15545799999999901</v>
      </c>
      <c r="U651">
        <v>0.44345089999999998</v>
      </c>
      <c r="V651">
        <v>-3.7914280000000002E-2</v>
      </c>
      <c r="W651">
        <v>4.1491819999999999E-2</v>
      </c>
      <c r="X651">
        <v>0.99841919999999995</v>
      </c>
      <c r="Y651">
        <v>-0.1290106</v>
      </c>
      <c r="Z651">
        <v>2.4087319999999998E-3</v>
      </c>
      <c r="AA651">
        <v>0.99164030000000003</v>
      </c>
      <c r="AB651">
        <v>56</v>
      </c>
      <c r="AC651">
        <v>19.919799999999999</v>
      </c>
      <c r="AD651">
        <v>-1.0554024357339999</v>
      </c>
      <c r="AE651">
        <v>3.0033000000000198</v>
      </c>
      <c r="AF651">
        <v>-2.6373459247460902</v>
      </c>
      <c r="AG651">
        <v>-1.0554024357339999</v>
      </c>
      <c r="AH651">
        <v>19.915924264438502</v>
      </c>
      <c r="AI651">
        <v>93.007227548257205</v>
      </c>
      <c r="AJ651">
        <v>97.543445165719106</v>
      </c>
      <c r="AK651">
        <v>20.117492565799001</v>
      </c>
    </row>
    <row r="652" spans="1:37" x14ac:dyDescent="0.2">
      <c r="A652" t="str">
        <f>"20200111153415845"</f>
        <v>20200111153415845</v>
      </c>
      <c r="B652" t="str">
        <f>"1578728055837418"</f>
        <v>1578728055837418</v>
      </c>
      <c r="C652" t="s">
        <v>37</v>
      </c>
      <c r="D652">
        <v>4.8233259999999998</v>
      </c>
      <c r="E652">
        <v>0.4628237</v>
      </c>
      <c r="F652" t="s">
        <v>39</v>
      </c>
      <c r="G652">
        <v>-259.8064</v>
      </c>
      <c r="H652" s="1">
        <v>-3.3174900000000001E-7</v>
      </c>
      <c r="I652">
        <v>370.61739999999998</v>
      </c>
      <c r="J652">
        <v>-279.65890000000002</v>
      </c>
      <c r="K652">
        <v>1.055768</v>
      </c>
      <c r="L652">
        <v>367.58359999999999</v>
      </c>
      <c r="M652">
        <v>0.99968679999999999</v>
      </c>
      <c r="N652">
        <v>0</v>
      </c>
      <c r="O652">
        <v>1.7834340000000001E-2</v>
      </c>
      <c r="P652">
        <v>0.99814409999999898</v>
      </c>
      <c r="Q652">
        <v>2.3631619999999999E-2</v>
      </c>
      <c r="R652">
        <v>5.6124559999999997E-2</v>
      </c>
      <c r="S652">
        <v>2.9840089999999999</v>
      </c>
      <c r="T652">
        <v>-0.1563137</v>
      </c>
      <c r="U652">
        <v>0.450103799999999</v>
      </c>
      <c r="V652">
        <v>-3.8280380000000003E-2</v>
      </c>
      <c r="W652">
        <v>4.119548E-2</v>
      </c>
      <c r="X652">
        <v>0.99841749999999996</v>
      </c>
      <c r="Y652">
        <v>-0.13133810000000001</v>
      </c>
      <c r="Z652">
        <v>2.4901950000000002E-3</v>
      </c>
      <c r="AA652">
        <v>0.99133449999999901</v>
      </c>
      <c r="AB652">
        <v>56</v>
      </c>
      <c r="AC652">
        <v>19.852499999999999</v>
      </c>
      <c r="AD652">
        <v>-1.0557683317490001</v>
      </c>
      <c r="AE652">
        <v>3.0337999999999798</v>
      </c>
      <c r="AF652">
        <v>-2.6718225737515402</v>
      </c>
      <c r="AG652">
        <v>-1.0557683317490001</v>
      </c>
      <c r="AH652">
        <v>19.848601381272299</v>
      </c>
      <c r="AI652">
        <v>93.017588981814598</v>
      </c>
      <c r="AJ652">
        <v>97.6665078767399</v>
      </c>
      <c r="AK652">
        <v>20.0554296744941</v>
      </c>
    </row>
    <row r="653" spans="1:37" x14ac:dyDescent="0.2">
      <c r="A653" t="str">
        <f>"20200111153415858"</f>
        <v>20200111153415858</v>
      </c>
      <c r="B653" t="str">
        <f>"1578728055847178"</f>
        <v>1578728055847178</v>
      </c>
      <c r="C653" t="s">
        <v>37</v>
      </c>
      <c r="D653">
        <v>4.8321009999999998</v>
      </c>
      <c r="E653">
        <v>0.46270159999999899</v>
      </c>
      <c r="F653" t="s">
        <v>39</v>
      </c>
      <c r="G653">
        <v>-259.46870000000001</v>
      </c>
      <c r="H653" s="1">
        <v>-4.8710399999999997E-7</v>
      </c>
      <c r="I653">
        <v>370.65679999999998</v>
      </c>
      <c r="J653">
        <v>-279.31529999999998</v>
      </c>
      <c r="K653">
        <v>1.0561639999999901</v>
      </c>
      <c r="L653">
        <v>367.58969999999999</v>
      </c>
      <c r="M653">
        <v>0.99970630000000005</v>
      </c>
      <c r="N653">
        <v>0</v>
      </c>
      <c r="O653">
        <v>1.7657699999999998E-2</v>
      </c>
      <c r="P653">
        <v>0.99811399999999995</v>
      </c>
      <c r="Q653">
        <v>2.4203659999999998E-2</v>
      </c>
      <c r="R653">
        <v>5.6414690000000003E-2</v>
      </c>
      <c r="S653">
        <v>2.9837340000000001</v>
      </c>
      <c r="T653">
        <v>-0.15602170000000001</v>
      </c>
      <c r="U653">
        <v>0.45416260000000003</v>
      </c>
      <c r="V653">
        <v>-3.8744670000000002E-2</v>
      </c>
      <c r="W653">
        <v>4.0821950000000003E-2</v>
      </c>
      <c r="X653">
        <v>0.99841489999999999</v>
      </c>
      <c r="Y653">
        <v>-0.1328434</v>
      </c>
      <c r="Z653">
        <v>2.5338190000000001E-3</v>
      </c>
      <c r="AA653">
        <v>0.99113379999999995</v>
      </c>
      <c r="AB653">
        <v>56</v>
      </c>
      <c r="AC653">
        <v>19.846599999999899</v>
      </c>
      <c r="AD653">
        <v>-1.0561644871039999</v>
      </c>
      <c r="AE653">
        <v>3.06709999999998</v>
      </c>
      <c r="AF653">
        <v>-2.7086361932829699</v>
      </c>
      <c r="AG653">
        <v>-1.0561644871039999</v>
      </c>
      <c r="AH653">
        <v>19.8427865763217</v>
      </c>
      <c r="AI653">
        <v>93.018842094467004</v>
      </c>
      <c r="AJ653">
        <v>97.773107941100804</v>
      </c>
      <c r="AK653">
        <v>20.054634690385999</v>
      </c>
    </row>
    <row r="654" spans="1:37" x14ac:dyDescent="0.2">
      <c r="A654" t="str">
        <f>"20200111153415871"</f>
        <v>20200111153415871</v>
      </c>
      <c r="B654" t="str">
        <f>"1578728055866697"</f>
        <v>1578728055866697</v>
      </c>
      <c r="C654" t="s">
        <v>37</v>
      </c>
      <c r="D654">
        <v>4.8351360000000003</v>
      </c>
      <c r="E654">
        <v>0.462572599999999</v>
      </c>
      <c r="F654" t="s">
        <v>39</v>
      </c>
      <c r="G654">
        <v>-258.77679999999998</v>
      </c>
      <c r="H654" s="1">
        <v>-8.0351699999999995E-7</v>
      </c>
      <c r="I654">
        <v>370.73050000000001</v>
      </c>
      <c r="J654">
        <v>-279.00659999999999</v>
      </c>
      <c r="K654">
        <v>1.05662099999999</v>
      </c>
      <c r="L654">
        <v>367.5949</v>
      </c>
      <c r="M654">
        <v>0.99972919999999998</v>
      </c>
      <c r="N654">
        <v>0</v>
      </c>
      <c r="O654">
        <v>1.752213E-2</v>
      </c>
      <c r="P654">
        <v>0.99809530000000002</v>
      </c>
      <c r="Q654">
        <v>2.525059E-2</v>
      </c>
      <c r="R654">
        <v>5.6286450000000002E-2</v>
      </c>
      <c r="S654">
        <v>2.9836119999999999</v>
      </c>
      <c r="T654">
        <v>-0.153427799999999</v>
      </c>
      <c r="U654">
        <v>0.45626830000000002</v>
      </c>
      <c r="V654">
        <v>-3.8749810000000003E-2</v>
      </c>
      <c r="W654">
        <v>4.0578490000000002E-2</v>
      </c>
      <c r="X654">
        <v>0.998424599999999</v>
      </c>
      <c r="Y654">
        <v>-0.1336716</v>
      </c>
      <c r="Z654">
        <v>2.5198159999999998E-3</v>
      </c>
      <c r="AA654">
        <v>0.99102250000000003</v>
      </c>
      <c r="AB654">
        <v>56</v>
      </c>
      <c r="AC654">
        <v>20.229800000000001</v>
      </c>
      <c r="AD654">
        <v>-1.0566218035169901</v>
      </c>
      <c r="AE654">
        <v>3.1356000000000099</v>
      </c>
      <c r="AF654">
        <v>-2.7732196921675398</v>
      </c>
      <c r="AG654">
        <v>-1.0566218035169901</v>
      </c>
      <c r="AH654">
        <v>20.227754199998898</v>
      </c>
      <c r="AI654">
        <v>92.9625355718386</v>
      </c>
      <c r="AJ654">
        <v>97.806567206921699</v>
      </c>
      <c r="AK654">
        <v>20.4442959544287</v>
      </c>
    </row>
    <row r="655" spans="1:37" x14ac:dyDescent="0.2">
      <c r="A655" t="str">
        <f>"20200111153415882"</f>
        <v>20200111153415882</v>
      </c>
      <c r="B655" t="str">
        <f>"1578728055877434"</f>
        <v>1578728055877434</v>
      </c>
      <c r="C655" t="s">
        <v>37</v>
      </c>
      <c r="D655">
        <v>4.8280900000000004</v>
      </c>
      <c r="E655">
        <v>0.46236480000000002</v>
      </c>
      <c r="F655" t="s">
        <v>39</v>
      </c>
      <c r="G655">
        <v>-257.80619999999999</v>
      </c>
      <c r="H655" s="1">
        <v>-1.2494409999999999E-6</v>
      </c>
      <c r="I655">
        <v>370.84140000000002</v>
      </c>
      <c r="J655">
        <v>-278.72109999999998</v>
      </c>
      <c r="K655">
        <v>1.0571219999999999</v>
      </c>
      <c r="L655">
        <v>367.59989999999999</v>
      </c>
      <c r="M655">
        <v>0.99975049999999899</v>
      </c>
      <c r="N655">
        <v>0</v>
      </c>
      <c r="O655">
        <v>1.7273170000000001E-2</v>
      </c>
      <c r="P655">
        <v>0.99808349999999901</v>
      </c>
      <c r="Q655">
        <v>2.640818E-2</v>
      </c>
      <c r="R655">
        <v>5.5963529999999997E-2</v>
      </c>
      <c r="S655">
        <v>2.9837340000000001</v>
      </c>
      <c r="T655">
        <v>-0.1487077</v>
      </c>
      <c r="U655">
        <v>0.45690920000000002</v>
      </c>
      <c r="V655">
        <v>-3.8675050000000002E-2</v>
      </c>
      <c r="W655">
        <v>4.059231E-2</v>
      </c>
      <c r="X655">
        <v>0.99842699999999995</v>
      </c>
      <c r="Y655">
        <v>-0.13412869999999999</v>
      </c>
      <c r="Z655">
        <v>2.46591E-3</v>
      </c>
      <c r="AA655">
        <v>0.99096079999999998</v>
      </c>
      <c r="AB655">
        <v>56</v>
      </c>
      <c r="AC655">
        <v>20.9148999999999</v>
      </c>
      <c r="AD655">
        <v>-1.0571232494409999</v>
      </c>
      <c r="AE655">
        <v>3.24150000000003</v>
      </c>
      <c r="AF655">
        <v>-2.8725470836121998</v>
      </c>
      <c r="AG655">
        <v>-1.0571232494409999</v>
      </c>
      <c r="AH655">
        <v>20.9155959620381</v>
      </c>
      <c r="AI655">
        <v>92.866538033711507</v>
      </c>
      <c r="AJ655">
        <v>97.820076766965698</v>
      </c>
      <c r="AK655">
        <v>21.138381933329299</v>
      </c>
    </row>
    <row r="656" spans="1:37" x14ac:dyDescent="0.2">
      <c r="A656" t="str">
        <f>"20200111153415894"</f>
        <v>20200111153415894</v>
      </c>
      <c r="B656" t="str">
        <f>"1578728055887195"</f>
        <v>1578728055887195</v>
      </c>
      <c r="C656" t="s">
        <v>37</v>
      </c>
      <c r="D656">
        <v>4.9629320000000003</v>
      </c>
      <c r="E656">
        <v>0.46191260000000001</v>
      </c>
      <c r="F656" t="s">
        <v>39</v>
      </c>
      <c r="G656">
        <v>-256.97919999999999</v>
      </c>
      <c r="H656" s="1">
        <v>-1.629016E-6</v>
      </c>
      <c r="I656">
        <v>370.93459999999999</v>
      </c>
      <c r="J656">
        <v>-278.42959999999999</v>
      </c>
      <c r="K656">
        <v>1.057825</v>
      </c>
      <c r="L656">
        <v>367.60489999999999</v>
      </c>
      <c r="M656">
        <v>0.9997741</v>
      </c>
      <c r="N656">
        <v>0</v>
      </c>
      <c r="O656">
        <v>1.6721320000000001E-2</v>
      </c>
      <c r="P656">
        <v>0.9981082</v>
      </c>
      <c r="Q656">
        <v>2.724505E-2</v>
      </c>
      <c r="R656">
        <v>5.5119149999999999E-2</v>
      </c>
      <c r="S656">
        <v>2.9839479999999998</v>
      </c>
      <c r="T656">
        <v>-0.14508299999999999</v>
      </c>
      <c r="U656">
        <v>0.45767209999999903</v>
      </c>
      <c r="V656">
        <v>-3.8384460000000002E-2</v>
      </c>
      <c r="W656">
        <v>4.0395540000000001E-2</v>
      </c>
      <c r="X656">
        <v>0.99844619999999995</v>
      </c>
      <c r="Y656">
        <v>-0.13491819999999999</v>
      </c>
      <c r="Z656">
        <v>2.4513809999999999E-3</v>
      </c>
      <c r="AA656">
        <v>0.99085369999999995</v>
      </c>
      <c r="AB656">
        <v>57</v>
      </c>
      <c r="AC656">
        <v>21.450399999999998</v>
      </c>
      <c r="AD656">
        <v>-1.0578266290160001</v>
      </c>
      <c r="AE656">
        <v>3.3296999999999999</v>
      </c>
      <c r="AF656">
        <v>-2.96348697495816</v>
      </c>
      <c r="AG656">
        <v>-1.0578266290160001</v>
      </c>
      <c r="AH656">
        <v>21.4521388138606</v>
      </c>
      <c r="AI656">
        <v>92.796510937719304</v>
      </c>
      <c r="AJ656">
        <v>97.865294277078604</v>
      </c>
      <c r="AK656">
        <v>21.6816860948807</v>
      </c>
    </row>
    <row r="657" spans="1:37" x14ac:dyDescent="0.2">
      <c r="A657" t="str">
        <f>"20200111153415904"</f>
        <v>20200111153415904</v>
      </c>
      <c r="B657" t="str">
        <f>"1578728055896953"</f>
        <v>1578728055896953</v>
      </c>
      <c r="C657" t="s">
        <v>37</v>
      </c>
      <c r="D657">
        <v>4.8290470000000001</v>
      </c>
      <c r="E657">
        <v>0.4617907</v>
      </c>
      <c r="F657" t="s">
        <v>39</v>
      </c>
      <c r="G657">
        <v>-256.11790000000002</v>
      </c>
      <c r="H657" s="1">
        <v>-2.0248839999999999E-6</v>
      </c>
      <c r="I657">
        <v>371.03370000000001</v>
      </c>
      <c r="J657">
        <v>-278.16419999999999</v>
      </c>
      <c r="K657">
        <v>1.058567</v>
      </c>
      <c r="L657">
        <v>367.60939999999999</v>
      </c>
      <c r="M657">
        <v>0.9997914</v>
      </c>
      <c r="N657">
        <v>0</v>
      </c>
      <c r="O657">
        <v>1.6202919999999999E-2</v>
      </c>
      <c r="P657">
        <v>0.99811459999999996</v>
      </c>
      <c r="Q657">
        <v>2.8306169999999999E-2</v>
      </c>
      <c r="R657">
        <v>5.4462530000000002E-2</v>
      </c>
      <c r="S657">
        <v>2.9842529999999998</v>
      </c>
      <c r="T657">
        <v>-0.14148629999999901</v>
      </c>
      <c r="U657">
        <v>0.45861819999999998</v>
      </c>
      <c r="V657">
        <v>-3.8242470000000001E-2</v>
      </c>
      <c r="W657">
        <v>4.0770969999999997E-2</v>
      </c>
      <c r="X657">
        <v>0.9984364</v>
      </c>
      <c r="Y657">
        <v>-0.13572899999999999</v>
      </c>
      <c r="Z657">
        <v>2.4338900000000002E-3</v>
      </c>
      <c r="AA657">
        <v>0.99074300000000004</v>
      </c>
      <c r="AB657">
        <v>57</v>
      </c>
      <c r="AC657">
        <v>22.046299999999899</v>
      </c>
      <c r="AD657">
        <v>-1.0585690248840001</v>
      </c>
      <c r="AE657">
        <v>3.4243000000000099</v>
      </c>
      <c r="AF657">
        <v>-3.05972030855169</v>
      </c>
      <c r="AG657">
        <v>-1.0585690248840001</v>
      </c>
      <c r="AH657">
        <v>22.049256093285699</v>
      </c>
      <c r="AI657">
        <v>92.722570293289493</v>
      </c>
      <c r="AJ657">
        <v>97.900339561383106</v>
      </c>
      <c r="AK657">
        <v>22.285693864322599</v>
      </c>
    </row>
    <row r="658" spans="1:37" x14ac:dyDescent="0.2">
      <c r="A658" t="str">
        <f>"20200111153415915"</f>
        <v>20200111153415915</v>
      </c>
      <c r="B658" t="str">
        <f>"1578728055906714"</f>
        <v>1578728055906714</v>
      </c>
      <c r="C658" t="s">
        <v>37</v>
      </c>
      <c r="D658">
        <v>4.8189729999999997</v>
      </c>
      <c r="E658">
        <v>0.46171069999999997</v>
      </c>
      <c r="F658" t="s">
        <v>39</v>
      </c>
      <c r="G658">
        <v>-255.34540000000001</v>
      </c>
      <c r="H658" s="1">
        <v>-2.3765309999999998E-6</v>
      </c>
      <c r="I658">
        <v>371.10989999999998</v>
      </c>
      <c r="J658">
        <v>-277.885999999999</v>
      </c>
      <c r="K658">
        <v>1.0594509999999999</v>
      </c>
      <c r="L658">
        <v>367.61430000000001</v>
      </c>
      <c r="M658">
        <v>0.99980599999999997</v>
      </c>
      <c r="N658">
        <v>0</v>
      </c>
      <c r="O658">
        <v>1.5644370000000001E-2</v>
      </c>
      <c r="P658">
        <v>0.99813969999999896</v>
      </c>
      <c r="Q658">
        <v>2.9207509999999999E-2</v>
      </c>
      <c r="R658">
        <v>5.3519009999999999E-2</v>
      </c>
      <c r="S658">
        <v>2.9846499999999998</v>
      </c>
      <c r="T658">
        <v>-0.13845829999999901</v>
      </c>
      <c r="U658">
        <v>0.45785519999999902</v>
      </c>
      <c r="V658">
        <v>-3.7847600000000002E-2</v>
      </c>
      <c r="W658">
        <v>4.1201670000000003E-2</v>
      </c>
      <c r="X658">
        <v>0.99843379999999904</v>
      </c>
      <c r="Y658">
        <v>-0.13602</v>
      </c>
      <c r="Z658">
        <v>2.4140329999999999E-3</v>
      </c>
      <c r="AA658">
        <v>0.99070319999999901</v>
      </c>
      <c r="AB658">
        <v>56</v>
      </c>
      <c r="AC658">
        <v>22.540599999999898</v>
      </c>
      <c r="AD658">
        <v>-1.0594533765309999</v>
      </c>
      <c r="AE658">
        <v>3.4955999999999601</v>
      </c>
      <c r="AF658">
        <v>-3.1357486366032199</v>
      </c>
      <c r="AG658">
        <v>-1.0594533765309999</v>
      </c>
      <c r="AH658">
        <v>22.5438973738427</v>
      </c>
      <c r="AI658">
        <v>92.665023228674102</v>
      </c>
      <c r="AJ658">
        <v>97.918761225916896</v>
      </c>
      <c r="AK658">
        <v>22.785580303590098</v>
      </c>
    </row>
    <row r="659" spans="1:37" x14ac:dyDescent="0.2">
      <c r="A659" t="str">
        <f>"20200111153415927"</f>
        <v>20200111153415927</v>
      </c>
      <c r="B659" t="str">
        <f>"1578728055917450"</f>
        <v>1578728055917450</v>
      </c>
      <c r="C659" t="s">
        <v>37</v>
      </c>
      <c r="D659">
        <v>4.8566900000000004</v>
      </c>
      <c r="E659">
        <v>0.46160029999999902</v>
      </c>
      <c r="F659" t="s">
        <v>39</v>
      </c>
      <c r="G659">
        <v>-254.5635</v>
      </c>
      <c r="H659" s="1">
        <v>-2.7296309999999999E-6</v>
      </c>
      <c r="I659">
        <v>371.17630000000003</v>
      </c>
      <c r="J659">
        <v>-277.58920000000001</v>
      </c>
      <c r="K659">
        <v>1.060565</v>
      </c>
      <c r="L659">
        <v>367.61950000000002</v>
      </c>
      <c r="M659">
        <v>0.99981559999999903</v>
      </c>
      <c r="N659">
        <v>0</v>
      </c>
      <c r="O659">
        <v>1.516992E-2</v>
      </c>
      <c r="P659">
        <v>0.99817459999999902</v>
      </c>
      <c r="Q659">
        <v>2.9834179999999998E-2</v>
      </c>
      <c r="R659">
        <v>5.2511229999999999E-2</v>
      </c>
      <c r="S659">
        <v>2.9851070000000002</v>
      </c>
      <c r="T659">
        <v>-0.13560129999999901</v>
      </c>
      <c r="U659">
        <v>0.45590209999999998</v>
      </c>
      <c r="V659">
        <v>-3.7295120000000001E-2</v>
      </c>
      <c r="W659">
        <v>4.1647610000000002E-2</v>
      </c>
      <c r="X659">
        <v>0.99843599999999999</v>
      </c>
      <c r="Y659">
        <v>-0.13583899999999999</v>
      </c>
      <c r="Z659">
        <v>2.3813479999999902E-3</v>
      </c>
      <c r="AA659">
        <v>0.990728099999999</v>
      </c>
      <c r="AB659">
        <v>56</v>
      </c>
      <c r="AC659">
        <v>23.025700000000001</v>
      </c>
      <c r="AD659">
        <v>-1.0605677296310001</v>
      </c>
      <c r="AE659">
        <v>3.5568</v>
      </c>
      <c r="AF659">
        <v>-3.2004368054107899</v>
      </c>
      <c r="AG659">
        <v>-1.0605677296310001</v>
      </c>
      <c r="AH659">
        <v>23.0292912614775</v>
      </c>
      <c r="AI659">
        <v>92.611714346424606</v>
      </c>
      <c r="AJ659">
        <v>97.9118591967855</v>
      </c>
      <c r="AK659">
        <v>23.274790131395999</v>
      </c>
    </row>
    <row r="660" spans="1:37" x14ac:dyDescent="0.2">
      <c r="A660" t="str">
        <f>"20200111153415939"</f>
        <v>20200111153415939</v>
      </c>
      <c r="B660" t="str">
        <f>"1578728055936970"</f>
        <v>1578728055936970</v>
      </c>
      <c r="C660" t="s">
        <v>37</v>
      </c>
      <c r="D660">
        <v>4.8913989999999998</v>
      </c>
      <c r="E660">
        <v>0.46135470000000001</v>
      </c>
      <c r="F660" t="s">
        <v>39</v>
      </c>
      <c r="G660">
        <v>-253.78030000000001</v>
      </c>
      <c r="H660" s="1">
        <v>-3.0825279999999899E-6</v>
      </c>
      <c r="I660">
        <v>371.2398</v>
      </c>
      <c r="J660">
        <v>-277.28719999999998</v>
      </c>
      <c r="K660">
        <v>1.0617780000000001</v>
      </c>
      <c r="L660">
        <v>367.62479999999999</v>
      </c>
      <c r="M660">
        <v>0.99982260000000001</v>
      </c>
      <c r="N660">
        <v>0</v>
      </c>
      <c r="O660">
        <v>1.4761369999999999E-2</v>
      </c>
      <c r="P660">
        <v>0.99818890000000005</v>
      </c>
      <c r="Q660">
        <v>3.050783E-2</v>
      </c>
      <c r="R660">
        <v>5.1848459999999999E-2</v>
      </c>
      <c r="S660">
        <v>2.9855649999999998</v>
      </c>
      <c r="T660">
        <v>-0.13299169999999999</v>
      </c>
      <c r="U660">
        <v>0.45397949999999998</v>
      </c>
      <c r="V660">
        <v>-3.7017050000000003E-2</v>
      </c>
      <c r="W660">
        <v>4.2274569999999997E-2</v>
      </c>
      <c r="X660">
        <v>0.99842009999999903</v>
      </c>
      <c r="Y660">
        <v>-0.1356021</v>
      </c>
      <c r="Z660">
        <v>2.3481550000000002E-3</v>
      </c>
      <c r="AA660">
        <v>0.99076059999999999</v>
      </c>
      <c r="AB660">
        <v>56</v>
      </c>
      <c r="AC660">
        <v>23.506899999999899</v>
      </c>
      <c r="AD660">
        <v>-1.0617810825280001</v>
      </c>
      <c r="AE660">
        <v>3.6150000000000002</v>
      </c>
      <c r="AF660">
        <v>-3.2610886187966299</v>
      </c>
      <c r="AG660">
        <v>-1.0617810825280001</v>
      </c>
      <c r="AH660">
        <v>23.510845126145199</v>
      </c>
      <c r="AI660">
        <v>92.561308374314393</v>
      </c>
      <c r="AJ660">
        <v>97.896866059958398</v>
      </c>
      <c r="AK660">
        <v>23.759669959669999</v>
      </c>
    </row>
    <row r="661" spans="1:37" x14ac:dyDescent="0.2">
      <c r="A661" t="str">
        <f>"20200111153415951"</f>
        <v>20200111153415951</v>
      </c>
      <c r="B661" t="str">
        <f>"1578728055946729"</f>
        <v>1578728055946729</v>
      </c>
      <c r="C661" t="s">
        <v>37</v>
      </c>
      <c r="D661">
        <v>4.886711</v>
      </c>
      <c r="E661">
        <v>0.46123310000000001</v>
      </c>
      <c r="F661" t="s">
        <v>39</v>
      </c>
      <c r="G661">
        <v>-252.99529999999999</v>
      </c>
      <c r="H661" s="1">
        <v>-3.440136E-6</v>
      </c>
      <c r="I661">
        <v>371.31819999999999</v>
      </c>
      <c r="J661">
        <v>-276.98860000000002</v>
      </c>
      <c r="K661">
        <v>1.063207</v>
      </c>
      <c r="L661">
        <v>367.62970000000001</v>
      </c>
      <c r="M661">
        <v>0.99982090000000001</v>
      </c>
      <c r="N661">
        <v>0</v>
      </c>
      <c r="O661">
        <v>1.484921E-2</v>
      </c>
      <c r="P661">
        <v>0.99818809999999902</v>
      </c>
      <c r="Q661">
        <v>3.1101219999999999E-2</v>
      </c>
      <c r="R661">
        <v>5.151099E-2</v>
      </c>
      <c r="S661">
        <v>2.9858090000000002</v>
      </c>
      <c r="T661">
        <v>-0.13050709999999999</v>
      </c>
      <c r="U661">
        <v>0.45397949999999998</v>
      </c>
      <c r="V661">
        <v>-3.6568530000000002E-2</v>
      </c>
      <c r="W661">
        <v>4.2914380000000002E-2</v>
      </c>
      <c r="X661">
        <v>0.99840930000000006</v>
      </c>
      <c r="Y661">
        <v>-0.1355075</v>
      </c>
      <c r="Z661">
        <v>2.2982749999999998E-3</v>
      </c>
      <c r="AA661">
        <v>0.99077369999999898</v>
      </c>
      <c r="AB661">
        <v>56</v>
      </c>
      <c r="AC661">
        <v>23.993300000000001</v>
      </c>
      <c r="AD661">
        <v>-1.0632104401360001</v>
      </c>
      <c r="AE661">
        <v>3.6884999999999701</v>
      </c>
      <c r="AF661">
        <v>-3.3254080927856502</v>
      </c>
      <c r="AG661">
        <v>-1.0632104401360001</v>
      </c>
      <c r="AH661">
        <v>23.999391535535999</v>
      </c>
      <c r="AI661">
        <v>92.512658705968803</v>
      </c>
      <c r="AJ661">
        <v>97.888797298736804</v>
      </c>
      <c r="AK661">
        <v>24.2520009380574</v>
      </c>
    </row>
    <row r="662" spans="1:37" x14ac:dyDescent="0.2">
      <c r="A662" t="str">
        <f>"20200111153415962"</f>
        <v>20200111153415962</v>
      </c>
      <c r="B662" t="str">
        <f>"1578728055957466"</f>
        <v>1578728055957466</v>
      </c>
      <c r="C662" t="s">
        <v>37</v>
      </c>
      <c r="D662">
        <v>4.8731749999999998</v>
      </c>
      <c r="E662">
        <v>0.46111269999999999</v>
      </c>
      <c r="F662" t="s">
        <v>39</v>
      </c>
      <c r="G662">
        <v>-252.2901</v>
      </c>
      <c r="H662" s="1">
        <v>-3.7605179999999999E-6</v>
      </c>
      <c r="I662">
        <v>371.38529999999997</v>
      </c>
      <c r="J662">
        <v>-276.71710000000002</v>
      </c>
      <c r="K662">
        <v>1.0645709999999999</v>
      </c>
      <c r="L662">
        <v>367.63409999999999</v>
      </c>
      <c r="M662">
        <v>0.99981900000000001</v>
      </c>
      <c r="N662">
        <v>0</v>
      </c>
      <c r="O662">
        <v>1.4986340000000001E-2</v>
      </c>
      <c r="P662">
        <v>0.99819709999999995</v>
      </c>
      <c r="Q662">
        <v>3.1552990000000003E-2</v>
      </c>
      <c r="R662">
        <v>5.106144E-2</v>
      </c>
      <c r="S662">
        <v>2.985992</v>
      </c>
      <c r="T662">
        <v>-0.12853909999999999</v>
      </c>
      <c r="U662">
        <v>0.45404049999999901</v>
      </c>
      <c r="V662">
        <v>-3.596415E-2</v>
      </c>
      <c r="W662">
        <v>4.3374580000000003E-2</v>
      </c>
      <c r="X662">
        <v>0.99841139999999995</v>
      </c>
      <c r="Y662">
        <v>-0.13538599999999901</v>
      </c>
      <c r="Z662">
        <v>2.2550460000000001E-3</v>
      </c>
      <c r="AA662">
        <v>0.99079039999999996</v>
      </c>
      <c r="AB662">
        <v>56</v>
      </c>
      <c r="AC662">
        <v>24.427</v>
      </c>
      <c r="AD662">
        <v>-1.064574760518</v>
      </c>
      <c r="AE662">
        <v>3.7511999999999799</v>
      </c>
      <c r="AF662">
        <v>-3.3784131520791898</v>
      </c>
      <c r="AG662">
        <v>-1.064574760518</v>
      </c>
      <c r="AH662">
        <v>24.435134737269699</v>
      </c>
      <c r="AI662">
        <v>92.471171291688805</v>
      </c>
      <c r="AJ662">
        <v>97.871835202335603</v>
      </c>
      <c r="AK662">
        <v>24.690540789448001</v>
      </c>
    </row>
    <row r="663" spans="1:37" x14ac:dyDescent="0.2">
      <c r="A663" t="str">
        <f>"20200111153415973"</f>
        <v>20200111153415973</v>
      </c>
      <c r="B663" t="str">
        <f>"1578728055967226"</f>
        <v>1578728055967226</v>
      </c>
      <c r="C663" t="s">
        <v>37</v>
      </c>
      <c r="D663">
        <v>4.8560400000000001</v>
      </c>
      <c r="E663">
        <v>0.46098729999999899</v>
      </c>
      <c r="F663" t="s">
        <v>39</v>
      </c>
      <c r="G663">
        <v>-251.6968</v>
      </c>
      <c r="H663" s="1">
        <v>-4.0211829999999999E-6</v>
      </c>
      <c r="I663">
        <v>371.435</v>
      </c>
      <c r="J663">
        <v>-276.43020000000001</v>
      </c>
      <c r="K663">
        <v>1.0661389999999999</v>
      </c>
      <c r="L663">
        <v>367.63850000000002</v>
      </c>
      <c r="M663">
        <v>0.99981559999999903</v>
      </c>
      <c r="N663">
        <v>0</v>
      </c>
      <c r="O663">
        <v>1.52632999999999E-2</v>
      </c>
      <c r="P663">
        <v>0.99818649999999998</v>
      </c>
      <c r="Q663">
        <v>3.1972840000000002E-2</v>
      </c>
      <c r="R663">
        <v>5.1006639999999999E-2</v>
      </c>
      <c r="S663">
        <v>2.9862060000000001</v>
      </c>
      <c r="T663">
        <v>-0.12705810000000001</v>
      </c>
      <c r="U663">
        <v>0.45364379999999999</v>
      </c>
      <c r="V663">
        <v>-3.5621300000000002E-2</v>
      </c>
      <c r="W663">
        <v>4.372711E-2</v>
      </c>
      <c r="X663">
        <v>0.99840830000000003</v>
      </c>
      <c r="Y663">
        <v>-0.1349755</v>
      </c>
      <c r="Z663">
        <v>2.2085679999999902E-3</v>
      </c>
      <c r="AA663">
        <v>0.99084649999999996</v>
      </c>
      <c r="AB663">
        <v>56</v>
      </c>
      <c r="AC663">
        <v>24.7334</v>
      </c>
      <c r="AD663">
        <v>-1.0661430211830001</v>
      </c>
      <c r="AE663">
        <v>3.79649999999998</v>
      </c>
      <c r="AF663">
        <v>-3.41232433542066</v>
      </c>
      <c r="AG663">
        <v>-1.0661430211830001</v>
      </c>
      <c r="AH663">
        <v>24.743552367524298</v>
      </c>
      <c r="AI663">
        <v>92.444114090503504</v>
      </c>
      <c r="AJ663">
        <v>97.851996607049998</v>
      </c>
      <c r="AK663">
        <v>25.000480036914102</v>
      </c>
    </row>
    <row r="664" spans="1:37" x14ac:dyDescent="0.2">
      <c r="A664" t="str">
        <f>"20200111153415985"</f>
        <v>20200111153415985</v>
      </c>
      <c r="B664" t="str">
        <f>"1578728055976985"</f>
        <v>1578728055976985</v>
      </c>
      <c r="C664" t="s">
        <v>37</v>
      </c>
      <c r="D664">
        <v>4.8751350000000002</v>
      </c>
      <c r="E664">
        <v>0.46076660000000003</v>
      </c>
      <c r="F664" t="s">
        <v>39</v>
      </c>
      <c r="G664">
        <v>-251.08869999999999</v>
      </c>
      <c r="H664" s="1">
        <v>-4.2394359999999997E-6</v>
      </c>
      <c r="I664">
        <v>371.49869999999999</v>
      </c>
      <c r="J664">
        <v>-276.14429999999999</v>
      </c>
      <c r="K664">
        <v>1.0677859999999999</v>
      </c>
      <c r="L664">
        <v>367.64280000000002</v>
      </c>
      <c r="M664">
        <v>0.99981330000000002</v>
      </c>
      <c r="N664">
        <v>0</v>
      </c>
      <c r="O664">
        <v>1.5504159999999999E-2</v>
      </c>
      <c r="P664">
        <v>0.99819369999999996</v>
      </c>
      <c r="Q664">
        <v>3.2420379999999999E-2</v>
      </c>
      <c r="R664">
        <v>5.0580229999999997E-2</v>
      </c>
      <c r="S664">
        <v>2.9862669999999998</v>
      </c>
      <c r="T664">
        <v>-0.12563489999999999</v>
      </c>
      <c r="U664">
        <v>0.45489499999999999</v>
      </c>
      <c r="V664">
        <v>-3.4949029999999999E-2</v>
      </c>
      <c r="W664">
        <v>4.4054379999999997E-2</v>
      </c>
      <c r="X664">
        <v>0.99841759999999902</v>
      </c>
      <c r="Y664">
        <v>-0.13514200000000001</v>
      </c>
      <c r="Z664">
        <v>2.177156E-3</v>
      </c>
      <c r="AA664">
        <v>0.99082389999999998</v>
      </c>
      <c r="AB664">
        <v>56</v>
      </c>
      <c r="AC664">
        <v>25.055599999999998</v>
      </c>
      <c r="AD664">
        <v>-1.0677902394359999</v>
      </c>
      <c r="AE664">
        <v>3.8558999999999601</v>
      </c>
      <c r="AF664">
        <v>-3.4608045317895901</v>
      </c>
      <c r="AG664">
        <v>-1.0677902394359999</v>
      </c>
      <c r="AH664">
        <v>25.0678996022029</v>
      </c>
      <c r="AI664">
        <v>92.416202039641107</v>
      </c>
      <c r="AJ664">
        <v>97.860408101049799</v>
      </c>
      <c r="AK664">
        <v>25.328184586914499</v>
      </c>
    </row>
    <row r="665" spans="1:37" x14ac:dyDescent="0.2">
      <c r="A665" t="str">
        <f>"20200111153415996"</f>
        <v>20200111153415996</v>
      </c>
      <c r="B665" t="str">
        <f>"1578728055986745"</f>
        <v>1578728055986745</v>
      </c>
      <c r="C665" t="s">
        <v>37</v>
      </c>
      <c r="D665">
        <v>4.8735939999999998</v>
      </c>
      <c r="E665">
        <v>0.460618999999999</v>
      </c>
      <c r="F665" t="s">
        <v>39</v>
      </c>
      <c r="G665">
        <v>-250.5574</v>
      </c>
      <c r="H665" s="1">
        <v>-4.427746E-6</v>
      </c>
      <c r="I665">
        <v>371.541</v>
      </c>
      <c r="J665">
        <v>-275.85989999999998</v>
      </c>
      <c r="K665">
        <v>1.0694900000000001</v>
      </c>
      <c r="L665">
        <v>367.64690000000002</v>
      </c>
      <c r="M665">
        <v>0.99981189999999998</v>
      </c>
      <c r="N665">
        <v>0</v>
      </c>
      <c r="O665">
        <v>1.5715590000000002E-2</v>
      </c>
      <c r="P665">
        <v>0.99817919999999905</v>
      </c>
      <c r="Q665">
        <v>3.3127179999999999E-2</v>
      </c>
      <c r="R665">
        <v>5.0410990000000003E-2</v>
      </c>
      <c r="S665">
        <v>2.9864199999999999</v>
      </c>
      <c r="T665">
        <v>-0.1246283</v>
      </c>
      <c r="U665">
        <v>0.45498660000000002</v>
      </c>
      <c r="V665">
        <v>-3.456733E-2</v>
      </c>
      <c r="W665">
        <v>4.4601250000000002E-2</v>
      </c>
      <c r="X665">
        <v>0.99840659999999903</v>
      </c>
      <c r="Y665">
        <v>-0.13495660000000001</v>
      </c>
      <c r="Z665">
        <v>2.1470079999999902E-3</v>
      </c>
      <c r="AA665">
        <v>0.99084919999999999</v>
      </c>
      <c r="AB665">
        <v>56</v>
      </c>
      <c r="AC665">
        <v>25.302499999999899</v>
      </c>
      <c r="AD665">
        <v>-1.0694944277459999</v>
      </c>
      <c r="AE665">
        <v>3.8940999999999799</v>
      </c>
      <c r="AF665">
        <v>-3.4898588643760502</v>
      </c>
      <c r="AG665">
        <v>-1.0694944277459999</v>
      </c>
      <c r="AH665">
        <v>25.3163928004521</v>
      </c>
      <c r="AI665">
        <v>92.396394704684198</v>
      </c>
      <c r="AJ665">
        <v>97.848743934279796</v>
      </c>
      <c r="AK665">
        <v>25.578167988560601</v>
      </c>
    </row>
    <row r="666" spans="1:37" x14ac:dyDescent="0.2">
      <c r="A666" t="str">
        <f>"20200111153416007"</f>
        <v>20200111153416007</v>
      </c>
      <c r="B666" t="str">
        <f>"1578728055996506"</f>
        <v>1578728055996506</v>
      </c>
      <c r="C666" t="s">
        <v>37</v>
      </c>
      <c r="D666">
        <v>4.8533080000000002</v>
      </c>
      <c r="E666">
        <v>0.460445299999999</v>
      </c>
      <c r="F666" t="s">
        <v>39</v>
      </c>
      <c r="G666">
        <v>-249.86519999999999</v>
      </c>
      <c r="H666" s="1">
        <v>-5.7555379999999996E-7</v>
      </c>
      <c r="I666">
        <v>371.61329999999998</v>
      </c>
      <c r="J666">
        <v>-275.59859999999998</v>
      </c>
      <c r="K666">
        <v>1.071118</v>
      </c>
      <c r="L666">
        <v>367.65069999999997</v>
      </c>
      <c r="M666">
        <v>0.99981219999999904</v>
      </c>
      <c r="N666">
        <v>0</v>
      </c>
      <c r="O666">
        <v>1.5802110000000001E-2</v>
      </c>
      <c r="P666">
        <v>0.99818609999999897</v>
      </c>
      <c r="Q666">
        <v>3.3762630000000002E-2</v>
      </c>
      <c r="R666">
        <v>4.9847540000000003E-2</v>
      </c>
      <c r="S666">
        <v>2.986542</v>
      </c>
      <c r="T666">
        <v>-0.122874</v>
      </c>
      <c r="U666">
        <v>0.4556885</v>
      </c>
      <c r="V666">
        <v>-3.3922939999999999E-2</v>
      </c>
      <c r="W666">
        <v>4.5074749999999997E-2</v>
      </c>
      <c r="X666">
        <v>0.9984075</v>
      </c>
      <c r="Y666">
        <v>-0.1350953</v>
      </c>
      <c r="Z666">
        <v>2.1159899999999999E-3</v>
      </c>
      <c r="AA666">
        <v>0.9908304</v>
      </c>
      <c r="AB666">
        <v>56</v>
      </c>
      <c r="AC666">
        <v>25.7333999999999</v>
      </c>
      <c r="AD666">
        <v>-1.0711185755538</v>
      </c>
      <c r="AE666">
        <v>3.9626000000000001</v>
      </c>
      <c r="AF666">
        <v>-3.5494304973685602</v>
      </c>
      <c r="AG666">
        <v>-1.0711185755538</v>
      </c>
      <c r="AH666">
        <v>25.749229879513798</v>
      </c>
      <c r="AI666">
        <v>92.359733015583004</v>
      </c>
      <c r="AJ666">
        <v>97.848536797965096</v>
      </c>
      <c r="AK666">
        <v>26.014776402010298</v>
      </c>
    </row>
    <row r="667" spans="1:37" x14ac:dyDescent="0.2">
      <c r="A667" t="str">
        <f>"20200111153416017"</f>
        <v>20200111153416017</v>
      </c>
      <c r="B667" t="str">
        <f>"1578728056007242"</f>
        <v>1578728056007242</v>
      </c>
      <c r="C667" t="s">
        <v>37</v>
      </c>
      <c r="D667">
        <v>4.8479460000000003</v>
      </c>
      <c r="E667">
        <v>0.46029809999999999</v>
      </c>
      <c r="F667" t="s">
        <v>39</v>
      </c>
      <c r="G667">
        <v>-249.25739999999999</v>
      </c>
      <c r="H667" s="1">
        <v>-8.7721429999999898E-7</v>
      </c>
      <c r="I667">
        <v>371.66730000000001</v>
      </c>
      <c r="J667">
        <v>-275.3082</v>
      </c>
      <c r="K667">
        <v>1.0729469999999901</v>
      </c>
      <c r="L667">
        <v>367.65480000000002</v>
      </c>
      <c r="M667">
        <v>0.99981319999999996</v>
      </c>
      <c r="N667">
        <v>0</v>
      </c>
      <c r="O667">
        <v>1.5865580000000001E-2</v>
      </c>
      <c r="P667">
        <v>0.99819389999999997</v>
      </c>
      <c r="Q667">
        <v>3.450102E-2</v>
      </c>
      <c r="R667">
        <v>4.9182389999999999E-2</v>
      </c>
      <c r="S667">
        <v>2.9868160000000001</v>
      </c>
      <c r="T667">
        <v>-0.1214539</v>
      </c>
      <c r="U667">
        <v>0.45544430000000002</v>
      </c>
      <c r="V667">
        <v>-3.3201790000000002E-2</v>
      </c>
      <c r="W667">
        <v>4.5629690000000001E-2</v>
      </c>
      <c r="X667">
        <v>0.99840649999999997</v>
      </c>
      <c r="Y667">
        <v>-0.13494210000000001</v>
      </c>
      <c r="Z667">
        <v>2.0857179999999999E-3</v>
      </c>
      <c r="AA667">
        <v>0.99085129999999999</v>
      </c>
      <c r="AB667">
        <v>56</v>
      </c>
      <c r="AC667">
        <v>26.050799999999999</v>
      </c>
      <c r="AD667">
        <v>-1.0729478772143</v>
      </c>
      <c r="AE667">
        <v>4.0124999999999797</v>
      </c>
      <c r="AF667">
        <v>-3.5927054195534698</v>
      </c>
      <c r="AG667">
        <v>-1.0729478772143</v>
      </c>
      <c r="AH667">
        <v>26.0679895767719</v>
      </c>
      <c r="AI667">
        <v>92.334894665613106</v>
      </c>
      <c r="AJ667">
        <v>97.847102736198195</v>
      </c>
      <c r="AK667">
        <v>26.336264540621499</v>
      </c>
    </row>
    <row r="668" spans="1:37" x14ac:dyDescent="0.2">
      <c r="A668" t="str">
        <f>"20200111153416030"</f>
        <v>20200111153416030</v>
      </c>
      <c r="B668" t="str">
        <f>"1578728056026763"</f>
        <v>1578728056026763</v>
      </c>
      <c r="C668" t="s">
        <v>37</v>
      </c>
      <c r="D668">
        <v>4.8114229999999996</v>
      </c>
      <c r="E668">
        <v>0.45996409999999999</v>
      </c>
      <c r="F668" t="s">
        <v>39</v>
      </c>
      <c r="G668">
        <v>-248.4622</v>
      </c>
      <c r="H668" s="1">
        <v>-1.2730689999999999E-6</v>
      </c>
      <c r="I668">
        <v>371.74220000000003</v>
      </c>
      <c r="J668">
        <v>-275.02530000000002</v>
      </c>
      <c r="K668">
        <v>1.07473</v>
      </c>
      <c r="L668">
        <v>367.65890000000002</v>
      </c>
      <c r="M668">
        <v>0.99981609999999999</v>
      </c>
      <c r="N668">
        <v>0</v>
      </c>
      <c r="O668">
        <v>1.5782009999999999E-2</v>
      </c>
      <c r="P668">
        <v>0.99819310000000006</v>
      </c>
      <c r="Q668">
        <v>3.514022E-2</v>
      </c>
      <c r="R668">
        <v>4.8742380000000002E-2</v>
      </c>
      <c r="S668">
        <v>2.987152</v>
      </c>
      <c r="T668">
        <v>-0.1193867</v>
      </c>
      <c r="U668">
        <v>0.45480349999999897</v>
      </c>
      <c r="V668">
        <v>-3.2857320000000002E-2</v>
      </c>
      <c r="W668">
        <v>4.6125079999999999E-2</v>
      </c>
      <c r="X668">
        <v>0.99839509999999898</v>
      </c>
      <c r="Y668">
        <v>-0.1348039</v>
      </c>
      <c r="Z668">
        <v>2.0506270000000002E-3</v>
      </c>
      <c r="AA668">
        <v>0.99087019999999904</v>
      </c>
      <c r="AB668">
        <v>56</v>
      </c>
      <c r="AC668">
        <v>26.563099999999999</v>
      </c>
      <c r="AD668">
        <v>-1.074731273069</v>
      </c>
      <c r="AE668">
        <v>4.0833000000000004</v>
      </c>
      <c r="AF668">
        <v>-3.65769805613037</v>
      </c>
      <c r="AG668">
        <v>-1.074731273069</v>
      </c>
      <c r="AH668">
        <v>26.581728695271501</v>
      </c>
      <c r="AI668">
        <v>92.293686829768603</v>
      </c>
      <c r="AJ668">
        <v>97.834810095282805</v>
      </c>
      <c r="AK668">
        <v>26.8537167410426</v>
      </c>
    </row>
    <row r="669" spans="1:37" x14ac:dyDescent="0.2">
      <c r="A669" t="str">
        <f>"20200111153416043"</f>
        <v>20200111153416043</v>
      </c>
      <c r="B669" t="str">
        <f>"1578728056037498"</f>
        <v>1578728056037498</v>
      </c>
      <c r="C669" t="s">
        <v>37</v>
      </c>
      <c r="D669">
        <v>4.8706149999999999</v>
      </c>
      <c r="E669">
        <v>0.45976549999999999</v>
      </c>
      <c r="F669" t="s">
        <v>39</v>
      </c>
      <c r="G669">
        <v>-247.7423</v>
      </c>
      <c r="H669" s="1">
        <v>-1.6354419999999999E-6</v>
      </c>
      <c r="I669">
        <v>371.8252</v>
      </c>
      <c r="J669">
        <v>-274.71390000000002</v>
      </c>
      <c r="K669">
        <v>1.076678</v>
      </c>
      <c r="L669">
        <v>367.66340000000002</v>
      </c>
      <c r="M669">
        <v>0.99981939999999903</v>
      </c>
      <c r="N669">
        <v>0</v>
      </c>
      <c r="O669">
        <v>1.5654339999999999E-2</v>
      </c>
      <c r="P669">
        <v>0.998208599999999</v>
      </c>
      <c r="Q669">
        <v>3.5803729999999999E-2</v>
      </c>
      <c r="R669">
        <v>4.7935579999999998E-2</v>
      </c>
      <c r="S669">
        <v>2.9872740000000002</v>
      </c>
      <c r="T669">
        <v>-0.1176748</v>
      </c>
      <c r="U669">
        <v>0.45617679999999999</v>
      </c>
      <c r="V669">
        <v>-3.2190969999999999E-2</v>
      </c>
      <c r="W669">
        <v>4.6649030000000001E-2</v>
      </c>
      <c r="X669">
        <v>0.99839249999999902</v>
      </c>
      <c r="Y669">
        <v>-0.13537170000000001</v>
      </c>
      <c r="Z669">
        <v>2.037203E-3</v>
      </c>
      <c r="AA669">
        <v>0.99079280000000003</v>
      </c>
      <c r="AB669">
        <v>56</v>
      </c>
      <c r="AC669">
        <v>26.971599999999999</v>
      </c>
      <c r="AD669">
        <v>-1.0766796354420001</v>
      </c>
      <c r="AE669">
        <v>4.1617999999999702</v>
      </c>
      <c r="AF669">
        <v>-3.73323219691388</v>
      </c>
      <c r="AG669">
        <v>-1.0766796354420001</v>
      </c>
      <c r="AH669">
        <v>26.9914372873343</v>
      </c>
      <c r="AI669">
        <v>92.262780500281096</v>
      </c>
      <c r="AJ669">
        <v>97.874716819990198</v>
      </c>
      <c r="AK669">
        <v>27.269652519046701</v>
      </c>
    </row>
    <row r="670" spans="1:37" x14ac:dyDescent="0.2">
      <c r="A670" t="str">
        <f>"20200111153416055"</f>
        <v>20200111153416055</v>
      </c>
      <c r="B670" t="str">
        <f>"1578728056047257"</f>
        <v>1578728056047257</v>
      </c>
      <c r="C670" t="s">
        <v>37</v>
      </c>
      <c r="D670">
        <v>4.8318820000000002</v>
      </c>
      <c r="E670">
        <v>0.45968540000000002</v>
      </c>
      <c r="F670" t="s">
        <v>39</v>
      </c>
      <c r="G670">
        <v>-246.9118</v>
      </c>
      <c r="H670" s="1">
        <v>-2.0481840000000001E-6</v>
      </c>
      <c r="I670">
        <v>371.90100000000001</v>
      </c>
      <c r="J670">
        <v>-274.37329999999997</v>
      </c>
      <c r="K670">
        <v>1.0787599999999999</v>
      </c>
      <c r="L670">
        <v>367.66829999999999</v>
      </c>
      <c r="M670">
        <v>0.99982389999999999</v>
      </c>
      <c r="N670">
        <v>0</v>
      </c>
      <c r="O670">
        <v>1.542371E-2</v>
      </c>
      <c r="P670">
        <v>0.99821979999999999</v>
      </c>
      <c r="Q670">
        <v>3.6148800000000002E-2</v>
      </c>
      <c r="R670">
        <v>4.7441459999999998E-2</v>
      </c>
      <c r="S670">
        <v>2.9876399999999999</v>
      </c>
      <c r="T670">
        <v>-0.11570129999999899</v>
      </c>
      <c r="U670">
        <v>0.45538329999999899</v>
      </c>
      <c r="V670">
        <v>-3.1943520000000003E-2</v>
      </c>
      <c r="W670">
        <v>4.6894329999999998E-2</v>
      </c>
      <c r="X670">
        <v>0.99838890000000002</v>
      </c>
      <c r="Y670">
        <v>-0.1353279</v>
      </c>
      <c r="Z670">
        <v>2.01089E-3</v>
      </c>
      <c r="AA670">
        <v>0.99079879999999998</v>
      </c>
      <c r="AB670">
        <v>56</v>
      </c>
      <c r="AC670">
        <v>27.461499999999901</v>
      </c>
      <c r="AD670">
        <v>-1.0787620481839999</v>
      </c>
      <c r="AE670">
        <v>4.2327000000000199</v>
      </c>
      <c r="AF670">
        <v>-3.8028818687230999</v>
      </c>
      <c r="AG670">
        <v>-1.0787620481839999</v>
      </c>
      <c r="AH670">
        <v>27.482096311956699</v>
      </c>
      <c r="AI670">
        <v>92.226696671546705</v>
      </c>
      <c r="AJ670">
        <v>97.878369961189094</v>
      </c>
      <c r="AK670">
        <v>27.764928520774699</v>
      </c>
    </row>
    <row r="671" spans="1:37" x14ac:dyDescent="0.2">
      <c r="A671" t="str">
        <f>"20200111153416066"</f>
        <v>20200111153416066</v>
      </c>
      <c r="B671" t="str">
        <f>"1578728056057018"</f>
        <v>1578728056057018</v>
      </c>
      <c r="C671" t="s">
        <v>37</v>
      </c>
      <c r="D671">
        <v>4.8311999999999999</v>
      </c>
      <c r="E671">
        <v>0.4594741</v>
      </c>
      <c r="F671" t="s">
        <v>39</v>
      </c>
      <c r="G671">
        <v>-246.10560000000001</v>
      </c>
      <c r="H671" s="1">
        <v>-2.4478000000000001E-6</v>
      </c>
      <c r="I671">
        <v>371.97059999999999</v>
      </c>
      <c r="J671">
        <v>-274.09230000000002</v>
      </c>
      <c r="K671">
        <v>1.0804009999999999</v>
      </c>
      <c r="L671">
        <v>367.67230000000001</v>
      </c>
      <c r="M671">
        <v>0.99982769999999999</v>
      </c>
      <c r="N671">
        <v>0</v>
      </c>
      <c r="O671">
        <v>1.519444E-2</v>
      </c>
      <c r="P671">
        <v>0.99825069999999905</v>
      </c>
      <c r="Q671">
        <v>3.6093859999999998E-2</v>
      </c>
      <c r="R671">
        <v>4.68301E-2</v>
      </c>
      <c r="S671">
        <v>2.987854</v>
      </c>
      <c r="T671">
        <v>-0.1140236</v>
      </c>
      <c r="U671">
        <v>0.45474239999999999</v>
      </c>
      <c r="V671">
        <v>-3.1572320000000001E-2</v>
      </c>
      <c r="W671">
        <v>4.680289E-2</v>
      </c>
      <c r="X671">
        <v>0.99840499999999899</v>
      </c>
      <c r="Y671">
        <v>-0.13533919999999999</v>
      </c>
      <c r="Z671">
        <v>1.9905499999999998E-3</v>
      </c>
      <c r="AA671">
        <v>0.99079729999999999</v>
      </c>
      <c r="AB671">
        <v>56</v>
      </c>
      <c r="AC671">
        <v>27.986699999999999</v>
      </c>
      <c r="AD671">
        <v>-1.0804034478</v>
      </c>
      <c r="AE671">
        <v>4.2982999999999798</v>
      </c>
      <c r="AF671">
        <v>-3.8669073438585402</v>
      </c>
      <c r="AG671">
        <v>-1.0804034478</v>
      </c>
      <c r="AH671">
        <v>28.008004796945201</v>
      </c>
      <c r="AI671">
        <v>92.188340600675204</v>
      </c>
      <c r="AJ671">
        <v>97.860809711882197</v>
      </c>
      <c r="AK671">
        <v>28.294320573601201</v>
      </c>
    </row>
    <row r="672" spans="1:37" x14ac:dyDescent="0.2">
      <c r="A672" t="str">
        <f>"20200111153416083"</f>
        <v>20200111153416083</v>
      </c>
      <c r="B672" t="str">
        <f>"1578728056077513"</f>
        <v>1578728056077513</v>
      </c>
      <c r="C672" t="s">
        <v>37</v>
      </c>
      <c r="D672">
        <v>4.8083710000000002</v>
      </c>
      <c r="E672">
        <v>0.45930270000000001</v>
      </c>
      <c r="F672" t="s">
        <v>39</v>
      </c>
      <c r="G672">
        <v>-245.6746</v>
      </c>
      <c r="H672" s="1">
        <v>-2.6575290000000001E-6</v>
      </c>
      <c r="I672">
        <v>371.99299999999999</v>
      </c>
      <c r="J672">
        <v>-273.6893</v>
      </c>
      <c r="K672">
        <v>1.082657</v>
      </c>
      <c r="L672">
        <v>367.6782</v>
      </c>
      <c r="M672">
        <v>0.99983299999999997</v>
      </c>
      <c r="N672">
        <v>0</v>
      </c>
      <c r="O672">
        <v>1.48432999999999E-2</v>
      </c>
      <c r="P672">
        <v>0.99829899999999905</v>
      </c>
      <c r="Q672">
        <v>3.5562940000000001E-2</v>
      </c>
      <c r="R672">
        <v>4.620117E-2</v>
      </c>
      <c r="S672">
        <v>2.9880979999999999</v>
      </c>
      <c r="T672">
        <v>-0.1136036</v>
      </c>
      <c r="U672">
        <v>0.45431519999999997</v>
      </c>
      <c r="V672">
        <v>-3.1308889999999999E-2</v>
      </c>
      <c r="W672">
        <v>4.6265599999999997E-2</v>
      </c>
      <c r="X672">
        <v>0.99843839999999995</v>
      </c>
      <c r="Y672">
        <v>-0.13553689999999999</v>
      </c>
      <c r="Z672">
        <v>2.00008E-3</v>
      </c>
      <c r="AA672">
        <v>0.99077029999999999</v>
      </c>
      <c r="AB672">
        <v>56</v>
      </c>
      <c r="AC672">
        <v>28.014700000000001</v>
      </c>
      <c r="AD672">
        <v>-1.082659657529</v>
      </c>
      <c r="AE672">
        <v>4.3148000000000399</v>
      </c>
      <c r="AF672">
        <v>-3.8927911149317498</v>
      </c>
      <c r="AG672">
        <v>-1.082659657529</v>
      </c>
      <c r="AH672">
        <v>28.034762507394699</v>
      </c>
      <c r="AI672">
        <v>92.190579753404094</v>
      </c>
      <c r="AJ672">
        <v>97.905306207180402</v>
      </c>
      <c r="AK672">
        <v>28.324439684564901</v>
      </c>
    </row>
    <row r="673" spans="1:37" x14ac:dyDescent="0.2">
      <c r="A673" t="str">
        <f>"20200111153416094"</f>
        <v>20200111153416094</v>
      </c>
      <c r="B673" t="str">
        <f>"1578728056087273"</f>
        <v>1578728056087273</v>
      </c>
      <c r="C673" t="s">
        <v>37</v>
      </c>
      <c r="D673">
        <v>4.7585329999999999</v>
      </c>
      <c r="E673">
        <v>0.45919269999999901</v>
      </c>
      <c r="F673" t="s">
        <v>39</v>
      </c>
      <c r="G673">
        <v>-245.35069999999999</v>
      </c>
      <c r="H673" s="1">
        <v>-2.8079299999999998E-6</v>
      </c>
      <c r="I673">
        <v>371.983</v>
      </c>
      <c r="J673">
        <v>-273.41640000000001</v>
      </c>
      <c r="K673">
        <v>1.0840989999999999</v>
      </c>
      <c r="L673">
        <v>367.68209999999999</v>
      </c>
      <c r="M673">
        <v>0.99983599999999995</v>
      </c>
      <c r="N673">
        <v>0</v>
      </c>
      <c r="O673">
        <v>1.4601070000000001E-2</v>
      </c>
      <c r="P673">
        <v>0.99833660000000002</v>
      </c>
      <c r="Q673">
        <v>3.5234359999999999E-2</v>
      </c>
      <c r="R673">
        <v>4.5639369999999999E-2</v>
      </c>
      <c r="S673">
        <v>2.988159</v>
      </c>
      <c r="T673">
        <v>-0.1141611</v>
      </c>
      <c r="U673">
        <v>0.4539185</v>
      </c>
      <c r="V673">
        <v>-3.0996510000000001E-2</v>
      </c>
      <c r="W673">
        <v>4.5970270000000001E-2</v>
      </c>
      <c r="X673">
        <v>0.99846179999999995</v>
      </c>
      <c r="Y673">
        <v>-0.1356443</v>
      </c>
      <c r="Z673">
        <v>2.0210989999999902E-3</v>
      </c>
      <c r="AA673">
        <v>0.99075559999999996</v>
      </c>
      <c r="AB673">
        <v>56</v>
      </c>
      <c r="AC673">
        <v>28.0657</v>
      </c>
      <c r="AD673">
        <v>-1.08410180793</v>
      </c>
      <c r="AE673">
        <v>4.3009000000000102</v>
      </c>
      <c r="AF673">
        <v>-3.8849650694132198</v>
      </c>
      <c r="AG673">
        <v>-1.08410180793</v>
      </c>
      <c r="AH673">
        <v>28.084566586368702</v>
      </c>
      <c r="AI673">
        <v>92.189764925745607</v>
      </c>
      <c r="AJ673">
        <v>97.875798352485702</v>
      </c>
      <c r="AK673">
        <v>28.372717717284299</v>
      </c>
    </row>
    <row r="674" spans="1:37" x14ac:dyDescent="0.2">
      <c r="A674" t="str">
        <f>"20200111153416105"</f>
        <v>20200111153416105</v>
      </c>
      <c r="B674" t="str">
        <f>"1578728056097034"</f>
        <v>1578728056097034</v>
      </c>
      <c r="C674" t="s">
        <v>37</v>
      </c>
      <c r="D674">
        <v>4.7664279999999897</v>
      </c>
      <c r="E674">
        <v>0.45904600000000001</v>
      </c>
      <c r="F674" t="s">
        <v>39</v>
      </c>
      <c r="G674">
        <v>-245.26679999999999</v>
      </c>
      <c r="H674" s="1">
        <v>-2.839268E-6</v>
      </c>
      <c r="I674">
        <v>371.95159999999998</v>
      </c>
      <c r="J674">
        <v>-273.12079999999997</v>
      </c>
      <c r="K674">
        <v>1.0855699999999999</v>
      </c>
      <c r="L674">
        <v>367.68639999999999</v>
      </c>
      <c r="M674">
        <v>0.99983889999999997</v>
      </c>
      <c r="N674">
        <v>0</v>
      </c>
      <c r="O674">
        <v>1.435285E-2</v>
      </c>
      <c r="P674">
        <v>0.99836719999999901</v>
      </c>
      <c r="Q674">
        <v>3.4621119999999998E-2</v>
      </c>
      <c r="R674">
        <v>4.5435589999999998E-2</v>
      </c>
      <c r="S674">
        <v>2.9883419999999998</v>
      </c>
      <c r="T674">
        <v>-0.1150873</v>
      </c>
      <c r="U674">
        <v>0.45324709999999901</v>
      </c>
      <c r="V674">
        <v>-3.104633E-2</v>
      </c>
      <c r="W674">
        <v>4.5421059999999999E-2</v>
      </c>
      <c r="X674">
        <v>0.99848539999999997</v>
      </c>
      <c r="Y674">
        <v>-0.13566199999999901</v>
      </c>
      <c r="Z674">
        <v>2.0472300000000001E-3</v>
      </c>
      <c r="AA674">
        <v>0.99075309999999905</v>
      </c>
      <c r="AB674">
        <v>56</v>
      </c>
      <c r="AC674">
        <v>27.8539999999999</v>
      </c>
      <c r="AD674">
        <v>-1.085572839268</v>
      </c>
      <c r="AE674">
        <v>4.2651999999999903</v>
      </c>
      <c r="AF674">
        <v>-3.8592254344528198</v>
      </c>
      <c r="AG674">
        <v>-1.085572839268</v>
      </c>
      <c r="AH674">
        <v>27.870987173153399</v>
      </c>
      <c r="AI674">
        <v>92.209479066879695</v>
      </c>
      <c r="AJ674">
        <v>97.883473490051401</v>
      </c>
      <c r="AK674">
        <v>28.157841098872701</v>
      </c>
    </row>
    <row r="675" spans="1:37" x14ac:dyDescent="0.2">
      <c r="A675" t="str">
        <f>"20200111153416118"</f>
        <v>20200111153416118</v>
      </c>
      <c r="B675" t="str">
        <f>"1578728056106794"</f>
        <v>1578728056106794</v>
      </c>
      <c r="C675" t="s">
        <v>37</v>
      </c>
      <c r="D675">
        <v>4.7658110000000002</v>
      </c>
      <c r="E675">
        <v>0.45891769999999998</v>
      </c>
      <c r="F675" t="s">
        <v>39</v>
      </c>
      <c r="G675">
        <v>-245.31</v>
      </c>
      <c r="H675" s="1">
        <v>-2.807685E-6</v>
      </c>
      <c r="I675">
        <v>371.90969999999999</v>
      </c>
      <c r="J675">
        <v>-272.81049999999999</v>
      </c>
      <c r="K675">
        <v>1.0870519999999999</v>
      </c>
      <c r="L675">
        <v>367.69080000000002</v>
      </c>
      <c r="M675">
        <v>0.99984150000000005</v>
      </c>
      <c r="N675">
        <v>0</v>
      </c>
      <c r="O675">
        <v>1.4102969999999999E-2</v>
      </c>
      <c r="P675">
        <v>0.99839789999999995</v>
      </c>
      <c r="Q675">
        <v>3.3906739999999998E-2</v>
      </c>
      <c r="R675">
        <v>4.5297459999999998E-2</v>
      </c>
      <c r="S675">
        <v>2.9882810000000002</v>
      </c>
      <c r="T675">
        <v>-0.1166452</v>
      </c>
      <c r="U675">
        <v>0.45379639999999999</v>
      </c>
      <c r="V675">
        <v>-3.116244E-2</v>
      </c>
      <c r="W675">
        <v>4.4793220000000002E-2</v>
      </c>
      <c r="X675">
        <v>0.99851009999999996</v>
      </c>
      <c r="Y675">
        <v>-0.13608770000000001</v>
      </c>
      <c r="Z675">
        <v>2.0928840000000002E-3</v>
      </c>
      <c r="AA675">
        <v>0.99069459999999998</v>
      </c>
      <c r="AB675">
        <v>56</v>
      </c>
      <c r="AC675">
        <v>27.500499999999899</v>
      </c>
      <c r="AD675">
        <v>-1.087054807685</v>
      </c>
      <c r="AE675">
        <v>4.2188999999999597</v>
      </c>
      <c r="AF675">
        <v>-3.8247799224110501</v>
      </c>
      <c r="AG675">
        <v>-1.087054807685</v>
      </c>
      <c r="AH675">
        <v>27.515263046488599</v>
      </c>
      <c r="AI675">
        <v>92.240902983251004</v>
      </c>
      <c r="AJ675">
        <v>97.913731829897202</v>
      </c>
      <c r="AK675">
        <v>27.801085053055999</v>
      </c>
    </row>
    <row r="676" spans="1:37" x14ac:dyDescent="0.2">
      <c r="A676" t="str">
        <f>"20200111153416132"</f>
        <v>20200111153416132</v>
      </c>
      <c r="B676" t="str">
        <f>"1578728056127291"</f>
        <v>1578728056127291</v>
      </c>
      <c r="C676" t="s">
        <v>37</v>
      </c>
      <c r="D676">
        <v>4.7549199999999896</v>
      </c>
      <c r="E676">
        <v>0.45852270000000001</v>
      </c>
      <c r="F676" t="s">
        <v>39</v>
      </c>
      <c r="G676">
        <v>-245.42529999999999</v>
      </c>
      <c r="H676" s="1">
        <v>-2.739347E-6</v>
      </c>
      <c r="I676">
        <v>371.85770000000002</v>
      </c>
      <c r="J676">
        <v>-272.4753</v>
      </c>
      <c r="K676">
        <v>1.0884959999999999</v>
      </c>
      <c r="L676">
        <v>367.69560000000001</v>
      </c>
      <c r="M676">
        <v>0.99984340000000005</v>
      </c>
      <c r="N676">
        <v>0</v>
      </c>
      <c r="O676">
        <v>1.387323E-2</v>
      </c>
      <c r="P676">
        <v>0.99842339999999996</v>
      </c>
      <c r="Q676">
        <v>3.3368170000000003E-2</v>
      </c>
      <c r="R676">
        <v>4.5141149999999998E-2</v>
      </c>
      <c r="S676">
        <v>2.9882200000000001</v>
      </c>
      <c r="T676">
        <v>-0.1186171</v>
      </c>
      <c r="U676">
        <v>0.45468140000000001</v>
      </c>
      <c r="V676">
        <v>-3.123776E-2</v>
      </c>
      <c r="W676">
        <v>4.4383539999999999E-2</v>
      </c>
      <c r="X676">
        <v>0.99852600000000002</v>
      </c>
      <c r="Y676">
        <v>-0.13660149999999999</v>
      </c>
      <c r="Z676">
        <v>2.1474250000000001E-3</v>
      </c>
      <c r="AA676">
        <v>0.99062380000000005</v>
      </c>
      <c r="AB676">
        <v>56</v>
      </c>
      <c r="AC676">
        <v>27.05</v>
      </c>
      <c r="AD676">
        <v>-1.08849873934699</v>
      </c>
      <c r="AE676">
        <v>4.1620999999999997</v>
      </c>
      <c r="AF676">
        <v>-3.7804258941995701</v>
      </c>
      <c r="AG676">
        <v>-1.08849873934699</v>
      </c>
      <c r="AH676">
        <v>27.062333753965099</v>
      </c>
      <c r="AI676">
        <v>92.281177688029302</v>
      </c>
      <c r="AJ676">
        <v>97.952373166219303</v>
      </c>
      <c r="AK676">
        <v>27.346779657906499</v>
      </c>
    </row>
    <row r="677" spans="1:37" x14ac:dyDescent="0.2">
      <c r="A677" t="str">
        <f>"20200111153416143"</f>
        <v>20200111153416143</v>
      </c>
      <c r="B677" t="str">
        <f>"1578728056137050"</f>
        <v>1578728056137050</v>
      </c>
      <c r="C677" t="s">
        <v>37</v>
      </c>
      <c r="D677">
        <v>4.7804159999999998</v>
      </c>
      <c r="E677">
        <v>0.45837549999999999</v>
      </c>
      <c r="F677" t="s">
        <v>39</v>
      </c>
      <c r="G677">
        <v>-245.44040000000001</v>
      </c>
      <c r="H677" s="1">
        <v>-2.7249890000000001E-6</v>
      </c>
      <c r="I677">
        <v>371.83049999999997</v>
      </c>
      <c r="J677">
        <v>-272.15620000000001</v>
      </c>
      <c r="K677">
        <v>1.0897969999999999</v>
      </c>
      <c r="L677">
        <v>367.70010000000002</v>
      </c>
      <c r="M677">
        <v>0.99984459999999997</v>
      </c>
      <c r="N677">
        <v>0</v>
      </c>
      <c r="O677">
        <v>1.3673950000000001E-2</v>
      </c>
      <c r="P677">
        <v>0.9984556</v>
      </c>
      <c r="Q677">
        <v>3.2674170000000002E-2</v>
      </c>
      <c r="R677">
        <v>4.4930390000000001E-2</v>
      </c>
      <c r="S677">
        <v>2.9881289999999998</v>
      </c>
      <c r="T677">
        <v>-0.12031019999999901</v>
      </c>
      <c r="U677">
        <v>0.45703129999999997</v>
      </c>
      <c r="V677">
        <v>-3.122662E-2</v>
      </c>
      <c r="W677">
        <v>4.3824290000000002E-2</v>
      </c>
      <c r="X677">
        <v>0.99855110000000002</v>
      </c>
      <c r="Y677">
        <v>-0.13756099999999999</v>
      </c>
      <c r="Z677">
        <v>2.2051570000000001E-3</v>
      </c>
      <c r="AA677">
        <v>0.99049089999999995</v>
      </c>
      <c r="AB677">
        <v>56</v>
      </c>
      <c r="AC677">
        <v>26.715800000000002</v>
      </c>
      <c r="AD677">
        <v>-1.0897997249889999</v>
      </c>
      <c r="AE677">
        <v>4.1303999999999501</v>
      </c>
      <c r="AF677">
        <v>-3.7585723491839702</v>
      </c>
      <c r="AG677">
        <v>-1.0897997249889999</v>
      </c>
      <c r="AH677">
        <v>26.726349521613201</v>
      </c>
      <c r="AI677">
        <v>92.312283877119697</v>
      </c>
      <c r="AJ677">
        <v>98.005106095761107</v>
      </c>
      <c r="AK677">
        <v>27.011336292306499</v>
      </c>
    </row>
    <row r="678" spans="1:37" x14ac:dyDescent="0.2">
      <c r="A678" t="str">
        <f>"20200111153416155"</f>
        <v>20200111153416155</v>
      </c>
      <c r="B678" t="str">
        <f>"1578728056146810"</f>
        <v>1578728056146810</v>
      </c>
      <c r="C678" t="s">
        <v>37</v>
      </c>
      <c r="D678">
        <v>4.7920569999999998</v>
      </c>
      <c r="E678">
        <v>0.45837549999999999</v>
      </c>
      <c r="F678" t="s">
        <v>39</v>
      </c>
      <c r="G678">
        <v>-245.56309999999999</v>
      </c>
      <c r="H678" s="1">
        <v>-2.650966E-6</v>
      </c>
      <c r="I678">
        <v>371.77030000000002</v>
      </c>
      <c r="J678">
        <v>-271.86110000000002</v>
      </c>
      <c r="K678">
        <v>1.090919</v>
      </c>
      <c r="L678">
        <v>367.70409999999998</v>
      </c>
      <c r="M678">
        <v>0.9998454</v>
      </c>
      <c r="N678">
        <v>0</v>
      </c>
      <c r="O678">
        <v>1.3510319999999999E-2</v>
      </c>
      <c r="P678">
        <v>0.99847710000000001</v>
      </c>
      <c r="Q678">
        <v>3.1758979999999999E-2</v>
      </c>
      <c r="R678">
        <v>4.511445E-2</v>
      </c>
      <c r="S678">
        <v>2.9880369999999998</v>
      </c>
      <c r="T678">
        <v>-0.122451299999999</v>
      </c>
      <c r="U678">
        <v>0.45733639999999998</v>
      </c>
      <c r="V678">
        <v>-3.1574329999999998E-2</v>
      </c>
      <c r="W678">
        <v>4.3046349999999997E-2</v>
      </c>
      <c r="X678">
        <v>0.99857399999999996</v>
      </c>
      <c r="Y678">
        <v>-0.13782259999999999</v>
      </c>
      <c r="Z678">
        <v>2.2564059999999999E-3</v>
      </c>
      <c r="AA678">
        <v>0.99045439999999996</v>
      </c>
      <c r="AB678">
        <v>56</v>
      </c>
      <c r="AC678">
        <v>26.297999999999998</v>
      </c>
      <c r="AD678">
        <v>-1.090921650966</v>
      </c>
      <c r="AE678">
        <v>4.0662000000000296</v>
      </c>
      <c r="AF678">
        <v>-3.7042862786713799</v>
      </c>
      <c r="AG678">
        <v>-1.090921650966</v>
      </c>
      <c r="AH678">
        <v>26.306326551175601</v>
      </c>
      <c r="AI678">
        <v>92.351518958515001</v>
      </c>
      <c r="AJ678">
        <v>98.015320177998206</v>
      </c>
      <c r="AK678">
        <v>26.588242956238901</v>
      </c>
    </row>
    <row r="679" spans="1:37" x14ac:dyDescent="0.2">
      <c r="A679" t="str">
        <f>"20200111153416168"</f>
        <v>20200111153416168</v>
      </c>
      <c r="B679" t="str">
        <f>"1578728056157545"</f>
        <v>1578728056157545</v>
      </c>
      <c r="C679" t="s">
        <v>37</v>
      </c>
      <c r="D679">
        <v>4.6624780000000001</v>
      </c>
      <c r="E679">
        <v>0.44190580000000002</v>
      </c>
      <c r="F679" t="s">
        <v>39</v>
      </c>
      <c r="G679">
        <v>-245.84569999999999</v>
      </c>
      <c r="H679" s="1">
        <v>-2.4959699999999999E-6</v>
      </c>
      <c r="I679">
        <v>371.68979999999999</v>
      </c>
      <c r="J679">
        <v>-271.57260000000002</v>
      </c>
      <c r="K679">
        <v>1.0919219999999901</v>
      </c>
      <c r="L679">
        <v>367.7081</v>
      </c>
      <c r="M679">
        <v>0.99984549999999905</v>
      </c>
      <c r="N679">
        <v>0</v>
      </c>
      <c r="O679">
        <v>1.337114E-2</v>
      </c>
      <c r="P679">
        <v>0.99848499999999996</v>
      </c>
      <c r="Q679">
        <v>3.115969E-2</v>
      </c>
      <c r="R679">
        <v>4.5351290000000002E-2</v>
      </c>
      <c r="S679">
        <v>2.9879150000000001</v>
      </c>
      <c r="T679">
        <v>-0.12529419999999999</v>
      </c>
      <c r="U679">
        <v>0.4577637</v>
      </c>
      <c r="V679">
        <v>-3.1949680000000001E-2</v>
      </c>
      <c r="W679">
        <v>4.2590900000000001E-2</v>
      </c>
      <c r="X679">
        <v>0.99858159999999896</v>
      </c>
      <c r="Y679">
        <v>-0.13809969999999999</v>
      </c>
      <c r="Z679">
        <v>2.3203859999999998E-3</v>
      </c>
      <c r="AA679">
        <v>0.99041559999999995</v>
      </c>
      <c r="AB679">
        <v>56</v>
      </c>
      <c r="AC679">
        <v>25.726900000000001</v>
      </c>
      <c r="AD679">
        <v>-1.0919244959700001</v>
      </c>
      <c r="AE679">
        <v>3.98169999999998</v>
      </c>
      <c r="AF679">
        <v>-3.6309358595621402</v>
      </c>
      <c r="AG679">
        <v>-1.0919244959700001</v>
      </c>
      <c r="AH679">
        <v>25.732572802596199</v>
      </c>
      <c r="AI679">
        <v>92.406000596661798</v>
      </c>
      <c r="AJ679">
        <v>98.031567305128405</v>
      </c>
      <c r="AK679">
        <v>26.010407481661399</v>
      </c>
    </row>
    <row r="680" spans="1:37" x14ac:dyDescent="0.2">
      <c r="A680" t="str">
        <f>"20200111153416179"</f>
        <v>20200111153416179</v>
      </c>
      <c r="B680" t="str">
        <f>"1578728056177065"</f>
        <v>1578728056177065</v>
      </c>
      <c r="C680" t="s">
        <v>37</v>
      </c>
      <c r="D680">
        <v>4.6764760000000001</v>
      </c>
      <c r="E680">
        <v>0.43862459999999998</v>
      </c>
      <c r="F680" t="s">
        <v>39</v>
      </c>
      <c r="G680">
        <v>-246.2824</v>
      </c>
      <c r="H680" s="1">
        <v>-2.5605930000000001E-6</v>
      </c>
      <c r="I680">
        <v>372.70859999999999</v>
      </c>
      <c r="J680">
        <v>-271.2765</v>
      </c>
      <c r="K680">
        <v>1.092919</v>
      </c>
      <c r="L680">
        <v>367.71210000000002</v>
      </c>
      <c r="M680">
        <v>0.9998456</v>
      </c>
      <c r="N680">
        <v>0</v>
      </c>
      <c r="O680">
        <v>1.323556E-2</v>
      </c>
      <c r="P680">
        <v>0.9984982</v>
      </c>
      <c r="Q680">
        <v>3.0483819999999998E-2</v>
      </c>
      <c r="R680">
        <v>4.5521829999999999E-2</v>
      </c>
      <c r="S680">
        <v>2.9817809999999998</v>
      </c>
      <c r="T680">
        <v>-0.12874050000000001</v>
      </c>
      <c r="U680">
        <v>0.58956909999999996</v>
      </c>
      <c r="V680">
        <v>-3.2255140000000002E-2</v>
      </c>
      <c r="W680">
        <v>4.2065899999999899E-2</v>
      </c>
      <c r="X680">
        <v>0.99859399999999998</v>
      </c>
      <c r="Y680">
        <v>-0.18081639999999999</v>
      </c>
      <c r="Z680">
        <v>3.2987049999999999E-3</v>
      </c>
      <c r="AA680">
        <v>0.98351129999999998</v>
      </c>
      <c r="AB680">
        <v>56</v>
      </c>
      <c r="AC680">
        <v>24.9941</v>
      </c>
      <c r="AD680">
        <v>-1.0929215605930001</v>
      </c>
      <c r="AE680">
        <v>4.9964999999999602</v>
      </c>
      <c r="AF680">
        <v>-4.6566675615315001</v>
      </c>
      <c r="AG680">
        <v>-1.0929215605930001</v>
      </c>
      <c r="AH680">
        <v>25.0120593226351</v>
      </c>
      <c r="AI680">
        <v>92.459778669739407</v>
      </c>
      <c r="AJ680">
        <v>100.54640409386199</v>
      </c>
      <c r="AK680">
        <v>25.465312522630601</v>
      </c>
    </row>
    <row r="681" spans="1:37" x14ac:dyDescent="0.2">
      <c r="A681" t="str">
        <f>"20200111153416194"</f>
        <v>20200111153416194</v>
      </c>
      <c r="B681" t="str">
        <f>"1578728056186828"</f>
        <v>1578728056186828</v>
      </c>
      <c r="C681" t="s">
        <v>37</v>
      </c>
      <c r="D681">
        <v>4.6637629999999897</v>
      </c>
      <c r="E681">
        <v>0.43792920000000002</v>
      </c>
      <c r="F681" t="s">
        <v>39</v>
      </c>
      <c r="G681">
        <v>-243.06190000000001</v>
      </c>
      <c r="H681" s="1">
        <v>-4.2342860000000003E-6</v>
      </c>
      <c r="I681">
        <v>373.55579999999998</v>
      </c>
      <c r="J681">
        <v>-270.89710000000002</v>
      </c>
      <c r="K681">
        <v>1.094063</v>
      </c>
      <c r="L681">
        <v>367.71710000000002</v>
      </c>
      <c r="M681">
        <v>0.9998454</v>
      </c>
      <c r="N681">
        <v>0</v>
      </c>
      <c r="O681">
        <v>1.308084E-2</v>
      </c>
      <c r="P681">
        <v>0.99851159999999906</v>
      </c>
      <c r="Q681">
        <v>2.9548000000000001E-2</v>
      </c>
      <c r="R681">
        <v>4.584514E-2</v>
      </c>
      <c r="S681">
        <v>2.979889</v>
      </c>
      <c r="T681">
        <v>-0.1154293</v>
      </c>
      <c r="U681">
        <v>0.6171875</v>
      </c>
      <c r="V681">
        <v>-3.2732310000000001E-2</v>
      </c>
      <c r="W681">
        <v>4.1331739999999999E-2</v>
      </c>
      <c r="X681">
        <v>0.99860919999999898</v>
      </c>
      <c r="Y681">
        <v>-0.189859</v>
      </c>
      <c r="Z681">
        <v>3.1362109999999999E-3</v>
      </c>
      <c r="AA681">
        <v>0.98180630000000002</v>
      </c>
      <c r="AB681">
        <v>56</v>
      </c>
      <c r="AC681">
        <v>27.8352</v>
      </c>
      <c r="AD681">
        <v>-1.0940672342860001</v>
      </c>
      <c r="AE681">
        <v>5.8386999999999496</v>
      </c>
      <c r="AF681">
        <v>-5.4659789637458198</v>
      </c>
      <c r="AG681">
        <v>-1.0940672342860001</v>
      </c>
      <c r="AH681">
        <v>27.867959879523401</v>
      </c>
      <c r="AI681">
        <v>92.206224535586699</v>
      </c>
      <c r="AJ681">
        <v>101.097035478107</v>
      </c>
      <c r="AK681">
        <v>28.420012262347399</v>
      </c>
    </row>
    <row r="682" spans="1:37" x14ac:dyDescent="0.2">
      <c r="A682" t="str">
        <f>"20200111153416206"</f>
        <v>20200111153416206</v>
      </c>
      <c r="B682" t="str">
        <f>"1578728056197562"</f>
        <v>1578728056197562</v>
      </c>
      <c r="C682" t="s">
        <v>37</v>
      </c>
      <c r="D682">
        <v>4.6623299999999999</v>
      </c>
      <c r="E682">
        <v>0.43771739999999998</v>
      </c>
      <c r="F682" t="s">
        <v>39</v>
      </c>
      <c r="G682">
        <v>-242.9341</v>
      </c>
      <c r="H682" s="1">
        <v>-4.2856309999999999E-6</v>
      </c>
      <c r="I682">
        <v>373.56849999999997</v>
      </c>
      <c r="J682">
        <v>-270.60950000000003</v>
      </c>
      <c r="K682">
        <v>1.0948709999999999</v>
      </c>
      <c r="L682">
        <v>367.72089999999997</v>
      </c>
      <c r="M682">
        <v>0.99984499999999998</v>
      </c>
      <c r="N682">
        <v>0</v>
      </c>
      <c r="O682">
        <v>1.296656E-2</v>
      </c>
      <c r="P682">
        <v>0.99851499999999904</v>
      </c>
      <c r="Q682">
        <v>2.9207460000000001E-2</v>
      </c>
      <c r="R682">
        <v>4.5987390000000003E-2</v>
      </c>
      <c r="S682">
        <v>2.9793400000000001</v>
      </c>
      <c r="T682">
        <v>-0.11656809999999999</v>
      </c>
      <c r="U682">
        <v>0.62344359999999999</v>
      </c>
      <c r="V682">
        <v>-3.2988280000000002E-2</v>
      </c>
      <c r="W682">
        <v>4.1144500000000001E-2</v>
      </c>
      <c r="X682">
        <v>0.99860849999999901</v>
      </c>
      <c r="Y682">
        <v>-0.1919785</v>
      </c>
      <c r="Z682">
        <v>3.2124549999999999E-3</v>
      </c>
      <c r="AA682">
        <v>0.98139390000000004</v>
      </c>
      <c r="AB682">
        <v>56</v>
      </c>
      <c r="AC682">
        <v>27.6754</v>
      </c>
      <c r="AD682">
        <v>-1.094875285631</v>
      </c>
      <c r="AE682">
        <v>5.8475999999999999</v>
      </c>
      <c r="AF682">
        <v>-5.4800179148302997</v>
      </c>
      <c r="AG682">
        <v>-1.094875285631</v>
      </c>
      <c r="AH682">
        <v>27.707390133283099</v>
      </c>
      <c r="AI682">
        <v>92.219943432217207</v>
      </c>
      <c r="AJ682">
        <v>101.187676058459</v>
      </c>
      <c r="AK682">
        <v>28.265328871886499</v>
      </c>
    </row>
    <row r="683" spans="1:37" x14ac:dyDescent="0.2">
      <c r="A683" t="str">
        <f>"20200111153416227"</f>
        <v>20200111153416227</v>
      </c>
      <c r="B683" t="str">
        <f>"1578728056217081"</f>
        <v>1578728056217081</v>
      </c>
      <c r="C683" t="s">
        <v>37</v>
      </c>
      <c r="D683">
        <v>4.6505409999999996</v>
      </c>
      <c r="E683">
        <v>0.437451599999999</v>
      </c>
      <c r="F683" t="s">
        <v>39</v>
      </c>
      <c r="G683">
        <v>-242.57579999999999</v>
      </c>
      <c r="H683" s="1">
        <v>-4.4310070000000004E-6</v>
      </c>
      <c r="I683">
        <v>373.61239999999998</v>
      </c>
      <c r="J683">
        <v>-270.0788</v>
      </c>
      <c r="K683">
        <v>1.096231</v>
      </c>
      <c r="L683">
        <v>367.72770000000003</v>
      </c>
      <c r="M683">
        <v>0.99984430000000002</v>
      </c>
      <c r="N683">
        <v>0</v>
      </c>
      <c r="O683">
        <v>1.2757569999999999E-2</v>
      </c>
      <c r="P683">
        <v>0.99852940000000001</v>
      </c>
      <c r="Q683">
        <v>2.9092079999999999E-2</v>
      </c>
      <c r="R683">
        <v>4.5748860000000002E-2</v>
      </c>
      <c r="S683">
        <v>2.979034</v>
      </c>
      <c r="T683">
        <v>-0.1163481</v>
      </c>
      <c r="U683">
        <v>0.62606809999999902</v>
      </c>
      <c r="V683">
        <v>-3.2957569999999999E-2</v>
      </c>
      <c r="W683">
        <v>4.1308879999999999E-2</v>
      </c>
      <c r="X683">
        <v>0.99860269999999995</v>
      </c>
      <c r="Y683">
        <v>-0.19303129999999999</v>
      </c>
      <c r="Z683">
        <v>3.234827E-3</v>
      </c>
      <c r="AA683">
        <v>0.98118729999999998</v>
      </c>
      <c r="AB683">
        <v>56</v>
      </c>
      <c r="AC683">
        <v>27.503</v>
      </c>
      <c r="AD683">
        <v>-1.0962354310069999</v>
      </c>
      <c r="AE683">
        <v>5.8846999999999499</v>
      </c>
      <c r="AF683">
        <v>-5.52493018815243</v>
      </c>
      <c r="AG683">
        <v>-1.0962354310069999</v>
      </c>
      <c r="AH683">
        <v>27.5340126226161</v>
      </c>
      <c r="AI683">
        <v>92.235449044325307</v>
      </c>
      <c r="AJ683">
        <v>101.346199052052</v>
      </c>
      <c r="AK683">
        <v>28.1042423275657</v>
      </c>
    </row>
    <row r="684" spans="1:37" x14ac:dyDescent="0.2">
      <c r="A684" t="str">
        <f>"20200111153416240"</f>
        <v>20200111153416240</v>
      </c>
      <c r="B684" t="str">
        <f>"1578728056236601"</f>
        <v>1578728056236601</v>
      </c>
      <c r="C684" t="s">
        <v>37</v>
      </c>
      <c r="D684">
        <v>4.6058890000000003</v>
      </c>
      <c r="E684">
        <v>0.43676920000000002</v>
      </c>
      <c r="F684" t="s">
        <v>39</v>
      </c>
      <c r="G684">
        <v>-241.00630000000001</v>
      </c>
      <c r="H684" s="1">
        <v>-5.0762199999999902E-6</v>
      </c>
      <c r="I684">
        <v>373.85199999999998</v>
      </c>
      <c r="J684">
        <v>-269.76260000000002</v>
      </c>
      <c r="K684">
        <v>1.096976</v>
      </c>
      <c r="L684">
        <v>367.73169999999999</v>
      </c>
      <c r="M684">
        <v>0.99984379999999995</v>
      </c>
      <c r="N684">
        <v>0</v>
      </c>
      <c r="O684">
        <v>1.2632040000000001E-2</v>
      </c>
      <c r="P684">
        <v>0.99854149999999997</v>
      </c>
      <c r="Q684">
        <v>2.924962E-2</v>
      </c>
      <c r="R684">
        <v>4.5379969999999999E-2</v>
      </c>
      <c r="S684">
        <v>2.9789430000000001</v>
      </c>
      <c r="T684">
        <v>-0.11232689999999999</v>
      </c>
      <c r="U684">
        <v>0.62753300000000001</v>
      </c>
      <c r="V684">
        <v>-3.2714279999999998E-2</v>
      </c>
      <c r="W684">
        <v>4.1630939999999998E-2</v>
      </c>
      <c r="X684">
        <v>0.99859730000000002</v>
      </c>
      <c r="Y684">
        <v>-0.193631</v>
      </c>
      <c r="Z684">
        <v>3.1388969999999999E-3</v>
      </c>
      <c r="AA684">
        <v>0.98106939999999998</v>
      </c>
      <c r="AB684">
        <v>56</v>
      </c>
      <c r="AC684">
        <v>28.7563</v>
      </c>
      <c r="AD684">
        <v>-1.0969810762200001</v>
      </c>
      <c r="AE684">
        <v>6.1202999999999799</v>
      </c>
      <c r="AF684">
        <v>-5.7485301852889403</v>
      </c>
      <c r="AG684">
        <v>-1.0969810762200001</v>
      </c>
      <c r="AH684">
        <v>28.791240752828301</v>
      </c>
      <c r="AI684">
        <v>92.139788794448094</v>
      </c>
      <c r="AJ684">
        <v>101.291335921941</v>
      </c>
      <c r="AK684">
        <v>29.380001886658899</v>
      </c>
    </row>
    <row r="685" spans="1:37" x14ac:dyDescent="0.2">
      <c r="A685" t="str">
        <f>"20200111153416250"</f>
        <v>20200111153416250</v>
      </c>
      <c r="B685" t="str">
        <f>"1578728056247338"</f>
        <v>1578728056247338</v>
      </c>
      <c r="C685" t="s">
        <v>37</v>
      </c>
      <c r="D685">
        <v>4.6183730000000001</v>
      </c>
      <c r="E685">
        <v>0.43632199999999999</v>
      </c>
      <c r="F685" t="s">
        <v>39</v>
      </c>
      <c r="G685">
        <v>-239.66990000000001</v>
      </c>
      <c r="H685" s="1">
        <v>-1.32121E-6</v>
      </c>
      <c r="I685">
        <v>374.11610000000002</v>
      </c>
      <c r="J685">
        <v>-269.49200000000002</v>
      </c>
      <c r="K685">
        <v>1.097542</v>
      </c>
      <c r="L685">
        <v>367.73509999999999</v>
      </c>
      <c r="M685">
        <v>0.99984359999999906</v>
      </c>
      <c r="N685">
        <v>0</v>
      </c>
      <c r="O685">
        <v>1.252136E-2</v>
      </c>
      <c r="P685">
        <v>0.99854379999999998</v>
      </c>
      <c r="Q685">
        <v>2.980764E-2</v>
      </c>
      <c r="R685">
        <v>4.4968439999999998E-2</v>
      </c>
      <c r="S685">
        <v>2.9788509999999899</v>
      </c>
      <c r="T685">
        <v>-0.1085883</v>
      </c>
      <c r="U685">
        <v>0.63198849999999995</v>
      </c>
      <c r="V685">
        <v>-3.2412879999999998E-2</v>
      </c>
      <c r="W685">
        <v>4.2325080000000001E-2</v>
      </c>
      <c r="X685">
        <v>0.99857799999999997</v>
      </c>
      <c r="Y685">
        <v>-0.1951571</v>
      </c>
      <c r="Z685">
        <v>3.065608E-3</v>
      </c>
      <c r="AA685">
        <v>0.98076719999999895</v>
      </c>
      <c r="AB685">
        <v>56</v>
      </c>
      <c r="AC685">
        <v>29.822099999999999</v>
      </c>
      <c r="AD685">
        <v>-1.0975433212100001</v>
      </c>
      <c r="AE685">
        <v>6.3810000000000198</v>
      </c>
      <c r="AF685">
        <v>-5.9992872301985303</v>
      </c>
      <c r="AG685">
        <v>-1.0975433212100001</v>
      </c>
      <c r="AH685">
        <v>29.860991809759099</v>
      </c>
      <c r="AI685">
        <v>92.063761980968195</v>
      </c>
      <c r="AJ685">
        <v>101.35990140487699</v>
      </c>
      <c r="AK685">
        <v>30.477448719911798</v>
      </c>
    </row>
    <row r="686" spans="1:37" x14ac:dyDescent="0.2">
      <c r="A686" t="str">
        <f>"20200111153416261"</f>
        <v>20200111153416261</v>
      </c>
      <c r="B686" t="str">
        <f>"1578728056257097"</f>
        <v>1578728056257097</v>
      </c>
      <c r="C686" t="s">
        <v>37</v>
      </c>
      <c r="D686">
        <v>4.6310310000000001</v>
      </c>
      <c r="E686">
        <v>0.43594719999999998</v>
      </c>
      <c r="F686" t="s">
        <v>39</v>
      </c>
      <c r="G686">
        <v>-238.49760000000001</v>
      </c>
      <c r="H686" s="1">
        <v>-1.8833090000000001E-6</v>
      </c>
      <c r="I686">
        <v>374.33850000000001</v>
      </c>
      <c r="J686">
        <v>-269.23309999999998</v>
      </c>
      <c r="K686">
        <v>1.098068</v>
      </c>
      <c r="L686">
        <v>367.73829999999998</v>
      </c>
      <c r="M686">
        <v>0.99984319999999904</v>
      </c>
      <c r="N686">
        <v>0</v>
      </c>
      <c r="O686">
        <v>1.2415499999999999E-2</v>
      </c>
      <c r="P686">
        <v>0.9985619</v>
      </c>
      <c r="Q686">
        <v>2.9801979999999999E-2</v>
      </c>
      <c r="R686">
        <v>4.4565939999999998E-2</v>
      </c>
      <c r="S686">
        <v>2.9789430000000001</v>
      </c>
      <c r="T686">
        <v>-0.1054871</v>
      </c>
      <c r="U686">
        <v>0.63467410000000002</v>
      </c>
      <c r="V686">
        <v>-3.2117020000000003E-2</v>
      </c>
      <c r="W686">
        <v>4.2449420000000002E-2</v>
      </c>
      <c r="X686">
        <v>0.99858219999999998</v>
      </c>
      <c r="Y686">
        <v>-0.19610659999999999</v>
      </c>
      <c r="Z686">
        <v>2.9980670000000001E-3</v>
      </c>
      <c r="AA686">
        <v>0.98057799999999995</v>
      </c>
      <c r="AB686">
        <v>56</v>
      </c>
      <c r="AC686">
        <v>30.735499999999899</v>
      </c>
      <c r="AD686">
        <v>-1.0980698833089999</v>
      </c>
      <c r="AE686">
        <v>6.6002000000000196</v>
      </c>
      <c r="AF686">
        <v>-6.2104866829366596</v>
      </c>
      <c r="AG686">
        <v>-1.0980698833089999</v>
      </c>
      <c r="AH686">
        <v>30.7775299013555</v>
      </c>
      <c r="AI686">
        <v>92.002974422031897</v>
      </c>
      <c r="AJ686">
        <v>101.40831460376801</v>
      </c>
      <c r="AK686">
        <v>31.4170693912783</v>
      </c>
    </row>
    <row r="687" spans="1:37" x14ac:dyDescent="0.2">
      <c r="A687" t="str">
        <f>"20200111153416272"</f>
        <v>20200111153416272</v>
      </c>
      <c r="B687" t="str">
        <f>"1578728056266857"</f>
        <v>1578728056266857</v>
      </c>
      <c r="C687" t="s">
        <v>37</v>
      </c>
      <c r="D687">
        <v>4.6169159999999998</v>
      </c>
      <c r="E687">
        <v>0.43565039999999999</v>
      </c>
      <c r="F687" t="s">
        <v>39</v>
      </c>
      <c r="G687">
        <v>-237.63570000000001</v>
      </c>
      <c r="H687" s="1">
        <v>-2.2933679999999999E-6</v>
      </c>
      <c r="I687">
        <v>374.49009999999998</v>
      </c>
      <c r="J687">
        <v>-268.94690000000003</v>
      </c>
      <c r="K687">
        <v>1.0985879999999999</v>
      </c>
      <c r="L687">
        <v>367.74180000000001</v>
      </c>
      <c r="M687">
        <v>0.99984289999999998</v>
      </c>
      <c r="N687">
        <v>0</v>
      </c>
      <c r="O687">
        <v>1.2297280000000001E-2</v>
      </c>
      <c r="P687">
        <v>0.99858150000000001</v>
      </c>
      <c r="Q687">
        <v>3.0203819999999999E-2</v>
      </c>
      <c r="R687">
        <v>4.3851519999999998E-2</v>
      </c>
      <c r="S687">
        <v>2.9790040000000002</v>
      </c>
      <c r="T687">
        <v>-0.1035261</v>
      </c>
      <c r="U687">
        <v>0.63656619999999997</v>
      </c>
      <c r="V687">
        <v>-3.1520599999999899E-2</v>
      </c>
      <c r="W687">
        <v>4.2988709999999999E-2</v>
      </c>
      <c r="X687">
        <v>0.99857819999999997</v>
      </c>
      <c r="Y687">
        <v>-0.19681770000000001</v>
      </c>
      <c r="Z687">
        <v>2.958385E-3</v>
      </c>
      <c r="AA687">
        <v>0.98043570000000002</v>
      </c>
      <c r="AB687">
        <v>56</v>
      </c>
      <c r="AC687">
        <v>31.311199999999999</v>
      </c>
      <c r="AD687">
        <v>-1.0985902933679901</v>
      </c>
      <c r="AE687">
        <v>6.7482999999999702</v>
      </c>
      <c r="AF687">
        <v>-6.3552394023566698</v>
      </c>
      <c r="AG687">
        <v>-1.0985902933679901</v>
      </c>
      <c r="AH687">
        <v>31.3549387164216</v>
      </c>
      <c r="AI687">
        <v>91.966705550965798</v>
      </c>
      <c r="AJ687">
        <v>101.45788980053</v>
      </c>
      <c r="AK687">
        <v>32.011375328225199</v>
      </c>
    </row>
    <row r="688" spans="1:37" x14ac:dyDescent="0.2">
      <c r="A688" t="str">
        <f>"20200111153416285"</f>
        <v>20200111153416285</v>
      </c>
      <c r="B688" t="str">
        <f>"1578728056277595"</f>
        <v>1578728056277595</v>
      </c>
      <c r="C688" t="s">
        <v>37</v>
      </c>
      <c r="D688">
        <v>4.6416399999999998</v>
      </c>
      <c r="E688">
        <v>0.43533640000000001</v>
      </c>
      <c r="F688" t="s">
        <v>39</v>
      </c>
      <c r="G688">
        <v>-236.35900000000001</v>
      </c>
      <c r="H688" s="1">
        <v>-2.8993599999999999E-6</v>
      </c>
      <c r="I688">
        <v>374.70909999999998</v>
      </c>
      <c r="J688">
        <v>-268.6567</v>
      </c>
      <c r="K688">
        <v>1.0990839999999999</v>
      </c>
      <c r="L688">
        <v>367.74529999999999</v>
      </c>
      <c r="M688">
        <v>0.99984259999999903</v>
      </c>
      <c r="N688">
        <v>0</v>
      </c>
      <c r="O688">
        <v>1.2178380000000001E-2</v>
      </c>
      <c r="P688">
        <v>0.99862629999999997</v>
      </c>
      <c r="Q688">
        <v>2.9931389999999999E-2</v>
      </c>
      <c r="R688">
        <v>4.3009279999999997E-2</v>
      </c>
      <c r="S688">
        <v>2.9793400000000001</v>
      </c>
      <c r="T688">
        <v>-0.1004381</v>
      </c>
      <c r="U688">
        <v>0.63699340000000004</v>
      </c>
      <c r="V688">
        <v>-3.0797959999999999E-2</v>
      </c>
      <c r="W688">
        <v>4.285245E-2</v>
      </c>
      <c r="X688">
        <v>0.99860659999999901</v>
      </c>
      <c r="Y688">
        <v>-0.19705220000000001</v>
      </c>
      <c r="Z688">
        <v>2.8777009999999999E-3</v>
      </c>
      <c r="AA688">
        <v>0.98038879999999995</v>
      </c>
      <c r="AB688">
        <v>56</v>
      </c>
      <c r="AC688">
        <v>32.297699999999899</v>
      </c>
      <c r="AD688">
        <v>-1.09908689936</v>
      </c>
      <c r="AE688">
        <v>6.9637999999999902</v>
      </c>
      <c r="AF688">
        <v>-6.5626549187160297</v>
      </c>
      <c r="AG688">
        <v>-1.09908689936</v>
      </c>
      <c r="AH688">
        <v>32.344327423296399</v>
      </c>
      <c r="AI688">
        <v>91.907372859676698</v>
      </c>
      <c r="AJ688">
        <v>101.469594577945</v>
      </c>
      <c r="AK688">
        <v>33.021689055223902</v>
      </c>
    </row>
    <row r="689" spans="1:37" x14ac:dyDescent="0.2">
      <c r="A689" t="str">
        <f>"20200111153416297"</f>
        <v>20200111153416297</v>
      </c>
      <c r="B689" t="str">
        <f>"1578728056287353"</f>
        <v>1578728056287353</v>
      </c>
      <c r="C689" t="s">
        <v>37</v>
      </c>
      <c r="D689">
        <v>4.6287159999999998</v>
      </c>
      <c r="E689">
        <v>0.43533640000000001</v>
      </c>
      <c r="F689" t="s">
        <v>39</v>
      </c>
      <c r="G689">
        <v>-236.0017</v>
      </c>
      <c r="H689" s="1">
        <v>-3.0574289999999999E-6</v>
      </c>
      <c r="I689">
        <v>374.72719999999998</v>
      </c>
      <c r="J689">
        <v>-268.327</v>
      </c>
      <c r="K689">
        <v>1.099607</v>
      </c>
      <c r="L689">
        <v>367.74930000000001</v>
      </c>
      <c r="M689">
        <v>0.99984229999999996</v>
      </c>
      <c r="N689">
        <v>0</v>
      </c>
      <c r="O689">
        <v>1.204386E-2</v>
      </c>
      <c r="P689">
        <v>0.99866460000000001</v>
      </c>
      <c r="Q689">
        <v>2.9652290000000001E-2</v>
      </c>
      <c r="R689">
        <v>4.2309270000000003E-2</v>
      </c>
      <c r="S689">
        <v>2.9797060000000002</v>
      </c>
      <c r="T689">
        <v>-0.1002895</v>
      </c>
      <c r="U689">
        <v>0.63708500000000001</v>
      </c>
      <c r="V689">
        <v>-3.0233389999999999E-2</v>
      </c>
      <c r="W689">
        <v>4.2724779999999997E-2</v>
      </c>
      <c r="X689">
        <v>0.99862929999999905</v>
      </c>
      <c r="Y689">
        <v>-0.19718840000000001</v>
      </c>
      <c r="Z689">
        <v>2.8798280000000001E-3</v>
      </c>
      <c r="AA689">
        <v>0.98036139999999905</v>
      </c>
      <c r="AB689">
        <v>56</v>
      </c>
      <c r="AC689">
        <v>32.325299999999999</v>
      </c>
      <c r="AD689">
        <v>-1.099610057429</v>
      </c>
      <c r="AE689">
        <v>6.9778999999999698</v>
      </c>
      <c r="AF689">
        <v>-6.5807633262050604</v>
      </c>
      <c r="AG689">
        <v>-1.099610057429</v>
      </c>
      <c r="AH689">
        <v>32.371212252559602</v>
      </c>
      <c r="AI689">
        <v>91.9065511391006</v>
      </c>
      <c r="AJ689">
        <v>101.491103553483</v>
      </c>
      <c r="AK689">
        <v>33.051640971882001</v>
      </c>
    </row>
    <row r="690" spans="1:37" x14ac:dyDescent="0.2">
      <c r="A690" t="str">
        <f>"20200111153416309"</f>
        <v>20200111153416309</v>
      </c>
      <c r="B690" t="str">
        <f>"1578728056297114"</f>
        <v>1578728056297114</v>
      </c>
      <c r="C690" t="s">
        <v>37</v>
      </c>
      <c r="D690">
        <v>4.6147279999999897</v>
      </c>
      <c r="E690">
        <v>0.426956</v>
      </c>
      <c r="F690" t="s">
        <v>39</v>
      </c>
      <c r="G690">
        <v>-235.8888</v>
      </c>
      <c r="H690" s="1">
        <v>-3.0883339999999998E-6</v>
      </c>
      <c r="I690">
        <v>374.66120000000001</v>
      </c>
      <c r="J690">
        <v>-268.03030000000001</v>
      </c>
      <c r="K690">
        <v>1.100017</v>
      </c>
      <c r="L690">
        <v>367.7527</v>
      </c>
      <c r="M690">
        <v>0.99984200000000001</v>
      </c>
      <c r="N690">
        <v>0</v>
      </c>
      <c r="O690">
        <v>1.192819E-2</v>
      </c>
      <c r="P690">
        <v>0.99871279999999996</v>
      </c>
      <c r="Q690">
        <v>2.9220630000000001E-2</v>
      </c>
      <c r="R690">
        <v>4.1463279999999998E-2</v>
      </c>
      <c r="S690">
        <v>2.9801329999999999</v>
      </c>
      <c r="T690">
        <v>-0.1010221</v>
      </c>
      <c r="U690">
        <v>0.63500979999999996</v>
      </c>
      <c r="V690">
        <v>-2.9504240000000001E-2</v>
      </c>
      <c r="W690">
        <v>4.2421779999999999E-2</v>
      </c>
      <c r="X690">
        <v>0.99866409999999906</v>
      </c>
      <c r="Y690">
        <v>-0.19661889999999899</v>
      </c>
      <c r="Z690">
        <v>2.8949869999999999E-3</v>
      </c>
      <c r="AA690">
        <v>0.98047569999999995</v>
      </c>
      <c r="AB690">
        <v>56</v>
      </c>
      <c r="AC690">
        <v>32.141500000000001</v>
      </c>
      <c r="AD690">
        <v>-1.1000200883339999</v>
      </c>
      <c r="AE690">
        <v>6.9085000000000001</v>
      </c>
      <c r="AF690">
        <v>-6.5172885852667797</v>
      </c>
      <c r="AG690">
        <v>-1.1000200883339999</v>
      </c>
      <c r="AH690">
        <v>32.185591710680598</v>
      </c>
      <c r="AI690">
        <v>91.9185516417717</v>
      </c>
      <c r="AJ690">
        <v>101.44709396046601</v>
      </c>
      <c r="AK690">
        <v>32.857227644234101</v>
      </c>
    </row>
    <row r="691" spans="1:37" x14ac:dyDescent="0.2">
      <c r="A691" t="str">
        <f>"20200111153416321"</f>
        <v>20200111153416321</v>
      </c>
      <c r="B691" t="str">
        <f>"1578728056316634"</f>
        <v>1578728056316634</v>
      </c>
      <c r="C691" t="s">
        <v>37</v>
      </c>
      <c r="D691">
        <v>4.6283449999999897</v>
      </c>
      <c r="E691">
        <v>0.42736239999999998</v>
      </c>
      <c r="F691" t="s">
        <v>39</v>
      </c>
      <c r="G691">
        <v>-234.50200000000001</v>
      </c>
      <c r="H691" s="1">
        <v>-3.8103350000000001E-6</v>
      </c>
      <c r="I691">
        <v>375.62799999999999</v>
      </c>
      <c r="J691">
        <v>-267.73820000000001</v>
      </c>
      <c r="K691">
        <v>1.1004020000000001</v>
      </c>
      <c r="L691">
        <v>367.75619999999998</v>
      </c>
      <c r="M691">
        <v>0.99984150000000005</v>
      </c>
      <c r="N691">
        <v>0</v>
      </c>
      <c r="O691">
        <v>1.1816770000000001E-2</v>
      </c>
      <c r="P691">
        <v>0.99876430000000005</v>
      </c>
      <c r="Q691">
        <v>2.846255E-2</v>
      </c>
      <c r="R691">
        <v>4.0738549999999998E-2</v>
      </c>
      <c r="S691">
        <v>2.9776609999999999</v>
      </c>
      <c r="T691">
        <v>-9.7693089999999996E-2</v>
      </c>
      <c r="U691">
        <v>0.69940190000000002</v>
      </c>
      <c r="V691">
        <v>-2.889214E-2</v>
      </c>
      <c r="W691">
        <v>4.1787199999999997E-2</v>
      </c>
      <c r="X691">
        <v>0.9987087</v>
      </c>
      <c r="Y691">
        <v>-0.2170348</v>
      </c>
      <c r="Z691">
        <v>3.1293219999999999E-3</v>
      </c>
      <c r="AA691">
        <v>0.97615889999999905</v>
      </c>
      <c r="AB691">
        <v>56</v>
      </c>
      <c r="AC691">
        <v>33.236199999999997</v>
      </c>
      <c r="AD691">
        <v>-1.1004058103350001</v>
      </c>
      <c r="AE691">
        <v>7.8718000000000599</v>
      </c>
      <c r="AF691">
        <v>-7.4707166361521402</v>
      </c>
      <c r="AG691">
        <v>-1.1004058103350001</v>
      </c>
      <c r="AH691">
        <v>33.292350443993897</v>
      </c>
      <c r="AI691">
        <v>91.8471946393704</v>
      </c>
      <c r="AJ691">
        <v>102.647516095591</v>
      </c>
      <c r="AK691">
        <v>34.138000792237399</v>
      </c>
    </row>
    <row r="692" spans="1:37" x14ac:dyDescent="0.2">
      <c r="A692" t="str">
        <f>"20200111153416333"</f>
        <v>20200111153416333</v>
      </c>
      <c r="B692" t="str">
        <f>"1578728056327369"</f>
        <v>1578728056327369</v>
      </c>
      <c r="C692" t="s">
        <v>37</v>
      </c>
      <c r="D692">
        <v>4.6356849999999996</v>
      </c>
      <c r="E692">
        <v>0.42712460000000002</v>
      </c>
      <c r="F692" t="s">
        <v>39</v>
      </c>
      <c r="G692">
        <v>-233.50909999999999</v>
      </c>
      <c r="H692" s="1">
        <v>-4.1672370000000001E-6</v>
      </c>
      <c r="I692">
        <v>375.73509999999999</v>
      </c>
      <c r="J692">
        <v>-267.43340000000001</v>
      </c>
      <c r="K692">
        <v>1.1007549999999999</v>
      </c>
      <c r="L692">
        <v>367.75979999999998</v>
      </c>
      <c r="M692">
        <v>0.99984130000000004</v>
      </c>
      <c r="N692">
        <v>0</v>
      </c>
      <c r="O692">
        <v>1.17077E-2</v>
      </c>
      <c r="P692">
        <v>0.99880899999999995</v>
      </c>
      <c r="Q692">
        <v>2.7753779999999999E-2</v>
      </c>
      <c r="R692">
        <v>4.0130760000000001E-2</v>
      </c>
      <c r="S692">
        <v>2.9781490000000002</v>
      </c>
      <c r="T692">
        <v>-9.5741989999999999E-2</v>
      </c>
      <c r="U692">
        <v>0.69421390000000005</v>
      </c>
      <c r="V692">
        <v>-2.8395170000000001E-2</v>
      </c>
      <c r="W692">
        <v>4.1200720000000003E-2</v>
      </c>
      <c r="X692">
        <v>0.9987473</v>
      </c>
      <c r="Y692">
        <v>-0.215498</v>
      </c>
      <c r="Z692">
        <v>3.0460509999999902E-3</v>
      </c>
      <c r="AA692">
        <v>0.97649959999999902</v>
      </c>
      <c r="AB692">
        <v>56</v>
      </c>
      <c r="AC692">
        <v>33.924300000000002</v>
      </c>
      <c r="AD692">
        <v>-1.1007591672369901</v>
      </c>
      <c r="AE692">
        <v>7.9752999999999998</v>
      </c>
      <c r="AF692">
        <v>-7.5699893749889302</v>
      </c>
      <c r="AG692">
        <v>-1.1007591672369901</v>
      </c>
      <c r="AH692">
        <v>33.981452025902897</v>
      </c>
      <c r="AI692">
        <v>91.810969453289104</v>
      </c>
      <c r="AJ692">
        <v>102.558618351874</v>
      </c>
      <c r="AK692">
        <v>34.831817231813297</v>
      </c>
    </row>
    <row r="693" spans="1:37" x14ac:dyDescent="0.2">
      <c r="A693" t="str">
        <f>"20200111153416343"</f>
        <v>20200111153416343</v>
      </c>
      <c r="B693" t="str">
        <f>"1578728056337129"</f>
        <v>1578728056337129</v>
      </c>
      <c r="C693" t="s">
        <v>37</v>
      </c>
      <c r="D693">
        <v>4.6329029999999998</v>
      </c>
      <c r="E693">
        <v>0.4264501</v>
      </c>
      <c r="F693" t="s">
        <v>39</v>
      </c>
      <c r="G693">
        <v>-233.3056</v>
      </c>
      <c r="H693" s="1">
        <v>-4.2331680000000004E-6</v>
      </c>
      <c r="I693">
        <v>375.7165</v>
      </c>
      <c r="J693">
        <v>-267.16860000000003</v>
      </c>
      <c r="K693">
        <v>1.101037</v>
      </c>
      <c r="L693">
        <v>367.7629</v>
      </c>
      <c r="M693">
        <v>0.99984099999999998</v>
      </c>
      <c r="N693">
        <v>0</v>
      </c>
      <c r="O693">
        <v>1.161744E-2</v>
      </c>
      <c r="P693">
        <v>0.99884519999999899</v>
      </c>
      <c r="Q693">
        <v>2.7405760000000001E-2</v>
      </c>
      <c r="R693">
        <v>3.946264E-2</v>
      </c>
      <c r="S693">
        <v>2.97839399999999</v>
      </c>
      <c r="T693">
        <v>-9.6065040000000004E-2</v>
      </c>
      <c r="U693">
        <v>0.69439700000000004</v>
      </c>
      <c r="V693">
        <v>-2.78173E-2</v>
      </c>
      <c r="W693">
        <v>4.0955350000000001E-2</v>
      </c>
      <c r="X693">
        <v>0.99877369999999899</v>
      </c>
      <c r="Y693">
        <v>-0.2156246</v>
      </c>
      <c r="Z693">
        <v>3.060943E-3</v>
      </c>
      <c r="AA693">
        <v>0.97647150000000005</v>
      </c>
      <c r="AB693">
        <v>56</v>
      </c>
      <c r="AC693">
        <v>33.863</v>
      </c>
      <c r="AD693">
        <v>-1.101041233168</v>
      </c>
      <c r="AE693">
        <v>7.95359999999999</v>
      </c>
      <c r="AF693">
        <v>-7.5520591838536397</v>
      </c>
      <c r="AG693">
        <v>-1.101041233168</v>
      </c>
      <c r="AH693">
        <v>33.919138837302498</v>
      </c>
      <c r="AI693">
        <v>91.814804711311297</v>
      </c>
      <c r="AJ693">
        <v>102.552102374287</v>
      </c>
      <c r="AK693">
        <v>34.7671377766098</v>
      </c>
    </row>
    <row r="694" spans="1:37" x14ac:dyDescent="0.2">
      <c r="A694" t="str">
        <f>"20200111153416354"</f>
        <v>20200111153416354</v>
      </c>
      <c r="B694" t="str">
        <f>"1578728056346889"</f>
        <v>1578728056346889</v>
      </c>
      <c r="C694" t="s">
        <v>37</v>
      </c>
      <c r="D694">
        <v>4.7833769999999998</v>
      </c>
      <c r="E694">
        <v>0.4264501</v>
      </c>
      <c r="F694" t="s">
        <v>39</v>
      </c>
      <c r="G694">
        <v>-233.94309999999999</v>
      </c>
      <c r="H694" s="1">
        <v>-3.9859579999999997E-6</v>
      </c>
      <c r="I694">
        <v>375.54570000000001</v>
      </c>
      <c r="J694">
        <v>-266.88729999999998</v>
      </c>
      <c r="K694">
        <v>1.1013170000000001</v>
      </c>
      <c r="L694">
        <v>367.76609999999999</v>
      </c>
      <c r="M694">
        <v>0.99984059999999897</v>
      </c>
      <c r="N694">
        <v>0</v>
      </c>
      <c r="O694">
        <v>1.152676E-2</v>
      </c>
      <c r="P694">
        <v>0.99888099999999902</v>
      </c>
      <c r="Q694">
        <v>2.6713460000000001E-2</v>
      </c>
      <c r="R694">
        <v>3.9028680000000003E-2</v>
      </c>
      <c r="S694">
        <v>2.9786069999999998</v>
      </c>
      <c r="T694">
        <v>-9.8706130000000003E-2</v>
      </c>
      <c r="U694">
        <v>0.69772339999999999</v>
      </c>
      <c r="V694">
        <v>-2.7475530000000001E-2</v>
      </c>
      <c r="W694">
        <v>4.0367899999999998E-2</v>
      </c>
      <c r="X694">
        <v>0.99880709999999995</v>
      </c>
      <c r="Y694">
        <v>-0.21672529999999901</v>
      </c>
      <c r="Z694">
        <v>3.1653919999999999E-3</v>
      </c>
      <c r="AA694">
        <v>0.97622749999999903</v>
      </c>
      <c r="AB694">
        <v>56</v>
      </c>
      <c r="AC694">
        <v>32.944199999999903</v>
      </c>
      <c r="AD694">
        <v>-1.101320985958</v>
      </c>
      <c r="AE694">
        <v>7.7796000000000101</v>
      </c>
      <c r="AF694">
        <v>-7.3914837711006998</v>
      </c>
      <c r="AG694">
        <v>-1.101320985958</v>
      </c>
      <c r="AH694">
        <v>32.996764809602702</v>
      </c>
      <c r="AI694">
        <v>91.865434757592197</v>
      </c>
      <c r="AJ694">
        <v>102.626181544799</v>
      </c>
      <c r="AK694">
        <v>33.832431602721002</v>
      </c>
    </row>
    <row r="695" spans="1:37" x14ac:dyDescent="0.2">
      <c r="A695" t="str">
        <f>"20200111153416366"</f>
        <v>20200111153416366</v>
      </c>
      <c r="B695" t="str">
        <f>"1578728056356650"</f>
        <v>1578728056356650</v>
      </c>
      <c r="C695" t="s">
        <v>37</v>
      </c>
      <c r="D695">
        <v>4.9711169999999996</v>
      </c>
      <c r="E695">
        <v>0.45442250000000001</v>
      </c>
      <c r="F695" t="s">
        <v>39</v>
      </c>
      <c r="G695">
        <v>-234.3057</v>
      </c>
      <c r="H695" s="1">
        <v>-3.8342709999999997E-6</v>
      </c>
      <c r="I695">
        <v>375.38630000000001</v>
      </c>
      <c r="J695">
        <v>-266.62060000000002</v>
      </c>
      <c r="K695">
        <v>1.1015569999999999</v>
      </c>
      <c r="L695">
        <v>367.76909999999998</v>
      </c>
      <c r="M695">
        <v>0.99984019999999996</v>
      </c>
      <c r="N695">
        <v>0</v>
      </c>
      <c r="O695">
        <v>1.1446919999999999E-2</v>
      </c>
      <c r="P695">
        <v>0.99891280000000005</v>
      </c>
      <c r="Q695">
        <v>2.6226079999999999E-2</v>
      </c>
      <c r="R695">
        <v>3.8541390000000002E-2</v>
      </c>
      <c r="S695">
        <v>2.97879</v>
      </c>
      <c r="T695">
        <v>-0.1006885</v>
      </c>
      <c r="U695">
        <v>0.69668580000000002</v>
      </c>
      <c r="V695">
        <v>-2.7069699999999999E-2</v>
      </c>
      <c r="W695">
        <v>3.9974830000000003E-2</v>
      </c>
      <c r="X695">
        <v>0.998834</v>
      </c>
      <c r="Y695">
        <v>-0.216463299999999</v>
      </c>
      <c r="Z695">
        <v>3.2271539999999999E-3</v>
      </c>
      <c r="AA695">
        <v>0.97628539999999997</v>
      </c>
      <c r="AB695">
        <v>56</v>
      </c>
      <c r="AC695">
        <v>32.314900000000002</v>
      </c>
      <c r="AD695">
        <v>-1.1015608342709999</v>
      </c>
      <c r="AE695">
        <v>7.61720000000002</v>
      </c>
      <c r="AF695">
        <v>-7.2387910835721803</v>
      </c>
      <c r="AG695">
        <v>-1.1015608342709999</v>
      </c>
      <c r="AH695">
        <v>32.364355864230198</v>
      </c>
      <c r="AI695">
        <v>91.902411353595298</v>
      </c>
      <c r="AJ695">
        <v>102.607587940489</v>
      </c>
      <c r="AK695">
        <v>33.182300449633303</v>
      </c>
    </row>
    <row r="696" spans="1:37" x14ac:dyDescent="0.2">
      <c r="A696" t="str">
        <f>"20200111153416378"</f>
        <v>20200111153416378</v>
      </c>
      <c r="B696" t="str">
        <f>"1578728056367386"</f>
        <v>1578728056367386</v>
      </c>
      <c r="C696" t="s">
        <v>37</v>
      </c>
      <c r="D696">
        <v>4.8857730000000004</v>
      </c>
      <c r="E696">
        <v>0.46568959999999998</v>
      </c>
      <c r="F696" t="s">
        <v>39</v>
      </c>
      <c r="G696">
        <v>-243.16560000000001</v>
      </c>
      <c r="H696" s="1">
        <v>-3.7020749999999899E-6</v>
      </c>
      <c r="I696">
        <v>371.46140000000003</v>
      </c>
      <c r="J696">
        <v>-266.32569999999998</v>
      </c>
      <c r="K696">
        <v>1.1018079999999999</v>
      </c>
      <c r="L696">
        <v>367.77249999999998</v>
      </c>
      <c r="M696">
        <v>0.99983979999999995</v>
      </c>
      <c r="N696">
        <v>0</v>
      </c>
      <c r="O696">
        <v>1.1361919999999999E-2</v>
      </c>
      <c r="P696">
        <v>0.9989365</v>
      </c>
      <c r="Q696">
        <v>2.5561009999999999E-2</v>
      </c>
      <c r="R696">
        <v>3.8374020000000002E-2</v>
      </c>
      <c r="S696">
        <v>2.9887999999999999</v>
      </c>
      <c r="T696">
        <v>-0.1403683</v>
      </c>
      <c r="U696">
        <v>0.4704895</v>
      </c>
      <c r="V696">
        <v>-2.6988379999999999E-2</v>
      </c>
      <c r="W696">
        <v>3.9411649999999999E-2</v>
      </c>
      <c r="X696">
        <v>0.99885849999999898</v>
      </c>
      <c r="Y696">
        <v>-0.14412510000000001</v>
      </c>
      <c r="Z696">
        <v>2.8318900000000001E-3</v>
      </c>
      <c r="AA696">
        <v>0.98955539999999997</v>
      </c>
      <c r="AB696">
        <v>56</v>
      </c>
      <c r="AC696">
        <v>23.1600999999999</v>
      </c>
      <c r="AD696">
        <v>-1.10181170207499</v>
      </c>
      <c r="AE696">
        <v>3.6889000000000398</v>
      </c>
      <c r="AF696">
        <v>-3.4179491643292601</v>
      </c>
      <c r="AG696">
        <v>-1.10181170207499</v>
      </c>
      <c r="AH696">
        <v>23.1494249572497</v>
      </c>
      <c r="AI696">
        <v>92.695791375161306</v>
      </c>
      <c r="AJ696">
        <v>98.398884554266701</v>
      </c>
      <c r="AK696">
        <v>23.426315147032899</v>
      </c>
    </row>
    <row r="697" spans="1:37" x14ac:dyDescent="0.2">
      <c r="A697" t="str">
        <f>"20200111153416391"</f>
        <v>20200111153416391</v>
      </c>
      <c r="B697" t="str">
        <f>"1578728056386905"</f>
        <v>1578728056386905</v>
      </c>
      <c r="C697" t="s">
        <v>37</v>
      </c>
      <c r="D697">
        <v>4.8707589999999996</v>
      </c>
      <c r="E697">
        <v>0.54430089999999998</v>
      </c>
      <c r="F697" t="s">
        <v>39</v>
      </c>
      <c r="G697">
        <v>-236.61799999999999</v>
      </c>
      <c r="H697" s="1">
        <v>-1.9503260000000001E-6</v>
      </c>
      <c r="I697">
        <v>371.55990000000003</v>
      </c>
      <c r="J697">
        <v>-265.99869999999999</v>
      </c>
      <c r="K697">
        <v>1.1020479999999999</v>
      </c>
      <c r="L697">
        <v>367.77620000000002</v>
      </c>
      <c r="M697">
        <v>0.99983909999999998</v>
      </c>
      <c r="N697">
        <v>0</v>
      </c>
      <c r="O697">
        <v>1.127709E-2</v>
      </c>
      <c r="P697">
        <v>0.99895659999999897</v>
      </c>
      <c r="Q697">
        <v>2.5198689999999999E-2</v>
      </c>
      <c r="R697">
        <v>3.8090140000000001E-2</v>
      </c>
      <c r="S697">
        <v>2.9913939999999899</v>
      </c>
      <c r="T697">
        <v>-0.11094569999999999</v>
      </c>
      <c r="U697">
        <v>0.3813782</v>
      </c>
      <c r="V697">
        <v>-2.679051E-2</v>
      </c>
      <c r="W697">
        <v>3.9152930000000002E-2</v>
      </c>
      <c r="X697">
        <v>0.99887399999999904</v>
      </c>
      <c r="Y697">
        <v>-0.11520219999999901</v>
      </c>
      <c r="Z697">
        <v>1.710612E-3</v>
      </c>
      <c r="AA697">
        <v>0.99334059999999902</v>
      </c>
      <c r="AB697">
        <v>56</v>
      </c>
      <c r="AC697">
        <v>29.380699999999901</v>
      </c>
      <c r="AD697">
        <v>-1.1020499503259999</v>
      </c>
      <c r="AE697">
        <v>3.7837000000000001</v>
      </c>
      <c r="AF697">
        <v>-3.4473272268739601</v>
      </c>
      <c r="AG697">
        <v>-1.1020499503259999</v>
      </c>
      <c r="AH697">
        <v>29.380841688790898</v>
      </c>
      <c r="AI697">
        <v>92.133486181250802</v>
      </c>
      <c r="AJ697">
        <v>96.692058580656905</v>
      </c>
      <c r="AK697">
        <v>29.602912651358299</v>
      </c>
    </row>
    <row r="698" spans="1:37" x14ac:dyDescent="0.2">
      <c r="A698" t="str">
        <f>"20200111153416403"</f>
        <v>20200111153416403</v>
      </c>
      <c r="B698" t="str">
        <f>"1578728056396666"</f>
        <v>1578728056396666</v>
      </c>
      <c r="C698" t="s">
        <v>37</v>
      </c>
      <c r="D698">
        <v>4.9833559999999997</v>
      </c>
      <c r="E698">
        <v>0.55727289999999996</v>
      </c>
      <c r="F698" t="s">
        <v>46</v>
      </c>
      <c r="G698">
        <v>-201.88460000000001</v>
      </c>
      <c r="H698" s="1">
        <v>-2.9469299999999899E-6</v>
      </c>
      <c r="I698">
        <v>362.58170000000001</v>
      </c>
      <c r="J698">
        <v>-265.69490000000002</v>
      </c>
      <c r="K698">
        <v>1.1022590000000001</v>
      </c>
      <c r="L698">
        <v>367.77949999999998</v>
      </c>
      <c r="M698">
        <v>0.99983880000000003</v>
      </c>
      <c r="N698">
        <v>0</v>
      </c>
      <c r="O698">
        <v>1.1201630000000001E-2</v>
      </c>
      <c r="P698">
        <v>0.99898140000000002</v>
      </c>
      <c r="Q698">
        <v>2.473415E-2</v>
      </c>
      <c r="R698">
        <v>3.7748089999999998E-2</v>
      </c>
      <c r="S698">
        <v>3.013763</v>
      </c>
      <c r="T698">
        <v>-5.1803229999999999E-2</v>
      </c>
      <c r="U698">
        <v>-0.2441711</v>
      </c>
      <c r="V698">
        <v>-2.6525119999999999E-2</v>
      </c>
      <c r="W698">
        <v>3.8780799999999997E-2</v>
      </c>
      <c r="X698">
        <v>0.99889559999999999</v>
      </c>
      <c r="Y698">
        <v>9.1900010000000004E-2</v>
      </c>
      <c r="Z698">
        <v>-9.807316999999999E-4</v>
      </c>
      <c r="AA698">
        <v>0.99576779999999998</v>
      </c>
      <c r="AB698">
        <v>56</v>
      </c>
      <c r="AC698">
        <v>63.810299999999998</v>
      </c>
      <c r="AD698">
        <v>-1.1022619469299999</v>
      </c>
      <c r="AE698">
        <v>-5.1977999999999698</v>
      </c>
      <c r="AF698">
        <v>5.9105715293783101</v>
      </c>
      <c r="AG698">
        <v>-1.1022619469299999</v>
      </c>
      <c r="AH698">
        <v>63.729175205358104</v>
      </c>
      <c r="AI698">
        <v>90.986657400375094</v>
      </c>
      <c r="AJ698">
        <v>84.701252665231394</v>
      </c>
      <c r="AK698">
        <v>64.012167668020496</v>
      </c>
    </row>
    <row r="699" spans="1:37" x14ac:dyDescent="0.2">
      <c r="A699" t="str">
        <f>"20200111153416417"</f>
        <v>20200111153416417</v>
      </c>
      <c r="B699" t="str">
        <f>"1578728056407402"</f>
        <v>1578728056407402</v>
      </c>
      <c r="C699" t="s">
        <v>37</v>
      </c>
      <c r="D699">
        <v>4.943397</v>
      </c>
      <c r="E699">
        <v>0.56256689999999998</v>
      </c>
      <c r="F699" t="s">
        <v>39</v>
      </c>
      <c r="G699">
        <v>-222.70529999999999</v>
      </c>
      <c r="H699" s="1">
        <v>-4.3212509999999997E-6</v>
      </c>
      <c r="I699">
        <v>362.79770000000002</v>
      </c>
      <c r="J699">
        <v>-265.34410000000003</v>
      </c>
      <c r="K699">
        <v>1.102474</v>
      </c>
      <c r="L699">
        <v>367.78339999999997</v>
      </c>
      <c r="M699">
        <v>0.99983840000000002</v>
      </c>
      <c r="N699">
        <v>0</v>
      </c>
      <c r="O699">
        <v>1.112018E-2</v>
      </c>
      <c r="P699">
        <v>0.99900940000000005</v>
      </c>
      <c r="Q699">
        <v>2.4266059999999999E-2</v>
      </c>
      <c r="R699">
        <v>3.7303410000000002E-2</v>
      </c>
      <c r="S699">
        <v>3.01821899999999</v>
      </c>
      <c r="T699">
        <v>-7.7387689999999995E-2</v>
      </c>
      <c r="U699">
        <v>-0.34976199999999902</v>
      </c>
      <c r="V699">
        <v>-2.6163019999999999E-2</v>
      </c>
      <c r="W699">
        <v>3.841439E-2</v>
      </c>
      <c r="X699">
        <v>0.99891929999999995</v>
      </c>
      <c r="Y699">
        <v>0.1261089</v>
      </c>
      <c r="Z699">
        <v>-1.8952699999999999E-3</v>
      </c>
      <c r="AA699">
        <v>0.99201459999999997</v>
      </c>
      <c r="AB699">
        <v>56</v>
      </c>
      <c r="AC699">
        <v>42.638800000000003</v>
      </c>
      <c r="AD699">
        <v>-1.1024783212510001</v>
      </c>
      <c r="AE699">
        <v>-4.9856999999999498</v>
      </c>
      <c r="AF699">
        <v>5.4559917315442696</v>
      </c>
      <c r="AG699">
        <v>-1.1024783212510001</v>
      </c>
      <c r="AH699">
        <v>42.5526510340733</v>
      </c>
      <c r="AI699">
        <v>91.472074135366995</v>
      </c>
      <c r="AJ699">
        <v>82.693546791153096</v>
      </c>
      <c r="AK699">
        <v>42.9151653177653</v>
      </c>
    </row>
    <row r="700" spans="1:37" x14ac:dyDescent="0.2">
      <c r="A700" t="str">
        <f>"20200111153416429"</f>
        <v>20200111153416429</v>
      </c>
      <c r="B700" t="str">
        <f>"1578728056417162"</f>
        <v>1578728056417162</v>
      </c>
      <c r="C700" t="s">
        <v>37</v>
      </c>
      <c r="D700">
        <v>4.8932979999999997</v>
      </c>
      <c r="E700">
        <v>0.56538310000000003</v>
      </c>
      <c r="F700" t="s">
        <v>39</v>
      </c>
      <c r="G700">
        <v>-230.07210000000001</v>
      </c>
      <c r="H700" s="1">
        <v>-5.3823059999999999E-6</v>
      </c>
      <c r="I700">
        <v>363.18430000000001</v>
      </c>
      <c r="J700">
        <v>-265.03590000000003</v>
      </c>
      <c r="K700">
        <v>1.1026419999999999</v>
      </c>
      <c r="L700">
        <v>367.78680000000003</v>
      </c>
      <c r="M700">
        <v>0.9998378</v>
      </c>
      <c r="N700">
        <v>0</v>
      </c>
      <c r="O700">
        <v>1.105474E-2</v>
      </c>
      <c r="P700">
        <v>0.99902500000000005</v>
      </c>
      <c r="Q700">
        <v>2.3966609999999999E-2</v>
      </c>
      <c r="R700">
        <v>3.7077289999999999E-2</v>
      </c>
      <c r="S700">
        <v>3.0199579999999999</v>
      </c>
      <c r="T700">
        <v>-9.4393130000000006E-2</v>
      </c>
      <c r="U700">
        <v>-0.39376830000000002</v>
      </c>
      <c r="V700">
        <v>-2.600367E-2</v>
      </c>
      <c r="W700">
        <v>3.8196630000000002E-2</v>
      </c>
      <c r="X700">
        <v>0.99893180000000004</v>
      </c>
      <c r="Y700">
        <v>0.14017669999999999</v>
      </c>
      <c r="Z700">
        <v>-2.5250379999999998E-3</v>
      </c>
      <c r="AA700">
        <v>0.99012330000000004</v>
      </c>
      <c r="AB700">
        <v>56</v>
      </c>
      <c r="AC700">
        <v>34.963799999999999</v>
      </c>
      <c r="AD700">
        <v>-1.1026473823059999</v>
      </c>
      <c r="AE700">
        <v>-4.6025000000000196</v>
      </c>
      <c r="AF700">
        <v>4.9839010828394201</v>
      </c>
      <c r="AG700">
        <v>-1.1026473823059999</v>
      </c>
      <c r="AH700">
        <v>34.876681973030898</v>
      </c>
      <c r="AI700">
        <v>91.792638708382199</v>
      </c>
      <c r="AJ700">
        <v>81.867453840540094</v>
      </c>
      <c r="AK700">
        <v>35.248234660776603</v>
      </c>
    </row>
    <row r="701" spans="1:37" x14ac:dyDescent="0.2">
      <c r="A701" t="str">
        <f>"20200111153416442"</f>
        <v>20200111153416442</v>
      </c>
      <c r="B701" t="str">
        <f>"1578728056436682"</f>
        <v>1578728056436682</v>
      </c>
      <c r="C701" t="s">
        <v>37</v>
      </c>
      <c r="D701">
        <v>4.8611199999999997</v>
      </c>
      <c r="E701">
        <v>0.56716860000000002</v>
      </c>
      <c r="F701" t="s">
        <v>39</v>
      </c>
      <c r="G701">
        <v>-232.7296</v>
      </c>
      <c r="H701" s="1">
        <v>-4.2174270000000002E-6</v>
      </c>
      <c r="I701">
        <v>363.32409999999999</v>
      </c>
      <c r="J701">
        <v>-264.7373</v>
      </c>
      <c r="K701">
        <v>1.102795</v>
      </c>
      <c r="L701">
        <v>367.7901</v>
      </c>
      <c r="M701">
        <v>0.99983719999999998</v>
      </c>
      <c r="N701">
        <v>0</v>
      </c>
      <c r="O701">
        <v>1.0993640000000001E-2</v>
      </c>
      <c r="P701">
        <v>0.99904889999999902</v>
      </c>
      <c r="Q701">
        <v>2.375128E-2</v>
      </c>
      <c r="R701">
        <v>3.6565720000000003E-2</v>
      </c>
      <c r="S701">
        <v>3.020905</v>
      </c>
      <c r="T701">
        <v>-0.1031062</v>
      </c>
      <c r="U701">
        <v>-0.41729739999999999</v>
      </c>
      <c r="V701">
        <v>-2.5553679999999999E-2</v>
      </c>
      <c r="W701">
        <v>3.8057019999999997E-2</v>
      </c>
      <c r="X701">
        <v>0.99894879999999997</v>
      </c>
      <c r="Y701">
        <v>0.1476296</v>
      </c>
      <c r="Z701">
        <v>-2.8801870000000002E-3</v>
      </c>
      <c r="AA701">
        <v>0.98903850000000004</v>
      </c>
      <c r="AB701">
        <v>55</v>
      </c>
      <c r="AC701">
        <v>32.0077</v>
      </c>
      <c r="AD701">
        <v>-1.102799217427</v>
      </c>
      <c r="AE701">
        <v>-4.4660000000000002</v>
      </c>
      <c r="AF701">
        <v>4.8120439622760998</v>
      </c>
      <c r="AG701">
        <v>-1.102799217427</v>
      </c>
      <c r="AH701">
        <v>31.919494948556601</v>
      </c>
      <c r="AI701">
        <v>91.956655099931794</v>
      </c>
      <c r="AJ701">
        <v>81.426896681634403</v>
      </c>
      <c r="AK701">
        <v>32.299010681130298</v>
      </c>
    </row>
    <row r="702" spans="1:37" x14ac:dyDescent="0.2">
      <c r="A702" t="str">
        <f>"20200111153416455"</f>
        <v>20200111153416455</v>
      </c>
      <c r="B702" t="str">
        <f>"1578728056447418"</f>
        <v>1578728056447418</v>
      </c>
      <c r="C702" t="s">
        <v>37</v>
      </c>
      <c r="D702">
        <v>4.859305</v>
      </c>
      <c r="E702">
        <v>0.56734929999999995</v>
      </c>
      <c r="F702" t="s">
        <v>39</v>
      </c>
      <c r="G702">
        <v>-233.4308</v>
      </c>
      <c r="H702" s="1">
        <v>-3.9206719999999997E-6</v>
      </c>
      <c r="I702">
        <v>363.30119999999999</v>
      </c>
      <c r="J702">
        <v>-264.39359999999999</v>
      </c>
      <c r="K702">
        <v>1.102954</v>
      </c>
      <c r="L702">
        <v>367.79390000000001</v>
      </c>
      <c r="M702">
        <v>0.99983699999999998</v>
      </c>
      <c r="N702">
        <v>0</v>
      </c>
      <c r="O702">
        <v>1.092841E-2</v>
      </c>
      <c r="P702">
        <v>0.99906019999999895</v>
      </c>
      <c r="Q702">
        <v>2.3598190000000002E-2</v>
      </c>
      <c r="R702">
        <v>3.6364099999999899E-2</v>
      </c>
      <c r="S702">
        <v>3.0212400000000001</v>
      </c>
      <c r="T702">
        <v>-0.10642550000000001</v>
      </c>
      <c r="U702">
        <v>-0.433197</v>
      </c>
      <c r="V702">
        <v>-2.5418469999999999E-2</v>
      </c>
      <c r="W702">
        <v>3.798555E-2</v>
      </c>
      <c r="X702">
        <v>0.99895499999999904</v>
      </c>
      <c r="Y702">
        <v>0.15264320000000001</v>
      </c>
      <c r="Z702">
        <v>-3.0569880000000001E-3</v>
      </c>
      <c r="AA702">
        <v>0.98827670000000001</v>
      </c>
      <c r="AB702">
        <v>55</v>
      </c>
      <c r="AC702">
        <v>30.962799999999898</v>
      </c>
      <c r="AD702">
        <v>-1.1029579206719999</v>
      </c>
      <c r="AE702">
        <v>-4.4927000000000099</v>
      </c>
      <c r="AF702">
        <v>4.8248446336000104</v>
      </c>
      <c r="AG702">
        <v>-1.1029579206719999</v>
      </c>
      <c r="AH702">
        <v>30.8734790243413</v>
      </c>
      <c r="AI702">
        <v>92.021511086559698</v>
      </c>
      <c r="AJ702">
        <v>81.117776477070606</v>
      </c>
      <c r="AK702">
        <v>31.2676725865485</v>
      </c>
    </row>
    <row r="703" spans="1:37" x14ac:dyDescent="0.2">
      <c r="A703" t="str">
        <f>"20200111153416469"</f>
        <v>20200111153416469</v>
      </c>
      <c r="B703" t="str">
        <f>"1578728056457178"</f>
        <v>1578728056457178</v>
      </c>
      <c r="C703" t="s">
        <v>37</v>
      </c>
      <c r="D703">
        <v>4.836417</v>
      </c>
      <c r="E703">
        <v>0.56758980000000003</v>
      </c>
      <c r="F703" t="s">
        <v>39</v>
      </c>
      <c r="G703">
        <v>-233.61590000000001</v>
      </c>
      <c r="H703" s="1">
        <v>-3.8305900000000004E-6</v>
      </c>
      <c r="I703">
        <v>363.36149999999998</v>
      </c>
      <c r="J703">
        <v>-264.07499999999999</v>
      </c>
      <c r="K703">
        <v>1.1030799999999901</v>
      </c>
      <c r="L703">
        <v>367.79730000000001</v>
      </c>
      <c r="M703">
        <v>0.99983639999999996</v>
      </c>
      <c r="N703">
        <v>0</v>
      </c>
      <c r="O703">
        <v>1.0872420000000001E-2</v>
      </c>
      <c r="P703">
        <v>0.99906969999999995</v>
      </c>
      <c r="Q703">
        <v>2.3540080000000001E-2</v>
      </c>
      <c r="R703">
        <v>3.613657E-2</v>
      </c>
      <c r="S703">
        <v>3.02121</v>
      </c>
      <c r="T703">
        <v>-0.108268499999999</v>
      </c>
      <c r="U703">
        <v>-0.43508909999999901</v>
      </c>
      <c r="V703">
        <v>-2.5248400000000001E-2</v>
      </c>
      <c r="W703">
        <v>3.7997929999999999E-2</v>
      </c>
      <c r="X703">
        <v>0.99895879999999904</v>
      </c>
      <c r="Y703">
        <v>0.15319189999999999</v>
      </c>
      <c r="Z703">
        <v>-3.1175690000000002E-3</v>
      </c>
      <c r="AA703">
        <v>0.9881915</v>
      </c>
      <c r="AB703">
        <v>55</v>
      </c>
      <c r="AC703">
        <v>30.4590999999999</v>
      </c>
      <c r="AD703">
        <v>-1.1030838305899999</v>
      </c>
      <c r="AE703">
        <v>-4.4358000000000199</v>
      </c>
      <c r="AF703">
        <v>4.7606223990972296</v>
      </c>
      <c r="AG703">
        <v>-1.1030838305899999</v>
      </c>
      <c r="AH703">
        <v>30.3700619219047</v>
      </c>
      <c r="AI703">
        <v>92.055076477924302</v>
      </c>
      <c r="AJ703">
        <v>81.091165727741696</v>
      </c>
      <c r="AK703">
        <v>30.760705139909</v>
      </c>
    </row>
    <row r="704" spans="1:37" x14ac:dyDescent="0.2">
      <c r="A704" t="str">
        <f>"20200111153416483"</f>
        <v>20200111153416483</v>
      </c>
      <c r="B704" t="str">
        <f>"1578728056476698"</f>
        <v>1578728056476698</v>
      </c>
      <c r="C704" t="s">
        <v>37</v>
      </c>
      <c r="D704">
        <v>4.8863490000000001</v>
      </c>
      <c r="E704">
        <v>0.56744550000000005</v>
      </c>
      <c r="F704" t="s">
        <v>39</v>
      </c>
      <c r="G704">
        <v>-234.98339999999999</v>
      </c>
      <c r="H704" s="1">
        <v>-3.2988359999999998E-6</v>
      </c>
      <c r="I704">
        <v>363.58210000000003</v>
      </c>
      <c r="J704">
        <v>-263.73090000000002</v>
      </c>
      <c r="K704">
        <v>1.1032120000000001</v>
      </c>
      <c r="L704">
        <v>367.80110000000002</v>
      </c>
      <c r="M704">
        <v>0.99983609999999901</v>
      </c>
      <c r="N704">
        <v>0</v>
      </c>
      <c r="O704">
        <v>1.081477E-2</v>
      </c>
      <c r="P704">
        <v>0.99907389999999996</v>
      </c>
      <c r="Q704">
        <v>2.3424540000000001E-2</v>
      </c>
      <c r="R704">
        <v>3.6093159999999999E-2</v>
      </c>
      <c r="S704">
        <v>3.0213320000000001</v>
      </c>
      <c r="T704">
        <v>-0.1145613</v>
      </c>
      <c r="U704">
        <v>-0.43777470000000002</v>
      </c>
      <c r="V704">
        <v>-2.5263210000000001E-2</v>
      </c>
      <c r="W704">
        <v>3.7954099999999998E-2</v>
      </c>
      <c r="X704">
        <v>0.99896010000000002</v>
      </c>
      <c r="Y704">
        <v>0.1539769</v>
      </c>
      <c r="Z704">
        <v>-3.310927E-3</v>
      </c>
      <c r="AA704">
        <v>0.98806890000000003</v>
      </c>
      <c r="AB704">
        <v>55</v>
      </c>
      <c r="AC704">
        <v>28.747499999999999</v>
      </c>
      <c r="AD704">
        <v>-1.103215298836</v>
      </c>
      <c r="AE704">
        <v>-4.2189999999999896</v>
      </c>
      <c r="AF704">
        <v>4.5231626880902196</v>
      </c>
      <c r="AG704">
        <v>-1.103215298836</v>
      </c>
      <c r="AH704">
        <v>28.658869523285201</v>
      </c>
      <c r="AI704">
        <v>92.177568891995406</v>
      </c>
      <c r="AJ704">
        <v>81.031122432512802</v>
      </c>
      <c r="AK704">
        <v>29.0345808829954</v>
      </c>
    </row>
    <row r="705" spans="1:37" x14ac:dyDescent="0.2">
      <c r="A705" t="str">
        <f>"20200111153416496"</f>
        <v>20200111153416496</v>
      </c>
      <c r="B705" t="str">
        <f>"1578728056487434"</f>
        <v>1578728056487434</v>
      </c>
      <c r="C705" t="s">
        <v>37</v>
      </c>
      <c r="D705">
        <v>4.8906929999999997</v>
      </c>
      <c r="E705">
        <v>0.56722490000000003</v>
      </c>
      <c r="F705" t="s">
        <v>39</v>
      </c>
      <c r="G705">
        <v>-235.50479999999999</v>
      </c>
      <c r="H705" s="1">
        <v>-3.0849019999999999E-6</v>
      </c>
      <c r="I705">
        <v>363.7192</v>
      </c>
      <c r="J705">
        <v>-263.39769999999999</v>
      </c>
      <c r="K705">
        <v>1.103321</v>
      </c>
      <c r="L705">
        <v>367.80459999999999</v>
      </c>
      <c r="M705">
        <v>0.99983580000000005</v>
      </c>
      <c r="N705">
        <v>0</v>
      </c>
      <c r="O705">
        <v>1.0764019999999999E-2</v>
      </c>
      <c r="P705">
        <v>0.99907049999999997</v>
      </c>
      <c r="Q705">
        <v>2.405856E-2</v>
      </c>
      <c r="R705">
        <v>3.5770650000000001E-2</v>
      </c>
      <c r="S705">
        <v>3.0213320000000001</v>
      </c>
      <c r="T705">
        <v>-0.1180882</v>
      </c>
      <c r="U705">
        <v>-0.43692019999999998</v>
      </c>
      <c r="V705">
        <v>-2.4992449999999999E-2</v>
      </c>
      <c r="W705">
        <v>3.8652150000000003E-2</v>
      </c>
      <c r="X705">
        <v>0.9989401</v>
      </c>
      <c r="Y705">
        <v>0.153646</v>
      </c>
      <c r="Z705">
        <v>-3.4044499999999998E-3</v>
      </c>
      <c r="AA705">
        <v>0.98812009999999995</v>
      </c>
      <c r="AB705">
        <v>55</v>
      </c>
      <c r="AC705">
        <v>27.892900000000001</v>
      </c>
      <c r="AD705">
        <v>-1.1033240849020001</v>
      </c>
      <c r="AE705">
        <v>-4.0853999999999902</v>
      </c>
      <c r="AF705">
        <v>4.3787275952394697</v>
      </c>
      <c r="AG705">
        <v>-1.1033240849020001</v>
      </c>
      <c r="AH705">
        <v>27.8047126007909</v>
      </c>
      <c r="AI705">
        <v>92.244736618937594</v>
      </c>
      <c r="AJ705">
        <v>81.050476168290103</v>
      </c>
      <c r="AK705">
        <v>28.169001086339801</v>
      </c>
    </row>
    <row r="706" spans="1:37" x14ac:dyDescent="0.2">
      <c r="A706" t="str">
        <f>"20200111153416510"</f>
        <v>20200111153416510</v>
      </c>
      <c r="B706" t="str">
        <f>"1578728056506954"</f>
        <v>1578728056506954</v>
      </c>
      <c r="C706" t="s">
        <v>37</v>
      </c>
      <c r="D706">
        <v>4.8613609999999996</v>
      </c>
      <c r="E706">
        <v>0.56706459999999903</v>
      </c>
      <c r="F706" t="s">
        <v>39</v>
      </c>
      <c r="G706">
        <v>-235.1096</v>
      </c>
      <c r="H706" s="1">
        <v>-3.2188879999999999E-6</v>
      </c>
      <c r="I706">
        <v>363.72109999999998</v>
      </c>
      <c r="J706">
        <v>-263.05419999999998</v>
      </c>
      <c r="K706">
        <v>1.1034269999999999</v>
      </c>
      <c r="L706">
        <v>367.80829999999997</v>
      </c>
      <c r="M706">
        <v>0.99983509999999998</v>
      </c>
      <c r="N706">
        <v>0</v>
      </c>
      <c r="O706">
        <v>1.071745E-2</v>
      </c>
      <c r="P706">
        <v>0.99908330000000001</v>
      </c>
      <c r="Q706">
        <v>2.3892790000000001E-2</v>
      </c>
      <c r="R706">
        <v>3.5521999999999998E-2</v>
      </c>
      <c r="S706">
        <v>3.0212400000000001</v>
      </c>
      <c r="T706">
        <v>-0.11783730000000001</v>
      </c>
      <c r="U706">
        <v>-0.43612669999999998</v>
      </c>
      <c r="V706">
        <v>-2.4791529999999999E-2</v>
      </c>
      <c r="W706">
        <v>3.8560190000000001E-2</v>
      </c>
      <c r="X706">
        <v>0.99894869999999902</v>
      </c>
      <c r="Y706">
        <v>0.15335079999999901</v>
      </c>
      <c r="Z706">
        <v>-3.3898559999999901E-3</v>
      </c>
      <c r="AA706">
        <v>0.98816599999999999</v>
      </c>
      <c r="AB706">
        <v>55</v>
      </c>
      <c r="AC706">
        <v>27.944599999999902</v>
      </c>
      <c r="AD706">
        <v>-1.1034302188879901</v>
      </c>
      <c r="AE706">
        <v>-4.0871999999999904</v>
      </c>
      <c r="AF706">
        <v>4.3798064025938102</v>
      </c>
      <c r="AG706">
        <v>-1.1034302188879901</v>
      </c>
      <c r="AH706">
        <v>27.856661984516801</v>
      </c>
      <c r="AI706">
        <v>92.240857667246303</v>
      </c>
      <c r="AJ706">
        <v>81.064731186574804</v>
      </c>
      <c r="AK706">
        <v>28.220451436711301</v>
      </c>
    </row>
    <row r="707" spans="1:37" x14ac:dyDescent="0.2">
      <c r="A707" t="str">
        <f>"20200111153416524"</f>
        <v>20200111153416524</v>
      </c>
      <c r="B707" t="str">
        <f>"1578728056516714"</f>
        <v>1578728056516714</v>
      </c>
      <c r="C707" t="s">
        <v>37</v>
      </c>
      <c r="D707">
        <v>4.9134399999999996</v>
      </c>
      <c r="E707">
        <v>0.566895699999999</v>
      </c>
      <c r="F707" t="s">
        <v>39</v>
      </c>
      <c r="G707">
        <v>-235.26650000000001</v>
      </c>
      <c r="H707" s="1">
        <v>-3.1445990000000001E-6</v>
      </c>
      <c r="I707">
        <v>363.7996</v>
      </c>
      <c r="J707">
        <v>-262.70699999999999</v>
      </c>
      <c r="K707">
        <v>1.103529</v>
      </c>
      <c r="L707">
        <v>367.81199999999899</v>
      </c>
      <c r="M707">
        <v>0.99983419999999901</v>
      </c>
      <c r="N707">
        <v>0</v>
      </c>
      <c r="O707">
        <v>1.0675240000000001E-2</v>
      </c>
      <c r="P707">
        <v>0.9990926</v>
      </c>
      <c r="Q707">
        <v>2.4063850000000001E-2</v>
      </c>
      <c r="R707">
        <v>3.5147530000000003E-2</v>
      </c>
      <c r="S707">
        <v>3.0210880000000002</v>
      </c>
      <c r="T707">
        <v>-0.119964899999999</v>
      </c>
      <c r="U707">
        <v>-0.43582149999999997</v>
      </c>
      <c r="V707">
        <v>-2.446071E-2</v>
      </c>
      <c r="W707">
        <v>3.8816539999999997E-2</v>
      </c>
      <c r="X707">
        <v>0.99894689999999997</v>
      </c>
      <c r="Y707">
        <v>0.15321409999999999</v>
      </c>
      <c r="Z707">
        <v>-3.4468429999999898E-3</v>
      </c>
      <c r="AA707">
        <v>0.98818700000000004</v>
      </c>
      <c r="AB707">
        <v>55</v>
      </c>
      <c r="AC707">
        <v>27.440499999999901</v>
      </c>
      <c r="AD707">
        <v>-1.1035321445990001</v>
      </c>
      <c r="AE707">
        <v>-4.0123999999999498</v>
      </c>
      <c r="AF707">
        <v>4.2983310206491403</v>
      </c>
      <c r="AG707">
        <v>-1.1035321445990001</v>
      </c>
      <c r="AH707">
        <v>27.352786890635301</v>
      </c>
      <c r="AI707">
        <v>92.282333409048903</v>
      </c>
      <c r="AJ707">
        <v>81.069336434877101</v>
      </c>
      <c r="AK707">
        <v>27.710438167624599</v>
      </c>
    </row>
    <row r="708" spans="1:37" x14ac:dyDescent="0.2">
      <c r="A708" t="str">
        <f>"20200111153416536"</f>
        <v>20200111153416536</v>
      </c>
      <c r="B708" t="str">
        <f>"1578728056527449"</f>
        <v>1578728056527449</v>
      </c>
      <c r="C708" t="s">
        <v>37</v>
      </c>
      <c r="D708">
        <v>4.9493689999999999</v>
      </c>
      <c r="E708">
        <v>0.56699239999999995</v>
      </c>
      <c r="F708" t="s">
        <v>39</v>
      </c>
      <c r="G708">
        <v>-235.28970000000001</v>
      </c>
      <c r="H708" s="1">
        <v>-3.1210619999999999E-6</v>
      </c>
      <c r="I708">
        <v>363.85849999999999</v>
      </c>
      <c r="J708">
        <v>-262.39609999999999</v>
      </c>
      <c r="K708">
        <v>1.1036159999999999</v>
      </c>
      <c r="L708">
        <v>367.81529999999998</v>
      </c>
      <c r="M708">
        <v>0.99983319999999998</v>
      </c>
      <c r="N708">
        <v>0</v>
      </c>
      <c r="O708">
        <v>1.0643089999999999E-2</v>
      </c>
      <c r="P708">
        <v>0.99910679999999996</v>
      </c>
      <c r="Q708">
        <v>2.400969E-2</v>
      </c>
      <c r="R708">
        <v>3.4775210000000001E-2</v>
      </c>
      <c r="S708">
        <v>3.0209349999999899</v>
      </c>
      <c r="T708">
        <v>-0.12159059999999999</v>
      </c>
      <c r="U708">
        <v>-0.43560789999999999</v>
      </c>
      <c r="V708">
        <v>-2.412104E-2</v>
      </c>
      <c r="W708">
        <v>3.8854670000000001E-2</v>
      </c>
      <c r="X708">
        <v>0.99895369999999994</v>
      </c>
      <c r="Y708">
        <v>0.15311759999999999</v>
      </c>
      <c r="Z708">
        <v>-3.4904900000000002E-3</v>
      </c>
      <c r="AA708">
        <v>0.98820180000000002</v>
      </c>
      <c r="AB708">
        <v>55</v>
      </c>
      <c r="AC708">
        <v>27.106399999999901</v>
      </c>
      <c r="AD708">
        <v>-1.1036191210619899</v>
      </c>
      <c r="AE708">
        <v>-3.9567999999999799</v>
      </c>
      <c r="AF708">
        <v>4.2382245311048896</v>
      </c>
      <c r="AG708">
        <v>-1.1036191210619899</v>
      </c>
      <c r="AH708">
        <v>27.018893527928899</v>
      </c>
      <c r="AI708">
        <v>92.310789466280397</v>
      </c>
      <c r="AJ708">
        <v>81.085141915224</v>
      </c>
      <c r="AK708">
        <v>27.3715386818862</v>
      </c>
    </row>
    <row r="709" spans="1:37" x14ac:dyDescent="0.2">
      <c r="A709" t="str">
        <f>"20200111153416548"</f>
        <v>20200111153416548</v>
      </c>
      <c r="B709" t="str">
        <f>"1578728056537210"</f>
        <v>1578728056537210</v>
      </c>
      <c r="C709" t="s">
        <v>37</v>
      </c>
      <c r="D709">
        <v>4.9402660000000003</v>
      </c>
      <c r="E709">
        <v>0.56698519999999997</v>
      </c>
      <c r="F709" t="s">
        <v>39</v>
      </c>
      <c r="G709">
        <v>-234.8877</v>
      </c>
      <c r="H709" s="1">
        <v>-3.2647260000000001E-6</v>
      </c>
      <c r="I709">
        <v>363.83260000000001</v>
      </c>
      <c r="J709">
        <v>-262.09710000000001</v>
      </c>
      <c r="K709">
        <v>1.1036969999999999</v>
      </c>
      <c r="L709">
        <v>367.81849999999997</v>
      </c>
      <c r="M709">
        <v>0.99983169999999899</v>
      </c>
      <c r="N709">
        <v>0</v>
      </c>
      <c r="O709">
        <v>1.0619740000000001E-2</v>
      </c>
      <c r="P709">
        <v>0.99912719999999899</v>
      </c>
      <c r="Q709">
        <v>2.3874260000000001E-2</v>
      </c>
      <c r="R709">
        <v>3.427939E-2</v>
      </c>
      <c r="S709">
        <v>3.0207820000000001</v>
      </c>
      <c r="T709">
        <v>-0.121191699999999</v>
      </c>
      <c r="U709">
        <v>-0.4373474</v>
      </c>
      <c r="V709">
        <v>-2.3649010000000002E-2</v>
      </c>
      <c r="W709">
        <v>3.883607E-2</v>
      </c>
      <c r="X709">
        <v>0.99896569999999996</v>
      </c>
      <c r="Y709">
        <v>0.153659299999999</v>
      </c>
      <c r="Z709">
        <v>-3.4889550000000002E-3</v>
      </c>
      <c r="AA709">
        <v>0.98811769999999999</v>
      </c>
      <c r="AB709">
        <v>55</v>
      </c>
      <c r="AC709">
        <v>27.209399999999999</v>
      </c>
      <c r="AD709">
        <v>-1.1037002647259999</v>
      </c>
      <c r="AE709">
        <v>-3.9858999999999498</v>
      </c>
      <c r="AF709">
        <v>4.2677896905083097</v>
      </c>
      <c r="AG709">
        <v>-1.1037002647259999</v>
      </c>
      <c r="AH709">
        <v>27.121843296371601</v>
      </c>
      <c r="AI709">
        <v>92.302022228399906</v>
      </c>
      <c r="AJ709">
        <v>81.057482266146394</v>
      </c>
      <c r="AK709">
        <v>27.477746758235199</v>
      </c>
    </row>
    <row r="710" spans="1:37" x14ac:dyDescent="0.2">
      <c r="A710" t="str">
        <f>"20200111153416564"</f>
        <v>20200111153416564</v>
      </c>
      <c r="B710" t="str">
        <f>"1578728056556729"</f>
        <v>1578728056556729</v>
      </c>
      <c r="C710" t="s">
        <v>37</v>
      </c>
      <c r="D710">
        <v>4.9591219999999998</v>
      </c>
      <c r="E710">
        <v>0.56707719999999995</v>
      </c>
      <c r="F710" t="s">
        <v>39</v>
      </c>
      <c r="G710">
        <v>-234.63839999999999</v>
      </c>
      <c r="H710" s="1">
        <v>-3.350417E-6</v>
      </c>
      <c r="I710">
        <v>363.82929999999999</v>
      </c>
      <c r="J710">
        <v>-261.7312</v>
      </c>
      <c r="K710">
        <v>1.1037969999999999</v>
      </c>
      <c r="L710">
        <v>367.82229999999998</v>
      </c>
      <c r="M710">
        <v>0.99982950000000004</v>
      </c>
      <c r="N710">
        <v>0</v>
      </c>
      <c r="O710">
        <v>1.059627E-2</v>
      </c>
      <c r="P710">
        <v>0.99916000000000005</v>
      </c>
      <c r="Q710">
        <v>2.3564640000000001E-2</v>
      </c>
      <c r="R710">
        <v>3.3528599999999999E-2</v>
      </c>
      <c r="S710">
        <v>3.0205690000000001</v>
      </c>
      <c r="T710">
        <v>-0.1214112</v>
      </c>
      <c r="U710">
        <v>-0.43881229999999899</v>
      </c>
      <c r="V710">
        <v>-2.2922709999999999E-2</v>
      </c>
      <c r="W710">
        <v>3.8685509999999999E-2</v>
      </c>
      <c r="X710">
        <v>0.9989884</v>
      </c>
      <c r="Y710">
        <v>0.15411459999999999</v>
      </c>
      <c r="Z710">
        <v>-3.5035539999999999E-3</v>
      </c>
      <c r="AA710">
        <v>0.9880468</v>
      </c>
      <c r="AB710">
        <v>55</v>
      </c>
      <c r="AC710">
        <v>27.0928</v>
      </c>
      <c r="AD710">
        <v>-1.103800350417</v>
      </c>
      <c r="AE710">
        <v>-3.9929999999999901</v>
      </c>
      <c r="AF710">
        <v>4.2729494873330296</v>
      </c>
      <c r="AG710">
        <v>-1.103800350417</v>
      </c>
      <c r="AH710">
        <v>27.0050909699257</v>
      </c>
      <c r="AI710">
        <v>92.311863481302694</v>
      </c>
      <c r="AJ710">
        <v>81.0087691670618</v>
      </c>
      <c r="AK710">
        <v>27.363322364596801</v>
      </c>
    </row>
    <row r="711" spans="1:37" x14ac:dyDescent="0.2">
      <c r="A711" t="str">
        <f>"20200111153416576"</f>
        <v>20200111153416576</v>
      </c>
      <c r="B711" t="str">
        <f>"1578728056567466"</f>
        <v>1578728056567466</v>
      </c>
      <c r="C711" t="s">
        <v>37</v>
      </c>
      <c r="D711">
        <v>4.9805029999999997</v>
      </c>
      <c r="E711">
        <v>0.56715669999999996</v>
      </c>
      <c r="F711" t="s">
        <v>39</v>
      </c>
      <c r="G711">
        <v>-234.38740000000001</v>
      </c>
      <c r="H711" s="1">
        <v>-3.437841E-6</v>
      </c>
      <c r="I711">
        <v>363.8218</v>
      </c>
      <c r="J711">
        <v>-261.41989999999998</v>
      </c>
      <c r="K711">
        <v>1.1038749999999999</v>
      </c>
      <c r="L711">
        <v>367.82560000000001</v>
      </c>
      <c r="M711">
        <v>0.99982749999999998</v>
      </c>
      <c r="N711">
        <v>0</v>
      </c>
      <c r="O711">
        <v>1.058153E-2</v>
      </c>
      <c r="P711">
        <v>0.99917500000000004</v>
      </c>
      <c r="Q711">
        <v>2.3296750000000001E-2</v>
      </c>
      <c r="R711">
        <v>3.3274270000000002E-2</v>
      </c>
      <c r="S711">
        <v>3.0202330000000002</v>
      </c>
      <c r="T711">
        <v>-0.121918899999999</v>
      </c>
      <c r="U711">
        <v>-0.44186399999999998</v>
      </c>
      <c r="V711">
        <v>-2.2684159999999998E-2</v>
      </c>
      <c r="W711">
        <v>3.8567820000000003E-2</v>
      </c>
      <c r="X711">
        <v>0.99899850000000001</v>
      </c>
      <c r="Y711">
        <v>0.15509129999999999</v>
      </c>
      <c r="Z711">
        <v>-3.5373370000000002E-3</v>
      </c>
      <c r="AA711">
        <v>0.98789380000000004</v>
      </c>
      <c r="AB711">
        <v>55</v>
      </c>
      <c r="AC711">
        <v>27.032499999999899</v>
      </c>
      <c r="AD711">
        <v>-1.103878437841</v>
      </c>
      <c r="AE711">
        <v>-4.0038000000000098</v>
      </c>
      <c r="AF711">
        <v>4.2826662123031296</v>
      </c>
      <c r="AG711">
        <v>-1.103878437841</v>
      </c>
      <c r="AH711">
        <v>26.944648775462699</v>
      </c>
      <c r="AI711">
        <v>92.316951338886298</v>
      </c>
      <c r="AJ711">
        <v>80.9687767382907</v>
      </c>
      <c r="AK711">
        <v>27.305198683118501</v>
      </c>
    </row>
    <row r="712" spans="1:37" x14ac:dyDescent="0.2">
      <c r="A712" t="str">
        <f>"20200111153416595"</f>
        <v>20200111153416595</v>
      </c>
      <c r="B712" t="str">
        <f>"1578728056586985"</f>
        <v>1578728056586985</v>
      </c>
      <c r="C712" t="s">
        <v>37</v>
      </c>
      <c r="D712">
        <v>4.9389659999999997</v>
      </c>
      <c r="E712">
        <v>0.56731709999999902</v>
      </c>
      <c r="F712" t="s">
        <v>39</v>
      </c>
      <c r="G712">
        <v>-234.21039999999999</v>
      </c>
      <c r="H712" s="1">
        <v>-3.49592E-6</v>
      </c>
      <c r="I712">
        <v>363.82990000000001</v>
      </c>
      <c r="J712">
        <v>-260.93779999999998</v>
      </c>
      <c r="K712">
        <v>1.10399</v>
      </c>
      <c r="L712">
        <v>367.83069999999998</v>
      </c>
      <c r="M712">
        <v>0.99982369999999898</v>
      </c>
      <c r="N712">
        <v>0</v>
      </c>
      <c r="O712">
        <v>1.056608E-2</v>
      </c>
      <c r="P712">
        <v>0.99922540000000004</v>
      </c>
      <c r="Q712">
        <v>2.282284E-2</v>
      </c>
      <c r="R712">
        <v>3.2062769999999997E-2</v>
      </c>
      <c r="S712">
        <v>3.0200809999999998</v>
      </c>
      <c r="T712">
        <v>-0.1225231</v>
      </c>
      <c r="U712">
        <v>-0.44348140000000003</v>
      </c>
      <c r="V712">
        <v>-2.148914E-2</v>
      </c>
      <c r="W712">
        <v>3.8345299999999999E-2</v>
      </c>
      <c r="X712">
        <v>0.99903349999999902</v>
      </c>
      <c r="Y712">
        <v>0.1555995</v>
      </c>
      <c r="Z712">
        <v>-3.5645189999999999E-3</v>
      </c>
      <c r="AA712">
        <v>0.98781379999999996</v>
      </c>
      <c r="AB712">
        <v>55</v>
      </c>
      <c r="AC712">
        <v>26.7273999999999</v>
      </c>
      <c r="AD712">
        <v>-1.10399349592</v>
      </c>
      <c r="AE712">
        <v>-4.0007999999999697</v>
      </c>
      <c r="AF712">
        <v>4.2758790347897602</v>
      </c>
      <c r="AG712">
        <v>-1.10399349592</v>
      </c>
      <c r="AH712">
        <v>26.6391751888786</v>
      </c>
      <c r="AI712">
        <v>92.3431629250246</v>
      </c>
      <c r="AJ712">
        <v>80.881181409602604</v>
      </c>
      <c r="AK712">
        <v>27.002733156163199</v>
      </c>
    </row>
    <row r="713" spans="1:37" x14ac:dyDescent="0.2">
      <c r="A713" t="str">
        <f>"20200111153416609"</f>
        <v>20200111153416609</v>
      </c>
      <c r="B713" t="str">
        <f>"1578728056607482"</f>
        <v>1578728056607482</v>
      </c>
      <c r="C713" t="s">
        <v>37</v>
      </c>
      <c r="D713">
        <v>4.9305469999999998</v>
      </c>
      <c r="E713">
        <v>0.56735769999999996</v>
      </c>
      <c r="F713" t="s">
        <v>39</v>
      </c>
      <c r="G713">
        <v>-233.7517</v>
      </c>
      <c r="H713" s="1">
        <v>-3.695169E-6</v>
      </c>
      <c r="I713">
        <v>363.79649999999998</v>
      </c>
      <c r="J713">
        <v>-260.60230000000001</v>
      </c>
      <c r="K713">
        <v>1.1040639999999999</v>
      </c>
      <c r="L713">
        <v>367.83409999999998</v>
      </c>
      <c r="M713">
        <v>0.99982079999999995</v>
      </c>
      <c r="N713">
        <v>0</v>
      </c>
      <c r="O713">
        <v>1.056061E-2</v>
      </c>
      <c r="P713">
        <v>0.99923320000000004</v>
      </c>
      <c r="Q713">
        <v>2.2843760000000001E-2</v>
      </c>
      <c r="R713">
        <v>3.1801099999999999E-2</v>
      </c>
      <c r="S713">
        <v>3.019501</v>
      </c>
      <c r="T713">
        <v>-0.1226178</v>
      </c>
      <c r="U713">
        <v>-0.44805909999999899</v>
      </c>
      <c r="V713">
        <v>-2.123411E-2</v>
      </c>
      <c r="W713">
        <v>3.8552570000000001E-2</v>
      </c>
      <c r="X713">
        <v>0.99903090000000005</v>
      </c>
      <c r="Y713">
        <v>0.15708539999999999</v>
      </c>
      <c r="Z713">
        <v>-3.5973340000000002E-3</v>
      </c>
      <c r="AA713">
        <v>0.98757850000000003</v>
      </c>
      <c r="AB713">
        <v>55</v>
      </c>
      <c r="AC713">
        <v>26.8506</v>
      </c>
      <c r="AD713">
        <v>-1.1040676951689901</v>
      </c>
      <c r="AE713">
        <v>-4.0375999999999896</v>
      </c>
      <c r="AF713">
        <v>4.3138360988035904</v>
      </c>
      <c r="AG713">
        <v>-1.1040676951689901</v>
      </c>
      <c r="AH713">
        <v>26.762209442002501</v>
      </c>
      <c r="AI713">
        <v>92.332310631135101</v>
      </c>
      <c r="AJ713">
        <v>80.8431811604068</v>
      </c>
      <c r="AK713">
        <v>27.130130880267899</v>
      </c>
    </row>
    <row r="714" spans="1:37" x14ac:dyDescent="0.2">
      <c r="A714" t="str">
        <f>"20200111153416621"</f>
        <v>20200111153416621</v>
      </c>
      <c r="B714" t="str">
        <f>"1578728056617242"</f>
        <v>1578728056617242</v>
      </c>
      <c r="C714" t="s">
        <v>37</v>
      </c>
      <c r="D714">
        <v>4.9538760000000002</v>
      </c>
      <c r="E714">
        <v>0.56741419999999998</v>
      </c>
      <c r="F714" t="s">
        <v>39</v>
      </c>
      <c r="G714">
        <v>-233.8904</v>
      </c>
      <c r="H714" s="1">
        <v>-3.6248279999999999E-6</v>
      </c>
      <c r="I714">
        <v>363.85759999999999</v>
      </c>
      <c r="J714">
        <v>-260.32089999999999</v>
      </c>
      <c r="K714">
        <v>1.1041239999999899</v>
      </c>
      <c r="L714">
        <v>367.83710000000002</v>
      </c>
      <c r="M714">
        <v>0.99981819999999899</v>
      </c>
      <c r="N714">
        <v>0</v>
      </c>
      <c r="O714">
        <v>1.0556950000000001E-2</v>
      </c>
      <c r="P714">
        <v>0.99925359999999996</v>
      </c>
      <c r="Q714">
        <v>2.2661730000000001E-2</v>
      </c>
      <c r="R714">
        <v>3.1281370000000003E-2</v>
      </c>
      <c r="S714">
        <v>3.0194700000000001</v>
      </c>
      <c r="T714">
        <v>-0.1248018</v>
      </c>
      <c r="U714">
        <v>-0.44949339999999999</v>
      </c>
      <c r="V714">
        <v>-2.071868E-2</v>
      </c>
      <c r="W714">
        <v>3.8534470000000001E-2</v>
      </c>
      <c r="X714">
        <v>0.99904249999999895</v>
      </c>
      <c r="Y714">
        <v>0.15753699999999901</v>
      </c>
      <c r="Z714">
        <v>-3.6703920000000002E-3</v>
      </c>
      <c r="AA714">
        <v>0.98750629999999995</v>
      </c>
      <c r="AB714">
        <v>55</v>
      </c>
      <c r="AC714">
        <v>26.430499999999899</v>
      </c>
      <c r="AD714">
        <v>-1.1041276248280001</v>
      </c>
      <c r="AE714">
        <v>-3.97950000000003</v>
      </c>
      <c r="AF714">
        <v>4.2510845854371002</v>
      </c>
      <c r="AG714">
        <v>-1.1041276248280001</v>
      </c>
      <c r="AH714">
        <v>26.3420587943606</v>
      </c>
      <c r="AI714">
        <v>92.369526687307797</v>
      </c>
      <c r="AJ714">
        <v>80.832638514133805</v>
      </c>
      <c r="AK714">
        <v>26.705708743450302</v>
      </c>
    </row>
    <row r="715" spans="1:37" x14ac:dyDescent="0.2">
      <c r="A715" t="str">
        <f>"20200111153416632"</f>
        <v>20200111153416632</v>
      </c>
      <c r="B715" t="str">
        <f>"1578728056627001"</f>
        <v>1578728056627001</v>
      </c>
      <c r="C715" t="s">
        <v>37</v>
      </c>
      <c r="D715">
        <v>4.8918239999999997</v>
      </c>
      <c r="E715">
        <v>0.56760129999999998</v>
      </c>
      <c r="F715" t="s">
        <v>39</v>
      </c>
      <c r="G715">
        <v>-233.62280000000001</v>
      </c>
      <c r="H715" s="1">
        <v>-3.7417640000000002E-6</v>
      </c>
      <c r="I715">
        <v>363.84550000000002</v>
      </c>
      <c r="J715">
        <v>-260.041</v>
      </c>
      <c r="K715">
        <v>1.1041840000000001</v>
      </c>
      <c r="L715">
        <v>367.84010000000001</v>
      </c>
      <c r="M715">
        <v>0.99981549999999997</v>
      </c>
      <c r="N715">
        <v>0</v>
      </c>
      <c r="O715">
        <v>1.055242E-2</v>
      </c>
      <c r="P715">
        <v>0.99928119999999998</v>
      </c>
      <c r="Q715">
        <v>2.2110250000000001E-2</v>
      </c>
      <c r="R715">
        <v>3.0798229999999999E-2</v>
      </c>
      <c r="S715">
        <v>3.019196</v>
      </c>
      <c r="T715">
        <v>-0.12486169999999901</v>
      </c>
      <c r="U715">
        <v>-0.451385499999999</v>
      </c>
      <c r="V715">
        <v>-2.0241160000000001E-2</v>
      </c>
      <c r="W715">
        <v>3.8166619999999998E-2</v>
      </c>
      <c r="X715">
        <v>0.99906640000000002</v>
      </c>
      <c r="Y715">
        <v>0.15815029999999999</v>
      </c>
      <c r="Z715">
        <v>-3.6847359999999901E-3</v>
      </c>
      <c r="AA715">
        <v>0.98740819999999996</v>
      </c>
      <c r="AB715">
        <v>55</v>
      </c>
      <c r="AC715">
        <v>26.418199999999899</v>
      </c>
      <c r="AD715">
        <v>-1.104187741764</v>
      </c>
      <c r="AE715">
        <v>-3.9945999999999899</v>
      </c>
      <c r="AF715">
        <v>4.2659036613941499</v>
      </c>
      <c r="AG715">
        <v>-1.104187741764</v>
      </c>
      <c r="AH715">
        <v>26.3296023133734</v>
      </c>
      <c r="AI715">
        <v>92.370536851972602</v>
      </c>
      <c r="AJ715">
        <v>80.796949463864607</v>
      </c>
      <c r="AK715">
        <v>26.695788480540401</v>
      </c>
    </row>
    <row r="716" spans="1:37" x14ac:dyDescent="0.2">
      <c r="A716" t="str">
        <f>"20200111153416643"</f>
        <v>20200111153416643</v>
      </c>
      <c r="B716" t="str">
        <f>"1578728056636763"</f>
        <v>1578728056636763</v>
      </c>
      <c r="C716" t="s">
        <v>37</v>
      </c>
      <c r="D716">
        <v>4.8928760000000002</v>
      </c>
      <c r="E716">
        <v>0.56763319999999995</v>
      </c>
      <c r="F716" t="s">
        <v>39</v>
      </c>
      <c r="G716">
        <v>-233.8922</v>
      </c>
      <c r="H716" s="1">
        <v>-3.6158639999999998E-6</v>
      </c>
      <c r="I716">
        <v>363.90390000000002</v>
      </c>
      <c r="J716">
        <v>-259.76990000000001</v>
      </c>
      <c r="K716">
        <v>1.1042419999999999</v>
      </c>
      <c r="L716">
        <v>367.84289999999999</v>
      </c>
      <c r="M716">
        <v>0.99981229999999999</v>
      </c>
      <c r="N716">
        <v>0</v>
      </c>
      <c r="O716">
        <v>1.054749E-2</v>
      </c>
      <c r="P716">
        <v>0.9992839</v>
      </c>
      <c r="Q716">
        <v>2.2230409999999999E-2</v>
      </c>
      <c r="R716">
        <v>3.0615340000000001E-2</v>
      </c>
      <c r="S716">
        <v>3.0189819999999998</v>
      </c>
      <c r="T716">
        <v>-0.12748209999999999</v>
      </c>
      <c r="U716">
        <v>-0.45443729999999899</v>
      </c>
      <c r="V716">
        <v>-2.00637E-2</v>
      </c>
      <c r="W716">
        <v>3.8478709999999999E-2</v>
      </c>
      <c r="X716">
        <v>0.99905789999999906</v>
      </c>
      <c r="Y716">
        <v>0.15912499999999999</v>
      </c>
      <c r="Z716">
        <v>-3.7822300000000001E-3</v>
      </c>
      <c r="AA716">
        <v>0.987251199999999</v>
      </c>
      <c r="AB716">
        <v>55</v>
      </c>
      <c r="AC716">
        <v>25.877700000000001</v>
      </c>
      <c r="AD716">
        <v>-1.1042456158639999</v>
      </c>
      <c r="AE716">
        <v>-3.9389999999999601</v>
      </c>
      <c r="AF716">
        <v>4.2042795563140603</v>
      </c>
      <c r="AG716">
        <v>-1.1042456158639999</v>
      </c>
      <c r="AH716">
        <v>25.788813264447601</v>
      </c>
      <c r="AI716">
        <v>92.419929192678495</v>
      </c>
      <c r="AJ716">
        <v>80.740683665753096</v>
      </c>
      <c r="AK716">
        <v>26.1525947958581</v>
      </c>
    </row>
    <row r="717" spans="1:37" x14ac:dyDescent="0.2">
      <c r="A717" t="str">
        <f>"20200111153416656"</f>
        <v>20200111153416656</v>
      </c>
      <c r="B717" t="str">
        <f>"1578728056647498"</f>
        <v>1578728056647498</v>
      </c>
      <c r="C717" t="s">
        <v>37</v>
      </c>
      <c r="D717">
        <v>4.8860349999999997</v>
      </c>
      <c r="E717">
        <v>0.56772210000000001</v>
      </c>
      <c r="F717" t="s">
        <v>39</v>
      </c>
      <c r="G717">
        <v>-233.58529999999999</v>
      </c>
      <c r="H717" s="1">
        <v>-3.7493720000000001E-6</v>
      </c>
      <c r="I717">
        <v>363.89330000000001</v>
      </c>
      <c r="J717">
        <v>-259.45679999999999</v>
      </c>
      <c r="K717">
        <v>1.1043129999999901</v>
      </c>
      <c r="L717">
        <v>367.84620000000001</v>
      </c>
      <c r="M717">
        <v>0.99980829999999998</v>
      </c>
      <c r="N717">
        <v>0</v>
      </c>
      <c r="O717">
        <v>1.054066E-2</v>
      </c>
      <c r="P717">
        <v>0.99930529999999995</v>
      </c>
      <c r="Q717">
        <v>2.1763770000000002E-2</v>
      </c>
      <c r="R717">
        <v>3.0256689999999999E-2</v>
      </c>
      <c r="S717">
        <v>3.01892099999999</v>
      </c>
      <c r="T717">
        <v>-0.12731239999999999</v>
      </c>
      <c r="U717">
        <v>-0.4553528</v>
      </c>
      <c r="V717">
        <v>-1.971229E-2</v>
      </c>
      <c r="W717">
        <v>3.8255709999999998E-2</v>
      </c>
      <c r="X717">
        <v>0.99907349999999995</v>
      </c>
      <c r="Y717">
        <v>0.1594141</v>
      </c>
      <c r="Z717">
        <v>-3.7829650000000001E-3</v>
      </c>
      <c r="AA717">
        <v>0.98720459999999999</v>
      </c>
      <c r="AB717">
        <v>55</v>
      </c>
      <c r="AC717">
        <v>25.871500000000001</v>
      </c>
      <c r="AD717">
        <v>-1.1043167493719901</v>
      </c>
      <c r="AE717">
        <v>-3.9529000000000001</v>
      </c>
      <c r="AF717">
        <v>4.2179105082547501</v>
      </c>
      <c r="AG717">
        <v>-1.1043167493719901</v>
      </c>
      <c r="AH717">
        <v>25.782486865205001</v>
      </c>
      <c r="AI717">
        <v>92.420459310940601</v>
      </c>
      <c r="AJ717">
        <v>80.708946395343503</v>
      </c>
      <c r="AK717">
        <v>26.148554711361299</v>
      </c>
    </row>
    <row r="718" spans="1:37" x14ac:dyDescent="0.2">
      <c r="A718" t="str">
        <f>"20200111153416668"</f>
        <v>20200111153416668</v>
      </c>
      <c r="B718" t="str">
        <f>"1578728056657258"</f>
        <v>1578728056657258</v>
      </c>
      <c r="C718" t="s">
        <v>37</v>
      </c>
      <c r="D718">
        <v>4.9136850000000001</v>
      </c>
      <c r="E718">
        <v>0.56787469999999995</v>
      </c>
      <c r="F718" t="s">
        <v>39</v>
      </c>
      <c r="G718">
        <v>-233.51320000000001</v>
      </c>
      <c r="H718" s="1">
        <v>-3.7757760000000001E-6</v>
      </c>
      <c r="I718">
        <v>363.91899999999998</v>
      </c>
      <c r="J718">
        <v>-259.16840000000002</v>
      </c>
      <c r="K718">
        <v>1.1043799999999999</v>
      </c>
      <c r="L718">
        <v>367.8492</v>
      </c>
      <c r="M718">
        <v>0.99980440000000004</v>
      </c>
      <c r="N718">
        <v>0</v>
      </c>
      <c r="O718">
        <v>1.0533259999999999E-2</v>
      </c>
      <c r="P718">
        <v>0.9993204</v>
      </c>
      <c r="Q718">
        <v>2.152656E-2</v>
      </c>
      <c r="R718">
        <v>2.992612E-2</v>
      </c>
      <c r="S718">
        <v>3.0186769999999998</v>
      </c>
      <c r="T718">
        <v>-0.12849249999999901</v>
      </c>
      <c r="U718">
        <v>-0.4569397</v>
      </c>
      <c r="V718">
        <v>-1.9390250000000001E-2</v>
      </c>
      <c r="W718">
        <v>3.8257619999999999E-2</v>
      </c>
      <c r="X718">
        <v>0.99907979999999996</v>
      </c>
      <c r="Y718">
        <v>0.159922799999999</v>
      </c>
      <c r="Z718">
        <v>-3.8286040000000002E-3</v>
      </c>
      <c r="AA718">
        <v>0.9871221</v>
      </c>
      <c r="AB718">
        <v>55</v>
      </c>
      <c r="AC718">
        <v>25.655200000000001</v>
      </c>
      <c r="AD718">
        <v>-1.104383775776</v>
      </c>
      <c r="AE718">
        <v>-3.93019999999995</v>
      </c>
      <c r="AF718">
        <v>4.1926615670707701</v>
      </c>
      <c r="AG718">
        <v>-1.104383775776</v>
      </c>
      <c r="AH718">
        <v>25.5660835856986</v>
      </c>
      <c r="AI718">
        <v>92.440916049230495</v>
      </c>
      <c r="AJ718">
        <v>80.686785499087904</v>
      </c>
      <c r="AK718">
        <v>25.9311146010177</v>
      </c>
    </row>
    <row r="719" spans="1:37" x14ac:dyDescent="0.2">
      <c r="A719" t="str">
        <f>"20200111153416685"</f>
        <v>20200111153416685</v>
      </c>
      <c r="B719" t="str">
        <f>"1578728056676777"</f>
        <v>1578728056676777</v>
      </c>
      <c r="C719" t="s">
        <v>37</v>
      </c>
      <c r="D719">
        <v>4.8241360000000002</v>
      </c>
      <c r="E719">
        <v>0.56813319999999901</v>
      </c>
      <c r="F719" t="s">
        <v>39</v>
      </c>
      <c r="G719">
        <v>-233.24090000000001</v>
      </c>
      <c r="H719" s="1">
        <v>-3.8946400000000002E-6</v>
      </c>
      <c r="I719">
        <v>363.90730000000002</v>
      </c>
      <c r="J719">
        <v>-258.75200000000001</v>
      </c>
      <c r="K719">
        <v>1.1044609999999999</v>
      </c>
      <c r="L719">
        <v>367.8535</v>
      </c>
      <c r="M719">
        <v>0.99979859999999898</v>
      </c>
      <c r="N719">
        <v>0</v>
      </c>
      <c r="O719">
        <v>1.0523029999999999E-2</v>
      </c>
      <c r="P719">
        <v>0.99936259999999999</v>
      </c>
      <c r="Q719">
        <v>2.1561E-2</v>
      </c>
      <c r="R719">
        <v>2.8455620000000001E-2</v>
      </c>
      <c r="S719">
        <v>3.0185550000000001</v>
      </c>
      <c r="T719">
        <v>-0.1285753</v>
      </c>
      <c r="U719">
        <v>-0.45892329999999998</v>
      </c>
      <c r="V719">
        <v>-1.7930270000000002E-2</v>
      </c>
      <c r="W719">
        <v>3.8647870000000001E-2</v>
      </c>
      <c r="X719">
        <v>0.99909199999999998</v>
      </c>
      <c r="Y719">
        <v>0.160552</v>
      </c>
      <c r="Z719">
        <v>-3.8439209999999902E-3</v>
      </c>
      <c r="AA719">
        <v>0.98701989999999995</v>
      </c>
      <c r="AB719">
        <v>55</v>
      </c>
      <c r="AC719">
        <v>25.511099999999999</v>
      </c>
      <c r="AD719">
        <v>-1.10446489464</v>
      </c>
      <c r="AE719">
        <v>-3.94619999999997</v>
      </c>
      <c r="AF719">
        <v>4.2067741028506704</v>
      </c>
      <c r="AG719">
        <v>-1.10446489464</v>
      </c>
      <c r="AH719">
        <v>25.421620059388299</v>
      </c>
      <c r="AI719">
        <v>92.454365494531999</v>
      </c>
      <c r="AJ719">
        <v>80.603834206063496</v>
      </c>
      <c r="AK719">
        <v>25.79099760575</v>
      </c>
    </row>
    <row r="720" spans="1:37" x14ac:dyDescent="0.2">
      <c r="A720" t="str">
        <f>"20200111153416700"</f>
        <v>20200111153416700</v>
      </c>
      <c r="B720" t="str">
        <f>"1578728056697273"</f>
        <v>1578728056697273</v>
      </c>
      <c r="C720" t="s">
        <v>37</v>
      </c>
      <c r="D720">
        <v>4.8946719999999999</v>
      </c>
      <c r="E720">
        <v>0.56815059999999995</v>
      </c>
      <c r="F720" t="s">
        <v>39</v>
      </c>
      <c r="G720">
        <v>-233.00319999999999</v>
      </c>
      <c r="H720" s="1">
        <v>-4.0010229999999999E-6</v>
      </c>
      <c r="I720">
        <v>363.88260000000002</v>
      </c>
      <c r="J720">
        <v>-258.39940000000001</v>
      </c>
      <c r="K720">
        <v>1.104533</v>
      </c>
      <c r="L720">
        <v>367.85719999999998</v>
      </c>
      <c r="M720">
        <v>0.99979340000000005</v>
      </c>
      <c r="N720">
        <v>0</v>
      </c>
      <c r="O720">
        <v>1.0515119999999999E-2</v>
      </c>
      <c r="P720">
        <v>0.99939020000000001</v>
      </c>
      <c r="Q720">
        <v>2.1116610000000001E-2</v>
      </c>
      <c r="R720">
        <v>2.7815220000000002E-2</v>
      </c>
      <c r="S720">
        <v>3.0179900000000002</v>
      </c>
      <c r="T720">
        <v>-0.12945229999999999</v>
      </c>
      <c r="U720">
        <v>-0.46542359999999999</v>
      </c>
      <c r="V720">
        <v>-1.7298649999999999E-2</v>
      </c>
      <c r="W720">
        <v>3.8511589999999998E-2</v>
      </c>
      <c r="X720">
        <v>0.99910840000000001</v>
      </c>
      <c r="Y720">
        <v>0.1626445</v>
      </c>
      <c r="Z720">
        <v>-3.9144679999999999E-3</v>
      </c>
      <c r="AA720">
        <v>0.98667700000000003</v>
      </c>
      <c r="AB720">
        <v>54</v>
      </c>
      <c r="AC720">
        <v>25.3962</v>
      </c>
      <c r="AD720">
        <v>-1.104537001023</v>
      </c>
      <c r="AE720">
        <v>-3.97459999999995</v>
      </c>
      <c r="AF720">
        <v>4.2336479049704199</v>
      </c>
      <c r="AG720">
        <v>-1.104537001023</v>
      </c>
      <c r="AH720">
        <v>25.306271596100501</v>
      </c>
      <c r="AI720">
        <v>92.464975672698401</v>
      </c>
      <c r="AJ720">
        <v>80.502575990221402</v>
      </c>
      <c r="AK720">
        <v>25.681728109017399</v>
      </c>
    </row>
    <row r="721" spans="1:37" x14ac:dyDescent="0.2">
      <c r="A721" t="str">
        <f>"20200111153416711"</f>
        <v>20200111153416711</v>
      </c>
      <c r="B721" t="str">
        <f>"1578728056707033"</f>
        <v>1578728056707033</v>
      </c>
      <c r="C721" t="s">
        <v>37</v>
      </c>
      <c r="D721">
        <v>4.8750220000000004</v>
      </c>
      <c r="E721">
        <v>0.55028940000000004</v>
      </c>
      <c r="F721" t="s">
        <v>39</v>
      </c>
      <c r="G721">
        <v>-232.9392</v>
      </c>
      <c r="H721" s="1">
        <v>-4.0229329999999902E-6</v>
      </c>
      <c r="I721">
        <v>363.91379999999998</v>
      </c>
      <c r="J721">
        <v>-258.09219999999999</v>
      </c>
      <c r="K721">
        <v>1.104584</v>
      </c>
      <c r="L721">
        <v>367.86040000000003</v>
      </c>
      <c r="M721">
        <v>0.99978860000000003</v>
      </c>
      <c r="N721">
        <v>0</v>
      </c>
      <c r="O721">
        <v>1.050981E-2</v>
      </c>
      <c r="P721">
        <v>0.99942379999999997</v>
      </c>
      <c r="Q721">
        <v>2.09004E-2</v>
      </c>
      <c r="R721">
        <v>2.6748850000000001E-2</v>
      </c>
      <c r="S721">
        <v>3.0176090000000002</v>
      </c>
      <c r="T721">
        <v>-0.1309121</v>
      </c>
      <c r="U721">
        <v>-0.46737669999999998</v>
      </c>
      <c r="V721">
        <v>-1.6237149999999999E-2</v>
      </c>
      <c r="W721">
        <v>3.8567820000000003E-2</v>
      </c>
      <c r="X721">
        <v>0.99912409999999996</v>
      </c>
      <c r="Y721">
        <v>0.16327759999999999</v>
      </c>
      <c r="Z721">
        <v>-3.972288E-3</v>
      </c>
      <c r="AA721">
        <v>0.98657209999999995</v>
      </c>
      <c r="AB721">
        <v>54</v>
      </c>
      <c r="AC721">
        <v>25.152999999999899</v>
      </c>
      <c r="AD721">
        <v>-1.1045880229330001</v>
      </c>
      <c r="AE721">
        <v>-3.9466000000000401</v>
      </c>
      <c r="AF721">
        <v>4.2028659953336902</v>
      </c>
      <c r="AG721">
        <v>-1.1045880229330001</v>
      </c>
      <c r="AH721">
        <v>25.0629531524967</v>
      </c>
      <c r="AI721">
        <v>92.488830881449402</v>
      </c>
      <c r="AJ721">
        <v>80.4805072252435</v>
      </c>
      <c r="AK721">
        <v>25.4368987496389</v>
      </c>
    </row>
    <row r="722" spans="1:37" x14ac:dyDescent="0.2">
      <c r="A722" t="str">
        <f>"20200111153416724"</f>
        <v>20200111153416724</v>
      </c>
      <c r="B722" t="str">
        <f>"1578728056716794"</f>
        <v>1578728056716794</v>
      </c>
      <c r="C722" t="s">
        <v>37</v>
      </c>
      <c r="D722">
        <v>4.8201580000000002</v>
      </c>
      <c r="E722">
        <v>0.54968229999999996</v>
      </c>
      <c r="F722" t="s">
        <v>39</v>
      </c>
      <c r="G722">
        <v>-232.3519</v>
      </c>
      <c r="H722" s="1">
        <v>-4.0715099999999997E-6</v>
      </c>
      <c r="I722">
        <v>365.06029999999998</v>
      </c>
      <c r="J722">
        <v>-257.80509999999998</v>
      </c>
      <c r="K722">
        <v>1.10463</v>
      </c>
      <c r="L722">
        <v>367.86349999999999</v>
      </c>
      <c r="M722">
        <v>0.99978409999999995</v>
      </c>
      <c r="N722">
        <v>0</v>
      </c>
      <c r="O722">
        <v>1.05059E-2</v>
      </c>
      <c r="P722">
        <v>0.99946279999999998</v>
      </c>
      <c r="Q722">
        <v>2.0366860000000001E-2</v>
      </c>
      <c r="R722">
        <v>2.5683040000000001E-2</v>
      </c>
      <c r="S722">
        <v>3.013245</v>
      </c>
      <c r="T722">
        <v>-0.12930610000000001</v>
      </c>
      <c r="U722">
        <v>-0.32778930000000001</v>
      </c>
      <c r="V722">
        <v>-1.5175370000000001E-2</v>
      </c>
      <c r="W722">
        <v>3.8291930000000002E-2</v>
      </c>
      <c r="X722">
        <v>0.99915129999999996</v>
      </c>
      <c r="Y722">
        <v>0.118467499999999</v>
      </c>
      <c r="Z722">
        <v>-2.9826759999999901E-3</v>
      </c>
      <c r="AA722">
        <v>0.99295349999999905</v>
      </c>
      <c r="AB722">
        <v>54</v>
      </c>
      <c r="AC722">
        <v>25.453199999999899</v>
      </c>
      <c r="AD722">
        <v>-1.10463407151</v>
      </c>
      <c r="AE722">
        <v>-2.8031999999999999</v>
      </c>
      <c r="AF722">
        <v>3.0647938144102902</v>
      </c>
      <c r="AG722">
        <v>-1.10463407151</v>
      </c>
      <c r="AH722">
        <v>25.375120130247801</v>
      </c>
      <c r="AI722">
        <v>92.474673989430599</v>
      </c>
      <c r="AJ722">
        <v>83.113203728582505</v>
      </c>
      <c r="AK722">
        <v>25.583391080568202</v>
      </c>
    </row>
    <row r="723" spans="1:37" x14ac:dyDescent="0.2">
      <c r="A723" t="str">
        <f>"20200111153416735"</f>
        <v>20200111153416735</v>
      </c>
      <c r="B723" t="str">
        <f>"1578728056727530"</f>
        <v>1578728056727530</v>
      </c>
      <c r="C723" t="s">
        <v>37</v>
      </c>
      <c r="D723">
        <v>4.8130169999999897</v>
      </c>
      <c r="E723">
        <v>0.54945089999999996</v>
      </c>
      <c r="F723" t="s">
        <v>39</v>
      </c>
      <c r="G723">
        <v>-227.32669999999999</v>
      </c>
      <c r="H723" s="1">
        <v>-2.239366E-6</v>
      </c>
      <c r="I723">
        <v>364.5668</v>
      </c>
      <c r="J723">
        <v>-257.52760000000001</v>
      </c>
      <c r="K723">
        <v>1.104668</v>
      </c>
      <c r="L723">
        <v>367.8664</v>
      </c>
      <c r="M723">
        <v>0.99977969999999905</v>
      </c>
      <c r="N723">
        <v>0</v>
      </c>
      <c r="O723">
        <v>1.0503129999999999E-2</v>
      </c>
      <c r="P723">
        <v>0.99951119999999904</v>
      </c>
      <c r="Q723">
        <v>1.9322860000000001E-2</v>
      </c>
      <c r="R723">
        <v>2.458778E-2</v>
      </c>
      <c r="S723">
        <v>3.0122070000000001</v>
      </c>
      <c r="T723">
        <v>-0.10917149999999901</v>
      </c>
      <c r="U723">
        <v>-0.32580569999999998</v>
      </c>
      <c r="V723">
        <v>-1.408237E-2</v>
      </c>
      <c r="W723">
        <v>3.7498570000000002E-2</v>
      </c>
      <c r="X723">
        <v>0.99919740000000001</v>
      </c>
      <c r="Y723">
        <v>0.1178892</v>
      </c>
      <c r="Z723">
        <v>-2.5089729999999998E-3</v>
      </c>
      <c r="AA723">
        <v>0.99302359999999901</v>
      </c>
      <c r="AB723">
        <v>54</v>
      </c>
      <c r="AC723">
        <v>30.200900000000001</v>
      </c>
      <c r="AD723">
        <v>-1.104670239366</v>
      </c>
      <c r="AE723">
        <v>-3.2995999999999901</v>
      </c>
      <c r="AF723">
        <v>3.6118989253218099</v>
      </c>
      <c r="AG723">
        <v>-1.104670239366</v>
      </c>
      <c r="AH723">
        <v>30.124743087351298</v>
      </c>
      <c r="AI723">
        <v>92.085166576124394</v>
      </c>
      <c r="AJ723">
        <v>83.162983217548401</v>
      </c>
      <c r="AK723">
        <v>30.360603687400602</v>
      </c>
    </row>
    <row r="724" spans="1:37" x14ac:dyDescent="0.2">
      <c r="A724" t="str">
        <f>"20200111153416746"</f>
        <v>20200111153416746</v>
      </c>
      <c r="B724" t="str">
        <f>"1578728056737290"</f>
        <v>1578728056737290</v>
      </c>
      <c r="C724" t="s">
        <v>37</v>
      </c>
      <c r="D724">
        <v>4.8667870000000004</v>
      </c>
      <c r="E724">
        <v>0.54926900000000001</v>
      </c>
      <c r="F724" t="s">
        <v>39</v>
      </c>
      <c r="G724">
        <v>-223.6806</v>
      </c>
      <c r="H724" s="1">
        <v>-3.6543389999999999E-6</v>
      </c>
      <c r="I724">
        <v>364.19850000000002</v>
      </c>
      <c r="J724">
        <v>-257.27030000000002</v>
      </c>
      <c r="K724">
        <v>1.104706</v>
      </c>
      <c r="L724">
        <v>367.8691</v>
      </c>
      <c r="M724">
        <v>0.99977530000000003</v>
      </c>
      <c r="N724">
        <v>0</v>
      </c>
      <c r="O724">
        <v>1.050183E-2</v>
      </c>
      <c r="P724">
        <v>0.99956109999999898</v>
      </c>
      <c r="Q724">
        <v>1.8318399999999999E-2</v>
      </c>
      <c r="R724">
        <v>2.3285699999999999E-2</v>
      </c>
      <c r="S724">
        <v>3.0113979999999998</v>
      </c>
      <c r="T724">
        <v>-9.828365E-2</v>
      </c>
      <c r="U724">
        <v>-0.32632449999999902</v>
      </c>
      <c r="V724">
        <v>-1.2781529999999999E-2</v>
      </c>
      <c r="W724">
        <v>3.6729480000000002E-2</v>
      </c>
      <c r="X724">
        <v>0.99924349999999995</v>
      </c>
      <c r="Y724">
        <v>0.11810129999999899</v>
      </c>
      <c r="Z724">
        <v>-2.2628779999999999E-3</v>
      </c>
      <c r="AA724">
        <v>0.99299899999999997</v>
      </c>
      <c r="AB724">
        <v>54</v>
      </c>
      <c r="AC724">
        <v>33.589700000000001</v>
      </c>
      <c r="AD724">
        <v>-1.104709654339</v>
      </c>
      <c r="AE724">
        <v>-3.6705999999999701</v>
      </c>
      <c r="AF724">
        <v>4.0189149158526298</v>
      </c>
      <c r="AG724">
        <v>-1.104709654339</v>
      </c>
      <c r="AH724">
        <v>33.513470638921</v>
      </c>
      <c r="AI724">
        <v>91.874545131878705</v>
      </c>
      <c r="AJ724">
        <v>83.161779746990902</v>
      </c>
      <c r="AK724">
        <v>33.771656382047297</v>
      </c>
    </row>
    <row r="725" spans="1:37" x14ac:dyDescent="0.2">
      <c r="A725" t="str">
        <f>"20200111153416757"</f>
        <v>20200111153416757</v>
      </c>
      <c r="B725" t="str">
        <f>"1578728056747049"</f>
        <v>1578728056747049</v>
      </c>
      <c r="C725" t="s">
        <v>37</v>
      </c>
      <c r="D725">
        <v>4.8155890000000001</v>
      </c>
      <c r="E725">
        <v>0.54928650000000001</v>
      </c>
      <c r="F725" t="s">
        <v>39</v>
      </c>
      <c r="G725">
        <v>-223.535</v>
      </c>
      <c r="H725" s="1">
        <v>-3.718576E-6</v>
      </c>
      <c r="I725">
        <v>364.18869999999998</v>
      </c>
      <c r="J725">
        <v>-256.98520000000002</v>
      </c>
      <c r="K725">
        <v>1.1047450000000001</v>
      </c>
      <c r="L725">
        <v>367.87209999999999</v>
      </c>
      <c r="M725">
        <v>0.99977050000000001</v>
      </c>
      <c r="N725">
        <v>0</v>
      </c>
      <c r="O725">
        <v>1.0501079999999999E-2</v>
      </c>
      <c r="P725">
        <v>0.99960300000000002</v>
      </c>
      <c r="Q725">
        <v>1.7567349999999999E-2</v>
      </c>
      <c r="R725">
        <v>2.2027459999999999E-2</v>
      </c>
      <c r="S725">
        <v>3.0107729999999999</v>
      </c>
      <c r="T725">
        <v>-9.8591570000000003E-2</v>
      </c>
      <c r="U725">
        <v>-0.32846069999999999</v>
      </c>
      <c r="V725">
        <v>-1.1524299999999999E-2</v>
      </c>
      <c r="W725">
        <v>3.6240559999999998E-2</v>
      </c>
      <c r="X725">
        <v>0.99927659999999996</v>
      </c>
      <c r="Y725">
        <v>0.1188181</v>
      </c>
      <c r="Z725">
        <v>-2.2820229999999898E-3</v>
      </c>
      <c r="AA725">
        <v>0.99291339999999995</v>
      </c>
      <c r="AB725">
        <v>54</v>
      </c>
      <c r="AC725">
        <v>33.450200000000002</v>
      </c>
      <c r="AD725">
        <v>-1.1047487185760001</v>
      </c>
      <c r="AE725">
        <v>-3.6833999999999998</v>
      </c>
      <c r="AF725">
        <v>4.0301780188638503</v>
      </c>
      <c r="AG725">
        <v>-1.1047487185760001</v>
      </c>
      <c r="AH725">
        <v>33.373701944613401</v>
      </c>
      <c r="AI725">
        <v>91.882269224580298</v>
      </c>
      <c r="AJ725">
        <v>83.114354954996401</v>
      </c>
      <c r="AK725">
        <v>33.634309656700601</v>
      </c>
    </row>
    <row r="726" spans="1:37" x14ac:dyDescent="0.2">
      <c r="A726" t="str">
        <f>"20200111153416771"</f>
        <v>20200111153416771</v>
      </c>
      <c r="B726" t="str">
        <f>"1578728056767545"</f>
        <v>1578728056767545</v>
      </c>
      <c r="C726" t="s">
        <v>37</v>
      </c>
      <c r="D726">
        <v>4.813231</v>
      </c>
      <c r="E726">
        <v>0.54976650000000005</v>
      </c>
      <c r="F726" t="s">
        <v>39</v>
      </c>
      <c r="G726">
        <v>-224.9187</v>
      </c>
      <c r="H726" s="1">
        <v>-3.121827E-6</v>
      </c>
      <c r="I726">
        <v>364.33</v>
      </c>
      <c r="J726">
        <v>-256.68650000000002</v>
      </c>
      <c r="K726">
        <v>1.1047830000000001</v>
      </c>
      <c r="L726">
        <v>367.87520000000001</v>
      </c>
      <c r="M726">
        <v>0.99976520000000002</v>
      </c>
      <c r="N726">
        <v>0</v>
      </c>
      <c r="O726">
        <v>1.0503699999999999E-2</v>
      </c>
      <c r="P726">
        <v>0.99965519999999997</v>
      </c>
      <c r="Q726">
        <v>1.6874130000000001E-2</v>
      </c>
      <c r="R726">
        <v>2.0116180000000001E-2</v>
      </c>
      <c r="S726">
        <v>3.0103759999999999</v>
      </c>
      <c r="T726">
        <v>-0.1037126</v>
      </c>
      <c r="U726">
        <v>-0.33251950000000002</v>
      </c>
      <c r="V726">
        <v>-9.6098780000000005E-3</v>
      </c>
      <c r="W726">
        <v>3.582933E-2</v>
      </c>
      <c r="X726">
        <v>0.99931170000000002</v>
      </c>
      <c r="Y726">
        <v>0.12014949999999899</v>
      </c>
      <c r="Z726">
        <v>-2.4235749999999999E-3</v>
      </c>
      <c r="AA726">
        <v>0.99275290000000005</v>
      </c>
      <c r="AB726">
        <v>54</v>
      </c>
      <c r="AC726">
        <v>31.767800000000001</v>
      </c>
      <c r="AD726">
        <v>-1.1047861218270001</v>
      </c>
      <c r="AE726">
        <v>-3.5452000000000199</v>
      </c>
      <c r="AF726">
        <v>3.8741158940457998</v>
      </c>
      <c r="AG726">
        <v>-1.1047861218270001</v>
      </c>
      <c r="AH726">
        <v>31.690945840589102</v>
      </c>
      <c r="AI726">
        <v>91.981852318412194</v>
      </c>
      <c r="AJ726">
        <v>83.030357254002695</v>
      </c>
      <c r="AK726">
        <v>31.9459758750086</v>
      </c>
    </row>
    <row r="727" spans="1:37" x14ac:dyDescent="0.2">
      <c r="A727" t="str">
        <f>"20200111153416783"</f>
        <v>20200111153416783</v>
      </c>
      <c r="B727" t="str">
        <f>"1578728056777306"</f>
        <v>1578728056777306</v>
      </c>
      <c r="C727" t="s">
        <v>37</v>
      </c>
      <c r="D727">
        <v>4.7976830000000001</v>
      </c>
      <c r="E727">
        <v>0.54986869999999999</v>
      </c>
      <c r="F727" t="s">
        <v>39</v>
      </c>
      <c r="G727">
        <v>-225.44040000000001</v>
      </c>
      <c r="H727" s="1">
        <v>-2.9455899999999999E-6</v>
      </c>
      <c r="I727">
        <v>364.32510000000002</v>
      </c>
      <c r="J727">
        <v>-256.40429999999998</v>
      </c>
      <c r="K727">
        <v>1.104824</v>
      </c>
      <c r="L727">
        <v>367.87819999999999</v>
      </c>
      <c r="M727">
        <v>0.99975990000000003</v>
      </c>
      <c r="N727">
        <v>0</v>
      </c>
      <c r="O727">
        <v>1.050804E-2</v>
      </c>
      <c r="P727">
        <v>0.99970349999999997</v>
      </c>
      <c r="Q727">
        <v>1.6073029999999999E-2</v>
      </c>
      <c r="R727">
        <v>1.8290460000000001E-2</v>
      </c>
      <c r="S727">
        <v>3.0097049999999999</v>
      </c>
      <c r="T727">
        <v>-0.1064155</v>
      </c>
      <c r="U727">
        <v>-0.34194949999999902</v>
      </c>
      <c r="V727">
        <v>-7.7797400000000003E-3</v>
      </c>
      <c r="W727">
        <v>3.5296569999999999E-2</v>
      </c>
      <c r="X727">
        <v>0.99934659999999997</v>
      </c>
      <c r="Y727">
        <v>0.1232434</v>
      </c>
      <c r="Z727">
        <v>-2.5414779999999998E-3</v>
      </c>
      <c r="AA727">
        <v>0.99237319999999996</v>
      </c>
      <c r="AB727">
        <v>54</v>
      </c>
      <c r="AC727">
        <v>30.963899999999899</v>
      </c>
      <c r="AD727">
        <v>-1.1048269455899999</v>
      </c>
      <c r="AE727">
        <v>-3.5530999999999699</v>
      </c>
      <c r="AF727">
        <v>3.8734664366679499</v>
      </c>
      <c r="AG727">
        <v>-1.1048269455899999</v>
      </c>
      <c r="AH727">
        <v>30.886035506254601</v>
      </c>
      <c r="AI727">
        <v>92.032748872312993</v>
      </c>
      <c r="AJ727">
        <v>82.851765967433707</v>
      </c>
      <c r="AK727">
        <v>31.1475773393264</v>
      </c>
    </row>
    <row r="728" spans="1:37" x14ac:dyDescent="0.2">
      <c r="A728" t="str">
        <f>"20200111153416796"</f>
        <v>20200111153416796</v>
      </c>
      <c r="B728" t="str">
        <f>"1578728056787066"</f>
        <v>1578728056787066</v>
      </c>
      <c r="C728" t="s">
        <v>37</v>
      </c>
      <c r="D728">
        <v>4.7920959999999999</v>
      </c>
      <c r="E728">
        <v>0.54993910000000001</v>
      </c>
      <c r="F728" t="s">
        <v>39</v>
      </c>
      <c r="G728">
        <v>-225.8408</v>
      </c>
      <c r="H728" s="1">
        <v>-2.8049719999999999E-6</v>
      </c>
      <c r="I728">
        <v>364.34160000000003</v>
      </c>
      <c r="J728">
        <v>-256.06259999999997</v>
      </c>
      <c r="K728">
        <v>1.1048750000000001</v>
      </c>
      <c r="L728">
        <v>367.8818</v>
      </c>
      <c r="M728">
        <v>0.99975349999999996</v>
      </c>
      <c r="N728">
        <v>0</v>
      </c>
      <c r="O728">
        <v>1.0517200000000001E-2</v>
      </c>
      <c r="P728">
        <v>0.99979130000000005</v>
      </c>
      <c r="Q728">
        <v>1.5421789999999999E-2</v>
      </c>
      <c r="R728">
        <v>1.341934E-2</v>
      </c>
      <c r="S728">
        <v>3.0090029999999999</v>
      </c>
      <c r="T728">
        <v>-0.108770699999999</v>
      </c>
      <c r="U728">
        <v>-0.34817500000000001</v>
      </c>
      <c r="V728">
        <v>-2.8996009999999999E-3</v>
      </c>
      <c r="W728">
        <v>3.4972509999999998E-2</v>
      </c>
      <c r="X728">
        <v>0.99938400000000005</v>
      </c>
      <c r="Y728">
        <v>0.12529979999999999</v>
      </c>
      <c r="Z728">
        <v>-2.6353509999999902E-3</v>
      </c>
      <c r="AA728">
        <v>0.99211539999999998</v>
      </c>
      <c r="AB728">
        <v>54</v>
      </c>
      <c r="AC728">
        <v>30.221799999999899</v>
      </c>
      <c r="AD728">
        <v>-1.1048778049720001</v>
      </c>
      <c r="AE728">
        <v>-3.5401999999999698</v>
      </c>
      <c r="AF728">
        <v>3.85283378867708</v>
      </c>
      <c r="AG728">
        <v>-1.1048778049720001</v>
      </c>
      <c r="AH728">
        <v>30.143145045716</v>
      </c>
      <c r="AI728">
        <v>92.082275068984799</v>
      </c>
      <c r="AJ728">
        <v>82.716068758835405</v>
      </c>
      <c r="AK728">
        <v>30.408457317236</v>
      </c>
    </row>
    <row r="729" spans="1:37" x14ac:dyDescent="0.2">
      <c r="A729" t="str">
        <f>"20200111153416809"</f>
        <v>20200111153416809</v>
      </c>
      <c r="B729" t="str">
        <f>"1578728056796826"</f>
        <v>1578728056796826</v>
      </c>
      <c r="C729" t="s">
        <v>37</v>
      </c>
      <c r="D729">
        <v>4.8208739999999999</v>
      </c>
      <c r="E729">
        <v>0.54975160000000001</v>
      </c>
      <c r="F729" t="s">
        <v>39</v>
      </c>
      <c r="G729">
        <v>-226.0376</v>
      </c>
      <c r="H729" s="1">
        <v>-2.7607070000000001E-6</v>
      </c>
      <c r="I729">
        <v>364.2561</v>
      </c>
      <c r="J729">
        <v>-255.76669999999999</v>
      </c>
      <c r="K729">
        <v>1.1049169999999999</v>
      </c>
      <c r="L729">
        <v>367.88490000000002</v>
      </c>
      <c r="M729">
        <v>0.99974810000000003</v>
      </c>
      <c r="N729">
        <v>0</v>
      </c>
      <c r="O729">
        <v>1.0531250000000001E-2</v>
      </c>
      <c r="P729">
        <v>0.99982950000000004</v>
      </c>
      <c r="Q729">
        <v>1.5034219999999999E-2</v>
      </c>
      <c r="R729">
        <v>1.0743859999999999E-2</v>
      </c>
      <c r="S729">
        <v>3.0072019999999999</v>
      </c>
      <c r="T729">
        <v>-0.1106607</v>
      </c>
      <c r="U729">
        <v>-0.36312870000000003</v>
      </c>
      <c r="V729">
        <v>-2.1045929999999999E-4</v>
      </c>
      <c r="W729">
        <v>3.4861009999999998E-2</v>
      </c>
      <c r="X729">
        <v>0.99939219999999895</v>
      </c>
      <c r="Y729">
        <v>0.13023889999999999</v>
      </c>
      <c r="Z729">
        <v>-2.7729650000000001E-3</v>
      </c>
      <c r="AA729">
        <v>0.99147870000000005</v>
      </c>
      <c r="AB729">
        <v>54</v>
      </c>
      <c r="AC729">
        <v>29.729099999999899</v>
      </c>
      <c r="AD729">
        <v>-1.1049197607069901</v>
      </c>
      <c r="AE729">
        <v>-3.6288000000000098</v>
      </c>
      <c r="AF729">
        <v>3.9363871504224899</v>
      </c>
      <c r="AG729">
        <v>-1.1049197607069901</v>
      </c>
      <c r="AH729">
        <v>29.648873721967998</v>
      </c>
      <c r="AI729">
        <v>92.115696670126397</v>
      </c>
      <c r="AJ729">
        <v>82.437249959758702</v>
      </c>
      <c r="AK729">
        <v>29.929445441852401</v>
      </c>
    </row>
    <row r="730" spans="1:37" x14ac:dyDescent="0.2">
      <c r="A730" t="str">
        <f>"20200111153416822"</f>
        <v>20200111153416822</v>
      </c>
      <c r="B730" t="str">
        <f>"1578728056817321"</f>
        <v>1578728056817321</v>
      </c>
      <c r="C730" t="s">
        <v>37</v>
      </c>
      <c r="D730">
        <v>4.791417</v>
      </c>
      <c r="E730">
        <v>0.54965779999999997</v>
      </c>
      <c r="F730" t="s">
        <v>39</v>
      </c>
      <c r="G730">
        <v>-226.21270000000001</v>
      </c>
      <c r="H730" s="1">
        <v>-2.7029200000000001E-6</v>
      </c>
      <c r="I730">
        <v>364.24950000000001</v>
      </c>
      <c r="J730">
        <v>-255.45670000000001</v>
      </c>
      <c r="K730">
        <v>1.1049629999999999</v>
      </c>
      <c r="L730">
        <v>367.88810000000001</v>
      </c>
      <c r="M730">
        <v>0.99974200000000002</v>
      </c>
      <c r="N730">
        <v>0</v>
      </c>
      <c r="O730">
        <v>1.055088E-2</v>
      </c>
      <c r="P730">
        <v>0.99986180000000002</v>
      </c>
      <c r="Q730">
        <v>1.454896E-2</v>
      </c>
      <c r="R730">
        <v>8.0466210000000003E-3</v>
      </c>
      <c r="S730">
        <v>3.0061800000000001</v>
      </c>
      <c r="T730">
        <v>-0.1123902</v>
      </c>
      <c r="U730">
        <v>-0.36978149999999999</v>
      </c>
      <c r="V730">
        <v>2.5062079999999998E-3</v>
      </c>
      <c r="W730">
        <v>3.466085E-2</v>
      </c>
      <c r="X730">
        <v>0.99939599999999995</v>
      </c>
      <c r="Y730">
        <v>0.13245580000000001</v>
      </c>
      <c r="Z730">
        <v>-2.8588529999999902E-3</v>
      </c>
      <c r="AA730">
        <v>0.99118479999999998</v>
      </c>
      <c r="AB730">
        <v>53</v>
      </c>
      <c r="AC730">
        <v>29.244</v>
      </c>
      <c r="AD730">
        <v>-1.10496570292</v>
      </c>
      <c r="AE730">
        <v>-3.6385999999999901</v>
      </c>
      <c r="AF730">
        <v>3.9414684777976601</v>
      </c>
      <c r="AG730">
        <v>-1.10496570292</v>
      </c>
      <c r="AH730">
        <v>29.162973334785999</v>
      </c>
      <c r="AI730">
        <v>92.150329213659205</v>
      </c>
      <c r="AJ730">
        <v>82.302933133466496</v>
      </c>
      <c r="AK730">
        <v>29.4488562883441</v>
      </c>
    </row>
    <row r="731" spans="1:37" x14ac:dyDescent="0.2">
      <c r="A731" t="str">
        <f>"20200111153416833"</f>
        <v>20200111153416833</v>
      </c>
      <c r="B731" t="str">
        <f>"1578728056827006"</f>
        <v>1578728056827006</v>
      </c>
      <c r="C731" t="s">
        <v>37</v>
      </c>
      <c r="D731">
        <v>4.7691949999999999</v>
      </c>
      <c r="E731">
        <v>0.54955520000000002</v>
      </c>
      <c r="F731" t="s">
        <v>39</v>
      </c>
      <c r="G731">
        <v>-226.03639999999999</v>
      </c>
      <c r="H731" s="1">
        <v>-2.7771769999999999E-6</v>
      </c>
      <c r="I731">
        <v>364.19580000000002</v>
      </c>
      <c r="J731">
        <v>-255.1925</v>
      </c>
      <c r="K731">
        <v>1.1050089999999999</v>
      </c>
      <c r="L731">
        <v>367.89089999999999</v>
      </c>
      <c r="M731">
        <v>0.99973690000000004</v>
      </c>
      <c r="N731">
        <v>0</v>
      </c>
      <c r="O731">
        <v>1.0575370000000001E-2</v>
      </c>
      <c r="P731">
        <v>0.99988359999999998</v>
      </c>
      <c r="Q731">
        <v>1.4453189999999999E-2</v>
      </c>
      <c r="R731">
        <v>4.9371069999999996E-3</v>
      </c>
      <c r="S731">
        <v>3.0050810000000001</v>
      </c>
      <c r="T731">
        <v>-0.1128644</v>
      </c>
      <c r="U731">
        <v>-0.37713619999999998</v>
      </c>
      <c r="V731">
        <v>5.639168E-3</v>
      </c>
      <c r="W731">
        <v>3.4800480000000002E-2</v>
      </c>
      <c r="X731">
        <v>0.9993784</v>
      </c>
      <c r="Y731">
        <v>0.13491</v>
      </c>
      <c r="Z731">
        <v>-2.918328E-3</v>
      </c>
      <c r="AA731">
        <v>0.99085349999999905</v>
      </c>
      <c r="AB731">
        <v>53</v>
      </c>
      <c r="AC731">
        <v>29.156099999999999</v>
      </c>
      <c r="AD731">
        <v>-1.1050117771769901</v>
      </c>
      <c r="AE731">
        <v>-3.6950999999999601</v>
      </c>
      <c r="AF731">
        <v>3.9976422818857298</v>
      </c>
      <c r="AG731">
        <v>-1.1050117771769901</v>
      </c>
      <c r="AH731">
        <v>29.074281662275901</v>
      </c>
      <c r="AI731">
        <v>92.156296463722697</v>
      </c>
      <c r="AJ731">
        <v>82.171061675159805</v>
      </c>
      <c r="AK731">
        <v>29.368623546550001</v>
      </c>
    </row>
    <row r="732" spans="1:37" x14ac:dyDescent="0.2">
      <c r="A732" t="str">
        <f>"20200111153416845"</f>
        <v>20200111153416845</v>
      </c>
      <c r="B732" t="str">
        <f>"1578728056836768"</f>
        <v>1578728056836768</v>
      </c>
      <c r="C732" t="s">
        <v>37</v>
      </c>
      <c r="D732">
        <v>4.7558350000000003</v>
      </c>
      <c r="E732">
        <v>0.54935990000000001</v>
      </c>
      <c r="F732" t="s">
        <v>39</v>
      </c>
      <c r="G732">
        <v>-225.73509999999999</v>
      </c>
      <c r="H732" s="1">
        <v>-2.9028169999999998E-6</v>
      </c>
      <c r="I732">
        <v>364.10899999999998</v>
      </c>
      <c r="J732">
        <v>-254.92</v>
      </c>
      <c r="K732">
        <v>1.1050489999999999</v>
      </c>
      <c r="L732">
        <v>367.8938</v>
      </c>
      <c r="M732">
        <v>0.999731699999999</v>
      </c>
      <c r="N732">
        <v>0</v>
      </c>
      <c r="O732">
        <v>1.0608279999999999E-2</v>
      </c>
      <c r="P732">
        <v>0.99988909999999998</v>
      </c>
      <c r="Q732">
        <v>1.480704E-2</v>
      </c>
      <c r="R732">
        <v>1.5926339999999899E-3</v>
      </c>
      <c r="S732">
        <v>3.003876</v>
      </c>
      <c r="T732">
        <v>-0.1126815</v>
      </c>
      <c r="U732">
        <v>-0.38565060000000001</v>
      </c>
      <c r="V732">
        <v>9.0157689999999999E-3</v>
      </c>
      <c r="W732">
        <v>3.5390919999999999E-2</v>
      </c>
      <c r="X732">
        <v>0.99933289999999997</v>
      </c>
      <c r="Y732">
        <v>0.1377535</v>
      </c>
      <c r="Z732">
        <v>-2.9685739999999999E-3</v>
      </c>
      <c r="AA732">
        <v>0.99046209999999901</v>
      </c>
      <c r="AB732">
        <v>53</v>
      </c>
      <c r="AC732">
        <v>29.184899999999999</v>
      </c>
      <c r="AD732">
        <v>-1.1050519028170001</v>
      </c>
      <c r="AE732">
        <v>-3.7847999999999602</v>
      </c>
      <c r="AF732">
        <v>4.0884895940222599</v>
      </c>
      <c r="AG732">
        <v>-1.1050519028170001</v>
      </c>
      <c r="AH732">
        <v>29.102065700615199</v>
      </c>
      <c r="AI732">
        <v>92.153440465173304</v>
      </c>
      <c r="AJ732">
        <v>82.002971319034998</v>
      </c>
      <c r="AK732">
        <v>29.408623138652299</v>
      </c>
    </row>
    <row r="733" spans="1:37" x14ac:dyDescent="0.2">
      <c r="A733" t="str">
        <f>"20200111153416858"</f>
        <v>20200111153416858</v>
      </c>
      <c r="B733" t="str">
        <f>"1578728056847502"</f>
        <v>1578728056847502</v>
      </c>
      <c r="C733" t="s">
        <v>37</v>
      </c>
      <c r="D733">
        <v>4.7797359999999998</v>
      </c>
      <c r="E733">
        <v>0.54911669999999901</v>
      </c>
      <c r="F733" t="s">
        <v>39</v>
      </c>
      <c r="G733">
        <v>-224.94970000000001</v>
      </c>
      <c r="H733" s="1">
        <v>-3.21007E-6</v>
      </c>
      <c r="I733">
        <v>363.95870000000002</v>
      </c>
      <c r="J733">
        <v>-254.60059999999999</v>
      </c>
      <c r="K733">
        <v>1.1050979999999999</v>
      </c>
      <c r="L733">
        <v>367.8972</v>
      </c>
      <c r="M733">
        <v>0.99972559999999999</v>
      </c>
      <c r="N733">
        <v>0</v>
      </c>
      <c r="O733">
        <v>1.065467E-2</v>
      </c>
      <c r="P733">
        <v>0.99988849999999996</v>
      </c>
      <c r="Q733">
        <v>1.483286E-2</v>
      </c>
      <c r="R733">
        <v>-1.7234360000000001E-3</v>
      </c>
      <c r="S733">
        <v>3.0025789999999999</v>
      </c>
      <c r="T733">
        <v>-0.1107094</v>
      </c>
      <c r="U733">
        <v>-0.39422610000000002</v>
      </c>
      <c r="V733">
        <v>1.237649E-2</v>
      </c>
      <c r="W733">
        <v>3.5687799999999999E-2</v>
      </c>
      <c r="X733">
        <v>0.99928639999999902</v>
      </c>
      <c r="Y733">
        <v>0.14063639999999999</v>
      </c>
      <c r="Z733">
        <v>-2.9719809999999998E-3</v>
      </c>
      <c r="AA733">
        <v>0.99005689999999902</v>
      </c>
      <c r="AB733">
        <v>53</v>
      </c>
      <c r="AC733">
        <v>29.650899999999901</v>
      </c>
      <c r="AD733">
        <v>-1.10510121007</v>
      </c>
      <c r="AE733">
        <v>-3.9384999999999701</v>
      </c>
      <c r="AF733">
        <v>4.2484665080582298</v>
      </c>
      <c r="AG733">
        <v>-1.10510121007</v>
      </c>
      <c r="AH733">
        <v>29.566884853634601</v>
      </c>
      <c r="AI733">
        <v>92.118767712721606</v>
      </c>
      <c r="AJ733">
        <v>81.823136729716794</v>
      </c>
      <c r="AK733">
        <v>29.890991892252</v>
      </c>
    </row>
    <row r="734" spans="1:37" x14ac:dyDescent="0.2">
      <c r="A734" t="str">
        <f>"20200111153416872"</f>
        <v>20200111153416872</v>
      </c>
      <c r="B734" t="str">
        <f>"1578728056867021"</f>
        <v>1578728056867021</v>
      </c>
      <c r="C734" t="s">
        <v>37</v>
      </c>
      <c r="D734">
        <v>4.8096239999999897</v>
      </c>
      <c r="E734">
        <v>0.54881179999999996</v>
      </c>
      <c r="F734" t="s">
        <v>39</v>
      </c>
      <c r="G734">
        <v>-224.53380000000001</v>
      </c>
      <c r="H734" s="1">
        <v>-3.375604E-6</v>
      </c>
      <c r="I734">
        <v>363.86860000000001</v>
      </c>
      <c r="J734">
        <v>-254.28039999999999</v>
      </c>
      <c r="K734">
        <v>1.105143</v>
      </c>
      <c r="L734">
        <v>367.9006</v>
      </c>
      <c r="M734">
        <v>0.99971939999999904</v>
      </c>
      <c r="N734">
        <v>0</v>
      </c>
      <c r="O734">
        <v>1.07232E-2</v>
      </c>
      <c r="P734">
        <v>0.99987420000000005</v>
      </c>
      <c r="Q734">
        <v>1.50209E-2</v>
      </c>
      <c r="R734">
        <v>-5.1020019999999996E-3</v>
      </c>
      <c r="S734">
        <v>3.0012819999999998</v>
      </c>
      <c r="T734">
        <v>-0.1103114</v>
      </c>
      <c r="U734">
        <v>-0.40213009999999999</v>
      </c>
      <c r="V734">
        <v>1.5821350000000001E-2</v>
      </c>
      <c r="W734">
        <v>3.613765E-2</v>
      </c>
      <c r="X734">
        <v>0.99922160000000004</v>
      </c>
      <c r="Y734">
        <v>0.14332020000000001</v>
      </c>
      <c r="Z734">
        <v>-3.0136569999999999E-3</v>
      </c>
      <c r="AA734">
        <v>0.98967179999999999</v>
      </c>
      <c r="AB734">
        <v>53</v>
      </c>
      <c r="AC734">
        <v>29.746599999999901</v>
      </c>
      <c r="AD734">
        <v>-1.1051463756040001</v>
      </c>
      <c r="AE734">
        <v>-4.0319999999999796</v>
      </c>
      <c r="AF734">
        <v>4.34492900222192</v>
      </c>
      <c r="AG734">
        <v>-1.1051463756040001</v>
      </c>
      <c r="AH734">
        <v>29.661441092530101</v>
      </c>
      <c r="AI734">
        <v>92.111268135379305</v>
      </c>
      <c r="AJ734">
        <v>81.666349656723895</v>
      </c>
      <c r="AK734">
        <v>29.998347358337899</v>
      </c>
    </row>
    <row r="735" spans="1:37" x14ac:dyDescent="0.2">
      <c r="A735" t="str">
        <f>"20200111153416885"</f>
        <v>20200111153416885</v>
      </c>
      <c r="B735" t="str">
        <f>"1578728056876781"</f>
        <v>1578728056876781</v>
      </c>
      <c r="C735" t="s">
        <v>37</v>
      </c>
      <c r="D735">
        <v>4.8161440000000004</v>
      </c>
      <c r="E735">
        <v>0.54852009999999995</v>
      </c>
      <c r="F735" t="s">
        <v>39</v>
      </c>
      <c r="G735">
        <v>-223.24520000000001</v>
      </c>
      <c r="H735" s="1">
        <v>-3.936081E-6</v>
      </c>
      <c r="I735">
        <v>363.66329999999999</v>
      </c>
      <c r="J735">
        <v>-253.9657</v>
      </c>
      <c r="K735">
        <v>1.1051949999999999</v>
      </c>
      <c r="L735">
        <v>367.90410000000003</v>
      </c>
      <c r="M735">
        <v>0.99971319999999997</v>
      </c>
      <c r="N735">
        <v>0</v>
      </c>
      <c r="O735">
        <v>1.0805469999999999E-2</v>
      </c>
      <c r="P735">
        <v>0.99985100000000005</v>
      </c>
      <c r="Q735">
        <v>1.5041280000000001E-2</v>
      </c>
      <c r="R735">
        <v>-8.4814350000000007E-3</v>
      </c>
      <c r="S735">
        <v>2.9998930000000001</v>
      </c>
      <c r="T735">
        <v>-0.10682419999999999</v>
      </c>
      <c r="U735">
        <v>-0.40957640000000001</v>
      </c>
      <c r="V735">
        <v>1.9280519999999999E-2</v>
      </c>
      <c r="W735">
        <v>3.641022E-2</v>
      </c>
      <c r="X735">
        <v>0.99915089999999995</v>
      </c>
      <c r="Y735">
        <v>0.14587849999999999</v>
      </c>
      <c r="Z735">
        <v>-2.967548E-3</v>
      </c>
      <c r="AA735">
        <v>0.98929800000000001</v>
      </c>
      <c r="AB735">
        <v>53</v>
      </c>
      <c r="AC735">
        <v>30.720499999999902</v>
      </c>
      <c r="AD735">
        <v>-1.1051989360809999</v>
      </c>
      <c r="AE735">
        <v>-4.2408000000000303</v>
      </c>
      <c r="AF735">
        <v>4.5667774760400599</v>
      </c>
      <c r="AG735">
        <v>-1.1051989360809999</v>
      </c>
      <c r="AH735">
        <v>30.633964241508199</v>
      </c>
      <c r="AI735">
        <v>92.043632136547998</v>
      </c>
      <c r="AJ735">
        <v>81.521038544581998</v>
      </c>
      <c r="AK735">
        <v>30.992203638237601</v>
      </c>
    </row>
    <row r="736" spans="1:37" x14ac:dyDescent="0.2">
      <c r="A736" t="str">
        <f>"20200111153416897"</f>
        <v>20200111153416897</v>
      </c>
      <c r="B736" t="str">
        <f>"1578728056887518"</f>
        <v>1578728056887518</v>
      </c>
      <c r="C736" t="s">
        <v>37</v>
      </c>
      <c r="D736">
        <v>4.7759460000000002</v>
      </c>
      <c r="E736">
        <v>0.54852009999999995</v>
      </c>
      <c r="F736" t="s">
        <v>39</v>
      </c>
      <c r="G736">
        <v>-222.9153</v>
      </c>
      <c r="H736" s="1">
        <v>-4.0921449999999999E-6</v>
      </c>
      <c r="I736">
        <v>363.58120000000002</v>
      </c>
      <c r="J736">
        <v>-253.68129999999999</v>
      </c>
      <c r="K736">
        <v>1.1052439999999999</v>
      </c>
      <c r="L736">
        <v>367.90719999999999</v>
      </c>
      <c r="M736">
        <v>0.99970740000000002</v>
      </c>
      <c r="N736">
        <v>0</v>
      </c>
      <c r="O736">
        <v>1.0893419999999999E-2</v>
      </c>
      <c r="P736">
        <v>0.999779999999999</v>
      </c>
      <c r="Q736">
        <v>1.4750799999999901E-2</v>
      </c>
      <c r="R736">
        <v>-1.4924059999999999E-2</v>
      </c>
      <c r="S736">
        <v>2.998535</v>
      </c>
      <c r="T736">
        <v>-0.1067289</v>
      </c>
      <c r="U736">
        <v>-0.41744999999999999</v>
      </c>
      <c r="V736">
        <v>2.580762E-2</v>
      </c>
      <c r="W736">
        <v>3.6342550000000001E-2</v>
      </c>
      <c r="X736">
        <v>0.99900610000000001</v>
      </c>
      <c r="Y736">
        <v>0.1485727</v>
      </c>
      <c r="Z736">
        <v>-3.0165280000000001E-3</v>
      </c>
      <c r="AA736">
        <v>0.98889689999999997</v>
      </c>
      <c r="AB736">
        <v>53</v>
      </c>
      <c r="AC736">
        <v>30.765999999999899</v>
      </c>
      <c r="AD736">
        <v>-1.1052480921450001</v>
      </c>
      <c r="AE736">
        <v>-4.3259999999999597</v>
      </c>
      <c r="AF736">
        <v>4.65507717668154</v>
      </c>
      <c r="AG736">
        <v>-1.1052480921450001</v>
      </c>
      <c r="AH736">
        <v>30.6782133086875</v>
      </c>
      <c r="AI736">
        <v>92.039979105652705</v>
      </c>
      <c r="AJ736">
        <v>81.371822212320495</v>
      </c>
      <c r="AK736">
        <v>31.049059384776498</v>
      </c>
    </row>
    <row r="737" spans="1:37" x14ac:dyDescent="0.2">
      <c r="A737" t="str">
        <f>"20200111153416912"</f>
        <v>20200111153416912</v>
      </c>
      <c r="B737" t="str">
        <f>"1578728056907037"</f>
        <v>1578728056907037</v>
      </c>
      <c r="C737" t="s">
        <v>37</v>
      </c>
      <c r="D737">
        <v>4.7074590000000001</v>
      </c>
      <c r="E737">
        <v>0.51467659999999904</v>
      </c>
      <c r="F737" t="s">
        <v>39</v>
      </c>
      <c r="G737">
        <v>-222.839</v>
      </c>
      <c r="H737" s="1">
        <v>-4.1551269999999999E-6</v>
      </c>
      <c r="I737">
        <v>363.41070000000002</v>
      </c>
      <c r="J737">
        <v>-253.33860000000001</v>
      </c>
      <c r="K737">
        <v>1.1053040000000001</v>
      </c>
      <c r="L737">
        <v>367.911</v>
      </c>
      <c r="M737">
        <v>0.99970040000000004</v>
      </c>
      <c r="N737">
        <v>0</v>
      </c>
      <c r="O737">
        <v>1.103169E-2</v>
      </c>
      <c r="P737">
        <v>0.99973789999999996</v>
      </c>
      <c r="Q737">
        <v>1.441775E-2</v>
      </c>
      <c r="R737">
        <v>-1.779209E-2</v>
      </c>
      <c r="S737">
        <v>2.99572799999999</v>
      </c>
      <c r="T737">
        <v>-0.1073532</v>
      </c>
      <c r="U737">
        <v>-0.43673709999999999</v>
      </c>
      <c r="V737">
        <v>2.881036E-2</v>
      </c>
      <c r="W737">
        <v>3.6266779999999998E-2</v>
      </c>
      <c r="X737">
        <v>0.9989268</v>
      </c>
      <c r="Y737">
        <v>0.15506739999999999</v>
      </c>
      <c r="Z737">
        <v>-3.156262E-3</v>
      </c>
      <c r="AA737">
        <v>0.98789889999999903</v>
      </c>
      <c r="AB737">
        <v>53</v>
      </c>
      <c r="AC737">
        <v>30.499599999999901</v>
      </c>
      <c r="AD737">
        <v>-1.1053081551270001</v>
      </c>
      <c r="AE737">
        <v>-4.5002999999999798</v>
      </c>
      <c r="AF737">
        <v>4.83035975052361</v>
      </c>
      <c r="AG737">
        <v>-1.1053081551270001</v>
      </c>
      <c r="AH737">
        <v>30.408998925121999</v>
      </c>
      <c r="AI737">
        <v>92.055920515363397</v>
      </c>
      <c r="AJ737">
        <v>80.974181702367503</v>
      </c>
      <c r="AK737">
        <v>30.810084340445101</v>
      </c>
    </row>
    <row r="738" spans="1:37" x14ac:dyDescent="0.2">
      <c r="A738" t="str">
        <f>"20200111153416926"</f>
        <v>20200111153416926</v>
      </c>
      <c r="B738" t="str">
        <f>"1578728056916797"</f>
        <v>1578728056916797</v>
      </c>
      <c r="C738" t="s">
        <v>37</v>
      </c>
      <c r="D738">
        <v>4.8258710000000002</v>
      </c>
      <c r="E738">
        <v>0.50411530000000004</v>
      </c>
      <c r="F738" t="s">
        <v>39</v>
      </c>
      <c r="G738">
        <v>-218.7252</v>
      </c>
      <c r="H738" s="1">
        <v>-1.4115129999999899E-6</v>
      </c>
      <c r="I738">
        <v>365.88959999999997</v>
      </c>
      <c r="J738">
        <v>-253.01009999999999</v>
      </c>
      <c r="K738">
        <v>1.1053629999999901</v>
      </c>
      <c r="L738">
        <v>367.91480000000001</v>
      </c>
      <c r="M738">
        <v>0.99969349999999901</v>
      </c>
      <c r="N738">
        <v>0</v>
      </c>
      <c r="O738">
        <v>1.1189060000000001E-2</v>
      </c>
      <c r="P738">
        <v>0.99969789999999903</v>
      </c>
      <c r="Q738">
        <v>1.358383E-2</v>
      </c>
      <c r="R738">
        <v>-2.049554E-2</v>
      </c>
      <c r="S738">
        <v>2.9990540000000001</v>
      </c>
      <c r="T738">
        <v>-9.5768210000000006E-2</v>
      </c>
      <c r="U738">
        <v>-0.1751404</v>
      </c>
      <c r="V738">
        <v>3.1667359999999999E-2</v>
      </c>
      <c r="W738">
        <v>3.5672080000000002E-2</v>
      </c>
      <c r="X738">
        <v>0.99886169999999996</v>
      </c>
      <c r="Y738">
        <v>6.9427359999999994E-2</v>
      </c>
      <c r="Z738">
        <v>-1.4642939999999899E-3</v>
      </c>
      <c r="AA738">
        <v>0.99758599999999997</v>
      </c>
      <c r="AB738">
        <v>52</v>
      </c>
      <c r="AC738">
        <v>34.284899999999901</v>
      </c>
      <c r="AD738">
        <v>-1.1053644115129999</v>
      </c>
      <c r="AE738">
        <v>-2.0252000000000399</v>
      </c>
      <c r="AF738">
        <v>2.4062900156719902</v>
      </c>
      <c r="AG738">
        <v>-1.1053644115129999</v>
      </c>
      <c r="AH738">
        <v>34.224635893894501</v>
      </c>
      <c r="AI738">
        <v>91.845305578474594</v>
      </c>
      <c r="AJ738">
        <v>85.978225879519599</v>
      </c>
      <c r="AK738">
        <v>34.326924770381297</v>
      </c>
    </row>
    <row r="739" spans="1:37" x14ac:dyDescent="0.2">
      <c r="A739" t="str">
        <f>"20200111153416939"</f>
        <v>20200111153416939</v>
      </c>
      <c r="B739" t="str">
        <f>"1578728056927534"</f>
        <v>1578728056927534</v>
      </c>
      <c r="C739" t="s">
        <v>37</v>
      </c>
      <c r="D739">
        <v>5.7642949999999997</v>
      </c>
      <c r="E739">
        <v>0.49903239999999999</v>
      </c>
      <c r="F739" t="s">
        <v>39</v>
      </c>
      <c r="G739">
        <v>-223.8399</v>
      </c>
      <c r="H739" s="1">
        <v>-3.0983559999999999E-6</v>
      </c>
      <c r="I739">
        <v>366.94779999999997</v>
      </c>
      <c r="J739">
        <v>-252.71629999999999</v>
      </c>
      <c r="K739">
        <v>1.1054189999999999</v>
      </c>
      <c r="L739">
        <v>367.91820000000001</v>
      </c>
      <c r="M739">
        <v>0.99968709999999905</v>
      </c>
      <c r="N739">
        <v>0</v>
      </c>
      <c r="O739">
        <v>1.134714E-2</v>
      </c>
      <c r="P739">
        <v>0.99965789999999999</v>
      </c>
      <c r="Q739">
        <v>1.2551150000000001E-2</v>
      </c>
      <c r="R739">
        <v>-2.2957700000000001E-2</v>
      </c>
      <c r="S739">
        <v>3.0004270000000002</v>
      </c>
      <c r="T739">
        <v>-0.1136968</v>
      </c>
      <c r="U739">
        <v>-9.9456790000000003E-2</v>
      </c>
      <c r="V739">
        <v>3.4284120000000001E-2</v>
      </c>
      <c r="W739">
        <v>3.4848129999999998E-2</v>
      </c>
      <c r="X739">
        <v>0.99880440000000004</v>
      </c>
      <c r="Y739">
        <v>4.4430949999999997E-2</v>
      </c>
      <c r="Z739">
        <v>-1.2711210000000001E-3</v>
      </c>
      <c r="AA739">
        <v>0.9990116</v>
      </c>
      <c r="AB739">
        <v>52</v>
      </c>
      <c r="AC739">
        <v>28.876399999999901</v>
      </c>
      <c r="AD739">
        <v>-1.1054220983559999</v>
      </c>
      <c r="AE739">
        <v>-0.97040000000004001</v>
      </c>
      <c r="AF739">
        <v>1.29618614345299</v>
      </c>
      <c r="AG739">
        <v>-1.1054220983559999</v>
      </c>
      <c r="AH739">
        <v>28.8213374811344</v>
      </c>
      <c r="AI739">
        <v>92.194246919550494</v>
      </c>
      <c r="AJ739">
        <v>87.424963831833907</v>
      </c>
      <c r="AK739">
        <v>28.8716392110918</v>
      </c>
    </row>
    <row r="740" spans="1:37" x14ac:dyDescent="0.2">
      <c r="A740" t="str">
        <f>"20200111153416953"</f>
        <v>20200111153416953</v>
      </c>
      <c r="B740" t="str">
        <f>"1578728056947053"</f>
        <v>1578728056947053</v>
      </c>
      <c r="C740" t="s">
        <v>37</v>
      </c>
      <c r="D740">
        <v>4.6841049999999997</v>
      </c>
      <c r="E740">
        <v>0.49335410000000002</v>
      </c>
      <c r="F740" t="s">
        <v>39</v>
      </c>
      <c r="G740">
        <v>-225.3124</v>
      </c>
      <c r="H740" s="1">
        <v>-2.40255799999999E-6</v>
      </c>
      <c r="I740">
        <v>367.30919999999998</v>
      </c>
      <c r="J740">
        <v>-252.36420000000001</v>
      </c>
      <c r="K740">
        <v>1.1054919999999999</v>
      </c>
      <c r="L740">
        <v>367.92230000000001</v>
      </c>
      <c r="M740">
        <v>0.99967909999999904</v>
      </c>
      <c r="N740">
        <v>0</v>
      </c>
      <c r="O740">
        <v>1.1582210000000001E-2</v>
      </c>
      <c r="P740">
        <v>0.99954580000000004</v>
      </c>
      <c r="Q740">
        <v>1.168281E-2</v>
      </c>
      <c r="R740">
        <v>-2.7779640000000001E-2</v>
      </c>
      <c r="S740">
        <v>3.00105299999999</v>
      </c>
      <c r="T740">
        <v>-0.121056399999999</v>
      </c>
      <c r="U740">
        <v>-6.6680909999999996E-2</v>
      </c>
      <c r="V740">
        <v>3.9335750000000003E-2</v>
      </c>
      <c r="W740">
        <v>3.4218129999999999E-2</v>
      </c>
      <c r="X740">
        <v>0.99863999999999997</v>
      </c>
      <c r="Y740">
        <v>3.3757629999999997E-2</v>
      </c>
      <c r="Z740">
        <v>-1.147578E-3</v>
      </c>
      <c r="AA740">
        <v>0.99942940000000002</v>
      </c>
      <c r="AB740">
        <v>52</v>
      </c>
      <c r="AC740">
        <v>27.0518</v>
      </c>
      <c r="AD740">
        <v>-1.105494402558</v>
      </c>
      <c r="AE740">
        <v>-0.61310000000003095</v>
      </c>
      <c r="AF740">
        <v>0.92491419718198598</v>
      </c>
      <c r="AG740">
        <v>-1.105494402558</v>
      </c>
      <c r="AH740">
        <v>26.997818040832499</v>
      </c>
      <c r="AI740">
        <v>92.343438376976195</v>
      </c>
      <c r="AJ740">
        <v>88.037879873300994</v>
      </c>
      <c r="AK740">
        <v>27.036267551423101</v>
      </c>
    </row>
    <row r="741" spans="1:37" x14ac:dyDescent="0.2">
      <c r="A741" t="str">
        <f>"20200111153416967"</f>
        <v>20200111153416967</v>
      </c>
      <c r="B741" t="str">
        <f>"1578728056956813"</f>
        <v>1578728056956813</v>
      </c>
      <c r="C741" t="s">
        <v>37</v>
      </c>
      <c r="D741">
        <v>4.6227349999999996</v>
      </c>
      <c r="E741">
        <v>0.49217559999999899</v>
      </c>
      <c r="F741" t="s">
        <v>39</v>
      </c>
      <c r="G741">
        <v>-227.3185</v>
      </c>
      <c r="H741" s="1">
        <v>-1.486122E-6</v>
      </c>
      <c r="I741">
        <v>367.62389999999999</v>
      </c>
      <c r="J741">
        <v>-252.05500000000001</v>
      </c>
      <c r="K741">
        <v>1.1055549999999901</v>
      </c>
      <c r="L741">
        <v>367.92610000000002</v>
      </c>
      <c r="M741">
        <v>0.9996718</v>
      </c>
      <c r="N741">
        <v>0</v>
      </c>
      <c r="O741">
        <v>1.1815549999999999E-2</v>
      </c>
      <c r="P741">
        <v>0.99949120000000002</v>
      </c>
      <c r="Q741">
        <v>1.1393749999999999E-2</v>
      </c>
      <c r="R741">
        <v>-2.9796429999999999E-2</v>
      </c>
      <c r="S741">
        <v>3.0019070000000001</v>
      </c>
      <c r="T741">
        <v>-0.132500799999999</v>
      </c>
      <c r="U741">
        <v>-3.5766600000000003E-2</v>
      </c>
      <c r="V741">
        <v>4.1580909999999999E-2</v>
      </c>
      <c r="W741">
        <v>3.4131870000000002E-2</v>
      </c>
      <c r="X741">
        <v>0.998552</v>
      </c>
      <c r="Y741">
        <v>2.3696140000000001E-2</v>
      </c>
      <c r="Z741">
        <v>-1.044075E-3</v>
      </c>
      <c r="AA741">
        <v>0.99971869999999996</v>
      </c>
      <c r="AB741">
        <v>52</v>
      </c>
      <c r="AC741">
        <v>24.736499999999999</v>
      </c>
      <c r="AD741">
        <v>-1.10555648612199</v>
      </c>
      <c r="AE741">
        <v>-0.302200000000027</v>
      </c>
      <c r="AF741">
        <v>0.59334475728418601</v>
      </c>
      <c r="AG741">
        <v>-1.10555648612199</v>
      </c>
      <c r="AH741">
        <v>24.681906178319501</v>
      </c>
      <c r="AI741">
        <v>92.563949045761106</v>
      </c>
      <c r="AJ741">
        <v>88.622893890009095</v>
      </c>
      <c r="AK741">
        <v>24.713777650136201</v>
      </c>
    </row>
    <row r="742" spans="1:37" x14ac:dyDescent="0.2">
      <c r="A742" t="str">
        <f>"20200111153416979"</f>
        <v>20200111153416979</v>
      </c>
      <c r="B742" t="str">
        <f>"1578728056967550"</f>
        <v>1578728056967550</v>
      </c>
      <c r="C742" t="s">
        <v>37</v>
      </c>
      <c r="D742">
        <v>4.6779120000000001</v>
      </c>
      <c r="E742">
        <v>0.49083949999999998</v>
      </c>
      <c r="F742" t="s">
        <v>39</v>
      </c>
      <c r="G742">
        <v>-227.4014</v>
      </c>
      <c r="H742" s="1">
        <v>-1.444505E-6</v>
      </c>
      <c r="I742">
        <v>367.65789999999998</v>
      </c>
      <c r="J742">
        <v>-251.7808</v>
      </c>
      <c r="K742">
        <v>1.1056159999999999</v>
      </c>
      <c r="L742">
        <v>367.92939999999999</v>
      </c>
      <c r="M742">
        <v>0.99966529999999998</v>
      </c>
      <c r="N742">
        <v>0</v>
      </c>
      <c r="O742">
        <v>1.2037290000000001E-2</v>
      </c>
      <c r="P742">
        <v>0.9994305</v>
      </c>
      <c r="Q742">
        <v>1.1253610000000001E-2</v>
      </c>
      <c r="R742">
        <v>-3.1813689999999999E-2</v>
      </c>
      <c r="S742">
        <v>3.002075</v>
      </c>
      <c r="T742">
        <v>-0.13462389999999999</v>
      </c>
      <c r="U742">
        <v>-3.2653809999999998E-2</v>
      </c>
      <c r="V742">
        <v>4.3815420000000001E-2</v>
      </c>
      <c r="W742">
        <v>3.41681E-2</v>
      </c>
      <c r="X742">
        <v>0.99845519999999999</v>
      </c>
      <c r="Y742">
        <v>2.2880290000000001E-2</v>
      </c>
      <c r="Z742">
        <v>-1.0523939999999999E-3</v>
      </c>
      <c r="AA742">
        <v>0.99973769999999995</v>
      </c>
      <c r="AB742">
        <v>52</v>
      </c>
      <c r="AC742">
        <v>24.3794</v>
      </c>
      <c r="AD742">
        <v>-1.105617444505</v>
      </c>
      <c r="AE742">
        <v>-0.27150000000000302</v>
      </c>
      <c r="AF742">
        <v>0.56385967473433296</v>
      </c>
      <c r="AG742">
        <v>-1.105617444505</v>
      </c>
      <c r="AH742">
        <v>24.324342942690301</v>
      </c>
      <c r="AI742">
        <v>92.601783104591604</v>
      </c>
      <c r="AJ742">
        <v>88.672071232350007</v>
      </c>
      <c r="AK742">
        <v>24.355984629244499</v>
      </c>
    </row>
    <row r="743" spans="1:37" x14ac:dyDescent="0.2">
      <c r="A743" t="str">
        <f>"20200111153416991"</f>
        <v>20200111153416991</v>
      </c>
      <c r="B743" t="str">
        <f>"1578728056987069"</f>
        <v>1578728056987069</v>
      </c>
      <c r="C743" t="s">
        <v>37</v>
      </c>
      <c r="D743">
        <v>4.6757720000000003</v>
      </c>
      <c r="E743">
        <v>0.48890649999999902</v>
      </c>
      <c r="F743" t="s">
        <v>39</v>
      </c>
      <c r="G743">
        <v>-227.5812</v>
      </c>
      <c r="H743" s="1">
        <v>-1.3594079999999899E-6</v>
      </c>
      <c r="I743">
        <v>367.7029</v>
      </c>
      <c r="J743">
        <v>-251.4862</v>
      </c>
      <c r="K743">
        <v>1.1056859999999999</v>
      </c>
      <c r="L743">
        <v>367.9332</v>
      </c>
      <c r="M743">
        <v>0.99965800000000005</v>
      </c>
      <c r="N743">
        <v>0</v>
      </c>
      <c r="O743">
        <v>1.2320589999999999E-2</v>
      </c>
      <c r="P743">
        <v>0.99938449999999901</v>
      </c>
      <c r="Q743">
        <v>1.083776E-2</v>
      </c>
      <c r="R743">
        <v>-3.3373010000000002E-2</v>
      </c>
      <c r="S743">
        <v>3.00238</v>
      </c>
      <c r="T743">
        <v>-0.1371706</v>
      </c>
      <c r="U743">
        <v>-2.810669E-2</v>
      </c>
      <c r="V743">
        <v>4.5652970000000001E-2</v>
      </c>
      <c r="W743">
        <v>3.3928380000000001E-2</v>
      </c>
      <c r="X743">
        <v>0.99838099999999996</v>
      </c>
      <c r="Y743">
        <v>2.1648239999999999E-2</v>
      </c>
      <c r="Z743">
        <v>-1.0569919999999899E-3</v>
      </c>
      <c r="AA743">
        <v>0.99976509999999996</v>
      </c>
      <c r="AB743">
        <v>52</v>
      </c>
      <c r="AC743">
        <v>23.905000000000001</v>
      </c>
      <c r="AD743">
        <v>-1.1056873594079999</v>
      </c>
      <c r="AE743">
        <v>-0.23029999999999901</v>
      </c>
      <c r="AF743">
        <v>0.52376417712020695</v>
      </c>
      <c r="AG743">
        <v>-1.1056873594079999</v>
      </c>
      <c r="AH743">
        <v>23.8493284707463</v>
      </c>
      <c r="AI743">
        <v>92.653770742513203</v>
      </c>
      <c r="AJ743">
        <v>88.741907819513997</v>
      </c>
      <c r="AK743">
        <v>23.880689729476799</v>
      </c>
    </row>
    <row r="744" spans="1:37" x14ac:dyDescent="0.2">
      <c r="A744" t="str">
        <f>"20200111153417003"</f>
        <v>20200111153417003</v>
      </c>
      <c r="B744" t="str">
        <f>"1578728056996830"</f>
        <v>1578728056996830</v>
      </c>
      <c r="C744" t="s">
        <v>37</v>
      </c>
      <c r="D744">
        <v>6.5601989999999999</v>
      </c>
      <c r="E744">
        <v>0.48833749999999998</v>
      </c>
      <c r="F744" t="s">
        <v>39</v>
      </c>
      <c r="G744">
        <v>-228.06639999999999</v>
      </c>
      <c r="H744" s="1">
        <v>-1.134398E-6</v>
      </c>
      <c r="I744">
        <v>367.798</v>
      </c>
      <c r="J744">
        <v>-251.2236</v>
      </c>
      <c r="K744">
        <v>1.1057489999999901</v>
      </c>
      <c r="L744">
        <v>367.9366</v>
      </c>
      <c r="M744">
        <v>0.99965110000000001</v>
      </c>
      <c r="N744">
        <v>0</v>
      </c>
      <c r="O744">
        <v>1.259091E-2</v>
      </c>
      <c r="P744">
        <v>0.99933369999999999</v>
      </c>
      <c r="Q744">
        <v>1.103442E-2</v>
      </c>
      <c r="R744">
        <v>-3.4799940000000001E-2</v>
      </c>
      <c r="S744">
        <v>3.0028079999999999</v>
      </c>
      <c r="T744">
        <v>-0.141766899999999</v>
      </c>
      <c r="U744">
        <v>-1.7333979999999999E-2</v>
      </c>
      <c r="V744">
        <v>4.7344709999999998E-2</v>
      </c>
      <c r="W744">
        <v>3.4280560000000002E-2</v>
      </c>
      <c r="X744">
        <v>0.99829020000000002</v>
      </c>
      <c r="Y744">
        <v>1.8331690000000001E-2</v>
      </c>
      <c r="Z744">
        <v>-1.0267410000000001E-3</v>
      </c>
      <c r="AA744">
        <v>0.99983140000000004</v>
      </c>
      <c r="AB744">
        <v>52</v>
      </c>
      <c r="AC744">
        <v>23.1572</v>
      </c>
      <c r="AD744">
        <v>-1.1057501343979901</v>
      </c>
      <c r="AE744">
        <v>-0.138599999999996</v>
      </c>
      <c r="AF744">
        <v>0.42925916817092002</v>
      </c>
      <c r="AG744">
        <v>-1.1057501343979901</v>
      </c>
      <c r="AH744">
        <v>23.100948666384799</v>
      </c>
      <c r="AI744">
        <v>92.739956182671193</v>
      </c>
      <c r="AJ744">
        <v>88.935458934970399</v>
      </c>
      <c r="AK744">
        <v>23.131380764669501</v>
      </c>
    </row>
    <row r="745" spans="1:37" x14ac:dyDescent="0.2">
      <c r="A745" t="str">
        <f>"20200111153417015"</f>
        <v>20200111153417015</v>
      </c>
      <c r="B745" t="str">
        <f>"1578728057007566"</f>
        <v>1578728057007566</v>
      </c>
      <c r="C745" t="s">
        <v>37</v>
      </c>
      <c r="D745">
        <v>4.6508799999999999</v>
      </c>
      <c r="E745">
        <v>0.48779489999999998</v>
      </c>
      <c r="F745" t="s">
        <v>39</v>
      </c>
      <c r="G745">
        <v>-227.5975</v>
      </c>
      <c r="H745" s="1">
        <v>-1.3343559999999999E-6</v>
      </c>
      <c r="I745">
        <v>367.8048</v>
      </c>
      <c r="J745">
        <v>-250.95189999999999</v>
      </c>
      <c r="K745">
        <v>1.1058159999999999</v>
      </c>
      <c r="L745">
        <v>367.94029999999998</v>
      </c>
      <c r="M745">
        <v>0.99964359999999997</v>
      </c>
      <c r="N745">
        <v>0</v>
      </c>
      <c r="O745">
        <v>1.2896599999999999E-2</v>
      </c>
      <c r="P745">
        <v>0.99928649999999997</v>
      </c>
      <c r="Q745">
        <v>1.1003550000000001E-2</v>
      </c>
      <c r="R745">
        <v>-3.6130540000000003E-2</v>
      </c>
      <c r="S745">
        <v>3.0029750000000002</v>
      </c>
      <c r="T745">
        <v>-0.14054439999999899</v>
      </c>
      <c r="U745">
        <v>-1.6754149999999999E-2</v>
      </c>
      <c r="V745">
        <v>4.8975930000000001E-2</v>
      </c>
      <c r="W745">
        <v>3.4406840000000001E-2</v>
      </c>
      <c r="X745">
        <v>0.99820719999999996</v>
      </c>
      <c r="Y745">
        <v>1.8444249999999999E-2</v>
      </c>
      <c r="Z745">
        <v>-1.0347780000000001E-3</v>
      </c>
      <c r="AA745">
        <v>0.99982939999999998</v>
      </c>
      <c r="AB745">
        <v>51</v>
      </c>
      <c r="AC745">
        <v>23.354399999999998</v>
      </c>
      <c r="AD745">
        <v>-1.1058173343559901</v>
      </c>
      <c r="AE745">
        <v>-0.135499999999979</v>
      </c>
      <c r="AF745">
        <v>0.43578640595628698</v>
      </c>
      <c r="AG745">
        <v>-1.1058173343559901</v>
      </c>
      <c r="AH745">
        <v>23.298476038608701</v>
      </c>
      <c r="AI745">
        <v>92.716920104743096</v>
      </c>
      <c r="AJ745">
        <v>88.928435895935294</v>
      </c>
      <c r="AK745">
        <v>23.328774667568901</v>
      </c>
    </row>
    <row r="746" spans="1:37" x14ac:dyDescent="0.2">
      <c r="A746" t="str">
        <f>"20200111153417026"</f>
        <v>20200111153417026</v>
      </c>
      <c r="B746" t="str">
        <f>"1578728057017325"</f>
        <v>1578728057017325</v>
      </c>
      <c r="C746" t="s">
        <v>37</v>
      </c>
      <c r="D746">
        <v>4.6645979999999998</v>
      </c>
      <c r="E746">
        <v>0.48725379999999902</v>
      </c>
      <c r="F746" t="s">
        <v>39</v>
      </c>
      <c r="G746">
        <v>-227.2706</v>
      </c>
      <c r="H746" s="1">
        <v>-1.4732579999999901E-6</v>
      </c>
      <c r="I746">
        <v>367.81220000000002</v>
      </c>
      <c r="J746">
        <v>-250.6961</v>
      </c>
      <c r="K746">
        <v>1.1058829999999999</v>
      </c>
      <c r="L746">
        <v>367.94380000000001</v>
      </c>
      <c r="M746">
        <v>0.99963619999999898</v>
      </c>
      <c r="N746">
        <v>0</v>
      </c>
      <c r="O746">
        <v>1.321512E-2</v>
      </c>
      <c r="P746">
        <v>0.99924550000000001</v>
      </c>
      <c r="Q746">
        <v>1.058309E-2</v>
      </c>
      <c r="R746">
        <v>-3.7368060000000002E-2</v>
      </c>
      <c r="S746">
        <v>3.003098</v>
      </c>
      <c r="T746">
        <v>-0.14023150000000001</v>
      </c>
      <c r="U746">
        <v>-1.6235349999999999E-2</v>
      </c>
      <c r="V746">
        <v>5.0527130000000003E-2</v>
      </c>
      <c r="W746">
        <v>3.4130920000000002E-2</v>
      </c>
      <c r="X746">
        <v>0.99813929999999995</v>
      </c>
      <c r="Y746">
        <v>1.858957E-2</v>
      </c>
      <c r="Z746">
        <v>-1.050697E-3</v>
      </c>
      <c r="AA746">
        <v>0.99982669999999996</v>
      </c>
      <c r="AB746">
        <v>51</v>
      </c>
      <c r="AC746">
        <v>23.4255</v>
      </c>
      <c r="AD746">
        <v>-1.105884473258</v>
      </c>
      <c r="AE746">
        <v>-0.131599999999991</v>
      </c>
      <c r="AF746">
        <v>0.440263738047801</v>
      </c>
      <c r="AG746">
        <v>-1.105884473258</v>
      </c>
      <c r="AH746">
        <v>23.369632603286501</v>
      </c>
      <c r="AI746">
        <v>92.708817259001904</v>
      </c>
      <c r="AJ746">
        <v>88.920724563011007</v>
      </c>
      <c r="AK746">
        <v>23.399926081930801</v>
      </c>
    </row>
    <row r="747" spans="1:37" x14ac:dyDescent="0.2">
      <c r="A747" t="str">
        <f>"20200111153417037"</f>
        <v>20200111153417037</v>
      </c>
      <c r="B747" t="str">
        <f>"1578728057027085"</f>
        <v>1578728057027085</v>
      </c>
      <c r="C747" t="s">
        <v>37</v>
      </c>
      <c r="D747">
        <v>4.6749830000000001</v>
      </c>
      <c r="E747">
        <v>0.48659219999999997</v>
      </c>
      <c r="F747" t="s">
        <v>39</v>
      </c>
      <c r="G747">
        <v>-227.2921</v>
      </c>
      <c r="H747" s="1">
        <v>-1.4625819999999999E-6</v>
      </c>
      <c r="I747">
        <v>367.82040000000001</v>
      </c>
      <c r="J747">
        <v>-250.42400000000001</v>
      </c>
      <c r="K747">
        <v>1.10595</v>
      </c>
      <c r="L747">
        <v>367.9477</v>
      </c>
      <c r="M747">
        <v>0.99962819999999997</v>
      </c>
      <c r="N747">
        <v>0</v>
      </c>
      <c r="O747">
        <v>1.3568119999999999E-2</v>
      </c>
      <c r="P747">
        <v>0.99920830000000005</v>
      </c>
      <c r="Q747">
        <v>1.040777E-2</v>
      </c>
      <c r="R747">
        <v>-3.8402459999999999E-2</v>
      </c>
      <c r="S747">
        <v>3.0031889999999999</v>
      </c>
      <c r="T747">
        <v>-0.1419059</v>
      </c>
      <c r="U747">
        <v>-1.5838620000000001E-2</v>
      </c>
      <c r="V747">
        <v>5.1908759999999998E-2</v>
      </c>
      <c r="W747">
        <v>3.4108050000000001E-2</v>
      </c>
      <c r="X747">
        <v>0.99806919999999899</v>
      </c>
      <c r="Y747">
        <v>1.8808979999999999E-2</v>
      </c>
      <c r="Z747">
        <v>-1.0850530000000001E-3</v>
      </c>
      <c r="AA747">
        <v>0.99982249999999995</v>
      </c>
      <c r="AB747">
        <v>51</v>
      </c>
      <c r="AC747">
        <v>23.131900000000002</v>
      </c>
      <c r="AD747">
        <v>-1.1059514625819999</v>
      </c>
      <c r="AE747">
        <v>-0.127299999999991</v>
      </c>
      <c r="AF747">
        <v>0.440226222997887</v>
      </c>
      <c r="AG747">
        <v>-1.1059514625819999</v>
      </c>
      <c r="AH747">
        <v>23.075296497641801</v>
      </c>
      <c r="AI747">
        <v>92.743470560719302</v>
      </c>
      <c r="AJ747">
        <v>88.907054338948896</v>
      </c>
      <c r="AK747">
        <v>23.105978365329602</v>
      </c>
    </row>
    <row r="748" spans="1:37" x14ac:dyDescent="0.2">
      <c r="A748" t="str">
        <f>"20200111153417050"</f>
        <v>20200111153417050</v>
      </c>
      <c r="B748" t="str">
        <f>"1578728057047582"</f>
        <v>1578728057047582</v>
      </c>
      <c r="C748" t="s">
        <v>37</v>
      </c>
      <c r="D748">
        <v>4.671443</v>
      </c>
      <c r="E748">
        <v>0.485377</v>
      </c>
      <c r="F748" t="s">
        <v>39</v>
      </c>
      <c r="G748">
        <v>-227.23769999999999</v>
      </c>
      <c r="H748" s="1">
        <v>-1.4818759999999999E-6</v>
      </c>
      <c r="I748">
        <v>367.84320000000002</v>
      </c>
      <c r="J748">
        <v>-250.15960000000001</v>
      </c>
      <c r="K748">
        <v>1.10602</v>
      </c>
      <c r="L748">
        <v>367.95159999999998</v>
      </c>
      <c r="M748">
        <v>0.9996197</v>
      </c>
      <c r="N748">
        <v>0</v>
      </c>
      <c r="O748">
        <v>1.395569E-2</v>
      </c>
      <c r="P748">
        <v>0.99917679999999998</v>
      </c>
      <c r="Q748">
        <v>9.8590080000000007E-3</v>
      </c>
      <c r="R748">
        <v>-3.935636E-2</v>
      </c>
      <c r="S748">
        <v>3.003342</v>
      </c>
      <c r="T748">
        <v>-0.14325389999999999</v>
      </c>
      <c r="U748">
        <v>-1.351929E-2</v>
      </c>
      <c r="V748">
        <v>5.3245269999999997E-2</v>
      </c>
      <c r="W748">
        <v>3.3698680000000002E-2</v>
      </c>
      <c r="X748">
        <v>0.99801269999999997</v>
      </c>
      <c r="Y748">
        <v>1.842361E-2</v>
      </c>
      <c r="Z748">
        <v>-1.104591E-3</v>
      </c>
      <c r="AA748">
        <v>0.99982959999999999</v>
      </c>
      <c r="AB748">
        <v>51</v>
      </c>
      <c r="AC748">
        <v>22.921900000000001</v>
      </c>
      <c r="AD748">
        <v>-1.1060214818759999</v>
      </c>
      <c r="AE748">
        <v>-0.10839999999996</v>
      </c>
      <c r="AF748">
        <v>0.42737587954147199</v>
      </c>
      <c r="AG748">
        <v>-1.1060214818759999</v>
      </c>
      <c r="AH748">
        <v>22.864919650206598</v>
      </c>
      <c r="AI748">
        <v>92.768868927692395</v>
      </c>
      <c r="AJ748">
        <v>88.929190064385494</v>
      </c>
      <c r="AK748">
        <v>22.895643346959901</v>
      </c>
    </row>
    <row r="749" spans="1:37" x14ac:dyDescent="0.2">
      <c r="A749" t="str">
        <f>"20200111153417063"</f>
        <v>20200111153417063</v>
      </c>
      <c r="B749" t="str">
        <f>"1578728057057341"</f>
        <v>1578728057057341</v>
      </c>
      <c r="C749" t="s">
        <v>37</v>
      </c>
      <c r="D749">
        <v>4.6713079999999998</v>
      </c>
      <c r="E749">
        <v>0.48471520000000001</v>
      </c>
      <c r="F749" t="s">
        <v>39</v>
      </c>
      <c r="G749">
        <v>-227.24879999999999</v>
      </c>
      <c r="H749" s="1">
        <v>-1.466374E-6</v>
      </c>
      <c r="I749">
        <v>367.90379999999999</v>
      </c>
      <c r="J749">
        <v>-249.87209999999999</v>
      </c>
      <c r="K749">
        <v>1.1060969999999899</v>
      </c>
      <c r="L749">
        <v>367.95589999999999</v>
      </c>
      <c r="M749">
        <v>0.99960990000000005</v>
      </c>
      <c r="N749">
        <v>0</v>
      </c>
      <c r="O749">
        <v>1.439343E-2</v>
      </c>
      <c r="P749">
        <v>0.9991546</v>
      </c>
      <c r="Q749">
        <v>9.5470989999999999E-3</v>
      </c>
      <c r="R749">
        <v>-3.9987929999999998E-2</v>
      </c>
      <c r="S749">
        <v>3.003647</v>
      </c>
      <c r="T749">
        <v>-0.14500079999999901</v>
      </c>
      <c r="U749">
        <v>-6.2561040000000002E-3</v>
      </c>
      <c r="V749">
        <v>5.43089E-2</v>
      </c>
      <c r="W749">
        <v>3.353569E-2</v>
      </c>
      <c r="X749">
        <v>0.99796090000000004</v>
      </c>
      <c r="Y749">
        <v>1.6444219999999999E-2</v>
      </c>
      <c r="Z749">
        <v>-1.0913100000000001E-3</v>
      </c>
      <c r="AA749">
        <v>0.99986419999999998</v>
      </c>
      <c r="AB749">
        <v>51</v>
      </c>
      <c r="AC749">
        <v>22.6233</v>
      </c>
      <c r="AD749">
        <v>-1.1060984663740001</v>
      </c>
      <c r="AE749">
        <v>-5.2099999999995802E-2</v>
      </c>
      <c r="AF749">
        <v>0.37691381634542898</v>
      </c>
      <c r="AG749">
        <v>-1.1060984663740001</v>
      </c>
      <c r="AH749">
        <v>22.566262239200999</v>
      </c>
      <c r="AI749">
        <v>92.805749399559602</v>
      </c>
      <c r="AJ749">
        <v>89.0431041340467</v>
      </c>
      <c r="AK749">
        <v>22.596497721785401</v>
      </c>
    </row>
    <row r="750" spans="1:37" x14ac:dyDescent="0.2">
      <c r="A750" t="str">
        <f>"20200111153417075"</f>
        <v>20200111153417075</v>
      </c>
      <c r="B750" t="str">
        <f>"1578728057067101"</f>
        <v>1578728057067101</v>
      </c>
      <c r="C750" t="s">
        <v>37</v>
      </c>
      <c r="D750">
        <v>4.686013</v>
      </c>
      <c r="E750">
        <v>0.48423939999999999</v>
      </c>
      <c r="F750" t="s">
        <v>39</v>
      </c>
      <c r="G750">
        <v>-227.31979999999999</v>
      </c>
      <c r="H750" s="1">
        <v>-1.430505E-6</v>
      </c>
      <c r="I750">
        <v>367.93439999999998</v>
      </c>
      <c r="J750">
        <v>-249.56819999999999</v>
      </c>
      <c r="K750">
        <v>1.106176</v>
      </c>
      <c r="L750">
        <v>367.96069999999997</v>
      </c>
      <c r="M750">
        <v>0.99959940000000003</v>
      </c>
      <c r="N750">
        <v>0</v>
      </c>
      <c r="O750">
        <v>1.489037E-2</v>
      </c>
      <c r="P750">
        <v>0.99909749999999997</v>
      </c>
      <c r="Q750">
        <v>8.9707699999999994E-3</v>
      </c>
      <c r="R750">
        <v>-4.1517949999999998E-2</v>
      </c>
      <c r="S750">
        <v>3.0038149999999999</v>
      </c>
      <c r="T750">
        <v>-0.14732409999999899</v>
      </c>
      <c r="U750">
        <v>-2.8686520000000002E-3</v>
      </c>
      <c r="V750">
        <v>5.6329839999999999E-2</v>
      </c>
      <c r="W750">
        <v>3.3112500000000003E-2</v>
      </c>
      <c r="X750">
        <v>0.99786299999999895</v>
      </c>
      <c r="Y750">
        <v>1.5812670000000001E-2</v>
      </c>
      <c r="Z750">
        <v>-1.1175999999999901E-3</v>
      </c>
      <c r="AA750">
        <v>0.99987440000000005</v>
      </c>
      <c r="AB750">
        <v>51</v>
      </c>
      <c r="AC750">
        <v>22.2484</v>
      </c>
      <c r="AD750">
        <v>-1.1061774305050001</v>
      </c>
      <c r="AE750">
        <v>-2.6299999999992E-2</v>
      </c>
      <c r="AF750">
        <v>0.356797981488645</v>
      </c>
      <c r="AG750">
        <v>-1.1061774305050001</v>
      </c>
      <c r="AH750">
        <v>22.190684466862699</v>
      </c>
      <c r="AI750">
        <v>92.853391417819594</v>
      </c>
      <c r="AJ750">
        <v>89.078836116960602</v>
      </c>
      <c r="AK750">
        <v>22.2211028172594</v>
      </c>
    </row>
    <row r="751" spans="1:37" x14ac:dyDescent="0.2">
      <c r="A751" t="str">
        <f>"20200111153417089"</f>
        <v>20200111153417089</v>
      </c>
      <c r="B751" t="str">
        <f>"1578728057076861"</f>
        <v>1578728057076861</v>
      </c>
      <c r="C751" t="s">
        <v>37</v>
      </c>
      <c r="D751">
        <v>4.6674749999999996</v>
      </c>
      <c r="E751">
        <v>0.48368529999999998</v>
      </c>
      <c r="F751" t="s">
        <v>39</v>
      </c>
      <c r="G751">
        <v>-227.328</v>
      </c>
      <c r="H751" s="1">
        <v>-1.4263129999999999E-6</v>
      </c>
      <c r="I751">
        <v>367.93799999999999</v>
      </c>
      <c r="J751">
        <v>-249.27709999999999</v>
      </c>
      <c r="K751">
        <v>1.106252</v>
      </c>
      <c r="L751">
        <v>367.96550000000002</v>
      </c>
      <c r="M751">
        <v>0.99958849999999999</v>
      </c>
      <c r="N751">
        <v>0</v>
      </c>
      <c r="O751">
        <v>1.539949E-2</v>
      </c>
      <c r="P751">
        <v>0.99908169999999996</v>
      </c>
      <c r="Q751">
        <v>8.498696E-3</v>
      </c>
      <c r="R751">
        <v>-4.1996239999999997E-2</v>
      </c>
      <c r="S751">
        <v>3.003952</v>
      </c>
      <c r="T751">
        <v>-0.14940929999999999</v>
      </c>
      <c r="U751">
        <v>-3.0517579999999999E-3</v>
      </c>
      <c r="V751">
        <v>5.7311889999999997E-2</v>
      </c>
      <c r="W751">
        <v>3.2779370000000002E-2</v>
      </c>
      <c r="X751">
        <v>0.99781810000000004</v>
      </c>
      <c r="Y751">
        <v>1.6380499999999999E-2</v>
      </c>
      <c r="Z751">
        <v>-1.1727739999999999E-3</v>
      </c>
      <c r="AA751">
        <v>0.99986509999999995</v>
      </c>
      <c r="AB751">
        <v>51</v>
      </c>
      <c r="AC751">
        <v>21.949099999999898</v>
      </c>
      <c r="AD751">
        <v>-1.1062534263129999</v>
      </c>
      <c r="AE751">
        <v>-2.7499999999974899E-2</v>
      </c>
      <c r="AF751">
        <v>0.36467434786719299</v>
      </c>
      <c r="AG751">
        <v>-1.1062534263129999</v>
      </c>
      <c r="AH751">
        <v>21.890465073307301</v>
      </c>
      <c r="AI751">
        <v>92.892629543224302</v>
      </c>
      <c r="AJ751">
        <v>89.045595039131499</v>
      </c>
      <c r="AK751">
        <v>21.921433464737401</v>
      </c>
    </row>
    <row r="752" spans="1:37" x14ac:dyDescent="0.2">
      <c r="A752" t="str">
        <f>"20200111153417101"</f>
        <v>20200111153417101</v>
      </c>
      <c r="B752" t="str">
        <f>"1578728057097357"</f>
        <v>1578728057097357</v>
      </c>
      <c r="C752" t="s">
        <v>37</v>
      </c>
      <c r="D752">
        <v>4.7073099999999997</v>
      </c>
      <c r="E752">
        <v>0.482896099999999</v>
      </c>
      <c r="F752" t="s">
        <v>39</v>
      </c>
      <c r="G752">
        <v>-227.29230000000001</v>
      </c>
      <c r="H752" s="1">
        <v>-1.436831E-6</v>
      </c>
      <c r="I752">
        <v>367.96519999999998</v>
      </c>
      <c r="J752">
        <v>-249.02029999999999</v>
      </c>
      <c r="K752">
        <v>1.10632</v>
      </c>
      <c r="L752">
        <v>367.96969999999999</v>
      </c>
      <c r="M752">
        <v>0.99957870000000004</v>
      </c>
      <c r="N752">
        <v>0</v>
      </c>
      <c r="O752">
        <v>1.586019E-2</v>
      </c>
      <c r="P752">
        <v>0.99905789999999906</v>
      </c>
      <c r="Q752">
        <v>8.0352429999999992E-3</v>
      </c>
      <c r="R752">
        <v>-4.2647289999999997E-2</v>
      </c>
      <c r="S752">
        <v>3.0040279999999999</v>
      </c>
      <c r="T752">
        <v>-0.1511593</v>
      </c>
      <c r="U752" s="1">
        <v>-3.0517579999999999E-5</v>
      </c>
      <c r="V752">
        <v>5.8419310000000002E-2</v>
      </c>
      <c r="W752">
        <v>3.2435279999999997E-2</v>
      </c>
      <c r="X752">
        <v>0.99776509999999996</v>
      </c>
      <c r="Y752">
        <v>1.5834930000000001E-2</v>
      </c>
      <c r="Z752">
        <v>-1.1959189999999999E-3</v>
      </c>
      <c r="AA752">
        <v>0.99987389999999998</v>
      </c>
      <c r="AB752">
        <v>51</v>
      </c>
      <c r="AC752">
        <v>21.727999999999899</v>
      </c>
      <c r="AD752">
        <v>-1.1063214368309999</v>
      </c>
      <c r="AE752">
        <v>-4.5000000000072699E-3</v>
      </c>
      <c r="AF752">
        <v>0.348308499351621</v>
      </c>
      <c r="AG752">
        <v>-1.1063214368309999</v>
      </c>
      <c r="AH752">
        <v>21.6690165383968</v>
      </c>
      <c r="AI752">
        <v>92.922347325182798</v>
      </c>
      <c r="AJ752">
        <v>89.079105022943395</v>
      </c>
      <c r="AK752">
        <v>21.7000355684875</v>
      </c>
    </row>
    <row r="753" spans="1:37" x14ac:dyDescent="0.2">
      <c r="A753" t="str">
        <f>"20200111153417112"</f>
        <v>20200111153417112</v>
      </c>
      <c r="B753" t="str">
        <f>"1578728057107117"</f>
        <v>1578728057107117</v>
      </c>
      <c r="C753" t="s">
        <v>37</v>
      </c>
      <c r="D753">
        <v>4.6787650000000003</v>
      </c>
      <c r="E753">
        <v>0.48250329999999902</v>
      </c>
      <c r="F753" t="s">
        <v>39</v>
      </c>
      <c r="G753">
        <v>-227.22460000000001</v>
      </c>
      <c r="H753" s="1">
        <v>-1.4594669999999999E-6</v>
      </c>
      <c r="I753">
        <v>368.00130000000001</v>
      </c>
      <c r="J753">
        <v>-248.74879999999999</v>
      </c>
      <c r="K753">
        <v>1.1063829999999999</v>
      </c>
      <c r="L753">
        <v>367.9744</v>
      </c>
      <c r="M753">
        <v>0.99956769999999995</v>
      </c>
      <c r="N753">
        <v>0</v>
      </c>
      <c r="O753">
        <v>1.6373140000000001E-2</v>
      </c>
      <c r="P753">
        <v>0.99903050000000004</v>
      </c>
      <c r="Q753">
        <v>7.9244759999999997E-3</v>
      </c>
      <c r="R753">
        <v>-4.3303290000000001E-2</v>
      </c>
      <c r="S753">
        <v>3.0042419999999899</v>
      </c>
      <c r="T753">
        <v>-0.15249089999999901</v>
      </c>
      <c r="U753">
        <v>4.3640140000000003E-3</v>
      </c>
      <c r="V753">
        <v>5.9582900000000001E-2</v>
      </c>
      <c r="W753">
        <v>3.2442430000000001E-2</v>
      </c>
      <c r="X753">
        <v>0.99769599999999903</v>
      </c>
      <c r="Y753">
        <v>1.488534E-2</v>
      </c>
      <c r="Z753">
        <v>-1.2082939999999999E-3</v>
      </c>
      <c r="AA753">
        <v>0.99988849999999996</v>
      </c>
      <c r="AB753">
        <v>50</v>
      </c>
      <c r="AC753">
        <v>21.524199999999901</v>
      </c>
      <c r="AD753">
        <v>-1.10638445946699</v>
      </c>
      <c r="AE753">
        <v>2.6900000000011901E-2</v>
      </c>
      <c r="AF753">
        <v>0.32476938527800497</v>
      </c>
      <c r="AG753">
        <v>-1.10638445946699</v>
      </c>
      <c r="AH753">
        <v>21.4650397051414</v>
      </c>
      <c r="AI753">
        <v>92.950279943234904</v>
      </c>
      <c r="AJ753">
        <v>89.133172096386701</v>
      </c>
      <c r="AK753">
        <v>21.495987794680701</v>
      </c>
    </row>
    <row r="754" spans="1:37" x14ac:dyDescent="0.2">
      <c r="A754" t="str">
        <f>"20200111153417125"</f>
        <v>20200111153417125</v>
      </c>
      <c r="B754" t="str">
        <f>"1578728057116878"</f>
        <v>1578728057116878</v>
      </c>
      <c r="C754" t="s">
        <v>37</v>
      </c>
      <c r="D754">
        <v>4.660717</v>
      </c>
      <c r="E754">
        <v>0.48212460000000001</v>
      </c>
      <c r="F754" t="s">
        <v>39</v>
      </c>
      <c r="G754">
        <v>-227.01759999999999</v>
      </c>
      <c r="H754" s="1">
        <v>-1.5456129999999901E-6</v>
      </c>
      <c r="I754">
        <v>368.01609999999999</v>
      </c>
      <c r="J754">
        <v>-248.45689999999999</v>
      </c>
      <c r="K754">
        <v>1.1064449999999999</v>
      </c>
      <c r="L754">
        <v>367.97969999999998</v>
      </c>
      <c r="M754">
        <v>0.99955530000000004</v>
      </c>
      <c r="N754">
        <v>0</v>
      </c>
      <c r="O754">
        <v>1.6938890000000002E-2</v>
      </c>
      <c r="P754">
        <v>0.99901099999999998</v>
      </c>
      <c r="Q754">
        <v>7.49936599999999E-3</v>
      </c>
      <c r="R754">
        <v>-4.382378E-2</v>
      </c>
      <c r="S754">
        <v>3.0043639999999998</v>
      </c>
      <c r="T754">
        <v>-0.15295889999999901</v>
      </c>
      <c r="U754">
        <v>5.7678219999999997E-3</v>
      </c>
      <c r="V754">
        <v>6.0664460000000003E-2</v>
      </c>
      <c r="W754">
        <v>3.2139790000000001E-2</v>
      </c>
      <c r="X754">
        <v>0.99764069999999905</v>
      </c>
      <c r="Y754">
        <v>1.4983069999999999E-2</v>
      </c>
      <c r="Z754">
        <v>-1.2432260000000001E-3</v>
      </c>
      <c r="AA754">
        <v>0.99988699999999997</v>
      </c>
      <c r="AB754">
        <v>50</v>
      </c>
      <c r="AC754">
        <v>21.439299999999999</v>
      </c>
      <c r="AD754">
        <v>-1.1064465456129999</v>
      </c>
      <c r="AE754">
        <v>3.6400000000014601E-2</v>
      </c>
      <c r="AF754">
        <v>0.32600429618820498</v>
      </c>
      <c r="AG754">
        <v>-1.1064465456129999</v>
      </c>
      <c r="AH754">
        <v>21.379895461624301</v>
      </c>
      <c r="AI754">
        <v>92.9621690092048</v>
      </c>
      <c r="AJ754">
        <v>89.126411872713206</v>
      </c>
      <c r="AK754">
        <v>21.410988597199701</v>
      </c>
    </row>
    <row r="755" spans="1:37" x14ac:dyDescent="0.2">
      <c r="A755" t="str">
        <f>"20200111153417138"</f>
        <v>20200111153417138</v>
      </c>
      <c r="B755" t="str">
        <f>"1578728057127613"</f>
        <v>1578728057127613</v>
      </c>
      <c r="C755" t="s">
        <v>37</v>
      </c>
      <c r="D755">
        <v>4.8646630000000002</v>
      </c>
      <c r="E755">
        <v>0.48177209999999998</v>
      </c>
      <c r="F755" t="s">
        <v>39</v>
      </c>
      <c r="G755">
        <v>-226.9838</v>
      </c>
      <c r="H755" s="1">
        <v>-1.5572239999999999E-6</v>
      </c>
      <c r="I755">
        <v>368.0324</v>
      </c>
      <c r="J755">
        <v>-248.16929999999999</v>
      </c>
      <c r="K755">
        <v>1.106508</v>
      </c>
      <c r="L755">
        <v>367.98500000000001</v>
      </c>
      <c r="M755">
        <v>0.99954310000000002</v>
      </c>
      <c r="N755">
        <v>0</v>
      </c>
      <c r="O755">
        <v>1.750844E-2</v>
      </c>
      <c r="P755">
        <v>0.99897769999999997</v>
      </c>
      <c r="Q755">
        <v>7.2941780000000001E-3</v>
      </c>
      <c r="R755">
        <v>-4.4618289999999998E-2</v>
      </c>
      <c r="S755">
        <v>3.0044400000000002</v>
      </c>
      <c r="T755">
        <v>-0.15480959999999999</v>
      </c>
      <c r="U755">
        <v>7.385254E-3</v>
      </c>
      <c r="V755">
        <v>6.2023580000000002E-2</v>
      </c>
      <c r="W755">
        <v>3.2052579999999997E-2</v>
      </c>
      <c r="X755">
        <v>0.99755990000000005</v>
      </c>
      <c r="Y755">
        <v>1.501282E-2</v>
      </c>
      <c r="Z755">
        <v>-1.288317E-3</v>
      </c>
      <c r="AA755">
        <v>0.99988650000000001</v>
      </c>
      <c r="AB755">
        <v>50</v>
      </c>
      <c r="AC755">
        <v>21.185499999999902</v>
      </c>
      <c r="AD755">
        <v>-1.106509557224</v>
      </c>
      <c r="AE755">
        <v>4.7399999999981901E-2</v>
      </c>
      <c r="AF755">
        <v>0.32276448737271002</v>
      </c>
      <c r="AG755">
        <v>-1.106509557224</v>
      </c>
      <c r="AH755">
        <v>21.1254523466371</v>
      </c>
      <c r="AI755">
        <v>92.997950855569698</v>
      </c>
      <c r="AJ755">
        <v>89.124676534809893</v>
      </c>
      <c r="AK755">
        <v>21.156873047890901</v>
      </c>
    </row>
    <row r="756" spans="1:37" x14ac:dyDescent="0.2">
      <c r="A756" t="str">
        <f>"20200111153417150"</f>
        <v>20200111153417150</v>
      </c>
      <c r="B756" t="str">
        <f>"1578728057137374"</f>
        <v>1578728057137374</v>
      </c>
      <c r="C756" t="s">
        <v>37</v>
      </c>
      <c r="D756">
        <v>4.7028829999999999</v>
      </c>
      <c r="E756">
        <v>0.48142879999999899</v>
      </c>
      <c r="F756" t="s">
        <v>39</v>
      </c>
      <c r="G756">
        <v>-226.7808</v>
      </c>
      <c r="H756" s="1">
        <v>-1.6426589999999899E-6</v>
      </c>
      <c r="I756">
        <v>368.0419</v>
      </c>
      <c r="J756">
        <v>-247.9256</v>
      </c>
      <c r="K756">
        <v>1.1065559999999901</v>
      </c>
      <c r="L756">
        <v>367.98970000000003</v>
      </c>
      <c r="M756">
        <v>0.99953199999999998</v>
      </c>
      <c r="N756">
        <v>0</v>
      </c>
      <c r="O756">
        <v>1.800796E-2</v>
      </c>
      <c r="P756">
        <v>0.99893519999999902</v>
      </c>
      <c r="Q756">
        <v>7.1029329999999996E-3</v>
      </c>
      <c r="R756">
        <v>-4.5592769999999998E-2</v>
      </c>
      <c r="S756">
        <v>3.004578</v>
      </c>
      <c r="T756">
        <v>-0.1554374</v>
      </c>
      <c r="U756">
        <v>7.9956049999999994E-3</v>
      </c>
      <c r="V756">
        <v>6.3493530000000006E-2</v>
      </c>
      <c r="W756">
        <v>3.195535E-2</v>
      </c>
      <c r="X756">
        <v>0.99747050000000004</v>
      </c>
      <c r="Y756">
        <v>1.530815E-2</v>
      </c>
      <c r="Z756">
        <v>-1.3269389999999901E-3</v>
      </c>
      <c r="AA756">
        <v>0.99988189999999999</v>
      </c>
      <c r="AB756">
        <v>50</v>
      </c>
      <c r="AC756">
        <v>21.1448</v>
      </c>
      <c r="AD756">
        <v>-1.10655764265899</v>
      </c>
      <c r="AE756">
        <v>5.21999999999707E-2</v>
      </c>
      <c r="AF756">
        <v>0.32780191824577098</v>
      </c>
      <c r="AG756">
        <v>-1.10655764265899</v>
      </c>
      <c r="AH756">
        <v>21.084565960968199</v>
      </c>
      <c r="AI756">
        <v>93.003871618975495</v>
      </c>
      <c r="AJ756">
        <v>89.109293809961798</v>
      </c>
      <c r="AK756">
        <v>21.116127620294201</v>
      </c>
    </row>
    <row r="757" spans="1:37" x14ac:dyDescent="0.2">
      <c r="A757" t="str">
        <f>"20200111153417161"</f>
        <v>20200111153417161</v>
      </c>
      <c r="B757" t="str">
        <f>"1578728057156894"</f>
        <v>1578728057156894</v>
      </c>
      <c r="C757" t="s">
        <v>37</v>
      </c>
      <c r="D757">
        <v>4.7452719999999999</v>
      </c>
      <c r="E757">
        <v>0.48072379999999998</v>
      </c>
      <c r="F757" t="s">
        <v>39</v>
      </c>
      <c r="G757">
        <v>-226.62889999999999</v>
      </c>
      <c r="H757" s="1">
        <v>-1.707357E-6</v>
      </c>
      <c r="I757">
        <v>368.04430000000002</v>
      </c>
      <c r="J757">
        <v>-247.65960000000001</v>
      </c>
      <c r="K757">
        <v>1.106609</v>
      </c>
      <c r="L757">
        <v>367.99489999999997</v>
      </c>
      <c r="M757">
        <v>0.99951950000000001</v>
      </c>
      <c r="N757">
        <v>0</v>
      </c>
      <c r="O757">
        <v>1.8556489999999998E-2</v>
      </c>
      <c r="P757">
        <v>0.99888359999999998</v>
      </c>
      <c r="Q757">
        <v>7.4286830000000002E-3</v>
      </c>
      <c r="R757">
        <v>-4.6656199999999898E-2</v>
      </c>
      <c r="S757">
        <v>3.0046840000000001</v>
      </c>
      <c r="T757">
        <v>-0.156120799999999</v>
      </c>
      <c r="U757">
        <v>7.7209469999999997E-3</v>
      </c>
      <c r="V757">
        <v>6.5099519999999994E-2</v>
      </c>
      <c r="W757">
        <v>3.2381420000000001E-2</v>
      </c>
      <c r="X757">
        <v>0.9973533</v>
      </c>
      <c r="Y757">
        <v>1.5946419999999999E-2</v>
      </c>
      <c r="Z757">
        <v>-1.3777779999999901E-3</v>
      </c>
      <c r="AA757">
        <v>0.99987190000000004</v>
      </c>
      <c r="AB757">
        <v>50</v>
      </c>
      <c r="AC757">
        <v>21.0307</v>
      </c>
      <c r="AD757">
        <v>-1.106610707357</v>
      </c>
      <c r="AE757">
        <v>4.9400000000048197E-2</v>
      </c>
      <c r="AF757">
        <v>0.340043336445568</v>
      </c>
      <c r="AG757">
        <v>-1.106610707357</v>
      </c>
      <c r="AH757">
        <v>20.9699335497547</v>
      </c>
      <c r="AI757">
        <v>93.0203745588244</v>
      </c>
      <c r="AJ757">
        <v>89.070987012956493</v>
      </c>
      <c r="AK757">
        <v>21.0018649126554</v>
      </c>
    </row>
    <row r="758" spans="1:37" x14ac:dyDescent="0.2">
      <c r="A758" t="str">
        <f>"20200111153417173"</f>
        <v>20200111153417173</v>
      </c>
      <c r="B758" t="str">
        <f>"1578728057166653"</f>
        <v>1578728057166653</v>
      </c>
      <c r="C758" t="s">
        <v>37</v>
      </c>
      <c r="D758">
        <v>4.7319760000000004</v>
      </c>
      <c r="E758">
        <v>0.48072379999999998</v>
      </c>
      <c r="F758" t="s">
        <v>39</v>
      </c>
      <c r="G758">
        <v>-226.273</v>
      </c>
      <c r="H758" s="1">
        <v>-1.8553850000000001E-6</v>
      </c>
      <c r="I758">
        <v>368.07060000000001</v>
      </c>
      <c r="J758">
        <v>-247.3809</v>
      </c>
      <c r="K758">
        <v>1.10666</v>
      </c>
      <c r="L758">
        <v>368.00049999999999</v>
      </c>
      <c r="M758">
        <v>0.99950609999999995</v>
      </c>
      <c r="N758">
        <v>0</v>
      </c>
      <c r="O758">
        <v>1.914161E-2</v>
      </c>
      <c r="P758">
        <v>0.99882130000000002</v>
      </c>
      <c r="Q758">
        <v>7.562236E-3</v>
      </c>
      <c r="R758">
        <v>-4.7947410000000003E-2</v>
      </c>
      <c r="S758">
        <v>3.00502</v>
      </c>
      <c r="T758">
        <v>-0.15548899999999999</v>
      </c>
      <c r="U758">
        <v>1.0650629999999999E-2</v>
      </c>
      <c r="V758">
        <v>6.6970349999999998E-2</v>
      </c>
      <c r="W758">
        <v>3.2617340000000002E-2</v>
      </c>
      <c r="X758">
        <v>0.99722169999999899</v>
      </c>
      <c r="Y758">
        <v>1.5557410000000001E-2</v>
      </c>
      <c r="Z758">
        <v>-1.392258E-3</v>
      </c>
      <c r="AA758">
        <v>0.99987800000000004</v>
      </c>
      <c r="AB758">
        <v>50</v>
      </c>
      <c r="AC758">
        <v>21.107900000000001</v>
      </c>
      <c r="AD758">
        <v>-1.1066618553850001</v>
      </c>
      <c r="AE758">
        <v>7.0100000000024906E-2</v>
      </c>
      <c r="AF758">
        <v>0.33316180709732102</v>
      </c>
      <c r="AG758">
        <v>-1.1066618553850001</v>
      </c>
      <c r="AH758">
        <v>21.047518167247599</v>
      </c>
      <c r="AI758">
        <v>93.009418903889497</v>
      </c>
      <c r="AJ758">
        <v>89.093139093772805</v>
      </c>
      <c r="AK758">
        <v>21.079224801982001</v>
      </c>
    </row>
    <row r="759" spans="1:37" x14ac:dyDescent="0.2">
      <c r="A759" t="str">
        <f>"20200111153417188"</f>
        <v>20200111153417188</v>
      </c>
      <c r="B759" t="str">
        <f>"1578728057176767"</f>
        <v>1578728057176767</v>
      </c>
      <c r="C759" t="s">
        <v>37</v>
      </c>
      <c r="D759">
        <v>4.5873099999999898</v>
      </c>
      <c r="E759">
        <v>0.45336029999999999</v>
      </c>
      <c r="F759" t="s">
        <v>39</v>
      </c>
      <c r="G759">
        <v>-225.9119</v>
      </c>
      <c r="H759" s="1">
        <v>-2.014088E-6</v>
      </c>
      <c r="I759">
        <v>368.04930000000002</v>
      </c>
      <c r="J759">
        <v>-247.0847</v>
      </c>
      <c r="K759">
        <v>1.1067100000000001</v>
      </c>
      <c r="L759">
        <v>368.00670000000002</v>
      </c>
      <c r="M759">
        <v>0.99949159999999904</v>
      </c>
      <c r="N759">
        <v>0</v>
      </c>
      <c r="O759">
        <v>1.97705E-2</v>
      </c>
      <c r="P759">
        <v>0.99864920000000001</v>
      </c>
      <c r="Q759">
        <v>8.3346619999999996E-3</v>
      </c>
      <c r="R759">
        <v>-5.1288729999999998E-2</v>
      </c>
      <c r="S759">
        <v>3.0050349999999999</v>
      </c>
      <c r="T759">
        <v>-0.154899799999999</v>
      </c>
      <c r="U759">
        <v>6.8359379999999997E-3</v>
      </c>
      <c r="V759">
        <v>7.0930640000000003E-2</v>
      </c>
      <c r="W759">
        <v>3.3497100000000002E-2</v>
      </c>
      <c r="X759">
        <v>0.99691859999999999</v>
      </c>
      <c r="Y759">
        <v>1.7452829999999999E-2</v>
      </c>
      <c r="Z759">
        <v>-1.46821E-3</v>
      </c>
      <c r="AA759">
        <v>0.99984660000000003</v>
      </c>
      <c r="AB759">
        <v>50</v>
      </c>
      <c r="AC759">
        <v>21.172799999999899</v>
      </c>
      <c r="AD759">
        <v>-1.106712014088</v>
      </c>
      <c r="AE759">
        <v>4.2599999999992998E-2</v>
      </c>
      <c r="AF759">
        <v>0.37511131161864603</v>
      </c>
      <c r="AG759">
        <v>-1.106712014088</v>
      </c>
      <c r="AH759">
        <v>21.1118200528771</v>
      </c>
      <c r="AI759">
        <v>93.000307883283</v>
      </c>
      <c r="AJ759">
        <v>88.982085215712104</v>
      </c>
      <c r="AK759">
        <v>21.144135497184401</v>
      </c>
    </row>
    <row r="760" spans="1:37" x14ac:dyDescent="0.2">
      <c r="A760" t="str">
        <f>"20200111153417203"</f>
        <v>20200111153417203</v>
      </c>
      <c r="B760" t="str">
        <f>"1578728057197264"</f>
        <v>1578728057197264</v>
      </c>
      <c r="C760" t="s">
        <v>37</v>
      </c>
      <c r="D760">
        <v>4.5186839999999897</v>
      </c>
      <c r="E760">
        <v>0.3992521</v>
      </c>
      <c r="F760" t="s">
        <v>39</v>
      </c>
      <c r="G760">
        <v>-227.99199999999999</v>
      </c>
      <c r="H760" s="1">
        <v>-8.8801259999999998E-7</v>
      </c>
      <c r="I760">
        <v>369.36689999999999</v>
      </c>
      <c r="J760">
        <v>-246.76079999999999</v>
      </c>
      <c r="K760">
        <v>1.1067610000000001</v>
      </c>
      <c r="L760">
        <v>368.01369999999997</v>
      </c>
      <c r="M760">
        <v>0.9994748</v>
      </c>
      <c r="N760">
        <v>0</v>
      </c>
      <c r="O760">
        <v>2.0464309999999999E-2</v>
      </c>
      <c r="P760">
        <v>0.99857320000000005</v>
      </c>
      <c r="Q760">
        <v>8.4345429999999992E-3</v>
      </c>
      <c r="R760">
        <v>-5.273075E-2</v>
      </c>
      <c r="S760">
        <v>3.0165709999999999</v>
      </c>
      <c r="T760">
        <v>-0.1748555</v>
      </c>
      <c r="U760">
        <v>0.21490479999999901</v>
      </c>
      <c r="V760">
        <v>7.3060520000000004E-2</v>
      </c>
      <c r="W760">
        <v>3.370774E-2</v>
      </c>
      <c r="X760">
        <v>0.99675769999999997</v>
      </c>
      <c r="Y760">
        <v>-5.0577150000000001E-2</v>
      </c>
      <c r="Z760">
        <v>2.7895429999999998E-4</v>
      </c>
      <c r="AA760">
        <v>0.998720099999999</v>
      </c>
      <c r="AB760">
        <v>49</v>
      </c>
      <c r="AC760">
        <v>18.768799999999899</v>
      </c>
      <c r="AD760">
        <v>-1.1067618880126</v>
      </c>
      <c r="AE760">
        <v>1.35320000000001</v>
      </c>
      <c r="AF760">
        <v>-0.96536514251789896</v>
      </c>
      <c r="AG760">
        <v>-1.1067618880126</v>
      </c>
      <c r="AH760">
        <v>18.727783736264001</v>
      </c>
      <c r="AI760">
        <v>93.377619562721904</v>
      </c>
      <c r="AJ760">
        <v>92.9508262984357</v>
      </c>
      <c r="AK760">
        <v>18.7852797532382</v>
      </c>
    </row>
    <row r="761" spans="1:37" x14ac:dyDescent="0.2">
      <c r="A761" t="str">
        <f>"20200111153417213"</f>
        <v>20200111153417213</v>
      </c>
      <c r="B761" t="str">
        <f>"1578728057207024"</f>
        <v>1578728057207024</v>
      </c>
      <c r="C761" t="s">
        <v>37</v>
      </c>
      <c r="D761">
        <v>4.6578019999999896</v>
      </c>
      <c r="E761">
        <v>0.39258920000000003</v>
      </c>
      <c r="F761" t="s">
        <v>39</v>
      </c>
      <c r="G761">
        <v>-222.10239999999999</v>
      </c>
      <c r="H761" s="1">
        <v>-4.2003990000000002E-6</v>
      </c>
      <c r="I761">
        <v>373.2235</v>
      </c>
      <c r="J761">
        <v>-246.50829999999999</v>
      </c>
      <c r="K761">
        <v>1.1067959999999999</v>
      </c>
      <c r="L761">
        <v>368.01929999999999</v>
      </c>
      <c r="M761">
        <v>0.99946170000000001</v>
      </c>
      <c r="N761">
        <v>0</v>
      </c>
      <c r="O761">
        <v>2.10089E-2</v>
      </c>
      <c r="P761">
        <v>0.99849519999999903</v>
      </c>
      <c r="Q761">
        <v>9.0046269999999994E-3</v>
      </c>
      <c r="R761">
        <v>-5.4096400000000003E-2</v>
      </c>
      <c r="S761">
        <v>3.0393520000000001</v>
      </c>
      <c r="T761">
        <v>-0.13641739999999999</v>
      </c>
      <c r="U761">
        <v>0.64215089999999997</v>
      </c>
      <c r="V761">
        <v>7.4963959999999996E-2</v>
      </c>
      <c r="W761">
        <v>3.4358710000000001E-2</v>
      </c>
      <c r="X761">
        <v>0.99659409999999904</v>
      </c>
      <c r="Y761">
        <v>-0.18594939999999999</v>
      </c>
      <c r="Z761">
        <v>3.1935370000000002E-3</v>
      </c>
      <c r="AA761">
        <v>0.98255409999999899</v>
      </c>
      <c r="AB761">
        <v>49</v>
      </c>
      <c r="AC761">
        <v>24.405899999999999</v>
      </c>
      <c r="AD761">
        <v>-1.1068002003989901</v>
      </c>
      <c r="AE761">
        <v>5.2042000000000099</v>
      </c>
      <c r="AF761">
        <v>-4.6809385662168097</v>
      </c>
      <c r="AG761">
        <v>-1.1068002003989901</v>
      </c>
      <c r="AH761">
        <v>24.4617592094976</v>
      </c>
      <c r="AI761">
        <v>92.544539653065499</v>
      </c>
      <c r="AJ761">
        <v>100.833011693443</v>
      </c>
      <c r="AK761">
        <v>24.9301796256613</v>
      </c>
    </row>
    <row r="762" spans="1:37" x14ac:dyDescent="0.2">
      <c r="A762" t="str">
        <f>"20200111153417224"</f>
        <v>20200111153417224</v>
      </c>
      <c r="B762" t="str">
        <f>"1578728057216784"</f>
        <v>1578728057216784</v>
      </c>
      <c r="C762" t="s">
        <v>37</v>
      </c>
      <c r="D762">
        <v>4.5586659999999997</v>
      </c>
      <c r="E762">
        <v>0.39024969999999998</v>
      </c>
      <c r="F762" t="s">
        <v>39</v>
      </c>
      <c r="G762">
        <v>-220.77160000000001</v>
      </c>
      <c r="H762" s="1">
        <v>-4.7675279999999996E-6</v>
      </c>
      <c r="I762">
        <v>373.86750000000001</v>
      </c>
      <c r="J762">
        <v>-246.26849999999999</v>
      </c>
      <c r="K762">
        <v>1.106824</v>
      </c>
      <c r="L762">
        <v>368.02480000000003</v>
      </c>
      <c r="M762">
        <v>0.99944900000000003</v>
      </c>
      <c r="N762">
        <v>0</v>
      </c>
      <c r="O762">
        <v>2.152799E-2</v>
      </c>
      <c r="P762">
        <v>0.99840180000000001</v>
      </c>
      <c r="Q762">
        <v>9.2883329999999993E-3</v>
      </c>
      <c r="R762">
        <v>-5.5750609999999999E-2</v>
      </c>
      <c r="S762">
        <v>3.043167</v>
      </c>
      <c r="T762">
        <v>-0.13086999999999999</v>
      </c>
      <c r="U762">
        <v>0.69149780000000005</v>
      </c>
      <c r="V762">
        <v>7.7131290000000005E-2</v>
      </c>
      <c r="W762">
        <v>3.4716129999999998E-2</v>
      </c>
      <c r="X762">
        <v>0.99641630000000003</v>
      </c>
      <c r="Y762">
        <v>-0.2003732</v>
      </c>
      <c r="Z762">
        <v>3.3389330000000001E-3</v>
      </c>
      <c r="AA762">
        <v>0.97971390000000003</v>
      </c>
      <c r="AB762">
        <v>49</v>
      </c>
      <c r="AC762">
        <v>25.496899999999901</v>
      </c>
      <c r="AD762">
        <v>-1.106828767528</v>
      </c>
      <c r="AE762">
        <v>5.8426999999999696</v>
      </c>
      <c r="AF762">
        <v>-5.2828142560271303</v>
      </c>
      <c r="AG762">
        <v>-1.106828767528</v>
      </c>
      <c r="AH762">
        <v>25.571025618028699</v>
      </c>
      <c r="AI762">
        <v>92.427276652150994</v>
      </c>
      <c r="AJ762">
        <v>101.67273147750799</v>
      </c>
      <c r="AK762">
        <v>26.1344704852077</v>
      </c>
    </row>
    <row r="763" spans="1:37" x14ac:dyDescent="0.2">
      <c r="A763" t="str">
        <f>"20200111153417236"</f>
        <v>20200111153417236</v>
      </c>
      <c r="B763" t="str">
        <f>"1578728057227520"</f>
        <v>1578728057227520</v>
      </c>
      <c r="C763" t="s">
        <v>37</v>
      </c>
      <c r="D763">
        <v>4.5447499999999996</v>
      </c>
      <c r="E763">
        <v>0.38880490000000001</v>
      </c>
      <c r="F763" t="s">
        <v>39</v>
      </c>
      <c r="G763">
        <v>-220.3203</v>
      </c>
      <c r="H763" s="1">
        <v>-4.9503389999999999E-6</v>
      </c>
      <c r="I763">
        <v>374.03230000000002</v>
      </c>
      <c r="J763">
        <v>-246.0187</v>
      </c>
      <c r="K763">
        <v>1.1068519999999999</v>
      </c>
      <c r="L763">
        <v>368.03059999999999</v>
      </c>
      <c r="M763">
        <v>0.99943539999999997</v>
      </c>
      <c r="N763">
        <v>0</v>
      </c>
      <c r="O763">
        <v>2.2070240000000001E-2</v>
      </c>
      <c r="P763">
        <v>0.99831959999999997</v>
      </c>
      <c r="Q763">
        <v>9.2791650000000007E-3</v>
      </c>
      <c r="R763">
        <v>-5.7202429999999999E-2</v>
      </c>
      <c r="S763">
        <v>3.0453950000000001</v>
      </c>
      <c r="T763">
        <v>-0.12990180000000001</v>
      </c>
      <c r="U763">
        <v>0.70507810000000004</v>
      </c>
      <c r="V763">
        <v>7.9120399999999994E-2</v>
      </c>
      <c r="W763">
        <v>3.4779989999999997E-2</v>
      </c>
      <c r="X763">
        <v>0.99625810000000004</v>
      </c>
      <c r="Y763">
        <v>-0.2038364</v>
      </c>
      <c r="Z763">
        <v>3.360343E-3</v>
      </c>
      <c r="AA763">
        <v>0.97899919999999996</v>
      </c>
      <c r="AB763">
        <v>49</v>
      </c>
      <c r="AC763">
        <v>25.6983999999999</v>
      </c>
      <c r="AD763">
        <v>-1.106856950339</v>
      </c>
      <c r="AE763">
        <v>6.00170000000002</v>
      </c>
      <c r="AF763">
        <v>-5.4233446783643702</v>
      </c>
      <c r="AG763">
        <v>-1.106856950339</v>
      </c>
      <c r="AH763">
        <v>25.779287884489701</v>
      </c>
      <c r="AI763">
        <v>92.405935184367394</v>
      </c>
      <c r="AJ763">
        <v>101.880413421112</v>
      </c>
      <c r="AK763">
        <v>26.366825437284898</v>
      </c>
    </row>
    <row r="764" spans="1:37" x14ac:dyDescent="0.2">
      <c r="A764" t="str">
        <f>"20200111153417248"</f>
        <v>20200111153417248</v>
      </c>
      <c r="B764" t="str">
        <f>"1578728057237280"</f>
        <v>1578728057237280</v>
      </c>
      <c r="C764" t="s">
        <v>37</v>
      </c>
      <c r="D764">
        <v>4.5351819999999998</v>
      </c>
      <c r="E764">
        <v>0.3881927</v>
      </c>
      <c r="F764" t="s">
        <v>39</v>
      </c>
      <c r="G764">
        <v>-219.6233</v>
      </c>
      <c r="H764" s="1">
        <v>-1.364324E-6</v>
      </c>
      <c r="I764">
        <v>374.20310000000001</v>
      </c>
      <c r="J764">
        <v>-245.774</v>
      </c>
      <c r="K764">
        <v>1.1068739999999999</v>
      </c>
      <c r="L764">
        <v>368.03649999999999</v>
      </c>
      <c r="M764">
        <v>0.99942199999999903</v>
      </c>
      <c r="N764">
        <v>0</v>
      </c>
      <c r="O764">
        <v>2.2603189999999999E-2</v>
      </c>
      <c r="P764">
        <v>0.99823269999999997</v>
      </c>
      <c r="Q764">
        <v>9.1406919999999902E-3</v>
      </c>
      <c r="R764">
        <v>-5.8722570000000002E-2</v>
      </c>
      <c r="S764">
        <v>3.0470730000000001</v>
      </c>
      <c r="T764">
        <v>-0.12777459999999999</v>
      </c>
      <c r="U764">
        <v>0.71255489999999999</v>
      </c>
      <c r="V764">
        <v>8.1169050000000006E-2</v>
      </c>
      <c r="W764">
        <v>3.4707080000000001E-2</v>
      </c>
      <c r="X764">
        <v>0.99609590000000003</v>
      </c>
      <c r="Y764">
        <v>-0.20547879999999999</v>
      </c>
      <c r="Z764">
        <v>3.314638E-3</v>
      </c>
      <c r="AA764">
        <v>0.97865590000000002</v>
      </c>
      <c r="AB764">
        <v>49</v>
      </c>
      <c r="AC764">
        <v>26.150700000000001</v>
      </c>
      <c r="AD764">
        <v>-1.1068753643239999</v>
      </c>
      <c r="AE764">
        <v>6.1666000000000096</v>
      </c>
      <c r="AF764">
        <v>-5.5642999847018997</v>
      </c>
      <c r="AG764">
        <v>-1.1068753643239999</v>
      </c>
      <c r="AH764">
        <v>26.238912125506499</v>
      </c>
      <c r="AI764">
        <v>92.363072964702894</v>
      </c>
      <c r="AJ764">
        <v>101.972935616108</v>
      </c>
      <c r="AK764">
        <v>26.845243841730198</v>
      </c>
    </row>
    <row r="765" spans="1:37" x14ac:dyDescent="0.2">
      <c r="A765" t="str">
        <f>"20200111153417260"</f>
        <v>20200111153417260</v>
      </c>
      <c r="B765" t="str">
        <f>"1578728057256800"</f>
        <v>1578728057256800</v>
      </c>
      <c r="C765" t="s">
        <v>37</v>
      </c>
      <c r="D765">
        <v>4.5024419999999896</v>
      </c>
      <c r="E765">
        <v>0.38783429999999902</v>
      </c>
      <c r="F765" t="s">
        <v>39</v>
      </c>
      <c r="G765">
        <v>-219.62700000000001</v>
      </c>
      <c r="H765" s="1">
        <v>-1.3482329999999999E-6</v>
      </c>
      <c r="I765">
        <v>374.14850000000001</v>
      </c>
      <c r="J765">
        <v>-245.49889999999999</v>
      </c>
      <c r="K765">
        <v>1.1068979999999999</v>
      </c>
      <c r="L765">
        <v>368.04320000000001</v>
      </c>
      <c r="M765">
        <v>0.99940649999999998</v>
      </c>
      <c r="N765">
        <v>0</v>
      </c>
      <c r="O765">
        <v>2.3203379999999999E-2</v>
      </c>
      <c r="P765">
        <v>0.99814409999999898</v>
      </c>
      <c r="Q765">
        <v>8.2006909999999995E-3</v>
      </c>
      <c r="R765">
        <v>-6.0344580000000002E-2</v>
      </c>
      <c r="S765">
        <v>3.048416</v>
      </c>
      <c r="T765">
        <v>-0.12904740000000001</v>
      </c>
      <c r="U765">
        <v>0.71258540000000004</v>
      </c>
      <c r="V765">
        <v>8.3388799999999999E-2</v>
      </c>
      <c r="W765">
        <v>3.3837359999999997E-2</v>
      </c>
      <c r="X765">
        <v>0.99594240000000001</v>
      </c>
      <c r="Y765">
        <v>-0.20480290000000001</v>
      </c>
      <c r="Z765">
        <v>3.3070489999999998E-3</v>
      </c>
      <c r="AA765">
        <v>0.97879760000000005</v>
      </c>
      <c r="AB765">
        <v>49</v>
      </c>
      <c r="AC765">
        <v>25.871899999999901</v>
      </c>
      <c r="AD765">
        <v>-1.1068993482329901</v>
      </c>
      <c r="AE765">
        <v>6.1052999999999997</v>
      </c>
      <c r="AF765">
        <v>-5.4936195844108697</v>
      </c>
      <c r="AG765">
        <v>-1.1068993482329901</v>
      </c>
      <c r="AH765">
        <v>25.9616245213445</v>
      </c>
      <c r="AI765">
        <v>92.388556077752497</v>
      </c>
      <c r="AJ765">
        <v>101.94784740308801</v>
      </c>
      <c r="AK765">
        <v>26.559575111296802</v>
      </c>
    </row>
    <row r="766" spans="1:37" x14ac:dyDescent="0.2">
      <c r="A766" t="str">
        <f>"20200111153417273"</f>
        <v>20200111153417273</v>
      </c>
      <c r="B766" t="str">
        <f>"1578728057267536"</f>
        <v>1578728057267536</v>
      </c>
      <c r="C766" t="s">
        <v>37</v>
      </c>
      <c r="D766">
        <v>4.5406760000000004</v>
      </c>
      <c r="E766">
        <v>0.38749119999999998</v>
      </c>
      <c r="F766" t="s">
        <v>39</v>
      </c>
      <c r="G766">
        <v>-220.4288</v>
      </c>
      <c r="H766" s="1">
        <v>-4.8876270000000001E-6</v>
      </c>
      <c r="I766">
        <v>373.88699999999898</v>
      </c>
      <c r="J766">
        <v>-245.208</v>
      </c>
      <c r="K766">
        <v>1.1069169999999999</v>
      </c>
      <c r="L766">
        <v>368.0505</v>
      </c>
      <c r="M766">
        <v>0.99938989999999905</v>
      </c>
      <c r="N766">
        <v>0</v>
      </c>
      <c r="O766">
        <v>2.3841060000000001E-2</v>
      </c>
      <c r="P766">
        <v>0.99803299999999995</v>
      </c>
      <c r="Q766">
        <v>7.0301169999999998E-3</v>
      </c>
      <c r="R766">
        <v>-6.2298100000000002E-2</v>
      </c>
      <c r="S766">
        <v>3.0496669999999999</v>
      </c>
      <c r="T766">
        <v>-0.13464970000000001</v>
      </c>
      <c r="U766">
        <v>0.71087650000000002</v>
      </c>
      <c r="V766">
        <v>8.5977699999999893E-2</v>
      </c>
      <c r="W766">
        <v>3.2729809999999998E-2</v>
      </c>
      <c r="X766">
        <v>0.99575930000000001</v>
      </c>
      <c r="Y766">
        <v>-0.2035573</v>
      </c>
      <c r="Z766">
        <v>3.394462E-3</v>
      </c>
      <c r="AA766">
        <v>0.97905710000000001</v>
      </c>
      <c r="AB766">
        <v>49</v>
      </c>
      <c r="AC766">
        <v>24.779199999999999</v>
      </c>
      <c r="AD766">
        <v>-1.1069218876269999</v>
      </c>
      <c r="AE766">
        <v>5.8364999999999396</v>
      </c>
      <c r="AF766">
        <v>-5.2339894426834697</v>
      </c>
      <c r="AG766">
        <v>-1.1069218876269999</v>
      </c>
      <c r="AH766">
        <v>24.8643362967304</v>
      </c>
      <c r="AI766">
        <v>92.494441324975398</v>
      </c>
      <c r="AJ766">
        <v>101.88731718011699</v>
      </c>
      <c r="AK766">
        <v>25.433347027639499</v>
      </c>
    </row>
    <row r="767" spans="1:37" x14ac:dyDescent="0.2">
      <c r="A767" t="str">
        <f>"20200111153417286"</f>
        <v>20200111153417286</v>
      </c>
      <c r="B767" t="str">
        <f>"1578728057277296"</f>
        <v>1578728057277296</v>
      </c>
      <c r="C767" t="s">
        <v>37</v>
      </c>
      <c r="D767">
        <v>4.526859</v>
      </c>
      <c r="E767">
        <v>0.38739859999999998</v>
      </c>
      <c r="F767" t="s">
        <v>39</v>
      </c>
      <c r="G767">
        <v>-220.45939999999999</v>
      </c>
      <c r="H767" s="1">
        <v>-4.8609240000000002E-6</v>
      </c>
      <c r="I767">
        <v>373.79509999999999</v>
      </c>
      <c r="J767">
        <v>-244.94749999999999</v>
      </c>
      <c r="K767">
        <v>1.1069309999999899</v>
      </c>
      <c r="L767">
        <v>368.05720000000002</v>
      </c>
      <c r="M767">
        <v>0.99937500000000001</v>
      </c>
      <c r="N767">
        <v>0</v>
      </c>
      <c r="O767">
        <v>2.4414370000000001E-2</v>
      </c>
      <c r="P767">
        <v>0.99789450000000002</v>
      </c>
      <c r="Q767">
        <v>6.1782190000000004E-3</v>
      </c>
      <c r="R767">
        <v>-6.4565559999999994E-2</v>
      </c>
      <c r="S767">
        <v>3.0511020000000002</v>
      </c>
      <c r="T767">
        <v>-0.13646510000000001</v>
      </c>
      <c r="U767">
        <v>0.7082214</v>
      </c>
      <c r="V767">
        <v>8.8814619999999997E-2</v>
      </c>
      <c r="W767">
        <v>3.1925799999999997E-2</v>
      </c>
      <c r="X767">
        <v>0.99553639999999999</v>
      </c>
      <c r="Y767">
        <v>-0.20208289999999901</v>
      </c>
      <c r="Z767">
        <v>3.3811570000000001E-3</v>
      </c>
      <c r="AA767">
        <v>0.97936259999999997</v>
      </c>
      <c r="AB767">
        <v>49</v>
      </c>
      <c r="AC767">
        <v>24.488099999999999</v>
      </c>
      <c r="AD767">
        <v>-1.1069358609240001</v>
      </c>
      <c r="AE767">
        <v>5.7378999999999598</v>
      </c>
      <c r="AF767">
        <v>-5.1281984093812403</v>
      </c>
      <c r="AG767">
        <v>-1.1069358609240001</v>
      </c>
      <c r="AH767">
        <v>24.5733312126602</v>
      </c>
      <c r="AI767">
        <v>92.524892482132401</v>
      </c>
      <c r="AJ767">
        <v>101.787850444089</v>
      </c>
      <c r="AK767">
        <v>25.127123448840699</v>
      </c>
    </row>
    <row r="768" spans="1:37" x14ac:dyDescent="0.2">
      <c r="A768" t="str">
        <f>"20200111153417299"</f>
        <v>20200111153417299</v>
      </c>
      <c r="B768" t="str">
        <f>"1578728057296816"</f>
        <v>1578728057296816</v>
      </c>
      <c r="C768" t="s">
        <v>37</v>
      </c>
      <c r="D768">
        <v>4.5373910000000004</v>
      </c>
      <c r="E768">
        <v>0.3865093</v>
      </c>
      <c r="F768" t="s">
        <v>39</v>
      </c>
      <c r="G768">
        <v>-220.27029999999999</v>
      </c>
      <c r="H768" s="1">
        <v>-4.9146539999999997E-6</v>
      </c>
      <c r="I768">
        <v>373.73520000000002</v>
      </c>
      <c r="J768">
        <v>-244.65280000000001</v>
      </c>
      <c r="K768">
        <v>1.106935</v>
      </c>
      <c r="L768">
        <v>368.06479999999999</v>
      </c>
      <c r="M768">
        <v>0.99935790000000002</v>
      </c>
      <c r="N768">
        <v>0</v>
      </c>
      <c r="O768">
        <v>2.5064739999999999E-2</v>
      </c>
      <c r="P768">
        <v>0.99757809999999902</v>
      </c>
      <c r="Q768">
        <v>5.1140450000000002E-3</v>
      </c>
      <c r="R768">
        <v>-6.9366230000000001E-2</v>
      </c>
      <c r="S768">
        <v>3.0526430000000002</v>
      </c>
      <c r="T768">
        <v>-0.13693079999999999</v>
      </c>
      <c r="U768">
        <v>0.70239259999999903</v>
      </c>
      <c r="V768">
        <v>9.4257019999999997E-2</v>
      </c>
      <c r="W768">
        <v>3.0909209999999999E-2</v>
      </c>
      <c r="X768">
        <v>0.99506799999999995</v>
      </c>
      <c r="Y768">
        <v>-0.19956260000000001</v>
      </c>
      <c r="Z768">
        <v>3.3072129999999998E-3</v>
      </c>
      <c r="AA768">
        <v>0.97987950000000001</v>
      </c>
      <c r="AB768">
        <v>48</v>
      </c>
      <c r="AC768">
        <v>24.3825</v>
      </c>
      <c r="AD768">
        <v>-1.106939914654</v>
      </c>
      <c r="AE768">
        <v>5.6704000000000203</v>
      </c>
      <c r="AF768">
        <v>-5.0474066645321196</v>
      </c>
      <c r="AG768">
        <v>-1.106939914654</v>
      </c>
      <c r="AH768">
        <v>24.4691635606824</v>
      </c>
      <c r="AI768">
        <v>92.536852446406797</v>
      </c>
      <c r="AJ768">
        <v>101.655281796667</v>
      </c>
      <c r="AK768">
        <v>25.008830347924</v>
      </c>
    </row>
    <row r="769" spans="1:37" x14ac:dyDescent="0.2">
      <c r="A769" t="str">
        <f>"20200111153417312"</f>
        <v>20200111153417312</v>
      </c>
      <c r="B769" t="str">
        <f>"1578728057307554"</f>
        <v>1578728057307554</v>
      </c>
      <c r="C769" t="s">
        <v>37</v>
      </c>
      <c r="D769">
        <v>4.550662</v>
      </c>
      <c r="E769">
        <v>0.38621309999999998</v>
      </c>
      <c r="F769" t="s">
        <v>39</v>
      </c>
      <c r="G769">
        <v>-220.0291</v>
      </c>
      <c r="H769" s="1">
        <v>-4.9843720000000002E-6</v>
      </c>
      <c r="I769">
        <v>373.66550000000001</v>
      </c>
      <c r="J769">
        <v>-244.3776</v>
      </c>
      <c r="K769">
        <v>1.106943</v>
      </c>
      <c r="L769">
        <v>368.07240000000002</v>
      </c>
      <c r="M769">
        <v>0.99934190000000001</v>
      </c>
      <c r="N769">
        <v>0</v>
      </c>
      <c r="O769">
        <v>2.567639E-2</v>
      </c>
      <c r="P769">
        <v>0.99740759999999995</v>
      </c>
      <c r="Q769">
        <v>4.253199E-3</v>
      </c>
      <c r="R769">
        <v>-7.1837750000000006E-2</v>
      </c>
      <c r="S769">
        <v>3.0563199999999999</v>
      </c>
      <c r="T769">
        <v>-0.13739419999999999</v>
      </c>
      <c r="U769">
        <v>0.69515990000000005</v>
      </c>
      <c r="V769">
        <v>9.733493E-2</v>
      </c>
      <c r="W769">
        <v>3.0073699999999998E-2</v>
      </c>
      <c r="X769">
        <v>0.99479719999999905</v>
      </c>
      <c r="Y769">
        <v>-0.19650329999999999</v>
      </c>
      <c r="Z769">
        <v>3.220395E-3</v>
      </c>
      <c r="AA769">
        <v>0.98049789999999903</v>
      </c>
      <c r="AB769">
        <v>48</v>
      </c>
      <c r="AC769">
        <v>24.348500000000001</v>
      </c>
      <c r="AD769">
        <v>-1.106947984372</v>
      </c>
      <c r="AE769">
        <v>5.59309999999999</v>
      </c>
      <c r="AF769">
        <v>-4.9561377005986396</v>
      </c>
      <c r="AG769">
        <v>-1.106947984372</v>
      </c>
      <c r="AH769">
        <v>24.436150461436</v>
      </c>
      <c r="AI769">
        <v>92.542015867960203</v>
      </c>
      <c r="AJ769">
        <v>101.465202335798</v>
      </c>
      <c r="AK769">
        <v>24.958246815859098</v>
      </c>
    </row>
    <row r="770" spans="1:37" x14ac:dyDescent="0.2">
      <c r="A770" t="str">
        <f>"20200111153417324"</f>
        <v>20200111153417324</v>
      </c>
      <c r="B770" t="str">
        <f>"1578728057317312"</f>
        <v>1578728057317312</v>
      </c>
      <c r="C770" t="s">
        <v>37</v>
      </c>
      <c r="D770">
        <v>4.5015499999999999</v>
      </c>
      <c r="E770">
        <v>0.38609130000000003</v>
      </c>
      <c r="F770" t="s">
        <v>39</v>
      </c>
      <c r="G770">
        <v>-219.8802</v>
      </c>
      <c r="H770" s="1">
        <v>-1.093861E-6</v>
      </c>
      <c r="I770">
        <v>373.60079999999999</v>
      </c>
      <c r="J770">
        <v>-244.1361</v>
      </c>
      <c r="K770">
        <v>1.1069500000000001</v>
      </c>
      <c r="L770">
        <v>368.07900000000001</v>
      </c>
      <c r="M770">
        <v>0.99932749999999904</v>
      </c>
      <c r="N770">
        <v>0</v>
      </c>
      <c r="O770">
        <v>2.6214999999999999E-2</v>
      </c>
      <c r="P770">
        <v>0.99724259999999998</v>
      </c>
      <c r="Q770">
        <v>3.652654E-3</v>
      </c>
      <c r="R770">
        <v>-7.4122750000000001E-2</v>
      </c>
      <c r="S770">
        <v>3.0580750000000001</v>
      </c>
      <c r="T770">
        <v>-0.13818250000000001</v>
      </c>
      <c r="U770">
        <v>0.69012450000000003</v>
      </c>
      <c r="V770">
        <v>0.1001532</v>
      </c>
      <c r="W770">
        <v>2.9487929999999999E-2</v>
      </c>
      <c r="X770">
        <v>0.99453499999999995</v>
      </c>
      <c r="Y770">
        <v>-0.19431789999999999</v>
      </c>
      <c r="Z770">
        <v>3.16488599999999E-3</v>
      </c>
      <c r="AA770">
        <v>0.98093349999999901</v>
      </c>
      <c r="AB770">
        <v>48</v>
      </c>
      <c r="AC770">
        <v>24.2559</v>
      </c>
      <c r="AD770">
        <v>-1.1069510938610001</v>
      </c>
      <c r="AE770">
        <v>5.5217999999999803</v>
      </c>
      <c r="AF770">
        <v>-4.8741723829265897</v>
      </c>
      <c r="AG770">
        <v>-1.1069510938610001</v>
      </c>
      <c r="AH770">
        <v>24.3441570355815</v>
      </c>
      <c r="AI770">
        <v>92.552899925702505</v>
      </c>
      <c r="AJ770">
        <v>101.32201887042</v>
      </c>
      <c r="AK770">
        <v>24.8519793762134</v>
      </c>
    </row>
    <row r="771" spans="1:37" x14ac:dyDescent="0.2">
      <c r="A771" t="str">
        <f>"20200111153417336"</f>
        <v>20200111153417336</v>
      </c>
      <c r="B771" t="str">
        <f>"1578728057327072"</f>
        <v>1578728057327072</v>
      </c>
      <c r="C771" t="s">
        <v>37</v>
      </c>
      <c r="D771">
        <v>4.5204969999999998</v>
      </c>
      <c r="E771">
        <v>0.38594719999999999</v>
      </c>
      <c r="F771" t="s">
        <v>39</v>
      </c>
      <c r="G771">
        <v>-219.3639</v>
      </c>
      <c r="H771" s="1">
        <v>-1.3205379999999899E-6</v>
      </c>
      <c r="I771">
        <v>373.62040000000002</v>
      </c>
      <c r="J771">
        <v>-243.8535</v>
      </c>
      <c r="K771">
        <v>1.1069530000000001</v>
      </c>
      <c r="L771">
        <v>368.08699999999999</v>
      </c>
      <c r="M771">
        <v>0.99931059999999905</v>
      </c>
      <c r="N771">
        <v>0</v>
      </c>
      <c r="O771">
        <v>2.6847599999999999E-2</v>
      </c>
      <c r="P771">
        <v>0.99704300000000001</v>
      </c>
      <c r="Q771">
        <v>3.0148089999999998E-3</v>
      </c>
      <c r="R771">
        <v>-7.6789270000000007E-2</v>
      </c>
      <c r="S771">
        <v>3.059647</v>
      </c>
      <c r="T771">
        <v>-0.136720799999999</v>
      </c>
      <c r="U771">
        <v>0.68441770000000002</v>
      </c>
      <c r="V771">
        <v>0.10344489999999899</v>
      </c>
      <c r="W771">
        <v>2.8857819999999999E-2</v>
      </c>
      <c r="X771">
        <v>0.9942164</v>
      </c>
      <c r="Y771">
        <v>-0.19185279999999999</v>
      </c>
      <c r="Z771">
        <v>3.0482500000000002E-3</v>
      </c>
      <c r="AA771">
        <v>0.98141900000000004</v>
      </c>
      <c r="AB771">
        <v>48</v>
      </c>
      <c r="AC771">
        <v>24.489599999999999</v>
      </c>
      <c r="AD771">
        <v>-1.1069543205379999</v>
      </c>
      <c r="AE771">
        <v>5.5334000000000199</v>
      </c>
      <c r="AF771">
        <v>-4.8642453053695203</v>
      </c>
      <c r="AG771">
        <v>-1.1069543205379999</v>
      </c>
      <c r="AH771">
        <v>24.581590122239401</v>
      </c>
      <c r="AI771">
        <v>92.529411463458203</v>
      </c>
      <c r="AJ771">
        <v>101.193180042865</v>
      </c>
      <c r="AK771">
        <v>25.082679346440401</v>
      </c>
    </row>
    <row r="772" spans="1:37" x14ac:dyDescent="0.2">
      <c r="A772" t="str">
        <f>"20200111153417349"</f>
        <v>20200111153417349</v>
      </c>
      <c r="B772" t="str">
        <f>"1578728057336832"</f>
        <v>1578728057336832</v>
      </c>
      <c r="C772" t="s">
        <v>37</v>
      </c>
      <c r="D772">
        <v>4.5263589999999896</v>
      </c>
      <c r="E772">
        <v>0.38555699999999998</v>
      </c>
      <c r="F772" t="s">
        <v>39</v>
      </c>
      <c r="G772">
        <v>-218.68729999999999</v>
      </c>
      <c r="H772" s="1">
        <v>-1.6203559999999901E-6</v>
      </c>
      <c r="I772">
        <v>373.65620000000001</v>
      </c>
      <c r="J772">
        <v>-243.60489999999999</v>
      </c>
      <c r="K772">
        <v>1.1069530000000001</v>
      </c>
      <c r="L772">
        <v>368.0942</v>
      </c>
      <c r="M772">
        <v>0.99929570000000001</v>
      </c>
      <c r="N772">
        <v>0</v>
      </c>
      <c r="O772">
        <v>2.7408080000000001E-2</v>
      </c>
      <c r="P772">
        <v>0.99683840000000001</v>
      </c>
      <c r="Q772">
        <v>2.2646440000000001E-3</v>
      </c>
      <c r="R772">
        <v>-7.9424839999999997E-2</v>
      </c>
      <c r="S772">
        <v>3.0614619999999899</v>
      </c>
      <c r="T772">
        <v>-0.13466</v>
      </c>
      <c r="U772">
        <v>0.67749019999999904</v>
      </c>
      <c r="V772">
        <v>0.1066344</v>
      </c>
      <c r="W772">
        <v>2.810139E-2</v>
      </c>
      <c r="X772">
        <v>0.99390109999999998</v>
      </c>
      <c r="Y772">
        <v>-0.1890694</v>
      </c>
      <c r="Z772">
        <v>2.9165599999999999E-3</v>
      </c>
      <c r="AA772">
        <v>0.98195940000000004</v>
      </c>
      <c r="AB772">
        <v>48</v>
      </c>
      <c r="AC772">
        <v>24.9176</v>
      </c>
      <c r="AD772">
        <v>-1.1069546203559999</v>
      </c>
      <c r="AE772">
        <v>5.56200000000001</v>
      </c>
      <c r="AF772">
        <v>-4.8675906528680599</v>
      </c>
      <c r="AG772">
        <v>-1.1069546203559999</v>
      </c>
      <c r="AH772">
        <v>25.013704067532601</v>
      </c>
      <c r="AI772">
        <v>92.487313030168806</v>
      </c>
      <c r="AJ772">
        <v>101.01196049629201</v>
      </c>
      <c r="AK772">
        <v>25.506943730551299</v>
      </c>
    </row>
    <row r="773" spans="1:37" x14ac:dyDescent="0.2">
      <c r="A773" t="str">
        <f>"20200111153417361"</f>
        <v>20200111153417361</v>
      </c>
      <c r="B773" t="str">
        <f>"1578728057357328"</f>
        <v>1578728057357328</v>
      </c>
      <c r="C773" t="s">
        <v>37</v>
      </c>
      <c r="D773">
        <v>4.4777339999999999</v>
      </c>
      <c r="E773">
        <v>0.38401839999999998</v>
      </c>
      <c r="F773" t="s">
        <v>39</v>
      </c>
      <c r="G773">
        <v>-217.959</v>
      </c>
      <c r="H773" s="1">
        <v>-1.9520359999999998E-6</v>
      </c>
      <c r="I773">
        <v>373.7285</v>
      </c>
      <c r="J773">
        <v>-243.34379999999999</v>
      </c>
      <c r="K773">
        <v>1.106948</v>
      </c>
      <c r="L773">
        <v>368.10180000000003</v>
      </c>
      <c r="M773">
        <v>0.99927960000000005</v>
      </c>
      <c r="N773">
        <v>0</v>
      </c>
      <c r="O773">
        <v>2.799859E-2</v>
      </c>
      <c r="P773">
        <v>0.99658429999999998</v>
      </c>
      <c r="Q773">
        <v>1.7354409999999999E-3</v>
      </c>
      <c r="R773">
        <v>-8.2566189999999998E-2</v>
      </c>
      <c r="S773">
        <v>3.0634459999999999</v>
      </c>
      <c r="T773">
        <v>-0.13222719999999999</v>
      </c>
      <c r="U773">
        <v>0.67303469999999999</v>
      </c>
      <c r="V773">
        <v>0.1103565</v>
      </c>
      <c r="W773">
        <v>2.7559429999999999E-2</v>
      </c>
      <c r="X773">
        <v>0.99350989999999995</v>
      </c>
      <c r="Y773">
        <v>-0.18700039999999901</v>
      </c>
      <c r="Z773">
        <v>2.793298E-3</v>
      </c>
      <c r="AA773">
        <v>0.98235589999999995</v>
      </c>
      <c r="AB773">
        <v>48</v>
      </c>
      <c r="AC773">
        <v>25.384799999999899</v>
      </c>
      <c r="AD773">
        <v>-1.106949952036</v>
      </c>
      <c r="AE773">
        <v>5.6266999999999703</v>
      </c>
      <c r="AF773">
        <v>-4.9046310469854602</v>
      </c>
      <c r="AG773">
        <v>-1.106949952036</v>
      </c>
      <c r="AH773">
        <v>25.486239199804501</v>
      </c>
      <c r="AI773">
        <v>92.442222480449601</v>
      </c>
      <c r="AJ773">
        <v>100.892965477346</v>
      </c>
      <c r="AK773">
        <v>25.977473557931301</v>
      </c>
    </row>
    <row r="774" spans="1:37" x14ac:dyDescent="0.2">
      <c r="A774" t="str">
        <f>"20200111153417373"</f>
        <v>20200111153417373</v>
      </c>
      <c r="B774" t="str">
        <f>"1578728057367088"</f>
        <v>1578728057367088</v>
      </c>
      <c r="C774" t="s">
        <v>37</v>
      </c>
      <c r="D774">
        <v>4.4742050000000004</v>
      </c>
      <c r="E774">
        <v>0.38326149999999998</v>
      </c>
      <c r="F774" t="s">
        <v>39</v>
      </c>
      <c r="G774">
        <v>-217.64699999999999</v>
      </c>
      <c r="H774" s="1">
        <v>-2.0958579999999998E-6</v>
      </c>
      <c r="I774">
        <v>373.76609999999999</v>
      </c>
      <c r="J774">
        <v>-243.06099999999901</v>
      </c>
      <c r="K774">
        <v>1.106943</v>
      </c>
      <c r="L774">
        <v>368.1103</v>
      </c>
      <c r="M774">
        <v>0.99926219999999999</v>
      </c>
      <c r="N774">
        <v>0</v>
      </c>
      <c r="O774">
        <v>2.8641739999999999E-2</v>
      </c>
      <c r="P774">
        <v>0.99635399999999996</v>
      </c>
      <c r="Q774">
        <v>1.5441999999999999E-3</v>
      </c>
      <c r="R774">
        <v>-8.5302879999999998E-2</v>
      </c>
      <c r="S774">
        <v>3.066513</v>
      </c>
      <c r="T774">
        <v>-0.13209670000000001</v>
      </c>
      <c r="U774">
        <v>0.67593380000000003</v>
      </c>
      <c r="V774">
        <v>0.1137261</v>
      </c>
      <c r="W774">
        <v>2.734112E-2</v>
      </c>
      <c r="X774">
        <v>0.99313589999999996</v>
      </c>
      <c r="Y774">
        <v>-0.1870492</v>
      </c>
      <c r="Z774">
        <v>2.761262E-3</v>
      </c>
      <c r="AA774">
        <v>0.98234669999999902</v>
      </c>
      <c r="AB774">
        <v>47</v>
      </c>
      <c r="AC774">
        <v>25.413999999999898</v>
      </c>
      <c r="AD774">
        <v>-1.106945095858</v>
      </c>
      <c r="AE774">
        <v>5.6557999999999904</v>
      </c>
      <c r="AF774">
        <v>-4.9164513742481102</v>
      </c>
      <c r="AG774">
        <v>-1.106945095858</v>
      </c>
      <c r="AH774">
        <v>25.519481764252699</v>
      </c>
      <c r="AI774">
        <v>92.438938199853595</v>
      </c>
      <c r="AJ774">
        <v>100.904705915937</v>
      </c>
      <c r="AK774">
        <v>26.012319602000499</v>
      </c>
    </row>
    <row r="775" spans="1:37" x14ac:dyDescent="0.2">
      <c r="A775" t="str">
        <f>"20200111153417386"</f>
        <v>20200111153417386</v>
      </c>
      <c r="B775" t="str">
        <f>"1578728057376848"</f>
        <v>1578728057376848</v>
      </c>
      <c r="C775" t="s">
        <v>37</v>
      </c>
      <c r="D775">
        <v>4.5790959999999998</v>
      </c>
      <c r="E775">
        <v>0.3829244</v>
      </c>
      <c r="F775" t="s">
        <v>39</v>
      </c>
      <c r="G775">
        <v>-217.17570000000001</v>
      </c>
      <c r="H775" s="1">
        <v>-2.3048750000000001E-6</v>
      </c>
      <c r="I775">
        <v>373.79169999999999</v>
      </c>
      <c r="J775">
        <v>-242.8058</v>
      </c>
      <c r="K775">
        <v>1.106938</v>
      </c>
      <c r="L775">
        <v>368.11810000000003</v>
      </c>
      <c r="M775">
        <v>0.99924619999999997</v>
      </c>
      <c r="N775">
        <v>0</v>
      </c>
      <c r="O775">
        <v>2.9224190000000001E-2</v>
      </c>
      <c r="P775">
        <v>0.99609130000000001</v>
      </c>
      <c r="Q775">
        <v>8.7541899999999903E-4</v>
      </c>
      <c r="R775">
        <v>-8.8327649999999994E-2</v>
      </c>
      <c r="S775">
        <v>3.068848</v>
      </c>
      <c r="T775">
        <v>-0.13123379999999901</v>
      </c>
      <c r="U775">
        <v>0.67355350000000003</v>
      </c>
      <c r="V775">
        <v>0.11732329999999901</v>
      </c>
      <c r="W775">
        <v>2.6641379999999999E-2</v>
      </c>
      <c r="X775">
        <v>0.99273630000000002</v>
      </c>
      <c r="Y775">
        <v>-0.18559629999999999</v>
      </c>
      <c r="Z775">
        <v>2.6861739999999999E-3</v>
      </c>
      <c r="AA775">
        <v>0.98262240000000001</v>
      </c>
      <c r="AB775">
        <v>47</v>
      </c>
      <c r="AC775">
        <v>25.630099999999999</v>
      </c>
      <c r="AD775">
        <v>-1.1069403048749999</v>
      </c>
      <c r="AE775">
        <v>5.6735999999999596</v>
      </c>
      <c r="AF775">
        <v>-4.9131751201688996</v>
      </c>
      <c r="AG775">
        <v>-1.1069403048749999</v>
      </c>
      <c r="AH775">
        <v>25.739237760751202</v>
      </c>
      <c r="AI775">
        <v>92.418921263008002</v>
      </c>
      <c r="AJ775">
        <v>100.80677184672599</v>
      </c>
      <c r="AK775">
        <v>26.227332443549901</v>
      </c>
    </row>
    <row r="776" spans="1:37" x14ac:dyDescent="0.2">
      <c r="A776" t="str">
        <f>"20200111153417400"</f>
        <v>20200111153417400</v>
      </c>
      <c r="B776" t="str">
        <f>"1578728057397343"</f>
        <v>1578728057397343</v>
      </c>
      <c r="C776" t="s">
        <v>37</v>
      </c>
      <c r="D776">
        <v>4.8761609999999997</v>
      </c>
      <c r="E776">
        <v>0.4351276</v>
      </c>
      <c r="F776" t="s">
        <v>39</v>
      </c>
      <c r="G776">
        <v>-217.0889</v>
      </c>
      <c r="H776" s="1">
        <v>-2.319185E-6</v>
      </c>
      <c r="I776">
        <v>373.70549999999997</v>
      </c>
      <c r="J776">
        <v>-242.52250000000001</v>
      </c>
      <c r="K776">
        <v>1.1069329999999999</v>
      </c>
      <c r="L776">
        <v>368.12689999999998</v>
      </c>
      <c r="M776">
        <v>0.9992278</v>
      </c>
      <c r="N776">
        <v>0</v>
      </c>
      <c r="O776">
        <v>2.98725E-2</v>
      </c>
      <c r="P776">
        <v>0.99546539999999994</v>
      </c>
      <c r="Q776">
        <v>-4.433207E-4</v>
      </c>
      <c r="R776">
        <v>-9.5121940000000002E-2</v>
      </c>
      <c r="S776">
        <v>3.0710599999999899</v>
      </c>
      <c r="T776">
        <v>-0.13218840000000001</v>
      </c>
      <c r="U776">
        <v>0.6672363</v>
      </c>
      <c r="V776">
        <v>0.124744699999999</v>
      </c>
      <c r="W776">
        <v>2.528476E-2</v>
      </c>
      <c r="X776">
        <v>0.99186659999999904</v>
      </c>
      <c r="Y776">
        <v>-0.18288170000000001</v>
      </c>
      <c r="Z776">
        <v>2.6191169999999998E-3</v>
      </c>
      <c r="AA776">
        <v>0.98313150000000005</v>
      </c>
      <c r="AB776">
        <v>47</v>
      </c>
      <c r="AC776">
        <v>25.433599999999998</v>
      </c>
      <c r="AD776">
        <v>-1.106935319185</v>
      </c>
      <c r="AE776">
        <v>5.57859999999999</v>
      </c>
      <c r="AF776">
        <v>-4.8074076748314596</v>
      </c>
      <c r="AG776">
        <v>-1.106935319185</v>
      </c>
      <c r="AH776">
        <v>25.542780470280199</v>
      </c>
      <c r="AI776">
        <v>92.438683443364098</v>
      </c>
      <c r="AJ776">
        <v>100.658950720345</v>
      </c>
      <c r="AK776">
        <v>26.014805563482799</v>
      </c>
    </row>
    <row r="777" spans="1:37" x14ac:dyDescent="0.2">
      <c r="A777" t="str">
        <f>"20200111153417412"</f>
        <v>20200111153417412</v>
      </c>
      <c r="B777" t="str">
        <f>"1578728057407104"</f>
        <v>1578728057407104</v>
      </c>
      <c r="C777" t="s">
        <v>37</v>
      </c>
      <c r="D777">
        <v>4.7558699999999998</v>
      </c>
      <c r="E777">
        <v>0.45374009999999998</v>
      </c>
      <c r="F777" t="s">
        <v>39</v>
      </c>
      <c r="G777">
        <v>-225.9118</v>
      </c>
      <c r="H777" s="1">
        <v>-1.773645E-6</v>
      </c>
      <c r="I777">
        <v>369.4051</v>
      </c>
      <c r="J777">
        <v>-242.25540000000001</v>
      </c>
      <c r="K777">
        <v>1.1069290000000001</v>
      </c>
      <c r="L777">
        <v>368.13549999999998</v>
      </c>
      <c r="M777">
        <v>0.99921059999999995</v>
      </c>
      <c r="N777">
        <v>0</v>
      </c>
      <c r="O777">
        <v>3.0485370000000001E-2</v>
      </c>
      <c r="P777">
        <v>0.99516299999999902</v>
      </c>
      <c r="Q777">
        <v>-1.502144E-3</v>
      </c>
      <c r="R777">
        <v>-9.8228860000000001E-2</v>
      </c>
      <c r="S777">
        <v>3.0359189999999998</v>
      </c>
      <c r="T777">
        <v>-0.2023124</v>
      </c>
      <c r="U777">
        <v>0.23361209999999999</v>
      </c>
      <c r="V777">
        <v>0.12845309999999999</v>
      </c>
      <c r="W777">
        <v>2.4184560000000001E-2</v>
      </c>
      <c r="X777">
        <v>0.99142070000000004</v>
      </c>
      <c r="Y777">
        <v>-4.624677E-2</v>
      </c>
      <c r="Z777">
        <v>-4.8916460000000004E-4</v>
      </c>
      <c r="AA777">
        <v>0.99892990000000004</v>
      </c>
      <c r="AB777">
        <v>47</v>
      </c>
      <c r="AC777">
        <v>16.343599999999999</v>
      </c>
      <c r="AD777">
        <v>-1.106930773645</v>
      </c>
      <c r="AE777">
        <v>1.26960000000002</v>
      </c>
      <c r="AF777">
        <v>-0.767109358365336</v>
      </c>
      <c r="AG777">
        <v>-1.106930773645</v>
      </c>
      <c r="AH777">
        <v>16.300391294642701</v>
      </c>
      <c r="AI777">
        <v>93.880609015654002</v>
      </c>
      <c r="AJ777">
        <v>92.694396945388206</v>
      </c>
      <c r="AK777">
        <v>16.3559319167022</v>
      </c>
    </row>
    <row r="778" spans="1:37" x14ac:dyDescent="0.2">
      <c r="A778" t="str">
        <f>"20200111153417424"</f>
        <v>20200111153417424</v>
      </c>
      <c r="B778" t="str">
        <f>"1578728057416864"</f>
        <v>1578728057416864</v>
      </c>
      <c r="C778" t="s">
        <v>37</v>
      </c>
      <c r="D778">
        <v>4.8300970000000003</v>
      </c>
      <c r="E778">
        <v>0.45374009999999998</v>
      </c>
      <c r="F778" t="s">
        <v>39</v>
      </c>
      <c r="G778">
        <v>-225.57239999999999</v>
      </c>
      <c r="H778" s="1">
        <v>-2.06915999999999E-6</v>
      </c>
      <c r="I778">
        <v>368.55990000000003</v>
      </c>
      <c r="J778">
        <v>-242.01240000000001</v>
      </c>
      <c r="K778">
        <v>1.106924</v>
      </c>
      <c r="L778">
        <v>368.14339999999999</v>
      </c>
      <c r="M778">
        <v>0.99919409999999897</v>
      </c>
      <c r="N778">
        <v>0</v>
      </c>
      <c r="O778">
        <v>3.1043979999999999E-2</v>
      </c>
      <c r="P778">
        <v>0.9948418</v>
      </c>
      <c r="Q778">
        <v>-2.383268E-3</v>
      </c>
      <c r="R778">
        <v>-0.1014106</v>
      </c>
      <c r="S778">
        <v>3.0218349999999998</v>
      </c>
      <c r="T778">
        <v>-0.20050079999999901</v>
      </c>
      <c r="U778">
        <v>7.6873780000000003E-2</v>
      </c>
      <c r="V778">
        <v>0.13218099999999999</v>
      </c>
      <c r="W778">
        <v>2.3265000000000001E-2</v>
      </c>
      <c r="X778">
        <v>0.99095259999999996</v>
      </c>
      <c r="Y778">
        <v>5.5446590000000004E-3</v>
      </c>
      <c r="Z778">
        <v>-2.2411250000000001E-3</v>
      </c>
      <c r="AA778">
        <v>0.99998209999999998</v>
      </c>
      <c r="AB778">
        <v>47</v>
      </c>
      <c r="AC778">
        <v>16.440000000000001</v>
      </c>
      <c r="AD778">
        <v>-1.10692606916</v>
      </c>
      <c r="AE778">
        <v>0.416500000000041</v>
      </c>
      <c r="AF778">
        <v>9.3804207920851299E-2</v>
      </c>
      <c r="AG778">
        <v>-1.10692606916</v>
      </c>
      <c r="AH778">
        <v>16.370835535894798</v>
      </c>
      <c r="AI778">
        <v>93.868145073882204</v>
      </c>
      <c r="AJ778">
        <v>89.671701155167895</v>
      </c>
      <c r="AK778">
        <v>16.408483802451901</v>
      </c>
    </row>
    <row r="779" spans="1:37" x14ac:dyDescent="0.2">
      <c r="A779" t="str">
        <f>"20200111153417436"</f>
        <v>20200111153417436</v>
      </c>
      <c r="B779" t="str">
        <f>"1578728057426624"</f>
        <v>1578728057426624</v>
      </c>
      <c r="C779" t="s">
        <v>37</v>
      </c>
      <c r="D779">
        <v>4.7893829999999999</v>
      </c>
      <c r="E779">
        <v>0.52173570000000002</v>
      </c>
      <c r="F779" t="s">
        <v>40</v>
      </c>
      <c r="G779">
        <v>-240.98070000000001</v>
      </c>
      <c r="H779">
        <v>1.037784</v>
      </c>
      <c r="I779">
        <v>368.1662</v>
      </c>
      <c r="J779">
        <v>-241.76580000000001</v>
      </c>
      <c r="K779">
        <v>1.1069169999999999</v>
      </c>
      <c r="L779">
        <v>368.1515</v>
      </c>
      <c r="M779">
        <v>0.99917730000000005</v>
      </c>
      <c r="N779">
        <v>0</v>
      </c>
      <c r="O779">
        <v>3.161183E-2</v>
      </c>
      <c r="P779">
        <v>0.99454549999999997</v>
      </c>
      <c r="Q779">
        <v>-3.0640709999999998E-3</v>
      </c>
      <c r="R779">
        <v>-0.104258899999999</v>
      </c>
      <c r="S779">
        <v>3.021881</v>
      </c>
      <c r="T779">
        <v>-0.2025931</v>
      </c>
      <c r="U779">
        <v>6.7230219999999993E-2</v>
      </c>
      <c r="V779">
        <v>0.13558399999999901</v>
      </c>
      <c r="W779">
        <v>2.2544680000000001E-2</v>
      </c>
      <c r="X779">
        <v>0.99050930000000004</v>
      </c>
      <c r="Y779">
        <v>9.2912710000000003E-3</v>
      </c>
      <c r="Z779">
        <v>-2.4279829999999999E-3</v>
      </c>
      <c r="AA779">
        <v>0.99995389999999995</v>
      </c>
      <c r="AB779">
        <v>47</v>
      </c>
      <c r="AC779">
        <v>0.78509999999999902</v>
      </c>
      <c r="AD779">
        <v>-6.9132999999999806E-2</v>
      </c>
      <c r="AE779">
        <v>1.47000000000048E-2</v>
      </c>
      <c r="AF779">
        <v>1.00558672289821E-2</v>
      </c>
      <c r="AG779">
        <v>-6.9132999999999806E-2</v>
      </c>
      <c r="AH779">
        <v>0.77913300283103204</v>
      </c>
      <c r="AI779">
        <v>95.070193939056594</v>
      </c>
      <c r="AJ779">
        <v>89.260554024782806</v>
      </c>
      <c r="AK779">
        <v>0.78225873485390196</v>
      </c>
    </row>
    <row r="780" spans="1:37" x14ac:dyDescent="0.2">
      <c r="A780" t="str">
        <f>"20200111153417450"</f>
        <v>20200111153417450</v>
      </c>
      <c r="B780" t="str">
        <f>"1578728057437361"</f>
        <v>1578728057437361</v>
      </c>
      <c r="C780" t="s">
        <v>37</v>
      </c>
      <c r="D780">
        <v>4.7776259999999997</v>
      </c>
      <c r="E780">
        <v>0.52106620000000003</v>
      </c>
      <c r="F780" t="s">
        <v>39</v>
      </c>
      <c r="G780">
        <v>-220.62559999999999</v>
      </c>
      <c r="H780" s="1">
        <v>-4.873054E-6</v>
      </c>
      <c r="I780">
        <v>364.7165</v>
      </c>
      <c r="J780">
        <v>-241.4941</v>
      </c>
      <c r="K780">
        <v>1.106911</v>
      </c>
      <c r="L780">
        <v>368.16059999999999</v>
      </c>
      <c r="M780">
        <v>0.9991584</v>
      </c>
      <c r="N780">
        <v>0</v>
      </c>
      <c r="O780">
        <v>3.2238660000000002E-2</v>
      </c>
      <c r="P780">
        <v>0.994266599999999</v>
      </c>
      <c r="Q780">
        <v>-3.8823070000000002E-3</v>
      </c>
      <c r="R780">
        <v>-0.10686089999999999</v>
      </c>
      <c r="S780">
        <v>2.9654389999999999</v>
      </c>
      <c r="T780">
        <v>-0.15527299999999999</v>
      </c>
      <c r="U780">
        <v>-0.48184199999999999</v>
      </c>
      <c r="V780">
        <v>0.13880000000000001</v>
      </c>
      <c r="W780">
        <v>2.1681820000000001E-2</v>
      </c>
      <c r="X780">
        <v>0.99008300000000005</v>
      </c>
      <c r="Y780">
        <v>0.19183120000000001</v>
      </c>
      <c r="Z780">
        <v>-6.6634930000000004E-3</v>
      </c>
      <c r="AA780">
        <v>0.98140530000000004</v>
      </c>
      <c r="AB780">
        <v>47</v>
      </c>
      <c r="AC780">
        <v>20.868500000000001</v>
      </c>
      <c r="AD780">
        <v>-1.1069158730540001</v>
      </c>
      <c r="AE780">
        <v>-3.4440999999999899</v>
      </c>
      <c r="AF780">
        <v>4.1040569398180597</v>
      </c>
      <c r="AG780">
        <v>-1.1069158730540001</v>
      </c>
      <c r="AH780">
        <v>20.689909114433</v>
      </c>
      <c r="AI780">
        <v>93.004002043796604</v>
      </c>
      <c r="AJ780">
        <v>78.7804294926339</v>
      </c>
      <c r="AK780">
        <v>21.1220473742198</v>
      </c>
    </row>
    <row r="781" spans="1:37" x14ac:dyDescent="0.2">
      <c r="A781" t="str">
        <f>"20200111153417468"</f>
        <v>20200111153417468</v>
      </c>
      <c r="B781" t="str">
        <f>"1578728057456880"</f>
        <v>1578728057456880</v>
      </c>
      <c r="C781" t="s">
        <v>37</v>
      </c>
      <c r="D781">
        <v>4.7517440000000004</v>
      </c>
      <c r="E781">
        <v>0.51795420000000003</v>
      </c>
      <c r="F781" t="s">
        <v>39</v>
      </c>
      <c r="G781">
        <v>-220.84059999999999</v>
      </c>
      <c r="H781" s="1">
        <v>-4.7679679999999999E-6</v>
      </c>
      <c r="I781">
        <v>364.78890000000001</v>
      </c>
      <c r="J781">
        <v>-241.10919999999999</v>
      </c>
      <c r="K781">
        <v>1.1069020000000001</v>
      </c>
      <c r="L781">
        <v>368.1739</v>
      </c>
      <c r="M781">
        <v>0.99913079999999999</v>
      </c>
      <c r="N781">
        <v>0</v>
      </c>
      <c r="O781">
        <v>3.3127959999999998E-2</v>
      </c>
      <c r="P781">
        <v>0.99375329999999995</v>
      </c>
      <c r="Q781">
        <v>-5.2481869999999996E-3</v>
      </c>
      <c r="R781">
        <v>-0.11147749999999999</v>
      </c>
      <c r="S781">
        <v>2.964645</v>
      </c>
      <c r="T781">
        <v>-0.1588889</v>
      </c>
      <c r="U781">
        <v>-0.48397829999999997</v>
      </c>
      <c r="V781">
        <v>0.14428339999999901</v>
      </c>
      <c r="W781">
        <v>2.0253529999999999E-2</v>
      </c>
      <c r="X781">
        <v>0.98932909999999996</v>
      </c>
      <c r="Y781">
        <v>0.19341720000000001</v>
      </c>
      <c r="Z781">
        <v>-6.9094279999999996E-3</v>
      </c>
      <c r="AA781">
        <v>0.98109230000000003</v>
      </c>
      <c r="AB781">
        <v>47</v>
      </c>
      <c r="AC781">
        <v>20.2685999999999</v>
      </c>
      <c r="AD781">
        <v>-1.106906767968</v>
      </c>
      <c r="AE781">
        <v>-3.38499999999999</v>
      </c>
      <c r="AF781">
        <v>4.0430821145448599</v>
      </c>
      <c r="AG781">
        <v>-1.106906767968</v>
      </c>
      <c r="AH781">
        <v>20.087010651642998</v>
      </c>
      <c r="AI781">
        <v>93.092236204532</v>
      </c>
      <c r="AJ781">
        <v>78.619653081486206</v>
      </c>
      <c r="AK781">
        <v>20.5197405562825</v>
      </c>
    </row>
    <row r="782" spans="1:37" x14ac:dyDescent="0.2">
      <c r="A782" t="str">
        <f>"20200111153417484"</f>
        <v>20200111153417484</v>
      </c>
      <c r="B782" t="str">
        <f>"1578728057477375"</f>
        <v>1578728057477375</v>
      </c>
      <c r="C782" t="s">
        <v>37</v>
      </c>
      <c r="D782">
        <v>4.7764040000000003</v>
      </c>
      <c r="E782">
        <v>0.51545220000000003</v>
      </c>
      <c r="F782" t="s">
        <v>39</v>
      </c>
      <c r="G782">
        <v>-220.14359999999999</v>
      </c>
      <c r="H782" s="1">
        <v>-5.0595450000000002E-6</v>
      </c>
      <c r="I782">
        <v>364.83080000000001</v>
      </c>
      <c r="J782">
        <v>-240.78579999999999</v>
      </c>
      <c r="K782">
        <v>1.1068990000000001</v>
      </c>
      <c r="L782">
        <v>368.18520000000001</v>
      </c>
      <c r="M782">
        <v>0.99910699999999997</v>
      </c>
      <c r="N782">
        <v>0</v>
      </c>
      <c r="O782">
        <v>3.3876999999999997E-2</v>
      </c>
      <c r="P782">
        <v>0.99357439999999997</v>
      </c>
      <c r="Q782">
        <v>-6.0784690000000004E-3</v>
      </c>
      <c r="R782">
        <v>-0.11301849999999999</v>
      </c>
      <c r="S782">
        <v>2.96501199999999</v>
      </c>
      <c r="T782">
        <v>-0.1565416</v>
      </c>
      <c r="U782">
        <v>-0.47277829999999899</v>
      </c>
      <c r="V782">
        <v>0.146562</v>
      </c>
      <c r="W782">
        <v>1.9372029999999998E-2</v>
      </c>
      <c r="X782">
        <v>0.9890118</v>
      </c>
      <c r="Y782">
        <v>0.1905327</v>
      </c>
      <c r="Z782">
        <v>-6.772368E-3</v>
      </c>
      <c r="AA782">
        <v>0.98165749999999996</v>
      </c>
      <c r="AB782">
        <v>46</v>
      </c>
      <c r="AC782">
        <v>20.642199999999999</v>
      </c>
      <c r="AD782">
        <v>-1.1069040595449999</v>
      </c>
      <c r="AE782">
        <v>-3.3543999999999898</v>
      </c>
      <c r="AF782">
        <v>4.0406723266754101</v>
      </c>
      <c r="AG782">
        <v>-1.1069040595449999</v>
      </c>
      <c r="AH782">
        <v>20.459354175369299</v>
      </c>
      <c r="AI782">
        <v>93.038256804435306</v>
      </c>
      <c r="AJ782">
        <v>78.827998846002302</v>
      </c>
      <c r="AK782">
        <v>20.883903914780898</v>
      </c>
    </row>
    <row r="783" spans="1:37" x14ac:dyDescent="0.2">
      <c r="A783" t="str">
        <f>"20200111153417496"</f>
        <v>20200111153417496</v>
      </c>
      <c r="B783" t="str">
        <f>"1578728057487136"</f>
        <v>1578728057487136</v>
      </c>
      <c r="C783" t="s">
        <v>37</v>
      </c>
      <c r="D783">
        <v>4.7680129999999998</v>
      </c>
      <c r="E783">
        <v>0.51437179999999905</v>
      </c>
      <c r="F783" t="s">
        <v>39</v>
      </c>
      <c r="G783">
        <v>-219.4684</v>
      </c>
      <c r="H783" s="1">
        <v>-1.4226689999999999E-6</v>
      </c>
      <c r="I783">
        <v>364.8972</v>
      </c>
      <c r="J783">
        <v>-240.50899999999999</v>
      </c>
      <c r="K783">
        <v>1.106897</v>
      </c>
      <c r="L783">
        <v>368.1952</v>
      </c>
      <c r="M783">
        <v>0.99908600000000003</v>
      </c>
      <c r="N783">
        <v>0</v>
      </c>
      <c r="O783">
        <v>3.4520420000000003E-2</v>
      </c>
      <c r="P783">
        <v>0.99337949999999997</v>
      </c>
      <c r="Q783">
        <v>-6.7520169999999999E-3</v>
      </c>
      <c r="R783">
        <v>-0.11468109999999999</v>
      </c>
      <c r="S783">
        <v>2.966415</v>
      </c>
      <c r="T783">
        <v>-0.15402929999999901</v>
      </c>
      <c r="U783">
        <v>-0.45755000000000001</v>
      </c>
      <c r="V783">
        <v>0.14885619999999999</v>
      </c>
      <c r="W783">
        <v>1.8656430000000002E-2</v>
      </c>
      <c r="X783">
        <v>0.98868289999999903</v>
      </c>
      <c r="Y783">
        <v>0.18618679999999899</v>
      </c>
      <c r="Z783">
        <v>-6.5844450000000004E-3</v>
      </c>
      <c r="AA783">
        <v>0.98249229999999999</v>
      </c>
      <c r="AB783">
        <v>46</v>
      </c>
      <c r="AC783">
        <v>21.040600000000001</v>
      </c>
      <c r="AD783">
        <v>-1.106898422669</v>
      </c>
      <c r="AE783">
        <v>-3.298</v>
      </c>
      <c r="AF783">
        <v>4.0117577749306497</v>
      </c>
      <c r="AG783">
        <v>-1.106898422669</v>
      </c>
      <c r="AH783">
        <v>20.857825792687802</v>
      </c>
      <c r="AI783">
        <v>92.983187489569204</v>
      </c>
      <c r="AJ783">
        <v>79.1127844011272</v>
      </c>
      <c r="AK783">
        <v>21.268952051310301</v>
      </c>
    </row>
    <row r="784" spans="1:37" x14ac:dyDescent="0.2">
      <c r="A784" t="str">
        <f>"20200111153417510"</f>
        <v>20200111153417510</v>
      </c>
      <c r="B784" t="str">
        <f>"1578728057506658"</f>
        <v>1578728057506658</v>
      </c>
      <c r="C784" t="s">
        <v>37</v>
      </c>
      <c r="D784">
        <v>4.7355470000000004</v>
      </c>
      <c r="E784">
        <v>0.51250390000000001</v>
      </c>
      <c r="F784" t="s">
        <v>39</v>
      </c>
      <c r="G784">
        <v>-219.08860000000001</v>
      </c>
      <c r="H784" s="1">
        <v>-1.5467730000000001E-6</v>
      </c>
      <c r="I784">
        <v>364.91649999999998</v>
      </c>
      <c r="J784">
        <v>-240.2381</v>
      </c>
      <c r="K784">
        <v>1.106897</v>
      </c>
      <c r="L784">
        <v>368.20510000000002</v>
      </c>
      <c r="M784">
        <v>0.99906489999999903</v>
      </c>
      <c r="N784">
        <v>0</v>
      </c>
      <c r="O784">
        <v>3.5156960000000001E-2</v>
      </c>
      <c r="P784">
        <v>0.9932474</v>
      </c>
      <c r="Q784">
        <v>-7.4777309999999996E-3</v>
      </c>
      <c r="R784">
        <v>-0.11577419999999999</v>
      </c>
      <c r="S784">
        <v>2.96655299999999</v>
      </c>
      <c r="T784">
        <v>-0.15329599999999999</v>
      </c>
      <c r="U784">
        <v>-0.454071</v>
      </c>
      <c r="V784">
        <v>0.1505764</v>
      </c>
      <c r="W784">
        <v>1.7891230000000001E-2</v>
      </c>
      <c r="X784">
        <v>0.98843649999999905</v>
      </c>
      <c r="Y784">
        <v>0.18568270000000001</v>
      </c>
      <c r="Z784">
        <v>-6.5731849999999996E-3</v>
      </c>
      <c r="AA784">
        <v>0.98258780000000001</v>
      </c>
      <c r="AB784">
        <v>46</v>
      </c>
      <c r="AC784">
        <v>21.1494999999999</v>
      </c>
      <c r="AD784">
        <v>-1.1068985467729999</v>
      </c>
      <c r="AE784">
        <v>-3.2886000000000299</v>
      </c>
      <c r="AF784">
        <v>4.0196030343213502</v>
      </c>
      <c r="AG784">
        <v>-1.1068985467729999</v>
      </c>
      <c r="AH784">
        <v>20.9646936171258</v>
      </c>
      <c r="AI784">
        <v>92.9683409037698</v>
      </c>
      <c r="AJ784">
        <v>79.146283683545803</v>
      </c>
      <c r="AK784">
        <v>21.3752382771825</v>
      </c>
    </row>
    <row r="785" spans="1:37" x14ac:dyDescent="0.2">
      <c r="A785" t="str">
        <f>"20200111153417524"</f>
        <v>20200111153417524</v>
      </c>
      <c r="B785" t="str">
        <f>"1578728057517391"</f>
        <v>1578728057517391</v>
      </c>
      <c r="C785" t="s">
        <v>37</v>
      </c>
      <c r="D785">
        <v>4.7595150000000004</v>
      </c>
      <c r="E785">
        <v>0.51158740000000003</v>
      </c>
      <c r="F785" t="s">
        <v>39</v>
      </c>
      <c r="G785">
        <v>-218.59630000000001</v>
      </c>
      <c r="H785" s="1">
        <v>-1.697666E-6</v>
      </c>
      <c r="I785">
        <v>364.97899999999998</v>
      </c>
      <c r="J785">
        <v>-239.9641</v>
      </c>
      <c r="K785">
        <v>1.1068910000000001</v>
      </c>
      <c r="L785">
        <v>368.21530000000001</v>
      </c>
      <c r="M785">
        <v>0.99904269999999995</v>
      </c>
      <c r="N785">
        <v>0</v>
      </c>
      <c r="O785">
        <v>3.580821E-2</v>
      </c>
      <c r="P785">
        <v>0.99289669999999897</v>
      </c>
      <c r="Q785">
        <v>-9.1492910000000004E-3</v>
      </c>
      <c r="R785">
        <v>-0.11863029999999999</v>
      </c>
      <c r="S785">
        <v>2.9676669999999898</v>
      </c>
      <c r="T785">
        <v>-0.15178469999999999</v>
      </c>
      <c r="U785">
        <v>-0.44238279999999902</v>
      </c>
      <c r="V785">
        <v>0.1540676</v>
      </c>
      <c r="W785">
        <v>1.6180590000000002E-2</v>
      </c>
      <c r="X785">
        <v>0.98792780000000002</v>
      </c>
      <c r="Y785">
        <v>0.1824924</v>
      </c>
      <c r="Z785">
        <v>-6.4599799999999997E-3</v>
      </c>
      <c r="AA785">
        <v>0.98318609999999995</v>
      </c>
      <c r="AB785">
        <v>46</v>
      </c>
      <c r="AC785">
        <v>21.3677999999999</v>
      </c>
      <c r="AD785">
        <v>-1.1068926976660001</v>
      </c>
      <c r="AE785">
        <v>-3.2362999999999702</v>
      </c>
      <c r="AF785">
        <v>3.9891429806897798</v>
      </c>
      <c r="AG785">
        <v>-1.1068926976660001</v>
      </c>
      <c r="AH785">
        <v>21.182597538002099</v>
      </c>
      <c r="AI785">
        <v>92.939678923243903</v>
      </c>
      <c r="AJ785">
        <v>79.334869973557204</v>
      </c>
      <c r="AK785">
        <v>21.583348016966799</v>
      </c>
    </row>
    <row r="786" spans="1:37" x14ac:dyDescent="0.2">
      <c r="A786" t="str">
        <f>"20200111153417537"</f>
        <v>20200111153417537</v>
      </c>
      <c r="B786" t="str">
        <f>"1578728057527152"</f>
        <v>1578728057527152</v>
      </c>
      <c r="C786" t="s">
        <v>37</v>
      </c>
      <c r="D786">
        <v>4.7826490000000002</v>
      </c>
      <c r="E786">
        <v>0.51077839999999997</v>
      </c>
      <c r="F786" t="s">
        <v>39</v>
      </c>
      <c r="G786">
        <v>-219.05889999999999</v>
      </c>
      <c r="H786" s="1">
        <v>-1.511354E-6</v>
      </c>
      <c r="I786">
        <v>365.08760000000001</v>
      </c>
      <c r="J786">
        <v>-239.67750000000001</v>
      </c>
      <c r="K786">
        <v>1.1068979999999999</v>
      </c>
      <c r="L786">
        <v>368.22620000000001</v>
      </c>
      <c r="M786">
        <v>0.99901870000000004</v>
      </c>
      <c r="N786">
        <v>0</v>
      </c>
      <c r="O786">
        <v>3.65008E-2</v>
      </c>
      <c r="P786">
        <v>0.99277340000000003</v>
      </c>
      <c r="Q786">
        <v>-9.9425729999999997E-3</v>
      </c>
      <c r="R786">
        <v>-0.1195942</v>
      </c>
      <c r="S786">
        <v>2.9670099999999899</v>
      </c>
      <c r="T786">
        <v>-0.1570974</v>
      </c>
      <c r="U786">
        <v>-0.44390869999999999</v>
      </c>
      <c r="V786">
        <v>0.15571379999999899</v>
      </c>
      <c r="W786">
        <v>1.5350040000000001E-2</v>
      </c>
      <c r="X786">
        <v>0.98768289999999903</v>
      </c>
      <c r="Y786">
        <v>0.18367749999999999</v>
      </c>
      <c r="Z786">
        <v>-6.7546580000000002E-3</v>
      </c>
      <c r="AA786">
        <v>0.98296329999999998</v>
      </c>
      <c r="AB786">
        <v>46</v>
      </c>
      <c r="AC786">
        <v>20.618600000000001</v>
      </c>
      <c r="AD786">
        <v>-1.1068995113539899</v>
      </c>
      <c r="AE786">
        <v>-3.1385999999999901</v>
      </c>
      <c r="AF786">
        <v>3.8784149571765201</v>
      </c>
      <c r="AG786">
        <v>-1.1068995113539899</v>
      </c>
      <c r="AH786">
        <v>20.432700140643099</v>
      </c>
      <c r="AI786">
        <v>93.046558075075097</v>
      </c>
      <c r="AJ786">
        <v>79.252312433348095</v>
      </c>
      <c r="AK786">
        <v>20.826967233510501</v>
      </c>
    </row>
    <row r="787" spans="1:37" x14ac:dyDescent="0.2">
      <c r="A787" t="str">
        <f>"20200111153417551"</f>
        <v>20200111153417551</v>
      </c>
      <c r="B787" t="str">
        <f>"1578728057546672"</f>
        <v>1578728057546672</v>
      </c>
      <c r="C787" t="s">
        <v>37</v>
      </c>
      <c r="D787">
        <v>5.9683419999999998</v>
      </c>
      <c r="E787">
        <v>0.50934609999999902</v>
      </c>
      <c r="F787" t="s">
        <v>39</v>
      </c>
      <c r="G787">
        <v>-218.9785</v>
      </c>
      <c r="H787" s="1">
        <v>-1.5203999999999899E-6</v>
      </c>
      <c r="I787">
        <v>365.15629999999999</v>
      </c>
      <c r="J787">
        <v>-239.42349999999999</v>
      </c>
      <c r="K787">
        <v>1.106908</v>
      </c>
      <c r="L787">
        <v>368.23599999999999</v>
      </c>
      <c r="M787">
        <v>0.99899609999999905</v>
      </c>
      <c r="N787">
        <v>0</v>
      </c>
      <c r="O787">
        <v>3.713172E-2</v>
      </c>
      <c r="P787">
        <v>0.99267109999999903</v>
      </c>
      <c r="Q787">
        <v>-1.0622970000000001E-2</v>
      </c>
      <c r="R787">
        <v>-0.1203815</v>
      </c>
      <c r="S787">
        <v>2.96723899999999</v>
      </c>
      <c r="T787">
        <v>-0.15867579999999901</v>
      </c>
      <c r="U787">
        <v>-0.4400635</v>
      </c>
      <c r="V787">
        <v>0.15712229999999999</v>
      </c>
      <c r="W787">
        <v>1.464011E-2</v>
      </c>
      <c r="X787">
        <v>0.98747059999999998</v>
      </c>
      <c r="Y787">
        <v>0.1830348</v>
      </c>
      <c r="Z787">
        <v>-6.8390350000000003E-3</v>
      </c>
      <c r="AA787">
        <v>0.98308269999999998</v>
      </c>
      <c r="AB787">
        <v>46</v>
      </c>
      <c r="AC787">
        <v>20.445</v>
      </c>
      <c r="AD787">
        <v>-1.1069095203999999</v>
      </c>
      <c r="AE787">
        <v>-3.0796999999999999</v>
      </c>
      <c r="AF787">
        <v>3.8260052761386998</v>
      </c>
      <c r="AG787">
        <v>-1.1069095203999999</v>
      </c>
      <c r="AH787">
        <v>20.2584367272793</v>
      </c>
      <c r="AI787">
        <v>93.073277329532601</v>
      </c>
      <c r="AJ787">
        <v>79.305095884610793</v>
      </c>
      <c r="AK787">
        <v>20.646254471273298</v>
      </c>
    </row>
    <row r="788" spans="1:37" x14ac:dyDescent="0.2">
      <c r="A788" t="str">
        <f>"20200111153417563"</f>
        <v>20200111153417563</v>
      </c>
      <c r="B788" t="str">
        <f>"1578728057557408"</f>
        <v>1578728057557408</v>
      </c>
      <c r="C788" t="s">
        <v>37</v>
      </c>
      <c r="D788">
        <v>4.769647</v>
      </c>
      <c r="E788">
        <v>0.50892020000000004</v>
      </c>
      <c r="F788" t="s">
        <v>39</v>
      </c>
      <c r="G788">
        <v>-218.28829999999999</v>
      </c>
      <c r="H788" s="1">
        <v>-1.7528589999999999E-6</v>
      </c>
      <c r="I788">
        <v>365.16559999999998</v>
      </c>
      <c r="J788">
        <v>-239.15</v>
      </c>
      <c r="K788">
        <v>1.106924</v>
      </c>
      <c r="L788">
        <v>368.24669999999998</v>
      </c>
      <c r="M788">
        <v>0.99897119999999995</v>
      </c>
      <c r="N788">
        <v>0</v>
      </c>
      <c r="O788">
        <v>3.7819690000000003E-2</v>
      </c>
      <c r="P788">
        <v>0.99260210000000004</v>
      </c>
      <c r="Q788">
        <v>-1.097475E-2</v>
      </c>
      <c r="R788">
        <v>-0.1209143</v>
      </c>
      <c r="S788">
        <v>2.9682009999999899</v>
      </c>
      <c r="T788">
        <v>-0.15545209999999901</v>
      </c>
      <c r="U788">
        <v>-0.43121340000000002</v>
      </c>
      <c r="V788">
        <v>0.15833320000000001</v>
      </c>
      <c r="W788">
        <v>1.4258679999999999E-2</v>
      </c>
      <c r="X788">
        <v>0.98728280000000002</v>
      </c>
      <c r="Y788">
        <v>0.1808102</v>
      </c>
      <c r="Z788">
        <v>-6.6774989999999999E-3</v>
      </c>
      <c r="AA788">
        <v>0.98349540000000002</v>
      </c>
      <c r="AB788">
        <v>46</v>
      </c>
      <c r="AC788">
        <v>20.861699999999999</v>
      </c>
      <c r="AD788">
        <v>-1.106925752859</v>
      </c>
      <c r="AE788">
        <v>-3.08109999999999</v>
      </c>
      <c r="AF788">
        <v>3.8574960212646698</v>
      </c>
      <c r="AG788">
        <v>-1.106925752859</v>
      </c>
      <c r="AH788">
        <v>20.6732423736523</v>
      </c>
      <c r="AI788">
        <v>93.013006862750103</v>
      </c>
      <c r="AJ788">
        <v>79.430518594909898</v>
      </c>
      <c r="AK788">
        <v>21.059166897486399</v>
      </c>
    </row>
    <row r="789" spans="1:37" x14ac:dyDescent="0.2">
      <c r="A789" t="str">
        <f>"20200111153417575"</f>
        <v>20200111153417575</v>
      </c>
      <c r="B789" t="str">
        <f>"1578728057567168"</f>
        <v>1578728057567168</v>
      </c>
      <c r="C789" t="s">
        <v>37</v>
      </c>
      <c r="D789">
        <v>4.7955269999999999</v>
      </c>
      <c r="E789">
        <v>0.5082991</v>
      </c>
      <c r="F789" t="s">
        <v>39</v>
      </c>
      <c r="G789">
        <v>-217.79929999999999</v>
      </c>
      <c r="H789" s="1">
        <v>-1.921869E-6</v>
      </c>
      <c r="I789">
        <v>365.1558</v>
      </c>
      <c r="J789">
        <v>-238.905</v>
      </c>
      <c r="K789">
        <v>1.1069420000000001</v>
      </c>
      <c r="L789">
        <v>368.25659999999999</v>
      </c>
      <c r="M789">
        <v>0.99894799999999995</v>
      </c>
      <c r="N789">
        <v>0</v>
      </c>
      <c r="O789">
        <v>3.8446719999999997E-2</v>
      </c>
      <c r="P789">
        <v>0.99253609999999903</v>
      </c>
      <c r="Q789">
        <v>-1.1212440000000001E-2</v>
      </c>
      <c r="R789">
        <v>-0.1214353</v>
      </c>
      <c r="S789">
        <v>2.9682770000000001</v>
      </c>
      <c r="T789">
        <v>-0.1538892</v>
      </c>
      <c r="U789">
        <v>-0.42971799999999999</v>
      </c>
      <c r="V789">
        <v>0.15947139999999899</v>
      </c>
      <c r="W789">
        <v>1.399597E-2</v>
      </c>
      <c r="X789">
        <v>0.98710330000000002</v>
      </c>
      <c r="Y789">
        <v>0.18094350000000001</v>
      </c>
      <c r="Z789">
        <v>-6.6463030000000001E-3</v>
      </c>
      <c r="AA789">
        <v>0.98347099999999898</v>
      </c>
      <c r="AB789">
        <v>45</v>
      </c>
      <c r="AC789">
        <v>21.105699999999999</v>
      </c>
      <c r="AD789">
        <v>-1.106943921869</v>
      </c>
      <c r="AE789">
        <v>-3.1007999999999898</v>
      </c>
      <c r="AF789">
        <v>3.8997040489989501</v>
      </c>
      <c r="AG789">
        <v>-1.106943921869</v>
      </c>
      <c r="AH789">
        <v>20.9145177903941</v>
      </c>
      <c r="AI789">
        <v>92.978431823831301</v>
      </c>
      <c r="AJ789">
        <v>79.437964274242603</v>
      </c>
      <c r="AK789">
        <v>21.303757201973902</v>
      </c>
    </row>
    <row r="790" spans="1:37" x14ac:dyDescent="0.2">
      <c r="A790" t="str">
        <f>"20200111153417590"</f>
        <v>20200111153417590</v>
      </c>
      <c r="B790" t="str">
        <f>"1578728057587345"</f>
        <v>1578728057587345</v>
      </c>
      <c r="C790" t="s">
        <v>37</v>
      </c>
      <c r="D790">
        <v>4.8001740000000002</v>
      </c>
      <c r="E790">
        <v>0.50729939999999996</v>
      </c>
      <c r="F790" t="s">
        <v>39</v>
      </c>
      <c r="G790">
        <v>-217.4923</v>
      </c>
      <c r="H790" s="1">
        <v>-2.0188769999999998E-6</v>
      </c>
      <c r="I790">
        <v>365.18369999999999</v>
      </c>
      <c r="J790">
        <v>-238.62049999999999</v>
      </c>
      <c r="K790">
        <v>1.1069719999999901</v>
      </c>
      <c r="L790">
        <v>368.26819999999998</v>
      </c>
      <c r="M790">
        <v>0.99892000000000003</v>
      </c>
      <c r="N790">
        <v>0</v>
      </c>
      <c r="O790">
        <v>3.9188899999999999E-2</v>
      </c>
      <c r="P790">
        <v>0.99241440000000003</v>
      </c>
      <c r="Q790">
        <v>-1.067215E-2</v>
      </c>
      <c r="R790">
        <v>-0.1224749</v>
      </c>
      <c r="S790">
        <v>2.9687039999999998</v>
      </c>
      <c r="T790">
        <v>-0.15346879999999999</v>
      </c>
      <c r="U790">
        <v>-0.4260254</v>
      </c>
      <c r="V790">
        <v>0.1612365</v>
      </c>
      <c r="W790">
        <v>1.4508999999999999E-2</v>
      </c>
      <c r="X790">
        <v>0.98680909999999999</v>
      </c>
      <c r="Y790">
        <v>0.1804569</v>
      </c>
      <c r="Z790">
        <v>-6.6534840000000003E-3</v>
      </c>
      <c r="AA790">
        <v>0.983560399999999</v>
      </c>
      <c r="AB790">
        <v>45</v>
      </c>
      <c r="AC790">
        <v>21.1282</v>
      </c>
      <c r="AD790">
        <v>-1.1069740188770001</v>
      </c>
      <c r="AE790">
        <v>-3.08449999999999</v>
      </c>
      <c r="AF790">
        <v>3.8998960571584602</v>
      </c>
      <c r="AG790">
        <v>-1.1069740188770001</v>
      </c>
      <c r="AH790">
        <v>20.934776059752501</v>
      </c>
      <c r="AI790">
        <v>92.975727206302096</v>
      </c>
      <c r="AJ790">
        <v>79.447447466327404</v>
      </c>
      <c r="AK790">
        <v>21.323682360396699</v>
      </c>
    </row>
    <row r="791" spans="1:37" x14ac:dyDescent="0.2">
      <c r="A791" t="str">
        <f>"20200111153417603"</f>
        <v>20200111153417603</v>
      </c>
      <c r="B791" t="str">
        <f>"1578728057597105"</f>
        <v>1578728057597105</v>
      </c>
      <c r="C791" t="s">
        <v>37</v>
      </c>
      <c r="D791">
        <v>4.8065129999999998</v>
      </c>
      <c r="E791">
        <v>0.50687320000000002</v>
      </c>
      <c r="F791" t="s">
        <v>39</v>
      </c>
      <c r="G791">
        <v>-216.8064</v>
      </c>
      <c r="H791" s="1">
        <v>-2.255007E-6</v>
      </c>
      <c r="I791">
        <v>365.17360000000002</v>
      </c>
      <c r="J791">
        <v>-238.34630000000001</v>
      </c>
      <c r="K791">
        <v>1.106995</v>
      </c>
      <c r="L791">
        <v>368.27960000000002</v>
      </c>
      <c r="M791">
        <v>0.99889209999999995</v>
      </c>
      <c r="N791">
        <v>0</v>
      </c>
      <c r="O791">
        <v>3.9912940000000001E-2</v>
      </c>
      <c r="P791">
        <v>0.99242149999999996</v>
      </c>
      <c r="Q791">
        <v>-1.035053E-2</v>
      </c>
      <c r="R791">
        <v>-0.12244579999999999</v>
      </c>
      <c r="S791">
        <v>2.9693149999999999</v>
      </c>
      <c r="T791">
        <v>-0.15067929999999999</v>
      </c>
      <c r="U791">
        <v>-0.421234099999999</v>
      </c>
      <c r="V791">
        <v>0.1619215</v>
      </c>
      <c r="W791">
        <v>1.480794E-2</v>
      </c>
      <c r="X791">
        <v>0.98669249999999997</v>
      </c>
      <c r="Y791">
        <v>0.17959639999999999</v>
      </c>
      <c r="Z791">
        <v>-6.54696599999999E-3</v>
      </c>
      <c r="AA791">
        <v>0.9837186</v>
      </c>
      <c r="AB791">
        <v>45</v>
      </c>
      <c r="AC791">
        <v>21.539899999999999</v>
      </c>
      <c r="AD791">
        <v>-1.106997255007</v>
      </c>
      <c r="AE791">
        <v>-3.1059999999999901</v>
      </c>
      <c r="AF791">
        <v>3.9532826810117001</v>
      </c>
      <c r="AG791">
        <v>-1.106997255007</v>
      </c>
      <c r="AH791">
        <v>21.343492631946201</v>
      </c>
      <c r="AI791">
        <v>92.919462067437806</v>
      </c>
      <c r="AJ791">
        <v>79.506488047158101</v>
      </c>
      <c r="AK791">
        <v>21.734731758375201</v>
      </c>
    </row>
    <row r="792" spans="1:37" x14ac:dyDescent="0.2">
      <c r="A792" t="str">
        <f>"20200111153417615"</f>
        <v>20200111153417615</v>
      </c>
      <c r="B792" t="str">
        <f>"1578728057606865"</f>
        <v>1578728057606865</v>
      </c>
      <c r="C792" t="s">
        <v>37</v>
      </c>
      <c r="D792">
        <v>4.7495609999999999</v>
      </c>
      <c r="E792">
        <v>0.50640209999999997</v>
      </c>
      <c r="F792" t="s">
        <v>39</v>
      </c>
      <c r="G792">
        <v>-216.1738</v>
      </c>
      <c r="H792" s="1">
        <v>-2.474025E-6</v>
      </c>
      <c r="I792">
        <v>365.15949999999998</v>
      </c>
      <c r="J792">
        <v>-238.09630000000001</v>
      </c>
      <c r="K792">
        <v>1.1070169999999999</v>
      </c>
      <c r="L792">
        <v>368.29020000000003</v>
      </c>
      <c r="M792">
        <v>0.99886549999999996</v>
      </c>
      <c r="N792">
        <v>0</v>
      </c>
      <c r="O792">
        <v>4.0581529999999998E-2</v>
      </c>
      <c r="P792">
        <v>0.99246420000000002</v>
      </c>
      <c r="Q792">
        <v>-1.01601E-2</v>
      </c>
      <c r="R792">
        <v>-0.1221122</v>
      </c>
      <c r="S792">
        <v>2.9698180000000001</v>
      </c>
      <c r="T792">
        <v>-0.1482723</v>
      </c>
      <c r="U792">
        <v>-0.41790769999999999</v>
      </c>
      <c r="V792">
        <v>0.16224959999999999</v>
      </c>
      <c r="W792">
        <v>1.498149E-2</v>
      </c>
      <c r="X792">
        <v>0.98663599999999996</v>
      </c>
      <c r="Y792">
        <v>0.17915989999999901</v>
      </c>
      <c r="Z792">
        <v>-6.4643130000000002E-3</v>
      </c>
      <c r="AA792">
        <v>0.98379869999999903</v>
      </c>
      <c r="AB792">
        <v>45</v>
      </c>
      <c r="AC792">
        <v>21.922499999999999</v>
      </c>
      <c r="AD792">
        <v>-1.1070194740249999</v>
      </c>
      <c r="AE792">
        <v>-3.13070000000004</v>
      </c>
      <c r="AF792">
        <v>4.0080283367340899</v>
      </c>
      <c r="AG792">
        <v>-1.1070194740249999</v>
      </c>
      <c r="AH792">
        <v>21.723056191000801</v>
      </c>
      <c r="AI792">
        <v>92.868960852110106</v>
      </c>
      <c r="AJ792">
        <v>79.546166705776102</v>
      </c>
      <c r="AK792">
        <v>22.117435510052101</v>
      </c>
    </row>
    <row r="793" spans="1:37" x14ac:dyDescent="0.2">
      <c r="A793" t="str">
        <f>"20200111153417628"</f>
        <v>20200111153417628</v>
      </c>
      <c r="B793" t="str">
        <f>"1578728057617601"</f>
        <v>1578728057617601</v>
      </c>
      <c r="C793" t="s">
        <v>37</v>
      </c>
      <c r="D793">
        <v>6.0098699999999896</v>
      </c>
      <c r="E793">
        <v>0.50604550000000004</v>
      </c>
      <c r="F793" t="s">
        <v>39</v>
      </c>
      <c r="G793">
        <v>-215.80869999999999</v>
      </c>
      <c r="H793" s="1">
        <v>-2.590215E-6</v>
      </c>
      <c r="I793">
        <v>365.18979999999999</v>
      </c>
      <c r="J793">
        <v>-237.86510000000001</v>
      </c>
      <c r="K793">
        <v>1.107038</v>
      </c>
      <c r="L793">
        <v>368.30009999999999</v>
      </c>
      <c r="M793">
        <v>0.99884050000000002</v>
      </c>
      <c r="N793">
        <v>0</v>
      </c>
      <c r="O793">
        <v>4.1206329999999999E-2</v>
      </c>
      <c r="P793">
        <v>0.99245269999999997</v>
      </c>
      <c r="Q793">
        <v>-9.9612329999999999E-3</v>
      </c>
      <c r="R793">
        <v>-0.12222229999999901</v>
      </c>
      <c r="S793">
        <v>2.9704280000000001</v>
      </c>
      <c r="T793">
        <v>-0.14754</v>
      </c>
      <c r="U793">
        <v>-0.41320800000000002</v>
      </c>
      <c r="V793">
        <v>0.16297519999999999</v>
      </c>
      <c r="W793">
        <v>1.5167430000000001E-2</v>
      </c>
      <c r="X793">
        <v>0.98651359999999999</v>
      </c>
      <c r="Y793">
        <v>0.17822370000000001</v>
      </c>
      <c r="Z793">
        <v>-6.4395800000000003E-3</v>
      </c>
      <c r="AA793">
        <v>0.98396890000000004</v>
      </c>
      <c r="AB793">
        <v>45</v>
      </c>
      <c r="AC793">
        <v>22.0564</v>
      </c>
      <c r="AD793">
        <v>-1.107040590215</v>
      </c>
      <c r="AE793">
        <v>-3.1102999999999899</v>
      </c>
      <c r="AF793">
        <v>4.0069044207920799</v>
      </c>
      <c r="AG793">
        <v>-1.107040590215</v>
      </c>
      <c r="AH793">
        <v>21.855467002569601</v>
      </c>
      <c r="AI793">
        <v>92.852254668258496</v>
      </c>
      <c r="AJ793">
        <v>79.610967676010503</v>
      </c>
      <c r="AK793">
        <v>22.247297809085801</v>
      </c>
    </row>
    <row r="794" spans="1:37" x14ac:dyDescent="0.2">
      <c r="A794" t="str">
        <f>"20200111153417641"</f>
        <v>20200111153417641</v>
      </c>
      <c r="B794" t="str">
        <f>"1578728057627362"</f>
        <v>1578728057627362</v>
      </c>
      <c r="C794" t="s">
        <v>37</v>
      </c>
      <c r="D794">
        <v>4.797606</v>
      </c>
      <c r="E794">
        <v>0.50578250000000002</v>
      </c>
      <c r="F794" t="s">
        <v>39</v>
      </c>
      <c r="G794">
        <v>-215.23849999999999</v>
      </c>
      <c r="H794" s="1">
        <v>-2.8132839999999998E-6</v>
      </c>
      <c r="I794">
        <v>365.17250000000001</v>
      </c>
      <c r="J794">
        <v>-237.6123</v>
      </c>
      <c r="K794">
        <v>1.1070549999999999</v>
      </c>
      <c r="L794">
        <v>368.31110000000001</v>
      </c>
      <c r="M794">
        <v>0.99881229999999999</v>
      </c>
      <c r="N794">
        <v>0</v>
      </c>
      <c r="O794">
        <v>4.1891299999999999E-2</v>
      </c>
      <c r="P794">
        <v>0.99246480000000004</v>
      </c>
      <c r="Q794">
        <v>-9.6588390000000007E-3</v>
      </c>
      <c r="R794">
        <v>-0.1221498</v>
      </c>
      <c r="S794">
        <v>2.97080999999999</v>
      </c>
      <c r="T794">
        <v>-0.14535049999999999</v>
      </c>
      <c r="U794">
        <v>-0.41064449999999902</v>
      </c>
      <c r="V794">
        <v>0.16357869999999999</v>
      </c>
      <c r="W794">
        <v>1.5456839999999999E-2</v>
      </c>
      <c r="X794">
        <v>0.98640919999999899</v>
      </c>
      <c r="Y794">
        <v>0.178055399999999</v>
      </c>
      <c r="Z794">
        <v>-6.3729590000000001E-3</v>
      </c>
      <c r="AA794">
        <v>0.98399979999999998</v>
      </c>
      <c r="AB794">
        <v>45</v>
      </c>
      <c r="AC794">
        <v>22.373799999999999</v>
      </c>
      <c r="AD794">
        <v>-1.1070578132840001</v>
      </c>
      <c r="AE794">
        <v>-3.1385999999999901</v>
      </c>
      <c r="AF794">
        <v>4.0636440495172597</v>
      </c>
      <c r="AG794">
        <v>-1.1070578132840001</v>
      </c>
      <c r="AH794">
        <v>22.169397357715798</v>
      </c>
      <c r="AI794">
        <v>92.811992513886096</v>
      </c>
      <c r="AJ794">
        <v>79.613006167943396</v>
      </c>
      <c r="AK794">
        <v>22.565924735481701</v>
      </c>
    </row>
    <row r="795" spans="1:37" x14ac:dyDescent="0.2">
      <c r="A795" t="str">
        <f>"20200111153417656"</f>
        <v>20200111153417656</v>
      </c>
      <c r="B795" t="str">
        <f>"1578728057646881"</f>
        <v>1578728057646881</v>
      </c>
      <c r="C795" t="s">
        <v>37</v>
      </c>
      <c r="D795">
        <v>4.7730069999999998</v>
      </c>
      <c r="E795">
        <v>0.50529499999999905</v>
      </c>
      <c r="F795" t="s">
        <v>39</v>
      </c>
      <c r="G795">
        <v>-214.572</v>
      </c>
      <c r="H795" s="1">
        <v>-3.1043239999999999E-6</v>
      </c>
      <c r="I795">
        <v>365.14370000000002</v>
      </c>
      <c r="J795">
        <v>-237.28460000000001</v>
      </c>
      <c r="K795">
        <v>1.1070709999999999</v>
      </c>
      <c r="L795">
        <v>368.32569999999998</v>
      </c>
      <c r="M795">
        <v>0.99877519999999997</v>
      </c>
      <c r="N795">
        <v>0</v>
      </c>
      <c r="O795">
        <v>4.2775090000000002E-2</v>
      </c>
      <c r="P795">
        <v>0.99245819999999996</v>
      </c>
      <c r="Q795">
        <v>-9.2596550000000003E-3</v>
      </c>
      <c r="R795">
        <v>-0.1222347</v>
      </c>
      <c r="S795">
        <v>2.9711150000000002</v>
      </c>
      <c r="T795">
        <v>-0.142758</v>
      </c>
      <c r="U795">
        <v>-0.40844730000000001</v>
      </c>
      <c r="V795">
        <v>0.1645345</v>
      </c>
      <c r="W795">
        <v>1.5839220000000001E-2</v>
      </c>
      <c r="X795">
        <v>0.98624409999999896</v>
      </c>
      <c r="Y795">
        <v>0.17820620000000001</v>
      </c>
      <c r="Z795">
        <v>-6.3049809999999899E-3</v>
      </c>
      <c r="AA795">
        <v>0.98397299999999999</v>
      </c>
      <c r="AB795">
        <v>45</v>
      </c>
      <c r="AC795">
        <v>22.712599999999998</v>
      </c>
      <c r="AD795">
        <v>-1.107074104324</v>
      </c>
      <c r="AE795">
        <v>-3.1819999999999502</v>
      </c>
      <c r="AF795">
        <v>4.1412701883795</v>
      </c>
      <c r="AG795">
        <v>-1.107074104324</v>
      </c>
      <c r="AH795">
        <v>22.503211299159599</v>
      </c>
      <c r="AI795">
        <v>92.770026456567393</v>
      </c>
      <c r="AJ795">
        <v>79.572518522692803</v>
      </c>
      <c r="AK795">
        <v>22.907864383662002</v>
      </c>
    </row>
    <row r="796" spans="1:37" x14ac:dyDescent="0.2">
      <c r="A796" t="str">
        <f>"20200111153417672"</f>
        <v>20200111153417672</v>
      </c>
      <c r="B796" t="str">
        <f>"1578728057667377"</f>
        <v>1578728057667377</v>
      </c>
      <c r="C796" t="s">
        <v>37</v>
      </c>
      <c r="D796">
        <v>4.8042179999999997</v>
      </c>
      <c r="E796">
        <v>0.50490040000000003</v>
      </c>
      <c r="F796" t="s">
        <v>39</v>
      </c>
      <c r="G796">
        <v>-213.8313</v>
      </c>
      <c r="H796" s="1">
        <v>-3.4240949999999899E-6</v>
      </c>
      <c r="I796">
        <v>365.13220000000001</v>
      </c>
      <c r="J796">
        <v>-236.9982</v>
      </c>
      <c r="K796">
        <v>1.107075</v>
      </c>
      <c r="L796">
        <v>368.33870000000002</v>
      </c>
      <c r="M796">
        <v>0.99874280000000004</v>
      </c>
      <c r="N796">
        <v>0</v>
      </c>
      <c r="O796">
        <v>4.3534059999999999E-2</v>
      </c>
      <c r="P796">
        <v>0.99250169999999904</v>
      </c>
      <c r="Q796">
        <v>-8.986562E-3</v>
      </c>
      <c r="R796">
        <v>-0.1219015</v>
      </c>
      <c r="S796">
        <v>2.9716490000000002</v>
      </c>
      <c r="T796">
        <v>-0.14027129999999999</v>
      </c>
      <c r="U796">
        <v>-0.40463259999999901</v>
      </c>
      <c r="V796">
        <v>0.1649524</v>
      </c>
      <c r="W796">
        <v>1.6096679999999999E-2</v>
      </c>
      <c r="X796">
        <v>0.986170199999999</v>
      </c>
      <c r="Y796">
        <v>0.17769839999999901</v>
      </c>
      <c r="Z796">
        <v>-6.2184550000000003E-3</v>
      </c>
      <c r="AA796">
        <v>0.98406539999999998</v>
      </c>
      <c r="AB796">
        <v>45</v>
      </c>
      <c r="AC796">
        <v>23.166899999999998</v>
      </c>
      <c r="AD796">
        <v>-1.107078424095</v>
      </c>
      <c r="AE796">
        <v>-3.2065000000000001</v>
      </c>
      <c r="AF796">
        <v>4.2029016206213701</v>
      </c>
      <c r="AG796">
        <v>-1.107078424095</v>
      </c>
      <c r="AH796">
        <v>22.953855551799698</v>
      </c>
      <c r="AI796">
        <v>92.716183297245806</v>
      </c>
      <c r="AJ796">
        <v>79.623954625489205</v>
      </c>
      <c r="AK796">
        <v>23.361709898091899</v>
      </c>
    </row>
    <row r="797" spans="1:37" x14ac:dyDescent="0.2">
      <c r="A797" t="str">
        <f>"20200111153417684"</f>
        <v>20200111153417684</v>
      </c>
      <c r="B797" t="str">
        <f>"1578728057677089"</f>
        <v>1578728057677089</v>
      </c>
      <c r="C797" t="s">
        <v>37</v>
      </c>
      <c r="D797">
        <v>4.8036669999999999</v>
      </c>
      <c r="E797">
        <v>0.50473699999999999</v>
      </c>
      <c r="F797" t="s">
        <v>39</v>
      </c>
      <c r="G797">
        <v>-213.05950000000001</v>
      </c>
      <c r="H797" s="1">
        <v>-3.7590259999999998E-6</v>
      </c>
      <c r="I797">
        <v>365.11070000000001</v>
      </c>
      <c r="J797">
        <v>-236.7526</v>
      </c>
      <c r="K797">
        <v>1.1070709999999999</v>
      </c>
      <c r="L797">
        <v>368.35</v>
      </c>
      <c r="M797">
        <v>0.99871520000000003</v>
      </c>
      <c r="N797">
        <v>0</v>
      </c>
      <c r="O797">
        <v>4.4167499999999998E-2</v>
      </c>
      <c r="P797">
        <v>0.99254940000000003</v>
      </c>
      <c r="Q797">
        <v>-8.6261759999999993E-3</v>
      </c>
      <c r="R797">
        <v>-0.1215392</v>
      </c>
      <c r="S797">
        <v>2.9721829999999998</v>
      </c>
      <c r="T797">
        <v>-0.1374524</v>
      </c>
      <c r="U797">
        <v>-0.40078740000000002</v>
      </c>
      <c r="V797">
        <v>0.16521759999999999</v>
      </c>
      <c r="W797">
        <v>1.6440429999999999E-2</v>
      </c>
      <c r="X797">
        <v>0.98612009999999894</v>
      </c>
      <c r="Y797">
        <v>0.17705839999999901</v>
      </c>
      <c r="Z797">
        <v>-6.10750099999999E-3</v>
      </c>
      <c r="AA797">
        <v>0.98418139999999998</v>
      </c>
      <c r="AB797">
        <v>44</v>
      </c>
      <c r="AC797">
        <v>23.693099999999902</v>
      </c>
      <c r="AD797">
        <v>-1.1070747590259999</v>
      </c>
      <c r="AE797">
        <v>-3.2393000000000098</v>
      </c>
      <c r="AF797">
        <v>4.2737653876927801</v>
      </c>
      <c r="AG797">
        <v>-1.1070747590259999</v>
      </c>
      <c r="AH797">
        <v>23.4765331831677</v>
      </c>
      <c r="AI797">
        <v>92.656285244925698</v>
      </c>
      <c r="AJ797">
        <v>79.6826216435595</v>
      </c>
      <c r="AK797">
        <v>23.888036658785701</v>
      </c>
    </row>
    <row r="798" spans="1:37" x14ac:dyDescent="0.2">
      <c r="A798" t="str">
        <f>"20200111153417697"</f>
        <v>20200111153417697</v>
      </c>
      <c r="B798" t="str">
        <f>"1578728057686849"</f>
        <v>1578728057686849</v>
      </c>
      <c r="C798" t="s">
        <v>37</v>
      </c>
      <c r="D798">
        <v>4.8193769999999896</v>
      </c>
      <c r="E798">
        <v>0.50458409999999998</v>
      </c>
      <c r="F798" t="s">
        <v>39</v>
      </c>
      <c r="G798">
        <v>-212.6148</v>
      </c>
      <c r="H798" s="1">
        <v>-3.949047E-6</v>
      </c>
      <c r="I798">
        <v>365.1148</v>
      </c>
      <c r="J798">
        <v>-236.4846</v>
      </c>
      <c r="K798">
        <v>1.107056</v>
      </c>
      <c r="L798">
        <v>368.36250000000001</v>
      </c>
      <c r="M798">
        <v>0.99868579999999996</v>
      </c>
      <c r="N798">
        <v>0</v>
      </c>
      <c r="O798">
        <v>4.4834190000000003E-2</v>
      </c>
      <c r="P798">
        <v>0.99261080000000002</v>
      </c>
      <c r="Q798">
        <v>-7.8388959999999997E-3</v>
      </c>
      <c r="R798">
        <v>-0.121088</v>
      </c>
      <c r="S798">
        <v>2.9725649999999999</v>
      </c>
      <c r="T798">
        <v>-0.13633589999999901</v>
      </c>
      <c r="U798">
        <v>-0.39840700000000001</v>
      </c>
      <c r="V798">
        <v>0.1654264</v>
      </c>
      <c r="W798">
        <v>1.7205649999999999E-2</v>
      </c>
      <c r="X798">
        <v>0.98607210000000001</v>
      </c>
      <c r="Y798">
        <v>0.17692769999999999</v>
      </c>
      <c r="Z798">
        <v>-6.0849629999999997E-3</v>
      </c>
      <c r="AA798">
        <v>0.984204999999999</v>
      </c>
      <c r="AB798">
        <v>44</v>
      </c>
      <c r="AC798">
        <v>23.869800000000001</v>
      </c>
      <c r="AD798">
        <v>-1.1070599490469999</v>
      </c>
      <c r="AE798">
        <v>-3.2477</v>
      </c>
      <c r="AF798">
        <v>4.3058518181268104</v>
      </c>
      <c r="AG798">
        <v>-1.1070599490469999</v>
      </c>
      <c r="AH798">
        <v>23.650182392362499</v>
      </c>
      <c r="AI798">
        <v>92.6367648163789</v>
      </c>
      <c r="AJ798">
        <v>79.681508725546607</v>
      </c>
      <c r="AK798">
        <v>24.064435767382101</v>
      </c>
    </row>
    <row r="799" spans="1:37" x14ac:dyDescent="0.2">
      <c r="A799" t="str">
        <f>"20200111153417711"</f>
        <v>20200111153417711</v>
      </c>
      <c r="B799" t="str">
        <f>"1578728057707344"</f>
        <v>1578728057707344</v>
      </c>
      <c r="C799" t="s">
        <v>37</v>
      </c>
      <c r="D799">
        <v>4.8555570000000001</v>
      </c>
      <c r="E799">
        <v>0.50436689999999995</v>
      </c>
      <c r="F799" t="s">
        <v>39</v>
      </c>
      <c r="G799">
        <v>-212.01410000000001</v>
      </c>
      <c r="H799" s="1">
        <v>-4.2082569999999999E-6</v>
      </c>
      <c r="I799">
        <v>365.10629999999998</v>
      </c>
      <c r="J799">
        <v>-236.24080000000001</v>
      </c>
      <c r="K799">
        <v>1.107027</v>
      </c>
      <c r="L799">
        <v>368.37400000000002</v>
      </c>
      <c r="M799">
        <v>0.99866089999999996</v>
      </c>
      <c r="N799">
        <v>0</v>
      </c>
      <c r="O799">
        <v>4.5390170000000001E-2</v>
      </c>
      <c r="P799">
        <v>0.99264769999999902</v>
      </c>
      <c r="Q799">
        <v>-6.9567750000000001E-3</v>
      </c>
      <c r="R799">
        <v>-0.12084110000000001</v>
      </c>
      <c r="S799">
        <v>2.973007</v>
      </c>
      <c r="T799">
        <v>-0.13450029999999999</v>
      </c>
      <c r="U799">
        <v>-0.39559939999999999</v>
      </c>
      <c r="V799">
        <v>0.1657293</v>
      </c>
      <c r="W799">
        <v>1.8062390000000001E-2</v>
      </c>
      <c r="X799">
        <v>0.98600580000000004</v>
      </c>
      <c r="Y799">
        <v>0.17654919999999999</v>
      </c>
      <c r="Z799">
        <v>-6.0191309999999996E-3</v>
      </c>
      <c r="AA799">
        <v>0.98427339999999997</v>
      </c>
      <c r="AB799">
        <v>44</v>
      </c>
      <c r="AC799">
        <v>24.226699999999902</v>
      </c>
      <c r="AD799">
        <v>-1.107031208257</v>
      </c>
      <c r="AE799">
        <v>-3.26770000000004</v>
      </c>
      <c r="AF799">
        <v>4.3553913940317397</v>
      </c>
      <c r="AG799">
        <v>-1.107031208257</v>
      </c>
      <c r="AH799">
        <v>24.004122661014499</v>
      </c>
      <c r="AI799">
        <v>92.598155437433903</v>
      </c>
      <c r="AJ799">
        <v>79.715937091360303</v>
      </c>
      <c r="AK799">
        <v>24.421155931206201</v>
      </c>
    </row>
    <row r="800" spans="1:37" x14ac:dyDescent="0.2">
      <c r="A800" t="str">
        <f>"20200111153417724"</f>
        <v>20200111153417724</v>
      </c>
      <c r="B800" t="str">
        <f>"1578728057717104"</f>
        <v>1578728057717104</v>
      </c>
      <c r="C800" t="s">
        <v>37</v>
      </c>
      <c r="D800">
        <v>4.8189849999999996</v>
      </c>
      <c r="E800">
        <v>0.50421669999999996</v>
      </c>
      <c r="F800" t="s">
        <v>39</v>
      </c>
      <c r="G800">
        <v>-211.2782</v>
      </c>
      <c r="H800" s="1">
        <v>-4.5299090000000001E-6</v>
      </c>
      <c r="I800">
        <v>365.07279999999997</v>
      </c>
      <c r="J800">
        <v>-235.9571</v>
      </c>
      <c r="K800">
        <v>1.1069819999999999</v>
      </c>
      <c r="L800">
        <v>368.38749999999999</v>
      </c>
      <c r="M800">
        <v>0.99863329999999995</v>
      </c>
      <c r="N800">
        <v>0</v>
      </c>
      <c r="O800">
        <v>4.5996269999999999E-2</v>
      </c>
      <c r="P800">
        <v>0.99259759999999997</v>
      </c>
      <c r="Q800">
        <v>-4.2193220000000002E-3</v>
      </c>
      <c r="R800">
        <v>-0.1213757</v>
      </c>
      <c r="S800">
        <v>2.9734340000000001</v>
      </c>
      <c r="T800">
        <v>-0.13186439999999999</v>
      </c>
      <c r="U800">
        <v>-0.39321899999999999</v>
      </c>
      <c r="V800">
        <v>0.1668539</v>
      </c>
      <c r="W800">
        <v>2.0763159999999999E-2</v>
      </c>
      <c r="X800">
        <v>0.98576299999999994</v>
      </c>
      <c r="Y800">
        <v>0.17636199999999999</v>
      </c>
      <c r="Z800">
        <v>-5.9233890000000003E-3</v>
      </c>
      <c r="AA800">
        <v>0.9843075</v>
      </c>
      <c r="AB800">
        <v>44</v>
      </c>
      <c r="AC800">
        <v>24.678899999999999</v>
      </c>
      <c r="AD800">
        <v>-1.10698652990899</v>
      </c>
      <c r="AE800">
        <v>-3.31470000000001</v>
      </c>
      <c r="AF800">
        <v>4.4379057140024099</v>
      </c>
      <c r="AG800">
        <v>-1.10698652990899</v>
      </c>
      <c r="AH800">
        <v>24.4519271707683</v>
      </c>
      <c r="AI800">
        <v>92.550511180951901</v>
      </c>
      <c r="AJ800">
        <v>79.7130717206078</v>
      </c>
      <c r="AK800">
        <v>24.876036032059702</v>
      </c>
    </row>
    <row r="801" spans="1:37" x14ac:dyDescent="0.2">
      <c r="A801" t="str">
        <f>"20200111153417738"</f>
        <v>20200111153417738</v>
      </c>
      <c r="B801" t="str">
        <f>"1578728057726864"</f>
        <v>1578728057726864</v>
      </c>
      <c r="C801" t="s">
        <v>37</v>
      </c>
      <c r="D801">
        <v>4.8308770000000001</v>
      </c>
      <c r="E801">
        <v>0.50409999999999999</v>
      </c>
      <c r="F801" t="s">
        <v>46</v>
      </c>
      <c r="G801">
        <v>-209.5044</v>
      </c>
      <c r="H801" s="1">
        <v>-5.8580940000000001E-6</v>
      </c>
      <c r="I801">
        <v>364.88549999999998</v>
      </c>
      <c r="J801">
        <v>-235.68170000000001</v>
      </c>
      <c r="K801">
        <v>1.106916</v>
      </c>
      <c r="L801">
        <v>368.40069999999997</v>
      </c>
      <c r="M801">
        <v>0.99860879999999996</v>
      </c>
      <c r="N801">
        <v>0</v>
      </c>
      <c r="O801">
        <v>4.653289E-2</v>
      </c>
      <c r="P801">
        <v>0.99260839999999995</v>
      </c>
      <c r="Q801">
        <v>-3.2726750000000001E-3</v>
      </c>
      <c r="R801">
        <v>-0.1213185</v>
      </c>
      <c r="S801">
        <v>2.9737089999999999</v>
      </c>
      <c r="T801">
        <v>-0.1244435</v>
      </c>
      <c r="U801">
        <v>-0.39367679999999999</v>
      </c>
      <c r="V801">
        <v>0.1673279</v>
      </c>
      <c r="W801">
        <v>2.1669899999999999E-2</v>
      </c>
      <c r="X801">
        <v>0.98566309999999902</v>
      </c>
      <c r="Y801">
        <v>0.1770505</v>
      </c>
      <c r="Z801">
        <v>-5.6264779999999999E-3</v>
      </c>
      <c r="AA801">
        <v>0.98418570000000005</v>
      </c>
      <c r="AB801">
        <v>44</v>
      </c>
      <c r="AC801">
        <v>26.177299999999999</v>
      </c>
      <c r="AD801">
        <v>-1.1069218580939999</v>
      </c>
      <c r="AE801">
        <v>-3.5151999999999899</v>
      </c>
      <c r="AF801">
        <v>4.7215771360612999</v>
      </c>
      <c r="AG801">
        <v>-1.1069218580939999</v>
      </c>
      <c r="AH801">
        <v>25.939742959503999</v>
      </c>
      <c r="AI801">
        <v>92.404036926063696</v>
      </c>
      <c r="AJ801">
        <v>79.683906914184703</v>
      </c>
      <c r="AK801">
        <v>26.3891801967556</v>
      </c>
    </row>
    <row r="802" spans="1:37" x14ac:dyDescent="0.2">
      <c r="A802" t="str">
        <f>"20200111153417753"</f>
        <v>20200111153417753</v>
      </c>
      <c r="B802" t="str">
        <f>"1578728057747360"</f>
        <v>1578728057747360</v>
      </c>
      <c r="C802" t="s">
        <v>37</v>
      </c>
      <c r="D802">
        <v>4.8454329999999999</v>
      </c>
      <c r="E802">
        <v>0.50402769999999997</v>
      </c>
      <c r="F802" t="s">
        <v>46</v>
      </c>
      <c r="G802">
        <v>-208.75219999999999</v>
      </c>
      <c r="H802" s="1">
        <v>-5.6125769999999998E-6</v>
      </c>
      <c r="I802">
        <v>364.84530000000001</v>
      </c>
      <c r="J802">
        <v>-235.41149999999999</v>
      </c>
      <c r="K802">
        <v>1.106827</v>
      </c>
      <c r="L802">
        <v>368.41370000000001</v>
      </c>
      <c r="M802">
        <v>0.99858840000000004</v>
      </c>
      <c r="N802">
        <v>0</v>
      </c>
      <c r="O802">
        <v>4.6969160000000003E-2</v>
      </c>
      <c r="P802">
        <v>0.99260230000000005</v>
      </c>
      <c r="Q802">
        <v>-3.007984E-3</v>
      </c>
      <c r="R802">
        <v>-0.1213755</v>
      </c>
      <c r="S802">
        <v>2.9739529999999998</v>
      </c>
      <c r="T802">
        <v>-0.122242899999999</v>
      </c>
      <c r="U802">
        <v>-0.39263920000000002</v>
      </c>
      <c r="V802">
        <v>0.167819</v>
      </c>
      <c r="W802">
        <v>2.188824E-2</v>
      </c>
      <c r="X802">
        <v>0.98557479999999997</v>
      </c>
      <c r="Y802">
        <v>0.17713870000000001</v>
      </c>
      <c r="Z802">
        <v>-5.5464109999999898E-3</v>
      </c>
      <c r="AA802">
        <v>0.98417030000000005</v>
      </c>
      <c r="AB802">
        <v>44</v>
      </c>
      <c r="AC802">
        <v>26.659300000000002</v>
      </c>
      <c r="AD802">
        <v>-1.1068326125770001</v>
      </c>
      <c r="AE802">
        <v>-3.5683999999999898</v>
      </c>
      <c r="AF802">
        <v>4.8088662499634296</v>
      </c>
      <c r="AG802">
        <v>-1.1068326125770001</v>
      </c>
      <c r="AH802">
        <v>26.417467954399299</v>
      </c>
      <c r="AI802">
        <v>92.360417380308107</v>
      </c>
      <c r="AJ802">
        <v>79.683207536806407</v>
      </c>
      <c r="AK802">
        <v>26.874390898474701</v>
      </c>
    </row>
    <row r="803" spans="1:37" x14ac:dyDescent="0.2">
      <c r="A803" t="str">
        <f>"20200111153417765"</f>
        <v>20200111153417765</v>
      </c>
      <c r="B803" t="str">
        <f>"1578728057757121"</f>
        <v>1578728057757121</v>
      </c>
      <c r="C803" t="s">
        <v>37</v>
      </c>
      <c r="D803">
        <v>4.8641199999999998</v>
      </c>
      <c r="E803">
        <v>0.50405199999999994</v>
      </c>
      <c r="F803" t="s">
        <v>46</v>
      </c>
      <c r="G803">
        <v>-208.5967</v>
      </c>
      <c r="H803" s="1">
        <v>-5.5555809999999902E-6</v>
      </c>
      <c r="I803">
        <v>364.8768</v>
      </c>
      <c r="J803">
        <v>-235.15369999999999</v>
      </c>
      <c r="K803">
        <v>1.1067340000000001</v>
      </c>
      <c r="L803">
        <v>368.42619999999999</v>
      </c>
      <c r="M803">
        <v>0.99857169999999895</v>
      </c>
      <c r="N803">
        <v>0</v>
      </c>
      <c r="O803">
        <v>4.7331640000000001E-2</v>
      </c>
      <c r="P803">
        <v>0.99258880000000005</v>
      </c>
      <c r="Q803">
        <v>-3.599976E-3</v>
      </c>
      <c r="R803">
        <v>-0.1214693</v>
      </c>
      <c r="S803">
        <v>2.9739990000000001</v>
      </c>
      <c r="T803">
        <v>-0.12275750000000001</v>
      </c>
      <c r="U803">
        <v>-0.39227289999999998</v>
      </c>
      <c r="V803">
        <v>0.1682767</v>
      </c>
      <c r="W803">
        <v>2.124943E-2</v>
      </c>
      <c r="X803">
        <v>0.98551080000000002</v>
      </c>
      <c r="Y803">
        <v>0.1773729</v>
      </c>
      <c r="Z803">
        <v>-5.5894129999999997E-3</v>
      </c>
      <c r="AA803">
        <v>0.98412790000000006</v>
      </c>
      <c r="AB803">
        <v>44</v>
      </c>
      <c r="AC803">
        <v>26.556999999999899</v>
      </c>
      <c r="AD803">
        <v>-1.106739555581</v>
      </c>
      <c r="AE803">
        <v>-3.5493999999999901</v>
      </c>
      <c r="AF803">
        <v>4.7946112793238296</v>
      </c>
      <c r="AG803">
        <v>-1.106739555581</v>
      </c>
      <c r="AH803">
        <v>26.314268045065202</v>
      </c>
      <c r="AI803">
        <v>92.369393152224006</v>
      </c>
      <c r="AJ803">
        <v>79.673658865105196</v>
      </c>
      <c r="AK803">
        <v>26.770391713817801</v>
      </c>
    </row>
    <row r="804" spans="1:37" x14ac:dyDescent="0.2">
      <c r="A804" t="str">
        <f>"20200111153417780"</f>
        <v>20200111153417780</v>
      </c>
      <c r="B804" t="str">
        <f>"1578728057777239"</f>
        <v>1578728057777239</v>
      </c>
      <c r="C804" t="s">
        <v>37</v>
      </c>
      <c r="D804">
        <v>4.8606550000000004</v>
      </c>
      <c r="E804">
        <v>0.50407250000000003</v>
      </c>
      <c r="F804" t="s">
        <v>46</v>
      </c>
      <c r="G804">
        <v>-208.88069999999999</v>
      </c>
      <c r="H804" s="1">
        <v>-5.6384540000000003E-6</v>
      </c>
      <c r="I804">
        <v>364.95499999999998</v>
      </c>
      <c r="J804">
        <v>-234.88390000000001</v>
      </c>
      <c r="K804">
        <v>1.1066180000000001</v>
      </c>
      <c r="L804">
        <v>368.43939999999998</v>
      </c>
      <c r="M804">
        <v>0.99855659999999902</v>
      </c>
      <c r="N804">
        <v>0</v>
      </c>
      <c r="O804">
        <v>4.7654929999999998E-2</v>
      </c>
      <c r="P804">
        <v>0.99251869999999998</v>
      </c>
      <c r="Q804">
        <v>-6.9243109999999998E-3</v>
      </c>
      <c r="R804">
        <v>-0.12189649999999901</v>
      </c>
      <c r="S804">
        <v>2.973862</v>
      </c>
      <c r="T804">
        <v>-0.125273</v>
      </c>
      <c r="U804">
        <v>-0.39291379999999998</v>
      </c>
      <c r="V804">
        <v>0.16903189999999901</v>
      </c>
      <c r="W804">
        <v>1.7872639999999999E-2</v>
      </c>
      <c r="X804">
        <v>0.98544849999999995</v>
      </c>
      <c r="Y804">
        <v>0.17789720000000001</v>
      </c>
      <c r="Z804">
        <v>-5.7285909999999999E-3</v>
      </c>
      <c r="AA804">
        <v>0.98403240000000003</v>
      </c>
      <c r="AB804">
        <v>43</v>
      </c>
      <c r="AC804">
        <v>26.0032</v>
      </c>
      <c r="AD804">
        <v>-1.106623638454</v>
      </c>
      <c r="AE804">
        <v>-3.4843999999999902</v>
      </c>
      <c r="AF804">
        <v>4.7116171370852902</v>
      </c>
      <c r="AG804">
        <v>-1.106623638454</v>
      </c>
      <c r="AH804">
        <v>25.7617042667353</v>
      </c>
      <c r="AI804">
        <v>92.419608254277804</v>
      </c>
      <c r="AJ804">
        <v>79.635592180073402</v>
      </c>
      <c r="AK804">
        <v>26.212389411314401</v>
      </c>
    </row>
    <row r="805" spans="1:37" x14ac:dyDescent="0.2">
      <c r="A805" t="str">
        <f>"20200111153417795"</f>
        <v>20200111153417795</v>
      </c>
      <c r="B805" t="str">
        <f>"1578728057786998"</f>
        <v>1578728057786998</v>
      </c>
      <c r="C805" t="s">
        <v>37</v>
      </c>
      <c r="D805">
        <v>4.848935</v>
      </c>
      <c r="E805">
        <v>0.50405509999999998</v>
      </c>
      <c r="F805" t="s">
        <v>39</v>
      </c>
      <c r="G805">
        <v>-210.73079999999999</v>
      </c>
      <c r="H805" s="1">
        <v>-4.7361600000000002E-6</v>
      </c>
      <c r="I805">
        <v>365.23390000000001</v>
      </c>
      <c r="J805">
        <v>-234.58410000000001</v>
      </c>
      <c r="K805">
        <v>1.1064929999999999</v>
      </c>
      <c r="L805">
        <v>368.45400000000001</v>
      </c>
      <c r="M805">
        <v>0.99854449999999995</v>
      </c>
      <c r="N805">
        <v>0</v>
      </c>
      <c r="O805">
        <v>4.7912030000000001E-2</v>
      </c>
      <c r="P805">
        <v>0.99249330000000002</v>
      </c>
      <c r="Q805">
        <v>-8.2924130000000002E-3</v>
      </c>
      <c r="R805">
        <v>-0.1220194</v>
      </c>
      <c r="S805">
        <v>2.9731900000000002</v>
      </c>
      <c r="T805">
        <v>-0.1362225</v>
      </c>
      <c r="U805">
        <v>-0.39459229999999901</v>
      </c>
      <c r="V805">
        <v>0.16941500000000001</v>
      </c>
      <c r="W805">
        <v>1.644377E-2</v>
      </c>
      <c r="X805">
        <v>0.98540759999999905</v>
      </c>
      <c r="Y805">
        <v>0.17868819999999999</v>
      </c>
      <c r="Z805">
        <v>-6.2597379999999999E-3</v>
      </c>
      <c r="AA805">
        <v>0.98388580000000003</v>
      </c>
      <c r="AB805">
        <v>43</v>
      </c>
      <c r="AC805">
        <v>23.853300000000001</v>
      </c>
      <c r="AD805">
        <v>-1.1064977361599999</v>
      </c>
      <c r="AE805">
        <v>-3.2201</v>
      </c>
      <c r="AF805">
        <v>4.3504165620402997</v>
      </c>
      <c r="AG805">
        <v>-1.1064977361599999</v>
      </c>
      <c r="AH805">
        <v>23.621640639722301</v>
      </c>
      <c r="AI805">
        <v>92.637624245928393</v>
      </c>
      <c r="AJ805">
        <v>79.564725858213194</v>
      </c>
      <c r="AK805">
        <v>24.0443832945572</v>
      </c>
    </row>
    <row r="806" spans="1:37" x14ac:dyDescent="0.2">
      <c r="A806" t="str">
        <f>"20200111153417809"</f>
        <v>20200111153417809</v>
      </c>
      <c r="B806" t="str">
        <f>"1578728057796759"</f>
        <v>1578728057796759</v>
      </c>
      <c r="C806" t="s">
        <v>37</v>
      </c>
      <c r="D806">
        <v>4.8201349999999996</v>
      </c>
      <c r="E806">
        <v>0.50409589999999904</v>
      </c>
      <c r="F806" t="s">
        <v>39</v>
      </c>
      <c r="G806">
        <v>-211.27109999999999</v>
      </c>
      <c r="H806" s="1">
        <v>-4.4820840000000002E-6</v>
      </c>
      <c r="I806">
        <v>365.3596</v>
      </c>
      <c r="J806">
        <v>-234.32210000000001</v>
      </c>
      <c r="K806">
        <v>1.106387</v>
      </c>
      <c r="L806">
        <v>368.46679999999998</v>
      </c>
      <c r="M806">
        <v>0.99853749999999997</v>
      </c>
      <c r="N806">
        <v>0</v>
      </c>
      <c r="O806">
        <v>4.8062019999999997E-2</v>
      </c>
      <c r="P806">
        <v>0.99238519999999897</v>
      </c>
      <c r="Q806">
        <v>-1.038361E-2</v>
      </c>
      <c r="R806">
        <v>-0.12273539999999999</v>
      </c>
      <c r="S806">
        <v>2.9729919999999899</v>
      </c>
      <c r="T806">
        <v>-0.1411058</v>
      </c>
      <c r="U806">
        <v>-0.3946228</v>
      </c>
      <c r="V806">
        <v>0.17028099999999999</v>
      </c>
      <c r="W806">
        <v>1.429778E-2</v>
      </c>
      <c r="X806">
        <v>0.98529179999999905</v>
      </c>
      <c r="Y806">
        <v>0.178837</v>
      </c>
      <c r="Z806">
        <v>-6.4949229999999997E-3</v>
      </c>
      <c r="AA806">
        <v>0.98385730000000005</v>
      </c>
      <c r="AB806">
        <v>43</v>
      </c>
      <c r="AC806">
        <v>23.050999999999998</v>
      </c>
      <c r="AD806">
        <v>-1.106391482084</v>
      </c>
      <c r="AE806">
        <v>-3.10719999999997</v>
      </c>
      <c r="AF806">
        <v>4.2023158835166097</v>
      </c>
      <c r="AG806">
        <v>-1.106391482084</v>
      </c>
      <c r="AH806">
        <v>22.823319521615701</v>
      </c>
      <c r="AI806">
        <v>92.729507777876293</v>
      </c>
      <c r="AJ806">
        <v>79.567331748814397</v>
      </c>
      <c r="AK806">
        <v>23.2333268147773</v>
      </c>
    </row>
    <row r="807" spans="1:37" x14ac:dyDescent="0.2">
      <c r="A807" t="str">
        <f>"20200111153417824"</f>
        <v>20200111153417824</v>
      </c>
      <c r="B807" t="str">
        <f>"1578728057817254"</f>
        <v>1578728057817254</v>
      </c>
      <c r="C807" t="s">
        <v>37</v>
      </c>
      <c r="D807">
        <v>4.866981</v>
      </c>
      <c r="E807">
        <v>0.50420089999999995</v>
      </c>
      <c r="F807" t="s">
        <v>39</v>
      </c>
      <c r="G807">
        <v>-212.0651</v>
      </c>
      <c r="H807" s="1">
        <v>-4.1176759999999997E-6</v>
      </c>
      <c r="I807">
        <v>365.49360000000001</v>
      </c>
      <c r="J807">
        <v>-234.04580000000001</v>
      </c>
      <c r="K807">
        <v>1.1062719999999999</v>
      </c>
      <c r="L807">
        <v>368.48020000000002</v>
      </c>
      <c r="M807">
        <v>0.99853329999999996</v>
      </c>
      <c r="N807">
        <v>0</v>
      </c>
      <c r="O807">
        <v>4.8153179999999997E-2</v>
      </c>
      <c r="P807">
        <v>0.99228629999999995</v>
      </c>
      <c r="Q807">
        <v>-1.1684659999999999E-2</v>
      </c>
      <c r="R807">
        <v>-0.1234174</v>
      </c>
      <c r="S807">
        <v>2.9723660000000001</v>
      </c>
      <c r="T807">
        <v>-0.14775559999999999</v>
      </c>
      <c r="U807">
        <v>-0.39706419999999998</v>
      </c>
      <c r="V807">
        <v>0.17105319999999999</v>
      </c>
      <c r="W807">
        <v>1.2937010000000001E-2</v>
      </c>
      <c r="X807">
        <v>0.98517690000000002</v>
      </c>
      <c r="Y807">
        <v>0.1797223</v>
      </c>
      <c r="Z807">
        <v>-6.82811099999999E-3</v>
      </c>
      <c r="AA807">
        <v>0.9836937</v>
      </c>
      <c r="AB807">
        <v>43</v>
      </c>
      <c r="AC807">
        <v>21.980699999999999</v>
      </c>
      <c r="AD807">
        <v>-1.1062761176760001</v>
      </c>
      <c r="AE807">
        <v>-2.9866000000000001</v>
      </c>
      <c r="AF807">
        <v>4.0318704131606697</v>
      </c>
      <c r="AG807">
        <v>-1.1062761176760001</v>
      </c>
      <c r="AH807">
        <v>21.7572144529782</v>
      </c>
      <c r="AI807">
        <v>92.862132014380293</v>
      </c>
      <c r="AJ807">
        <v>79.501504501489194</v>
      </c>
      <c r="AK807">
        <v>22.1552749165959</v>
      </c>
    </row>
    <row r="808" spans="1:37" x14ac:dyDescent="0.2">
      <c r="A808" t="str">
        <f>"20200111153417835"</f>
        <v>20200111153417835</v>
      </c>
      <c r="B808" t="str">
        <f>"1578728057827014"</f>
        <v>1578728057827014</v>
      </c>
      <c r="C808" t="s">
        <v>37</v>
      </c>
      <c r="D808">
        <v>4.8604070000000004</v>
      </c>
      <c r="E808">
        <v>0.50421539999999998</v>
      </c>
      <c r="F808" t="s">
        <v>39</v>
      </c>
      <c r="G808">
        <v>-212.5455</v>
      </c>
      <c r="H808" s="1">
        <v>-3.8953339999999901E-6</v>
      </c>
      <c r="I808">
        <v>365.58519999999999</v>
      </c>
      <c r="J808">
        <v>-233.81280000000001</v>
      </c>
      <c r="K808">
        <v>1.106176</v>
      </c>
      <c r="L808">
        <v>368.49160000000001</v>
      </c>
      <c r="M808">
        <v>0.99853309999999995</v>
      </c>
      <c r="N808">
        <v>0</v>
      </c>
      <c r="O808">
        <v>4.8160460000000002E-2</v>
      </c>
      <c r="P808">
        <v>0.99211640000000001</v>
      </c>
      <c r="Q808">
        <v>-1.1696160000000001E-2</v>
      </c>
      <c r="R808">
        <v>-0.1247751</v>
      </c>
      <c r="S808">
        <v>2.9717709999999999</v>
      </c>
      <c r="T808">
        <v>-0.15290909999999999</v>
      </c>
      <c r="U808">
        <v>-0.40014650000000002</v>
      </c>
      <c r="V808">
        <v>0.17241139999999999</v>
      </c>
      <c r="W808">
        <v>1.287026E-2</v>
      </c>
      <c r="X808">
        <v>0.98494090000000001</v>
      </c>
      <c r="Y808">
        <v>0.18073639999999999</v>
      </c>
      <c r="Z808">
        <v>-7.0932189999999996E-3</v>
      </c>
      <c r="AA808">
        <v>0.98350599999999999</v>
      </c>
      <c r="AB808">
        <v>43</v>
      </c>
      <c r="AC808">
        <v>21.267299999999999</v>
      </c>
      <c r="AD808">
        <v>-1.1061798953340001</v>
      </c>
      <c r="AE808">
        <v>-2.9064000000000099</v>
      </c>
      <c r="AF808">
        <v>3.9171788739537599</v>
      </c>
      <c r="AG808">
        <v>-1.1061798953340001</v>
      </c>
      <c r="AH808">
        <v>21.0466949107585</v>
      </c>
      <c r="AI808">
        <v>92.957901966864199</v>
      </c>
      <c r="AJ808">
        <v>79.4568307699776</v>
      </c>
      <c r="AK808">
        <v>21.436680968796001</v>
      </c>
    </row>
    <row r="809" spans="1:37" x14ac:dyDescent="0.2">
      <c r="A809" t="str">
        <f>"20200111153417851"</f>
        <v>20200111153417851</v>
      </c>
      <c r="B809" t="str">
        <f>"1578728057847511"</f>
        <v>1578728057847511</v>
      </c>
      <c r="C809" t="s">
        <v>37</v>
      </c>
      <c r="D809">
        <v>4.8656059999999997</v>
      </c>
      <c r="E809">
        <v>0.50430759999999997</v>
      </c>
      <c r="F809" t="s">
        <v>39</v>
      </c>
      <c r="G809">
        <v>-212.43620000000001</v>
      </c>
      <c r="H809" s="1">
        <v>-3.9424370000000001E-6</v>
      </c>
      <c r="I809">
        <v>365.58409999999998</v>
      </c>
      <c r="J809">
        <v>-233.5204</v>
      </c>
      <c r="K809">
        <v>1.1060490000000001</v>
      </c>
      <c r="L809">
        <v>368.50569999999999</v>
      </c>
      <c r="M809">
        <v>0.99853819999999904</v>
      </c>
      <c r="N809">
        <v>0</v>
      </c>
      <c r="O809">
        <v>4.80586E-2</v>
      </c>
      <c r="P809">
        <v>0.99205519999999903</v>
      </c>
      <c r="Q809">
        <v>-1.0566239999999999E-2</v>
      </c>
      <c r="R809">
        <v>-0.12536</v>
      </c>
      <c r="S809">
        <v>2.9711910000000001</v>
      </c>
      <c r="T809">
        <v>-0.1537502</v>
      </c>
      <c r="U809">
        <v>-0.40411379999999902</v>
      </c>
      <c r="V809">
        <v>0.17289579999999999</v>
      </c>
      <c r="W809">
        <v>1.39297E-2</v>
      </c>
      <c r="X809">
        <v>0.98484159999999898</v>
      </c>
      <c r="Y809">
        <v>0.1819461</v>
      </c>
      <c r="Z809">
        <v>-7.1588340000000002E-3</v>
      </c>
      <c r="AA809">
        <v>0.9832824</v>
      </c>
      <c r="AB809">
        <v>43</v>
      </c>
      <c r="AC809">
        <v>21.0841999999999</v>
      </c>
      <c r="AD809">
        <v>-1.106052942437</v>
      </c>
      <c r="AE809">
        <v>-2.92160000000001</v>
      </c>
      <c r="AF809">
        <v>3.9212216931961801</v>
      </c>
      <c r="AG809">
        <v>-1.106052942437</v>
      </c>
      <c r="AH809">
        <v>20.8630396714413</v>
      </c>
      <c r="AI809">
        <v>92.982565505149694</v>
      </c>
      <c r="AJ809">
        <v>79.355403797208695</v>
      </c>
      <c r="AK809">
        <v>21.257134261485</v>
      </c>
    </row>
    <row r="810" spans="1:37" x14ac:dyDescent="0.2">
      <c r="A810" t="str">
        <f>"20200111153417864"</f>
        <v>20200111153417864</v>
      </c>
      <c r="B810" t="str">
        <f>"1578728057857270"</f>
        <v>1578728057857270</v>
      </c>
      <c r="C810" t="s">
        <v>37</v>
      </c>
      <c r="D810">
        <v>4.884563</v>
      </c>
      <c r="E810">
        <v>0.50434209999999902</v>
      </c>
      <c r="F810" t="s">
        <v>39</v>
      </c>
      <c r="G810">
        <v>-211.80789999999999</v>
      </c>
      <c r="H810" s="1">
        <v>-4.220859E-6</v>
      </c>
      <c r="I810">
        <v>365.53410000000002</v>
      </c>
      <c r="J810">
        <v>-233.28739999999999</v>
      </c>
      <c r="K810">
        <v>1.1059349999999999</v>
      </c>
      <c r="L810">
        <v>368.51690000000002</v>
      </c>
      <c r="M810">
        <v>0.99854580000000004</v>
      </c>
      <c r="N810">
        <v>0</v>
      </c>
      <c r="O810">
        <v>4.790867E-2</v>
      </c>
      <c r="P810">
        <v>0.99208459999999998</v>
      </c>
      <c r="Q810">
        <v>-8.7282690000000003E-3</v>
      </c>
      <c r="R810">
        <v>-0.1252683</v>
      </c>
      <c r="S810">
        <v>2.9710540000000001</v>
      </c>
      <c r="T810">
        <v>-0.15134729999999999</v>
      </c>
      <c r="U810">
        <v>-0.40661619999999998</v>
      </c>
      <c r="V810">
        <v>0.17266099999999901</v>
      </c>
      <c r="W810">
        <v>1.570763E-2</v>
      </c>
      <c r="X810">
        <v>0.98485610000000001</v>
      </c>
      <c r="Y810">
        <v>0.18262629999999999</v>
      </c>
      <c r="Z810">
        <v>-7.0566600000000002E-3</v>
      </c>
      <c r="AA810">
        <v>0.98315710000000001</v>
      </c>
      <c r="AB810">
        <v>43</v>
      </c>
      <c r="AC810">
        <v>21.479500000000002</v>
      </c>
      <c r="AD810">
        <v>-1.105939220859</v>
      </c>
      <c r="AE810">
        <v>-2.9827999999999899</v>
      </c>
      <c r="AF810">
        <v>3.99834246105774</v>
      </c>
      <c r="AG810">
        <v>-1.105939220859</v>
      </c>
      <c r="AH810">
        <v>21.256589118121699</v>
      </c>
      <c r="AI810">
        <v>92.927063370167502</v>
      </c>
      <c r="AJ810">
        <v>79.347195553720596</v>
      </c>
      <c r="AK810">
        <v>21.657618173122898</v>
      </c>
    </row>
    <row r="811" spans="1:37" x14ac:dyDescent="0.2">
      <c r="A811" t="str">
        <f>"20200111153417875"</f>
        <v>20200111153417875</v>
      </c>
      <c r="B811" t="str">
        <f>"1578728057867031"</f>
        <v>1578728057867031</v>
      </c>
      <c r="C811" t="s">
        <v>37</v>
      </c>
      <c r="D811">
        <v>4.8907949999999998</v>
      </c>
      <c r="E811">
        <v>0.50438769999999999</v>
      </c>
      <c r="F811" t="s">
        <v>39</v>
      </c>
      <c r="G811">
        <v>-210.86250000000001</v>
      </c>
      <c r="H811" s="1">
        <v>-4.6412279999999996E-6</v>
      </c>
      <c r="I811">
        <v>365.45069999999998</v>
      </c>
      <c r="J811">
        <v>-233.0421</v>
      </c>
      <c r="K811">
        <v>1.105807</v>
      </c>
      <c r="L811">
        <v>368.52859999999998</v>
      </c>
      <c r="M811">
        <v>0.99855729999999998</v>
      </c>
      <c r="N811">
        <v>0</v>
      </c>
      <c r="O811">
        <v>4.7672150000000003E-2</v>
      </c>
      <c r="P811">
        <v>0.99209570000000002</v>
      </c>
      <c r="Q811">
        <v>-7.2660600000000004E-3</v>
      </c>
      <c r="R811">
        <v>-0.1252742</v>
      </c>
      <c r="S811">
        <v>2.9713590000000001</v>
      </c>
      <c r="T811">
        <v>-0.14653939999999999</v>
      </c>
      <c r="U811">
        <v>-0.40628049999999999</v>
      </c>
      <c r="V811">
        <v>0.17243919999999999</v>
      </c>
      <c r="W811">
        <v>1.7100279999999999E-2</v>
      </c>
      <c r="X811">
        <v>0.98487169999999902</v>
      </c>
      <c r="Y811">
        <v>0.18228989999999901</v>
      </c>
      <c r="Z811">
        <v>-6.8122499999999997E-3</v>
      </c>
      <c r="AA811">
        <v>0.98322119999999902</v>
      </c>
      <c r="AB811">
        <v>42</v>
      </c>
      <c r="AC811">
        <v>22.179599999999901</v>
      </c>
      <c r="AD811">
        <v>-1.1058116412279999</v>
      </c>
      <c r="AE811">
        <v>-3.0779000000000001</v>
      </c>
      <c r="AF811">
        <v>4.12201796454376</v>
      </c>
      <c r="AG811">
        <v>-1.1058116412279999</v>
      </c>
      <c r="AH811">
        <v>21.954051362405298</v>
      </c>
      <c r="AI811">
        <v>92.834076478709406</v>
      </c>
      <c r="AJ811">
        <v>79.366142794005796</v>
      </c>
      <c r="AK811">
        <v>22.365022305131401</v>
      </c>
    </row>
    <row r="812" spans="1:37" x14ac:dyDescent="0.2">
      <c r="A812" t="str">
        <f>"20200111153417888"</f>
        <v>20200111153417888</v>
      </c>
      <c r="B812" t="str">
        <f>"1578728057876791"</f>
        <v>1578728057876791</v>
      </c>
      <c r="C812" t="s">
        <v>37</v>
      </c>
      <c r="D812">
        <v>4.8849429999999998</v>
      </c>
      <c r="E812">
        <v>0.5044324</v>
      </c>
      <c r="F812" t="s">
        <v>39</v>
      </c>
      <c r="G812">
        <v>-210.06290000000001</v>
      </c>
      <c r="H812" s="1">
        <v>-4.9961420000000002E-6</v>
      </c>
      <c r="I812">
        <v>365.3836</v>
      </c>
      <c r="J812">
        <v>-232.8176</v>
      </c>
      <c r="K812">
        <v>1.10568</v>
      </c>
      <c r="L812">
        <v>368.53910000000002</v>
      </c>
      <c r="M812">
        <v>0.99857299999999904</v>
      </c>
      <c r="N812">
        <v>0</v>
      </c>
      <c r="O812">
        <v>4.735313E-2</v>
      </c>
      <c r="P812">
        <v>0.99210589999999999</v>
      </c>
      <c r="Q812">
        <v>-6.0850990000000001E-3</v>
      </c>
      <c r="R812">
        <v>-0.12525739999999999</v>
      </c>
      <c r="S812">
        <v>2.9715119999999899</v>
      </c>
      <c r="T812">
        <v>-0.14299519999999999</v>
      </c>
      <c r="U812">
        <v>-0.40667720000000002</v>
      </c>
      <c r="V812">
        <v>0.17211399999999999</v>
      </c>
      <c r="W812">
        <v>1.8206369999999999E-2</v>
      </c>
      <c r="X812">
        <v>0.98490880000000003</v>
      </c>
      <c r="Y812">
        <v>0.18211160000000001</v>
      </c>
      <c r="Z812">
        <v>-6.6277250000000001E-3</v>
      </c>
      <c r="AA812">
        <v>0.98325560000000001</v>
      </c>
      <c r="AB812">
        <v>42</v>
      </c>
      <c r="AC812">
        <v>22.7546999999999</v>
      </c>
      <c r="AD812">
        <v>-1.1056849961419899</v>
      </c>
      <c r="AE812">
        <v>-3.1555000000000102</v>
      </c>
      <c r="AF812">
        <v>4.22001687556872</v>
      </c>
      <c r="AG812">
        <v>-1.1056849961419899</v>
      </c>
      <c r="AH812">
        <v>22.527503223114401</v>
      </c>
      <c r="AI812">
        <v>92.761945060294195</v>
      </c>
      <c r="AJ812">
        <v>79.389902667667997</v>
      </c>
      <c r="AK812">
        <v>22.946012359628099</v>
      </c>
    </row>
    <row r="813" spans="1:37" x14ac:dyDescent="0.2">
      <c r="A813" t="str">
        <f>"20200111153417904"</f>
        <v>20200111153417904</v>
      </c>
      <c r="B813" t="str">
        <f>"1578728057897286"</f>
        <v>1578728057897286</v>
      </c>
      <c r="C813" t="s">
        <v>37</v>
      </c>
      <c r="D813">
        <v>4.8345029999999998</v>
      </c>
      <c r="E813">
        <v>0.50452509999999995</v>
      </c>
      <c r="F813" t="s">
        <v>46</v>
      </c>
      <c r="G813">
        <v>-209.33869999999999</v>
      </c>
      <c r="H813" s="1">
        <v>-5.7343920000000003E-6</v>
      </c>
      <c r="I813">
        <v>365.32229999999998</v>
      </c>
      <c r="J813">
        <v>-232.5325</v>
      </c>
      <c r="K813">
        <v>1.10551</v>
      </c>
      <c r="L813">
        <v>368.55220000000003</v>
      </c>
      <c r="M813">
        <v>0.99859679999999995</v>
      </c>
      <c r="N813">
        <v>0</v>
      </c>
      <c r="O813">
        <v>4.6862229999999998E-2</v>
      </c>
      <c r="P813">
        <v>0.99214449999999998</v>
      </c>
      <c r="Q813">
        <v>-5.2019279999999998E-3</v>
      </c>
      <c r="R813">
        <v>-0.1249884</v>
      </c>
      <c r="S813">
        <v>2.971619</v>
      </c>
      <c r="T813">
        <v>-0.13994179999999901</v>
      </c>
      <c r="U813">
        <v>-0.40713499999999903</v>
      </c>
      <c r="V813">
        <v>0.17137179999999999</v>
      </c>
      <c r="W813">
        <v>1.8986340000000001E-2</v>
      </c>
      <c r="X813">
        <v>0.98502350000000005</v>
      </c>
      <c r="Y813">
        <v>0.181784</v>
      </c>
      <c r="Z813">
        <v>-6.4553650000000002E-3</v>
      </c>
      <c r="AA813">
        <v>0.98331729999999995</v>
      </c>
      <c r="AB813">
        <v>42</v>
      </c>
      <c r="AC813">
        <v>23.1938</v>
      </c>
      <c r="AD813">
        <v>-1.1055157343919999</v>
      </c>
      <c r="AE813">
        <v>-3.2299000000000402</v>
      </c>
      <c r="AF813">
        <v>4.3040011358180896</v>
      </c>
      <c r="AG813">
        <v>-1.1055157343919999</v>
      </c>
      <c r="AH813">
        <v>22.9657136568038</v>
      </c>
      <c r="AI813">
        <v>92.708868930703105</v>
      </c>
      <c r="AJ813">
        <v>79.385334153369499</v>
      </c>
      <c r="AK813">
        <v>23.391677891558299</v>
      </c>
    </row>
    <row r="814" spans="1:37" x14ac:dyDescent="0.2">
      <c r="A814" t="str">
        <f>"20200111153417917"</f>
        <v>20200111153417917</v>
      </c>
      <c r="B814" t="str">
        <f>"1578728057907046"</f>
        <v>1578728057907046</v>
      </c>
      <c r="C814" t="s">
        <v>37</v>
      </c>
      <c r="D814">
        <v>4.854749</v>
      </c>
      <c r="E814">
        <v>0.50458320000000001</v>
      </c>
      <c r="F814" t="s">
        <v>46</v>
      </c>
      <c r="G814">
        <v>-208.7748</v>
      </c>
      <c r="H814" s="1">
        <v>-5.5493859999999998E-6</v>
      </c>
      <c r="I814">
        <v>365.29829999999998</v>
      </c>
      <c r="J814">
        <v>-232.2637</v>
      </c>
      <c r="K814">
        <v>1.1053249999999999</v>
      </c>
      <c r="L814">
        <v>368.56439999999998</v>
      </c>
      <c r="M814">
        <v>0.99862459999999997</v>
      </c>
      <c r="N814">
        <v>0</v>
      </c>
      <c r="O814">
        <v>4.6287269999999998E-2</v>
      </c>
      <c r="P814">
        <v>0.99214650000000004</v>
      </c>
      <c r="Q814">
        <v>-4.6044429999999997E-3</v>
      </c>
      <c r="R814">
        <v>-0.1249979</v>
      </c>
      <c r="S814">
        <v>2.9717410000000002</v>
      </c>
      <c r="T814">
        <v>-0.13828379999999901</v>
      </c>
      <c r="U814">
        <v>-0.40701290000000001</v>
      </c>
      <c r="V814">
        <v>0.170823</v>
      </c>
      <c r="W814">
        <v>1.9473580000000001E-2</v>
      </c>
      <c r="X814">
        <v>0.98510929999999997</v>
      </c>
      <c r="Y814">
        <v>0.1811799</v>
      </c>
      <c r="Z814">
        <v>-6.3380919999999896E-3</v>
      </c>
      <c r="AA814">
        <v>0.98342960000000001</v>
      </c>
      <c r="AB814">
        <v>42</v>
      </c>
      <c r="AC814">
        <v>23.488900000000001</v>
      </c>
      <c r="AD814">
        <v>-1.1053305493859999</v>
      </c>
      <c r="AE814">
        <v>-3.26609999999999</v>
      </c>
      <c r="AF814">
        <v>4.3407341611111701</v>
      </c>
      <c r="AG814">
        <v>-1.1053305493859999</v>
      </c>
      <c r="AH814">
        <v>23.2619493505027</v>
      </c>
      <c r="AI814">
        <v>92.674364776897406</v>
      </c>
      <c r="AJ814">
        <v>79.430038218325805</v>
      </c>
      <c r="AK814">
        <v>23.689280619432001</v>
      </c>
    </row>
    <row r="815" spans="1:37" x14ac:dyDescent="0.2">
      <c r="A815" t="str">
        <f>"20200111153417931"</f>
        <v>20200111153417931</v>
      </c>
      <c r="B815" t="str">
        <f>"1578728057927542"</f>
        <v>1578728057927542</v>
      </c>
      <c r="C815" t="s">
        <v>37</v>
      </c>
      <c r="D815">
        <v>4.8755899999999999</v>
      </c>
      <c r="E815">
        <v>0.50478290000000003</v>
      </c>
      <c r="F815" t="s">
        <v>46</v>
      </c>
      <c r="G815">
        <v>-208.3091</v>
      </c>
      <c r="H815" s="1">
        <v>-5.3966219999999902E-6</v>
      </c>
      <c r="I815">
        <v>365.27820000000003</v>
      </c>
      <c r="J815">
        <v>-232.03020000000001</v>
      </c>
      <c r="K815">
        <v>1.1051549999999899</v>
      </c>
      <c r="L815">
        <v>368.57470000000001</v>
      </c>
      <c r="M815">
        <v>0.99865509999999902</v>
      </c>
      <c r="N815">
        <v>0</v>
      </c>
      <c r="O815">
        <v>4.5647920000000002E-2</v>
      </c>
      <c r="P815">
        <v>0.99216209999999905</v>
      </c>
      <c r="Q815">
        <v>-4.04849599999999E-3</v>
      </c>
      <c r="R815">
        <v>-0.124894699999999</v>
      </c>
      <c r="S815">
        <v>2.9717709999999999</v>
      </c>
      <c r="T815">
        <v>-0.1371251</v>
      </c>
      <c r="U815">
        <v>-0.4076843</v>
      </c>
      <c r="V815">
        <v>0.1700982</v>
      </c>
      <c r="W815">
        <v>1.992267E-2</v>
      </c>
      <c r="X815">
        <v>0.98522569999999998</v>
      </c>
      <c r="Y815">
        <v>0.18077209999999999</v>
      </c>
      <c r="Z815">
        <v>-6.2461419999999997E-3</v>
      </c>
      <c r="AA815">
        <v>0.98350519999999997</v>
      </c>
      <c r="AB815">
        <v>42</v>
      </c>
      <c r="AC815">
        <v>23.7211</v>
      </c>
      <c r="AD815">
        <v>-1.1051603966219901</v>
      </c>
      <c r="AE815">
        <v>-3.29649999999998</v>
      </c>
      <c r="AF815">
        <v>4.36690854618739</v>
      </c>
      <c r="AG815">
        <v>-1.1051603966219901</v>
      </c>
      <c r="AH815">
        <v>23.495800237929899</v>
      </c>
      <c r="AI815">
        <v>92.647731864686605</v>
      </c>
      <c r="AJ815">
        <v>79.471194663486102</v>
      </c>
      <c r="AK815">
        <v>23.923709966761699</v>
      </c>
    </row>
    <row r="816" spans="1:37" x14ac:dyDescent="0.2">
      <c r="A816" t="str">
        <f>"20200111153417944"</f>
        <v>20200111153417944</v>
      </c>
      <c r="B816" t="str">
        <f>"1578728057937303"</f>
        <v>1578728057937303</v>
      </c>
      <c r="C816" t="s">
        <v>37</v>
      </c>
      <c r="D816">
        <v>4.8875129999999896</v>
      </c>
      <c r="E816">
        <v>0.50492820000000005</v>
      </c>
      <c r="F816" t="s">
        <v>46</v>
      </c>
      <c r="G816">
        <v>-207.95959999999999</v>
      </c>
      <c r="H816" s="1">
        <v>-5.2822349999999898E-6</v>
      </c>
      <c r="I816">
        <v>365.26159999999999</v>
      </c>
      <c r="J816">
        <v>-231.78530000000001</v>
      </c>
      <c r="K816">
        <v>1.104967</v>
      </c>
      <c r="L816">
        <v>368.58539999999999</v>
      </c>
      <c r="M816">
        <v>0.99869010000000003</v>
      </c>
      <c r="N816">
        <v>0</v>
      </c>
      <c r="O816">
        <v>4.4901049999999998E-2</v>
      </c>
      <c r="P816">
        <v>0.99220379999999997</v>
      </c>
      <c r="Q816">
        <v>-3.7498520000000001E-3</v>
      </c>
      <c r="R816">
        <v>-0.1245706</v>
      </c>
      <c r="S816">
        <v>2.9716490000000002</v>
      </c>
      <c r="T816">
        <v>-0.13643829999999901</v>
      </c>
      <c r="U816">
        <v>-0.40902709999999998</v>
      </c>
      <c r="V816">
        <v>0.1690487</v>
      </c>
      <c r="W816">
        <v>2.0103360000000001E-2</v>
      </c>
      <c r="X816">
        <v>0.98540260000000002</v>
      </c>
      <c r="Y816">
        <v>0.18048159999999999</v>
      </c>
      <c r="Z816">
        <v>-6.1741699999999997E-3</v>
      </c>
      <c r="AA816">
        <v>0.98355899999999996</v>
      </c>
      <c r="AB816">
        <v>42</v>
      </c>
      <c r="AC816">
        <v>23.825700000000001</v>
      </c>
      <c r="AD816">
        <v>-1.1049722822350001</v>
      </c>
      <c r="AE816">
        <v>-3.3237999999999999</v>
      </c>
      <c r="AF816">
        <v>4.3813231167073798</v>
      </c>
      <c r="AG816">
        <v>-1.1049722822350001</v>
      </c>
      <c r="AH816">
        <v>23.602572178915899</v>
      </c>
      <c r="AI816">
        <v>92.635431830849001</v>
      </c>
      <c r="AJ816">
        <v>79.483936430816499</v>
      </c>
      <c r="AK816">
        <v>24.031195755900999</v>
      </c>
    </row>
    <row r="817" spans="1:37" x14ac:dyDescent="0.2">
      <c r="A817" t="str">
        <f>"20200111153417955"</f>
        <v>20200111153417955</v>
      </c>
      <c r="B817" t="str">
        <f>"1578728057947062"</f>
        <v>1578728057947062</v>
      </c>
      <c r="C817" t="s">
        <v>37</v>
      </c>
      <c r="D817">
        <v>4.8540589999999897</v>
      </c>
      <c r="E817">
        <v>0.50502579999999997</v>
      </c>
      <c r="F817" t="s">
        <v>46</v>
      </c>
      <c r="G817">
        <v>-207.63390000000001</v>
      </c>
      <c r="H817" s="1">
        <v>-5.1477099999999997E-6</v>
      </c>
      <c r="I817">
        <v>365.26010000000002</v>
      </c>
      <c r="J817">
        <v>-231.55629999999999</v>
      </c>
      <c r="K817">
        <v>1.1047819999999999</v>
      </c>
      <c r="L817">
        <v>368.59500000000003</v>
      </c>
      <c r="M817">
        <v>0.99872729999999998</v>
      </c>
      <c r="N817">
        <v>0</v>
      </c>
      <c r="O817">
        <v>4.409942E-2</v>
      </c>
      <c r="P817">
        <v>0.99218169999999895</v>
      </c>
      <c r="Q817">
        <v>-4.09669099999999E-3</v>
      </c>
      <c r="R817">
        <v>-0.12473519999999901</v>
      </c>
      <c r="S817">
        <v>2.971695</v>
      </c>
      <c r="T817">
        <v>-0.13596029999999901</v>
      </c>
      <c r="U817">
        <v>-0.40914919999999999</v>
      </c>
      <c r="V817">
        <v>0.16842869999999999</v>
      </c>
      <c r="W817">
        <v>1.9632810000000001E-2</v>
      </c>
      <c r="X817">
        <v>0.98551829999999996</v>
      </c>
      <c r="Y817">
        <v>0.1797329</v>
      </c>
      <c r="Z817">
        <v>-6.0988889999999997E-3</v>
      </c>
      <c r="AA817">
        <v>0.98369649999999997</v>
      </c>
      <c r="AB817">
        <v>42</v>
      </c>
      <c r="AC817">
        <v>23.9223999999999</v>
      </c>
      <c r="AD817">
        <v>-1.10478714771</v>
      </c>
      <c r="AE817">
        <v>-3.3349000000000002</v>
      </c>
      <c r="AF817">
        <v>4.3777748926205904</v>
      </c>
      <c r="AG817">
        <v>-1.10478714771</v>
      </c>
      <c r="AH817">
        <v>23.702413312580202</v>
      </c>
      <c r="AI817">
        <v>92.624344177275105</v>
      </c>
      <c r="AJ817">
        <v>79.535544895879497</v>
      </c>
      <c r="AK817">
        <v>24.1286109109618</v>
      </c>
    </row>
    <row r="818" spans="1:37" x14ac:dyDescent="0.2">
      <c r="A818" t="str">
        <f>"20200111153417971"</f>
        <v>20200111153417971</v>
      </c>
      <c r="B818" t="str">
        <f>"1578728057967557"</f>
        <v>1578728057967557</v>
      </c>
      <c r="C818" t="s">
        <v>37</v>
      </c>
      <c r="D818">
        <v>4.8854050000000004</v>
      </c>
      <c r="E818">
        <v>0.50513819999999998</v>
      </c>
      <c r="F818" t="s">
        <v>46</v>
      </c>
      <c r="G818">
        <v>-207.7251</v>
      </c>
      <c r="H818" s="1">
        <v>-5.1811439999999998E-6</v>
      </c>
      <c r="I818">
        <v>365.30110000000002</v>
      </c>
      <c r="J818">
        <v>-231.29490000000001</v>
      </c>
      <c r="K818">
        <v>1.1045469999999999</v>
      </c>
      <c r="L818">
        <v>368.60559999999998</v>
      </c>
      <c r="M818">
        <v>0.99877629999999995</v>
      </c>
      <c r="N818">
        <v>0</v>
      </c>
      <c r="O818">
        <v>4.3027320000000001E-2</v>
      </c>
      <c r="P818">
        <v>0.99206700000000003</v>
      </c>
      <c r="Q818">
        <v>-6.7949919999999997E-3</v>
      </c>
      <c r="R818">
        <v>-0.12552759999999999</v>
      </c>
      <c r="S818">
        <v>2.9714200000000002</v>
      </c>
      <c r="T818">
        <v>-0.13775179999999901</v>
      </c>
      <c r="U818">
        <v>-0.410705599999999</v>
      </c>
      <c r="V818">
        <v>0.168159</v>
      </c>
      <c r="W818">
        <v>1.6762249999999999E-2</v>
      </c>
      <c r="X818">
        <v>0.98561730000000003</v>
      </c>
      <c r="Y818">
        <v>0.179190299999999</v>
      </c>
      <c r="Z818">
        <v>-6.1175090000000001E-3</v>
      </c>
      <c r="AA818">
        <v>0.98379539999999999</v>
      </c>
      <c r="AB818">
        <v>42</v>
      </c>
      <c r="AC818">
        <v>23.569800000000001</v>
      </c>
      <c r="AD818">
        <v>-1.104552181144</v>
      </c>
      <c r="AE818">
        <v>-3.30449999999996</v>
      </c>
      <c r="AF818">
        <v>4.3066092028461096</v>
      </c>
      <c r="AG818">
        <v>-1.104552181144</v>
      </c>
      <c r="AH818">
        <v>23.355429754343199</v>
      </c>
      <c r="AI818">
        <v>92.662855639906397</v>
      </c>
      <c r="AJ818">
        <v>79.552338533542098</v>
      </c>
      <c r="AK818">
        <v>23.774840006968901</v>
      </c>
    </row>
    <row r="819" spans="1:37" x14ac:dyDescent="0.2">
      <c r="A819" t="str">
        <f>"20200111153417984"</f>
        <v>20200111153417984</v>
      </c>
      <c r="B819" t="str">
        <f>"1578728057977318"</f>
        <v>1578728057977318</v>
      </c>
      <c r="C819" t="s">
        <v>37</v>
      </c>
      <c r="D819">
        <v>4.8444830000000003</v>
      </c>
      <c r="E819">
        <v>0.51173029999999997</v>
      </c>
      <c r="F819" t="s">
        <v>46</v>
      </c>
      <c r="G819">
        <v>-208.8861</v>
      </c>
      <c r="H819" s="1">
        <v>-5.55793699999999E-6</v>
      </c>
      <c r="I819">
        <v>365.4821</v>
      </c>
      <c r="J819">
        <v>-231.04040000000001</v>
      </c>
      <c r="K819">
        <v>1.104317</v>
      </c>
      <c r="L819">
        <v>368.61559999999997</v>
      </c>
      <c r="M819">
        <v>0.99882769999999999</v>
      </c>
      <c r="N819">
        <v>0</v>
      </c>
      <c r="O819">
        <v>4.187863E-2</v>
      </c>
      <c r="P819">
        <v>0.99181730000000001</v>
      </c>
      <c r="Q819">
        <v>-8.4852460000000001E-3</v>
      </c>
      <c r="R819">
        <v>-0.12738440000000001</v>
      </c>
      <c r="S819">
        <v>2.970612</v>
      </c>
      <c r="T819">
        <v>-0.1464249</v>
      </c>
      <c r="U819">
        <v>-0.4140625</v>
      </c>
      <c r="V819">
        <v>0.16887179999999999</v>
      </c>
      <c r="W819">
        <v>1.488136E-2</v>
      </c>
      <c r="X819">
        <v>0.98552569999999995</v>
      </c>
      <c r="Y819">
        <v>0.1791567</v>
      </c>
      <c r="Z819">
        <v>-6.4462909999999998E-3</v>
      </c>
      <c r="AA819">
        <v>0.98379950000000005</v>
      </c>
      <c r="AB819">
        <v>41</v>
      </c>
      <c r="AC819">
        <v>22.154299999999999</v>
      </c>
      <c r="AD819">
        <v>-1.104322557937</v>
      </c>
      <c r="AE819">
        <v>-3.1334999999999602</v>
      </c>
      <c r="AF819">
        <v>4.0489514935777002</v>
      </c>
      <c r="AG819">
        <v>-1.104322557937</v>
      </c>
      <c r="AH819">
        <v>21.950117295670601</v>
      </c>
      <c r="AI819">
        <v>92.832448375525203</v>
      </c>
      <c r="AJ819">
        <v>79.548617650014805</v>
      </c>
      <c r="AK819">
        <v>22.347733348217002</v>
      </c>
    </row>
    <row r="820" spans="1:37" x14ac:dyDescent="0.2">
      <c r="A820" t="str">
        <f>"20200111153417995"</f>
        <v>20200111153417995</v>
      </c>
      <c r="B820" t="str">
        <f>"1578728057987078"</f>
        <v>1578728057987078</v>
      </c>
      <c r="C820" t="s">
        <v>37</v>
      </c>
      <c r="D820">
        <v>4.8812470000000001</v>
      </c>
      <c r="E820">
        <v>0.51229859999999905</v>
      </c>
      <c r="F820" t="s">
        <v>39</v>
      </c>
      <c r="G820">
        <v>-214.74279999999999</v>
      </c>
      <c r="H820" s="1">
        <v>-2.8742669999999999E-6</v>
      </c>
      <c r="I820">
        <v>366.02760000000001</v>
      </c>
      <c r="J820">
        <v>-230.80860000000001</v>
      </c>
      <c r="K820">
        <v>1.1041049999999999</v>
      </c>
      <c r="L820">
        <v>368.62439999999998</v>
      </c>
      <c r="M820">
        <v>0.99887780000000004</v>
      </c>
      <c r="N820">
        <v>0</v>
      </c>
      <c r="O820">
        <v>4.0728729999999998E-2</v>
      </c>
      <c r="P820">
        <v>0.99155119999999897</v>
      </c>
      <c r="Q820">
        <v>-1.0209279999999999E-2</v>
      </c>
      <c r="R820">
        <v>-0.12931400000000001</v>
      </c>
      <c r="S820">
        <v>2.9626160000000001</v>
      </c>
      <c r="T820">
        <v>-0.20074449999999999</v>
      </c>
      <c r="U820">
        <v>-0.47045900000000002</v>
      </c>
      <c r="V820">
        <v>0.16965369999999999</v>
      </c>
      <c r="W820">
        <v>1.2967050000000001E-2</v>
      </c>
      <c r="X820">
        <v>0.98541840000000003</v>
      </c>
      <c r="Y820">
        <v>0.19640839999999901</v>
      </c>
      <c r="Z820">
        <v>-9.3472929999999996E-3</v>
      </c>
      <c r="AA820">
        <v>0.98047759999999995</v>
      </c>
      <c r="AB820">
        <v>41</v>
      </c>
      <c r="AC820">
        <v>16.065799999999999</v>
      </c>
      <c r="AD820">
        <v>-1.1041078742669901</v>
      </c>
      <c r="AE820">
        <v>-2.5967999999999698</v>
      </c>
      <c r="AF820">
        <v>3.2342882762870699</v>
      </c>
      <c r="AG820">
        <v>-1.1041078742669901</v>
      </c>
      <c r="AH820">
        <v>15.873603911244199</v>
      </c>
      <c r="AI820">
        <v>93.899013100649299</v>
      </c>
      <c r="AJ820">
        <v>78.483478188244504</v>
      </c>
      <c r="AK820">
        <v>16.237332785381099</v>
      </c>
    </row>
    <row r="821" spans="1:37" x14ac:dyDescent="0.2">
      <c r="A821" t="str">
        <f>"20200111153418009"</f>
        <v>20200111153418009</v>
      </c>
      <c r="B821" t="str">
        <f>"1578728058007574"</f>
        <v>1578728058007574</v>
      </c>
      <c r="C821" t="s">
        <v>37</v>
      </c>
      <c r="D821">
        <v>4.9724550000000001</v>
      </c>
      <c r="E821">
        <v>0.51254650000000002</v>
      </c>
      <c r="F821" t="s">
        <v>39</v>
      </c>
      <c r="G821">
        <v>-214.70570000000001</v>
      </c>
      <c r="H821" s="1">
        <v>-2.8935139999999999E-6</v>
      </c>
      <c r="I821">
        <v>366.00869999999998</v>
      </c>
      <c r="J821">
        <v>-230.57769999999999</v>
      </c>
      <c r="K821">
        <v>1.1039030000000001</v>
      </c>
      <c r="L821">
        <v>368.6327</v>
      </c>
      <c r="M821">
        <v>0.99893180000000004</v>
      </c>
      <c r="N821">
        <v>0</v>
      </c>
      <c r="O821">
        <v>3.945593E-2</v>
      </c>
      <c r="P821">
        <v>0.99116769999999998</v>
      </c>
      <c r="Q821">
        <v>-1.258543E-2</v>
      </c>
      <c r="R821">
        <v>-0.13201689999999999</v>
      </c>
      <c r="S821">
        <v>2.9607700000000001</v>
      </c>
      <c r="T821">
        <v>-0.20300609999999999</v>
      </c>
      <c r="U821">
        <v>-0.48092649999999998</v>
      </c>
      <c r="V821">
        <v>0.1710786</v>
      </c>
      <c r="W821">
        <v>1.0391829999999999E-2</v>
      </c>
      <c r="X821">
        <v>0.98520260000000004</v>
      </c>
      <c r="Y821">
        <v>0.19861799999999999</v>
      </c>
      <c r="Z821">
        <v>-9.4440400000000008E-3</v>
      </c>
      <c r="AA821">
        <v>0.98003150000000006</v>
      </c>
      <c r="AB821">
        <v>41</v>
      </c>
      <c r="AC821">
        <v>15.8719999999999</v>
      </c>
      <c r="AD821">
        <v>-1.103905893514</v>
      </c>
      <c r="AE821">
        <v>-2.6240000000000201</v>
      </c>
      <c r="AF821">
        <v>3.2331576866781702</v>
      </c>
      <c r="AG821">
        <v>-1.103905893514</v>
      </c>
      <c r="AH821">
        <v>15.6822301106572</v>
      </c>
      <c r="AI821">
        <v>93.943857088793493</v>
      </c>
      <c r="AJ821">
        <v>78.350723269391594</v>
      </c>
      <c r="AK821">
        <v>16.050054769136</v>
      </c>
    </row>
    <row r="822" spans="1:37" x14ac:dyDescent="0.2">
      <c r="A822" t="str">
        <f>"20200111153418023"</f>
        <v>20200111153418023</v>
      </c>
      <c r="B822" t="str">
        <f>"1578728058017336"</f>
        <v>1578728058017336</v>
      </c>
      <c r="C822" t="s">
        <v>37</v>
      </c>
      <c r="D822">
        <v>4.9251259999999997</v>
      </c>
      <c r="E822">
        <v>0.52892019999999995</v>
      </c>
      <c r="F822" t="s">
        <v>39</v>
      </c>
      <c r="G822">
        <v>-214.99719999999999</v>
      </c>
      <c r="H822" s="1">
        <v>-2.761381E-6</v>
      </c>
      <c r="I822">
        <v>366.0487</v>
      </c>
      <c r="J822">
        <v>-230.3321</v>
      </c>
      <c r="K822">
        <v>1.1036919999999999</v>
      </c>
      <c r="L822">
        <v>368.64109999999999</v>
      </c>
      <c r="M822">
        <v>0.99898989999999999</v>
      </c>
      <c r="N822">
        <v>0</v>
      </c>
      <c r="O822">
        <v>3.8030880000000003E-2</v>
      </c>
      <c r="P822">
        <v>0.99074989999999996</v>
      </c>
      <c r="Q822">
        <v>-1.453628E-2</v>
      </c>
      <c r="R822">
        <v>-0.13492129999999999</v>
      </c>
      <c r="S822">
        <v>2.95871</v>
      </c>
      <c r="T822">
        <v>-0.2096288</v>
      </c>
      <c r="U822">
        <v>-0.49069209999999902</v>
      </c>
      <c r="V822">
        <v>0.17255419999999999</v>
      </c>
      <c r="W822">
        <v>8.2289879999999996E-3</v>
      </c>
      <c r="X822">
        <v>0.98496569999999894</v>
      </c>
      <c r="Y822">
        <v>0.200439899999999</v>
      </c>
      <c r="Z822">
        <v>-9.7192659999999903E-3</v>
      </c>
      <c r="AA822">
        <v>0.97965780000000002</v>
      </c>
      <c r="AB822">
        <v>41</v>
      </c>
      <c r="AC822">
        <v>15.334899999999999</v>
      </c>
      <c r="AD822">
        <v>-1.103694761381</v>
      </c>
      <c r="AE822">
        <v>-2.5923999999999898</v>
      </c>
      <c r="AF822">
        <v>3.15798625294916</v>
      </c>
      <c r="AG822">
        <v>-1.103694761381</v>
      </c>
      <c r="AH822">
        <v>15.148888268442301</v>
      </c>
      <c r="AI822">
        <v>94.079611324460899</v>
      </c>
      <c r="AJ822">
        <v>78.224578044928705</v>
      </c>
      <c r="AK822">
        <v>15.5138594511445</v>
      </c>
    </row>
    <row r="823" spans="1:37" x14ac:dyDescent="0.2">
      <c r="A823" t="str">
        <f>"20200111153418036"</f>
        <v>20200111153418036</v>
      </c>
      <c r="B823" t="str">
        <f>"1578728058027094"</f>
        <v>1578728058027094</v>
      </c>
      <c r="C823" t="s">
        <v>37</v>
      </c>
      <c r="D823">
        <v>4.8311970000000004</v>
      </c>
      <c r="E823">
        <v>0.53806949999999998</v>
      </c>
      <c r="F823" t="s">
        <v>39</v>
      </c>
      <c r="G823">
        <v>-212.25729999999999</v>
      </c>
      <c r="H823" s="1">
        <v>-4.1639780000000001E-6</v>
      </c>
      <c r="I823">
        <v>364.76769999999999</v>
      </c>
      <c r="J823">
        <v>-230.07470000000001</v>
      </c>
      <c r="K823">
        <v>1.10348</v>
      </c>
      <c r="L823">
        <v>368.64960000000002</v>
      </c>
      <c r="M823">
        <v>0.99905290000000002</v>
      </c>
      <c r="N823">
        <v>0</v>
      </c>
      <c r="O823">
        <v>3.6423110000000002E-2</v>
      </c>
      <c r="P823">
        <v>0.99004230000000004</v>
      </c>
      <c r="Q823">
        <v>-1.8447729999999999E-2</v>
      </c>
      <c r="R823">
        <v>-0.13955680000000001</v>
      </c>
      <c r="S823">
        <v>2.93955999999999</v>
      </c>
      <c r="T823">
        <v>-0.1794972</v>
      </c>
      <c r="U823">
        <v>-0.62994380000000005</v>
      </c>
      <c r="V823">
        <v>0.1755582</v>
      </c>
      <c r="W823">
        <v>4.0844009999999997E-3</v>
      </c>
      <c r="X823">
        <v>0.98446060000000002</v>
      </c>
      <c r="Y823">
        <v>0.2445254</v>
      </c>
      <c r="Z823">
        <v>-9.5747699999999998E-3</v>
      </c>
      <c r="AA823">
        <v>0.9695956</v>
      </c>
      <c r="AB823">
        <v>41</v>
      </c>
      <c r="AC823">
        <v>17.817399999999999</v>
      </c>
      <c r="AD823">
        <v>-1.103484163978</v>
      </c>
      <c r="AE823">
        <v>-3.8819000000000199</v>
      </c>
      <c r="AF823">
        <v>4.51194963710455</v>
      </c>
      <c r="AG823">
        <v>-1.103484163978</v>
      </c>
      <c r="AH823">
        <v>17.599691990254701</v>
      </c>
      <c r="AI823">
        <v>93.475588271715495</v>
      </c>
      <c r="AJ823">
        <v>75.6210244217976</v>
      </c>
      <c r="AK823">
        <v>18.202321966709398</v>
      </c>
    </row>
    <row r="824" spans="1:37" x14ac:dyDescent="0.2">
      <c r="A824" t="str">
        <f>"20200111153418051"</f>
        <v>20200111153418051</v>
      </c>
      <c r="B824" t="str">
        <f>"1578728058046614"</f>
        <v>1578728058046614</v>
      </c>
      <c r="C824" t="s">
        <v>37</v>
      </c>
      <c r="D824">
        <v>4.8537809999999997</v>
      </c>
      <c r="E824">
        <v>0.54506330000000003</v>
      </c>
      <c r="F824" t="s">
        <v>39</v>
      </c>
      <c r="G824">
        <v>-212.50470000000001</v>
      </c>
      <c r="H824" s="1">
        <v>-4.1325619999999901E-6</v>
      </c>
      <c r="I824">
        <v>364.34660000000002</v>
      </c>
      <c r="J824">
        <v>-229.81819999999999</v>
      </c>
      <c r="K824">
        <v>1.103294</v>
      </c>
      <c r="L824">
        <v>368.6574</v>
      </c>
      <c r="M824">
        <v>0.99911729999999999</v>
      </c>
      <c r="N824">
        <v>0</v>
      </c>
      <c r="O824">
        <v>3.4699319999999999E-2</v>
      </c>
      <c r="P824">
        <v>0.98953019999999903</v>
      </c>
      <c r="Q824">
        <v>-1.893448E-2</v>
      </c>
      <c r="R824">
        <v>-0.14307919999999999</v>
      </c>
      <c r="S824">
        <v>2.925735</v>
      </c>
      <c r="T824">
        <v>-0.18375</v>
      </c>
      <c r="U824">
        <v>-0.7165222</v>
      </c>
      <c r="V824">
        <v>0.1773605</v>
      </c>
      <c r="W824">
        <v>3.3848859999999902E-3</v>
      </c>
      <c r="X824">
        <v>0.98414020000000002</v>
      </c>
      <c r="Y824">
        <v>0.2708738</v>
      </c>
      <c r="Z824">
        <v>-1.052238E-2</v>
      </c>
      <c r="AA824">
        <v>0.96255729999999995</v>
      </c>
      <c r="AB824">
        <v>41</v>
      </c>
      <c r="AC824">
        <v>17.313499999999902</v>
      </c>
      <c r="AD824">
        <v>-1.1032981325619999</v>
      </c>
      <c r="AE824">
        <v>-4.3107999999999702</v>
      </c>
      <c r="AF824">
        <v>4.8904376911304697</v>
      </c>
      <c r="AG824">
        <v>-1.1032981325619999</v>
      </c>
      <c r="AH824">
        <v>17.088102803085299</v>
      </c>
      <c r="AI824">
        <v>93.551978603905297</v>
      </c>
      <c r="AJ824">
        <v>74.029427924051106</v>
      </c>
      <c r="AK824">
        <v>17.808338074872498</v>
      </c>
    </row>
    <row r="825" spans="1:37" x14ac:dyDescent="0.2">
      <c r="A825" t="str">
        <f>"20200111153418063"</f>
        <v>20200111153418063</v>
      </c>
      <c r="B825" t="str">
        <f>"1578728058057351"</f>
        <v>1578728058057351</v>
      </c>
      <c r="C825" t="s">
        <v>37</v>
      </c>
      <c r="D825">
        <v>4.8677970000000004</v>
      </c>
      <c r="E825">
        <v>0.546133599999999</v>
      </c>
      <c r="F825" t="s">
        <v>39</v>
      </c>
      <c r="G825">
        <v>-212.39400000000001</v>
      </c>
      <c r="H825" s="1">
        <v>-4.2443869999999998E-6</v>
      </c>
      <c r="I825">
        <v>363.98390000000001</v>
      </c>
      <c r="J825">
        <v>-229.6035</v>
      </c>
      <c r="K825">
        <v>1.103148</v>
      </c>
      <c r="L825">
        <v>368.66359999999997</v>
      </c>
      <c r="M825">
        <v>0.99917040000000001</v>
      </c>
      <c r="N825">
        <v>0</v>
      </c>
      <c r="O825">
        <v>3.3205199999999997E-2</v>
      </c>
      <c r="P825">
        <v>0.98906870000000002</v>
      </c>
      <c r="Q825">
        <v>-1.885336E-2</v>
      </c>
      <c r="R825">
        <v>-0.14624679999999901</v>
      </c>
      <c r="S825">
        <v>2.9151609999999999</v>
      </c>
      <c r="T825">
        <v>-0.18458649999999999</v>
      </c>
      <c r="U825">
        <v>-0.78189090000000006</v>
      </c>
      <c r="V825">
        <v>0.1790399</v>
      </c>
      <c r="W825">
        <v>3.2890419999999998E-3</v>
      </c>
      <c r="X825">
        <v>0.9838363</v>
      </c>
      <c r="Y825">
        <v>0.2903905</v>
      </c>
      <c r="Z825">
        <v>-1.1092070000000001E-2</v>
      </c>
      <c r="AA825">
        <v>0.95684389999999997</v>
      </c>
      <c r="AB825">
        <v>41</v>
      </c>
      <c r="AC825">
        <v>17.209499999999899</v>
      </c>
      <c r="AD825">
        <v>-1.1031522443870001</v>
      </c>
      <c r="AE825">
        <v>-4.6796999999999596</v>
      </c>
      <c r="AF825">
        <v>5.2287163259967597</v>
      </c>
      <c r="AG825">
        <v>-1.1031522443870001</v>
      </c>
      <c r="AH825">
        <v>16.979605873106799</v>
      </c>
      <c r="AI825">
        <v>93.553042533269107</v>
      </c>
      <c r="AJ825">
        <v>72.884256767468301</v>
      </c>
      <c r="AK825">
        <v>17.800658271482099</v>
      </c>
    </row>
    <row r="826" spans="1:37" x14ac:dyDescent="0.2">
      <c r="A826" t="str">
        <f>"20200111153418073"</f>
        <v>20200111153418073</v>
      </c>
      <c r="B826" t="str">
        <f>"1578728058067111"</f>
        <v>1578728058067111</v>
      </c>
      <c r="C826" t="s">
        <v>37</v>
      </c>
      <c r="D826">
        <v>4.8589199999999897</v>
      </c>
      <c r="E826">
        <v>0.54650339999999997</v>
      </c>
      <c r="F826" t="s">
        <v>39</v>
      </c>
      <c r="G826">
        <v>-211.7962</v>
      </c>
      <c r="H826" s="1">
        <v>-4.5383289999999902E-6</v>
      </c>
      <c r="I826">
        <v>363.77260000000001</v>
      </c>
      <c r="J826">
        <v>-229.39150000000001</v>
      </c>
      <c r="K826">
        <v>1.1030180000000001</v>
      </c>
      <c r="L826">
        <v>368.66930000000002</v>
      </c>
      <c r="M826">
        <v>0.99922289999999903</v>
      </c>
      <c r="N826">
        <v>0</v>
      </c>
      <c r="O826">
        <v>3.1658890000000002E-2</v>
      </c>
      <c r="P826">
        <v>0.98865309999999995</v>
      </c>
      <c r="Q826">
        <v>-1.8285220000000001E-2</v>
      </c>
      <c r="R826">
        <v>-0.14910019999999999</v>
      </c>
      <c r="S826">
        <v>2.9115139999999999</v>
      </c>
      <c r="T826">
        <v>-0.18036559999999999</v>
      </c>
      <c r="U826">
        <v>-0.79968260000000002</v>
      </c>
      <c r="V826">
        <v>0.1803602</v>
      </c>
      <c r="W826">
        <v>3.6914909999999999E-3</v>
      </c>
      <c r="X826">
        <v>0.98359370000000002</v>
      </c>
      <c r="Y826">
        <v>0.29467450000000001</v>
      </c>
      <c r="Z826">
        <v>-1.087952E-2</v>
      </c>
      <c r="AA826">
        <v>0.95553580000000005</v>
      </c>
      <c r="AB826">
        <v>41</v>
      </c>
      <c r="AC826">
        <v>17.595300000000002</v>
      </c>
      <c r="AD826">
        <v>-1.103022538329</v>
      </c>
      <c r="AE826">
        <v>-4.8967000000000098</v>
      </c>
      <c r="AF826">
        <v>5.4316342335186203</v>
      </c>
      <c r="AG826">
        <v>-1.103022538329</v>
      </c>
      <c r="AH826">
        <v>17.368060727349199</v>
      </c>
      <c r="AI826">
        <v>93.468663606570701</v>
      </c>
      <c r="AJ826">
        <v>72.633608131195899</v>
      </c>
      <c r="AK826">
        <v>18.2309857823345</v>
      </c>
    </row>
    <row r="827" spans="1:37" x14ac:dyDescent="0.2">
      <c r="A827" t="str">
        <f>"20200111153418086"</f>
        <v>20200111153418086</v>
      </c>
      <c r="B827" t="str">
        <f>"1578728058076870"</f>
        <v>1578728058076870</v>
      </c>
      <c r="C827" t="s">
        <v>37</v>
      </c>
      <c r="D827">
        <v>4.8594569999999999</v>
      </c>
      <c r="E827">
        <v>0.5466858</v>
      </c>
      <c r="F827" t="s">
        <v>39</v>
      </c>
      <c r="G827">
        <v>-211.18180000000001</v>
      </c>
      <c r="H827" s="1">
        <v>-4.8337470000000002E-6</v>
      </c>
      <c r="I827">
        <v>363.59309999999999</v>
      </c>
      <c r="J827">
        <v>-229.17449999999999</v>
      </c>
      <c r="K827">
        <v>1.1028959999999901</v>
      </c>
      <c r="L827">
        <v>368.6748</v>
      </c>
      <c r="M827">
        <v>0.99927579999999905</v>
      </c>
      <c r="N827">
        <v>0</v>
      </c>
      <c r="O827">
        <v>3.0018590000000001E-2</v>
      </c>
      <c r="P827">
        <v>0.98827790000000004</v>
      </c>
      <c r="Q827">
        <v>-1.6172140000000002E-2</v>
      </c>
      <c r="R827">
        <v>-0.15180729999999901</v>
      </c>
      <c r="S827">
        <v>2.90889</v>
      </c>
      <c r="T827">
        <v>-0.1762001</v>
      </c>
      <c r="U827">
        <v>-0.81088260000000001</v>
      </c>
      <c r="V827">
        <v>0.18145429999999901</v>
      </c>
      <c r="W827">
        <v>5.6379189999999999E-3</v>
      </c>
      <c r="X827">
        <v>0.98338320000000001</v>
      </c>
      <c r="Y827">
        <v>0.29676819999999998</v>
      </c>
      <c r="Z827">
        <v>-1.059717E-2</v>
      </c>
      <c r="AA827">
        <v>0.95489069999999898</v>
      </c>
      <c r="AB827">
        <v>41</v>
      </c>
      <c r="AC827">
        <v>17.9926999999999</v>
      </c>
      <c r="AD827">
        <v>-1.1029008337469901</v>
      </c>
      <c r="AE827">
        <v>-5.0817000000000103</v>
      </c>
      <c r="AF827">
        <v>5.6001845006203297</v>
      </c>
      <c r="AG827">
        <v>-1.1029008337469901</v>
      </c>
      <c r="AH827">
        <v>17.770163782040601</v>
      </c>
      <c r="AI827">
        <v>93.387659751209895</v>
      </c>
      <c r="AJ827">
        <v>72.507996751801798</v>
      </c>
      <c r="AK827">
        <v>18.6643290136725</v>
      </c>
    </row>
    <row r="828" spans="1:37" x14ac:dyDescent="0.2">
      <c r="A828" t="str">
        <f>"20200111153418100"</f>
        <v>20200111153418100</v>
      </c>
      <c r="B828" t="str">
        <f>"1578728058097366"</f>
        <v>1578728058097366</v>
      </c>
      <c r="C828" t="s">
        <v>37</v>
      </c>
      <c r="D828">
        <v>4.7795730000000001</v>
      </c>
      <c r="E828">
        <v>0.5476335</v>
      </c>
      <c r="F828" t="s">
        <v>39</v>
      </c>
      <c r="G828">
        <v>-210.3321</v>
      </c>
      <c r="H828" s="1">
        <v>-5.2400909999999902E-6</v>
      </c>
      <c r="I828">
        <v>363.35719999999998</v>
      </c>
      <c r="J828">
        <v>-228.93049999999999</v>
      </c>
      <c r="K828">
        <v>1.1027579999999999</v>
      </c>
      <c r="L828">
        <v>368.68060000000003</v>
      </c>
      <c r="M828">
        <v>0.99933359999999904</v>
      </c>
      <c r="N828">
        <v>0</v>
      </c>
      <c r="O828">
        <v>2.8129379999999999E-2</v>
      </c>
      <c r="P828">
        <v>0.98791399999999996</v>
      </c>
      <c r="Q828">
        <v>-1.4416089999999999E-2</v>
      </c>
      <c r="R828">
        <v>-0.15433279999999999</v>
      </c>
      <c r="S828">
        <v>2.9067989999999999</v>
      </c>
      <c r="T828">
        <v>-0.17014360000000001</v>
      </c>
      <c r="U828">
        <v>-0.82034300000000004</v>
      </c>
      <c r="V828">
        <v>0.18212220000000001</v>
      </c>
      <c r="W828">
        <v>7.2119250000000001E-3</v>
      </c>
      <c r="X828">
        <v>0.9832495</v>
      </c>
      <c r="Y828">
        <v>0.29805989999999999</v>
      </c>
      <c r="Z828">
        <v>-1.0164660000000001E-2</v>
      </c>
      <c r="AA828">
        <v>0.95449300000000004</v>
      </c>
      <c r="AB828">
        <v>41</v>
      </c>
      <c r="AC828">
        <v>18.598400000000002</v>
      </c>
      <c r="AD828">
        <v>-1.1027632400909999</v>
      </c>
      <c r="AE828">
        <v>-5.3234000000000403</v>
      </c>
      <c r="AF828">
        <v>5.8256649485479999</v>
      </c>
      <c r="AG828">
        <v>-1.1027632400909999</v>
      </c>
      <c r="AH828">
        <v>18.381521382511799</v>
      </c>
      <c r="AI828">
        <v>93.273154415936702</v>
      </c>
      <c r="AJ828">
        <v>72.415002901661893</v>
      </c>
      <c r="AK828">
        <v>19.314108501097699</v>
      </c>
    </row>
    <row r="829" spans="1:37" x14ac:dyDescent="0.2">
      <c r="A829" t="str">
        <f>"20200111153418115"</f>
        <v>20200111153418115</v>
      </c>
      <c r="B829" t="str">
        <f>"1578728058107127"</f>
        <v>1578728058107127</v>
      </c>
      <c r="C829" t="s">
        <v>37</v>
      </c>
      <c r="D829">
        <v>4.8587259999999999</v>
      </c>
      <c r="E829">
        <v>0.5478383</v>
      </c>
      <c r="F829" t="s">
        <v>46</v>
      </c>
      <c r="G829">
        <v>-208.49299999999999</v>
      </c>
      <c r="H829" s="1">
        <v>-5.8450729999999996E-6</v>
      </c>
      <c r="I829">
        <v>362.80110000000002</v>
      </c>
      <c r="J829">
        <v>-228.64590000000001</v>
      </c>
      <c r="K829">
        <v>1.1026119999999999</v>
      </c>
      <c r="L829">
        <v>368.68650000000002</v>
      </c>
      <c r="M829">
        <v>0.99939920000000004</v>
      </c>
      <c r="N829">
        <v>0</v>
      </c>
      <c r="O829">
        <v>2.5825089999999998E-2</v>
      </c>
      <c r="P829">
        <v>0.98741849999999998</v>
      </c>
      <c r="Q829">
        <v>-1.2281210000000001E-2</v>
      </c>
      <c r="R829">
        <v>-0.1576534</v>
      </c>
      <c r="S829">
        <v>2.9038849999999998</v>
      </c>
      <c r="T829">
        <v>-0.15668679999999999</v>
      </c>
      <c r="U829">
        <v>-0.83538819999999903</v>
      </c>
      <c r="V829">
        <v>0.18317820000000001</v>
      </c>
      <c r="W829">
        <v>9.1273150000000004E-3</v>
      </c>
      <c r="X829">
        <v>0.98303739999999995</v>
      </c>
      <c r="Y829">
        <v>0.30076009999999997</v>
      </c>
      <c r="Z829">
        <v>-9.3137580000000001E-3</v>
      </c>
      <c r="AA829">
        <v>0.95365429999999995</v>
      </c>
      <c r="AB829">
        <v>40</v>
      </c>
      <c r="AC829">
        <v>20.152899999999999</v>
      </c>
      <c r="AD829">
        <v>-1.102617845073</v>
      </c>
      <c r="AE829">
        <v>-5.8853999999999997</v>
      </c>
      <c r="AF829">
        <v>6.3864103821562201</v>
      </c>
      <c r="AG829">
        <v>-1.102617845073</v>
      </c>
      <c r="AH829">
        <v>19.939146546456001</v>
      </c>
      <c r="AI829">
        <v>93.014624681316803</v>
      </c>
      <c r="AJ829">
        <v>72.239993703509697</v>
      </c>
      <c r="AK829">
        <v>20.965962145406898</v>
      </c>
    </row>
    <row r="830" spans="1:37" x14ac:dyDescent="0.2">
      <c r="A830" t="str">
        <f>"20200111153418131"</f>
        <v>20200111153418131</v>
      </c>
      <c r="B830" t="str">
        <f>"1578728058126646"</f>
        <v>1578728058126646</v>
      </c>
      <c r="C830" t="s">
        <v>37</v>
      </c>
      <c r="D830">
        <v>4.813739</v>
      </c>
      <c r="E830">
        <v>0.54799770000000003</v>
      </c>
      <c r="F830" t="s">
        <v>46</v>
      </c>
      <c r="G830">
        <v>-207.46799999999999</v>
      </c>
      <c r="H830" s="1">
        <v>-5.5483720000000002E-6</v>
      </c>
      <c r="I830">
        <v>362.50400000000002</v>
      </c>
      <c r="J830">
        <v>-228.3596</v>
      </c>
      <c r="K830">
        <v>1.102471</v>
      </c>
      <c r="L830">
        <v>368.69170000000003</v>
      </c>
      <c r="M830">
        <v>0.99946179999999996</v>
      </c>
      <c r="N830">
        <v>0</v>
      </c>
      <c r="O830">
        <v>2.3434279999999998E-2</v>
      </c>
      <c r="P830">
        <v>0.98704550000000002</v>
      </c>
      <c r="Q830">
        <v>-1.208064E-2</v>
      </c>
      <c r="R830">
        <v>-0.1599874</v>
      </c>
      <c r="S830">
        <v>2.9011079999999998</v>
      </c>
      <c r="T830">
        <v>-0.15104509999999999</v>
      </c>
      <c r="U830">
        <v>-0.8469238</v>
      </c>
      <c r="V830">
        <v>0.18315390000000001</v>
      </c>
      <c r="W830">
        <v>9.1139659999999994E-3</v>
      </c>
      <c r="X830">
        <v>0.98304199999999997</v>
      </c>
      <c r="Y830">
        <v>0.30225099999999999</v>
      </c>
      <c r="Z830">
        <v>-8.8981589999999992E-3</v>
      </c>
      <c r="AA830">
        <v>0.9531868</v>
      </c>
      <c r="AB830">
        <v>40</v>
      </c>
      <c r="AC830">
        <v>20.8916</v>
      </c>
      <c r="AD830">
        <v>-1.102476548372</v>
      </c>
      <c r="AE830">
        <v>-6.1877000000000004</v>
      </c>
      <c r="AF830">
        <v>6.6586608602951696</v>
      </c>
      <c r="AG830">
        <v>-1.102476548372</v>
      </c>
      <c r="AH830">
        <v>20.687851798487898</v>
      </c>
      <c r="AI830">
        <v>92.904018787610795</v>
      </c>
      <c r="AJ830">
        <v>72.158536736913206</v>
      </c>
      <c r="AK830">
        <v>21.760984146594399</v>
      </c>
    </row>
    <row r="831" spans="1:37" x14ac:dyDescent="0.2">
      <c r="A831" t="str">
        <f>"20200111153418145"</f>
        <v>20200111153418145</v>
      </c>
      <c r="B831" t="str">
        <f>"1578728058137383"</f>
        <v>1578728058137383</v>
      </c>
      <c r="C831" t="s">
        <v>37</v>
      </c>
      <c r="D831">
        <v>4.7908210000000002</v>
      </c>
      <c r="E831">
        <v>0.54818140000000004</v>
      </c>
      <c r="F831" t="s">
        <v>46</v>
      </c>
      <c r="G831">
        <v>-206.87200000000001</v>
      </c>
      <c r="H831" s="1">
        <v>-5.372483E-6</v>
      </c>
      <c r="I831">
        <v>362.3528</v>
      </c>
      <c r="J831">
        <v>-228.10759999999999</v>
      </c>
      <c r="K831">
        <v>1.1023459999999901</v>
      </c>
      <c r="L831">
        <v>368.69569999999999</v>
      </c>
      <c r="M831">
        <v>0.99951329999999905</v>
      </c>
      <c r="N831">
        <v>0</v>
      </c>
      <c r="O831">
        <v>2.1274970000000001E-2</v>
      </c>
      <c r="P831">
        <v>0.98677169999999903</v>
      </c>
      <c r="Q831">
        <v>-1.192321E-2</v>
      </c>
      <c r="R831">
        <v>-0.1616773</v>
      </c>
      <c r="S831">
        <v>2.8989560000000001</v>
      </c>
      <c r="T831">
        <v>-0.1487385</v>
      </c>
      <c r="U831">
        <v>-0.85519409999999896</v>
      </c>
      <c r="V831">
        <v>0.1827164</v>
      </c>
      <c r="W831">
        <v>9.0844029999999996E-3</v>
      </c>
      <c r="X831">
        <v>0.98312369999999905</v>
      </c>
      <c r="Y831">
        <v>0.30289969999999999</v>
      </c>
      <c r="Z831">
        <v>-8.6729319999999995E-3</v>
      </c>
      <c r="AA831">
        <v>0.95298300000000002</v>
      </c>
      <c r="AB831">
        <v>40</v>
      </c>
      <c r="AC831">
        <v>21.235599999999899</v>
      </c>
      <c r="AD831">
        <v>-1.1023513724830001</v>
      </c>
      <c r="AE831">
        <v>-6.3428999999999798</v>
      </c>
      <c r="AF831">
        <v>6.7766028000918199</v>
      </c>
      <c r="AG831">
        <v>-1.1023513724830001</v>
      </c>
      <c r="AH831">
        <v>21.043749059922799</v>
      </c>
      <c r="AI831">
        <v>92.854529624598399</v>
      </c>
      <c r="AJ831">
        <v>72.150169509320904</v>
      </c>
      <c r="AK831">
        <v>22.135421806589299</v>
      </c>
    </row>
    <row r="832" spans="1:37" x14ac:dyDescent="0.2">
      <c r="A832" t="str">
        <f>"20200111153418159"</f>
        <v>20200111153418159</v>
      </c>
      <c r="B832" t="str">
        <f>"1578728058156902"</f>
        <v>1578728058156902</v>
      </c>
      <c r="C832" t="s">
        <v>37</v>
      </c>
      <c r="D832">
        <v>4.8073239999999897</v>
      </c>
      <c r="E832">
        <v>0.54832919999999996</v>
      </c>
      <c r="F832" t="s">
        <v>46</v>
      </c>
      <c r="G832">
        <v>-206.51390000000001</v>
      </c>
      <c r="H832" s="1">
        <v>-5.2650530000000004E-6</v>
      </c>
      <c r="I832">
        <v>362.2731</v>
      </c>
      <c r="J832">
        <v>-227.8503</v>
      </c>
      <c r="K832">
        <v>1.102217</v>
      </c>
      <c r="L832">
        <v>368.69940000000003</v>
      </c>
      <c r="M832">
        <v>0.99956219999999996</v>
      </c>
      <c r="N832">
        <v>0</v>
      </c>
      <c r="O832">
        <v>1.9020720000000001E-2</v>
      </c>
      <c r="P832">
        <v>0.98660000000000003</v>
      </c>
      <c r="Q832">
        <v>-1.165807E-2</v>
      </c>
      <c r="R832">
        <v>-0.1627422</v>
      </c>
      <c r="S832">
        <v>2.8972319999999998</v>
      </c>
      <c r="T832">
        <v>-0.14790229999999999</v>
      </c>
      <c r="U832">
        <v>-0.86172490000000002</v>
      </c>
      <c r="V832">
        <v>0.18156340000000001</v>
      </c>
      <c r="W832">
        <v>9.1649850000000005E-3</v>
      </c>
      <c r="X832">
        <v>0.98333649999999995</v>
      </c>
      <c r="Y832">
        <v>0.3028863</v>
      </c>
      <c r="Z832">
        <v>-8.5133710000000005E-3</v>
      </c>
      <c r="AA832">
        <v>0.95298869999999902</v>
      </c>
      <c r="AB832">
        <v>40</v>
      </c>
      <c r="AC832">
        <v>21.336400000000001</v>
      </c>
      <c r="AD832">
        <v>-1.102222265053</v>
      </c>
      <c r="AE832">
        <v>-6.4263000000000199</v>
      </c>
      <c r="AF832">
        <v>6.8144018205719004</v>
      </c>
      <c r="AG832">
        <v>-1.102222265053</v>
      </c>
      <c r="AH832">
        <v>21.158504794928</v>
      </c>
      <c r="AI832">
        <v>92.8387081448451</v>
      </c>
      <c r="AJ832">
        <v>72.1480966611946</v>
      </c>
      <c r="AK832">
        <v>22.256084364747998</v>
      </c>
    </row>
    <row r="833" spans="1:37" x14ac:dyDescent="0.2">
      <c r="A833" t="str">
        <f>"20200111153418174"</f>
        <v>20200111153418174</v>
      </c>
      <c r="B833" t="str">
        <f>"1578728058166662"</f>
        <v>1578728058166662</v>
      </c>
      <c r="C833" t="s">
        <v>37</v>
      </c>
      <c r="D833">
        <v>4.7682129999999896</v>
      </c>
      <c r="E833">
        <v>0.54836459999999998</v>
      </c>
      <c r="F833" t="s">
        <v>46</v>
      </c>
      <c r="G833">
        <v>-205.66370000000001</v>
      </c>
      <c r="H833" s="1">
        <v>-4.9386319999999996E-6</v>
      </c>
      <c r="I833">
        <v>362.0641</v>
      </c>
      <c r="J833">
        <v>-227.58879999999999</v>
      </c>
      <c r="K833">
        <v>1.102088</v>
      </c>
      <c r="L833">
        <v>368.7022</v>
      </c>
      <c r="M833">
        <v>0.99960830000000001</v>
      </c>
      <c r="N833">
        <v>0</v>
      </c>
      <c r="O833">
        <v>1.6652699999999999E-2</v>
      </c>
      <c r="P833">
        <v>0.98634869999999997</v>
      </c>
      <c r="Q833">
        <v>-1.182999E-2</v>
      </c>
      <c r="R833">
        <v>-0.1642458</v>
      </c>
      <c r="S833">
        <v>2.89616399999999</v>
      </c>
      <c r="T833">
        <v>-0.14388020000000001</v>
      </c>
      <c r="U833">
        <v>-0.86614990000000003</v>
      </c>
      <c r="V833">
        <v>0.180732</v>
      </c>
      <c r="W833">
        <v>8.7882989999999994E-3</v>
      </c>
      <c r="X833">
        <v>0.98349310000000001</v>
      </c>
      <c r="Y833">
        <v>0.30208609999999902</v>
      </c>
      <c r="Z833">
        <v>-8.1486200000000005E-3</v>
      </c>
      <c r="AA833">
        <v>0.95324580000000003</v>
      </c>
      <c r="AB833">
        <v>40</v>
      </c>
      <c r="AC833">
        <v>21.925099999999901</v>
      </c>
      <c r="AD833">
        <v>-1.102092938632</v>
      </c>
      <c r="AE833">
        <v>-6.6380999999999997</v>
      </c>
      <c r="AF833">
        <v>6.9862137271291704</v>
      </c>
      <c r="AG833">
        <v>-1.102092938632</v>
      </c>
      <c r="AH833">
        <v>21.761121053416499</v>
      </c>
      <c r="AI833">
        <v>92.760719548089298</v>
      </c>
      <c r="AJ833">
        <v>72.201236169874804</v>
      </c>
      <c r="AK833">
        <v>22.881612281217301</v>
      </c>
    </row>
    <row r="834" spans="1:37" x14ac:dyDescent="0.2">
      <c r="A834" t="str">
        <f>"20200111153418188"</f>
        <v>20200111153418188</v>
      </c>
      <c r="B834" t="str">
        <f>"1578728058177398"</f>
        <v>1578728058177398</v>
      </c>
      <c r="C834" t="s">
        <v>37</v>
      </c>
      <c r="D834">
        <v>4.8826000000000001</v>
      </c>
      <c r="E834">
        <v>0.54827429999999999</v>
      </c>
      <c r="F834" t="s">
        <v>46</v>
      </c>
      <c r="G834">
        <v>-205.24029999999999</v>
      </c>
      <c r="H834" s="1">
        <v>-4.7601770000000002E-6</v>
      </c>
      <c r="I834">
        <v>361.97930000000002</v>
      </c>
      <c r="J834">
        <v>-227.35220000000001</v>
      </c>
      <c r="K834">
        <v>1.10197099999999</v>
      </c>
      <c r="L834">
        <v>368.70429999999999</v>
      </c>
      <c r="M834">
        <v>0.99964619999999904</v>
      </c>
      <c r="N834">
        <v>0</v>
      </c>
      <c r="O834">
        <v>1.4462600000000001E-2</v>
      </c>
      <c r="P834">
        <v>0.98609990000000003</v>
      </c>
      <c r="Q834">
        <v>-1.248018E-2</v>
      </c>
      <c r="R834">
        <v>-0.16568579999999999</v>
      </c>
      <c r="S834">
        <v>2.894806</v>
      </c>
      <c r="T834">
        <v>-0.14275399999999999</v>
      </c>
      <c r="U834">
        <v>-0.87081909999999896</v>
      </c>
      <c r="V834">
        <v>0.1800079</v>
      </c>
      <c r="W834">
        <v>7.9395579999999993E-3</v>
      </c>
      <c r="X834">
        <v>0.98363310000000004</v>
      </c>
      <c r="Y834">
        <v>0.30153959999999902</v>
      </c>
      <c r="Z834">
        <v>-7.9677919999999996E-3</v>
      </c>
      <c r="AA834">
        <v>0.9534203</v>
      </c>
      <c r="AB834">
        <v>40</v>
      </c>
      <c r="AC834">
        <v>22.111899999999999</v>
      </c>
      <c r="AD834">
        <v>-1.1019757601769899</v>
      </c>
      <c r="AE834">
        <v>-6.7249999999999597</v>
      </c>
      <c r="AF834">
        <v>7.0281938339999597</v>
      </c>
      <c r="AG834">
        <v>-1.1019757601769899</v>
      </c>
      <c r="AH834">
        <v>21.962372228052601</v>
      </c>
      <c r="AI834">
        <v>92.735988075551404</v>
      </c>
      <c r="AJ834">
        <v>72.254772912343697</v>
      </c>
      <c r="AK834">
        <v>23.0858323009552</v>
      </c>
    </row>
    <row r="835" spans="1:37" x14ac:dyDescent="0.2">
      <c r="A835" t="str">
        <f>"20200111153418201"</f>
        <v>20200111153418201</v>
      </c>
      <c r="B835" t="str">
        <f>"1578728058196918"</f>
        <v>1578728058196918</v>
      </c>
      <c r="C835" t="s">
        <v>37</v>
      </c>
      <c r="D835">
        <v>4.8727799999999997</v>
      </c>
      <c r="E835">
        <v>0.548149199999999</v>
      </c>
      <c r="F835" t="s">
        <v>46</v>
      </c>
      <c r="G835">
        <v>-205.2972</v>
      </c>
      <c r="H835" s="1">
        <v>-4.7734779999999999E-6</v>
      </c>
      <c r="I835">
        <v>362.03899999999999</v>
      </c>
      <c r="J835">
        <v>-227.11099999999999</v>
      </c>
      <c r="K835">
        <v>1.1018520000000001</v>
      </c>
      <c r="L835">
        <v>368.70589999999999</v>
      </c>
      <c r="M835">
        <v>0.99968049999999997</v>
      </c>
      <c r="N835">
        <v>0</v>
      </c>
      <c r="O835">
        <v>1.2196820000000001E-2</v>
      </c>
      <c r="P835">
        <v>0.98584799999999995</v>
      </c>
      <c r="Q835">
        <v>-1.365308E-2</v>
      </c>
      <c r="R835">
        <v>-0.16708439999999999</v>
      </c>
      <c r="S835">
        <v>2.8935089999999999</v>
      </c>
      <c r="T835">
        <v>-0.14457420000000001</v>
      </c>
      <c r="U835">
        <v>-0.87445069999999903</v>
      </c>
      <c r="V835">
        <v>0.17916370000000001</v>
      </c>
      <c r="W835">
        <v>6.5562889999999999E-3</v>
      </c>
      <c r="X835">
        <v>0.98379740000000004</v>
      </c>
      <c r="Y835">
        <v>0.30058800000000002</v>
      </c>
      <c r="Z835">
        <v>-7.9372539999999995E-3</v>
      </c>
      <c r="AA835">
        <v>0.95372109999999999</v>
      </c>
      <c r="AB835">
        <v>40</v>
      </c>
      <c r="AC835">
        <v>21.813799999999901</v>
      </c>
      <c r="AD835">
        <v>-1.101856773478</v>
      </c>
      <c r="AE835">
        <v>-6.6668999999999903</v>
      </c>
      <c r="AF835">
        <v>6.9163887650764098</v>
      </c>
      <c r="AG835">
        <v>-1.101856773478</v>
      </c>
      <c r="AH835">
        <v>21.680251119657299</v>
      </c>
      <c r="AI835">
        <v>92.772033517702695</v>
      </c>
      <c r="AJ835">
        <v>72.306384868795902</v>
      </c>
      <c r="AK835">
        <v>22.783410862079801</v>
      </c>
    </row>
    <row r="836" spans="1:37" x14ac:dyDescent="0.2">
      <c r="A836" t="str">
        <f>"20200111153418214"</f>
        <v>20200111153418214</v>
      </c>
      <c r="B836" t="str">
        <f>"1578728058206678"</f>
        <v>1578728058206678</v>
      </c>
      <c r="C836" t="s">
        <v>37</v>
      </c>
      <c r="D836">
        <v>4.8456320000000002</v>
      </c>
      <c r="E836">
        <v>0.54804770000000003</v>
      </c>
      <c r="F836" t="s">
        <v>46</v>
      </c>
      <c r="G836">
        <v>-205.541</v>
      </c>
      <c r="H836" s="1">
        <v>-4.8600290000000002E-6</v>
      </c>
      <c r="I836">
        <v>362.16070000000002</v>
      </c>
      <c r="J836">
        <v>-226.8673</v>
      </c>
      <c r="K836">
        <v>1.1017379999999899</v>
      </c>
      <c r="L836">
        <v>368.70679999999999</v>
      </c>
      <c r="M836">
        <v>0.99971080000000001</v>
      </c>
      <c r="N836">
        <v>0</v>
      </c>
      <c r="O836">
        <v>9.8574960000000003E-3</v>
      </c>
      <c r="P836">
        <v>0.98550899999999997</v>
      </c>
      <c r="Q836">
        <v>-1.5853579999999999E-2</v>
      </c>
      <c r="R836">
        <v>-0.16888149999999999</v>
      </c>
      <c r="S836">
        <v>2.8922729999999999</v>
      </c>
      <c r="T836">
        <v>-0.1477453</v>
      </c>
      <c r="U836">
        <v>-0.87762450000000003</v>
      </c>
      <c r="V836">
        <v>0.1786344</v>
      </c>
      <c r="W836">
        <v>4.1263630000000001E-3</v>
      </c>
      <c r="X836">
        <v>0.98390689999999903</v>
      </c>
      <c r="Y836">
        <v>0.29941580000000001</v>
      </c>
      <c r="Z836">
        <v>-7.9670169999999998E-3</v>
      </c>
      <c r="AA836">
        <v>0.95408950000000003</v>
      </c>
      <c r="AB836">
        <v>40</v>
      </c>
      <c r="AC836">
        <v>21.3263</v>
      </c>
      <c r="AD836">
        <v>-1.10174286002899</v>
      </c>
      <c r="AE836">
        <v>-6.5460999999999601</v>
      </c>
      <c r="AF836">
        <v>6.7396178562342897</v>
      </c>
      <c r="AG836">
        <v>-1.10174286002899</v>
      </c>
      <c r="AH836">
        <v>21.208989285795401</v>
      </c>
      <c r="AI836">
        <v>92.834255298771396</v>
      </c>
      <c r="AJ836">
        <v>72.371212986117101</v>
      </c>
      <c r="AK836">
        <v>22.2813265471938</v>
      </c>
    </row>
    <row r="837" spans="1:37" x14ac:dyDescent="0.2">
      <c r="A837" t="str">
        <f>"20200111153418226"</f>
        <v>20200111153418226</v>
      </c>
      <c r="B837" t="str">
        <f>"1578728058217414"</f>
        <v>1578728058217414</v>
      </c>
      <c r="C837" t="s">
        <v>37</v>
      </c>
      <c r="D837">
        <v>4.7645220000000004</v>
      </c>
      <c r="E837">
        <v>0.54799529999999996</v>
      </c>
      <c r="F837" t="s">
        <v>46</v>
      </c>
      <c r="G837">
        <v>-206.2902</v>
      </c>
      <c r="H837" s="1">
        <v>-5.1501879999999999E-6</v>
      </c>
      <c r="I837">
        <v>362.42619999999999</v>
      </c>
      <c r="J837">
        <v>-226.66370000000001</v>
      </c>
      <c r="K837">
        <v>1.10164</v>
      </c>
      <c r="L837">
        <v>368.70710000000003</v>
      </c>
      <c r="M837">
        <v>0.99973269999999903</v>
      </c>
      <c r="N837">
        <v>0</v>
      </c>
      <c r="O837">
        <v>7.8701540000000007E-3</v>
      </c>
      <c r="P837">
        <v>0.98514099999999905</v>
      </c>
      <c r="Q837">
        <v>-2.046895E-2</v>
      </c>
      <c r="R837">
        <v>-0.1705245</v>
      </c>
      <c r="S837">
        <v>2.89044199999999</v>
      </c>
      <c r="T837">
        <v>-0.1547607</v>
      </c>
      <c r="U837">
        <v>-0.88223269999999998</v>
      </c>
      <c r="V837">
        <v>0.17827509999999999</v>
      </c>
      <c r="W837">
        <v>-7.0513200000000002E-4</v>
      </c>
      <c r="X837">
        <v>0.98398039999999998</v>
      </c>
      <c r="Y837">
        <v>0.29904629999999999</v>
      </c>
      <c r="Z837">
        <v>-8.2342590000000007E-3</v>
      </c>
      <c r="AA837">
        <v>0.95420309999999897</v>
      </c>
      <c r="AB837">
        <v>40</v>
      </c>
      <c r="AC837">
        <v>20.3735</v>
      </c>
      <c r="AD837">
        <v>-1.101645150188</v>
      </c>
      <c r="AE837">
        <v>-6.2809000000000301</v>
      </c>
      <c r="AF837">
        <v>6.4239335584795896</v>
      </c>
      <c r="AG837">
        <v>-1.101645150188</v>
      </c>
      <c r="AH837">
        <v>20.2693050565119</v>
      </c>
      <c r="AI837">
        <v>92.965878552014999</v>
      </c>
      <c r="AJ837">
        <v>72.415073882570894</v>
      </c>
      <c r="AK837">
        <v>21.291436585506201</v>
      </c>
    </row>
    <row r="838" spans="1:37" x14ac:dyDescent="0.2">
      <c r="A838" t="str">
        <f>"20200111153418240"</f>
        <v>20200111153418240</v>
      </c>
      <c r="B838" t="str">
        <f>"1578728058236934"</f>
        <v>1578728058236934</v>
      </c>
      <c r="C838" t="s">
        <v>37</v>
      </c>
      <c r="D838">
        <v>4.7764309999999996</v>
      </c>
      <c r="E838">
        <v>0.54813590000000001</v>
      </c>
      <c r="F838" t="s">
        <v>46</v>
      </c>
      <c r="G838">
        <v>-207.815</v>
      </c>
      <c r="H838" s="1">
        <v>-5.5991789999999997E-6</v>
      </c>
      <c r="I838">
        <v>362.92239999999998</v>
      </c>
      <c r="J838">
        <v>-226.41370000000001</v>
      </c>
      <c r="K838">
        <v>1.101531</v>
      </c>
      <c r="L838">
        <v>368.70710000000003</v>
      </c>
      <c r="M838">
        <v>0.999754699999999</v>
      </c>
      <c r="N838">
        <v>0</v>
      </c>
      <c r="O838">
        <v>5.4033049999999997E-3</v>
      </c>
      <c r="P838">
        <v>0.98468940000000005</v>
      </c>
      <c r="Q838">
        <v>-2.20127E-2</v>
      </c>
      <c r="R838">
        <v>-0.17292249999999901</v>
      </c>
      <c r="S838">
        <v>2.88829</v>
      </c>
      <c r="T838">
        <v>-0.16881079999999901</v>
      </c>
      <c r="U838">
        <v>-0.88641360000000002</v>
      </c>
      <c r="V838">
        <v>0.17822579999999999</v>
      </c>
      <c r="W838">
        <v>-2.5368729999999998E-3</v>
      </c>
      <c r="X838">
        <v>0.98398629999999998</v>
      </c>
      <c r="Y838">
        <v>0.29808179999999901</v>
      </c>
      <c r="Z838">
        <v>-8.8167530000000001E-3</v>
      </c>
      <c r="AA838">
        <v>0.954499599999999</v>
      </c>
      <c r="AB838">
        <v>40</v>
      </c>
      <c r="AC838">
        <v>18.598700000000001</v>
      </c>
      <c r="AD838">
        <v>-1.101536599179</v>
      </c>
      <c r="AE838">
        <v>-5.7847000000000399</v>
      </c>
      <c r="AF838">
        <v>5.8663702821043398</v>
      </c>
      <c r="AG838">
        <v>-1.101536599179</v>
      </c>
      <c r="AH838">
        <v>18.507969171558301</v>
      </c>
      <c r="AI838">
        <v>93.247200060589805</v>
      </c>
      <c r="AJ838">
        <v>72.413230141903398</v>
      </c>
      <c r="AK838">
        <v>19.446660536488999</v>
      </c>
    </row>
    <row r="839" spans="1:37" x14ac:dyDescent="0.2">
      <c r="A839" t="str">
        <f>"20200111153418253"</f>
        <v>20200111153418253</v>
      </c>
      <c r="B839" t="str">
        <f>"1578728058246694"</f>
        <v>1578728058246694</v>
      </c>
      <c r="C839" t="s">
        <v>37</v>
      </c>
      <c r="D839">
        <v>4.8318009999999996</v>
      </c>
      <c r="E839">
        <v>0.54817130000000003</v>
      </c>
      <c r="F839" t="s">
        <v>46</v>
      </c>
      <c r="G839">
        <v>-207.9417</v>
      </c>
      <c r="H839" s="1">
        <v>-5.6324870000000001E-6</v>
      </c>
      <c r="I839">
        <v>362.98079999999999</v>
      </c>
      <c r="J839">
        <v>-226.1969</v>
      </c>
      <c r="K839">
        <v>1.1014440000000001</v>
      </c>
      <c r="L839">
        <v>368.7063</v>
      </c>
      <c r="M839">
        <v>0.99976960000000004</v>
      </c>
      <c r="N839">
        <v>0</v>
      </c>
      <c r="O839">
        <v>3.2310759999999998E-3</v>
      </c>
      <c r="P839">
        <v>0.98428989999999905</v>
      </c>
      <c r="Q839">
        <v>-2.3242599999999999E-2</v>
      </c>
      <c r="R839">
        <v>-0.1750245</v>
      </c>
      <c r="S839">
        <v>2.8857119999999998</v>
      </c>
      <c r="T839">
        <v>-0.1720835</v>
      </c>
      <c r="U839">
        <v>-0.89456179999999996</v>
      </c>
      <c r="V839">
        <v>0.17817430000000001</v>
      </c>
      <c r="W839">
        <v>-4.0439669999999999E-3</v>
      </c>
      <c r="X839">
        <v>0.98399059999999905</v>
      </c>
      <c r="Y839">
        <v>0.29869200000000001</v>
      </c>
      <c r="Z839">
        <v>-8.8826430000000008E-3</v>
      </c>
      <c r="AA839">
        <v>0.95430820000000005</v>
      </c>
      <c r="AB839">
        <v>40</v>
      </c>
      <c r="AC839">
        <v>18.255199999999999</v>
      </c>
      <c r="AD839">
        <v>-1.101449632487</v>
      </c>
      <c r="AE839">
        <v>-5.72550000000001</v>
      </c>
      <c r="AF839">
        <v>5.7653584731155103</v>
      </c>
      <c r="AG839">
        <v>-1.101449632487</v>
      </c>
      <c r="AH839">
        <v>18.176356796313101</v>
      </c>
      <c r="AI839">
        <v>93.305837543635107</v>
      </c>
      <c r="AJ839">
        <v>72.401493706844704</v>
      </c>
      <c r="AK839">
        <v>19.1005888915318</v>
      </c>
    </row>
    <row r="840" spans="1:37" x14ac:dyDescent="0.2">
      <c r="A840" t="str">
        <f>"20200111153418265"</f>
        <v>20200111153418265</v>
      </c>
      <c r="B840" t="str">
        <f>"1578728058257430"</f>
        <v>1578728058257430</v>
      </c>
      <c r="C840" t="s">
        <v>37</v>
      </c>
      <c r="D840">
        <v>4.8475449999999896</v>
      </c>
      <c r="E840">
        <v>0.5482456</v>
      </c>
      <c r="F840" t="s">
        <v>46</v>
      </c>
      <c r="G840">
        <v>-208.16749999999999</v>
      </c>
      <c r="H840" s="1">
        <v>-5.6932930000000002E-6</v>
      </c>
      <c r="I840">
        <v>363.07530000000003</v>
      </c>
      <c r="J840">
        <v>-225.97739999999999</v>
      </c>
      <c r="K840">
        <v>1.101364</v>
      </c>
      <c r="L840">
        <v>368.70510000000002</v>
      </c>
      <c r="M840">
        <v>0.99978020000000001</v>
      </c>
      <c r="N840">
        <v>0</v>
      </c>
      <c r="O840">
        <v>1.016257E-3</v>
      </c>
      <c r="P840">
        <v>0.98389419999999905</v>
      </c>
      <c r="Q840">
        <v>-2.340826E-2</v>
      </c>
      <c r="R840">
        <v>-0.17721319999999999</v>
      </c>
      <c r="S840">
        <v>2.883575</v>
      </c>
      <c r="T840">
        <v>-0.1761624</v>
      </c>
      <c r="U840">
        <v>-0.90060419999999997</v>
      </c>
      <c r="V840">
        <v>0.17817829999999901</v>
      </c>
      <c r="W840">
        <v>-4.5009459999999996E-3</v>
      </c>
      <c r="X840">
        <v>0.98398790000000003</v>
      </c>
      <c r="Y840">
        <v>0.2985814</v>
      </c>
      <c r="Z840">
        <v>-8.9610990000000001E-3</v>
      </c>
      <c r="AA840">
        <v>0.95434209999999997</v>
      </c>
      <c r="AB840">
        <v>40</v>
      </c>
      <c r="AC840">
        <v>17.809899999999999</v>
      </c>
      <c r="AD840">
        <v>-1.1013696932929999</v>
      </c>
      <c r="AE840">
        <v>-5.6297999999999799</v>
      </c>
      <c r="AF840">
        <v>5.6283318444365298</v>
      </c>
      <c r="AG840">
        <v>-1.1013696932929999</v>
      </c>
      <c r="AH840">
        <v>17.7424809475804</v>
      </c>
      <c r="AI840">
        <v>93.386214985158901</v>
      </c>
      <c r="AJ840">
        <v>72.3997495519788</v>
      </c>
      <c r="AK840">
        <v>18.6463606295613</v>
      </c>
    </row>
    <row r="841" spans="1:37" x14ac:dyDescent="0.2">
      <c r="A841" t="str">
        <f>"20200111153418276"</f>
        <v>20200111153418276</v>
      </c>
      <c r="B841" t="str">
        <f>"1578728058267190"</f>
        <v>1578728058267190</v>
      </c>
      <c r="C841" t="s">
        <v>37</v>
      </c>
      <c r="D841">
        <v>4.8029409999999997</v>
      </c>
      <c r="E841">
        <v>0.54836049999999903</v>
      </c>
      <c r="F841" t="s">
        <v>46</v>
      </c>
      <c r="G841">
        <v>-208.03440000000001</v>
      </c>
      <c r="H841" s="1">
        <v>-5.6522919999999999E-6</v>
      </c>
      <c r="I841">
        <v>363.05259999999998</v>
      </c>
      <c r="J841">
        <v>-225.76140000000001</v>
      </c>
      <c r="K841">
        <v>1.101291</v>
      </c>
      <c r="L841">
        <v>368.70359999999999</v>
      </c>
      <c r="M841">
        <v>0.99978590000000001</v>
      </c>
      <c r="N841">
        <v>0</v>
      </c>
      <c r="O841">
        <v>-1.1763589999999899E-3</v>
      </c>
      <c r="P841">
        <v>0.98353219999999997</v>
      </c>
      <c r="Q841">
        <v>-2.2953850000000001E-2</v>
      </c>
      <c r="R841">
        <v>-0.17926989999999901</v>
      </c>
      <c r="S841">
        <v>2.8814090000000001</v>
      </c>
      <c r="T841">
        <v>-0.17686559999999901</v>
      </c>
      <c r="U841">
        <v>-0.90771480000000004</v>
      </c>
      <c r="V841">
        <v>0.17807890000000001</v>
      </c>
      <c r="W841">
        <v>-4.3408739999999998E-3</v>
      </c>
      <c r="X841">
        <v>0.98400659999999895</v>
      </c>
      <c r="Y841">
        <v>0.29883589999999999</v>
      </c>
      <c r="Z841">
        <v>-8.87632E-3</v>
      </c>
      <c r="AA841">
        <v>0.95426330000000004</v>
      </c>
      <c r="AB841">
        <v>39</v>
      </c>
      <c r="AC841">
        <v>17.727</v>
      </c>
      <c r="AD841">
        <v>-1.101296652292</v>
      </c>
      <c r="AE841">
        <v>-5.6510000000000096</v>
      </c>
      <c r="AF841">
        <v>5.6104818112448198</v>
      </c>
      <c r="AG841">
        <v>-1.101296652292</v>
      </c>
      <c r="AH841">
        <v>17.671723281821201</v>
      </c>
      <c r="AI841">
        <v>93.399262429988397</v>
      </c>
      <c r="AJ841">
        <v>72.386211821663395</v>
      </c>
      <c r="AK841">
        <v>18.573641652081001</v>
      </c>
    </row>
    <row r="842" spans="1:37" x14ac:dyDescent="0.2">
      <c r="A842" t="str">
        <f>"20200111153418289"</f>
        <v>20200111153418289</v>
      </c>
      <c r="B842" t="str">
        <f>"1578728058286711"</f>
        <v>1578728058286711</v>
      </c>
      <c r="C842" t="s">
        <v>37</v>
      </c>
      <c r="D842">
        <v>4.8259019999999904</v>
      </c>
      <c r="E842">
        <v>0.54863719999999905</v>
      </c>
      <c r="F842" t="s">
        <v>46</v>
      </c>
      <c r="G842">
        <v>-207.64449999999999</v>
      </c>
      <c r="H842" s="1">
        <v>-5.5380859999999996E-6</v>
      </c>
      <c r="I842">
        <v>362.94819999999999</v>
      </c>
      <c r="J842">
        <v>-225.54830000000001</v>
      </c>
      <c r="K842">
        <v>1.1012329999999999</v>
      </c>
      <c r="L842">
        <v>368.70150000000001</v>
      </c>
      <c r="M842">
        <v>0.99978690000000003</v>
      </c>
      <c r="N842">
        <v>0</v>
      </c>
      <c r="O842">
        <v>-3.358027E-3</v>
      </c>
      <c r="P842">
        <v>0.98313980000000001</v>
      </c>
      <c r="Q842">
        <v>-2.2292050000000001E-2</v>
      </c>
      <c r="R842">
        <v>-0.18149270000000001</v>
      </c>
      <c r="S842">
        <v>2.8794249999999999</v>
      </c>
      <c r="T842">
        <v>-0.17503540000000001</v>
      </c>
      <c r="U842">
        <v>-0.91473389999999999</v>
      </c>
      <c r="V842">
        <v>0.17815929999999999</v>
      </c>
      <c r="W842">
        <v>-3.9749130000000001E-3</v>
      </c>
      <c r="X842">
        <v>0.98399360000000002</v>
      </c>
      <c r="Y842">
        <v>0.29907030000000001</v>
      </c>
      <c r="Z842">
        <v>-8.6648590000000004E-3</v>
      </c>
      <c r="AA842">
        <v>0.95419169999999998</v>
      </c>
      <c r="AB842">
        <v>39</v>
      </c>
      <c r="AC842">
        <v>17.9038</v>
      </c>
      <c r="AD842">
        <v>-1.1012385380859999</v>
      </c>
      <c r="AE842">
        <v>-5.7533000000000198</v>
      </c>
      <c r="AF842">
        <v>5.6736774274166004</v>
      </c>
      <c r="AG842">
        <v>-1.1012385380859999</v>
      </c>
      <c r="AH842">
        <v>17.861771088116601</v>
      </c>
      <c r="AI842">
        <v>93.362846055150399</v>
      </c>
      <c r="AJ842">
        <v>72.3778823279509</v>
      </c>
      <c r="AK842">
        <v>18.773550763572199</v>
      </c>
    </row>
    <row r="843" spans="1:37" x14ac:dyDescent="0.2">
      <c r="A843" t="str">
        <f>"20200111153418303"</f>
        <v>20200111153418303</v>
      </c>
      <c r="B843" t="str">
        <f>"1578728058297447"</f>
        <v>1578728058297447</v>
      </c>
      <c r="C843" t="s">
        <v>37</v>
      </c>
      <c r="D843">
        <v>4.8406589999999996</v>
      </c>
      <c r="E843">
        <v>0.54878090000000002</v>
      </c>
      <c r="F843" t="s">
        <v>46</v>
      </c>
      <c r="G843">
        <v>-207.06649999999999</v>
      </c>
      <c r="H843" s="1">
        <v>-5.37258299999999E-6</v>
      </c>
      <c r="I843">
        <v>362.76900000000001</v>
      </c>
      <c r="J843">
        <v>-225.3108</v>
      </c>
      <c r="K843">
        <v>1.101173</v>
      </c>
      <c r="L843">
        <v>368.69880000000001</v>
      </c>
      <c r="M843">
        <v>0.99978230000000001</v>
      </c>
      <c r="N843">
        <v>0</v>
      </c>
      <c r="O843">
        <v>-5.7998169999999996E-3</v>
      </c>
      <c r="P843">
        <v>0.98266569999999998</v>
      </c>
      <c r="Q843">
        <v>-2.0581840000000001E-2</v>
      </c>
      <c r="R843">
        <v>-0.18424189999999999</v>
      </c>
      <c r="S843">
        <v>2.877075</v>
      </c>
      <c r="T843">
        <v>-0.1714299</v>
      </c>
      <c r="U843">
        <v>-0.92352289999999904</v>
      </c>
      <c r="V843">
        <v>0.17852129999999999</v>
      </c>
      <c r="W843">
        <v>-2.6024189999999999E-3</v>
      </c>
      <c r="X843">
        <v>0.98393259999999905</v>
      </c>
      <c r="Y843">
        <v>0.29963309999999999</v>
      </c>
      <c r="Z843">
        <v>-8.3639830000000002E-3</v>
      </c>
      <c r="AA843">
        <v>0.95401789999999997</v>
      </c>
      <c r="AB843">
        <v>39</v>
      </c>
      <c r="AC843">
        <v>18.244299999999999</v>
      </c>
      <c r="AD843">
        <v>-1.101178372583</v>
      </c>
      <c r="AE843">
        <v>-5.9298000000000002</v>
      </c>
      <c r="AF843">
        <v>5.80473910047714</v>
      </c>
      <c r="AG843">
        <v>-1.101178372583</v>
      </c>
      <c r="AH843">
        <v>18.218363283131701</v>
      </c>
      <c r="AI843">
        <v>93.296063193331094</v>
      </c>
      <c r="AJ843">
        <v>72.327068785484101</v>
      </c>
      <c r="AK843">
        <v>19.152450249224302</v>
      </c>
    </row>
    <row r="844" spans="1:37" x14ac:dyDescent="0.2">
      <c r="A844" t="str">
        <f>"20200111153418315"</f>
        <v>20200111153418315</v>
      </c>
      <c r="B844" t="str">
        <f>"1578728058307207"</f>
        <v>1578728058307207</v>
      </c>
      <c r="C844" t="s">
        <v>37</v>
      </c>
      <c r="D844">
        <v>4.8647289999999996</v>
      </c>
      <c r="E844">
        <v>0.54888380000000003</v>
      </c>
      <c r="F844" t="s">
        <v>46</v>
      </c>
      <c r="G844">
        <v>-206.22049999999999</v>
      </c>
      <c r="H844" s="1">
        <v>-5.1004089999999999E-6</v>
      </c>
      <c r="I844">
        <v>362.50409999999999</v>
      </c>
      <c r="J844">
        <v>-225.07</v>
      </c>
      <c r="K844">
        <v>1.1011340000000001</v>
      </c>
      <c r="L844">
        <v>368.69540000000001</v>
      </c>
      <c r="M844">
        <v>0.99977150000000004</v>
      </c>
      <c r="N844">
        <v>0</v>
      </c>
      <c r="O844">
        <v>-8.2895099999999999E-3</v>
      </c>
      <c r="P844">
        <v>0.98205699999999996</v>
      </c>
      <c r="Q844">
        <v>-1.797149E-2</v>
      </c>
      <c r="R844">
        <v>-0.18772720000000001</v>
      </c>
      <c r="S844">
        <v>2.8745419999999999</v>
      </c>
      <c r="T844">
        <v>-0.16581089999999901</v>
      </c>
      <c r="U844">
        <v>-0.93276979999999998</v>
      </c>
      <c r="V844">
        <v>0.179583399999999</v>
      </c>
      <c r="W844">
        <v>-3.5275569999999997E-4</v>
      </c>
      <c r="X844">
        <v>0.98374269999999997</v>
      </c>
      <c r="Y844">
        <v>0.30031429999999998</v>
      </c>
      <c r="Z844">
        <v>-7.9724400000000008E-3</v>
      </c>
      <c r="AA844">
        <v>0.95380699999999996</v>
      </c>
      <c r="AB844">
        <v>39</v>
      </c>
      <c r="AC844">
        <v>18.849499999999999</v>
      </c>
      <c r="AD844">
        <v>-1.1011391004090001</v>
      </c>
      <c r="AE844">
        <v>-6.1913000000000098</v>
      </c>
      <c r="AF844">
        <v>6.01627195209739</v>
      </c>
      <c r="AG844">
        <v>-1.1011391004090001</v>
      </c>
      <c r="AH844">
        <v>18.842145892507101</v>
      </c>
      <c r="AI844">
        <v>93.186435428542794</v>
      </c>
      <c r="AJ844">
        <v>72.291786962517904</v>
      </c>
      <c r="AK844">
        <v>19.809959549543901</v>
      </c>
    </row>
    <row r="845" spans="1:37" x14ac:dyDescent="0.2">
      <c r="A845" t="str">
        <f>"20200111153418329"</f>
        <v>20200111153418329</v>
      </c>
      <c r="B845" t="str">
        <f>"1578728058316966"</f>
        <v>1578728058316966</v>
      </c>
      <c r="C845" t="s">
        <v>37</v>
      </c>
      <c r="D845">
        <v>4.8390599999999999</v>
      </c>
      <c r="E845">
        <v>0.54902499999999999</v>
      </c>
      <c r="F845" t="s">
        <v>46</v>
      </c>
      <c r="G845">
        <v>-205.05090000000001</v>
      </c>
      <c r="H845" s="1">
        <v>-4.6411859999999997E-6</v>
      </c>
      <c r="I845">
        <v>362.11810000000003</v>
      </c>
      <c r="J845">
        <v>-224.84110000000001</v>
      </c>
      <c r="K845">
        <v>1.101083</v>
      </c>
      <c r="L845">
        <v>368.69150000000002</v>
      </c>
      <c r="M845">
        <v>0.99975539999999996</v>
      </c>
      <c r="N845">
        <v>0</v>
      </c>
      <c r="O845">
        <v>-1.066573E-2</v>
      </c>
      <c r="P845">
        <v>0.98157450000000002</v>
      </c>
      <c r="Q845">
        <v>-1.668849E-2</v>
      </c>
      <c r="R845">
        <v>-0.1903504</v>
      </c>
      <c r="S845">
        <v>2.87156699999999</v>
      </c>
      <c r="T845">
        <v>-0.15794839999999999</v>
      </c>
      <c r="U845">
        <v>-0.94345089999999998</v>
      </c>
      <c r="V845">
        <v>0.17988289999999901</v>
      </c>
      <c r="W845">
        <v>5.9491769999999995E-4</v>
      </c>
      <c r="X845">
        <v>0.98368789999999995</v>
      </c>
      <c r="Y845">
        <v>0.3015852</v>
      </c>
      <c r="Z845">
        <v>-7.5049919999999899E-3</v>
      </c>
      <c r="AA845">
        <v>0.95340970000000003</v>
      </c>
      <c r="AB845">
        <v>39</v>
      </c>
      <c r="AC845">
        <v>19.790199999999999</v>
      </c>
      <c r="AD845">
        <v>-1.101087641186</v>
      </c>
      <c r="AE845">
        <v>-6.5733999999999897</v>
      </c>
      <c r="AF845">
        <v>6.3442217150750597</v>
      </c>
      <c r="AG845">
        <v>-1.101087641186</v>
      </c>
      <c r="AH845">
        <v>19.803983673501801</v>
      </c>
      <c r="AI845">
        <v>93.030907981537396</v>
      </c>
      <c r="AJ845">
        <v>72.237098648395303</v>
      </c>
      <c r="AK845">
        <v>20.8244882891256</v>
      </c>
    </row>
    <row r="846" spans="1:37" x14ac:dyDescent="0.2">
      <c r="A846" t="str">
        <f>"20200111153418350"</f>
        <v>20200111153418350</v>
      </c>
      <c r="B846" t="str">
        <f>"1578728058347222"</f>
        <v>1578728058347222</v>
      </c>
      <c r="C846" t="s">
        <v>37</v>
      </c>
      <c r="D846">
        <v>4.8368169999999999</v>
      </c>
      <c r="E846">
        <v>0.54943529999999996</v>
      </c>
      <c r="F846" t="s">
        <v>46</v>
      </c>
      <c r="G846">
        <v>-204.184</v>
      </c>
      <c r="H846" s="1">
        <v>-4.27004E-6</v>
      </c>
      <c r="I846">
        <v>361.83300000000003</v>
      </c>
      <c r="J846">
        <v>-224.4854</v>
      </c>
      <c r="K846">
        <v>1.1010139999999999</v>
      </c>
      <c r="L846">
        <v>368.68450000000001</v>
      </c>
      <c r="M846">
        <v>0.99971869999999996</v>
      </c>
      <c r="N846">
        <v>0</v>
      </c>
      <c r="O846">
        <v>-1.4360349999999999E-2</v>
      </c>
      <c r="P846">
        <v>0.9807863</v>
      </c>
      <c r="Q846">
        <v>-1.5179339999999999E-2</v>
      </c>
      <c r="R846">
        <v>-0.19449439999999901</v>
      </c>
      <c r="S846">
        <v>2.8689879999999999</v>
      </c>
      <c r="T846">
        <v>-0.15292600000000001</v>
      </c>
      <c r="U846">
        <v>-0.95254519999999998</v>
      </c>
      <c r="V846">
        <v>0.18041209999999999</v>
      </c>
      <c r="W846">
        <v>1.592937E-3</v>
      </c>
      <c r="X846">
        <v>0.98358979999999996</v>
      </c>
      <c r="Y846">
        <v>0.30107099999999998</v>
      </c>
      <c r="Z846">
        <v>-7.0645289999999999E-3</v>
      </c>
      <c r="AA846">
        <v>0.95357559999999997</v>
      </c>
      <c r="AB846">
        <v>39</v>
      </c>
      <c r="AC846">
        <v>20.301399999999902</v>
      </c>
      <c r="AD846">
        <v>-1.10101827004</v>
      </c>
      <c r="AE846">
        <v>-6.8514999999999802</v>
      </c>
      <c r="AF846">
        <v>6.5419319182935602</v>
      </c>
      <c r="AG846">
        <v>-1.10101827004</v>
      </c>
      <c r="AH846">
        <v>20.343994389241299</v>
      </c>
      <c r="AI846">
        <v>92.949373081812794</v>
      </c>
      <c r="AJ846">
        <v>72.173987350241703</v>
      </c>
      <c r="AK846">
        <v>21.398299515709901</v>
      </c>
    </row>
    <row r="847" spans="1:37" x14ac:dyDescent="0.2">
      <c r="A847" t="str">
        <f>"20200111153418363"</f>
        <v>20200111153418363</v>
      </c>
      <c r="B847" t="str">
        <f>"1578728058356982"</f>
        <v>1578728058356982</v>
      </c>
      <c r="C847" t="s">
        <v>37</v>
      </c>
      <c r="D847">
        <v>4.8224410000000004</v>
      </c>
      <c r="E847">
        <v>0.54955549999999997</v>
      </c>
      <c r="F847" t="s">
        <v>46</v>
      </c>
      <c r="G847">
        <v>-203.04570000000001</v>
      </c>
      <c r="H847" s="1">
        <v>-3.7851349999999999E-6</v>
      </c>
      <c r="I847">
        <v>361.43669999999997</v>
      </c>
      <c r="J847">
        <v>-224.25389999999999</v>
      </c>
      <c r="K847">
        <v>1.1009709999999999</v>
      </c>
      <c r="L847">
        <v>368.67939999999999</v>
      </c>
      <c r="M847">
        <v>0.99968709999999905</v>
      </c>
      <c r="N847">
        <v>0</v>
      </c>
      <c r="O847">
        <v>-1.6766389999999999E-2</v>
      </c>
      <c r="P847">
        <v>0.9803115</v>
      </c>
      <c r="Q847">
        <v>-1.463592E-2</v>
      </c>
      <c r="R847">
        <v>-0.19691449999999999</v>
      </c>
      <c r="S847">
        <v>2.864471</v>
      </c>
      <c r="T847">
        <v>-0.1471027</v>
      </c>
      <c r="U847">
        <v>-0.96835329999999997</v>
      </c>
      <c r="V847">
        <v>0.18047469999999999</v>
      </c>
      <c r="W847">
        <v>1.8203889999999999E-3</v>
      </c>
      <c r="X847">
        <v>0.9835779</v>
      </c>
      <c r="Y847">
        <v>0.30398159999999902</v>
      </c>
      <c r="Z847">
        <v>-6.7528889999999998E-3</v>
      </c>
      <c r="AA847">
        <v>0.95265390000000005</v>
      </c>
      <c r="AB847">
        <v>39</v>
      </c>
      <c r="AC847">
        <v>21.208199999999898</v>
      </c>
      <c r="AD847">
        <v>-1.100974785135</v>
      </c>
      <c r="AE847">
        <v>-7.2427000000000099</v>
      </c>
      <c r="AF847">
        <v>6.8694562009298501</v>
      </c>
      <c r="AG847">
        <v>-1.100974785135</v>
      </c>
      <c r="AH847">
        <v>21.275325598100402</v>
      </c>
      <c r="AI847">
        <v>92.819282634474604</v>
      </c>
      <c r="AJ847">
        <v>72.105576719577797</v>
      </c>
      <c r="AK847">
        <v>22.383946329438501</v>
      </c>
    </row>
    <row r="848" spans="1:37" x14ac:dyDescent="0.2">
      <c r="A848" t="str">
        <f>"20200111153418374"</f>
        <v>20200111153418374</v>
      </c>
      <c r="B848" t="str">
        <f>"1578728058366742"</f>
        <v>1578728058366742</v>
      </c>
      <c r="C848" t="s">
        <v>37</v>
      </c>
      <c r="D848">
        <v>4.7651890000000003</v>
      </c>
      <c r="E848">
        <v>0.54972730000000003</v>
      </c>
      <c r="F848" t="s">
        <v>46</v>
      </c>
      <c r="G848">
        <v>-202.55520000000001</v>
      </c>
      <c r="H848" s="1">
        <v>-3.573179E-6</v>
      </c>
      <c r="I848">
        <v>361.2792</v>
      </c>
      <c r="J848">
        <v>-224.04050000000001</v>
      </c>
      <c r="K848">
        <v>1.100935</v>
      </c>
      <c r="L848">
        <v>368.67410000000001</v>
      </c>
      <c r="M848">
        <v>0.9996526</v>
      </c>
      <c r="N848">
        <v>0</v>
      </c>
      <c r="O848">
        <v>-1.8983650000000001E-2</v>
      </c>
      <c r="P848">
        <v>0.97987690000000005</v>
      </c>
      <c r="Q848">
        <v>-1.3970440000000001E-2</v>
      </c>
      <c r="R848">
        <v>-0.19911409999999999</v>
      </c>
      <c r="S848">
        <v>2.8620450000000002</v>
      </c>
      <c r="T848">
        <v>-0.14521770000000001</v>
      </c>
      <c r="U848">
        <v>-0.9760742</v>
      </c>
      <c r="V848">
        <v>0.18050439999999901</v>
      </c>
      <c r="W848">
        <v>2.2085329999999999E-3</v>
      </c>
      <c r="X848">
        <v>0.98357169999999905</v>
      </c>
      <c r="Y848">
        <v>0.30442849999999999</v>
      </c>
      <c r="Z848">
        <v>-6.5708340000000002E-3</v>
      </c>
      <c r="AA848">
        <v>0.95251249999999998</v>
      </c>
      <c r="AB848">
        <v>39</v>
      </c>
      <c r="AC848">
        <v>21.485299999999899</v>
      </c>
      <c r="AD848">
        <v>-1.100938573179</v>
      </c>
      <c r="AE848">
        <v>-7.3948999999999998</v>
      </c>
      <c r="AF848">
        <v>6.9692683749365596</v>
      </c>
      <c r="AG848">
        <v>-1.100938573179</v>
      </c>
      <c r="AH848">
        <v>21.571192331081299</v>
      </c>
      <c r="AI848">
        <v>92.780422477565807</v>
      </c>
      <c r="AJ848">
        <v>72.095278483999607</v>
      </c>
      <c r="AK848">
        <v>22.695794897035501</v>
      </c>
    </row>
    <row r="849" spans="1:37" x14ac:dyDescent="0.2">
      <c r="A849" t="str">
        <f>"20200111153418386"</f>
        <v>20200111153418386</v>
      </c>
      <c r="B849" t="str">
        <f>"1578728058377478"</f>
        <v>1578728058377478</v>
      </c>
      <c r="C849" t="s">
        <v>37</v>
      </c>
      <c r="D849">
        <v>4.7796019999999997</v>
      </c>
      <c r="E849">
        <v>0.54989589999999999</v>
      </c>
      <c r="F849" t="s">
        <v>46</v>
      </c>
      <c r="G849">
        <v>-201.88589999999999</v>
      </c>
      <c r="H849" s="1">
        <v>-3.2871869999999999E-6</v>
      </c>
      <c r="I849">
        <v>361.05009999999999</v>
      </c>
      <c r="J849">
        <v>-223.83930000000001</v>
      </c>
      <c r="K849">
        <v>1.100903</v>
      </c>
      <c r="L849">
        <v>368.66860000000003</v>
      </c>
      <c r="M849">
        <v>0.99961509999999998</v>
      </c>
      <c r="N849">
        <v>0</v>
      </c>
      <c r="O849">
        <v>-2.107678E-2</v>
      </c>
      <c r="P849">
        <v>0.97940629999999995</v>
      </c>
      <c r="Q849">
        <v>-1.333641E-2</v>
      </c>
      <c r="R849">
        <v>-0.2014581</v>
      </c>
      <c r="S849">
        <v>2.8596189999999999</v>
      </c>
      <c r="T849">
        <v>-0.14210400000000001</v>
      </c>
      <c r="U849">
        <v>-0.98406979999999999</v>
      </c>
      <c r="V849">
        <v>0.18080260000000001</v>
      </c>
      <c r="W849">
        <v>2.589048E-3</v>
      </c>
      <c r="X849">
        <v>0.98351599999999995</v>
      </c>
      <c r="Y849">
        <v>0.30507979999999901</v>
      </c>
      <c r="Z849">
        <v>-6.3472850000000003E-3</v>
      </c>
      <c r="AA849">
        <v>0.95230559999999997</v>
      </c>
      <c r="AB849">
        <v>39</v>
      </c>
      <c r="AC849">
        <v>21.953399999999998</v>
      </c>
      <c r="AD849">
        <v>-1.1009062871869999</v>
      </c>
      <c r="AE849">
        <v>-7.61850000000004</v>
      </c>
      <c r="AF849">
        <v>7.1380038069872702</v>
      </c>
      <c r="AG849">
        <v>-1.1009062871869999</v>
      </c>
      <c r="AH849">
        <v>22.0596093036627</v>
      </c>
      <c r="AI849">
        <v>92.718481598107203</v>
      </c>
      <c r="AJ849">
        <v>72.069561220266905</v>
      </c>
      <c r="AK849">
        <v>23.2118386956307</v>
      </c>
    </row>
    <row r="850" spans="1:37" x14ac:dyDescent="0.2">
      <c r="A850" t="str">
        <f>"20200111153418398"</f>
        <v>20200111153418398</v>
      </c>
      <c r="B850" t="str">
        <f>"1578728058387238"</f>
        <v>1578728058387238</v>
      </c>
      <c r="C850" t="s">
        <v>37</v>
      </c>
      <c r="D850">
        <v>4.8123290000000001</v>
      </c>
      <c r="E850">
        <v>0.55007649999999997</v>
      </c>
      <c r="F850" t="s">
        <v>46</v>
      </c>
      <c r="G850">
        <v>-201.31620000000001</v>
      </c>
      <c r="H850" s="1">
        <v>-3.0457799999999898E-6</v>
      </c>
      <c r="I850">
        <v>360.846</v>
      </c>
      <c r="J850">
        <v>-223.62129999999999</v>
      </c>
      <c r="K850">
        <v>1.1008690000000001</v>
      </c>
      <c r="L850">
        <v>368.66239999999999</v>
      </c>
      <c r="M850">
        <v>0.99956939999999905</v>
      </c>
      <c r="N850">
        <v>0</v>
      </c>
      <c r="O850">
        <v>-2.334396E-2</v>
      </c>
      <c r="P850">
        <v>0.97891419999999996</v>
      </c>
      <c r="Q850">
        <v>-1.2877019999999999E-2</v>
      </c>
      <c r="R850">
        <v>-0.20386609999999999</v>
      </c>
      <c r="S850">
        <v>2.8570709999999999</v>
      </c>
      <c r="T850">
        <v>-0.1396511</v>
      </c>
      <c r="U850">
        <v>-0.99230959999999901</v>
      </c>
      <c r="V850">
        <v>0.1809925</v>
      </c>
      <c r="W850">
        <v>2.7826439999999999E-3</v>
      </c>
      <c r="X850">
        <v>0.98348060000000004</v>
      </c>
      <c r="Y850">
        <v>0.3056469</v>
      </c>
      <c r="Z850">
        <v>-6.1463159999999998E-3</v>
      </c>
      <c r="AA850">
        <v>0.95212509999999995</v>
      </c>
      <c r="AB850">
        <v>39</v>
      </c>
      <c r="AC850">
        <v>22.3050999999999</v>
      </c>
      <c r="AD850">
        <v>-1.1008720457800001</v>
      </c>
      <c r="AE850">
        <v>-7.8163999999999803</v>
      </c>
      <c r="AF850">
        <v>7.2777085491973201</v>
      </c>
      <c r="AG850">
        <v>-1.1008720457800001</v>
      </c>
      <c r="AH850">
        <v>22.432846002855399</v>
      </c>
      <c r="AI850">
        <v>92.6725742316804</v>
      </c>
      <c r="AJ850">
        <v>72.025797140464206</v>
      </c>
      <c r="AK850">
        <v>23.6095222479419</v>
      </c>
    </row>
    <row r="851" spans="1:37" x14ac:dyDescent="0.2">
      <c r="A851" t="str">
        <f>"20200111153418410"</f>
        <v>20200111153418410</v>
      </c>
      <c r="B851" t="str">
        <f>"1578728058406758"</f>
        <v>1578728058406758</v>
      </c>
      <c r="C851" t="s">
        <v>37</v>
      </c>
      <c r="D851">
        <v>4.8398879999999904</v>
      </c>
      <c r="E851">
        <v>0.55015550000000002</v>
      </c>
      <c r="F851" t="s">
        <v>46</v>
      </c>
      <c r="G851">
        <v>-200.78729999999999</v>
      </c>
      <c r="H851" s="1">
        <v>-2.8221620000000001E-6</v>
      </c>
      <c r="I851">
        <v>360.65410000000003</v>
      </c>
      <c r="J851">
        <v>-223.41059999999999</v>
      </c>
      <c r="K851">
        <v>1.1008359999999999</v>
      </c>
      <c r="L851">
        <v>368.65570000000002</v>
      </c>
      <c r="M851">
        <v>0.99951979999999996</v>
      </c>
      <c r="N851">
        <v>0</v>
      </c>
      <c r="O851">
        <v>-2.554265E-2</v>
      </c>
      <c r="P851">
        <v>0.97839849999999995</v>
      </c>
      <c r="Q851">
        <v>-1.199794E-2</v>
      </c>
      <c r="R851">
        <v>-0.2063807</v>
      </c>
      <c r="S851">
        <v>2.8543240000000001</v>
      </c>
      <c r="T851">
        <v>-0.13761229999999999</v>
      </c>
      <c r="U851">
        <v>-1.0010680000000001</v>
      </c>
      <c r="V851">
        <v>0.18136250000000001</v>
      </c>
      <c r="W851">
        <v>3.4206480000000001E-3</v>
      </c>
      <c r="X851">
        <v>0.98341039999999902</v>
      </c>
      <c r="Y851">
        <v>0.30645059999999902</v>
      </c>
      <c r="Z851">
        <v>-5.9753710000000002E-3</v>
      </c>
      <c r="AA851">
        <v>0.95186780000000004</v>
      </c>
      <c r="AB851">
        <v>39</v>
      </c>
      <c r="AC851">
        <v>22.6233</v>
      </c>
      <c r="AD851">
        <v>-1.100838822162</v>
      </c>
      <c r="AE851">
        <v>-8.0015999999999892</v>
      </c>
      <c r="AF851">
        <v>7.4054558875476104</v>
      </c>
      <c r="AG851">
        <v>-1.100838822162</v>
      </c>
      <c r="AH851">
        <v>22.772405798521401</v>
      </c>
      <c r="AI851">
        <v>92.632104112522796</v>
      </c>
      <c r="AJ851">
        <v>71.985771477296296</v>
      </c>
      <c r="AK851">
        <v>23.971547485870101</v>
      </c>
    </row>
    <row r="852" spans="1:37" x14ac:dyDescent="0.2">
      <c r="A852" t="str">
        <f>"20200111153418422"</f>
        <v>20200111153418422</v>
      </c>
      <c r="B852" t="str">
        <f>"1578728058417494"</f>
        <v>1578728058417494</v>
      </c>
      <c r="C852" t="s">
        <v>37</v>
      </c>
      <c r="D852">
        <v>4.7931869999999996</v>
      </c>
      <c r="E852">
        <v>0.55027959999999998</v>
      </c>
      <c r="F852" t="s">
        <v>46</v>
      </c>
      <c r="G852">
        <v>-200.3766</v>
      </c>
      <c r="H852" s="1">
        <v>-2.6413599999999898E-6</v>
      </c>
      <c r="I852">
        <v>360.50659999999999</v>
      </c>
      <c r="J852">
        <v>-223.20519999999999</v>
      </c>
      <c r="K852">
        <v>1.100803</v>
      </c>
      <c r="L852">
        <v>368.64890000000003</v>
      </c>
      <c r="M852">
        <v>0.99946630000000003</v>
      </c>
      <c r="N852">
        <v>0</v>
      </c>
      <c r="O852">
        <v>-2.7690059999999999E-2</v>
      </c>
      <c r="P852">
        <v>0.97795549999999998</v>
      </c>
      <c r="Q852">
        <v>-1.1272549999999999E-2</v>
      </c>
      <c r="R852">
        <v>-0.20850940000000001</v>
      </c>
      <c r="S852">
        <v>2.8517759999999899</v>
      </c>
      <c r="T852">
        <v>-0.136291299999999</v>
      </c>
      <c r="U852">
        <v>-1.0089109999999999</v>
      </c>
      <c r="V852">
        <v>0.181395</v>
      </c>
      <c r="W852">
        <v>3.9217999999999996E-3</v>
      </c>
      <c r="X852">
        <v>0.98340249999999996</v>
      </c>
      <c r="Y852">
        <v>0.30700699999999997</v>
      </c>
      <c r="Z852">
        <v>-5.8340290000000001E-3</v>
      </c>
      <c r="AA852">
        <v>0.95168940000000002</v>
      </c>
      <c r="AB852">
        <v>39</v>
      </c>
      <c r="AC852">
        <v>22.828599999999899</v>
      </c>
      <c r="AD852">
        <v>-1.10080564136</v>
      </c>
      <c r="AE852">
        <v>-8.1423000000000307</v>
      </c>
      <c r="AF852">
        <v>7.4915032464129299</v>
      </c>
      <c r="AG852">
        <v>-1.10080564136</v>
      </c>
      <c r="AH852">
        <v>22.997898568973099</v>
      </c>
      <c r="AI852">
        <v>92.605830274610199</v>
      </c>
      <c r="AJ852">
        <v>71.957120536009597</v>
      </c>
      <c r="AK852">
        <v>24.212346696259001</v>
      </c>
    </row>
    <row r="853" spans="1:37" x14ac:dyDescent="0.2">
      <c r="A853" t="str">
        <f>"20200111153418434"</f>
        <v>20200111153418434</v>
      </c>
      <c r="B853" t="str">
        <f>"1578728058427255"</f>
        <v>1578728058427255</v>
      </c>
      <c r="C853" t="s">
        <v>37</v>
      </c>
      <c r="D853">
        <v>4.8162320000000003</v>
      </c>
      <c r="E853">
        <v>0.55040210000000001</v>
      </c>
      <c r="F853" t="s">
        <v>46</v>
      </c>
      <c r="G853">
        <v>-199.6951</v>
      </c>
      <c r="H853" s="1">
        <v>-1.015332E-5</v>
      </c>
      <c r="I853">
        <v>360.2663</v>
      </c>
      <c r="J853">
        <v>-222.99090000000001</v>
      </c>
      <c r="K853">
        <v>1.10077</v>
      </c>
      <c r="L853">
        <v>368.64120000000003</v>
      </c>
      <c r="M853">
        <v>0.99940529999999905</v>
      </c>
      <c r="N853">
        <v>0</v>
      </c>
      <c r="O853">
        <v>-2.9936609999999999E-2</v>
      </c>
      <c r="P853">
        <v>0.97746039999999901</v>
      </c>
      <c r="Q853">
        <v>-1.085004E-2</v>
      </c>
      <c r="R853">
        <v>-0.21084020000000001</v>
      </c>
      <c r="S853">
        <v>2.8495029999999999</v>
      </c>
      <c r="T853">
        <v>-0.13342209999999999</v>
      </c>
      <c r="U853">
        <v>-1.0159910000000001</v>
      </c>
      <c r="V853">
        <v>0.18153129999999901</v>
      </c>
      <c r="W853">
        <v>4.1225469999999998E-3</v>
      </c>
      <c r="X853">
        <v>0.98337649999999999</v>
      </c>
      <c r="Y853">
        <v>0.307220099999999</v>
      </c>
      <c r="Z853">
        <v>-5.6164530000000004E-3</v>
      </c>
      <c r="AA853">
        <v>0.95162190000000002</v>
      </c>
      <c r="AB853">
        <v>39</v>
      </c>
      <c r="AC853">
        <v>23.2958</v>
      </c>
      <c r="AD853">
        <v>-1.1007801533199999</v>
      </c>
      <c r="AE853">
        <v>-8.3749000000000198</v>
      </c>
      <c r="AF853">
        <v>7.6585031666535004</v>
      </c>
      <c r="AG853">
        <v>-1.1007801533199999</v>
      </c>
      <c r="AH853">
        <v>23.4896639324506</v>
      </c>
      <c r="AI853">
        <v>92.551072485928202</v>
      </c>
      <c r="AJ853">
        <v>71.942107343346507</v>
      </c>
      <c r="AK853">
        <v>24.731128145700399</v>
      </c>
    </row>
    <row r="854" spans="1:37" x14ac:dyDescent="0.2">
      <c r="A854" t="str">
        <f>"20200111153418447"</f>
        <v>20200111153418447</v>
      </c>
      <c r="B854" t="str">
        <f>"1578728058437014"</f>
        <v>1578728058437014</v>
      </c>
      <c r="C854" t="s">
        <v>37</v>
      </c>
      <c r="D854">
        <v>4.8380210000000003</v>
      </c>
      <c r="E854">
        <v>0.55048999999999904</v>
      </c>
      <c r="F854" t="s">
        <v>46</v>
      </c>
      <c r="G854">
        <v>-199.13069999999999</v>
      </c>
      <c r="H854" s="1">
        <v>-9.9831269999999999E-6</v>
      </c>
      <c r="I854">
        <v>360.05869999999999</v>
      </c>
      <c r="J854">
        <v>-222.76830000000001</v>
      </c>
      <c r="K854">
        <v>1.100735</v>
      </c>
      <c r="L854">
        <v>368.6327</v>
      </c>
      <c r="M854">
        <v>0.9993358</v>
      </c>
      <c r="N854">
        <v>0</v>
      </c>
      <c r="O854">
        <v>-3.228462E-2</v>
      </c>
      <c r="P854">
        <v>0.97700689999999901</v>
      </c>
      <c r="Q854">
        <v>-1.058596E-2</v>
      </c>
      <c r="R854">
        <v>-0.2129462</v>
      </c>
      <c r="S854">
        <v>2.8468629999999999</v>
      </c>
      <c r="T854">
        <v>-0.13133880000000001</v>
      </c>
      <c r="U854">
        <v>-1.024017</v>
      </c>
      <c r="V854">
        <v>0.1813408</v>
      </c>
      <c r="W854">
        <v>4.1730919999999998E-3</v>
      </c>
      <c r="X854">
        <v>0.98341139999999905</v>
      </c>
      <c r="Y854">
        <v>0.30765130000000002</v>
      </c>
      <c r="Z854">
        <v>-5.4361059999999996E-3</v>
      </c>
      <c r="AA854">
        <v>0.95148369999999904</v>
      </c>
      <c r="AB854">
        <v>39</v>
      </c>
      <c r="AC854">
        <v>23.637599999999999</v>
      </c>
      <c r="AD854">
        <v>-1.100744983127</v>
      </c>
      <c r="AE854">
        <v>-8.5740000000000105</v>
      </c>
      <c r="AF854">
        <v>7.7913579622017597</v>
      </c>
      <c r="AG854">
        <v>-1.100744983127</v>
      </c>
      <c r="AH854">
        <v>23.856404171822099</v>
      </c>
      <c r="AI854">
        <v>92.511413857180301</v>
      </c>
      <c r="AJ854">
        <v>71.913273842869003</v>
      </c>
      <c r="AK854">
        <v>25.120607445330101</v>
      </c>
    </row>
    <row r="855" spans="1:37" x14ac:dyDescent="0.2">
      <c r="A855" t="str">
        <f>"20200111153418462"</f>
        <v>20200111153418462</v>
      </c>
      <c r="B855" t="str">
        <f>"1578728058457510"</f>
        <v>1578728058457510</v>
      </c>
      <c r="C855" t="s">
        <v>37</v>
      </c>
      <c r="D855">
        <v>4.8277650000000003</v>
      </c>
      <c r="E855">
        <v>0.55075030000000003</v>
      </c>
      <c r="F855" t="s">
        <v>46</v>
      </c>
      <c r="G855">
        <v>-198.8142</v>
      </c>
      <c r="H855" s="1">
        <v>-9.8890400000000008E-6</v>
      </c>
      <c r="I855">
        <v>359.94979999999998</v>
      </c>
      <c r="J855">
        <v>-222.51320000000001</v>
      </c>
      <c r="K855">
        <v>1.1006879999999899</v>
      </c>
      <c r="L855">
        <v>368.62240000000003</v>
      </c>
      <c r="M855">
        <v>0.99924840000000004</v>
      </c>
      <c r="N855">
        <v>0</v>
      </c>
      <c r="O855">
        <v>-3.4990050000000002E-2</v>
      </c>
      <c r="P855">
        <v>0.97656359999999998</v>
      </c>
      <c r="Q855">
        <v>-1.092459E-2</v>
      </c>
      <c r="R855">
        <v>-0.21495210000000001</v>
      </c>
      <c r="S855">
        <v>2.8444820000000002</v>
      </c>
      <c r="T855">
        <v>-0.13071079999999999</v>
      </c>
      <c r="U855">
        <v>-1.031067</v>
      </c>
      <c r="V855">
        <v>0.18069299999999999</v>
      </c>
      <c r="W855">
        <v>3.6075669999999999E-3</v>
      </c>
      <c r="X855">
        <v>0.98353289999999904</v>
      </c>
      <c r="Y855">
        <v>0.30742019999999998</v>
      </c>
      <c r="Z855">
        <v>-5.2870219999999997E-3</v>
      </c>
      <c r="AA855">
        <v>0.95155919999999905</v>
      </c>
      <c r="AB855">
        <v>39</v>
      </c>
      <c r="AC855">
        <v>23.699000000000002</v>
      </c>
      <c r="AD855">
        <v>-1.1006978890400001</v>
      </c>
      <c r="AE855">
        <v>-8.6726000000000401</v>
      </c>
      <c r="AF855">
        <v>7.8230609842019803</v>
      </c>
      <c r="AG855">
        <v>-1.1006978890400001</v>
      </c>
      <c r="AH855">
        <v>23.942433748000798</v>
      </c>
      <c r="AI855">
        <v>92.502183343171396</v>
      </c>
      <c r="AJ855">
        <v>71.905475920862102</v>
      </c>
      <c r="AK855">
        <v>25.2121389965804</v>
      </c>
    </row>
    <row r="856" spans="1:37" x14ac:dyDescent="0.2">
      <c r="A856" t="str">
        <f>"20200111153418476"</f>
        <v>20200111153418476</v>
      </c>
      <c r="B856" t="str">
        <f>"1578728058467271"</f>
        <v>1578728058467271</v>
      </c>
      <c r="C856" t="s">
        <v>37</v>
      </c>
      <c r="D856">
        <v>4.8411960000000001</v>
      </c>
      <c r="E856">
        <v>0.55087379999999997</v>
      </c>
      <c r="F856" t="s">
        <v>46</v>
      </c>
      <c r="G856">
        <v>-198.5197</v>
      </c>
      <c r="H856" s="1">
        <v>-9.8013580000000008E-6</v>
      </c>
      <c r="I856">
        <v>359.8492</v>
      </c>
      <c r="J856">
        <v>-222.262</v>
      </c>
      <c r="K856">
        <v>1.1006389999999999</v>
      </c>
      <c r="L856">
        <v>368.61149999999998</v>
      </c>
      <c r="M856">
        <v>0.99915390000000004</v>
      </c>
      <c r="N856">
        <v>0</v>
      </c>
      <c r="O856">
        <v>-3.7682140000000003E-2</v>
      </c>
      <c r="P856">
        <v>0.97606789999999999</v>
      </c>
      <c r="Q856">
        <v>-1.0452049999999999E-2</v>
      </c>
      <c r="R856">
        <v>-0.21721560000000001</v>
      </c>
      <c r="S856">
        <v>2.8417970000000001</v>
      </c>
      <c r="T856">
        <v>-0.1303668</v>
      </c>
      <c r="U856">
        <v>-1.039093</v>
      </c>
      <c r="V856">
        <v>0.1803264</v>
      </c>
      <c r="W856">
        <v>3.8683959999999901E-3</v>
      </c>
      <c r="X856">
        <v>0.98359920000000001</v>
      </c>
      <c r="Y856">
        <v>0.30752109999999999</v>
      </c>
      <c r="Z856">
        <v>-5.1584589999999998E-3</v>
      </c>
      <c r="AA856">
        <v>0.95152719999999902</v>
      </c>
      <c r="AB856">
        <v>39</v>
      </c>
      <c r="AC856">
        <v>23.7423</v>
      </c>
      <c r="AD856">
        <v>-1.100648801358</v>
      </c>
      <c r="AE856">
        <v>-8.7622999999999802</v>
      </c>
      <c r="AF856">
        <v>7.8464517530312499</v>
      </c>
      <c r="AG856">
        <v>-1.100648801358</v>
      </c>
      <c r="AH856">
        <v>24.010245868803199</v>
      </c>
      <c r="AI856">
        <v>92.494976441555394</v>
      </c>
      <c r="AJ856">
        <v>71.902816341628096</v>
      </c>
      <c r="AK856">
        <v>25.283792033177299</v>
      </c>
    </row>
    <row r="857" spans="1:37" x14ac:dyDescent="0.2">
      <c r="A857" t="str">
        <f>"20200111153418489"</f>
        <v>20200111153418489</v>
      </c>
      <c r="B857" t="str">
        <f>"1578728058477031"</f>
        <v>1578728058477031</v>
      </c>
      <c r="C857" t="s">
        <v>37</v>
      </c>
      <c r="D857">
        <v>4.8123969999999998</v>
      </c>
      <c r="E857">
        <v>0.55099319999999996</v>
      </c>
      <c r="F857" t="s">
        <v>46</v>
      </c>
      <c r="G857">
        <v>-197.8877</v>
      </c>
      <c r="H857" s="1">
        <v>-9.6147169999999994E-6</v>
      </c>
      <c r="I857">
        <v>359.62400000000002</v>
      </c>
      <c r="J857">
        <v>-222.0394</v>
      </c>
      <c r="K857">
        <v>1.1005929999999999</v>
      </c>
      <c r="L857">
        <v>368.60120000000001</v>
      </c>
      <c r="M857">
        <v>0.99906249999999996</v>
      </c>
      <c r="N857">
        <v>0</v>
      </c>
      <c r="O857">
        <v>-4.0098189999999999E-2</v>
      </c>
      <c r="P857">
        <v>0.97562749999999998</v>
      </c>
      <c r="Q857">
        <v>-1.033794E-2</v>
      </c>
      <c r="R857">
        <v>-0.21919040000000001</v>
      </c>
      <c r="S857">
        <v>2.8392179999999998</v>
      </c>
      <c r="T857">
        <v>-0.12820799999999999</v>
      </c>
      <c r="U857">
        <v>-1.0469059999999999</v>
      </c>
      <c r="V857">
        <v>0.179938299999999</v>
      </c>
      <c r="W857">
        <v>3.8092679999999898E-3</v>
      </c>
      <c r="X857">
        <v>0.9836705</v>
      </c>
      <c r="Y857">
        <v>0.30781599999999998</v>
      </c>
      <c r="Z857">
        <v>-4.9764179999999998E-3</v>
      </c>
      <c r="AA857">
        <v>0.95143290000000003</v>
      </c>
      <c r="AB857">
        <v>39</v>
      </c>
      <c r="AC857">
        <v>24.151700000000002</v>
      </c>
      <c r="AD857">
        <v>-1.1006026147169901</v>
      </c>
      <c r="AE857">
        <v>-8.9771999999999803</v>
      </c>
      <c r="AF857">
        <v>7.9868371152286004</v>
      </c>
      <c r="AG857">
        <v>-1.1006026147169901</v>
      </c>
      <c r="AH857">
        <v>24.4476814395194</v>
      </c>
      <c r="AI857">
        <v>92.450362588973604</v>
      </c>
      <c r="AJ857">
        <v>71.908251682885194</v>
      </c>
      <c r="AK857">
        <v>25.7427663818195</v>
      </c>
    </row>
    <row r="858" spans="1:37" x14ac:dyDescent="0.2">
      <c r="A858" t="str">
        <f>"20200111153418503"</f>
        <v>20200111153418503</v>
      </c>
      <c r="B858" t="str">
        <f>"1578728058497526"</f>
        <v>1578728058497526</v>
      </c>
      <c r="C858" t="s">
        <v>37</v>
      </c>
      <c r="D858">
        <v>4.8148010000000001</v>
      </c>
      <c r="E858">
        <v>0.55124969999999995</v>
      </c>
      <c r="F858" t="s">
        <v>46</v>
      </c>
      <c r="G858">
        <v>-197.51410000000001</v>
      </c>
      <c r="H858" s="1">
        <v>-6.4240930000000001E-6</v>
      </c>
      <c r="I858">
        <v>359.4905</v>
      </c>
      <c r="J858">
        <v>-221.7867</v>
      </c>
      <c r="K858">
        <v>1.1005320000000001</v>
      </c>
      <c r="L858">
        <v>368.58890000000002</v>
      </c>
      <c r="M858">
        <v>0.99895020000000001</v>
      </c>
      <c r="N858">
        <v>0</v>
      </c>
      <c r="O858">
        <v>-4.2867849999999999E-2</v>
      </c>
      <c r="P858">
        <v>0.97512719999999897</v>
      </c>
      <c r="Q858">
        <v>-9.8515809999999999E-3</v>
      </c>
      <c r="R858">
        <v>-0.22142770000000001</v>
      </c>
      <c r="S858">
        <v>2.8368530000000001</v>
      </c>
      <c r="T858">
        <v>-0.12730659999999999</v>
      </c>
      <c r="U858">
        <v>-1.053833</v>
      </c>
      <c r="V858">
        <v>0.17947109999999999</v>
      </c>
      <c r="W858">
        <v>4.1091959999999999E-3</v>
      </c>
      <c r="X858">
        <v>0.98375460000000003</v>
      </c>
      <c r="Y858">
        <v>0.30748530000000002</v>
      </c>
      <c r="Z858">
        <v>-4.8164330000000002E-3</v>
      </c>
      <c r="AA858">
        <v>0.95154059999999996</v>
      </c>
      <c r="AB858">
        <v>39</v>
      </c>
      <c r="AC858">
        <v>24.272599999999901</v>
      </c>
      <c r="AD858">
        <v>-1.1005384240930001</v>
      </c>
      <c r="AE858">
        <v>-9.0984000000000194</v>
      </c>
      <c r="AF858">
        <v>8.0349011498925105</v>
      </c>
      <c r="AG858">
        <v>-1.1005384240930001</v>
      </c>
      <c r="AH858">
        <v>24.596026529345199</v>
      </c>
      <c r="AI858">
        <v>92.4354714268149</v>
      </c>
      <c r="AJ858">
        <v>71.909091448608095</v>
      </c>
      <c r="AK858">
        <v>25.8985586924003</v>
      </c>
    </row>
    <row r="859" spans="1:37" x14ac:dyDescent="0.2">
      <c r="A859" t="str">
        <f>"20200111153418517"</f>
        <v>20200111153418517</v>
      </c>
      <c r="B859" t="str">
        <f>"1578728058507286"</f>
        <v>1578728058507286</v>
      </c>
      <c r="C859" t="s">
        <v>37</v>
      </c>
      <c r="D859">
        <v>4.7907950000000001</v>
      </c>
      <c r="E859">
        <v>0.55137419999999904</v>
      </c>
      <c r="F859" t="s">
        <v>46</v>
      </c>
      <c r="G859">
        <v>-197.0547</v>
      </c>
      <c r="H859" s="1">
        <v>-6.2956250000000004E-6</v>
      </c>
      <c r="I859">
        <v>359.3211</v>
      </c>
      <c r="J859">
        <v>-221.5402</v>
      </c>
      <c r="K859">
        <v>1.100479</v>
      </c>
      <c r="L859">
        <v>368.57619999999997</v>
      </c>
      <c r="M859">
        <v>0.99883159999999904</v>
      </c>
      <c r="N859">
        <v>0</v>
      </c>
      <c r="O859">
        <v>-4.5607219999999997E-2</v>
      </c>
      <c r="P859">
        <v>0.97484139999999997</v>
      </c>
      <c r="Q859">
        <v>-9.3978120000000002E-3</v>
      </c>
      <c r="R859">
        <v>-0.22270209999999999</v>
      </c>
      <c r="S859">
        <v>2.834076</v>
      </c>
      <c r="T859">
        <v>-0.12611220000000001</v>
      </c>
      <c r="U859">
        <v>-1.062012</v>
      </c>
      <c r="V859">
        <v>0.17806279999999999</v>
      </c>
      <c r="W859">
        <v>4.40483299999999E-3</v>
      </c>
      <c r="X859">
        <v>0.98400929999999998</v>
      </c>
      <c r="Y859">
        <v>0.30759720000000002</v>
      </c>
      <c r="Z859">
        <v>-4.6584720000000003E-3</v>
      </c>
      <c r="AA859">
        <v>0.9515053</v>
      </c>
      <c r="AB859">
        <v>39</v>
      </c>
      <c r="AC859">
        <v>24.485499999999998</v>
      </c>
      <c r="AD859">
        <v>-1.100485295625</v>
      </c>
      <c r="AE859">
        <v>-9.2550999999999704</v>
      </c>
      <c r="AF859">
        <v>8.1142671469410192</v>
      </c>
      <c r="AG859">
        <v>-1.100485295625</v>
      </c>
      <c r="AH859">
        <v>24.838267364154198</v>
      </c>
      <c r="AI859">
        <v>92.411624192389596</v>
      </c>
      <c r="AJ859">
        <v>71.9086078252965</v>
      </c>
      <c r="AK859">
        <v>26.1532392806517</v>
      </c>
    </row>
    <row r="860" spans="1:37" x14ac:dyDescent="0.2">
      <c r="A860" t="str">
        <f>"20200111153418530"</f>
        <v>20200111153418530</v>
      </c>
      <c r="B860" t="str">
        <f>"1578728058526806"</f>
        <v>1578728058526806</v>
      </c>
      <c r="C860" t="s">
        <v>37</v>
      </c>
      <c r="D860">
        <v>4.9462419999999998</v>
      </c>
      <c r="E860">
        <v>0.55163149999999905</v>
      </c>
      <c r="F860" t="s">
        <v>46</v>
      </c>
      <c r="G860">
        <v>-196.46860000000001</v>
      </c>
      <c r="H860" s="1">
        <v>-6.1403210000000003E-6</v>
      </c>
      <c r="I860">
        <v>359.13060000000002</v>
      </c>
      <c r="J860">
        <v>-221.3185</v>
      </c>
      <c r="K860">
        <v>1.1004290000000001</v>
      </c>
      <c r="L860">
        <v>368.56400000000002</v>
      </c>
      <c r="M860">
        <v>0.99871580000000004</v>
      </c>
      <c r="N860">
        <v>0</v>
      </c>
      <c r="O860">
        <v>-4.8117939999999998E-2</v>
      </c>
      <c r="P860">
        <v>0.97442039999999996</v>
      </c>
      <c r="Q860">
        <v>-8.5061189999999995E-3</v>
      </c>
      <c r="R860">
        <v>-0.22457269999999999</v>
      </c>
      <c r="S860">
        <v>2.832443</v>
      </c>
      <c r="T860">
        <v>-0.1243262</v>
      </c>
      <c r="U860">
        <v>-1.0671079999999999</v>
      </c>
      <c r="V860">
        <v>0.17748649999999999</v>
      </c>
      <c r="W860">
        <v>5.1591809999999997E-3</v>
      </c>
      <c r="X860">
        <v>0.98410969999999998</v>
      </c>
      <c r="Y860">
        <v>0.30689479999999902</v>
      </c>
      <c r="Z860">
        <v>-4.47278E-3</v>
      </c>
      <c r="AA860">
        <v>0.95173289999999999</v>
      </c>
      <c r="AB860">
        <v>39</v>
      </c>
      <c r="AC860">
        <v>24.849899999999899</v>
      </c>
      <c r="AD860">
        <v>-1.100435140321</v>
      </c>
      <c r="AE860">
        <v>-9.4334000000000007</v>
      </c>
      <c r="AF860">
        <v>8.2125175227540907</v>
      </c>
      <c r="AG860">
        <v>-1.100435140321</v>
      </c>
      <c r="AH860">
        <v>25.231833446717399</v>
      </c>
      <c r="AI860">
        <v>92.374783017167104</v>
      </c>
      <c r="AJ860">
        <v>71.970843349599093</v>
      </c>
      <c r="AK860">
        <v>26.557519098034799</v>
      </c>
    </row>
    <row r="861" spans="1:37" x14ac:dyDescent="0.2">
      <c r="A861" t="str">
        <f>"20200111153418543"</f>
        <v>20200111153418543</v>
      </c>
      <c r="B861" t="str">
        <f>"1578728058537543"</f>
        <v>1578728058537543</v>
      </c>
      <c r="C861" t="s">
        <v>37</v>
      </c>
      <c r="D861">
        <v>4.9177419999999996</v>
      </c>
      <c r="E861">
        <v>0.55171000000000003</v>
      </c>
      <c r="F861" t="s">
        <v>46</v>
      </c>
      <c r="G861">
        <v>-195.96889999999999</v>
      </c>
      <c r="H861" s="1">
        <v>-5.9984829999999903E-6</v>
      </c>
      <c r="I861">
        <v>358.94</v>
      </c>
      <c r="J861">
        <v>-221.10310000000001</v>
      </c>
      <c r="K861">
        <v>1.1003780000000001</v>
      </c>
      <c r="L861">
        <v>368.55180000000001</v>
      </c>
      <c r="M861">
        <v>0.99859599999999904</v>
      </c>
      <c r="N861">
        <v>0</v>
      </c>
      <c r="O861">
        <v>-5.0579440000000003E-2</v>
      </c>
      <c r="P861">
        <v>0.97400309999999901</v>
      </c>
      <c r="Q861">
        <v>-7.5501919999999998E-3</v>
      </c>
      <c r="R861">
        <v>-0.22640929999999901</v>
      </c>
      <c r="S861">
        <v>2.8300480000000001</v>
      </c>
      <c r="T861">
        <v>-0.1228535</v>
      </c>
      <c r="U861">
        <v>-1.0744320000000001</v>
      </c>
      <c r="V861">
        <v>0.1769259</v>
      </c>
      <c r="W861">
        <v>5.9864799999999998E-3</v>
      </c>
      <c r="X861">
        <v>0.98420599999999903</v>
      </c>
      <c r="Y861">
        <v>0.30697659999999999</v>
      </c>
      <c r="Z861">
        <v>-4.3204680000000001E-3</v>
      </c>
      <c r="AA861">
        <v>0.95170719999999998</v>
      </c>
      <c r="AB861">
        <v>39</v>
      </c>
      <c r="AC861">
        <v>25.1342</v>
      </c>
      <c r="AD861">
        <v>-1.1003839984829999</v>
      </c>
      <c r="AE861">
        <v>-9.6118000000000094</v>
      </c>
      <c r="AF861">
        <v>8.3141602577199993</v>
      </c>
      <c r="AG861">
        <v>-1.1003839984829999</v>
      </c>
      <c r="AH861">
        <v>25.545524439951301</v>
      </c>
      <c r="AI861">
        <v>92.345557680757096</v>
      </c>
      <c r="AJ861">
        <v>71.971772521914403</v>
      </c>
      <c r="AK861">
        <v>26.886984298119401</v>
      </c>
    </row>
    <row r="862" spans="1:37" x14ac:dyDescent="0.2">
      <c r="A862" t="str">
        <f>"20200111153418554"</f>
        <v>20200111153418554</v>
      </c>
      <c r="B862" t="str">
        <f>"1578728058547303"</f>
        <v>1578728058547303</v>
      </c>
      <c r="C862" t="s">
        <v>37</v>
      </c>
      <c r="D862">
        <v>4.9217190000000004</v>
      </c>
      <c r="E862">
        <v>0.55182019999999998</v>
      </c>
      <c r="F862" t="s">
        <v>46</v>
      </c>
      <c r="G862">
        <v>-195.36920000000001</v>
      </c>
      <c r="H862" s="1">
        <v>-5.8302829999999899E-6</v>
      </c>
      <c r="I862">
        <v>358.7174</v>
      </c>
      <c r="J862">
        <v>-220.89160000000001</v>
      </c>
      <c r="K862">
        <v>1.100322</v>
      </c>
      <c r="L862">
        <v>368.53919999999999</v>
      </c>
      <c r="M862">
        <v>0.99847009999999903</v>
      </c>
      <c r="N862">
        <v>0</v>
      </c>
      <c r="O862">
        <v>-5.3037580000000001E-2</v>
      </c>
      <c r="P862">
        <v>0.97362329999999997</v>
      </c>
      <c r="Q862">
        <v>-6.2598000000000003E-3</v>
      </c>
      <c r="R862">
        <v>-0.22807620000000001</v>
      </c>
      <c r="S862">
        <v>2.8279269999999999</v>
      </c>
      <c r="T862">
        <v>-0.1209224</v>
      </c>
      <c r="U862">
        <v>-1.080719</v>
      </c>
      <c r="V862">
        <v>0.17620160000000001</v>
      </c>
      <c r="W862">
        <v>7.1613830000000003E-3</v>
      </c>
      <c r="X862">
        <v>0.98432799999999998</v>
      </c>
      <c r="Y862">
        <v>0.30672680000000002</v>
      </c>
      <c r="Z862">
        <v>-4.1479300000000002E-3</v>
      </c>
      <c r="AA862">
        <v>0.95178850000000004</v>
      </c>
      <c r="AB862">
        <v>39</v>
      </c>
      <c r="AC862">
        <v>25.522400000000001</v>
      </c>
      <c r="AD862">
        <v>-1.100327830283</v>
      </c>
      <c r="AE862">
        <v>-9.8217999999999908</v>
      </c>
      <c r="AF862">
        <v>8.4404963437855702</v>
      </c>
      <c r="AG862">
        <v>-1.100327830283</v>
      </c>
      <c r="AH862">
        <v>25.9654213001226</v>
      </c>
      <c r="AI862">
        <v>92.307820077683203</v>
      </c>
      <c r="AJ862">
        <v>71.992376885084198</v>
      </c>
      <c r="AK862">
        <v>27.325003259952499</v>
      </c>
    </row>
    <row r="863" spans="1:37" x14ac:dyDescent="0.2">
      <c r="A863" t="str">
        <f>"20200111153418565"</f>
        <v>20200111153418565</v>
      </c>
      <c r="B863" t="str">
        <f>"1578728058557061"</f>
        <v>1578728058557061</v>
      </c>
      <c r="C863" t="s">
        <v>37</v>
      </c>
      <c r="D863">
        <v>4.9636009999999997</v>
      </c>
      <c r="E863">
        <v>0.55190939999999999</v>
      </c>
      <c r="F863" t="s">
        <v>46</v>
      </c>
      <c r="G863">
        <v>-194.5145</v>
      </c>
      <c r="H863" s="1">
        <v>-5.5898560000000001E-6</v>
      </c>
      <c r="I863">
        <v>358.39789999999999</v>
      </c>
      <c r="J863">
        <v>-220.6961</v>
      </c>
      <c r="K863">
        <v>1.1002689999999999</v>
      </c>
      <c r="L863">
        <v>368.52699999999999</v>
      </c>
      <c r="M863">
        <v>0.99834639999999997</v>
      </c>
      <c r="N863">
        <v>0</v>
      </c>
      <c r="O863">
        <v>-5.5340979999999998E-2</v>
      </c>
      <c r="P863">
        <v>0.97325699999999904</v>
      </c>
      <c r="Q863">
        <v>-5.2186589999999996E-3</v>
      </c>
      <c r="R863">
        <v>-0.22966</v>
      </c>
      <c r="S863">
        <v>2.8260040000000002</v>
      </c>
      <c r="T863">
        <v>-0.1178877</v>
      </c>
      <c r="U863">
        <v>-1.086517</v>
      </c>
      <c r="V863">
        <v>0.17554349999999999</v>
      </c>
      <c r="W863">
        <v>8.1031079999999995E-3</v>
      </c>
      <c r="X863">
        <v>0.98443829999999999</v>
      </c>
      <c r="Y863">
        <v>0.3064615</v>
      </c>
      <c r="Z863">
        <v>-3.9475529999999899E-3</v>
      </c>
      <c r="AA863">
        <v>0.95187489999999997</v>
      </c>
      <c r="AB863">
        <v>39</v>
      </c>
      <c r="AC863">
        <v>26.1816</v>
      </c>
      <c r="AD863">
        <v>-1.100274589856</v>
      </c>
      <c r="AE863">
        <v>-10.1290999999999</v>
      </c>
      <c r="AF863">
        <v>8.6511933340012295</v>
      </c>
      <c r="AG863">
        <v>-1.100274589856</v>
      </c>
      <c r="AH863">
        <v>26.661133856966899</v>
      </c>
      <c r="AI863">
        <v>92.247934735925398</v>
      </c>
      <c r="AJ863">
        <v>72.022423251772196</v>
      </c>
      <c r="AK863">
        <v>28.0511997749554</v>
      </c>
    </row>
    <row r="864" spans="1:37" x14ac:dyDescent="0.2">
      <c r="A864" t="str">
        <f>"20200111153418577"</f>
        <v>20200111153418577</v>
      </c>
      <c r="B864" t="str">
        <f>"1578728058566823"</f>
        <v>1578728058566823</v>
      </c>
      <c r="C864" t="s">
        <v>37</v>
      </c>
      <c r="D864">
        <v>4.9476180000000003</v>
      </c>
      <c r="E864">
        <v>0.55204439999999999</v>
      </c>
      <c r="F864" t="s">
        <v>46</v>
      </c>
      <c r="G864">
        <v>-193.8271</v>
      </c>
      <c r="H864" s="1">
        <v>-5.3960239999999902E-6</v>
      </c>
      <c r="I864">
        <v>358.13959999999997</v>
      </c>
      <c r="J864">
        <v>-220.48689999999999</v>
      </c>
      <c r="K864">
        <v>1.100212</v>
      </c>
      <c r="L864">
        <v>368.5136</v>
      </c>
      <c r="M864">
        <v>0.99820699999999996</v>
      </c>
      <c r="N864">
        <v>0</v>
      </c>
      <c r="O864">
        <v>-5.7825910000000001E-2</v>
      </c>
      <c r="P864">
        <v>0.97287880000000004</v>
      </c>
      <c r="Q864">
        <v>-4.1523159999999996E-3</v>
      </c>
      <c r="R864">
        <v>-0.23127899999999901</v>
      </c>
      <c r="S864">
        <v>2.8241580000000002</v>
      </c>
      <c r="T864">
        <v>-0.1156479</v>
      </c>
      <c r="U864">
        <v>-1.0917969999999999</v>
      </c>
      <c r="V864">
        <v>0.174742799999999</v>
      </c>
      <c r="W864">
        <v>9.0686680000000002E-3</v>
      </c>
      <c r="X864">
        <v>0.98457240000000001</v>
      </c>
      <c r="Y864">
        <v>0.30585899999999999</v>
      </c>
      <c r="Z864">
        <v>-3.7642859999999999E-3</v>
      </c>
      <c r="AA864">
        <v>0.95206930000000001</v>
      </c>
      <c r="AB864">
        <v>39</v>
      </c>
      <c r="AC864">
        <v>26.659799999999901</v>
      </c>
      <c r="AD864">
        <v>-1.100217396024</v>
      </c>
      <c r="AE864">
        <v>-10.374000000000001</v>
      </c>
      <c r="AF864">
        <v>8.8018063062745497</v>
      </c>
      <c r="AG864">
        <v>-1.100217396024</v>
      </c>
      <c r="AH864">
        <v>27.1749410668418</v>
      </c>
      <c r="AI864">
        <v>92.2057432114416</v>
      </c>
      <c r="AJ864">
        <v>72.053160884402899</v>
      </c>
      <c r="AK864">
        <v>28.586005222101502</v>
      </c>
    </row>
    <row r="865" spans="1:37" x14ac:dyDescent="0.2">
      <c r="A865" t="str">
        <f>"20200111153418589"</f>
        <v>20200111153418589</v>
      </c>
      <c r="B865" t="str">
        <f>"1578728058577558"</f>
        <v>1578728058577558</v>
      </c>
      <c r="C865" t="s">
        <v>37</v>
      </c>
      <c r="D865">
        <v>4.9241380000000001</v>
      </c>
      <c r="E865">
        <v>0.55217700000000003</v>
      </c>
      <c r="F865" t="s">
        <v>46</v>
      </c>
      <c r="G865">
        <v>-192.98589999999999</v>
      </c>
      <c r="H865" s="1">
        <v>-5.1180540000000002E-6</v>
      </c>
      <c r="I865">
        <v>357.81580000000002</v>
      </c>
      <c r="J865">
        <v>-220.2878</v>
      </c>
      <c r="K865">
        <v>1.1001590000000001</v>
      </c>
      <c r="L865">
        <v>368.5</v>
      </c>
      <c r="M865">
        <v>0.998065599999999</v>
      </c>
      <c r="N865">
        <v>0</v>
      </c>
      <c r="O865">
        <v>-6.0237850000000003E-2</v>
      </c>
      <c r="P865">
        <v>0.9725279</v>
      </c>
      <c r="Q865">
        <v>-3.2402529999999998E-3</v>
      </c>
      <c r="R865">
        <v>-0.2327641</v>
      </c>
      <c r="S865">
        <v>2.8221590000000001</v>
      </c>
      <c r="T865">
        <v>-0.112904399999999</v>
      </c>
      <c r="U865">
        <v>-1.097809</v>
      </c>
      <c r="V865">
        <v>0.1738777</v>
      </c>
      <c r="W865">
        <v>9.896419E-3</v>
      </c>
      <c r="X865">
        <v>0.98471749999999902</v>
      </c>
      <c r="Y865">
        <v>0.30555850000000001</v>
      </c>
      <c r="Z865">
        <v>-3.5779140000000002E-3</v>
      </c>
      <c r="AA865">
        <v>0.95216659999999997</v>
      </c>
      <c r="AB865">
        <v>39</v>
      </c>
      <c r="AC865">
        <v>27.3019</v>
      </c>
      <c r="AD865">
        <v>-1.1001641180540001</v>
      </c>
      <c r="AE865">
        <v>-10.684199999999899</v>
      </c>
      <c r="AF865">
        <v>9.0073076691645806</v>
      </c>
      <c r="AG865">
        <v>-1.1001641180540001</v>
      </c>
      <c r="AH865">
        <v>27.856752558777</v>
      </c>
      <c r="AI865">
        <v>92.152050199230302</v>
      </c>
      <c r="AJ865">
        <v>72.081708892733801</v>
      </c>
      <c r="AK865">
        <v>29.2974506681823</v>
      </c>
    </row>
    <row r="866" spans="1:37" x14ac:dyDescent="0.2">
      <c r="A866" t="str">
        <f>"20200111153418602"</f>
        <v>20200111153418602</v>
      </c>
      <c r="B866" t="str">
        <f>"1578728058597079"</f>
        <v>1578728058597079</v>
      </c>
      <c r="C866" t="s">
        <v>37</v>
      </c>
      <c r="D866">
        <v>4.96211</v>
      </c>
      <c r="E866">
        <v>0.55241960000000001</v>
      </c>
      <c r="F866" t="s">
        <v>46</v>
      </c>
      <c r="G866">
        <v>-192.28039999999999</v>
      </c>
      <c r="H866" s="1">
        <v>-4.8351300000000001E-6</v>
      </c>
      <c r="I866">
        <v>357.54430000000002</v>
      </c>
      <c r="J866">
        <v>-220.05760000000001</v>
      </c>
      <c r="K866">
        <v>1.100096</v>
      </c>
      <c r="L866">
        <v>368.48399999999998</v>
      </c>
      <c r="M866">
        <v>0.99789349999999999</v>
      </c>
      <c r="N866">
        <v>0</v>
      </c>
      <c r="O866">
        <v>-6.3046270000000001E-2</v>
      </c>
      <c r="P866">
        <v>0.97209409999999896</v>
      </c>
      <c r="Q866">
        <v>-2.3523429999999998E-3</v>
      </c>
      <c r="R866">
        <v>-0.23458029999999999</v>
      </c>
      <c r="S866">
        <v>2.8203279999999999</v>
      </c>
      <c r="T866">
        <v>-0.1107857</v>
      </c>
      <c r="U866">
        <v>-1.1032409999999999</v>
      </c>
      <c r="V866">
        <v>0.17295650000000001</v>
      </c>
      <c r="W866">
        <v>1.0689830000000001E-2</v>
      </c>
      <c r="X866">
        <v>0.98487139999999995</v>
      </c>
      <c r="Y866">
        <v>0.30468829999999902</v>
      </c>
      <c r="Z866">
        <v>-3.3897109999999901E-3</v>
      </c>
      <c r="AA866">
        <v>0.95244609999999996</v>
      </c>
      <c r="AB866">
        <v>39</v>
      </c>
      <c r="AC866">
        <v>27.777200000000001</v>
      </c>
      <c r="AD866">
        <v>-1.1001008351299999</v>
      </c>
      <c r="AE866">
        <v>-10.9397</v>
      </c>
      <c r="AF866">
        <v>9.1540477600954002</v>
      </c>
      <c r="AG866">
        <v>-1.1001008351299999</v>
      </c>
      <c r="AH866">
        <v>28.373187395584601</v>
      </c>
      <c r="AI866">
        <v>92.113234624354604</v>
      </c>
      <c r="AJ866">
        <v>72.118730599451197</v>
      </c>
      <c r="AK866">
        <v>29.833614853492399</v>
      </c>
    </row>
    <row r="867" spans="1:37" x14ac:dyDescent="0.2">
      <c r="A867" t="str">
        <f>"20200111153418614"</f>
        <v>20200111153418614</v>
      </c>
      <c r="B867" t="str">
        <f>"1578728058606838"</f>
        <v>1578728058606838</v>
      </c>
      <c r="C867" t="s">
        <v>37</v>
      </c>
      <c r="D867">
        <v>5.0305260000000001</v>
      </c>
      <c r="E867">
        <v>0.55241960000000001</v>
      </c>
      <c r="F867" t="s">
        <v>46</v>
      </c>
      <c r="G867">
        <v>-192.054</v>
      </c>
      <c r="H867" s="1">
        <v>-4.7383570000000001E-6</v>
      </c>
      <c r="I867">
        <v>357.44420000000002</v>
      </c>
      <c r="J867">
        <v>-219.8459</v>
      </c>
      <c r="K867">
        <v>1.100042</v>
      </c>
      <c r="L867">
        <v>368.46859999999998</v>
      </c>
      <c r="M867">
        <v>0.99772559999999999</v>
      </c>
      <c r="N867">
        <v>0</v>
      </c>
      <c r="O867">
        <v>-6.5665490000000007E-2</v>
      </c>
      <c r="P867">
        <v>0.97171369999999901</v>
      </c>
      <c r="Q867">
        <v>-1.5417269999999999E-3</v>
      </c>
      <c r="R867">
        <v>-0.2361576</v>
      </c>
      <c r="S867">
        <v>2.81778</v>
      </c>
      <c r="T867">
        <v>-0.1106943</v>
      </c>
      <c r="U867">
        <v>-1.11084</v>
      </c>
      <c r="V867">
        <v>0.17197939999999901</v>
      </c>
      <c r="W867">
        <v>1.1423640000000001E-2</v>
      </c>
      <c r="X867">
        <v>0.98503430000000003</v>
      </c>
      <c r="Y867">
        <v>0.30470759999999902</v>
      </c>
      <c r="Z867">
        <v>-3.290173E-3</v>
      </c>
      <c r="AA867">
        <v>0.95244030000000002</v>
      </c>
      <c r="AB867">
        <v>39</v>
      </c>
      <c r="AC867">
        <v>27.791899999999998</v>
      </c>
      <c r="AD867">
        <v>-1.1000467383570001</v>
      </c>
      <c r="AE867">
        <v>-11.024399999999901</v>
      </c>
      <c r="AF867">
        <v>9.16301636112766</v>
      </c>
      <c r="AG867">
        <v>-1.1000467383570001</v>
      </c>
      <c r="AH867">
        <v>28.4174406298423</v>
      </c>
      <c r="AI867">
        <v>92.109958140543995</v>
      </c>
      <c r="AJ867">
        <v>72.128425773219107</v>
      </c>
      <c r="AK867">
        <v>29.878452162243502</v>
      </c>
    </row>
    <row r="868" spans="1:37" x14ac:dyDescent="0.2">
      <c r="A868" t="str">
        <f>"20200111153418627"</f>
        <v>20200111153418627</v>
      </c>
      <c r="B868" t="str">
        <f>"1578728058617574"</f>
        <v>1578728058617574</v>
      </c>
      <c r="C868" t="s">
        <v>37</v>
      </c>
      <c r="D868">
        <v>5.0747839999999904</v>
      </c>
      <c r="E868">
        <v>0.56191599999999997</v>
      </c>
      <c r="F868" t="s">
        <v>46</v>
      </c>
      <c r="G868">
        <v>-191.1943</v>
      </c>
      <c r="H868" s="1">
        <v>-4.3982789999999999E-6</v>
      </c>
      <c r="I868">
        <v>357.1234</v>
      </c>
      <c r="J868">
        <v>-219.62370000000001</v>
      </c>
      <c r="K868">
        <v>1.099987</v>
      </c>
      <c r="L868">
        <v>368.45170000000002</v>
      </c>
      <c r="M868">
        <v>0.99753989999999904</v>
      </c>
      <c r="N868">
        <v>0</v>
      </c>
      <c r="O868">
        <v>-6.8444340000000006E-2</v>
      </c>
      <c r="P868">
        <v>0.97121440000000003</v>
      </c>
      <c r="Q868">
        <v>-8.5608590000000001E-4</v>
      </c>
      <c r="R868">
        <v>-0.2382071</v>
      </c>
      <c r="S868">
        <v>2.8161619999999998</v>
      </c>
      <c r="T868">
        <v>-0.10812339999999999</v>
      </c>
      <c r="U868">
        <v>-1.1151120000000001</v>
      </c>
      <c r="V868">
        <v>0.17132249999999999</v>
      </c>
      <c r="W868">
        <v>1.203014E-2</v>
      </c>
      <c r="X868">
        <v>0.98514159999999995</v>
      </c>
      <c r="Y868">
        <v>0.30350070000000001</v>
      </c>
      <c r="Z868">
        <v>-3.0904169999999998E-3</v>
      </c>
      <c r="AA868">
        <v>0.95282619999999896</v>
      </c>
      <c r="AB868">
        <v>39</v>
      </c>
      <c r="AC868">
        <v>28.429400000000001</v>
      </c>
      <c r="AD868">
        <v>-1.0999913982789999</v>
      </c>
      <c r="AE868">
        <v>-11.3283</v>
      </c>
      <c r="AF868">
        <v>9.3436020736465508</v>
      </c>
      <c r="AG868">
        <v>-1.0999913982789999</v>
      </c>
      <c r="AH868">
        <v>29.100566746907798</v>
      </c>
      <c r="AI868">
        <v>92.061185900991504</v>
      </c>
      <c r="AJ868">
        <v>72.199228511316605</v>
      </c>
      <c r="AK868">
        <v>30.5835881769647</v>
      </c>
    </row>
    <row r="869" spans="1:37" x14ac:dyDescent="0.2">
      <c r="A869" t="str">
        <f>"20200111153418640"</f>
        <v>20200111153418640</v>
      </c>
      <c r="B869" t="str">
        <f>"1578728058627334"</f>
        <v>1578728058627334</v>
      </c>
      <c r="C869" t="s">
        <v>37</v>
      </c>
      <c r="D869">
        <v>5.0476529999999897</v>
      </c>
      <c r="E869">
        <v>0.56247840000000005</v>
      </c>
      <c r="F869" t="s">
        <v>46</v>
      </c>
      <c r="G869">
        <v>-205.17789999999999</v>
      </c>
      <c r="H869" s="1">
        <v>-4.6659940000000001E-6</v>
      </c>
      <c r="I869">
        <v>362.2731</v>
      </c>
      <c r="J869">
        <v>-219.4084</v>
      </c>
      <c r="K869">
        <v>1.0999350000000001</v>
      </c>
      <c r="L869">
        <v>368.43490000000003</v>
      </c>
      <c r="M869">
        <v>0.99735119999999899</v>
      </c>
      <c r="N869">
        <v>0</v>
      </c>
      <c r="O869">
        <v>-7.1153889999999997E-2</v>
      </c>
      <c r="P869">
        <v>0.97082190000000002</v>
      </c>
      <c r="Q869">
        <v>1.13888199999999E-4</v>
      </c>
      <c r="R869">
        <v>-0.23980209999999999</v>
      </c>
      <c r="S869">
        <v>2.795471</v>
      </c>
      <c r="T869">
        <v>-0.2128649</v>
      </c>
      <c r="U869">
        <v>-1.195648</v>
      </c>
      <c r="V869">
        <v>0.17027679999999901</v>
      </c>
      <c r="W869">
        <v>1.2934630000000001E-2</v>
      </c>
      <c r="X869">
        <v>0.98531139999999995</v>
      </c>
      <c r="Y869">
        <v>0.32620399999999999</v>
      </c>
      <c r="Z869">
        <v>-6.720518E-3</v>
      </c>
      <c r="AA869">
        <v>0.94527549999999905</v>
      </c>
      <c r="AB869">
        <v>39</v>
      </c>
      <c r="AC869">
        <v>14.230499999999999</v>
      </c>
      <c r="AD869">
        <v>-1.0999396659939999</v>
      </c>
      <c r="AE869">
        <v>-6.1618000000000199</v>
      </c>
      <c r="AF869">
        <v>5.1078094989423901</v>
      </c>
      <c r="AG869">
        <v>-1.0999396659939999</v>
      </c>
      <c r="AH869">
        <v>14.5596564671543</v>
      </c>
      <c r="AI869">
        <v>94.077576056665805</v>
      </c>
      <c r="AJ869">
        <v>70.668141394938303</v>
      </c>
      <c r="AK869">
        <v>15.4687808694758</v>
      </c>
    </row>
    <row r="870" spans="1:37" x14ac:dyDescent="0.2">
      <c r="A870" t="str">
        <f>"20200111153418652"</f>
        <v>20200111153418652</v>
      </c>
      <c r="B870" t="str">
        <f>"1578728058646854"</f>
        <v>1578728058646854</v>
      </c>
      <c r="C870" t="s">
        <v>37</v>
      </c>
      <c r="D870">
        <v>5.0139370000000003</v>
      </c>
      <c r="E870">
        <v>0.562536699999999</v>
      </c>
      <c r="F870" t="s">
        <v>46</v>
      </c>
      <c r="G870">
        <v>-205.1157</v>
      </c>
      <c r="H870" s="1">
        <v>-4.6377099999999902E-6</v>
      </c>
      <c r="I870">
        <v>362.26979999999998</v>
      </c>
      <c r="J870">
        <v>-219.18819999999999</v>
      </c>
      <c r="K870">
        <v>1.099885</v>
      </c>
      <c r="L870">
        <v>368.41680000000002</v>
      </c>
      <c r="M870">
        <v>0.99714789999999998</v>
      </c>
      <c r="N870">
        <v>0</v>
      </c>
      <c r="O870">
        <v>-7.3958540000000003E-2</v>
      </c>
      <c r="P870">
        <v>0.9701651</v>
      </c>
      <c r="Q870">
        <v>2.463055E-4</v>
      </c>
      <c r="R870">
        <v>-0.2424453</v>
      </c>
      <c r="S870">
        <v>2.7926479999999998</v>
      </c>
      <c r="T870">
        <v>-0.2149172</v>
      </c>
      <c r="U870">
        <v>-1.20459</v>
      </c>
      <c r="V870">
        <v>0.1701916</v>
      </c>
      <c r="W870">
        <v>1.2994230000000001E-2</v>
      </c>
      <c r="X870">
        <v>0.98532529999999996</v>
      </c>
      <c r="Y870">
        <v>0.32644069999999997</v>
      </c>
      <c r="Z870">
        <v>-6.5917450000000004E-3</v>
      </c>
      <c r="AA870">
        <v>0.94519470000000005</v>
      </c>
      <c r="AB870">
        <v>39</v>
      </c>
      <c r="AC870">
        <v>14.0724999999999</v>
      </c>
      <c r="AD870">
        <v>-1.09988963771</v>
      </c>
      <c r="AE870">
        <v>-6.1470000000000402</v>
      </c>
      <c r="AF870">
        <v>5.0632876315179898</v>
      </c>
      <c r="AG870">
        <v>-1.09988963771</v>
      </c>
      <c r="AH870">
        <v>14.41467865577</v>
      </c>
      <c r="AI870">
        <v>94.117695773470203</v>
      </c>
      <c r="AJ870">
        <v>70.645708721731296</v>
      </c>
      <c r="AK870">
        <v>15.3176238236789</v>
      </c>
    </row>
    <row r="871" spans="1:37" x14ac:dyDescent="0.2">
      <c r="A871" t="str">
        <f>"20200111153418664"</f>
        <v>20200111153418664</v>
      </c>
      <c r="B871" t="str">
        <f>"1578728058657590"</f>
        <v>1578728058657590</v>
      </c>
      <c r="C871" t="s">
        <v>37</v>
      </c>
      <c r="D871">
        <v>5.0504980000000002</v>
      </c>
      <c r="E871">
        <v>0.56289160000000005</v>
      </c>
      <c r="F871" t="s">
        <v>46</v>
      </c>
      <c r="G871">
        <v>-205.28030000000001</v>
      </c>
      <c r="H871" s="1">
        <v>-4.691911E-6</v>
      </c>
      <c r="I871">
        <v>362.37139999999999</v>
      </c>
      <c r="J871">
        <v>-218.98840000000001</v>
      </c>
      <c r="K871">
        <v>1.099845</v>
      </c>
      <c r="L871">
        <v>368.4</v>
      </c>
      <c r="M871">
        <v>0.996955699999999</v>
      </c>
      <c r="N871">
        <v>0</v>
      </c>
      <c r="O871">
        <v>-7.651608E-2</v>
      </c>
      <c r="P871">
        <v>0.96950820000000004</v>
      </c>
      <c r="Q871" s="1">
        <v>7.0784009999999898E-5</v>
      </c>
      <c r="R871">
        <v>-0.24505869999999999</v>
      </c>
      <c r="S871">
        <v>2.78933699999999</v>
      </c>
      <c r="T871">
        <v>-0.22059139999999899</v>
      </c>
      <c r="U871">
        <v>-1.2124629999999901</v>
      </c>
      <c r="V871">
        <v>0.17031779999999999</v>
      </c>
      <c r="W871">
        <v>1.275344E-2</v>
      </c>
      <c r="X871">
        <v>0.98530669999999898</v>
      </c>
      <c r="Y871">
        <v>0.32664339999999997</v>
      </c>
      <c r="Z871">
        <v>-6.5854900000000003E-3</v>
      </c>
      <c r="AA871">
        <v>0.94512469999999904</v>
      </c>
      <c r="AB871">
        <v>39</v>
      </c>
      <c r="AC871">
        <v>13.7081</v>
      </c>
      <c r="AD871">
        <v>-1.0998496919109999</v>
      </c>
      <c r="AE871">
        <v>-6.0285999999999804</v>
      </c>
      <c r="AF871">
        <v>4.9352926842274396</v>
      </c>
      <c r="AG871">
        <v>-1.0998496919109999</v>
      </c>
      <c r="AH871">
        <v>14.053433977057701</v>
      </c>
      <c r="AI871">
        <v>94.223113873786104</v>
      </c>
      <c r="AJ871">
        <v>70.649717110736404</v>
      </c>
      <c r="AK871">
        <v>14.935387165095699</v>
      </c>
    </row>
    <row r="872" spans="1:37" x14ac:dyDescent="0.2">
      <c r="A872" t="str">
        <f>"20200111153418675"</f>
        <v>20200111153418675</v>
      </c>
      <c r="B872" t="str">
        <f>"1578728058667350"</f>
        <v>1578728058667350</v>
      </c>
      <c r="C872" t="s">
        <v>37</v>
      </c>
      <c r="D872">
        <v>5.0861830000000001</v>
      </c>
      <c r="E872">
        <v>0.56352709999999995</v>
      </c>
      <c r="F872" t="s">
        <v>46</v>
      </c>
      <c r="G872">
        <v>-205.19390000000001</v>
      </c>
      <c r="H872" s="1">
        <v>-4.6577569999999902E-6</v>
      </c>
      <c r="I872">
        <v>362.34370000000001</v>
      </c>
      <c r="J872">
        <v>-218.7834</v>
      </c>
      <c r="K872">
        <v>1.0998030000000001</v>
      </c>
      <c r="L872">
        <v>368.38229999999999</v>
      </c>
      <c r="M872">
        <v>0.99675029999999998</v>
      </c>
      <c r="N872">
        <v>0</v>
      </c>
      <c r="O872">
        <v>-7.9154890000000006E-2</v>
      </c>
      <c r="P872">
        <v>0.96876169999999995</v>
      </c>
      <c r="Q872">
        <v>2.4447750000000001E-4</v>
      </c>
      <c r="R872">
        <v>-0.24799369999999901</v>
      </c>
      <c r="S872">
        <v>2.7852779999999999</v>
      </c>
      <c r="T872">
        <v>-0.22207249999999901</v>
      </c>
      <c r="U872">
        <v>-1.222839</v>
      </c>
      <c r="V872">
        <v>0.17069619999999999</v>
      </c>
      <c r="W872">
        <v>1.28612E-2</v>
      </c>
      <c r="X872">
        <v>0.9852398</v>
      </c>
      <c r="Y872">
        <v>0.32759660000000002</v>
      </c>
      <c r="Z872">
        <v>-6.4713959999999999E-3</v>
      </c>
      <c r="AA872">
        <v>0.94479550000000001</v>
      </c>
      <c r="AB872">
        <v>39</v>
      </c>
      <c r="AC872">
        <v>13.5894999999999</v>
      </c>
      <c r="AD872">
        <v>-1.099807657757</v>
      </c>
      <c r="AE872">
        <v>-6.0385999999999704</v>
      </c>
      <c r="AF872">
        <v>4.9169585512762204</v>
      </c>
      <c r="AG872">
        <v>-1.099807657757</v>
      </c>
      <c r="AH872">
        <v>13.948593819392199</v>
      </c>
      <c r="AI872">
        <v>94.252819131690003</v>
      </c>
      <c r="AJ872">
        <v>70.582156380496102</v>
      </c>
      <c r="AK872">
        <v>14.830688716894301</v>
      </c>
    </row>
    <row r="873" spans="1:37" x14ac:dyDescent="0.2">
      <c r="A873" t="str">
        <f>"20200111153418687"</f>
        <v>20200111153418687</v>
      </c>
      <c r="B873" t="str">
        <f>"1578728058677112"</f>
        <v>1578728058677112</v>
      </c>
      <c r="C873" t="s">
        <v>37</v>
      </c>
      <c r="D873">
        <v>5.0892929999999996</v>
      </c>
      <c r="E873">
        <v>0.56382699999999997</v>
      </c>
      <c r="F873" t="s">
        <v>46</v>
      </c>
      <c r="G873">
        <v>-205.09209999999999</v>
      </c>
      <c r="H873" s="1">
        <v>-4.6209260000000004E-6</v>
      </c>
      <c r="I873">
        <v>362.29599999999999</v>
      </c>
      <c r="J873">
        <v>-218.5788</v>
      </c>
      <c r="K873">
        <v>1.099766</v>
      </c>
      <c r="L873">
        <v>368.3639</v>
      </c>
      <c r="M873">
        <v>0.99653719999999901</v>
      </c>
      <c r="N873">
        <v>0</v>
      </c>
      <c r="O873">
        <v>-8.1805429999999998E-2</v>
      </c>
      <c r="P873">
        <v>0.96787409999999996</v>
      </c>
      <c r="Q873" s="1">
        <v>3.5990729999999901E-5</v>
      </c>
      <c r="R873">
        <v>-0.2514364</v>
      </c>
      <c r="S873">
        <v>2.7803960000000001</v>
      </c>
      <c r="T873">
        <v>-0.22334479999999901</v>
      </c>
      <c r="U873">
        <v>-1.235992</v>
      </c>
      <c r="V873">
        <v>0.1715766</v>
      </c>
      <c r="W873">
        <v>1.2584659999999999E-2</v>
      </c>
      <c r="X873">
        <v>0.98509040000000003</v>
      </c>
      <c r="Y873">
        <v>0.32942729999999998</v>
      </c>
      <c r="Z873">
        <v>-6.3824260000000001E-3</v>
      </c>
      <c r="AA873">
        <v>0.94415939999999998</v>
      </c>
      <c r="AB873">
        <v>39</v>
      </c>
      <c r="AC873">
        <v>13.486700000000001</v>
      </c>
      <c r="AD873">
        <v>-1.0997706209260001</v>
      </c>
      <c r="AE873">
        <v>-6.0678999999999998</v>
      </c>
      <c r="AF873">
        <v>4.9169589531431601</v>
      </c>
      <c r="AG873">
        <v>-1.0997706209260001</v>
      </c>
      <c r="AH873">
        <v>13.8612744775834</v>
      </c>
      <c r="AI873">
        <v>94.276392264187294</v>
      </c>
      <c r="AJ873">
        <v>70.469064348087599</v>
      </c>
      <c r="AK873">
        <v>14.748590132905999</v>
      </c>
    </row>
    <row r="874" spans="1:37" x14ac:dyDescent="0.2">
      <c r="A874" t="str">
        <f>"20200111153418701"</f>
        <v>20200111153418701</v>
      </c>
      <c r="B874" t="str">
        <f>"1578728058697607"</f>
        <v>1578728058697607</v>
      </c>
      <c r="C874" t="s">
        <v>37</v>
      </c>
      <c r="D874">
        <v>5.1189200000000001</v>
      </c>
      <c r="E874">
        <v>0.56404690000000002</v>
      </c>
      <c r="F874" t="s">
        <v>46</v>
      </c>
      <c r="G874">
        <v>-205.10849999999999</v>
      </c>
      <c r="H874" s="1">
        <v>-4.6264689999999999E-6</v>
      </c>
      <c r="I874">
        <v>362.30540000000002</v>
      </c>
      <c r="J874">
        <v>-218.3416</v>
      </c>
      <c r="K874">
        <v>1.0997250000000001</v>
      </c>
      <c r="L874">
        <v>368.34199999999998</v>
      </c>
      <c r="M874">
        <v>0.99627999999999906</v>
      </c>
      <c r="N874">
        <v>0</v>
      </c>
      <c r="O874">
        <v>-8.4886829999999996E-2</v>
      </c>
      <c r="P874">
        <v>0.96685919999999903</v>
      </c>
      <c r="Q874">
        <v>-4.1433629999999898E-4</v>
      </c>
      <c r="R874">
        <v>-0.25531039999999999</v>
      </c>
      <c r="S874">
        <v>2.775299</v>
      </c>
      <c r="T874">
        <v>-0.226585799999999</v>
      </c>
      <c r="U874">
        <v>-1.24823</v>
      </c>
      <c r="V874">
        <v>0.17246989999999901</v>
      </c>
      <c r="W874">
        <v>1.206113E-2</v>
      </c>
      <c r="X874">
        <v>0.98494090000000001</v>
      </c>
      <c r="Y874">
        <v>0.33060519999999999</v>
      </c>
      <c r="Z874">
        <v>-6.2892209999999898E-3</v>
      </c>
      <c r="AA874">
        <v>0.94374820000000004</v>
      </c>
      <c r="AB874">
        <v>39</v>
      </c>
      <c r="AC874">
        <v>13.2331</v>
      </c>
      <c r="AD874">
        <v>-1.099729626469</v>
      </c>
      <c r="AE874">
        <v>-6.03659999999996</v>
      </c>
      <c r="AF874">
        <v>4.8635632944173199</v>
      </c>
      <c r="AG874">
        <v>-1.099729626469</v>
      </c>
      <c r="AH874">
        <v>13.6199486525243</v>
      </c>
      <c r="AI874">
        <v>94.348476388693896</v>
      </c>
      <c r="AJ874">
        <v>70.348802826544599</v>
      </c>
      <c r="AK874">
        <v>14.5040220100335</v>
      </c>
    </row>
    <row r="875" spans="1:37" x14ac:dyDescent="0.2">
      <c r="A875" t="str">
        <f>"20200111153418718"</f>
        <v>20200111153418718</v>
      </c>
      <c r="B875" t="str">
        <f>"1578728058707367"</f>
        <v>1578728058707367</v>
      </c>
      <c r="C875" t="s">
        <v>37</v>
      </c>
      <c r="D875">
        <v>5.1269269999999896</v>
      </c>
      <c r="E875">
        <v>0.56448659999999995</v>
      </c>
      <c r="F875" t="s">
        <v>46</v>
      </c>
      <c r="G875">
        <v>-205.42099999999999</v>
      </c>
      <c r="H875" s="1">
        <v>-4.7382330000000001E-6</v>
      </c>
      <c r="I875">
        <v>362.4579</v>
      </c>
      <c r="J875">
        <v>-218.0478</v>
      </c>
      <c r="K875">
        <v>1.099685</v>
      </c>
      <c r="L875">
        <v>368.31380000000001</v>
      </c>
      <c r="M875">
        <v>0.9959462</v>
      </c>
      <c r="N875">
        <v>0</v>
      </c>
      <c r="O875">
        <v>-8.8725470000000001E-2</v>
      </c>
      <c r="P875">
        <v>0.96527260000000004</v>
      </c>
      <c r="Q875">
        <v>-1.14514E-3</v>
      </c>
      <c r="R875">
        <v>-0.26124209999999998</v>
      </c>
      <c r="S875">
        <v>2.7696529999999999</v>
      </c>
      <c r="T875">
        <v>-0.235736</v>
      </c>
      <c r="U875">
        <v>-1.2613219999999901</v>
      </c>
      <c r="V875">
        <v>0.17471300000000001</v>
      </c>
      <c r="W875">
        <v>1.123006E-2</v>
      </c>
      <c r="X875">
        <v>0.98455539999999997</v>
      </c>
      <c r="Y875">
        <v>0.331343099999999</v>
      </c>
      <c r="Z875">
        <v>-6.2715929999999998E-3</v>
      </c>
      <c r="AA875">
        <v>0.94348949999999998</v>
      </c>
      <c r="AB875">
        <v>39</v>
      </c>
      <c r="AC875">
        <v>12.626799999999999</v>
      </c>
      <c r="AD875">
        <v>-1.099689738233</v>
      </c>
      <c r="AE875">
        <v>-5.8559000000000099</v>
      </c>
      <c r="AF875">
        <v>4.6831247731076999</v>
      </c>
      <c r="AG875">
        <v>-1.099689738233</v>
      </c>
      <c r="AH875">
        <v>13.0153682359459</v>
      </c>
      <c r="AI875">
        <v>94.545557000444106</v>
      </c>
      <c r="AJ875">
        <v>70.210507602878394</v>
      </c>
      <c r="AK875">
        <v>13.8759066542745</v>
      </c>
    </row>
    <row r="876" spans="1:37" x14ac:dyDescent="0.2">
      <c r="A876" t="str">
        <f>"20200111153418731"</f>
        <v>20200111153418731</v>
      </c>
      <c r="B876" t="str">
        <f>"1578728058726886"</f>
        <v>1578728058726886</v>
      </c>
      <c r="C876" t="s">
        <v>37</v>
      </c>
      <c r="D876">
        <v>5.1182489999999996</v>
      </c>
      <c r="E876">
        <v>0.56491599999999997</v>
      </c>
      <c r="F876" t="s">
        <v>46</v>
      </c>
      <c r="G876">
        <v>-205.35329999999999</v>
      </c>
      <c r="H876" s="1">
        <v>-4.714771E-6</v>
      </c>
      <c r="I876">
        <v>362.42160000000001</v>
      </c>
      <c r="J876">
        <v>-217.8237</v>
      </c>
      <c r="K876">
        <v>1.0996549999999901</v>
      </c>
      <c r="L876">
        <v>368.29140000000001</v>
      </c>
      <c r="M876">
        <v>0.99568029999999996</v>
      </c>
      <c r="N876">
        <v>0</v>
      </c>
      <c r="O876">
        <v>-9.1668349999999996E-2</v>
      </c>
      <c r="P876">
        <v>0.96406859999999905</v>
      </c>
      <c r="Q876">
        <v>-1.135006E-3</v>
      </c>
      <c r="R876">
        <v>-0.265652</v>
      </c>
      <c r="S876">
        <v>2.760834</v>
      </c>
      <c r="T876">
        <v>-0.2391643</v>
      </c>
      <c r="U876">
        <v>-1.2814639999999999</v>
      </c>
      <c r="V876">
        <v>0.17630409999999999</v>
      </c>
      <c r="W876">
        <v>1.1170930000000001E-2</v>
      </c>
      <c r="X876">
        <v>0.98427240000000005</v>
      </c>
      <c r="Y876">
        <v>0.33534219999999998</v>
      </c>
      <c r="Z876">
        <v>-6.29780599999999E-3</v>
      </c>
      <c r="AA876">
        <v>0.94207540000000001</v>
      </c>
      <c r="AB876">
        <v>39</v>
      </c>
      <c r="AC876">
        <v>12.4704</v>
      </c>
      <c r="AD876">
        <v>-1.0996597147710001</v>
      </c>
      <c r="AE876">
        <v>-5.8697999999999899</v>
      </c>
      <c r="AF876">
        <v>4.6720742034440299</v>
      </c>
      <c r="AG876">
        <v>-1.0996597147710001</v>
      </c>
      <c r="AH876">
        <v>12.8740648741865</v>
      </c>
      <c r="AI876">
        <v>94.590592780677795</v>
      </c>
      <c r="AJ876">
        <v>70.053866341637004</v>
      </c>
      <c r="AK876">
        <v>13.7396897794506</v>
      </c>
    </row>
    <row r="877" spans="1:37" x14ac:dyDescent="0.2">
      <c r="A877" t="str">
        <f>"20200111153418743"</f>
        <v>20200111153418743</v>
      </c>
      <c r="B877" t="str">
        <f>"1578728058737623"</f>
        <v>1578728058737623</v>
      </c>
      <c r="C877" t="s">
        <v>37</v>
      </c>
      <c r="D877">
        <v>5.1286160000000001</v>
      </c>
      <c r="E877">
        <v>0.56509719999999997</v>
      </c>
      <c r="F877" t="s">
        <v>46</v>
      </c>
      <c r="G877">
        <v>-205.38589999999999</v>
      </c>
      <c r="H877" s="1">
        <v>-4.7279159999999997E-6</v>
      </c>
      <c r="I877">
        <v>362.43079999999998</v>
      </c>
      <c r="J877">
        <v>-217.6223</v>
      </c>
      <c r="K877">
        <v>1.0996330000000001</v>
      </c>
      <c r="L877">
        <v>368.27080000000001</v>
      </c>
      <c r="M877">
        <v>0.99543309999999996</v>
      </c>
      <c r="N877">
        <v>0</v>
      </c>
      <c r="O877">
        <v>-9.4319150000000004E-2</v>
      </c>
      <c r="P877">
        <v>0.96305300000000005</v>
      </c>
      <c r="Q877">
        <v>-9.3909539999999995E-4</v>
      </c>
      <c r="R877">
        <v>-0.26931090000000002</v>
      </c>
      <c r="S877">
        <v>2.753952</v>
      </c>
      <c r="T877">
        <v>-0.24348510000000001</v>
      </c>
      <c r="U877">
        <v>-1.2976379999999901</v>
      </c>
      <c r="V877">
        <v>0.17742349999999901</v>
      </c>
      <c r="W877">
        <v>1.131016E-2</v>
      </c>
      <c r="X877">
        <v>0.98406959999999999</v>
      </c>
      <c r="Y877">
        <v>0.33824070000000001</v>
      </c>
      <c r="Z877">
        <v>-6.32088099999999E-3</v>
      </c>
      <c r="AA877">
        <v>0.94103840000000005</v>
      </c>
      <c r="AB877">
        <v>39</v>
      </c>
      <c r="AC877">
        <v>12.2364</v>
      </c>
      <c r="AD877">
        <v>-1.0996377279159999</v>
      </c>
      <c r="AE877">
        <v>-5.8400000000000301</v>
      </c>
      <c r="AF877">
        <v>4.6292580466309801</v>
      </c>
      <c r="AG877">
        <v>-1.0996377279159999</v>
      </c>
      <c r="AH877">
        <v>12.6495178652393</v>
      </c>
      <c r="AI877">
        <v>94.667059550384593</v>
      </c>
      <c r="AJ877">
        <v>69.899233601475302</v>
      </c>
      <c r="AK877">
        <v>13.514789506979501</v>
      </c>
    </row>
    <row r="878" spans="1:37" x14ac:dyDescent="0.2">
      <c r="A878" t="str">
        <f>"20200111153418755"</f>
        <v>20200111153418755</v>
      </c>
      <c r="B878" t="str">
        <f>"1578728058747382"</f>
        <v>1578728058747382</v>
      </c>
      <c r="C878" t="s">
        <v>37</v>
      </c>
      <c r="D878">
        <v>5.1653989999999999</v>
      </c>
      <c r="E878">
        <v>0.56530369999999996</v>
      </c>
      <c r="F878" t="s">
        <v>46</v>
      </c>
      <c r="G878">
        <v>-205.2706</v>
      </c>
      <c r="H878" s="1">
        <v>-4.6840719999999998E-6</v>
      </c>
      <c r="I878">
        <v>362.38639999999998</v>
      </c>
      <c r="J878">
        <v>-217.40260000000001</v>
      </c>
      <c r="K878">
        <v>1.0996059999999901</v>
      </c>
      <c r="L878">
        <v>368.24770000000001</v>
      </c>
      <c r="M878">
        <v>0.99515409999999904</v>
      </c>
      <c r="N878">
        <v>0</v>
      </c>
      <c r="O878">
        <v>-9.7221299999999997E-2</v>
      </c>
      <c r="P878">
        <v>0.96194169999999901</v>
      </c>
      <c r="Q878">
        <v>-3.1705459999999998E-4</v>
      </c>
      <c r="R878">
        <v>-0.27325470000000002</v>
      </c>
      <c r="S878">
        <v>2.748672</v>
      </c>
      <c r="T878">
        <v>-0.24470819999999999</v>
      </c>
      <c r="U878">
        <v>-1.309509</v>
      </c>
      <c r="V878">
        <v>0.17859439999999999</v>
      </c>
      <c r="W878">
        <v>1.187422E-2</v>
      </c>
      <c r="X878">
        <v>0.98385109999999998</v>
      </c>
      <c r="Y878">
        <v>0.3395087</v>
      </c>
      <c r="Z878">
        <v>-6.1705179999999998E-3</v>
      </c>
      <c r="AA878">
        <v>0.94058259999999905</v>
      </c>
      <c r="AB878">
        <v>39</v>
      </c>
      <c r="AC878">
        <v>12.132</v>
      </c>
      <c r="AD878">
        <v>-1.0996106840719999</v>
      </c>
      <c r="AE878">
        <v>-5.8613000000000204</v>
      </c>
      <c r="AF878">
        <v>4.6231191948905099</v>
      </c>
      <c r="AG878">
        <v>-1.0996106840719999</v>
      </c>
      <c r="AH878">
        <v>12.5607599650011</v>
      </c>
      <c r="AI878">
        <v>94.696603282149098</v>
      </c>
      <c r="AJ878">
        <v>69.793333539524895</v>
      </c>
      <c r="AK878">
        <v>13.4296338611693</v>
      </c>
    </row>
    <row r="879" spans="1:37" x14ac:dyDescent="0.2">
      <c r="A879" t="str">
        <f>"20200111153418766"</f>
        <v>20200111153418766</v>
      </c>
      <c r="B879" t="str">
        <f>"1578728058757143"</f>
        <v>1578728058757143</v>
      </c>
      <c r="C879" t="s">
        <v>37</v>
      </c>
      <c r="D879">
        <v>5.1638260000000002</v>
      </c>
      <c r="E879">
        <v>0.56550880000000003</v>
      </c>
      <c r="F879" t="s">
        <v>46</v>
      </c>
      <c r="G879">
        <v>-205.07900000000001</v>
      </c>
      <c r="H879" s="1">
        <v>-4.6120320000000001E-6</v>
      </c>
      <c r="I879">
        <v>362.30860000000001</v>
      </c>
      <c r="J879">
        <v>-217.2071</v>
      </c>
      <c r="K879">
        <v>1.0995809999999999</v>
      </c>
      <c r="L879">
        <v>368.22649999999999</v>
      </c>
      <c r="M879">
        <v>0.994897699999999</v>
      </c>
      <c r="N879">
        <v>0</v>
      </c>
      <c r="O879">
        <v>-9.9816020000000005E-2</v>
      </c>
      <c r="P879">
        <v>0.96092670000000002</v>
      </c>
      <c r="Q879">
        <v>2.0138099999999999E-4</v>
      </c>
      <c r="R879">
        <v>-0.27680300000000002</v>
      </c>
      <c r="S879">
        <v>2.7430729999999999</v>
      </c>
      <c r="T879">
        <v>-0.2447587</v>
      </c>
      <c r="U879">
        <v>-1.32196</v>
      </c>
      <c r="V879">
        <v>0.17966670000000001</v>
      </c>
      <c r="W879">
        <v>1.234292E-2</v>
      </c>
      <c r="X879">
        <v>0.98365009999999997</v>
      </c>
      <c r="Y879">
        <v>0.34127399999999902</v>
      </c>
      <c r="Z879">
        <v>-6.0365069999999896E-3</v>
      </c>
      <c r="AA879">
        <v>0.93994449999999996</v>
      </c>
      <c r="AB879">
        <v>39</v>
      </c>
      <c r="AC879">
        <v>12.1280999999999</v>
      </c>
      <c r="AD879">
        <v>-1.099585612032</v>
      </c>
      <c r="AE879">
        <v>-5.9178999999999702</v>
      </c>
      <c r="AF879">
        <v>4.6467789635234897</v>
      </c>
      <c r="AG879">
        <v>-1.099585612032</v>
      </c>
      <c r="AH879">
        <v>12.5747957885392</v>
      </c>
      <c r="AI879">
        <v>94.6890485920148</v>
      </c>
      <c r="AJ879">
        <v>69.719157432072805</v>
      </c>
      <c r="AK879">
        <v>13.4509156705964</v>
      </c>
    </row>
    <row r="880" spans="1:37" x14ac:dyDescent="0.2">
      <c r="A880" t="str">
        <f>"20200111153418778"</f>
        <v>20200111153418778</v>
      </c>
      <c r="B880" t="str">
        <f>"1578728058766902"</f>
        <v>1578728058766902</v>
      </c>
      <c r="C880" t="s">
        <v>37</v>
      </c>
      <c r="D880">
        <v>5.0927429999999996</v>
      </c>
      <c r="E880">
        <v>0.56550880000000003</v>
      </c>
      <c r="F880" t="s">
        <v>46</v>
      </c>
      <c r="G880">
        <v>-204.89340000000001</v>
      </c>
      <c r="H880" s="1">
        <v>-4.5396739999999996E-6</v>
      </c>
      <c r="I880">
        <v>362.22699999999998</v>
      </c>
      <c r="J880">
        <v>-217.00409999999999</v>
      </c>
      <c r="K880">
        <v>1.099558</v>
      </c>
      <c r="L880">
        <v>368.20420000000001</v>
      </c>
      <c r="M880">
        <v>0.99462359999999905</v>
      </c>
      <c r="N880">
        <v>0</v>
      </c>
      <c r="O880">
        <v>-0.1025142</v>
      </c>
      <c r="P880">
        <v>0.95993309999999998</v>
      </c>
      <c r="Q880">
        <v>9.3898949999999897E-4</v>
      </c>
      <c r="R880">
        <v>-0.28022770000000002</v>
      </c>
      <c r="S880">
        <v>2.7377929999999999</v>
      </c>
      <c r="T880">
        <v>-0.244478</v>
      </c>
      <c r="U880">
        <v>-1.333923</v>
      </c>
      <c r="V880">
        <v>0.18051600000000001</v>
      </c>
      <c r="W880">
        <v>1.30338E-2</v>
      </c>
      <c r="X880">
        <v>0.98348570000000002</v>
      </c>
      <c r="Y880">
        <v>0.34276329999999999</v>
      </c>
      <c r="Z880">
        <v>-5.873667E-3</v>
      </c>
      <c r="AA880">
        <v>0.93940349999999995</v>
      </c>
      <c r="AB880">
        <v>39</v>
      </c>
      <c r="AC880">
        <v>12.1106999999999</v>
      </c>
      <c r="AD880">
        <v>-1.0995625396740001</v>
      </c>
      <c r="AE880">
        <v>-5.97720000000003</v>
      </c>
      <c r="AF880">
        <v>4.6730744033995899</v>
      </c>
      <c r="AG880">
        <v>-1.0995625396740001</v>
      </c>
      <c r="AH880">
        <v>12.5763312012532</v>
      </c>
      <c r="AI880">
        <v>94.685270698422201</v>
      </c>
      <c r="AJ880">
        <v>69.616095895032302</v>
      </c>
      <c r="AK880">
        <v>13.4614549229264</v>
      </c>
    </row>
    <row r="881" spans="1:37" x14ac:dyDescent="0.2">
      <c r="A881" t="str">
        <f>"20200111153418791"</f>
        <v>20200111153418791</v>
      </c>
      <c r="B881" t="str">
        <f>"1578728058787398"</f>
        <v>1578728058787398</v>
      </c>
      <c r="C881" t="s">
        <v>37</v>
      </c>
      <c r="D881">
        <v>5.1618469999999999</v>
      </c>
      <c r="E881">
        <v>0.56584719999999999</v>
      </c>
      <c r="F881" t="s">
        <v>46</v>
      </c>
      <c r="G881">
        <v>-204.59870000000001</v>
      </c>
      <c r="H881" s="1">
        <v>-4.4187410000000002E-6</v>
      </c>
      <c r="I881">
        <v>362.10359999999997</v>
      </c>
      <c r="J881">
        <v>-216.79480000000001</v>
      </c>
      <c r="K881">
        <v>1.099529</v>
      </c>
      <c r="L881">
        <v>368.18020000000001</v>
      </c>
      <c r="M881">
        <v>0.99433059999999995</v>
      </c>
      <c r="N881">
        <v>0</v>
      </c>
      <c r="O881">
        <v>-0.1053212</v>
      </c>
      <c r="P881">
        <v>0.95885619999999905</v>
      </c>
      <c r="Q881">
        <v>1.594622E-3</v>
      </c>
      <c r="R881">
        <v>-0.28388809999999998</v>
      </c>
      <c r="S881">
        <v>2.7331089999999998</v>
      </c>
      <c r="T881">
        <v>-0.2422513</v>
      </c>
      <c r="U881">
        <v>-1.344055</v>
      </c>
      <c r="V881">
        <v>0.18150139999999901</v>
      </c>
      <c r="W881">
        <v>1.3641240000000001E-2</v>
      </c>
      <c r="X881">
        <v>0.98329609999999901</v>
      </c>
      <c r="Y881">
        <v>0.34357399999999999</v>
      </c>
      <c r="Z881">
        <v>-5.6279260000000001E-3</v>
      </c>
      <c r="AA881">
        <v>0.93910869999999902</v>
      </c>
      <c r="AB881">
        <v>39</v>
      </c>
      <c r="AC881">
        <v>12.196099999999999</v>
      </c>
      <c r="AD881">
        <v>-1.099533418741</v>
      </c>
      <c r="AE881">
        <v>-6.07660000000004</v>
      </c>
      <c r="AF881">
        <v>4.7273689738264197</v>
      </c>
      <c r="AG881">
        <v>-1.099533418741</v>
      </c>
      <c r="AH881">
        <v>12.6857152295114</v>
      </c>
      <c r="AI881">
        <v>94.643300291662698</v>
      </c>
      <c r="AJ881">
        <v>69.561943385474706</v>
      </c>
      <c r="AK881">
        <v>13.5825020536676</v>
      </c>
    </row>
    <row r="882" spans="1:37" x14ac:dyDescent="0.2">
      <c r="A882" t="str">
        <f>"20200111153418803"</f>
        <v>20200111153418803</v>
      </c>
      <c r="B882" t="str">
        <f>"1578728058797158"</f>
        <v>1578728058797158</v>
      </c>
      <c r="C882" t="s">
        <v>37</v>
      </c>
      <c r="D882">
        <v>5.2139049999999996</v>
      </c>
      <c r="E882">
        <v>0.56594999999999995</v>
      </c>
      <c r="F882" t="s">
        <v>46</v>
      </c>
      <c r="G882">
        <v>-204.40219999999999</v>
      </c>
      <c r="H882" s="1">
        <v>-4.3393049999999996E-6</v>
      </c>
      <c r="I882">
        <v>362.01589999999999</v>
      </c>
      <c r="J882">
        <v>-216.57730000000001</v>
      </c>
      <c r="K882">
        <v>1.0994969999999999</v>
      </c>
      <c r="L882">
        <v>368.1549</v>
      </c>
      <c r="M882">
        <v>0.99401609999999996</v>
      </c>
      <c r="N882">
        <v>0</v>
      </c>
      <c r="O882">
        <v>-0.108253399999999</v>
      </c>
      <c r="P882">
        <v>0.95774629999999905</v>
      </c>
      <c r="Q882">
        <v>1.9015939999999999E-3</v>
      </c>
      <c r="R882">
        <v>-0.28760920000000001</v>
      </c>
      <c r="S882">
        <v>2.7274630000000002</v>
      </c>
      <c r="T882">
        <v>-0.24199270000000001</v>
      </c>
      <c r="U882">
        <v>-1.356689</v>
      </c>
      <c r="V882">
        <v>0.1824239</v>
      </c>
      <c r="W882">
        <v>1.3899659999999999E-2</v>
      </c>
      <c r="X882">
        <v>0.98312169999999899</v>
      </c>
      <c r="Y882">
        <v>0.34507320000000002</v>
      </c>
      <c r="Z882">
        <v>-5.4488459999999898E-3</v>
      </c>
      <c r="AA882">
        <v>0.9385599</v>
      </c>
      <c r="AB882">
        <v>39</v>
      </c>
      <c r="AC882">
        <v>12.1751</v>
      </c>
      <c r="AD882">
        <v>-1.0995013393049999</v>
      </c>
      <c r="AE882">
        <v>-6.1390000000000002</v>
      </c>
      <c r="AF882">
        <v>4.7538680388520804</v>
      </c>
      <c r="AG882">
        <v>-1.0995013393049999</v>
      </c>
      <c r="AH882">
        <v>12.6856884838786</v>
      </c>
      <c r="AI882">
        <v>94.640008556881199</v>
      </c>
      <c r="AJ882">
        <v>69.456884961341999</v>
      </c>
      <c r="AK882">
        <v>13.5917201573592</v>
      </c>
    </row>
    <row r="883" spans="1:37" x14ac:dyDescent="0.2">
      <c r="A883" t="str">
        <f>"20200111153418815"</f>
        <v>20200111153418815</v>
      </c>
      <c r="B883" t="str">
        <f>"1578728058806918"</f>
        <v>1578728058806918</v>
      </c>
      <c r="C883" t="s">
        <v>37</v>
      </c>
      <c r="D883">
        <v>5.1851440000000002</v>
      </c>
      <c r="E883">
        <v>0.56602519999999901</v>
      </c>
      <c r="F883" t="s">
        <v>46</v>
      </c>
      <c r="G883">
        <v>-204.25569999999999</v>
      </c>
      <c r="H883" s="1">
        <v>-4.2774779999999999E-6</v>
      </c>
      <c r="I883">
        <v>361.9622</v>
      </c>
      <c r="J883">
        <v>-216.36259999999999</v>
      </c>
      <c r="K883">
        <v>1.0994569999999999</v>
      </c>
      <c r="L883">
        <v>368.12920000000003</v>
      </c>
      <c r="M883">
        <v>0.99369430000000003</v>
      </c>
      <c r="N883">
        <v>0</v>
      </c>
      <c r="O883">
        <v>-0.1111694</v>
      </c>
      <c r="P883">
        <v>0.95652399999999904</v>
      </c>
      <c r="Q883">
        <v>2.641965E-3</v>
      </c>
      <c r="R883">
        <v>-0.2916417</v>
      </c>
      <c r="S883">
        <v>2.722</v>
      </c>
      <c r="T883">
        <v>-0.24289379999999999</v>
      </c>
      <c r="U883">
        <v>-1.368042</v>
      </c>
      <c r="V883">
        <v>0.18369240000000001</v>
      </c>
      <c r="W883">
        <v>1.458623E-2</v>
      </c>
      <c r="X883">
        <v>0.98287559999999996</v>
      </c>
      <c r="Y883">
        <v>0.34620050000000002</v>
      </c>
      <c r="Z883">
        <v>-5.2810380000000001E-3</v>
      </c>
      <c r="AA883">
        <v>0.93814569999999997</v>
      </c>
      <c r="AB883">
        <v>39</v>
      </c>
      <c r="AC883">
        <v>12.1068999999999</v>
      </c>
      <c r="AD883">
        <v>-1.0994612774779999</v>
      </c>
      <c r="AE883">
        <v>-6.16700000000003</v>
      </c>
      <c r="AF883">
        <v>4.7515920114832699</v>
      </c>
      <c r="AG883">
        <v>-1.0994612774779999</v>
      </c>
      <c r="AH883">
        <v>12.634761573357901</v>
      </c>
      <c r="AI883">
        <v>94.656430152693005</v>
      </c>
      <c r="AJ883">
        <v>69.390077649561206</v>
      </c>
      <c r="AK883">
        <v>13.5433984568079</v>
      </c>
    </row>
    <row r="884" spans="1:37" x14ac:dyDescent="0.2">
      <c r="A884" t="str">
        <f>"20200111153418830"</f>
        <v>20200111153418830</v>
      </c>
      <c r="B884" t="str">
        <f>"1578728058817654"</f>
        <v>1578728058817654</v>
      </c>
      <c r="C884" t="s">
        <v>37</v>
      </c>
      <c r="D884">
        <v>5.1835769999999997</v>
      </c>
      <c r="E884">
        <v>0.566169699999999</v>
      </c>
      <c r="F884" t="s">
        <v>46</v>
      </c>
      <c r="G884">
        <v>-204.0284</v>
      </c>
      <c r="H884" s="1">
        <v>-4.1849469999999998E-6</v>
      </c>
      <c r="I884">
        <v>361.86380000000003</v>
      </c>
      <c r="J884">
        <v>-216.12219999999999</v>
      </c>
      <c r="K884">
        <v>1.0993999999999999</v>
      </c>
      <c r="L884">
        <v>368.09949999999998</v>
      </c>
      <c r="M884">
        <v>0.99331930000000002</v>
      </c>
      <c r="N884">
        <v>0</v>
      </c>
      <c r="O884">
        <v>-0.11447499999999999</v>
      </c>
      <c r="P884">
        <v>0.95486409999999999</v>
      </c>
      <c r="Q884">
        <v>2.8239789999999999E-3</v>
      </c>
      <c r="R884">
        <v>-0.29702970000000001</v>
      </c>
      <c r="S884">
        <v>2.7163390000000001</v>
      </c>
      <c r="T884">
        <v>-0.24213209999999999</v>
      </c>
      <c r="U884">
        <v>-1.3798219999999899</v>
      </c>
      <c r="V884">
        <v>0.18596660000000001</v>
      </c>
      <c r="W884">
        <v>1.4694459999999999E-2</v>
      </c>
      <c r="X884">
        <v>0.98244619999999905</v>
      </c>
      <c r="Y884">
        <v>0.3471149</v>
      </c>
      <c r="Z884">
        <v>-5.0360589999999998E-3</v>
      </c>
      <c r="AA884">
        <v>0.93780909999999995</v>
      </c>
      <c r="AB884">
        <v>39</v>
      </c>
      <c r="AC884">
        <v>12.0937999999999</v>
      </c>
      <c r="AD884">
        <v>-1.099404184947</v>
      </c>
      <c r="AE884">
        <v>-6.2356999999999498</v>
      </c>
      <c r="AF884">
        <v>4.7789153248215701</v>
      </c>
      <c r="AG884">
        <v>-1.099404184947</v>
      </c>
      <c r="AH884">
        <v>12.6456320554184</v>
      </c>
      <c r="AI884">
        <v>94.649396126417599</v>
      </c>
      <c r="AJ884">
        <v>69.297902034423998</v>
      </c>
      <c r="AK884">
        <v>13.563138697393001</v>
      </c>
    </row>
    <row r="885" spans="1:37" x14ac:dyDescent="0.2">
      <c r="A885" t="str">
        <f>"20200111153418843"</f>
        <v>20200111153418843</v>
      </c>
      <c r="B885" t="str">
        <f>"1578728058837174"</f>
        <v>1578728058837174</v>
      </c>
      <c r="C885" t="s">
        <v>37</v>
      </c>
      <c r="D885">
        <v>5.203856</v>
      </c>
      <c r="E885">
        <v>0.56639169999999905</v>
      </c>
      <c r="F885" t="s">
        <v>46</v>
      </c>
      <c r="G885">
        <v>-203.90940000000001</v>
      </c>
      <c r="H885" s="1">
        <v>-4.1385390000000003E-6</v>
      </c>
      <c r="I885">
        <v>361.80290000000002</v>
      </c>
      <c r="J885">
        <v>-215.9075</v>
      </c>
      <c r="K885">
        <v>1.0993469999999901</v>
      </c>
      <c r="L885">
        <v>368.07249999999999</v>
      </c>
      <c r="M885">
        <v>0.99297179999999996</v>
      </c>
      <c r="N885">
        <v>0</v>
      </c>
      <c r="O885">
        <v>-0.1174525</v>
      </c>
      <c r="P885">
        <v>0.95370319999999997</v>
      </c>
      <c r="Q885">
        <v>2.4744519999999998E-3</v>
      </c>
      <c r="R885">
        <v>-0.30074020000000001</v>
      </c>
      <c r="S885">
        <v>2.7082060000000001</v>
      </c>
      <c r="T885">
        <v>-0.24379410000000001</v>
      </c>
      <c r="U885">
        <v>-1.39627099999999</v>
      </c>
      <c r="V885">
        <v>0.1868377</v>
      </c>
      <c r="W885">
        <v>1.429683E-2</v>
      </c>
      <c r="X885">
        <v>0.98228680000000002</v>
      </c>
      <c r="Y885">
        <v>0.34993940000000001</v>
      </c>
      <c r="Z885">
        <v>-4.9506300000000001E-3</v>
      </c>
      <c r="AA885">
        <v>0.93675929999999996</v>
      </c>
      <c r="AB885">
        <v>39</v>
      </c>
      <c r="AC885">
        <v>11.9980999999999</v>
      </c>
      <c r="AD885">
        <v>-1.09935113853899</v>
      </c>
      <c r="AE885">
        <v>-6.2695999999999596</v>
      </c>
      <c r="AF885">
        <v>4.7852817236233403</v>
      </c>
      <c r="AG885">
        <v>-1.09935113853899</v>
      </c>
      <c r="AH885">
        <v>12.5686086343075</v>
      </c>
      <c r="AI885">
        <v>94.673181474483499</v>
      </c>
      <c r="AJ885">
        <v>69.156528731497403</v>
      </c>
      <c r="AK885">
        <v>13.493606526894199</v>
      </c>
    </row>
    <row r="886" spans="1:37" x14ac:dyDescent="0.2">
      <c r="A886" t="str">
        <f>"20200111153418864"</f>
        <v>20200111153418864</v>
      </c>
      <c r="B886" t="str">
        <f>"1578728058857670"</f>
        <v>1578728058857670</v>
      </c>
      <c r="C886" t="s">
        <v>37</v>
      </c>
      <c r="D886">
        <v>5.2073010000000002</v>
      </c>
      <c r="E886">
        <v>0.56639919999999899</v>
      </c>
      <c r="F886" t="s">
        <v>46</v>
      </c>
      <c r="G886">
        <v>-203.94649999999999</v>
      </c>
      <c r="H886" s="1">
        <v>-4.1489409999999999E-6</v>
      </c>
      <c r="I886">
        <v>361.84010000000001</v>
      </c>
      <c r="J886">
        <v>-215.53530000000001</v>
      </c>
      <c r="K886">
        <v>1.099216</v>
      </c>
      <c r="L886">
        <v>368.02370000000002</v>
      </c>
      <c r="M886">
        <v>0.99233590000000005</v>
      </c>
      <c r="N886">
        <v>0</v>
      </c>
      <c r="O886">
        <v>-0.1227118</v>
      </c>
      <c r="P886">
        <v>0.95165069999999996</v>
      </c>
      <c r="Q886">
        <v>8.7231389999999998E-4</v>
      </c>
      <c r="R886">
        <v>-0.30718119999999999</v>
      </c>
      <c r="S886">
        <v>2.7022550000000001</v>
      </c>
      <c r="T886">
        <v>-0.24836749999999999</v>
      </c>
      <c r="U886">
        <v>-1.40802</v>
      </c>
      <c r="V886">
        <v>0.18825539999999999</v>
      </c>
      <c r="W886">
        <v>1.261088E-2</v>
      </c>
      <c r="X886">
        <v>0.9820392</v>
      </c>
      <c r="Y886">
        <v>0.3490182</v>
      </c>
      <c r="Z886">
        <v>-4.5645809999999998E-3</v>
      </c>
      <c r="AA886">
        <v>0.93710479999999996</v>
      </c>
      <c r="AB886">
        <v>39</v>
      </c>
      <c r="AC886">
        <v>11.588800000000001</v>
      </c>
      <c r="AD886">
        <v>-1.0992201489410001</v>
      </c>
      <c r="AE886">
        <v>-6.18360000000001</v>
      </c>
      <c r="AF886">
        <v>4.6818367408114003</v>
      </c>
      <c r="AG886">
        <v>-1.0992201489410001</v>
      </c>
      <c r="AH886">
        <v>12.1748174234041</v>
      </c>
      <c r="AI886">
        <v>94.816946644015502</v>
      </c>
      <c r="AJ886">
        <v>68.965708672161497</v>
      </c>
      <c r="AK886">
        <v>13.0902276334934</v>
      </c>
    </row>
    <row r="887" spans="1:37" x14ac:dyDescent="0.2">
      <c r="A887" t="str">
        <f>"20200111153418875"</f>
        <v>20200111153418875</v>
      </c>
      <c r="B887" t="str">
        <f>"1578728058867431"</f>
        <v>1578728058867431</v>
      </c>
      <c r="C887" t="s">
        <v>37</v>
      </c>
      <c r="D887">
        <v>5.2794850000000002</v>
      </c>
      <c r="E887">
        <v>0.56639919999999899</v>
      </c>
      <c r="F887" t="s">
        <v>46</v>
      </c>
      <c r="G887">
        <v>-204.02940000000001</v>
      </c>
      <c r="H887" s="1">
        <v>-4.1714280000000003E-6</v>
      </c>
      <c r="I887">
        <v>361.92689999999999</v>
      </c>
      <c r="J887">
        <v>-215.3313</v>
      </c>
      <c r="K887">
        <v>1.0991420000000001</v>
      </c>
      <c r="L887">
        <v>367.99619999999999</v>
      </c>
      <c r="M887">
        <v>0.99196930000000005</v>
      </c>
      <c r="N887">
        <v>0</v>
      </c>
      <c r="O887">
        <v>-0.12564220000000001</v>
      </c>
      <c r="P887">
        <v>0.95055610000000001</v>
      </c>
      <c r="Q887">
        <v>-1.2764610000000001E-4</v>
      </c>
      <c r="R887">
        <v>-0.31055319999999997</v>
      </c>
      <c r="S887">
        <v>2.6921840000000001</v>
      </c>
      <c r="T887">
        <v>-0.25719699999999901</v>
      </c>
      <c r="U887">
        <v>-1.426544</v>
      </c>
      <c r="V887">
        <v>0.1888243</v>
      </c>
      <c r="W887">
        <v>1.156716E-2</v>
      </c>
      <c r="X887">
        <v>0.9819428</v>
      </c>
      <c r="Y887">
        <v>0.35267490000000001</v>
      </c>
      <c r="Z887">
        <v>-4.6428290000000002E-3</v>
      </c>
      <c r="AA887">
        <v>0.93573439999999997</v>
      </c>
      <c r="AB887">
        <v>38</v>
      </c>
      <c r="AC887">
        <v>11.3018999999999</v>
      </c>
      <c r="AD887">
        <v>-1.099146171428</v>
      </c>
      <c r="AE887">
        <v>-6.0692999999999904</v>
      </c>
      <c r="AF887">
        <v>4.5675183309646004</v>
      </c>
      <c r="AG887">
        <v>-1.099146171428</v>
      </c>
      <c r="AH887">
        <v>11.8876922323399</v>
      </c>
      <c r="AI887">
        <v>94.932933279766104</v>
      </c>
      <c r="AJ887">
        <v>68.9821034219312</v>
      </c>
      <c r="AK887">
        <v>12.782314838114999</v>
      </c>
    </row>
    <row r="888" spans="1:37" x14ac:dyDescent="0.2">
      <c r="A888" t="str">
        <f>"20200111153418888"</f>
        <v>20200111153418888</v>
      </c>
      <c r="B888" t="str">
        <f>"1578728058877190"</f>
        <v>1578728058877190</v>
      </c>
      <c r="C888" t="s">
        <v>37</v>
      </c>
      <c r="D888">
        <v>5.1911769999999997</v>
      </c>
      <c r="E888">
        <v>0.58751039999999999</v>
      </c>
      <c r="F888" t="s">
        <v>46</v>
      </c>
      <c r="G888">
        <v>-203.97659999999999</v>
      </c>
      <c r="H888" s="1">
        <v>-4.1446689999999997E-6</v>
      </c>
      <c r="I888">
        <v>361.92790000000002</v>
      </c>
      <c r="J888">
        <v>-215.1206</v>
      </c>
      <c r="K888">
        <v>1.0990599999999999</v>
      </c>
      <c r="L888">
        <v>367.96690000000001</v>
      </c>
      <c r="M888">
        <v>0.99157499999999998</v>
      </c>
      <c r="N888">
        <v>0</v>
      </c>
      <c r="O888">
        <v>-0.12871840000000001</v>
      </c>
      <c r="P888">
        <v>0.94936219999999905</v>
      </c>
      <c r="Q888">
        <v>-1.45570799999999E-3</v>
      </c>
      <c r="R888">
        <v>-0.31418099999999999</v>
      </c>
      <c r="S888">
        <v>2.6868590000000001</v>
      </c>
      <c r="T888">
        <v>-0.26009130000000003</v>
      </c>
      <c r="U888">
        <v>-1.4359440000000001</v>
      </c>
      <c r="V888">
        <v>0.18951170000000001</v>
      </c>
      <c r="W888">
        <v>1.019252E-2</v>
      </c>
      <c r="X888">
        <v>0.98182549999999902</v>
      </c>
      <c r="Y888">
        <v>0.35308089999999998</v>
      </c>
      <c r="Z888">
        <v>-4.4459369999999996E-3</v>
      </c>
      <c r="AA888">
        <v>0.93558220000000003</v>
      </c>
      <c r="AB888">
        <v>38</v>
      </c>
      <c r="AC888">
        <v>11.144</v>
      </c>
      <c r="AD888">
        <v>-1.0990641446689999</v>
      </c>
      <c r="AE888">
        <v>-6.0389999999999802</v>
      </c>
      <c r="AF888">
        <v>4.5201772597402501</v>
      </c>
      <c r="AG888">
        <v>-1.0990641446689999</v>
      </c>
      <c r="AH888">
        <v>11.740415087622999</v>
      </c>
      <c r="AI888">
        <v>94.992821372903805</v>
      </c>
      <c r="AJ888">
        <v>68.942795217470803</v>
      </c>
      <c r="AK888">
        <v>12.628431845769899</v>
      </c>
    </row>
    <row r="889" spans="1:37" x14ac:dyDescent="0.2">
      <c r="A889" t="str">
        <f>"20200111153418901"</f>
        <v>20200111153418901</v>
      </c>
      <c r="B889" t="str">
        <f>"1578728058897686"</f>
        <v>1578728058897686</v>
      </c>
      <c r="C889" t="s">
        <v>37</v>
      </c>
      <c r="D889">
        <v>5.1664199999999996</v>
      </c>
      <c r="E889">
        <v>0.59162179999999998</v>
      </c>
      <c r="F889" t="s">
        <v>46</v>
      </c>
      <c r="G889">
        <v>-203.80869999999999</v>
      </c>
      <c r="H889" s="1">
        <v>-4.2536609999999996E-6</v>
      </c>
      <c r="I889">
        <v>361.05509999999998</v>
      </c>
      <c r="J889">
        <v>-214.9058</v>
      </c>
      <c r="K889">
        <v>1.098973</v>
      </c>
      <c r="L889">
        <v>367.9366</v>
      </c>
      <c r="M889">
        <v>0.99115869999999995</v>
      </c>
      <c r="N889">
        <v>0</v>
      </c>
      <c r="O889">
        <v>-0.13188559999999999</v>
      </c>
      <c r="P889">
        <v>0.94816730000000005</v>
      </c>
      <c r="Q889">
        <v>-2.4459260000000002E-3</v>
      </c>
      <c r="R889">
        <v>-0.3177624</v>
      </c>
      <c r="S889">
        <v>2.628174</v>
      </c>
      <c r="T889">
        <v>-0.25535150000000001</v>
      </c>
      <c r="U889">
        <v>-1.6058649999999901</v>
      </c>
      <c r="V889">
        <v>0.1900694</v>
      </c>
      <c r="W889">
        <v>9.1559250000000005E-3</v>
      </c>
      <c r="X889">
        <v>0.98172800000000005</v>
      </c>
      <c r="Y889">
        <v>0.40337040000000002</v>
      </c>
      <c r="Z889">
        <v>-6.3651200000000002E-3</v>
      </c>
      <c r="AA889">
        <v>0.91501469999999896</v>
      </c>
      <c r="AB889">
        <v>38</v>
      </c>
      <c r="AC889">
        <v>11.097099999999999</v>
      </c>
      <c r="AD889">
        <v>-1.0989772536610001</v>
      </c>
      <c r="AE889">
        <v>-6.8815000000000097</v>
      </c>
      <c r="AF889">
        <v>5.3199906979392404</v>
      </c>
      <c r="AG889">
        <v>-1.0989772536610001</v>
      </c>
      <c r="AH889">
        <v>11.824055685952199</v>
      </c>
      <c r="AI889">
        <v>94.844812673877797</v>
      </c>
      <c r="AJ889">
        <v>65.775616981647502</v>
      </c>
      <c r="AK889">
        <v>13.0122382738222</v>
      </c>
    </row>
    <row r="890" spans="1:37" x14ac:dyDescent="0.2">
      <c r="A890" t="str">
        <f>"20200111153418913"</f>
        <v>20200111153418913</v>
      </c>
      <c r="B890" t="str">
        <f>"1578728058907445"</f>
        <v>1578728058907445</v>
      </c>
      <c r="C890" t="s">
        <v>37</v>
      </c>
      <c r="D890">
        <v>5.2000419999999998</v>
      </c>
      <c r="E890">
        <v>0.59235499999999996</v>
      </c>
      <c r="F890" t="s">
        <v>46</v>
      </c>
      <c r="G890">
        <v>-202.82079999999999</v>
      </c>
      <c r="H890" s="1">
        <v>-3.9206979999999999E-6</v>
      </c>
      <c r="I890">
        <v>360.31479999999999</v>
      </c>
      <c r="J890">
        <v>-214.69030000000001</v>
      </c>
      <c r="K890">
        <v>1.0988789999999999</v>
      </c>
      <c r="L890">
        <v>367.90519999999998</v>
      </c>
      <c r="M890">
        <v>0.99072059999999995</v>
      </c>
      <c r="N890">
        <v>0</v>
      </c>
      <c r="O890">
        <v>-0.13513910000000001</v>
      </c>
      <c r="P890">
        <v>0.946866599999999</v>
      </c>
      <c r="Q890">
        <v>-3.46869E-3</v>
      </c>
      <c r="R890">
        <v>-0.32160859999999902</v>
      </c>
      <c r="S890">
        <v>2.61145</v>
      </c>
      <c r="T890">
        <v>-0.23747779999999999</v>
      </c>
      <c r="U890">
        <v>-1.64700299999999</v>
      </c>
      <c r="V890">
        <v>0.1908186</v>
      </c>
      <c r="W890">
        <v>8.081174E-3</v>
      </c>
      <c r="X890">
        <v>0.98159209999999997</v>
      </c>
      <c r="Y890">
        <v>0.41343409999999903</v>
      </c>
      <c r="Z890">
        <v>-6.0882069999999896E-3</v>
      </c>
      <c r="AA890">
        <v>0.91051369999999898</v>
      </c>
      <c r="AB890">
        <v>38</v>
      </c>
      <c r="AC890">
        <v>11.8695</v>
      </c>
      <c r="AD890">
        <v>-1.098882920698</v>
      </c>
      <c r="AE890">
        <v>-7.5903999999999803</v>
      </c>
      <c r="AF890">
        <v>5.8807787691775903</v>
      </c>
      <c r="AG890">
        <v>-1.098882920698</v>
      </c>
      <c r="AH890">
        <v>12.709146962946599</v>
      </c>
      <c r="AI890">
        <v>94.486829916240296</v>
      </c>
      <c r="AJ890">
        <v>65.169067152688299</v>
      </c>
      <c r="AK890">
        <v>14.0468330641176</v>
      </c>
    </row>
    <row r="891" spans="1:37" x14ac:dyDescent="0.2">
      <c r="A891" t="str">
        <f>"20200111153418925"</f>
        <v>20200111153418925</v>
      </c>
      <c r="B891" t="str">
        <f>"1578728058917207"</f>
        <v>1578728058917207</v>
      </c>
      <c r="C891" t="s">
        <v>37</v>
      </c>
      <c r="D891">
        <v>5.1616770000000001</v>
      </c>
      <c r="E891">
        <v>0.59294899999999995</v>
      </c>
      <c r="F891" t="s">
        <v>46</v>
      </c>
      <c r="G891">
        <v>-202.4453</v>
      </c>
      <c r="H891" s="1">
        <v>-3.783681E-6</v>
      </c>
      <c r="I891">
        <v>360.0806</v>
      </c>
      <c r="J891">
        <v>-214.494</v>
      </c>
      <c r="K891">
        <v>1.0987899999999999</v>
      </c>
      <c r="L891">
        <v>367.87610000000001</v>
      </c>
      <c r="M891">
        <v>0.9903054</v>
      </c>
      <c r="N891">
        <v>0</v>
      </c>
      <c r="O891">
        <v>-0.13814939999999901</v>
      </c>
      <c r="P891">
        <v>0.94565309999999903</v>
      </c>
      <c r="Q891">
        <v>-4.1910749999999998E-3</v>
      </c>
      <c r="R891">
        <v>-0.32515100000000002</v>
      </c>
      <c r="S891">
        <v>2.6025999999999998</v>
      </c>
      <c r="T891">
        <v>-0.233561299999999</v>
      </c>
      <c r="U891">
        <v>-1.6630860000000001</v>
      </c>
      <c r="V891">
        <v>0.19150129999999899</v>
      </c>
      <c r="W891">
        <v>7.3101519999999899E-3</v>
      </c>
      <c r="X891">
        <v>0.98146520000000004</v>
      </c>
      <c r="Y891">
        <v>0.41609469999999998</v>
      </c>
      <c r="Z891">
        <v>-5.8662000000000002E-3</v>
      </c>
      <c r="AA891">
        <v>0.90930239999999996</v>
      </c>
      <c r="AB891">
        <v>38</v>
      </c>
      <c r="AC891">
        <v>12.0487</v>
      </c>
      <c r="AD891">
        <v>-1.098793783681</v>
      </c>
      <c r="AE891">
        <v>-7.7954999999999997</v>
      </c>
      <c r="AF891">
        <v>6.02074370337475</v>
      </c>
      <c r="AG891">
        <v>-1.098793783681</v>
      </c>
      <c r="AH891">
        <v>12.934373251928699</v>
      </c>
      <c r="AI891">
        <v>94.404023264282003</v>
      </c>
      <c r="AJ891">
        <v>65.038775902584703</v>
      </c>
      <c r="AK891">
        <v>14.3092527387349</v>
      </c>
    </row>
    <row r="892" spans="1:37" x14ac:dyDescent="0.2">
      <c r="A892" t="str">
        <f>"20200111153418936"</f>
        <v>20200111153418936</v>
      </c>
      <c r="B892" t="str">
        <f>"1578728058926966"</f>
        <v>1578728058926966</v>
      </c>
      <c r="C892" t="s">
        <v>37</v>
      </c>
      <c r="D892">
        <v>5.1797079999999998</v>
      </c>
      <c r="E892">
        <v>0.59332309999999999</v>
      </c>
      <c r="F892" t="s">
        <v>46</v>
      </c>
      <c r="G892">
        <v>-202.10339999999999</v>
      </c>
      <c r="H892" s="1">
        <v>-3.6591959999999999E-6</v>
      </c>
      <c r="I892">
        <v>359.86599999999999</v>
      </c>
      <c r="J892">
        <v>-214.2878</v>
      </c>
      <c r="K892">
        <v>1.098697</v>
      </c>
      <c r="L892">
        <v>367.84480000000002</v>
      </c>
      <c r="M892">
        <v>0.98985339999999999</v>
      </c>
      <c r="N892">
        <v>0</v>
      </c>
      <c r="O892">
        <v>-0.14135200000000001</v>
      </c>
      <c r="P892">
        <v>0.94445780000000001</v>
      </c>
      <c r="Q892">
        <v>-4.98132E-3</v>
      </c>
      <c r="R892">
        <v>-0.32859539999999998</v>
      </c>
      <c r="S892">
        <v>2.594681</v>
      </c>
      <c r="T892">
        <v>-0.23009560000000001</v>
      </c>
      <c r="U892">
        <v>-1.677368</v>
      </c>
      <c r="V892">
        <v>0.19189410000000001</v>
      </c>
      <c r="W892">
        <v>6.4742749999999998E-3</v>
      </c>
      <c r="X892">
        <v>0.98139430000000005</v>
      </c>
      <c r="Y892">
        <v>0.41797629999999902</v>
      </c>
      <c r="Z892">
        <v>-5.6116809999999899E-3</v>
      </c>
      <c r="AA892">
        <v>0.90844059999999904</v>
      </c>
      <c r="AB892">
        <v>38</v>
      </c>
      <c r="AC892">
        <v>12.1844</v>
      </c>
      <c r="AD892">
        <v>-1.098700659196</v>
      </c>
      <c r="AE892">
        <v>-7.9788000000000299</v>
      </c>
      <c r="AF892">
        <v>6.1412522914425898</v>
      </c>
      <c r="AG892">
        <v>-1.098700659196</v>
      </c>
      <c r="AH892">
        <v>13.1153360793462</v>
      </c>
      <c r="AI892">
        <v>94.338540544207007</v>
      </c>
      <c r="AJ892">
        <v>64.908670482264597</v>
      </c>
      <c r="AK892">
        <v>14.5235726775428</v>
      </c>
    </row>
    <row r="893" spans="1:37" x14ac:dyDescent="0.2">
      <c r="A893" t="str">
        <f>"20200111153418949"</f>
        <v>20200111153418949</v>
      </c>
      <c r="B893" t="str">
        <f>"1578728058937704"</f>
        <v>1578728058937704</v>
      </c>
      <c r="C893" t="s">
        <v>37</v>
      </c>
      <c r="D893">
        <v>5.1339709999999998</v>
      </c>
      <c r="E893">
        <v>0.59361019999999998</v>
      </c>
      <c r="F893" t="s">
        <v>46</v>
      </c>
      <c r="G893">
        <v>-202.0214</v>
      </c>
      <c r="H893" s="1">
        <v>-3.6251400000000001E-6</v>
      </c>
      <c r="I893">
        <v>359.83359999999999</v>
      </c>
      <c r="J893">
        <v>-214.08860000000001</v>
      </c>
      <c r="K893">
        <v>1.098598</v>
      </c>
      <c r="L893">
        <v>367.81360000000001</v>
      </c>
      <c r="M893">
        <v>0.98939370000000004</v>
      </c>
      <c r="N893">
        <v>0</v>
      </c>
      <c r="O893">
        <v>-0.14453360000000001</v>
      </c>
      <c r="P893">
        <v>0.94320939999999998</v>
      </c>
      <c r="Q893">
        <v>-5.123374E-3</v>
      </c>
      <c r="R893">
        <v>-0.332159599999999</v>
      </c>
      <c r="S893">
        <v>2.5872799999999998</v>
      </c>
      <c r="T893">
        <v>-0.23174249999999999</v>
      </c>
      <c r="U893">
        <v>-1.6897580000000001</v>
      </c>
      <c r="V893">
        <v>0.19244410000000001</v>
      </c>
      <c r="W893">
        <v>6.2816369999999996E-3</v>
      </c>
      <c r="X893">
        <v>0.98128780000000004</v>
      </c>
      <c r="Y893">
        <v>0.41928969999999999</v>
      </c>
      <c r="Z893">
        <v>-5.4610600000000002E-3</v>
      </c>
      <c r="AA893">
        <v>0.90783609999999904</v>
      </c>
      <c r="AB893">
        <v>38</v>
      </c>
      <c r="AC893">
        <v>12.0672</v>
      </c>
      <c r="AD893">
        <v>-1.0986016251399999</v>
      </c>
      <c r="AE893">
        <v>-7.9800000000000102</v>
      </c>
      <c r="AF893">
        <v>6.1166205045902302</v>
      </c>
      <c r="AG893">
        <v>-1.0986016251399999</v>
      </c>
      <c r="AH893">
        <v>13.018891595681501</v>
      </c>
      <c r="AI893">
        <v>94.367525912954804</v>
      </c>
      <c r="AJ893">
        <v>64.834617386473894</v>
      </c>
      <c r="AK893">
        <v>14.4260705082167</v>
      </c>
    </row>
    <row r="894" spans="1:37" x14ac:dyDescent="0.2">
      <c r="A894" t="str">
        <f>"20200111153418962"</f>
        <v>20200111153418962</v>
      </c>
      <c r="B894" t="str">
        <f>"1578728058957222"</f>
        <v>1578728058957222</v>
      </c>
      <c r="C894" t="s">
        <v>37</v>
      </c>
      <c r="D894">
        <v>5.1736300000000002</v>
      </c>
      <c r="E894">
        <v>0.59396359999999904</v>
      </c>
      <c r="F894" t="s">
        <v>46</v>
      </c>
      <c r="G894">
        <v>-201.75030000000001</v>
      </c>
      <c r="H894" s="1">
        <v>-3.5234149999999998E-6</v>
      </c>
      <c r="I894">
        <v>359.67689999999999</v>
      </c>
      <c r="J894">
        <v>-213.87219999999999</v>
      </c>
      <c r="K894">
        <v>1.09849</v>
      </c>
      <c r="L894">
        <v>367.77929999999998</v>
      </c>
      <c r="M894">
        <v>0.98887659999999999</v>
      </c>
      <c r="N894">
        <v>0</v>
      </c>
      <c r="O894">
        <v>-0.14803060000000001</v>
      </c>
      <c r="P894">
        <v>0.94188619999999901</v>
      </c>
      <c r="Q894">
        <v>-5.3489339999999996E-3</v>
      </c>
      <c r="R894">
        <v>-0.33588979999999902</v>
      </c>
      <c r="S894">
        <v>2.5801699999999999</v>
      </c>
      <c r="T894">
        <v>-0.22973840000000001</v>
      </c>
      <c r="U894">
        <v>-1.701538</v>
      </c>
      <c r="V894">
        <v>0.19285659999999999</v>
      </c>
      <c r="W894">
        <v>6.003169E-3</v>
      </c>
      <c r="X894">
        <v>0.98120859999999999</v>
      </c>
      <c r="Y894">
        <v>0.4201395</v>
      </c>
      <c r="Z894">
        <v>-5.1809880000000001E-3</v>
      </c>
      <c r="AA894">
        <v>0.90744469999999999</v>
      </c>
      <c r="AB894">
        <v>38</v>
      </c>
      <c r="AC894">
        <v>12.121899999999901</v>
      </c>
      <c r="AD894">
        <v>-1.098493523415</v>
      </c>
      <c r="AE894">
        <v>-8.1023999999999798</v>
      </c>
      <c r="AF894">
        <v>6.1834166758637599</v>
      </c>
      <c r="AG894">
        <v>-1.098493523415</v>
      </c>
      <c r="AH894">
        <v>13.1134175993529</v>
      </c>
      <c r="AI894">
        <v>94.332898681703696</v>
      </c>
      <c r="AJ894">
        <v>64.754548648826798</v>
      </c>
      <c r="AK894">
        <v>14.5397060129616</v>
      </c>
    </row>
    <row r="895" spans="1:37" x14ac:dyDescent="0.2">
      <c r="A895" t="str">
        <f>"20200111153418974"</f>
        <v>20200111153418974</v>
      </c>
      <c r="B895" t="str">
        <f>"1578728058966982"</f>
        <v>1578728058966982</v>
      </c>
      <c r="C895" t="s">
        <v>37</v>
      </c>
      <c r="D895">
        <v>5.1587719999999999</v>
      </c>
      <c r="E895">
        <v>0.59424089999999996</v>
      </c>
      <c r="F895" t="s">
        <v>46</v>
      </c>
      <c r="G895">
        <v>-201.3374</v>
      </c>
      <c r="H895" s="1">
        <v>-6.262073E-6</v>
      </c>
      <c r="I895">
        <v>359.42689999999999</v>
      </c>
      <c r="J895">
        <v>-213.63210000000001</v>
      </c>
      <c r="K895">
        <v>1.0983559999999899</v>
      </c>
      <c r="L895">
        <v>367.74009999999998</v>
      </c>
      <c r="M895">
        <v>0.98827109999999996</v>
      </c>
      <c r="N895">
        <v>0</v>
      </c>
      <c r="O895">
        <v>-0.15202019999999999</v>
      </c>
      <c r="P895">
        <v>0.94032229999999895</v>
      </c>
      <c r="Q895">
        <v>-5.2785100000000001E-3</v>
      </c>
      <c r="R895">
        <v>-0.3402444</v>
      </c>
      <c r="S895">
        <v>2.5725099999999999</v>
      </c>
      <c r="T895">
        <v>-0.22544449999999999</v>
      </c>
      <c r="U895">
        <v>-1.714172</v>
      </c>
      <c r="V895">
        <v>0.19343949999999999</v>
      </c>
      <c r="W895">
        <v>6.0098449999999998E-3</v>
      </c>
      <c r="X895">
        <v>0.98109380000000002</v>
      </c>
      <c r="Y895">
        <v>0.42084729999999998</v>
      </c>
      <c r="Z895">
        <v>-4.81249E-3</v>
      </c>
      <c r="AA895">
        <v>0.90711869999999994</v>
      </c>
      <c r="AB895">
        <v>38</v>
      </c>
      <c r="AC895">
        <v>12.294700000000001</v>
      </c>
      <c r="AD895">
        <v>-1.09836226207299</v>
      </c>
      <c r="AE895">
        <v>-8.3131999999999895</v>
      </c>
      <c r="AF895">
        <v>6.3127448289900299</v>
      </c>
      <c r="AG895">
        <v>-1.09836226207299</v>
      </c>
      <c r="AH895">
        <v>13.342603722733299</v>
      </c>
      <c r="AI895">
        <v>94.255631907117802</v>
      </c>
      <c r="AJ895">
        <v>64.679909192013895</v>
      </c>
      <c r="AK895">
        <v>14.8014263176419</v>
      </c>
    </row>
    <row r="896" spans="1:37" x14ac:dyDescent="0.2">
      <c r="A896" t="str">
        <f>"20200111153418989"</f>
        <v>20200111153418989</v>
      </c>
      <c r="B896" t="str">
        <f>"1578728058987478"</f>
        <v>1578728058987478</v>
      </c>
      <c r="C896" t="s">
        <v>37</v>
      </c>
      <c r="D896">
        <v>5.1549319999999996</v>
      </c>
      <c r="E896">
        <v>0.5946553</v>
      </c>
      <c r="F896" t="s">
        <v>46</v>
      </c>
      <c r="G896">
        <v>-201.07550000000001</v>
      </c>
      <c r="H896" s="1">
        <v>-6.3238049999999998E-6</v>
      </c>
      <c r="I896">
        <v>359.27589999999998</v>
      </c>
      <c r="J896">
        <v>-213.3938</v>
      </c>
      <c r="K896">
        <v>1.0982270000000001</v>
      </c>
      <c r="L896">
        <v>367.7</v>
      </c>
      <c r="M896">
        <v>0.98763749999999995</v>
      </c>
      <c r="N896">
        <v>0</v>
      </c>
      <c r="O896">
        <v>-0.15608320000000001</v>
      </c>
      <c r="P896">
        <v>0.93882080000000001</v>
      </c>
      <c r="Q896">
        <v>-5.0849500000000004E-3</v>
      </c>
      <c r="R896">
        <v>-0.34436869999999897</v>
      </c>
      <c r="S896">
        <v>2.563812</v>
      </c>
      <c r="T896">
        <v>-0.2242642</v>
      </c>
      <c r="U896">
        <v>-1.72820999999999</v>
      </c>
      <c r="V896">
        <v>0.1937159</v>
      </c>
      <c r="W896">
        <v>6.1433569999999899E-3</v>
      </c>
      <c r="X896">
        <v>0.98103850000000004</v>
      </c>
      <c r="Y896">
        <v>0.42197390000000001</v>
      </c>
      <c r="Z896">
        <v>-4.5285379999999899E-3</v>
      </c>
      <c r="AA896">
        <v>0.90659669999999903</v>
      </c>
      <c r="AB896">
        <v>38</v>
      </c>
      <c r="AC896">
        <v>12.318299999999899</v>
      </c>
      <c r="AD896">
        <v>-1.0982333238049999</v>
      </c>
      <c r="AE896">
        <v>-8.4241000000000099</v>
      </c>
      <c r="AF896">
        <v>6.3634868960719402</v>
      </c>
      <c r="AG896">
        <v>-1.0982333238049999</v>
      </c>
      <c r="AH896">
        <v>13.4096693779108</v>
      </c>
      <c r="AI896">
        <v>94.231616902911</v>
      </c>
      <c r="AJ896">
        <v>64.613572326081794</v>
      </c>
      <c r="AK896">
        <v>14.8835249432005</v>
      </c>
    </row>
    <row r="897" spans="1:37" x14ac:dyDescent="0.2">
      <c r="A897" t="str">
        <f>"20200111153419008"</f>
        <v>20200111153419008</v>
      </c>
      <c r="B897" t="str">
        <f>"1578728058997238"</f>
        <v>1578728058997238</v>
      </c>
      <c r="C897" t="s">
        <v>37</v>
      </c>
      <c r="D897">
        <v>5.1526550000000002</v>
      </c>
      <c r="E897">
        <v>0.59486070000000002</v>
      </c>
      <c r="F897" t="s">
        <v>46</v>
      </c>
      <c r="G897">
        <v>-200.65620000000001</v>
      </c>
      <c r="H897" s="1">
        <v>-6.4164000000000001E-6</v>
      </c>
      <c r="I897">
        <v>359.0127</v>
      </c>
      <c r="J897">
        <v>-213.06360000000001</v>
      </c>
      <c r="K897">
        <v>1.098039</v>
      </c>
      <c r="L897">
        <v>367.64280000000002</v>
      </c>
      <c r="M897">
        <v>0.98670539999999995</v>
      </c>
      <c r="N897">
        <v>0</v>
      </c>
      <c r="O897">
        <v>-0.16187179999999901</v>
      </c>
      <c r="P897">
        <v>0.93652069999999998</v>
      </c>
      <c r="Q897">
        <v>-4.9416549999999997E-3</v>
      </c>
      <c r="R897">
        <v>-0.35057840000000001</v>
      </c>
      <c r="S897">
        <v>2.5550839999999999</v>
      </c>
      <c r="T897">
        <v>-0.22029850000000001</v>
      </c>
      <c r="U897">
        <v>-1.742615</v>
      </c>
      <c r="V897">
        <v>0.194465</v>
      </c>
      <c r="W897">
        <v>6.1929469999999999E-3</v>
      </c>
      <c r="X897">
        <v>0.98088989999999998</v>
      </c>
      <c r="Y897">
        <v>0.42162909999999998</v>
      </c>
      <c r="Z897">
        <v>-4.0068229999999996E-3</v>
      </c>
      <c r="AA897">
        <v>0.90675949999999905</v>
      </c>
      <c r="AB897">
        <v>38</v>
      </c>
      <c r="AC897">
        <v>12.4073999999999</v>
      </c>
      <c r="AD897">
        <v>-1.0980454164</v>
      </c>
      <c r="AE897">
        <v>-8.6301000000000201</v>
      </c>
      <c r="AF897">
        <v>6.4734717815287901</v>
      </c>
      <c r="AG897">
        <v>-1.0980454164</v>
      </c>
      <c r="AH897">
        <v>13.569226781971899</v>
      </c>
      <c r="AI897">
        <v>94.177242574450503</v>
      </c>
      <c r="AJ897">
        <v>64.495588133886898</v>
      </c>
      <c r="AK897">
        <v>15.0743310333597</v>
      </c>
    </row>
    <row r="898" spans="1:37" x14ac:dyDescent="0.2">
      <c r="A898" t="str">
        <f>"20200111153419025"</f>
        <v>20200111153419025</v>
      </c>
      <c r="B898" t="str">
        <f>"1578728059016760"</f>
        <v>1578728059016760</v>
      </c>
      <c r="C898" t="s">
        <v>37</v>
      </c>
      <c r="D898">
        <v>5.098319</v>
      </c>
      <c r="E898">
        <v>0.59521759999999901</v>
      </c>
      <c r="F898" t="s">
        <v>46</v>
      </c>
      <c r="G898">
        <v>-200.36519999999999</v>
      </c>
      <c r="H898" s="1">
        <v>-6.4692949999999997E-6</v>
      </c>
      <c r="I898">
        <v>358.8526</v>
      </c>
      <c r="J898">
        <v>-212.7859</v>
      </c>
      <c r="K898">
        <v>1.0978729999999901</v>
      </c>
      <c r="L898">
        <v>367.59300000000002</v>
      </c>
      <c r="M898">
        <v>0.98586700000000005</v>
      </c>
      <c r="N898">
        <v>0</v>
      </c>
      <c r="O898">
        <v>-0.16689999999999999</v>
      </c>
      <c r="P898">
        <v>0.93467160000000005</v>
      </c>
      <c r="Q898">
        <v>-4.5933959999999996E-3</v>
      </c>
      <c r="R898">
        <v>-0.35548239999999998</v>
      </c>
      <c r="S898">
        <v>2.543167</v>
      </c>
      <c r="T898">
        <v>-0.2199103</v>
      </c>
      <c r="U898">
        <v>-1.76043699999999</v>
      </c>
      <c r="V898">
        <v>0.1946138</v>
      </c>
      <c r="W898">
        <v>6.4671219999999996E-3</v>
      </c>
      <c r="X898">
        <v>0.98085859999999903</v>
      </c>
      <c r="Y898">
        <v>0.42330139999999999</v>
      </c>
      <c r="Z898">
        <v>-3.696894E-3</v>
      </c>
      <c r="AA898">
        <v>0.90598140000000005</v>
      </c>
      <c r="AB898">
        <v>38</v>
      </c>
      <c r="AC898">
        <v>12.4207</v>
      </c>
      <c r="AD898">
        <v>-1.09787946929499</v>
      </c>
      <c r="AE898">
        <v>-8.7404000000000206</v>
      </c>
      <c r="AF898">
        <v>6.5105261936456698</v>
      </c>
      <c r="AG898">
        <v>-1.09787946929499</v>
      </c>
      <c r="AH898">
        <v>13.6341305221907</v>
      </c>
      <c r="AI898">
        <v>94.1560817870498</v>
      </c>
      <c r="AJ898">
        <v>64.4747414317401</v>
      </c>
      <c r="AK898">
        <v>15.148656895691399</v>
      </c>
    </row>
    <row r="899" spans="1:37" x14ac:dyDescent="0.2">
      <c r="A899" t="str">
        <f>"20200111153419036"</f>
        <v>20200111153419036</v>
      </c>
      <c r="B899" t="str">
        <f>"1578728059027494"</f>
        <v>1578728059027494</v>
      </c>
      <c r="C899" t="s">
        <v>37</v>
      </c>
      <c r="D899">
        <v>5.1281889999999999</v>
      </c>
      <c r="E899">
        <v>0.59544379999999997</v>
      </c>
      <c r="F899" t="s">
        <v>46</v>
      </c>
      <c r="G899">
        <v>-200.12099999999899</v>
      </c>
      <c r="H899" s="1">
        <v>-6.5089429999999998E-6</v>
      </c>
      <c r="I899">
        <v>358.71230000000003</v>
      </c>
      <c r="J899">
        <v>-212.58340000000001</v>
      </c>
      <c r="K899">
        <v>1.0977479999999999</v>
      </c>
      <c r="L899">
        <v>367.55590000000001</v>
      </c>
      <c r="M899">
        <v>0.98522489999999996</v>
      </c>
      <c r="N899">
        <v>0</v>
      </c>
      <c r="O899">
        <v>-0.17064969999999999</v>
      </c>
      <c r="P899">
        <v>0.93315689999999996</v>
      </c>
      <c r="Q899">
        <v>-3.9080740000000001E-3</v>
      </c>
      <c r="R899">
        <v>-0.3594485</v>
      </c>
      <c r="S899">
        <v>2.5330810000000001</v>
      </c>
      <c r="T899">
        <v>-0.21958469999999999</v>
      </c>
      <c r="U899">
        <v>-1.7762150000000001</v>
      </c>
      <c r="V899">
        <v>0.19506009999999999</v>
      </c>
      <c r="W899">
        <v>7.0903340000000002E-3</v>
      </c>
      <c r="X899">
        <v>0.98076559999999902</v>
      </c>
      <c r="Y899">
        <v>0.42533929999999998</v>
      </c>
      <c r="Z899">
        <v>-3.4970750000000001E-3</v>
      </c>
      <c r="AA899">
        <v>0.90502719999999903</v>
      </c>
      <c r="AB899">
        <v>38</v>
      </c>
      <c r="AC899">
        <v>12.462400000000001</v>
      </c>
      <c r="AD899">
        <v>-1.0977545089430001</v>
      </c>
      <c r="AE899">
        <v>-8.8435999999999808</v>
      </c>
      <c r="AF899">
        <v>6.55310687646673</v>
      </c>
      <c r="AG899">
        <v>-1.0977545089430001</v>
      </c>
      <c r="AH899">
        <v>13.7180852690372</v>
      </c>
      <c r="AI899">
        <v>94.129975691754296</v>
      </c>
      <c r="AJ899">
        <v>64.466270223498697</v>
      </c>
      <c r="AK899">
        <v>15.242510887149599</v>
      </c>
    </row>
    <row r="900" spans="1:37" x14ac:dyDescent="0.2">
      <c r="A900" t="str">
        <f>"20200111153419048"</f>
        <v>20200111153419048</v>
      </c>
      <c r="B900" t="str">
        <f>"1578728059037254"</f>
        <v>1578728059037254</v>
      </c>
      <c r="C900" t="s">
        <v>37</v>
      </c>
      <c r="D900">
        <v>5.0879659999999998</v>
      </c>
      <c r="E900">
        <v>0.59560429999999998</v>
      </c>
      <c r="F900" t="s">
        <v>46</v>
      </c>
      <c r="G900">
        <v>-199.85849999999999</v>
      </c>
      <c r="H900" s="1">
        <v>-6.4736149999999902E-6</v>
      </c>
      <c r="I900">
        <v>358.5446</v>
      </c>
      <c r="J900">
        <v>-212.3947</v>
      </c>
      <c r="K900">
        <v>1.097628</v>
      </c>
      <c r="L900">
        <v>367.52010000000001</v>
      </c>
      <c r="M900">
        <v>0.98459229999999998</v>
      </c>
      <c r="N900">
        <v>0</v>
      </c>
      <c r="O900">
        <v>-0.17426150000000001</v>
      </c>
      <c r="P900">
        <v>0.9317008</v>
      </c>
      <c r="Q900">
        <v>-3.1807350000000001E-3</v>
      </c>
      <c r="R900">
        <v>-0.36321340000000002</v>
      </c>
      <c r="S900">
        <v>2.525131</v>
      </c>
      <c r="T900">
        <v>-0.21783849999999999</v>
      </c>
      <c r="U900">
        <v>-1.788208</v>
      </c>
      <c r="V900">
        <v>0.19543740000000001</v>
      </c>
      <c r="W900">
        <v>7.7597940000000004E-3</v>
      </c>
      <c r="X900">
        <v>0.98068549999999999</v>
      </c>
      <c r="Y900">
        <v>0.42624409999999902</v>
      </c>
      <c r="Z900">
        <v>-3.2412719999999999E-3</v>
      </c>
      <c r="AA900">
        <v>0.90460229999999997</v>
      </c>
      <c r="AB900">
        <v>38</v>
      </c>
      <c r="AC900">
        <v>12.536199999999999</v>
      </c>
      <c r="AD900">
        <v>-1.0976344736150001</v>
      </c>
      <c r="AE900">
        <v>-8.9755000000000091</v>
      </c>
      <c r="AF900">
        <v>6.61978226165109</v>
      </c>
      <c r="AG900">
        <v>-1.0976344736150001</v>
      </c>
      <c r="AH900">
        <v>13.8384604014343</v>
      </c>
      <c r="AI900">
        <v>94.092675160189401</v>
      </c>
      <c r="AJ900">
        <v>64.435357490949897</v>
      </c>
      <c r="AK900">
        <v>15.379509254569999</v>
      </c>
    </row>
    <row r="901" spans="1:37" x14ac:dyDescent="0.2">
      <c r="A901" t="str">
        <f>"20200111153419061"</f>
        <v>20200111153419061</v>
      </c>
      <c r="B901" t="str">
        <f>"1578728059056774"</f>
        <v>1578728059056774</v>
      </c>
      <c r="C901" t="s">
        <v>37</v>
      </c>
      <c r="D901">
        <v>5.0435619999999997</v>
      </c>
      <c r="E901">
        <v>0.59590619999999905</v>
      </c>
      <c r="F901" t="s">
        <v>46</v>
      </c>
      <c r="G901">
        <v>-199.5822</v>
      </c>
      <c r="H901" s="1">
        <v>-6.36941699999999E-6</v>
      </c>
      <c r="I901">
        <v>358.36219999999997</v>
      </c>
      <c r="J901">
        <v>-212.1763</v>
      </c>
      <c r="K901">
        <v>1.0974820000000001</v>
      </c>
      <c r="L901">
        <v>367.47820000000002</v>
      </c>
      <c r="M901">
        <v>0.98383330000000002</v>
      </c>
      <c r="N901">
        <v>0</v>
      </c>
      <c r="O901">
        <v>-0.17849599999999999</v>
      </c>
      <c r="P901">
        <v>0.92999480000000001</v>
      </c>
      <c r="Q901">
        <v>-1.9860429999999998E-3</v>
      </c>
      <c r="R901">
        <v>-0.36756749999999999</v>
      </c>
      <c r="S901">
        <v>2.517639</v>
      </c>
      <c r="T901">
        <v>-0.215684499999999</v>
      </c>
      <c r="U901">
        <v>-1.7995299999999901</v>
      </c>
      <c r="V901">
        <v>0.19582849999999999</v>
      </c>
      <c r="W901">
        <v>8.8860469999999993E-3</v>
      </c>
      <c r="X901">
        <v>0.98059789999999902</v>
      </c>
      <c r="Y901">
        <v>0.42634090000000002</v>
      </c>
      <c r="Z901">
        <v>-2.9059909999999902E-3</v>
      </c>
      <c r="AA901">
        <v>0.90455790000000003</v>
      </c>
      <c r="AB901">
        <v>38</v>
      </c>
      <c r="AC901">
        <v>12.5940999999999</v>
      </c>
      <c r="AD901">
        <v>-1.0974883694169999</v>
      </c>
      <c r="AE901">
        <v>-9.1160000000000405</v>
      </c>
      <c r="AF901">
        <v>6.6880106823600496</v>
      </c>
      <c r="AG901">
        <v>-1.0974883694169999</v>
      </c>
      <c r="AH901">
        <v>13.949632602818401</v>
      </c>
      <c r="AI901">
        <v>94.057929375872803</v>
      </c>
      <c r="AJ901">
        <v>64.385081191596797</v>
      </c>
      <c r="AK901">
        <v>15.5089076779115</v>
      </c>
    </row>
    <row r="902" spans="1:37" x14ac:dyDescent="0.2">
      <c r="A902" t="str">
        <f>"20200111153419074"</f>
        <v>20200111153419074</v>
      </c>
      <c r="B902" t="str">
        <f>"1578728059067511"</f>
        <v>1578728059067511</v>
      </c>
      <c r="C902" t="s">
        <v>37</v>
      </c>
      <c r="D902">
        <v>5.039085</v>
      </c>
      <c r="E902">
        <v>0.59600540000000002</v>
      </c>
      <c r="F902" t="s">
        <v>46</v>
      </c>
      <c r="G902">
        <v>-199.15450000000001</v>
      </c>
      <c r="H902" s="1">
        <v>-6.2027589999999996E-6</v>
      </c>
      <c r="I902">
        <v>358.06389999999999</v>
      </c>
      <c r="J902">
        <v>-211.95359999999999</v>
      </c>
      <c r="K902">
        <v>1.0973189999999999</v>
      </c>
      <c r="L902">
        <v>367.43419999999998</v>
      </c>
      <c r="M902">
        <v>0.98301149999999904</v>
      </c>
      <c r="N902">
        <v>0</v>
      </c>
      <c r="O902">
        <v>-0.18296670000000001</v>
      </c>
      <c r="P902">
        <v>0.9283401</v>
      </c>
      <c r="Q902">
        <v>-9.2293029999999997E-4</v>
      </c>
      <c r="R902">
        <v>-0.37173109999999998</v>
      </c>
      <c r="S902">
        <v>2.5085599999999899</v>
      </c>
      <c r="T902">
        <v>-0.21142249999999899</v>
      </c>
      <c r="U902">
        <v>-1.813599</v>
      </c>
      <c r="V902">
        <v>0.19578689999999899</v>
      </c>
      <c r="W902">
        <v>9.8821150000000003E-3</v>
      </c>
      <c r="X902">
        <v>0.98059669999999899</v>
      </c>
      <c r="Y902">
        <v>0.42714750000000001</v>
      </c>
      <c r="Z902">
        <v>-2.5617280000000001E-3</v>
      </c>
      <c r="AA902">
        <v>0.90417829999999999</v>
      </c>
      <c r="AB902">
        <v>38</v>
      </c>
      <c r="AC902">
        <v>12.7990999999999</v>
      </c>
      <c r="AD902">
        <v>-1.0973252027589999</v>
      </c>
      <c r="AE902">
        <v>-9.3702999999999808</v>
      </c>
      <c r="AF902">
        <v>6.8373104958383903</v>
      </c>
      <c r="AG902">
        <v>-1.0973252027589999</v>
      </c>
      <c r="AH902">
        <v>14.229532676354101</v>
      </c>
      <c r="AI902">
        <v>93.976136191478304</v>
      </c>
      <c r="AJ902">
        <v>64.335649750217598</v>
      </c>
      <c r="AK902">
        <v>15.825060429728</v>
      </c>
    </row>
    <row r="903" spans="1:37" x14ac:dyDescent="0.2">
      <c r="A903" t="str">
        <f>"20200111153419088"</f>
        <v>20200111153419088</v>
      </c>
      <c r="B903" t="str">
        <f>"1578728059077271"</f>
        <v>1578728059077271</v>
      </c>
      <c r="C903" t="s">
        <v>37</v>
      </c>
      <c r="D903">
        <v>4.9833819999999998</v>
      </c>
      <c r="E903">
        <v>0.59599519999999995</v>
      </c>
      <c r="F903" t="s">
        <v>46</v>
      </c>
      <c r="G903">
        <v>-198.7336</v>
      </c>
      <c r="H903" s="1">
        <v>-6.0426969999999897E-6</v>
      </c>
      <c r="I903">
        <v>357.78210000000001</v>
      </c>
      <c r="J903">
        <v>-211.73820000000001</v>
      </c>
      <c r="K903">
        <v>1.0971519999999999</v>
      </c>
      <c r="L903">
        <v>367.3904</v>
      </c>
      <c r="M903">
        <v>0.98217350000000003</v>
      </c>
      <c r="N903">
        <v>0</v>
      </c>
      <c r="O903">
        <v>-0.18741169999999999</v>
      </c>
      <c r="P903">
        <v>0.92635919999999905</v>
      </c>
      <c r="Q903">
        <v>5.1300599999999999E-4</v>
      </c>
      <c r="R903">
        <v>-0.37664150000000002</v>
      </c>
      <c r="S903">
        <v>2.500397</v>
      </c>
      <c r="T903">
        <v>-0.2075449</v>
      </c>
      <c r="U903">
        <v>-1.8255619999999999</v>
      </c>
      <c r="V903">
        <v>0.196573</v>
      </c>
      <c r="W903">
        <v>1.123626E-2</v>
      </c>
      <c r="X903">
        <v>0.98042479999999999</v>
      </c>
      <c r="Y903">
        <v>0.42731530000000001</v>
      </c>
      <c r="Z903">
        <v>-2.2105990000000002E-3</v>
      </c>
      <c r="AA903">
        <v>0.90410000000000001</v>
      </c>
      <c r="AB903">
        <v>38</v>
      </c>
      <c r="AC903">
        <v>13.0046</v>
      </c>
      <c r="AD903">
        <v>-1.097158042697</v>
      </c>
      <c r="AE903">
        <v>-9.6082999999999803</v>
      </c>
      <c r="AF903">
        <v>6.9684605888909497</v>
      </c>
      <c r="AG903">
        <v>-1.097158042697</v>
      </c>
      <c r="AH903">
        <v>14.508225996266299</v>
      </c>
      <c r="AI903">
        <v>93.899691921410493</v>
      </c>
      <c r="AJ903">
        <v>64.344513492763497</v>
      </c>
      <c r="AK903">
        <v>16.132322223050199</v>
      </c>
    </row>
    <row r="904" spans="1:37" x14ac:dyDescent="0.2">
      <c r="A904" t="str">
        <f>"20200111153419102"</f>
        <v>20200111153419102</v>
      </c>
      <c r="B904" t="str">
        <f>"1578728059096790"</f>
        <v>1578728059096790</v>
      </c>
      <c r="C904" t="s">
        <v>37</v>
      </c>
      <c r="D904">
        <v>5.0183249999999999</v>
      </c>
      <c r="E904">
        <v>0.59632830000000003</v>
      </c>
      <c r="F904" t="s">
        <v>46</v>
      </c>
      <c r="G904">
        <v>-198.21340000000001</v>
      </c>
      <c r="H904" s="1">
        <v>-5.8362299999999997E-6</v>
      </c>
      <c r="I904">
        <v>357.40809999999999</v>
      </c>
      <c r="J904">
        <v>-211.4923</v>
      </c>
      <c r="K904">
        <v>1.0969500000000001</v>
      </c>
      <c r="L904">
        <v>367.33929999999998</v>
      </c>
      <c r="M904">
        <v>0.98116819999999905</v>
      </c>
      <c r="N904">
        <v>0</v>
      </c>
      <c r="O904">
        <v>-0.19260350000000001</v>
      </c>
      <c r="P904">
        <v>0.92409289999999999</v>
      </c>
      <c r="Q904">
        <v>7.2143689999999998E-4</v>
      </c>
      <c r="R904">
        <v>-0.38216749999999999</v>
      </c>
      <c r="S904">
        <v>2.4910739999999998</v>
      </c>
      <c r="T904">
        <v>-0.20208010000000001</v>
      </c>
      <c r="U904">
        <v>-1.8385929999999999</v>
      </c>
      <c r="V904">
        <v>0.19725299999999901</v>
      </c>
      <c r="W904">
        <v>1.135164E-2</v>
      </c>
      <c r="X904">
        <v>0.98028689999999996</v>
      </c>
      <c r="Y904">
        <v>0.42725069999999998</v>
      </c>
      <c r="Z904">
        <v>-1.796691E-3</v>
      </c>
      <c r="AA904">
        <v>0.90413140000000003</v>
      </c>
      <c r="AB904">
        <v>38</v>
      </c>
      <c r="AC904">
        <v>13.278899999999901</v>
      </c>
      <c r="AD904">
        <v>-1.09695583623</v>
      </c>
      <c r="AE904">
        <v>-9.9311999999999898</v>
      </c>
      <c r="AF904">
        <v>7.1560625527733004</v>
      </c>
      <c r="AG904">
        <v>-1.09695583623</v>
      </c>
      <c r="AH904">
        <v>14.878096983108801</v>
      </c>
      <c r="AI904">
        <v>93.801344747822895</v>
      </c>
      <c r="AJ904">
        <v>64.313390351269803</v>
      </c>
      <c r="AK904">
        <v>16.5460059592832</v>
      </c>
    </row>
    <row r="905" spans="1:37" x14ac:dyDescent="0.2">
      <c r="A905" t="str">
        <f>"20200111153419115"</f>
        <v>20200111153419115</v>
      </c>
      <c r="B905" t="str">
        <f>"1578728059107527"</f>
        <v>1578728059107527</v>
      </c>
      <c r="C905" t="s">
        <v>37</v>
      </c>
      <c r="D905">
        <v>4.9957199999999897</v>
      </c>
      <c r="E905">
        <v>0.59649680000000005</v>
      </c>
      <c r="F905" t="s">
        <v>46</v>
      </c>
      <c r="G905">
        <v>-197.9127</v>
      </c>
      <c r="H905" s="1">
        <v>-5.7113369999999901E-6</v>
      </c>
      <c r="I905">
        <v>357.17520000000002</v>
      </c>
      <c r="J905">
        <v>-211.26779999999999</v>
      </c>
      <c r="K905">
        <v>1.0967499999999999</v>
      </c>
      <c r="L905">
        <v>367.29129999999998</v>
      </c>
      <c r="M905">
        <v>0.98019339999999999</v>
      </c>
      <c r="N905">
        <v>0</v>
      </c>
      <c r="O905">
        <v>-0.19750390000000001</v>
      </c>
      <c r="P905">
        <v>0.92171930000000002</v>
      </c>
      <c r="Q905">
        <v>4.7355010000000003E-4</v>
      </c>
      <c r="R905">
        <v>-0.38785819999999999</v>
      </c>
      <c r="S905">
        <v>2.4791720000000002</v>
      </c>
      <c r="T905">
        <v>-0.20026749999999999</v>
      </c>
      <c r="U905">
        <v>-1.855621</v>
      </c>
      <c r="V905">
        <v>0.1983994</v>
      </c>
      <c r="W905">
        <v>1.100405E-2</v>
      </c>
      <c r="X905">
        <v>0.98005949999999997</v>
      </c>
      <c r="Y905">
        <v>0.42881149999999901</v>
      </c>
      <c r="Z905">
        <v>-1.5069300000000001E-3</v>
      </c>
      <c r="AA905">
        <v>0.90339269999999905</v>
      </c>
      <c r="AB905">
        <v>38</v>
      </c>
      <c r="AC905">
        <v>13.355099999999901</v>
      </c>
      <c r="AD905">
        <v>-1.0967557113369999</v>
      </c>
      <c r="AE905">
        <v>-10.1160999999999</v>
      </c>
      <c r="AF905">
        <v>7.2477665242790703</v>
      </c>
      <c r="AG905">
        <v>-1.0967557113369999</v>
      </c>
      <c r="AH905">
        <v>15.0257673934109</v>
      </c>
      <c r="AI905">
        <v>93.7613906187254</v>
      </c>
      <c r="AJ905">
        <v>64.249391529135593</v>
      </c>
      <c r="AK905">
        <v>16.7184532311366</v>
      </c>
    </row>
    <row r="906" spans="1:37" x14ac:dyDescent="0.2">
      <c r="A906" t="str">
        <f>"20200111153419128"</f>
        <v>20200111153419128</v>
      </c>
      <c r="B906" t="str">
        <f>"1578728059117286"</f>
        <v>1578728059117286</v>
      </c>
      <c r="C906" t="s">
        <v>37</v>
      </c>
      <c r="D906">
        <v>4.9954320000000001</v>
      </c>
      <c r="E906">
        <v>0.59654459999999998</v>
      </c>
      <c r="F906" t="s">
        <v>46</v>
      </c>
      <c r="G906">
        <v>-197.78569999999999</v>
      </c>
      <c r="H906" s="1">
        <v>-5.6531930000000004E-6</v>
      </c>
      <c r="I906">
        <v>357.06079999999997</v>
      </c>
      <c r="J906">
        <v>-211.04169999999999</v>
      </c>
      <c r="K906">
        <v>1.096541</v>
      </c>
      <c r="L906">
        <v>367.24149999999997</v>
      </c>
      <c r="M906">
        <v>0.9791533</v>
      </c>
      <c r="N906">
        <v>0</v>
      </c>
      <c r="O906">
        <v>-0.20259569999999999</v>
      </c>
      <c r="P906">
        <v>0.91928539999999903</v>
      </c>
      <c r="Q906">
        <v>2.464519E-4</v>
      </c>
      <c r="R906">
        <v>-0.393592</v>
      </c>
      <c r="S906">
        <v>2.467117</v>
      </c>
      <c r="T906">
        <v>-0.20069819999999999</v>
      </c>
      <c r="U906">
        <v>-1.87210099999999</v>
      </c>
      <c r="V906">
        <v>0.19941159999999999</v>
      </c>
      <c r="W906">
        <v>1.067744E-2</v>
      </c>
      <c r="X906">
        <v>0.979857599999999</v>
      </c>
      <c r="Y906">
        <v>0.43007699999999999</v>
      </c>
      <c r="Z906">
        <v>-1.211852E-3</v>
      </c>
      <c r="AA906">
        <v>0.90279140000000002</v>
      </c>
      <c r="AB906">
        <v>38</v>
      </c>
      <c r="AC906">
        <v>13.255999999999901</v>
      </c>
      <c r="AD906">
        <v>-1.0965466531929999</v>
      </c>
      <c r="AE906">
        <v>-10.1807</v>
      </c>
      <c r="AF906">
        <v>7.2524212736329696</v>
      </c>
      <c r="AG906">
        <v>-1.0965466531929999</v>
      </c>
      <c r="AH906">
        <v>14.9793585366419</v>
      </c>
      <c r="AI906">
        <v>93.769634237324397</v>
      </c>
      <c r="AJ906">
        <v>64.165544315503894</v>
      </c>
      <c r="AK906">
        <v>16.678765273908599</v>
      </c>
    </row>
    <row r="907" spans="1:37" x14ac:dyDescent="0.2">
      <c r="A907" t="str">
        <f>"20200111153419144"</f>
        <v>20200111153419144</v>
      </c>
      <c r="B907" t="str">
        <f>"1578728059136806"</f>
        <v>1578728059136806</v>
      </c>
      <c r="C907" t="s">
        <v>37</v>
      </c>
      <c r="D907">
        <v>4.9805289999999998</v>
      </c>
      <c r="E907">
        <v>0.59674479999999996</v>
      </c>
      <c r="F907" t="s">
        <v>46</v>
      </c>
      <c r="G907">
        <v>-197.67099999999999</v>
      </c>
      <c r="H907" s="1">
        <v>-5.6024339999999996E-6</v>
      </c>
      <c r="I907">
        <v>356.96269999999998</v>
      </c>
      <c r="J907">
        <v>-210.7801</v>
      </c>
      <c r="K907">
        <v>1.0962860000000001</v>
      </c>
      <c r="L907">
        <v>367.18239999999997</v>
      </c>
      <c r="M907">
        <v>0.97788129999999995</v>
      </c>
      <c r="N907">
        <v>0</v>
      </c>
      <c r="O907">
        <v>-0.20864839999999901</v>
      </c>
      <c r="P907">
        <v>0.91577189999999997</v>
      </c>
      <c r="Q907">
        <v>-7.2056330000000001E-4</v>
      </c>
      <c r="R907">
        <v>-0.40169870000000002</v>
      </c>
      <c r="S907">
        <v>2.4553379999999998</v>
      </c>
      <c r="T907">
        <v>-0.20136399999999999</v>
      </c>
      <c r="U907">
        <v>-1.887543</v>
      </c>
      <c r="V907">
        <v>0.20199400000000001</v>
      </c>
      <c r="W907">
        <v>9.5578820000000002E-3</v>
      </c>
      <c r="X907">
        <v>0.97934009999999905</v>
      </c>
      <c r="Y907">
        <v>0.43016369999999998</v>
      </c>
      <c r="Z907">
        <v>-8.071857E-4</v>
      </c>
      <c r="AA907">
        <v>0.90275059999999996</v>
      </c>
      <c r="AB907">
        <v>38</v>
      </c>
      <c r="AC907">
        <v>13.1091</v>
      </c>
      <c r="AD907">
        <v>-1.0962916024339999</v>
      </c>
      <c r="AE907">
        <v>-10.2196999999999</v>
      </c>
      <c r="AF907">
        <v>7.2277969251177501</v>
      </c>
      <c r="AG907">
        <v>-1.0962916024339999</v>
      </c>
      <c r="AH907">
        <v>14.8883043213663</v>
      </c>
      <c r="AI907">
        <v>93.789802621066201</v>
      </c>
      <c r="AJ907">
        <v>64.104905641241999</v>
      </c>
      <c r="AK907">
        <v>16.586274724419699</v>
      </c>
    </row>
    <row r="908" spans="1:37" x14ac:dyDescent="0.2">
      <c r="A908" t="str">
        <f>"20200111153419156"</f>
        <v>20200111153419156</v>
      </c>
      <c r="B908" t="str">
        <f>"1578728059147542"</f>
        <v>1578728059147542</v>
      </c>
      <c r="C908" t="s">
        <v>37</v>
      </c>
      <c r="D908">
        <v>4.9830300000000003</v>
      </c>
      <c r="E908">
        <v>0.59683359999999996</v>
      </c>
      <c r="F908" t="s">
        <v>46</v>
      </c>
      <c r="G908">
        <v>-197.68459999999999</v>
      </c>
      <c r="H908" s="1">
        <v>-5.5905019999999997E-6</v>
      </c>
      <c r="I908">
        <v>356.92070000000001</v>
      </c>
      <c r="J908">
        <v>-210.5728</v>
      </c>
      <c r="K908">
        <v>1.0960760000000001</v>
      </c>
      <c r="L908">
        <v>367.13440000000003</v>
      </c>
      <c r="M908">
        <v>0.97681569999999995</v>
      </c>
      <c r="N908">
        <v>0</v>
      </c>
      <c r="O908">
        <v>-0.21357889999999999</v>
      </c>
      <c r="P908">
        <v>0.91325519999999905</v>
      </c>
      <c r="Q908">
        <v>-1.2152020000000001E-3</v>
      </c>
      <c r="R908">
        <v>-0.40738600000000003</v>
      </c>
      <c r="S908">
        <v>2.4378359999999999</v>
      </c>
      <c r="T908">
        <v>-0.20408419999999999</v>
      </c>
      <c r="U908">
        <v>-1.910309</v>
      </c>
      <c r="V908">
        <v>0.20313879999999901</v>
      </c>
      <c r="W908">
        <v>8.9589979999999993E-3</v>
      </c>
      <c r="X908">
        <v>0.97910900000000001</v>
      </c>
      <c r="Y908">
        <v>0.43396509999999999</v>
      </c>
      <c r="Z908">
        <v>-6.2011279999999998E-4</v>
      </c>
      <c r="AA908">
        <v>0.90092950000000005</v>
      </c>
      <c r="AB908">
        <v>38</v>
      </c>
      <c r="AC908">
        <v>12.888199999999999</v>
      </c>
      <c r="AD908">
        <v>-1.096081590502</v>
      </c>
      <c r="AE908">
        <v>-10.213699999999999</v>
      </c>
      <c r="AF908">
        <v>7.1930761378160204</v>
      </c>
      <c r="AG908">
        <v>-1.096081590502</v>
      </c>
      <c r="AH908">
        <v>14.707078247175801</v>
      </c>
      <c r="AI908">
        <v>93.830181254767794</v>
      </c>
      <c r="AJ908">
        <v>63.937232971129099</v>
      </c>
      <c r="AK908">
        <v>16.4085310051207</v>
      </c>
    </row>
    <row r="909" spans="1:37" x14ac:dyDescent="0.2">
      <c r="A909" t="str">
        <f>"20200111153419169"</f>
        <v>20200111153419169</v>
      </c>
      <c r="B909" t="str">
        <f>"1578728059157303"</f>
        <v>1578728059157303</v>
      </c>
      <c r="C909" t="s">
        <v>37</v>
      </c>
      <c r="D909">
        <v>4.938523</v>
      </c>
      <c r="E909">
        <v>0.59688439999999998</v>
      </c>
      <c r="F909" t="s">
        <v>46</v>
      </c>
      <c r="G909">
        <v>-197.6208</v>
      </c>
      <c r="H909" s="1">
        <v>-5.55701699999999E-6</v>
      </c>
      <c r="I909">
        <v>356.85039999999998</v>
      </c>
      <c r="J909">
        <v>-210.38149999999999</v>
      </c>
      <c r="K909">
        <v>1.09587099999999</v>
      </c>
      <c r="L909">
        <v>367.08870000000002</v>
      </c>
      <c r="M909">
        <v>0.97577340000000001</v>
      </c>
      <c r="N909">
        <v>0</v>
      </c>
      <c r="O909">
        <v>-0.2182906</v>
      </c>
      <c r="P909">
        <v>0.91074920000000004</v>
      </c>
      <c r="Q909">
        <v>-1.8204250000000001E-3</v>
      </c>
      <c r="R909">
        <v>-0.4129563</v>
      </c>
      <c r="S909">
        <v>2.4255369999999998</v>
      </c>
      <c r="T909">
        <v>-0.2052658</v>
      </c>
      <c r="U909">
        <v>-1.9259029999999999</v>
      </c>
      <c r="V909">
        <v>0.20438509999999999</v>
      </c>
      <c r="W909">
        <v>8.2523519999999993E-3</v>
      </c>
      <c r="X909">
        <v>0.97885580000000005</v>
      </c>
      <c r="Y909">
        <v>0.43539529999999899</v>
      </c>
      <c r="Z909">
        <v>-3.4994629999999898E-4</v>
      </c>
      <c r="AA909">
        <v>0.90023929999999996</v>
      </c>
      <c r="AB909">
        <v>38</v>
      </c>
      <c r="AC909">
        <v>12.7606999999999</v>
      </c>
      <c r="AD909">
        <v>-1.0958765570169899</v>
      </c>
      <c r="AE909">
        <v>-10.238300000000001</v>
      </c>
      <c r="AF909">
        <v>7.1733106752270999</v>
      </c>
      <c r="AG909">
        <v>-1.0958765570169899</v>
      </c>
      <c r="AH909">
        <v>14.6224499909136</v>
      </c>
      <c r="AI909">
        <v>93.849320848884503</v>
      </c>
      <c r="AJ909">
        <v>63.868894217298298</v>
      </c>
      <c r="AK909">
        <v>16.324012227645401</v>
      </c>
    </row>
    <row r="910" spans="1:37" x14ac:dyDescent="0.2">
      <c r="A910" t="str">
        <f>"20200111153419184"</f>
        <v>20200111153419184</v>
      </c>
      <c r="B910" t="str">
        <f>"1578728059176824"</f>
        <v>1578728059176824</v>
      </c>
      <c r="C910" t="s">
        <v>37</v>
      </c>
      <c r="D910">
        <v>5.2108650000000001</v>
      </c>
      <c r="E910">
        <v>0.59691039999999995</v>
      </c>
      <c r="F910" t="s">
        <v>46</v>
      </c>
      <c r="G910">
        <v>-197.5746</v>
      </c>
      <c r="H910" s="1">
        <v>-5.5281910000000002E-6</v>
      </c>
      <c r="I910">
        <v>356.78590000000003</v>
      </c>
      <c r="J910">
        <v>-210.10220000000001</v>
      </c>
      <c r="K910">
        <v>1.095577</v>
      </c>
      <c r="L910">
        <v>367.0204</v>
      </c>
      <c r="M910">
        <v>0.97417189999999998</v>
      </c>
      <c r="N910">
        <v>0</v>
      </c>
      <c r="O910">
        <v>-0.22532759999999999</v>
      </c>
      <c r="P910">
        <v>0.90715800000000002</v>
      </c>
      <c r="Q910">
        <v>-2.2918550000000002E-3</v>
      </c>
      <c r="R910">
        <v>-0.42078509999999902</v>
      </c>
      <c r="S910">
        <v>2.413284</v>
      </c>
      <c r="T910">
        <v>-0.20650259999999901</v>
      </c>
      <c r="U910">
        <v>-1.941406</v>
      </c>
      <c r="V910">
        <v>0.20574629999999899</v>
      </c>
      <c r="W910">
        <v>7.6405889999999997E-3</v>
      </c>
      <c r="X910">
        <v>0.97857549999999904</v>
      </c>
      <c r="Y910">
        <v>0.43465229999999999</v>
      </c>
      <c r="Z910">
        <v>1.693191E-4</v>
      </c>
      <c r="AA910">
        <v>0.90059829999999996</v>
      </c>
      <c r="AB910">
        <v>38</v>
      </c>
      <c r="AC910">
        <v>12.5276</v>
      </c>
      <c r="AD910">
        <v>-1.0955825281910001</v>
      </c>
      <c r="AE910">
        <v>-10.234499999999899</v>
      </c>
      <c r="AF910">
        <v>7.1154850572905604</v>
      </c>
      <c r="AG910">
        <v>-1.0955825281910001</v>
      </c>
      <c r="AH910">
        <v>14.4454642866462</v>
      </c>
      <c r="AI910">
        <v>93.8922111061447</v>
      </c>
      <c r="AJ910">
        <v>63.776262055175501</v>
      </c>
      <c r="AK910">
        <v>16.140070233223099</v>
      </c>
    </row>
    <row r="911" spans="1:37" x14ac:dyDescent="0.2">
      <c r="A911" t="str">
        <f>"20200111153419199"</f>
        <v>20200111153419199</v>
      </c>
      <c r="B911" t="str">
        <f>"1578728059197318"</f>
        <v>1578728059197318</v>
      </c>
      <c r="C911" t="s">
        <v>37</v>
      </c>
      <c r="D911">
        <v>5.1533059999999997</v>
      </c>
      <c r="E911">
        <v>0.59525499999999998</v>
      </c>
      <c r="F911" t="s">
        <v>46</v>
      </c>
      <c r="G911">
        <v>-197.4067</v>
      </c>
      <c r="H911" s="1">
        <v>-5.4481009999999998E-6</v>
      </c>
      <c r="I911">
        <v>356.625</v>
      </c>
      <c r="J911">
        <v>-209.86789999999999</v>
      </c>
      <c r="K911">
        <v>1.095321</v>
      </c>
      <c r="L911">
        <v>366.9615</v>
      </c>
      <c r="M911">
        <v>0.97274859999999896</v>
      </c>
      <c r="N911">
        <v>0</v>
      </c>
      <c r="O911">
        <v>-0.2313933</v>
      </c>
      <c r="P911">
        <v>0.90314419999999995</v>
      </c>
      <c r="Q911">
        <v>-3.061275E-3</v>
      </c>
      <c r="R911">
        <v>-0.42932670000000001</v>
      </c>
      <c r="S911">
        <v>2.3963619999999999</v>
      </c>
      <c r="T911">
        <v>-0.20679810000000001</v>
      </c>
      <c r="U911">
        <v>-1.962189</v>
      </c>
      <c r="V911">
        <v>0.2088699</v>
      </c>
      <c r="W911">
        <v>6.6998140000000001E-3</v>
      </c>
      <c r="X911">
        <v>0.97792049999999997</v>
      </c>
      <c r="Y911">
        <v>0.43683889999999997</v>
      </c>
      <c r="Z911">
        <v>5.1292779999999999E-4</v>
      </c>
      <c r="AA911">
        <v>0.89953959999999999</v>
      </c>
      <c r="AB911">
        <v>38</v>
      </c>
      <c r="AC911">
        <v>12.4611999999999</v>
      </c>
      <c r="AD911">
        <v>-1.0953264481010001</v>
      </c>
      <c r="AE911">
        <v>-10.336499999999999</v>
      </c>
      <c r="AF911">
        <v>7.1394797525373903</v>
      </c>
      <c r="AG911">
        <v>-1.0953264481010001</v>
      </c>
      <c r="AH911">
        <v>14.4488567056411</v>
      </c>
      <c r="AI911">
        <v>93.888016456812693</v>
      </c>
      <c r="AJ911">
        <v>63.7050675410987</v>
      </c>
      <c r="AK911">
        <v>16.153679805696001</v>
      </c>
    </row>
    <row r="912" spans="1:37" x14ac:dyDescent="0.2">
      <c r="A912" t="str">
        <f>"20200111153419211"</f>
        <v>20200111153419211</v>
      </c>
      <c r="B912" t="str">
        <f>"1578728059207078"</f>
        <v>1578728059207078</v>
      </c>
      <c r="C912" t="s">
        <v>37</v>
      </c>
      <c r="D912">
        <v>5.1047669999999998</v>
      </c>
      <c r="E912">
        <v>0.5985085</v>
      </c>
      <c r="F912" t="s">
        <v>46</v>
      </c>
      <c r="G912">
        <v>-202.5514</v>
      </c>
      <c r="H912" s="1">
        <v>-3.6536789999999999E-6</v>
      </c>
      <c r="I912">
        <v>360.9076</v>
      </c>
      <c r="J912">
        <v>-209.65940000000001</v>
      </c>
      <c r="K912">
        <v>1.0950949999999999</v>
      </c>
      <c r="L912">
        <v>366.90719999999999</v>
      </c>
      <c r="M912">
        <v>0.97139619999999904</v>
      </c>
      <c r="N912">
        <v>0</v>
      </c>
      <c r="O912">
        <v>-0.23700399999999999</v>
      </c>
      <c r="P912">
        <v>0.89998400000000001</v>
      </c>
      <c r="Q912">
        <v>-3.2256720000000002E-3</v>
      </c>
      <c r="R912">
        <v>-0.4359112</v>
      </c>
      <c r="S912">
        <v>2.3831479999999998</v>
      </c>
      <c r="T912">
        <v>-0.35677109999999901</v>
      </c>
      <c r="U912">
        <v>-1.9718929999999999</v>
      </c>
      <c r="V912">
        <v>0.21036729999999901</v>
      </c>
      <c r="W912">
        <v>6.4161019999999999E-3</v>
      </c>
      <c r="X912">
        <v>0.97760130000000001</v>
      </c>
      <c r="Y912">
        <v>0.43542999999999998</v>
      </c>
      <c r="Z912">
        <v>1.6571820000000001E-3</v>
      </c>
      <c r="AA912">
        <v>0.900221099999999</v>
      </c>
      <c r="AB912">
        <v>38</v>
      </c>
      <c r="AC912">
        <v>7.1079999999999997</v>
      </c>
      <c r="AD912">
        <v>-1.0950986536789999</v>
      </c>
      <c r="AE912">
        <v>-5.9995999999999796</v>
      </c>
      <c r="AF912">
        <v>4.0871646662158501</v>
      </c>
      <c r="AG912">
        <v>-1.0950986536789999</v>
      </c>
      <c r="AH912">
        <v>8.2136733117690692</v>
      </c>
      <c r="AI912">
        <v>96.806893055546198</v>
      </c>
      <c r="AJ912">
        <v>63.544834024163201</v>
      </c>
      <c r="AK912">
        <v>9.2395121809823095</v>
      </c>
    </row>
    <row r="913" spans="1:37" x14ac:dyDescent="0.2">
      <c r="A913" t="str">
        <f>"20200111153419222"</f>
        <v>20200111153419222</v>
      </c>
      <c r="B913" t="str">
        <f>"1578728059216838"</f>
        <v>1578728059216838</v>
      </c>
      <c r="C913" t="s">
        <v>37</v>
      </c>
      <c r="D913">
        <v>5.12</v>
      </c>
      <c r="E913">
        <v>0.59980480000000003</v>
      </c>
      <c r="F913" t="s">
        <v>46</v>
      </c>
      <c r="G913">
        <v>-202.1559</v>
      </c>
      <c r="H913" s="1">
        <v>-3.5448520000000001E-6</v>
      </c>
      <c r="I913">
        <v>360.50069999999999</v>
      </c>
      <c r="J913">
        <v>-209.48779999999999</v>
      </c>
      <c r="K913">
        <v>1.09491</v>
      </c>
      <c r="L913">
        <v>366.86180000000002</v>
      </c>
      <c r="M913">
        <v>0.97024390000000005</v>
      </c>
      <c r="N913">
        <v>0</v>
      </c>
      <c r="O913">
        <v>-0.24167719999999901</v>
      </c>
      <c r="P913">
        <v>0.89724809999999999</v>
      </c>
      <c r="Q913">
        <v>-3.4480840000000001E-3</v>
      </c>
      <c r="R913">
        <v>-0.44151390000000001</v>
      </c>
      <c r="S913">
        <v>2.3573300000000001</v>
      </c>
      <c r="T913">
        <v>-0.34403990000000001</v>
      </c>
      <c r="U913">
        <v>-2.0126650000000001</v>
      </c>
      <c r="V913">
        <v>0.2117542</v>
      </c>
      <c r="W913">
        <v>6.0894749999999996E-3</v>
      </c>
      <c r="X913">
        <v>0.97730399999999995</v>
      </c>
      <c r="Y913">
        <v>0.44503569999999998</v>
      </c>
      <c r="Z913">
        <v>1.536204E-3</v>
      </c>
      <c r="AA913">
        <v>0.89551159999999996</v>
      </c>
      <c r="AB913">
        <v>38</v>
      </c>
      <c r="AC913">
        <v>7.3318999999999903</v>
      </c>
      <c r="AD913">
        <v>-1.094913544852</v>
      </c>
      <c r="AE913">
        <v>-6.36110000000002</v>
      </c>
      <c r="AF913">
        <v>4.3450616122874299</v>
      </c>
      <c r="AG913">
        <v>-1.094913544852</v>
      </c>
      <c r="AH913">
        <v>8.5433082542012801</v>
      </c>
      <c r="AI913">
        <v>96.516922719821494</v>
      </c>
      <c r="AJ913">
        <v>63.042457551589898</v>
      </c>
      <c r="AK913">
        <v>9.6470986317948402</v>
      </c>
    </row>
    <row r="914" spans="1:37" x14ac:dyDescent="0.2">
      <c r="A914" t="str">
        <f>"20200111153419233"</f>
        <v>20200111153419233</v>
      </c>
      <c r="B914" t="str">
        <f>"1578728059227574"</f>
        <v>1578728059227574</v>
      </c>
      <c r="C914" t="s">
        <v>37</v>
      </c>
      <c r="D914">
        <v>5.0821889999999996</v>
      </c>
      <c r="E914">
        <v>0.60078940000000003</v>
      </c>
      <c r="F914" t="s">
        <v>46</v>
      </c>
      <c r="G914">
        <v>-201.84970000000001</v>
      </c>
      <c r="H914" s="1">
        <v>-3.454542E-6</v>
      </c>
      <c r="I914">
        <v>360.2131</v>
      </c>
      <c r="J914">
        <v>-209.30459999999999</v>
      </c>
      <c r="K914">
        <v>1.0947180000000001</v>
      </c>
      <c r="L914">
        <v>366.81209999999999</v>
      </c>
      <c r="M914">
        <v>0.96895529999999996</v>
      </c>
      <c r="N914">
        <v>0</v>
      </c>
      <c r="O914">
        <v>-0.2467906</v>
      </c>
      <c r="P914">
        <v>0.89431819999999895</v>
      </c>
      <c r="Q914">
        <v>-3.7987099999999998E-3</v>
      </c>
      <c r="R914">
        <v>-0.44741530000000002</v>
      </c>
      <c r="S914">
        <v>2.339966</v>
      </c>
      <c r="T914">
        <v>-0.33543220000000001</v>
      </c>
      <c r="U914">
        <v>-2.0368650000000001</v>
      </c>
      <c r="V914">
        <v>0.21303369999999999</v>
      </c>
      <c r="W914">
        <v>5.63362699999999E-3</v>
      </c>
      <c r="X914">
        <v>0.97702860000000002</v>
      </c>
      <c r="Y914">
        <v>0.44894259999999903</v>
      </c>
      <c r="Z914">
        <v>1.839865E-3</v>
      </c>
      <c r="AA914">
        <v>0.89355869999999904</v>
      </c>
      <c r="AB914">
        <v>38</v>
      </c>
      <c r="AC914">
        <v>7.4548999999999799</v>
      </c>
      <c r="AD914">
        <v>-1.0947214545420001</v>
      </c>
      <c r="AE914">
        <v>-6.5989999999999798</v>
      </c>
      <c r="AF914">
        <v>4.5004265614268197</v>
      </c>
      <c r="AG914">
        <v>-1.0947214545420001</v>
      </c>
      <c r="AH914">
        <v>8.7472534452400801</v>
      </c>
      <c r="AI914">
        <v>96.350040173348404</v>
      </c>
      <c r="AJ914">
        <v>62.774362719291901</v>
      </c>
      <c r="AK914">
        <v>9.8978127448995004</v>
      </c>
    </row>
    <row r="915" spans="1:37" x14ac:dyDescent="0.2">
      <c r="A915" t="str">
        <f>"20200111153419244"</f>
        <v>20200111153419244</v>
      </c>
      <c r="B915" t="str">
        <f>"1578728059237334"</f>
        <v>1578728059237334</v>
      </c>
      <c r="C915" t="s">
        <v>37</v>
      </c>
      <c r="D915">
        <v>5.1223400000000003</v>
      </c>
      <c r="E915">
        <v>0.6012689</v>
      </c>
      <c r="F915" t="s">
        <v>46</v>
      </c>
      <c r="G915">
        <v>-201.57499999999999</v>
      </c>
      <c r="H915" s="1">
        <v>-3.3728780000000002E-6</v>
      </c>
      <c r="I915">
        <v>359.95819999999998</v>
      </c>
      <c r="J915">
        <v>-209.12629999999999</v>
      </c>
      <c r="K915">
        <v>1.0945260000000001</v>
      </c>
      <c r="L915">
        <v>366.76280000000003</v>
      </c>
      <c r="M915">
        <v>0.96765089999999998</v>
      </c>
      <c r="N915">
        <v>0</v>
      </c>
      <c r="O915">
        <v>-0.251855</v>
      </c>
      <c r="P915">
        <v>0.89136899999999997</v>
      </c>
      <c r="Q915">
        <v>-3.8454320000000002E-3</v>
      </c>
      <c r="R915">
        <v>-0.45326260000000002</v>
      </c>
      <c r="S915">
        <v>2.3226930000000001</v>
      </c>
      <c r="T915">
        <v>-0.32896039999999999</v>
      </c>
      <c r="U915">
        <v>-2.0596009999999998</v>
      </c>
      <c r="V915">
        <v>0.214323299999999</v>
      </c>
      <c r="W915">
        <v>5.48247199999999E-3</v>
      </c>
      <c r="X915">
        <v>0.97674740000000004</v>
      </c>
      <c r="Y915">
        <v>0.45251740000000001</v>
      </c>
      <c r="Z915">
        <v>2.1549389999999998E-3</v>
      </c>
      <c r="AA915">
        <v>0.89175300000000002</v>
      </c>
      <c r="AB915">
        <v>38</v>
      </c>
      <c r="AC915">
        <v>7.5512999999999897</v>
      </c>
      <c r="AD915">
        <v>-1.0945293728779999</v>
      </c>
      <c r="AE915">
        <v>-6.8046000000000504</v>
      </c>
      <c r="AF915">
        <v>4.62948529441534</v>
      </c>
      <c r="AG915">
        <v>-1.0945293728779999</v>
      </c>
      <c r="AH915">
        <v>8.91838690501827</v>
      </c>
      <c r="AI915">
        <v>96.216494340519205</v>
      </c>
      <c r="AJ915">
        <v>62.566423588190297</v>
      </c>
      <c r="AK915">
        <v>10.1078065685341</v>
      </c>
    </row>
    <row r="916" spans="1:37" x14ac:dyDescent="0.2">
      <c r="A916" t="str">
        <f>"20200111153419255"</f>
        <v>20200111153419255</v>
      </c>
      <c r="B916" t="str">
        <f>"1578728059247094"</f>
        <v>1578728059247094</v>
      </c>
      <c r="C916" t="s">
        <v>37</v>
      </c>
      <c r="D916">
        <v>5.1007709999999999</v>
      </c>
      <c r="E916">
        <v>0.60148059999999903</v>
      </c>
      <c r="F916" t="s">
        <v>46</v>
      </c>
      <c r="G916">
        <v>-201.26140000000001</v>
      </c>
      <c r="H916" s="1">
        <v>-3.2765969999999998E-6</v>
      </c>
      <c r="I916">
        <v>359.68060000000003</v>
      </c>
      <c r="J916">
        <v>-208.93729999999999</v>
      </c>
      <c r="K916">
        <v>1.094322</v>
      </c>
      <c r="L916">
        <v>366.70949999999999</v>
      </c>
      <c r="M916">
        <v>0.96621080000000004</v>
      </c>
      <c r="N916">
        <v>0</v>
      </c>
      <c r="O916">
        <v>-0.25732240000000001</v>
      </c>
      <c r="P916">
        <v>0.88827400000000001</v>
      </c>
      <c r="Q916">
        <v>-3.700432E-3</v>
      </c>
      <c r="R916">
        <v>-0.45929899999999901</v>
      </c>
      <c r="S916">
        <v>2.3076020000000002</v>
      </c>
      <c r="T916">
        <v>-0.32114100000000001</v>
      </c>
      <c r="U916">
        <v>-2.07794199999999</v>
      </c>
      <c r="V916">
        <v>0.2154327</v>
      </c>
      <c r="W916">
        <v>5.5230009999999996E-3</v>
      </c>
      <c r="X916">
        <v>0.97650309999999996</v>
      </c>
      <c r="Y916">
        <v>0.45435950000000003</v>
      </c>
      <c r="Z916">
        <v>2.593962E-3</v>
      </c>
      <c r="AA916">
        <v>0.89081460000000001</v>
      </c>
      <c r="AB916">
        <v>38</v>
      </c>
      <c r="AC916">
        <v>7.67589999999998</v>
      </c>
      <c r="AD916">
        <v>-1.094325276597</v>
      </c>
      <c r="AE916">
        <v>-7.0288999999999602</v>
      </c>
      <c r="AF916">
        <v>4.7640847893653602</v>
      </c>
      <c r="AG916">
        <v>-1.094325276597</v>
      </c>
      <c r="AH916">
        <v>9.1253721171356599</v>
      </c>
      <c r="AI916">
        <v>96.068086839138701</v>
      </c>
      <c r="AJ916">
        <v>62.432280561804198</v>
      </c>
      <c r="AK916">
        <v>10.352123838491201</v>
      </c>
    </row>
    <row r="917" spans="1:37" x14ac:dyDescent="0.2">
      <c r="A917" t="str">
        <f>"20200111153419267"</f>
        <v>20200111153419267</v>
      </c>
      <c r="B917" t="str">
        <f>"1578728059256854"</f>
        <v>1578728059256854</v>
      </c>
      <c r="C917" t="s">
        <v>37</v>
      </c>
      <c r="D917">
        <v>5.1167210000000001</v>
      </c>
      <c r="E917">
        <v>0.60149140000000001</v>
      </c>
      <c r="F917" t="s">
        <v>46</v>
      </c>
      <c r="G917">
        <v>-201.00129999999999</v>
      </c>
      <c r="H917" s="1">
        <v>-6.4055099999999896E-6</v>
      </c>
      <c r="I917">
        <v>359.45620000000002</v>
      </c>
      <c r="J917">
        <v>-208.75380000000001</v>
      </c>
      <c r="K917">
        <v>1.0941319999999899</v>
      </c>
      <c r="L917">
        <v>366.65620000000001</v>
      </c>
      <c r="M917">
        <v>0.9647443</v>
      </c>
      <c r="N917">
        <v>0</v>
      </c>
      <c r="O917">
        <v>-0.262766</v>
      </c>
      <c r="P917">
        <v>0.88514969999999904</v>
      </c>
      <c r="Q917">
        <v>-3.5671520000000001E-3</v>
      </c>
      <c r="R917">
        <v>-0.46529319999999902</v>
      </c>
      <c r="S917">
        <v>2.2925869999999899</v>
      </c>
      <c r="T917">
        <v>-0.31613370000000002</v>
      </c>
      <c r="U917">
        <v>-2.0953369999999998</v>
      </c>
      <c r="V917">
        <v>0.216533799999999</v>
      </c>
      <c r="W917">
        <v>5.5544729999999999E-3</v>
      </c>
      <c r="X917">
        <v>0.9762594</v>
      </c>
      <c r="Y917">
        <v>0.45597520000000002</v>
      </c>
      <c r="Z917">
        <v>3.0477400000000002E-3</v>
      </c>
      <c r="AA917">
        <v>0.88998719999999998</v>
      </c>
      <c r="AB917">
        <v>38</v>
      </c>
      <c r="AC917">
        <v>7.7525000000000199</v>
      </c>
      <c r="AD917">
        <v>-1.0941384055100001</v>
      </c>
      <c r="AE917">
        <v>-7.1999999999999797</v>
      </c>
      <c r="AF917">
        <v>4.8576621495616603</v>
      </c>
      <c r="AG917">
        <v>-1.0941384055100001</v>
      </c>
      <c r="AH917">
        <v>9.2729695576492901</v>
      </c>
      <c r="AI917">
        <v>95.966856933404401</v>
      </c>
      <c r="AJ917">
        <v>62.352122214582401</v>
      </c>
      <c r="AK917">
        <v>10.525302125202201</v>
      </c>
    </row>
    <row r="918" spans="1:37" x14ac:dyDescent="0.2">
      <c r="A918" t="str">
        <f>"20200111153419279"</f>
        <v>20200111153419279</v>
      </c>
      <c r="B918" t="str">
        <f>"1578728059267590"</f>
        <v>1578728059267590</v>
      </c>
      <c r="C918" t="s">
        <v>37</v>
      </c>
      <c r="D918">
        <v>5.0837320000000004</v>
      </c>
      <c r="E918">
        <v>0.60171260000000004</v>
      </c>
      <c r="F918" t="s">
        <v>46</v>
      </c>
      <c r="G918">
        <v>-200.8073</v>
      </c>
      <c r="H918" s="1">
        <v>-6.4366289999999997E-6</v>
      </c>
      <c r="I918">
        <v>359.2937</v>
      </c>
      <c r="J918">
        <v>-208.55549999999999</v>
      </c>
      <c r="K918">
        <v>1.0939270000000001</v>
      </c>
      <c r="L918">
        <v>366.59800000000001</v>
      </c>
      <c r="M918">
        <v>0.96310769999999901</v>
      </c>
      <c r="N918">
        <v>0</v>
      </c>
      <c r="O918">
        <v>-0.26870119999999997</v>
      </c>
      <c r="P918">
        <v>0.88157350000000001</v>
      </c>
      <c r="Q918">
        <v>-2.9163229999999902E-3</v>
      </c>
      <c r="R918">
        <v>-0.47203829999999902</v>
      </c>
      <c r="S918">
        <v>2.2783660000000001</v>
      </c>
      <c r="T918">
        <v>-0.31370290000000001</v>
      </c>
      <c r="U918">
        <v>-2.1109009999999899</v>
      </c>
      <c r="V918">
        <v>0.21799589999999999</v>
      </c>
      <c r="W918">
        <v>6.0851830000000001E-3</v>
      </c>
      <c r="X918">
        <v>0.97593069999999904</v>
      </c>
      <c r="Y918">
        <v>0.4565765</v>
      </c>
      <c r="Z918">
        <v>3.6274620000000001E-3</v>
      </c>
      <c r="AA918">
        <v>0.88967669999999999</v>
      </c>
      <c r="AB918">
        <v>38</v>
      </c>
      <c r="AC918">
        <v>7.74819999999999</v>
      </c>
      <c r="AD918">
        <v>-1.0939334366289999</v>
      </c>
      <c r="AE918">
        <v>-7.3043000000000102</v>
      </c>
      <c r="AF918">
        <v>4.90169732493134</v>
      </c>
      <c r="AG918">
        <v>-1.0939334366289999</v>
      </c>
      <c r="AH918">
        <v>9.3276335531840608</v>
      </c>
      <c r="AI918">
        <v>95.927036800520796</v>
      </c>
      <c r="AJ918">
        <v>62.2779492580216</v>
      </c>
      <c r="AK918">
        <v>10.593775282282399</v>
      </c>
    </row>
    <row r="919" spans="1:37" x14ac:dyDescent="0.2">
      <c r="A919" t="str">
        <f>"20200111153419290"</f>
        <v>20200111153419290</v>
      </c>
      <c r="B919" t="str">
        <f>"1578728059277350"</f>
        <v>1578728059277350</v>
      </c>
      <c r="C919" t="s">
        <v>37</v>
      </c>
      <c r="D919">
        <v>5.0810589999999998</v>
      </c>
      <c r="E919">
        <v>0.6016823</v>
      </c>
      <c r="F919" t="s">
        <v>46</v>
      </c>
      <c r="G919">
        <v>-200.5624</v>
      </c>
      <c r="H919" s="1">
        <v>-6.4705250000000002E-6</v>
      </c>
      <c r="I919">
        <v>359.06990000000002</v>
      </c>
      <c r="J919">
        <v>-208.36330000000001</v>
      </c>
      <c r="K919">
        <v>1.0937349999999999</v>
      </c>
      <c r="L919">
        <v>366.53930000000003</v>
      </c>
      <c r="M919">
        <v>0.96142729999999998</v>
      </c>
      <c r="N919">
        <v>0</v>
      </c>
      <c r="O919">
        <v>-0.27465099999999998</v>
      </c>
      <c r="P919">
        <v>0.87791419999999998</v>
      </c>
      <c r="Q919">
        <v>-2.0580279999999999E-3</v>
      </c>
      <c r="R919">
        <v>-0.47881390000000001</v>
      </c>
      <c r="S919">
        <v>2.2614899999999998</v>
      </c>
      <c r="T919">
        <v>-0.30950670000000002</v>
      </c>
      <c r="U919">
        <v>-2.1299130000000002</v>
      </c>
      <c r="V919">
        <v>0.21950259999999999</v>
      </c>
      <c r="W919">
        <v>6.8285580000000002E-3</v>
      </c>
      <c r="X919">
        <v>0.97558799999999901</v>
      </c>
      <c r="Y919">
        <v>0.45839679999999999</v>
      </c>
      <c r="Z919">
        <v>4.1066109999999996E-3</v>
      </c>
      <c r="AA919">
        <v>0.88873819999999903</v>
      </c>
      <c r="AB919">
        <v>38</v>
      </c>
      <c r="AC919">
        <v>7.8009000000000102</v>
      </c>
      <c r="AD919">
        <v>-1.0937414705249999</v>
      </c>
      <c r="AE919">
        <v>-7.4694000000000003</v>
      </c>
      <c r="AF919">
        <v>4.9881689784579804</v>
      </c>
      <c r="AG919">
        <v>-1.0937414705249999</v>
      </c>
      <c r="AH919">
        <v>9.4555758674471306</v>
      </c>
      <c r="AI919">
        <v>95.841511771806793</v>
      </c>
      <c r="AJ919">
        <v>62.186681170613198</v>
      </c>
      <c r="AK919">
        <v>10.7464419761633</v>
      </c>
    </row>
    <row r="920" spans="1:37" x14ac:dyDescent="0.2">
      <c r="A920" t="str">
        <f>"20200111153419303"</f>
        <v>20200111153419303</v>
      </c>
      <c r="B920" t="str">
        <f>"1578728059297365"</f>
        <v>1578728059297365</v>
      </c>
      <c r="C920" t="s">
        <v>37</v>
      </c>
      <c r="D920">
        <v>5.1217559999999898</v>
      </c>
      <c r="E920">
        <v>0.60158279999999997</v>
      </c>
      <c r="F920" t="s">
        <v>46</v>
      </c>
      <c r="G920">
        <v>-200.35769999999999</v>
      </c>
      <c r="H920" s="1">
        <v>-6.4832299999999996E-6</v>
      </c>
      <c r="I920">
        <v>358.88630000000001</v>
      </c>
      <c r="J920">
        <v>-208.17070000000001</v>
      </c>
      <c r="K920">
        <v>1.0935410000000001</v>
      </c>
      <c r="L920">
        <v>366.47980000000001</v>
      </c>
      <c r="M920">
        <v>0.95968969999999898</v>
      </c>
      <c r="N920">
        <v>0</v>
      </c>
      <c r="O920">
        <v>-0.28066049999999998</v>
      </c>
      <c r="P920">
        <v>0.87428189999999995</v>
      </c>
      <c r="Q920">
        <v>-1.2012220000000001E-3</v>
      </c>
      <c r="R920">
        <v>-0.4854174</v>
      </c>
      <c r="S920">
        <v>2.2456509999999898</v>
      </c>
      <c r="T920">
        <v>-0.30680429999999997</v>
      </c>
      <c r="U920">
        <v>-2.1467290000000001</v>
      </c>
      <c r="V920">
        <v>0.220778</v>
      </c>
      <c r="W920">
        <v>7.5743109999999898E-3</v>
      </c>
      <c r="X920">
        <v>0.97529460000000001</v>
      </c>
      <c r="Y920">
        <v>0.4594818</v>
      </c>
      <c r="Z920">
        <v>4.6433139999999999E-3</v>
      </c>
      <c r="AA920">
        <v>0.8881751</v>
      </c>
      <c r="AB920">
        <v>38</v>
      </c>
      <c r="AC920">
        <v>7.8130000000000104</v>
      </c>
      <c r="AD920">
        <v>-1.0935474832300001</v>
      </c>
      <c r="AE920">
        <v>-7.5934999999999997</v>
      </c>
      <c r="AF920">
        <v>5.0443596921049103</v>
      </c>
      <c r="AG920">
        <v>-1.0935474832300001</v>
      </c>
      <c r="AH920">
        <v>9.5342863598679095</v>
      </c>
      <c r="AI920">
        <v>95.788941316861596</v>
      </c>
      <c r="AJ920">
        <v>62.117768674618503</v>
      </c>
      <c r="AK920">
        <v>10.8417723271324</v>
      </c>
    </row>
    <row r="921" spans="1:37" x14ac:dyDescent="0.2">
      <c r="A921" t="str">
        <f>"20200111153419314"</f>
        <v>20200111153419314</v>
      </c>
      <c r="B921" t="str">
        <f>"1578728059307127"</f>
        <v>1578728059307127</v>
      </c>
      <c r="C921" t="s">
        <v>37</v>
      </c>
      <c r="D921">
        <v>5.081366</v>
      </c>
      <c r="E921">
        <v>0.6012518</v>
      </c>
      <c r="F921" t="s">
        <v>46</v>
      </c>
      <c r="G921">
        <v>-200.0487</v>
      </c>
      <c r="H921" s="1">
        <v>-6.4968889999999902E-6</v>
      </c>
      <c r="I921">
        <v>358.59969999999998</v>
      </c>
      <c r="J921">
        <v>-207.95570000000001</v>
      </c>
      <c r="K921">
        <v>1.0933280000000001</v>
      </c>
      <c r="L921">
        <v>366.41149999999999</v>
      </c>
      <c r="M921">
        <v>0.95766019999999896</v>
      </c>
      <c r="N921">
        <v>0</v>
      </c>
      <c r="O921">
        <v>-0.28750740000000002</v>
      </c>
      <c r="P921">
        <v>0.87022540000000004</v>
      </c>
      <c r="Q921">
        <v>-2.16868499999999E-4</v>
      </c>
      <c r="R921">
        <v>-0.49265379999999998</v>
      </c>
      <c r="S921">
        <v>2.229813</v>
      </c>
      <c r="T921">
        <v>-0.30022199999999999</v>
      </c>
      <c r="U921">
        <v>-2.1633909999999998</v>
      </c>
      <c r="V921">
        <v>0.2219344</v>
      </c>
      <c r="W921">
        <v>8.4464199999999996E-3</v>
      </c>
      <c r="X921">
        <v>0.97502500000000003</v>
      </c>
      <c r="Y921">
        <v>0.45977459999999998</v>
      </c>
      <c r="Z921">
        <v>5.2355659999999997E-3</v>
      </c>
      <c r="AA921">
        <v>0.88802019999999904</v>
      </c>
      <c r="AB921">
        <v>38</v>
      </c>
      <c r="AC921">
        <v>7.9070000000000098</v>
      </c>
      <c r="AD921">
        <v>-1.093334496889</v>
      </c>
      <c r="AE921">
        <v>-7.8117999999999999</v>
      </c>
      <c r="AF921">
        <v>5.1584075592963297</v>
      </c>
      <c r="AG921">
        <v>-1.093334496889</v>
      </c>
      <c r="AH921">
        <v>9.7251835511696907</v>
      </c>
      <c r="AI921">
        <v>95.671831958178004</v>
      </c>
      <c r="AJ921">
        <v>62.057738310240097</v>
      </c>
      <c r="AK921">
        <v>11.062718652023699</v>
      </c>
    </row>
    <row r="922" spans="1:37" x14ac:dyDescent="0.2">
      <c r="A922" t="str">
        <f>"20200111153419326"</f>
        <v>20200111153419326</v>
      </c>
      <c r="B922" t="str">
        <f>"1578728059316886"</f>
        <v>1578728059316886</v>
      </c>
      <c r="C922" t="s">
        <v>37</v>
      </c>
      <c r="D922">
        <v>5.0705799999999996</v>
      </c>
      <c r="E922">
        <v>0.60121990000000003</v>
      </c>
      <c r="F922" t="s">
        <v>46</v>
      </c>
      <c r="G922">
        <v>-199.76990000000001</v>
      </c>
      <c r="H922" s="1">
        <v>-6.3953579999999999E-6</v>
      </c>
      <c r="I922">
        <v>358.35210000000001</v>
      </c>
      <c r="J922">
        <v>-207.7748</v>
      </c>
      <c r="K922">
        <v>1.0931549999999901</v>
      </c>
      <c r="L922">
        <v>366.35239999999999</v>
      </c>
      <c r="M922">
        <v>0.95587469999999997</v>
      </c>
      <c r="N922">
        <v>0</v>
      </c>
      <c r="O922">
        <v>-0.2933868</v>
      </c>
      <c r="P922">
        <v>0.86648069999999899</v>
      </c>
      <c r="Q922">
        <v>8.0609170000000001E-4</v>
      </c>
      <c r="R922">
        <v>-0.4992103</v>
      </c>
      <c r="S922">
        <v>2.2135470000000002</v>
      </c>
      <c r="T922">
        <v>-0.29565370000000002</v>
      </c>
      <c r="U922">
        <v>-2.1793819999999999</v>
      </c>
      <c r="V922">
        <v>0.22333629999999999</v>
      </c>
      <c r="W922">
        <v>9.3623869999999998E-3</v>
      </c>
      <c r="X922">
        <v>0.97469649999999997</v>
      </c>
      <c r="Y922">
        <v>0.46087889999999998</v>
      </c>
      <c r="Z922">
        <v>5.69681599999999E-3</v>
      </c>
      <c r="AA922">
        <v>0.88744480000000003</v>
      </c>
      <c r="AB922">
        <v>38</v>
      </c>
      <c r="AC922">
        <v>8.0048999999999904</v>
      </c>
      <c r="AD922">
        <v>-1.0931613953579999</v>
      </c>
      <c r="AE922">
        <v>-8.0002999999999798</v>
      </c>
      <c r="AF922">
        <v>5.2503704919556</v>
      </c>
      <c r="AG922">
        <v>-1.0931613953579999</v>
      </c>
      <c r="AH922">
        <v>9.9075661254768992</v>
      </c>
      <c r="AI922">
        <v>95.568312505247704</v>
      </c>
      <c r="AJ922">
        <v>62.079297835558698</v>
      </c>
      <c r="AK922">
        <v>11.2659335463066</v>
      </c>
    </row>
    <row r="923" spans="1:37" x14ac:dyDescent="0.2">
      <c r="A923" t="str">
        <f>"20200111153419338"</f>
        <v>20200111153419338</v>
      </c>
      <c r="B923" t="str">
        <f>"1578728059327623"</f>
        <v>1578728059327623</v>
      </c>
      <c r="C923" t="s">
        <v>37</v>
      </c>
      <c r="D923">
        <v>5.0308359999999999</v>
      </c>
      <c r="E923">
        <v>0.60119029999999996</v>
      </c>
      <c r="F923" t="s">
        <v>46</v>
      </c>
      <c r="G923">
        <v>-199.4811</v>
      </c>
      <c r="H923" s="1">
        <v>-6.2538009999999902E-6</v>
      </c>
      <c r="I923">
        <v>358.06400000000002</v>
      </c>
      <c r="J923">
        <v>-207.58860000000001</v>
      </c>
      <c r="K923">
        <v>1.092975</v>
      </c>
      <c r="L923">
        <v>366.291</v>
      </c>
      <c r="M923">
        <v>0.95398359999999904</v>
      </c>
      <c r="N923">
        <v>0</v>
      </c>
      <c r="O923">
        <v>-0.29947770000000001</v>
      </c>
      <c r="P923">
        <v>0.86258279999999998</v>
      </c>
      <c r="Q923">
        <v>1.6972910000000001E-3</v>
      </c>
      <c r="R923">
        <v>-0.50591339999999996</v>
      </c>
      <c r="S923">
        <v>2.1973720000000001</v>
      </c>
      <c r="T923">
        <v>-0.28962769999999999</v>
      </c>
      <c r="U923">
        <v>-2.1959840000000002</v>
      </c>
      <c r="V923">
        <v>0.224706399999999</v>
      </c>
      <c r="W923">
        <v>1.014436E-2</v>
      </c>
      <c r="X923">
        <v>0.97437369999999901</v>
      </c>
      <c r="Y923">
        <v>0.46188879999999999</v>
      </c>
      <c r="Z923">
        <v>6.1368999999999998E-3</v>
      </c>
      <c r="AA923">
        <v>0.88691659999999894</v>
      </c>
      <c r="AB923">
        <v>38</v>
      </c>
      <c r="AC923">
        <v>8.1075000000000106</v>
      </c>
      <c r="AD923">
        <v>-1.092981253801</v>
      </c>
      <c r="AE923">
        <v>-8.2269999999999701</v>
      </c>
      <c r="AF923">
        <v>5.3729172584083003</v>
      </c>
      <c r="AG923">
        <v>-1.092981253801</v>
      </c>
      <c r="AH923">
        <v>10.1088743331591</v>
      </c>
      <c r="AI923">
        <v>95.453683179415293</v>
      </c>
      <c r="AJ923">
        <v>62.009132216348597</v>
      </c>
      <c r="AK923">
        <v>11.500095137452799</v>
      </c>
    </row>
    <row r="924" spans="1:37" x14ac:dyDescent="0.2">
      <c r="A924" t="str">
        <f>"20200111153419350"</f>
        <v>20200111153419350</v>
      </c>
      <c r="B924" t="str">
        <f>"1578728059337382"</f>
        <v>1578728059337382</v>
      </c>
      <c r="C924" t="s">
        <v>37</v>
      </c>
      <c r="D924">
        <v>5.0919860000000003</v>
      </c>
      <c r="E924">
        <v>0.6010489</v>
      </c>
      <c r="F924" t="s">
        <v>46</v>
      </c>
      <c r="G924">
        <v>-199.23779999999999</v>
      </c>
      <c r="H924" s="1">
        <v>-6.1336929999999901E-6</v>
      </c>
      <c r="I924">
        <v>357.81869999999998</v>
      </c>
      <c r="J924">
        <v>-207.4067</v>
      </c>
      <c r="K924">
        <v>1.0928009999999999</v>
      </c>
      <c r="L924">
        <v>366.22879999999998</v>
      </c>
      <c r="M924">
        <v>0.95204290000000003</v>
      </c>
      <c r="N924">
        <v>0</v>
      </c>
      <c r="O924">
        <v>-0.30558920000000001</v>
      </c>
      <c r="P924">
        <v>0.85837569999999996</v>
      </c>
      <c r="Q924">
        <v>2.7345920000000001E-3</v>
      </c>
      <c r="R924">
        <v>-0.51301439999999998</v>
      </c>
      <c r="S924">
        <v>2.18080099999999</v>
      </c>
      <c r="T924">
        <v>-0.28543220000000002</v>
      </c>
      <c r="U924">
        <v>-2.212555</v>
      </c>
      <c r="V924">
        <v>0.22653299999999901</v>
      </c>
      <c r="W924">
        <v>1.106174E-2</v>
      </c>
      <c r="X924">
        <v>0.97394069999999899</v>
      </c>
      <c r="Y924">
        <v>0.46293009999999901</v>
      </c>
      <c r="Z924">
        <v>6.5977700000000002E-3</v>
      </c>
      <c r="AA924">
        <v>0.886370199999999</v>
      </c>
      <c r="AB924">
        <v>38</v>
      </c>
      <c r="AC924">
        <v>8.1689000000000007</v>
      </c>
      <c r="AD924">
        <v>-1.0928071336929901</v>
      </c>
      <c r="AE924">
        <v>-8.4100999999999999</v>
      </c>
      <c r="AF924">
        <v>5.46361432766028</v>
      </c>
      <c r="AG924">
        <v>-1.0928071336929901</v>
      </c>
      <c r="AH924">
        <v>10.2592368961995</v>
      </c>
      <c r="AI924">
        <v>95.371045894697602</v>
      </c>
      <c r="AJ924">
        <v>61.962215799528998</v>
      </c>
      <c r="AK924">
        <v>11.674641349746301</v>
      </c>
    </row>
    <row r="925" spans="1:37" x14ac:dyDescent="0.2">
      <c r="A925" t="str">
        <f>"20200111153419362"</f>
        <v>20200111153419362</v>
      </c>
      <c r="B925" t="str">
        <f>"1578728059356905"</f>
        <v>1578728059356905</v>
      </c>
      <c r="C925" t="s">
        <v>37</v>
      </c>
      <c r="D925">
        <v>5.0675739999999996</v>
      </c>
      <c r="E925">
        <v>0.60059869999999904</v>
      </c>
      <c r="F925" t="s">
        <v>46</v>
      </c>
      <c r="G925">
        <v>-198.9419</v>
      </c>
      <c r="H925" s="1">
        <v>-5.9827710000000004E-6</v>
      </c>
      <c r="I925">
        <v>357.5059</v>
      </c>
      <c r="J925">
        <v>-207.21099999999899</v>
      </c>
      <c r="K925">
        <v>1.092614</v>
      </c>
      <c r="L925">
        <v>366.16109999999998</v>
      </c>
      <c r="M925">
        <v>0.94989199999999996</v>
      </c>
      <c r="N925">
        <v>0</v>
      </c>
      <c r="O925">
        <v>-0.31220900000000001</v>
      </c>
      <c r="P925">
        <v>0.8536589</v>
      </c>
      <c r="Q925">
        <v>3.553283E-3</v>
      </c>
      <c r="R925">
        <v>-0.52082050000000002</v>
      </c>
      <c r="S925">
        <v>2.1634370000000001</v>
      </c>
      <c r="T925">
        <v>-0.27929929999999997</v>
      </c>
      <c r="U925">
        <v>-2.22940099999999</v>
      </c>
      <c r="V925">
        <v>0.22866359999999999</v>
      </c>
      <c r="W925">
        <v>1.174262E-2</v>
      </c>
      <c r="X925">
        <v>0.97343469999999999</v>
      </c>
      <c r="Y925">
        <v>0.46371079999999998</v>
      </c>
      <c r="Z925">
        <v>7.0582850000000001E-3</v>
      </c>
      <c r="AA925">
        <v>0.88595859999999904</v>
      </c>
      <c r="AB925">
        <v>38</v>
      </c>
      <c r="AC925">
        <v>8.2690999999999804</v>
      </c>
      <c r="AD925">
        <v>-1.0926199827709999</v>
      </c>
      <c r="AE925">
        <v>-8.6551999999999794</v>
      </c>
      <c r="AF925">
        <v>5.59386351842892</v>
      </c>
      <c r="AG925">
        <v>-1.0926199827709999</v>
      </c>
      <c r="AH925">
        <v>10.4709630225538</v>
      </c>
      <c r="AI925">
        <v>95.258532719137406</v>
      </c>
      <c r="AJ925">
        <v>61.887696215719799</v>
      </c>
      <c r="AK925">
        <v>11.921669099134199</v>
      </c>
    </row>
    <row r="926" spans="1:37" x14ac:dyDescent="0.2">
      <c r="A926" t="str">
        <f>"20200111153419373"</f>
        <v>20200111153419373</v>
      </c>
      <c r="B926" t="str">
        <f>"1578728059367638"</f>
        <v>1578728059367638</v>
      </c>
      <c r="C926" t="s">
        <v>37</v>
      </c>
      <c r="D926">
        <v>5.0735779999999897</v>
      </c>
      <c r="E926">
        <v>0.60023689999999996</v>
      </c>
      <c r="F926" t="s">
        <v>46</v>
      </c>
      <c r="G926">
        <v>-198.58789999999999</v>
      </c>
      <c r="H926" s="1">
        <v>-5.8026930000000004E-6</v>
      </c>
      <c r="I926">
        <v>357.13310000000001</v>
      </c>
      <c r="J926">
        <v>-207.0119</v>
      </c>
      <c r="K926">
        <v>1.0924229999999999</v>
      </c>
      <c r="L926">
        <v>366.09019999999998</v>
      </c>
      <c r="M926">
        <v>0.94760730000000004</v>
      </c>
      <c r="N926">
        <v>0</v>
      </c>
      <c r="O926">
        <v>-0.31907550000000001</v>
      </c>
      <c r="P926">
        <v>0.84868899999999903</v>
      </c>
      <c r="Q926">
        <v>4.4638780000000001E-3</v>
      </c>
      <c r="R926">
        <v>-0.52887430000000002</v>
      </c>
      <c r="S926">
        <v>2.145187</v>
      </c>
      <c r="T926">
        <v>-0.27181420000000001</v>
      </c>
      <c r="U926">
        <v>-2.245911</v>
      </c>
      <c r="V926">
        <v>0.2308616</v>
      </c>
      <c r="W926">
        <v>1.2512179999999999E-2</v>
      </c>
      <c r="X926">
        <v>0.97290619999999906</v>
      </c>
      <c r="Y926">
        <v>0.46436689999999903</v>
      </c>
      <c r="Z926">
        <v>7.4878779999999999E-3</v>
      </c>
      <c r="AA926">
        <v>0.88561119999999904</v>
      </c>
      <c r="AB926">
        <v>38</v>
      </c>
      <c r="AC926">
        <v>8.4239999999999995</v>
      </c>
      <c r="AD926">
        <v>-1.092428802693</v>
      </c>
      <c r="AE926">
        <v>-8.9570999999999596</v>
      </c>
      <c r="AF926">
        <v>5.7551653080631198</v>
      </c>
      <c r="AG926">
        <v>-1.092428802693</v>
      </c>
      <c r="AH926">
        <v>10.7569815504975</v>
      </c>
      <c r="AI926">
        <v>95.116901972261303</v>
      </c>
      <c r="AJ926">
        <v>61.852472654478902</v>
      </c>
      <c r="AK926">
        <v>12.2485909593646</v>
      </c>
    </row>
    <row r="927" spans="1:37" x14ac:dyDescent="0.2">
      <c r="A927" t="str">
        <f>"20200111153419389"</f>
        <v>20200111153419389</v>
      </c>
      <c r="B927" t="str">
        <f>"1578728059377398"</f>
        <v>1578728059377398</v>
      </c>
      <c r="C927" t="s">
        <v>37</v>
      </c>
      <c r="D927">
        <v>5.139761</v>
      </c>
      <c r="E927">
        <v>0.60035890000000003</v>
      </c>
      <c r="F927" t="s">
        <v>46</v>
      </c>
      <c r="G927">
        <v>-198.43469999999999</v>
      </c>
      <c r="H927" s="1">
        <v>-5.7195500000000002E-6</v>
      </c>
      <c r="I927">
        <v>356.9563</v>
      </c>
      <c r="J927">
        <v>-206.78049999999999</v>
      </c>
      <c r="K927">
        <v>1.092203</v>
      </c>
      <c r="L927">
        <v>366.00569999999999</v>
      </c>
      <c r="M927">
        <v>0.94483629999999996</v>
      </c>
      <c r="N927">
        <v>0</v>
      </c>
      <c r="O927">
        <v>-0.32718740000000002</v>
      </c>
      <c r="P927">
        <v>0.84191970000000005</v>
      </c>
      <c r="Q927">
        <v>5.0927070000000001E-3</v>
      </c>
      <c r="R927">
        <v>-0.53957929999999998</v>
      </c>
      <c r="S927">
        <v>2.1256710000000001</v>
      </c>
      <c r="T927">
        <v>-0.27073350000000002</v>
      </c>
      <c r="U927">
        <v>-2.2636409999999998</v>
      </c>
      <c r="V927">
        <v>0.23486599999999999</v>
      </c>
      <c r="W927">
        <v>1.293034E-2</v>
      </c>
      <c r="X927">
        <v>0.97194179999999997</v>
      </c>
      <c r="Y927">
        <v>0.46432390000000001</v>
      </c>
      <c r="Z927">
        <v>8.2268769999999901E-3</v>
      </c>
      <c r="AA927">
        <v>0.88562730000000001</v>
      </c>
      <c r="AB927">
        <v>38</v>
      </c>
      <c r="AC927">
        <v>8.3457999999999899</v>
      </c>
      <c r="AD927">
        <v>-1.0922087195500001</v>
      </c>
      <c r="AE927">
        <v>-9.0493999999999897</v>
      </c>
      <c r="AF927">
        <v>5.7747806882547597</v>
      </c>
      <c r="AG927">
        <v>-1.0922087195500001</v>
      </c>
      <c r="AH927">
        <v>10.762804681536</v>
      </c>
      <c r="AI927">
        <v>95.109878561335094</v>
      </c>
      <c r="AJ927">
        <v>61.784226430115901</v>
      </c>
      <c r="AK927">
        <v>12.2629106046401</v>
      </c>
    </row>
    <row r="928" spans="1:37" x14ac:dyDescent="0.2">
      <c r="A928" t="str">
        <f>"20200111153419400"</f>
        <v>20200111153419400</v>
      </c>
      <c r="B928" t="str">
        <f>"1578728059387158"</f>
        <v>1578728059387158</v>
      </c>
      <c r="C928" t="s">
        <v>37</v>
      </c>
      <c r="D928">
        <v>4.8913949999999904</v>
      </c>
      <c r="E928">
        <v>0.60035890000000003</v>
      </c>
      <c r="F928" t="s">
        <v>46</v>
      </c>
      <c r="G928">
        <v>-198.3571</v>
      </c>
      <c r="H928" s="1">
        <v>-5.6566999999999902E-6</v>
      </c>
      <c r="I928">
        <v>356.80470000000003</v>
      </c>
      <c r="J928">
        <v>-206.60130000000001</v>
      </c>
      <c r="K928">
        <v>1.092028</v>
      </c>
      <c r="L928">
        <v>365.93920000000003</v>
      </c>
      <c r="M928">
        <v>0.94261709999999999</v>
      </c>
      <c r="N928">
        <v>0</v>
      </c>
      <c r="O928">
        <v>-0.33352589999999999</v>
      </c>
      <c r="P928">
        <v>0.8370379</v>
      </c>
      <c r="Q928">
        <v>4.7270319999999999E-3</v>
      </c>
      <c r="R928">
        <v>-0.54712530000000004</v>
      </c>
      <c r="S928">
        <v>2.0969540000000002</v>
      </c>
      <c r="T928">
        <v>-0.2718989</v>
      </c>
      <c r="U928">
        <v>-2.290527</v>
      </c>
      <c r="V928">
        <v>0.23706729999999901</v>
      </c>
      <c r="W928">
        <v>1.2428740000000001E-2</v>
      </c>
      <c r="X928">
        <v>0.97141369999999905</v>
      </c>
      <c r="Y928">
        <v>0.46958359999999899</v>
      </c>
      <c r="Z928">
        <v>8.60326199999999E-3</v>
      </c>
      <c r="AA928">
        <v>0.88284609999999997</v>
      </c>
      <c r="AB928">
        <v>37</v>
      </c>
      <c r="AC928">
        <v>8.2441999999999993</v>
      </c>
      <c r="AD928">
        <v>-1.0920336567</v>
      </c>
      <c r="AE928">
        <v>-9.1344999999999992</v>
      </c>
      <c r="AF928">
        <v>5.8155601344475496</v>
      </c>
      <c r="AG928">
        <v>-1.0920336567</v>
      </c>
      <c r="AH928">
        <v>10.734430350623899</v>
      </c>
      <c r="AI928">
        <v>95.111404412681907</v>
      </c>
      <c r="AJ928">
        <v>61.552626920477699</v>
      </c>
      <c r="AK928">
        <v>12.2572946500089</v>
      </c>
    </row>
    <row r="929" spans="1:37" x14ac:dyDescent="0.2">
      <c r="A929" t="str">
        <f>"20200111153419410"</f>
        <v>20200111153419410</v>
      </c>
      <c r="B929" t="str">
        <f>"1578728059407655"</f>
        <v>1578728059407655</v>
      </c>
      <c r="C929" t="s">
        <v>37</v>
      </c>
      <c r="D929">
        <v>4.9601959999999998</v>
      </c>
      <c r="E929">
        <v>0.6579448</v>
      </c>
      <c r="F929" t="s">
        <v>46</v>
      </c>
      <c r="G929">
        <v>-198.31059999999999</v>
      </c>
      <c r="H929" s="1">
        <v>-5.6207529999999901E-6</v>
      </c>
      <c r="I929">
        <v>356.71899999999999</v>
      </c>
      <c r="J929">
        <v>-206.42789999999999</v>
      </c>
      <c r="K929">
        <v>1.0918680000000001</v>
      </c>
      <c r="L929">
        <v>365.87270000000001</v>
      </c>
      <c r="M929">
        <v>0.94037749999999998</v>
      </c>
      <c r="N929">
        <v>0</v>
      </c>
      <c r="O929">
        <v>-0.33978700000000001</v>
      </c>
      <c r="P929">
        <v>0.83209509999999898</v>
      </c>
      <c r="Q929">
        <v>4.7017140000000001E-3</v>
      </c>
      <c r="R929">
        <v>-0.55461309999999997</v>
      </c>
      <c r="S929">
        <v>2.0763090000000002</v>
      </c>
      <c r="T929">
        <v>-0.27348729999999999</v>
      </c>
      <c r="U929">
        <v>-2.3090820000000001</v>
      </c>
      <c r="V929">
        <v>0.23932609999999899</v>
      </c>
      <c r="W929">
        <v>1.2269489999999999E-2</v>
      </c>
      <c r="X929">
        <v>0.97086170000000005</v>
      </c>
      <c r="Y929">
        <v>0.47160990000000003</v>
      </c>
      <c r="Z929">
        <v>9.1522429999999991E-3</v>
      </c>
      <c r="AA929">
        <v>0.88175979999999998</v>
      </c>
      <c r="AB929">
        <v>37</v>
      </c>
      <c r="AC929">
        <v>8.1173000000000002</v>
      </c>
      <c r="AD929">
        <v>-1.091873620753</v>
      </c>
      <c r="AE929">
        <v>-9.1537000000000095</v>
      </c>
      <c r="AF929">
        <v>5.8042378361364397</v>
      </c>
      <c r="AG929">
        <v>-1.091873620753</v>
      </c>
      <c r="AH929">
        <v>10.6599914371458</v>
      </c>
      <c r="AI929">
        <v>95.140318073708301</v>
      </c>
      <c r="AJ929">
        <v>61.432236551568103</v>
      </c>
      <c r="AK929">
        <v>12.1867461736985</v>
      </c>
    </row>
    <row r="930" spans="1:37" x14ac:dyDescent="0.2">
      <c r="A930" t="str">
        <f>"20200111153419423"</f>
        <v>20200111153419423</v>
      </c>
      <c r="B930" t="str">
        <f>"1578728059417413"</f>
        <v>1578728059417413</v>
      </c>
      <c r="C930" t="s">
        <v>37</v>
      </c>
      <c r="D930">
        <v>4.8352269999999997</v>
      </c>
      <c r="E930">
        <v>0.66977919999999902</v>
      </c>
      <c r="F930" t="s">
        <v>39</v>
      </c>
      <c r="G930">
        <v>-191.43180000000001</v>
      </c>
      <c r="H930" s="1">
        <v>-1.9648880000000001E-6</v>
      </c>
      <c r="I930">
        <v>343.28129999999999</v>
      </c>
      <c r="J930">
        <v>-206.23419999999999</v>
      </c>
      <c r="K930">
        <v>1.091691</v>
      </c>
      <c r="L930">
        <v>365.79739999999998</v>
      </c>
      <c r="M930">
        <v>0.93780090000000005</v>
      </c>
      <c r="N930">
        <v>0</v>
      </c>
      <c r="O930">
        <v>-0.34683359999999902</v>
      </c>
      <c r="P930">
        <v>0.82651390000000002</v>
      </c>
      <c r="Q930">
        <v>4.8511429999999996E-3</v>
      </c>
      <c r="R930">
        <v>-0.562895699999999</v>
      </c>
      <c r="S930">
        <v>1.7993319999999999</v>
      </c>
      <c r="T930">
        <v>-0.1310096</v>
      </c>
      <c r="U930">
        <v>-2.7106629999999998</v>
      </c>
      <c r="V930">
        <v>0.2417464</v>
      </c>
      <c r="W930">
        <v>1.227045E-2</v>
      </c>
      <c r="X930">
        <v>0.97026190000000001</v>
      </c>
      <c r="Y930">
        <v>0.58939989999999998</v>
      </c>
      <c r="Z930">
        <v>1.654064E-3</v>
      </c>
      <c r="AA930">
        <v>0.8078398</v>
      </c>
      <c r="AB930">
        <v>37</v>
      </c>
      <c r="AC930">
        <v>14.802399999999899</v>
      </c>
      <c r="AD930">
        <v>-1.0916929648880001</v>
      </c>
      <c r="AE930">
        <v>-22.516099999999899</v>
      </c>
      <c r="AF930">
        <v>15.957342439412599</v>
      </c>
      <c r="AG930">
        <v>-1.0916929648880001</v>
      </c>
      <c r="AH930">
        <v>21.658053836304401</v>
      </c>
      <c r="AI930">
        <v>92.323823869036204</v>
      </c>
      <c r="AJ930">
        <v>53.6177460946626</v>
      </c>
      <c r="AK930">
        <v>26.9239645526903</v>
      </c>
    </row>
    <row r="931" spans="1:37" x14ac:dyDescent="0.2">
      <c r="A931" t="str">
        <f>"20200111153419434"</f>
        <v>20200111153419434</v>
      </c>
      <c r="B931" t="str">
        <f>"1578728059427173"</f>
        <v>1578728059427173</v>
      </c>
      <c r="C931" t="s">
        <v>37</v>
      </c>
      <c r="D931">
        <v>4.8671980000000001</v>
      </c>
      <c r="E931">
        <v>0.67604390000000003</v>
      </c>
      <c r="F931" t="s">
        <v>38</v>
      </c>
      <c r="G931">
        <v>-169.4306</v>
      </c>
      <c r="H931">
        <v>-0.05</v>
      </c>
      <c r="I931">
        <v>305.66370000000001</v>
      </c>
      <c r="J931">
        <v>-206.04759999999999</v>
      </c>
      <c r="K931">
        <v>1.0915219999999899</v>
      </c>
      <c r="L931">
        <v>365.72309999999999</v>
      </c>
      <c r="M931">
        <v>0.93522669999999997</v>
      </c>
      <c r="N931">
        <v>0</v>
      </c>
      <c r="O931">
        <v>-0.35371459999999999</v>
      </c>
      <c r="P931">
        <v>0.82091209999999903</v>
      </c>
      <c r="Q931">
        <v>5.0017960000000002E-3</v>
      </c>
      <c r="R931">
        <v>-0.57103309999999996</v>
      </c>
      <c r="S931">
        <v>1.71814</v>
      </c>
      <c r="T931">
        <v>-5.3298709999999999E-2</v>
      </c>
      <c r="U931">
        <v>-2.8072810000000001</v>
      </c>
      <c r="V931">
        <v>0.244211499999999</v>
      </c>
      <c r="W931">
        <v>1.227426E-2</v>
      </c>
      <c r="X931">
        <v>0.96964430000000001</v>
      </c>
      <c r="Y931">
        <v>0.61308030000000002</v>
      </c>
      <c r="Z931">
        <v>5.4090559999999896E-4</v>
      </c>
      <c r="AA931">
        <v>0.79002039999999996</v>
      </c>
      <c r="AB931">
        <v>37</v>
      </c>
      <c r="AC931">
        <v>36.616999999999898</v>
      </c>
      <c r="AD931">
        <v>-1.1415219999999999</v>
      </c>
      <c r="AE931">
        <v>-60.059399999999897</v>
      </c>
      <c r="AF931">
        <v>43.210929243635697</v>
      </c>
      <c r="AG931">
        <v>-1.1415219999999999</v>
      </c>
      <c r="AH931">
        <v>55.481048074689397</v>
      </c>
      <c r="AI931">
        <v>90.929974608028601</v>
      </c>
      <c r="AJ931">
        <v>52.087070031560998</v>
      </c>
      <c r="AK931">
        <v>70.332312446278706</v>
      </c>
    </row>
    <row r="932" spans="1:37" x14ac:dyDescent="0.2">
      <c r="A932" t="str">
        <f>"20200111153419449"</f>
        <v>20200111153419449</v>
      </c>
      <c r="B932" t="str">
        <f>"1578728059436935"</f>
        <v>1578728059436935</v>
      </c>
      <c r="C932" t="s">
        <v>37</v>
      </c>
      <c r="D932">
        <v>4.8073639999999997</v>
      </c>
      <c r="E932">
        <v>0.67809379999999997</v>
      </c>
      <c r="F932" t="s">
        <v>47</v>
      </c>
      <c r="G932">
        <v>-168.13030000000001</v>
      </c>
      <c r="H932">
        <v>0.65250299999999894</v>
      </c>
      <c r="I932">
        <v>300.31029999999998</v>
      </c>
      <c r="J932">
        <v>-205.83279999999999</v>
      </c>
      <c r="K932">
        <v>1.091332</v>
      </c>
      <c r="L932">
        <v>365.63529999999997</v>
      </c>
      <c r="M932">
        <v>0.93214580000000002</v>
      </c>
      <c r="N932">
        <v>0</v>
      </c>
      <c r="O932">
        <v>-0.36175370000000001</v>
      </c>
      <c r="P932">
        <v>0.81450919999999905</v>
      </c>
      <c r="Q932">
        <v>4.548458E-3</v>
      </c>
      <c r="R932">
        <v>-0.58013340000000002</v>
      </c>
      <c r="S932">
        <v>1.6611479999999901</v>
      </c>
      <c r="T932">
        <v>-1.9230009999999999E-2</v>
      </c>
      <c r="U932">
        <v>-2.865723</v>
      </c>
      <c r="V932">
        <v>0.246642999999999</v>
      </c>
      <c r="W932">
        <v>1.166586E-2</v>
      </c>
      <c r="X932">
        <v>0.96903619999999902</v>
      </c>
      <c r="Y932">
        <v>0.62510529999999997</v>
      </c>
      <c r="Z932">
        <v>2.0031009999999999E-4</v>
      </c>
      <c r="AA932">
        <v>0.78054040000000002</v>
      </c>
      <c r="AB932">
        <v>37</v>
      </c>
      <c r="AC932">
        <v>37.702499999999901</v>
      </c>
      <c r="AD932">
        <v>-0.43882900000000002</v>
      </c>
      <c r="AE932">
        <v>-65.324999999999903</v>
      </c>
      <c r="AF932">
        <v>47.2574410366366</v>
      </c>
      <c r="AG932">
        <v>-0.43882900000000002</v>
      </c>
      <c r="AH932">
        <v>58.780807035046799</v>
      </c>
      <c r="AI932">
        <v>90.333362018596304</v>
      </c>
      <c r="AJ932">
        <v>51.2020965391376</v>
      </c>
      <c r="AK932">
        <v>75.423083866372394</v>
      </c>
    </row>
    <row r="933" spans="1:37" x14ac:dyDescent="0.2">
      <c r="A933" t="str">
        <f>"20200111153419463"</f>
        <v>20200111153419463</v>
      </c>
      <c r="B933" t="str">
        <f>"1578728059457429"</f>
        <v>1578728059457429</v>
      </c>
      <c r="C933" t="s">
        <v>37</v>
      </c>
      <c r="D933">
        <v>4.7756939999999997</v>
      </c>
      <c r="E933">
        <v>0.67978950000000005</v>
      </c>
      <c r="F933" t="s">
        <v>47</v>
      </c>
      <c r="G933">
        <v>-168.35050000000001</v>
      </c>
      <c r="H933">
        <v>1.0518879999999999</v>
      </c>
      <c r="I933">
        <v>298.5849</v>
      </c>
      <c r="J933">
        <v>-205.60919999999999</v>
      </c>
      <c r="K933">
        <v>1.091132</v>
      </c>
      <c r="L933">
        <v>365.5421</v>
      </c>
      <c r="M933">
        <v>0.92881749999999996</v>
      </c>
      <c r="N933">
        <v>0</v>
      </c>
      <c r="O933">
        <v>-0.3702145</v>
      </c>
      <c r="P933">
        <v>0.80764659999999999</v>
      </c>
      <c r="Q933">
        <v>4.4646620000000003E-3</v>
      </c>
      <c r="R933">
        <v>-0.58965069999999997</v>
      </c>
      <c r="S933">
        <v>1.619629</v>
      </c>
      <c r="T933">
        <v>-1.701117E-3</v>
      </c>
      <c r="U933">
        <v>-2.897278</v>
      </c>
      <c r="V933">
        <v>0.24920389999999901</v>
      </c>
      <c r="W933">
        <v>1.1418879999999999E-2</v>
      </c>
      <c r="X933">
        <v>0.96838369999999996</v>
      </c>
      <c r="Y933">
        <v>0.63016729999999999</v>
      </c>
      <c r="Z933" s="1">
        <v>2.0878189999999999E-5</v>
      </c>
      <c r="AA933">
        <v>0.77645929999999996</v>
      </c>
      <c r="AB933">
        <v>37</v>
      </c>
      <c r="AC933">
        <v>37.258699999999898</v>
      </c>
      <c r="AD933">
        <v>-3.9244000000000001E-2</v>
      </c>
      <c r="AE933">
        <v>-66.9572</v>
      </c>
      <c r="AF933">
        <v>48.403086612474098</v>
      </c>
      <c r="AG933">
        <v>-3.9244000000000001E-2</v>
      </c>
      <c r="AH933">
        <v>59.402150497549002</v>
      </c>
      <c r="AI933">
        <v>90.029344200417299</v>
      </c>
      <c r="AJ933">
        <v>50.825568541037903</v>
      </c>
      <c r="AK933">
        <v>76.625555902973204</v>
      </c>
    </row>
    <row r="934" spans="1:37" x14ac:dyDescent="0.2">
      <c r="A934" t="str">
        <f>"20200111153419475"</f>
        <v>20200111153419475</v>
      </c>
      <c r="B934" t="str">
        <f>"1578728059467190"</f>
        <v>1578728059467190</v>
      </c>
      <c r="C934" t="s">
        <v>37</v>
      </c>
      <c r="D934">
        <v>4.8400910000000001</v>
      </c>
      <c r="E934">
        <v>0.6799328</v>
      </c>
      <c r="F934" t="s">
        <v>47</v>
      </c>
      <c r="G934">
        <v>-157.25</v>
      </c>
      <c r="H934">
        <v>1.848624</v>
      </c>
      <c r="I934">
        <v>275.78519999999997</v>
      </c>
      <c r="J934">
        <v>-205.40170000000001</v>
      </c>
      <c r="K934">
        <v>1.090946</v>
      </c>
      <c r="L934">
        <v>365.45319999999998</v>
      </c>
      <c r="M934">
        <v>0.92560379999999998</v>
      </c>
      <c r="N934">
        <v>0</v>
      </c>
      <c r="O934">
        <v>-0.37817539999999999</v>
      </c>
      <c r="P934">
        <v>0.80128509999999997</v>
      </c>
      <c r="Q934">
        <v>3.6772350000000001E-3</v>
      </c>
      <c r="R934">
        <v>-0.59827169999999996</v>
      </c>
      <c r="S934">
        <v>1.577194</v>
      </c>
      <c r="T934">
        <v>2.4707440000000001E-2</v>
      </c>
      <c r="U934">
        <v>-2.9273380000000002</v>
      </c>
      <c r="V934">
        <v>0.25124419999999997</v>
      </c>
      <c r="W934">
        <v>1.0491E-2</v>
      </c>
      <c r="X934">
        <v>0.96786679999999903</v>
      </c>
      <c r="Y934">
        <v>0.63555329999999999</v>
      </c>
      <c r="Z934">
        <v>-3.4335809999999899E-4</v>
      </c>
      <c r="AA934">
        <v>0.77205690000000005</v>
      </c>
      <c r="AB934">
        <v>37</v>
      </c>
      <c r="AC934">
        <v>48.151699999999998</v>
      </c>
      <c r="AD934">
        <v>0.75767799999999996</v>
      </c>
      <c r="AE934">
        <v>-89.667999999999907</v>
      </c>
      <c r="AF934">
        <v>64.791469865411202</v>
      </c>
      <c r="AG934">
        <v>0.75767799999999996</v>
      </c>
      <c r="AH934">
        <v>78.484736179095606</v>
      </c>
      <c r="AI934">
        <v>89.573454102352301</v>
      </c>
      <c r="AJ934">
        <v>50.459319628456001</v>
      </c>
      <c r="AK934">
        <v>101.776040679397</v>
      </c>
    </row>
    <row r="935" spans="1:37" x14ac:dyDescent="0.2">
      <c r="A935" t="str">
        <f>"20200111153419491"</f>
        <v>20200111153419491</v>
      </c>
      <c r="B935" t="str">
        <f>"1578728059487387"</f>
        <v>1578728059487387</v>
      </c>
      <c r="C935" t="s">
        <v>37</v>
      </c>
      <c r="D935">
        <v>4.7829030000000001</v>
      </c>
      <c r="E935">
        <v>0.67911460000000001</v>
      </c>
      <c r="F935" t="s">
        <v>47</v>
      </c>
      <c r="G935">
        <v>-157.25</v>
      </c>
      <c r="H935">
        <v>1.9756590000000001</v>
      </c>
      <c r="I935">
        <v>273.67599999999999</v>
      </c>
      <c r="J935">
        <v>-205.18819999999999</v>
      </c>
      <c r="K935">
        <v>1.090757</v>
      </c>
      <c r="L935">
        <v>365.35910000000001</v>
      </c>
      <c r="M935">
        <v>0.92215840000000004</v>
      </c>
      <c r="N935">
        <v>0</v>
      </c>
      <c r="O935">
        <v>-0.386499599999999</v>
      </c>
      <c r="P935">
        <v>0.79334969999999905</v>
      </c>
      <c r="Q935">
        <v>2.029837E-3</v>
      </c>
      <c r="R935">
        <v>-0.6087629</v>
      </c>
      <c r="S935">
        <v>1.545059</v>
      </c>
      <c r="T935">
        <v>2.8390530000000001E-2</v>
      </c>
      <c r="U935">
        <v>-2.94488499999999</v>
      </c>
      <c r="V935">
        <v>0.25520369999999998</v>
      </c>
      <c r="W935">
        <v>8.6323770000000001E-3</v>
      </c>
      <c r="X935">
        <v>0.96684879999999995</v>
      </c>
      <c r="Y935">
        <v>0.63709389999999999</v>
      </c>
      <c r="Z935">
        <v>-4.6723659999999998E-4</v>
      </c>
      <c r="AA935">
        <v>0.77078599999999997</v>
      </c>
      <c r="AB935">
        <v>37</v>
      </c>
      <c r="AC935">
        <v>47.938200000000002</v>
      </c>
      <c r="AD935">
        <v>0.88490199999999997</v>
      </c>
      <c r="AE935">
        <v>-91.683099999999996</v>
      </c>
      <c r="AF935">
        <v>66.021403643062499</v>
      </c>
      <c r="AG935">
        <v>0.88490199999999997</v>
      </c>
      <c r="AH935">
        <v>79.645904945505805</v>
      </c>
      <c r="AI935">
        <v>89.509918013285898</v>
      </c>
      <c r="AJ935">
        <v>50.343422311842801</v>
      </c>
      <c r="AK935">
        <v>103.455685997137</v>
      </c>
    </row>
    <row r="936" spans="1:37" x14ac:dyDescent="0.2">
      <c r="A936" t="str">
        <f>"20200111153419503"</f>
        <v>20200111153419503</v>
      </c>
      <c r="B936" t="str">
        <f>"1578728059497150"</f>
        <v>1578728059497150</v>
      </c>
      <c r="C936" t="s">
        <v>37</v>
      </c>
      <c r="D936">
        <v>4.7980929999999997</v>
      </c>
      <c r="E936">
        <v>0.67869000000000002</v>
      </c>
      <c r="F936" t="s">
        <v>47</v>
      </c>
      <c r="G936">
        <v>-157.25</v>
      </c>
      <c r="H936">
        <v>2.013547</v>
      </c>
      <c r="I936">
        <v>271.39030000000002</v>
      </c>
      <c r="J936">
        <v>-204.99260000000001</v>
      </c>
      <c r="K936">
        <v>1.0905929999999999</v>
      </c>
      <c r="L936">
        <v>365.2713</v>
      </c>
      <c r="M936">
        <v>0.91889809999999905</v>
      </c>
      <c r="N936">
        <v>0</v>
      </c>
      <c r="O936">
        <v>-0.39418619999999999</v>
      </c>
      <c r="P936">
        <v>0.78714219999999901</v>
      </c>
      <c r="Q936">
        <v>1.9375110000000001E-3</v>
      </c>
      <c r="R936">
        <v>-0.61676869999999995</v>
      </c>
      <c r="S936">
        <v>1.5100559999999901</v>
      </c>
      <c r="T936">
        <v>2.907038E-2</v>
      </c>
      <c r="U936">
        <v>-2.9600219999999999</v>
      </c>
      <c r="V936">
        <v>0.2569246</v>
      </c>
      <c r="W936">
        <v>8.4159019999999994E-3</v>
      </c>
      <c r="X936">
        <v>0.9663948</v>
      </c>
      <c r="Y936">
        <v>0.63947559999999903</v>
      </c>
      <c r="Z936">
        <v>-5.4226699999999895E-4</v>
      </c>
      <c r="AA936">
        <v>0.76881129999999998</v>
      </c>
      <c r="AB936">
        <v>37</v>
      </c>
      <c r="AC936">
        <v>47.742600000000003</v>
      </c>
      <c r="AD936">
        <v>0.92295400000000005</v>
      </c>
      <c r="AE936">
        <v>-93.880999999999901</v>
      </c>
      <c r="AF936">
        <v>67.450632814210607</v>
      </c>
      <c r="AG936">
        <v>0.92295400000000005</v>
      </c>
      <c r="AH936">
        <v>80.880817606973196</v>
      </c>
      <c r="AI936">
        <v>89.497888172184702</v>
      </c>
      <c r="AJ936">
        <v>50.173551999925998</v>
      </c>
      <c r="AK936">
        <v>105.319259244907</v>
      </c>
    </row>
    <row r="937" spans="1:37" x14ac:dyDescent="0.2">
      <c r="A937" t="str">
        <f>"20200111153419515"</f>
        <v>20200111153419515</v>
      </c>
      <c r="B937" t="str">
        <f>"1578728059506907"</f>
        <v>1578728059506907</v>
      </c>
      <c r="C937" t="s">
        <v>37</v>
      </c>
      <c r="D937">
        <v>4.8147060000000002</v>
      </c>
      <c r="E937">
        <v>0.67820400000000003</v>
      </c>
      <c r="F937" t="s">
        <v>47</v>
      </c>
      <c r="G937">
        <v>-157.40719999999999</v>
      </c>
      <c r="H937">
        <v>1.994032</v>
      </c>
      <c r="I937">
        <v>269.82209999999998</v>
      </c>
      <c r="J937">
        <v>-204.7929</v>
      </c>
      <c r="K937">
        <v>1.0904339999999999</v>
      </c>
      <c r="L937">
        <v>365.17950000000002</v>
      </c>
      <c r="M937">
        <v>0.91544749999999997</v>
      </c>
      <c r="N937">
        <v>0</v>
      </c>
      <c r="O937">
        <v>-0.40213330000000003</v>
      </c>
      <c r="P937">
        <v>0.78077909999999995</v>
      </c>
      <c r="Q937">
        <v>2.0713300000000001E-3</v>
      </c>
      <c r="R937">
        <v>-0.62480409999999997</v>
      </c>
      <c r="S937">
        <v>1.4819639999999901</v>
      </c>
      <c r="T937">
        <v>2.8138400000000001E-2</v>
      </c>
      <c r="U937">
        <v>-2.9725950000000001</v>
      </c>
      <c r="V937">
        <v>0.25846370000000002</v>
      </c>
      <c r="W937">
        <v>8.4321139999999992E-3</v>
      </c>
      <c r="X937">
        <v>0.96598419999999896</v>
      </c>
      <c r="Y937">
        <v>0.63992899999999997</v>
      </c>
      <c r="Z937">
        <v>-6.0042059999999896E-4</v>
      </c>
      <c r="AA937">
        <v>0.76843379999999994</v>
      </c>
      <c r="AB937">
        <v>37</v>
      </c>
      <c r="AC937">
        <v>47.3857</v>
      </c>
      <c r="AD937">
        <v>0.90359799999999901</v>
      </c>
      <c r="AE937">
        <v>-95.357399999999998</v>
      </c>
      <c r="AF937">
        <v>68.242761371120196</v>
      </c>
      <c r="AG937">
        <v>0.90359799999999901</v>
      </c>
      <c r="AH937">
        <v>81.729621419496397</v>
      </c>
      <c r="AI937">
        <v>89.513769587044095</v>
      </c>
      <c r="AJ937">
        <v>50.138726806352103</v>
      </c>
      <c r="AK937">
        <v>106.47827001917</v>
      </c>
    </row>
    <row r="938" spans="1:37" x14ac:dyDescent="0.2">
      <c r="A938" t="str">
        <f>"20200111153419527"</f>
        <v>20200111153419527</v>
      </c>
      <c r="B938" t="str">
        <f>"1578728059517643"</f>
        <v>1578728059517643</v>
      </c>
      <c r="C938" t="s">
        <v>37</v>
      </c>
      <c r="D938">
        <v>4.7901739999999897</v>
      </c>
      <c r="E938">
        <v>0.67759259999999999</v>
      </c>
      <c r="F938" t="s">
        <v>47</v>
      </c>
      <c r="G938">
        <v>-157.8382</v>
      </c>
      <c r="H938">
        <v>2.0450390000000001</v>
      </c>
      <c r="I938">
        <v>268.80840000000001</v>
      </c>
      <c r="J938">
        <v>-204.61879999999999</v>
      </c>
      <c r="K938">
        <v>1.0902969999999901</v>
      </c>
      <c r="L938">
        <v>365.09739999999999</v>
      </c>
      <c r="M938">
        <v>0.91233039999999999</v>
      </c>
      <c r="N938">
        <v>0</v>
      </c>
      <c r="O938">
        <v>-0.40915469999999998</v>
      </c>
      <c r="P938">
        <v>0.77518089999999995</v>
      </c>
      <c r="Q938">
        <v>2.7036439999999998E-3</v>
      </c>
      <c r="R938">
        <v>-0.63173389999999996</v>
      </c>
      <c r="S938">
        <v>1.4540709999999999</v>
      </c>
      <c r="T938">
        <v>2.9564139999999999E-2</v>
      </c>
      <c r="U938">
        <v>-2.984375</v>
      </c>
      <c r="V938">
        <v>0.25967199999999901</v>
      </c>
      <c r="W938">
        <v>8.9694890000000006E-3</v>
      </c>
      <c r="X938">
        <v>0.96565519999999905</v>
      </c>
      <c r="Y938">
        <v>0.64101859999999999</v>
      </c>
      <c r="Z938">
        <v>-6.9723880000000004E-4</v>
      </c>
      <c r="AA938">
        <v>0.76752500000000001</v>
      </c>
      <c r="AB938">
        <v>37</v>
      </c>
      <c r="AC938">
        <v>46.7805999999999</v>
      </c>
      <c r="AD938">
        <v>0.95474199999999998</v>
      </c>
      <c r="AE938">
        <v>-96.289000000000001</v>
      </c>
      <c r="AF938">
        <v>68.709855577486294</v>
      </c>
      <c r="AG938">
        <v>0.95474199999999998</v>
      </c>
      <c r="AH938">
        <v>82.080015575020496</v>
      </c>
      <c r="AI938">
        <v>89.488978170084906</v>
      </c>
      <c r="AJ938">
        <v>50.067022063830699</v>
      </c>
      <c r="AK938">
        <v>107.047114592413</v>
      </c>
    </row>
    <row r="939" spans="1:37" x14ac:dyDescent="0.2">
      <c r="A939" t="str">
        <f>"20200111153419539"</f>
        <v>20200111153419539</v>
      </c>
      <c r="B939" t="str">
        <f>"1578728059527403"</f>
        <v>1578728059527403</v>
      </c>
      <c r="C939" t="s">
        <v>37</v>
      </c>
      <c r="D939">
        <v>4.810613</v>
      </c>
      <c r="E939">
        <v>0.67686199999999996</v>
      </c>
      <c r="F939" t="s">
        <v>47</v>
      </c>
      <c r="G939">
        <v>-157.8382</v>
      </c>
      <c r="H939">
        <v>1.9488319999999999</v>
      </c>
      <c r="I939">
        <v>267.22519999999997</v>
      </c>
      <c r="J939">
        <v>-204.4402</v>
      </c>
      <c r="K939">
        <v>1.0901590000000001</v>
      </c>
      <c r="L939">
        <v>365.01220000000001</v>
      </c>
      <c r="M939">
        <v>0.90905759999999902</v>
      </c>
      <c r="N939">
        <v>0</v>
      </c>
      <c r="O939">
        <v>-0.41637449999999998</v>
      </c>
      <c r="P939">
        <v>0.76936510000000002</v>
      </c>
      <c r="Q939">
        <v>3.7108919999999999E-3</v>
      </c>
      <c r="R939">
        <v>-0.63879919999999901</v>
      </c>
      <c r="S939">
        <v>1.4306639999999999</v>
      </c>
      <c r="T939">
        <v>2.6258469999999999E-2</v>
      </c>
      <c r="U939">
        <v>-2.9931640000000002</v>
      </c>
      <c r="V939">
        <v>0.26089009999999901</v>
      </c>
      <c r="W939">
        <v>9.8787749999999994E-3</v>
      </c>
      <c r="X939">
        <v>0.96531800000000001</v>
      </c>
      <c r="Y939">
        <v>0.6406946</v>
      </c>
      <c r="Z939">
        <v>-6.8796799999999996E-4</v>
      </c>
      <c r="AA939">
        <v>0.76779549999999996</v>
      </c>
      <c r="AB939">
        <v>37</v>
      </c>
      <c r="AC939">
        <v>46.601999999999997</v>
      </c>
      <c r="AD939">
        <v>0.85867299999999902</v>
      </c>
      <c r="AE939">
        <v>-97.787000000000006</v>
      </c>
      <c r="AF939">
        <v>69.494332518586305</v>
      </c>
      <c r="AG939">
        <v>0.85867299999999902</v>
      </c>
      <c r="AH939">
        <v>83.084938593785097</v>
      </c>
      <c r="AI939">
        <v>89.5458024589025</v>
      </c>
      <c r="AJ939">
        <v>50.090041245000002</v>
      </c>
      <c r="AK939">
        <v>108.32038862863099</v>
      </c>
    </row>
    <row r="940" spans="1:37" x14ac:dyDescent="0.2">
      <c r="A940" t="str">
        <f>"20200111153419550"</f>
        <v>20200111153419550</v>
      </c>
      <c r="B940" t="str">
        <f>"1578728059546923"</f>
        <v>1578728059546923</v>
      </c>
      <c r="C940" t="s">
        <v>37</v>
      </c>
      <c r="D940">
        <v>4.835604</v>
      </c>
      <c r="E940">
        <v>0.67524530000000005</v>
      </c>
      <c r="F940" t="s">
        <v>48</v>
      </c>
      <c r="G940">
        <v>-152.61969999999999</v>
      </c>
      <c r="H940">
        <v>1.93480099999999</v>
      </c>
      <c r="I940">
        <v>254.45500000000001</v>
      </c>
      <c r="J940">
        <v>-204.2542</v>
      </c>
      <c r="K940">
        <v>1.0900179999999999</v>
      </c>
      <c r="L940">
        <v>364.9205</v>
      </c>
      <c r="M940">
        <v>0.90550659999999905</v>
      </c>
      <c r="N940">
        <v>0</v>
      </c>
      <c r="O940">
        <v>-0.42403950000000001</v>
      </c>
      <c r="P940">
        <v>0.76335350000000002</v>
      </c>
      <c r="Q940">
        <v>4.724804E-3</v>
      </c>
      <c r="R940">
        <v>-0.64596399999999998</v>
      </c>
      <c r="S940">
        <v>1.406952</v>
      </c>
      <c r="T940">
        <v>2.293384E-2</v>
      </c>
      <c r="U940">
        <v>-3.0016780000000001</v>
      </c>
      <c r="V940">
        <v>0.26180140000000002</v>
      </c>
      <c r="W940">
        <v>1.080761E-2</v>
      </c>
      <c r="X940">
        <v>0.96506119999999995</v>
      </c>
      <c r="Y940">
        <v>0.64001470000000005</v>
      </c>
      <c r="Z940">
        <v>-6.6638389999999997E-4</v>
      </c>
      <c r="AA940">
        <v>0.7683624</v>
      </c>
      <c r="AB940">
        <v>37</v>
      </c>
      <c r="AC940">
        <v>51.634500000000003</v>
      </c>
      <c r="AD940">
        <v>0.84478299999999895</v>
      </c>
      <c r="AE940">
        <v>-110.46550000000001</v>
      </c>
      <c r="AF940">
        <v>78.1381232561872</v>
      </c>
      <c r="AG940">
        <v>0.84478299999999895</v>
      </c>
      <c r="AH940">
        <v>93.604245419857605</v>
      </c>
      <c r="AI940">
        <v>89.603042063663494</v>
      </c>
      <c r="AJ940">
        <v>50.145845203177501</v>
      </c>
      <c r="AK940">
        <v>121.93455098919701</v>
      </c>
    </row>
    <row r="941" spans="1:37" x14ac:dyDescent="0.2">
      <c r="A941" t="str">
        <f>"20200111153419562"</f>
        <v>20200111153419562</v>
      </c>
      <c r="B941" t="str">
        <f>"1578728059557661"</f>
        <v>1578728059557661</v>
      </c>
      <c r="C941" t="s">
        <v>37</v>
      </c>
      <c r="D941">
        <v>4.8395599999999996</v>
      </c>
      <c r="E941">
        <v>0.67442579999999996</v>
      </c>
      <c r="F941" t="s">
        <v>48</v>
      </c>
      <c r="G941">
        <v>-153.2818</v>
      </c>
      <c r="H941">
        <v>1.7384549999999901</v>
      </c>
      <c r="I941">
        <v>254.45500000000001</v>
      </c>
      <c r="J941">
        <v>-204.08369999999999</v>
      </c>
      <c r="K941">
        <v>1.089888</v>
      </c>
      <c r="L941">
        <v>364.83550000000002</v>
      </c>
      <c r="M941">
        <v>0.90216929999999995</v>
      </c>
      <c r="N941">
        <v>0</v>
      </c>
      <c r="O941">
        <v>-0.43109319999999901</v>
      </c>
      <c r="P941">
        <v>0.75769779999999998</v>
      </c>
      <c r="Q941">
        <v>5.5346730000000004E-3</v>
      </c>
      <c r="R941">
        <v>-0.65258229999999995</v>
      </c>
      <c r="S941">
        <v>1.386749</v>
      </c>
      <c r="T941">
        <v>1.764286E-2</v>
      </c>
      <c r="U941">
        <v>-3.0053099999999899</v>
      </c>
      <c r="V941">
        <v>0.26270270000000001</v>
      </c>
      <c r="W941">
        <v>1.153617E-2</v>
      </c>
      <c r="X941">
        <v>0.96480789999999905</v>
      </c>
      <c r="Y941">
        <v>0.63862369999999902</v>
      </c>
      <c r="Z941">
        <v>-5.6241829999999996E-4</v>
      </c>
      <c r="AA941">
        <v>0.76951899999999995</v>
      </c>
      <c r="AB941">
        <v>37</v>
      </c>
      <c r="AC941">
        <v>50.801899999999897</v>
      </c>
      <c r="AD941">
        <v>0.64856699999999901</v>
      </c>
      <c r="AE941">
        <v>-110.3805</v>
      </c>
      <c r="AF941">
        <v>77.689012661255603</v>
      </c>
      <c r="AG941">
        <v>0.64856699999999901</v>
      </c>
      <c r="AH941">
        <v>93.425178047581696</v>
      </c>
      <c r="AI941">
        <v>89.6941745710552</v>
      </c>
      <c r="AJ941">
        <v>50.254309816804302</v>
      </c>
      <c r="AK941">
        <v>121.50830103600499</v>
      </c>
    </row>
    <row r="942" spans="1:37" x14ac:dyDescent="0.2">
      <c r="A942" t="str">
        <f>"20200111153419574"</f>
        <v>20200111153419574</v>
      </c>
      <c r="B942" t="str">
        <f>"1578728059567419"</f>
        <v>1578728059567419</v>
      </c>
      <c r="C942" t="s">
        <v>37</v>
      </c>
      <c r="D942">
        <v>4.8581089999999998</v>
      </c>
      <c r="E942">
        <v>0.67354119999999995</v>
      </c>
      <c r="F942" t="s">
        <v>48</v>
      </c>
      <c r="G942">
        <v>-154.0549</v>
      </c>
      <c r="H942">
        <v>1.6717489999999999</v>
      </c>
      <c r="I942">
        <v>254.45500000000001</v>
      </c>
      <c r="J942">
        <v>-203.9006</v>
      </c>
      <c r="K942">
        <v>1.0897520000000001</v>
      </c>
      <c r="L942">
        <v>364.741999999999</v>
      </c>
      <c r="M942">
        <v>0.89847109999999997</v>
      </c>
      <c r="N942">
        <v>0</v>
      </c>
      <c r="O942">
        <v>-0.43874740000000001</v>
      </c>
      <c r="P942">
        <v>0.75163880000000005</v>
      </c>
      <c r="Q942">
        <v>5.9882959999999997E-3</v>
      </c>
      <c r="R942">
        <v>-0.65954820000000003</v>
      </c>
      <c r="S942">
        <v>1.3651279999999999</v>
      </c>
      <c r="T942">
        <v>1.5878679999999999E-2</v>
      </c>
      <c r="U942">
        <v>-3.0119319999999998</v>
      </c>
      <c r="V942">
        <v>0.26342749999999998</v>
      </c>
      <c r="W942">
        <v>1.19137999999999E-2</v>
      </c>
      <c r="X942">
        <v>0.96460559999999995</v>
      </c>
      <c r="Y942">
        <v>0.63729519999999995</v>
      </c>
      <c r="Z942">
        <v>-5.5400769999999896E-4</v>
      </c>
      <c r="AA942">
        <v>0.77061950000000001</v>
      </c>
      <c r="AB942">
        <v>37</v>
      </c>
      <c r="AC942">
        <v>49.845700000000001</v>
      </c>
      <c r="AD942">
        <v>0.58199699999999999</v>
      </c>
      <c r="AE942">
        <v>-110.286999999999</v>
      </c>
      <c r="AF942">
        <v>77.227894906147696</v>
      </c>
      <c r="AG942">
        <v>0.58199699999999999</v>
      </c>
      <c r="AH942">
        <v>93.182568157012497</v>
      </c>
      <c r="AI942">
        <v>89.724473336727399</v>
      </c>
      <c r="AJ942">
        <v>50.348723268976499</v>
      </c>
      <c r="AK942">
        <v>121.02676348840799</v>
      </c>
    </row>
    <row r="943" spans="1:37" x14ac:dyDescent="0.2">
      <c r="A943" t="str">
        <f>"20200111153419585"</f>
        <v>20200111153419585</v>
      </c>
      <c r="B943" t="str">
        <f>"1578728059577179"</f>
        <v>1578728059577179</v>
      </c>
      <c r="C943" t="s">
        <v>37</v>
      </c>
      <c r="D943">
        <v>4.8404499999999997</v>
      </c>
      <c r="E943">
        <v>0.67272690000000002</v>
      </c>
      <c r="F943" t="s">
        <v>48</v>
      </c>
      <c r="G943">
        <v>-155.09190000000001</v>
      </c>
      <c r="H943">
        <v>1.5663320000000001</v>
      </c>
      <c r="I943">
        <v>254.97470000000001</v>
      </c>
      <c r="J943">
        <v>-203.72819999999999</v>
      </c>
      <c r="K943">
        <v>1.089626</v>
      </c>
      <c r="L943">
        <v>364.65199999999999</v>
      </c>
      <c r="M943">
        <v>0.89487890000000003</v>
      </c>
      <c r="N943">
        <v>0</v>
      </c>
      <c r="O943">
        <v>-0.44602730000000002</v>
      </c>
      <c r="P943">
        <v>0.74579439999999997</v>
      </c>
      <c r="Q943">
        <v>5.8193339999999998E-3</v>
      </c>
      <c r="R943">
        <v>-0.66615150000000001</v>
      </c>
      <c r="S943">
        <v>1.3423</v>
      </c>
      <c r="T943">
        <v>1.3108130000000001E-2</v>
      </c>
      <c r="U943">
        <v>-3.0187379999999999</v>
      </c>
      <c r="V943">
        <v>0.26410050000000002</v>
      </c>
      <c r="W943">
        <v>1.167492E-2</v>
      </c>
      <c r="X943">
        <v>0.96442450000000002</v>
      </c>
      <c r="Y943">
        <v>0.63654419999999901</v>
      </c>
      <c r="Z943">
        <v>-4.9375180000000001E-4</v>
      </c>
      <c r="AA943">
        <v>0.77124019999999904</v>
      </c>
      <c r="AB943">
        <v>37</v>
      </c>
      <c r="AC943">
        <v>48.636299999999899</v>
      </c>
      <c r="AD943">
        <v>0.47670600000000002</v>
      </c>
      <c r="AE943">
        <v>-109.67729999999899</v>
      </c>
      <c r="AF943">
        <v>76.463189132811607</v>
      </c>
      <c r="AG943">
        <v>0.47670600000000002</v>
      </c>
      <c r="AH943">
        <v>92.452831401539697</v>
      </c>
      <c r="AI943">
        <v>89.7723445647311</v>
      </c>
      <c r="AJ943">
        <v>50.407522958389201</v>
      </c>
      <c r="AK943">
        <v>119.976550105143</v>
      </c>
    </row>
    <row r="944" spans="1:37" x14ac:dyDescent="0.2">
      <c r="A944" t="str">
        <f>"20200111153419597"</f>
        <v>20200111153419597</v>
      </c>
      <c r="B944" t="str">
        <f>"1578728059586939"</f>
        <v>1578728059586939</v>
      </c>
      <c r="C944" t="s">
        <v>37</v>
      </c>
      <c r="D944">
        <v>4.8293699999999999</v>
      </c>
      <c r="E944">
        <v>0.67194209999999999</v>
      </c>
      <c r="F944" t="s">
        <v>48</v>
      </c>
      <c r="G944">
        <v>-155.8948</v>
      </c>
      <c r="H944">
        <v>1.353512</v>
      </c>
      <c r="I944">
        <v>254.97470000000001</v>
      </c>
      <c r="J944">
        <v>-203.5557</v>
      </c>
      <c r="K944">
        <v>1.089499</v>
      </c>
      <c r="L944">
        <v>364.56079999999997</v>
      </c>
      <c r="M944">
        <v>0.89119550000000003</v>
      </c>
      <c r="N944">
        <v>0</v>
      </c>
      <c r="O944">
        <v>-0.45334059999999998</v>
      </c>
      <c r="P944">
        <v>0.7398574</v>
      </c>
      <c r="Q944">
        <v>6.0169050000000003E-3</v>
      </c>
      <c r="R944">
        <v>-0.67273689999999997</v>
      </c>
      <c r="S944">
        <v>1.3197019999999999</v>
      </c>
      <c r="T944">
        <v>7.2820189999999998E-3</v>
      </c>
      <c r="U944">
        <v>-3.0259399999999999</v>
      </c>
      <c r="V944">
        <v>0.26476459999999902</v>
      </c>
      <c r="W944">
        <v>1.180222E-2</v>
      </c>
      <c r="X944">
        <v>0.96424080000000001</v>
      </c>
      <c r="Y944">
        <v>0.63573649999999904</v>
      </c>
      <c r="Z944">
        <v>-2.947224E-4</v>
      </c>
      <c r="AA944">
        <v>0.77190609999999904</v>
      </c>
      <c r="AB944">
        <v>37</v>
      </c>
      <c r="AC944">
        <v>47.660899999999998</v>
      </c>
      <c r="AD944">
        <v>0.264013</v>
      </c>
      <c r="AE944">
        <v>-109.58609999999901</v>
      </c>
      <c r="AF944">
        <v>76.065265303112696</v>
      </c>
      <c r="AG944">
        <v>0.264013</v>
      </c>
      <c r="AH944">
        <v>92.1662124190821</v>
      </c>
      <c r="AI944">
        <v>89.873417113618203</v>
      </c>
      <c r="AJ944">
        <v>50.466961383625197</v>
      </c>
      <c r="AK944">
        <v>119.501485347155</v>
      </c>
    </row>
    <row r="945" spans="1:37" x14ac:dyDescent="0.2">
      <c r="A945" t="str">
        <f>"20200111153419614"</f>
        <v>20200111153419614</v>
      </c>
      <c r="B945" t="str">
        <f>"1578728059607435"</f>
        <v>1578728059607435</v>
      </c>
      <c r="C945" t="s">
        <v>37</v>
      </c>
      <c r="D945">
        <v>4.8845219999999996</v>
      </c>
      <c r="E945">
        <v>0.67054309999999995</v>
      </c>
      <c r="F945" t="s">
        <v>48</v>
      </c>
      <c r="G945">
        <v>-156.68879999999999</v>
      </c>
      <c r="H945">
        <v>1.189705</v>
      </c>
      <c r="I945">
        <v>254.97470000000001</v>
      </c>
      <c r="J945">
        <v>-203.32570000000001</v>
      </c>
      <c r="K945">
        <v>1.089342</v>
      </c>
      <c r="L945">
        <v>364.43520000000001</v>
      </c>
      <c r="M945">
        <v>0.88608600000000004</v>
      </c>
      <c r="N945">
        <v>0</v>
      </c>
      <c r="O945">
        <v>-0.4632463</v>
      </c>
      <c r="P945">
        <v>0.73171030000000004</v>
      </c>
      <c r="Q945">
        <v>6.2477919999999899E-3</v>
      </c>
      <c r="R945">
        <v>-0.68158750000000001</v>
      </c>
      <c r="S945">
        <v>1.2970729999999999</v>
      </c>
      <c r="T945">
        <v>2.7748349999999998E-3</v>
      </c>
      <c r="U945">
        <v>-3.032867</v>
      </c>
      <c r="V945">
        <v>0.265629</v>
      </c>
      <c r="W945">
        <v>1.194479E-2</v>
      </c>
      <c r="X945">
        <v>0.96400129999999995</v>
      </c>
      <c r="Y945">
        <v>0.63262890000000005</v>
      </c>
      <c r="Z945">
        <v>-1.2396E-4</v>
      </c>
      <c r="AA945">
        <v>0.77445509999999995</v>
      </c>
      <c r="AB945">
        <v>37</v>
      </c>
      <c r="AC945">
        <v>46.636899999999997</v>
      </c>
      <c r="AD945">
        <v>0.10036299999999899</v>
      </c>
      <c r="AE945">
        <v>-109.4605</v>
      </c>
      <c r="AF945">
        <v>75.396585144390002</v>
      </c>
      <c r="AG945">
        <v>0.10036299999999899</v>
      </c>
      <c r="AH945">
        <v>92.043121986288</v>
      </c>
      <c r="AI945">
        <v>89.951669980609296</v>
      </c>
      <c r="AJ945">
        <v>50.677580689121697</v>
      </c>
      <c r="AK945">
        <v>118.981475151175</v>
      </c>
    </row>
    <row r="946" spans="1:37" x14ac:dyDescent="0.2">
      <c r="A946" t="str">
        <f>"20200111153419625"</f>
        <v>20200111153419625</v>
      </c>
      <c r="B946" t="str">
        <f>"1578728059617197"</f>
        <v>1578728059617197</v>
      </c>
      <c r="C946" t="s">
        <v>37</v>
      </c>
      <c r="D946">
        <v>4.8871799999999999</v>
      </c>
      <c r="E946">
        <v>0.66983990000000004</v>
      </c>
      <c r="F946" t="s">
        <v>48</v>
      </c>
      <c r="G946">
        <v>-157.65610000000001</v>
      </c>
      <c r="H946">
        <v>0.93478969999999995</v>
      </c>
      <c r="I946">
        <v>254.97470000000001</v>
      </c>
      <c r="J946">
        <v>-203.15280000000001</v>
      </c>
      <c r="K946">
        <v>1.089224</v>
      </c>
      <c r="L946">
        <v>364.33890000000002</v>
      </c>
      <c r="M946">
        <v>0.8821194</v>
      </c>
      <c r="N946">
        <v>0</v>
      </c>
      <c r="O946">
        <v>-0.47075450000000002</v>
      </c>
      <c r="P946">
        <v>0.72554890000000005</v>
      </c>
      <c r="Q946">
        <v>6.7345959999999998E-3</v>
      </c>
      <c r="R946">
        <v>-0.68813809999999997</v>
      </c>
      <c r="S946">
        <v>1.2683409999999999</v>
      </c>
      <c r="T946">
        <v>-4.2906999999999997E-3</v>
      </c>
      <c r="U946">
        <v>-3.0399479999999999</v>
      </c>
      <c r="V946">
        <v>0.26613300000000001</v>
      </c>
      <c r="W946">
        <v>1.2370569999999999E-2</v>
      </c>
      <c r="X946">
        <v>0.96385689999999902</v>
      </c>
      <c r="Y946">
        <v>0.63291750000000002</v>
      </c>
      <c r="Z946">
        <v>2.0333180000000001E-4</v>
      </c>
      <c r="AA946">
        <v>0.77421930000000005</v>
      </c>
      <c r="AB946">
        <v>37</v>
      </c>
      <c r="AC946">
        <v>45.496699999999997</v>
      </c>
      <c r="AD946">
        <v>-0.1544343</v>
      </c>
      <c r="AE946">
        <v>-109.3642</v>
      </c>
      <c r="AF946">
        <v>75.063971112884005</v>
      </c>
      <c r="AG946">
        <v>-0.1544343</v>
      </c>
      <c r="AH946">
        <v>91.628764553003194</v>
      </c>
      <c r="AI946">
        <v>90.074701729312295</v>
      </c>
      <c r="AJ946">
        <v>50.675034495181102</v>
      </c>
      <c r="AK946">
        <v>118.450217824614</v>
      </c>
    </row>
    <row r="947" spans="1:37" x14ac:dyDescent="0.2">
      <c r="A947" t="str">
        <f>"20200111153419636"</f>
        <v>20200111153419636</v>
      </c>
      <c r="B947" t="str">
        <f>"1578728059626955"</f>
        <v>1578728059626955</v>
      </c>
      <c r="C947" t="s">
        <v>37</v>
      </c>
      <c r="D947">
        <v>4.8945019999999904</v>
      </c>
      <c r="E947">
        <v>0.66913210000000001</v>
      </c>
      <c r="F947" t="s">
        <v>47</v>
      </c>
      <c r="G947">
        <v>-165.6808</v>
      </c>
      <c r="H947">
        <v>0.87330719999999995</v>
      </c>
      <c r="I947">
        <v>272.61509999999998</v>
      </c>
      <c r="J947">
        <v>-202.98869999999999</v>
      </c>
      <c r="K947">
        <v>1.0891139999999999</v>
      </c>
      <c r="L947">
        <v>364.24610000000001</v>
      </c>
      <c r="M947">
        <v>0.87826009999999999</v>
      </c>
      <c r="N947">
        <v>0</v>
      </c>
      <c r="O947">
        <v>-0.47791469999999903</v>
      </c>
      <c r="P947">
        <v>0.720004599999999</v>
      </c>
      <c r="Q947">
        <v>7.3740619999999998E-3</v>
      </c>
      <c r="R947">
        <v>-0.69393019999999905</v>
      </c>
      <c r="S947">
        <v>1.2448429999999999</v>
      </c>
      <c r="T947">
        <v>-7.17032E-3</v>
      </c>
      <c r="U947">
        <v>-3.0471189999999999</v>
      </c>
      <c r="V947">
        <v>0.26604729999999999</v>
      </c>
      <c r="W947">
        <v>1.297658E-2</v>
      </c>
      <c r="X947">
        <v>0.96387259999999997</v>
      </c>
      <c r="Y947">
        <v>0.63236930000000002</v>
      </c>
      <c r="Z947">
        <v>3.5939739999999999E-4</v>
      </c>
      <c r="AA947">
        <v>0.77466699999999999</v>
      </c>
      <c r="AB947">
        <v>37</v>
      </c>
      <c r="AC947">
        <v>37.307899999999897</v>
      </c>
      <c r="AD947">
        <v>-0.21580679999999899</v>
      </c>
      <c r="AE947">
        <v>-91.631</v>
      </c>
      <c r="AF947">
        <v>62.653602557357601</v>
      </c>
      <c r="AG947">
        <v>-0.21580679999999899</v>
      </c>
      <c r="AH947">
        <v>76.567307027932003</v>
      </c>
      <c r="AI947">
        <v>90.124979707003902</v>
      </c>
      <c r="AJ947">
        <v>50.707175865807201</v>
      </c>
      <c r="AK947">
        <v>98.934690536231301</v>
      </c>
    </row>
    <row r="948" spans="1:37" x14ac:dyDescent="0.2">
      <c r="A948" t="str">
        <f>"20200111153419649"</f>
        <v>20200111153419649</v>
      </c>
      <c r="B948" t="str">
        <f>"1578728059637691"</f>
        <v>1578728059637691</v>
      </c>
      <c r="C948" t="s">
        <v>37</v>
      </c>
      <c r="D948">
        <v>4.8722490000000001</v>
      </c>
      <c r="E948">
        <v>0.66851340000000004</v>
      </c>
      <c r="F948" t="s">
        <v>47</v>
      </c>
      <c r="G948">
        <v>-166.23990000000001</v>
      </c>
      <c r="H948">
        <v>0.81620499999999996</v>
      </c>
      <c r="I948">
        <v>272.61509999999998</v>
      </c>
      <c r="J948">
        <v>-202.809</v>
      </c>
      <c r="K948">
        <v>1.089</v>
      </c>
      <c r="L948">
        <v>364.14150000000001</v>
      </c>
      <c r="M948">
        <v>0.87388909999999997</v>
      </c>
      <c r="N948">
        <v>0</v>
      </c>
      <c r="O948">
        <v>-0.48586019999999902</v>
      </c>
      <c r="P948">
        <v>0.7138002</v>
      </c>
      <c r="Q948">
        <v>8.198136E-3</v>
      </c>
      <c r="R948">
        <v>-0.70030159999999997</v>
      </c>
      <c r="S948">
        <v>1.22438</v>
      </c>
      <c r="T948">
        <v>-9.0900659999999904E-3</v>
      </c>
      <c r="U948">
        <v>-3.0529169999999999</v>
      </c>
      <c r="V948">
        <v>0.26591179999999998</v>
      </c>
      <c r="W948">
        <v>1.376902E-2</v>
      </c>
      <c r="X948">
        <v>0.96389899999999995</v>
      </c>
      <c r="Y948">
        <v>0.63031859999999995</v>
      </c>
      <c r="Z948">
        <v>4.8580219999999998E-4</v>
      </c>
      <c r="AA948">
        <v>0.77633640000000004</v>
      </c>
      <c r="AB948">
        <v>37</v>
      </c>
      <c r="AC948">
        <v>36.569099999999999</v>
      </c>
      <c r="AD948">
        <v>-0.27279499999999901</v>
      </c>
      <c r="AE948">
        <v>-91.526399999999995</v>
      </c>
      <c r="AF948">
        <v>62.223994771116502</v>
      </c>
      <c r="AG948">
        <v>-0.27279499999999901</v>
      </c>
      <c r="AH948">
        <v>76.435637067929306</v>
      </c>
      <c r="AI948">
        <v>90.158581926919297</v>
      </c>
      <c r="AJ948">
        <v>50.851982354208701</v>
      </c>
      <c r="AK948">
        <v>98.561181792672201</v>
      </c>
    </row>
    <row r="949" spans="1:37" x14ac:dyDescent="0.2">
      <c r="A949" t="str">
        <f>"20200111153419662"</f>
        <v>20200111153419662</v>
      </c>
      <c r="B949" t="str">
        <f>"1578728059657212"</f>
        <v>1578728059657212</v>
      </c>
      <c r="C949" t="s">
        <v>37</v>
      </c>
      <c r="D949">
        <v>4.9094319999999998</v>
      </c>
      <c r="E949">
        <v>0.66736879999999998</v>
      </c>
      <c r="F949" t="s">
        <v>47</v>
      </c>
      <c r="G949">
        <v>-166.89330000000001</v>
      </c>
      <c r="H949">
        <v>0.82121749999999905</v>
      </c>
      <c r="I949">
        <v>272.61509999999998</v>
      </c>
      <c r="J949">
        <v>-202.63030000000001</v>
      </c>
      <c r="K949">
        <v>1.0888869999999999</v>
      </c>
      <c r="L949">
        <v>364.03620000000001</v>
      </c>
      <c r="M949">
        <v>0.86943499999999996</v>
      </c>
      <c r="N949">
        <v>0</v>
      </c>
      <c r="O949">
        <v>-0.49378529999999998</v>
      </c>
      <c r="P949">
        <v>0.7073393</v>
      </c>
      <c r="Q949">
        <v>9.3810519999999904E-3</v>
      </c>
      <c r="R949">
        <v>-0.706812</v>
      </c>
      <c r="S949">
        <v>1.20079</v>
      </c>
      <c r="T949">
        <v>-8.9503529999999994E-3</v>
      </c>
      <c r="U949">
        <v>-3.0600589999999999</v>
      </c>
      <c r="V949">
        <v>0.26603599999999999</v>
      </c>
      <c r="W949">
        <v>1.490997E-2</v>
      </c>
      <c r="X949">
        <v>0.96384780000000003</v>
      </c>
      <c r="Y949">
        <v>0.6290578</v>
      </c>
      <c r="Z949">
        <v>5.0668309999999999E-4</v>
      </c>
      <c r="AA949">
        <v>0.7773584</v>
      </c>
      <c r="AB949">
        <v>37</v>
      </c>
      <c r="AC949">
        <v>35.736999999999902</v>
      </c>
      <c r="AD949">
        <v>-0.2676695</v>
      </c>
      <c r="AE949">
        <v>-91.421099999999996</v>
      </c>
      <c r="AF949">
        <v>61.845844149280403</v>
      </c>
      <c r="AG949">
        <v>-0.2676695</v>
      </c>
      <c r="AH949">
        <v>76.222693230748305</v>
      </c>
      <c r="AI949">
        <v>90.156242408402207</v>
      </c>
      <c r="AJ949">
        <v>50.944691267734797</v>
      </c>
      <c r="AK949">
        <v>98.157419734053093</v>
      </c>
    </row>
    <row r="950" spans="1:37" x14ac:dyDescent="0.2">
      <c r="A950" t="str">
        <f>"20200111153419673"</f>
        <v>20200111153419673</v>
      </c>
      <c r="B950" t="str">
        <f>"1578728059666971"</f>
        <v>1578728059666971</v>
      </c>
      <c r="C950" t="s">
        <v>37</v>
      </c>
      <c r="D950">
        <v>4.9323550000000003</v>
      </c>
      <c r="E950">
        <v>0.66683269999999994</v>
      </c>
      <c r="F950" t="s">
        <v>47</v>
      </c>
      <c r="G950">
        <v>-167.4443</v>
      </c>
      <c r="H950">
        <v>0.7599669</v>
      </c>
      <c r="I950">
        <v>272.61509999999998</v>
      </c>
      <c r="J950">
        <v>-202.4479</v>
      </c>
      <c r="K950">
        <v>1.088775</v>
      </c>
      <c r="L950">
        <v>363.92590000000001</v>
      </c>
      <c r="M950">
        <v>0.8647359</v>
      </c>
      <c r="N950">
        <v>0</v>
      </c>
      <c r="O950">
        <v>-0.50196770000000002</v>
      </c>
      <c r="P950">
        <v>0.70105329999999999</v>
      </c>
      <c r="Q950">
        <v>1.081185E-2</v>
      </c>
      <c r="R950">
        <v>-0.71302739999999998</v>
      </c>
      <c r="S950">
        <v>1.1793819999999999</v>
      </c>
      <c r="T950">
        <v>-1.102233E-2</v>
      </c>
      <c r="U950">
        <v>-3.0643009999999999</v>
      </c>
      <c r="V950">
        <v>0.26551720000000001</v>
      </c>
      <c r="W950">
        <v>1.6328390000000002E-2</v>
      </c>
      <c r="X950">
        <v>0.96396789999999999</v>
      </c>
      <c r="Y950">
        <v>0.62680409999999998</v>
      </c>
      <c r="Z950">
        <v>6.6248369999999997E-4</v>
      </c>
      <c r="AA950">
        <v>0.77917669999999895</v>
      </c>
      <c r="AB950">
        <v>37</v>
      </c>
      <c r="AC950">
        <v>35.003599999999999</v>
      </c>
      <c r="AD950">
        <v>-0.32880809999999999</v>
      </c>
      <c r="AE950">
        <v>-91.3108</v>
      </c>
      <c r="AF950">
        <v>61.396345962587603</v>
      </c>
      <c r="AG950">
        <v>-0.32880809999999999</v>
      </c>
      <c r="AH950">
        <v>76.112986317552</v>
      </c>
      <c r="AI950">
        <v>90.192651894186994</v>
      </c>
      <c r="AJ950">
        <v>51.108705495498597</v>
      </c>
      <c r="AK950">
        <v>97.7896011777338</v>
      </c>
    </row>
    <row r="951" spans="1:37" x14ac:dyDescent="0.2">
      <c r="A951" t="str">
        <f>"20200111153419686"</f>
        <v>20200111153419686</v>
      </c>
      <c r="B951" t="str">
        <f>"1578728059676731"</f>
        <v>1578728059676731</v>
      </c>
      <c r="C951" t="s">
        <v>37</v>
      </c>
      <c r="D951">
        <v>4.88035</v>
      </c>
      <c r="E951">
        <v>0.66683269999999994</v>
      </c>
      <c r="F951" t="s">
        <v>47</v>
      </c>
      <c r="G951">
        <v>-168.09889999999999</v>
      </c>
      <c r="H951">
        <v>0.80410099999999995</v>
      </c>
      <c r="I951">
        <v>272.61509999999998</v>
      </c>
      <c r="J951">
        <v>-202.273</v>
      </c>
      <c r="K951">
        <v>1.088673</v>
      </c>
      <c r="L951">
        <v>363.81790000000001</v>
      </c>
      <c r="M951">
        <v>0.86009910000000001</v>
      </c>
      <c r="N951">
        <v>0</v>
      </c>
      <c r="O951">
        <v>-0.50987079999999996</v>
      </c>
      <c r="P951">
        <v>0.69488240000000001</v>
      </c>
      <c r="Q951">
        <v>1.199452E-2</v>
      </c>
      <c r="R951">
        <v>-0.71902369999999904</v>
      </c>
      <c r="S951">
        <v>1.1554409999999999</v>
      </c>
      <c r="T951">
        <v>-9.5733399999999996E-3</v>
      </c>
      <c r="U951">
        <v>-3.0715330000000001</v>
      </c>
      <c r="V951">
        <v>0.26502559999999997</v>
      </c>
      <c r="W951">
        <v>1.7500290000000002E-2</v>
      </c>
      <c r="X951">
        <v>0.96408249999999995</v>
      </c>
      <c r="Y951">
        <v>0.6255849</v>
      </c>
      <c r="Z951">
        <v>6.0573120000000005E-4</v>
      </c>
      <c r="AA951">
        <v>0.78015579999999995</v>
      </c>
      <c r="AB951">
        <v>37</v>
      </c>
      <c r="AC951">
        <v>34.174100000000003</v>
      </c>
      <c r="AD951">
        <v>-0.28457199999999899</v>
      </c>
      <c r="AE951">
        <v>-91.202799999999996</v>
      </c>
      <c r="AF951">
        <v>61.026523374455003</v>
      </c>
      <c r="AG951">
        <v>-0.28457199999999899</v>
      </c>
      <c r="AH951">
        <v>75.904027054595304</v>
      </c>
      <c r="AI951">
        <v>90.167409397841993</v>
      </c>
      <c r="AJ951">
        <v>51.200862496781497</v>
      </c>
      <c r="AK951">
        <v>97.394757864583397</v>
      </c>
    </row>
    <row r="952" spans="1:37" x14ac:dyDescent="0.2">
      <c r="A952" t="str">
        <f>"20200111153419697"</f>
        <v>20200111153419697</v>
      </c>
      <c r="B952" t="str">
        <f>"1578728059687467"</f>
        <v>1578728059687467</v>
      </c>
      <c r="C952" t="s">
        <v>37</v>
      </c>
      <c r="D952">
        <v>4.9449480000000001</v>
      </c>
      <c r="E952">
        <v>0.648621</v>
      </c>
      <c r="F952" t="s">
        <v>47</v>
      </c>
      <c r="G952">
        <v>-168.35050000000001</v>
      </c>
      <c r="H952">
        <v>0.89714430000000001</v>
      </c>
      <c r="I952">
        <v>271.18729999999999</v>
      </c>
      <c r="J952">
        <v>-202.11369999999999</v>
      </c>
      <c r="K952">
        <v>1.0885769999999999</v>
      </c>
      <c r="L952">
        <v>363.71820000000002</v>
      </c>
      <c r="M952">
        <v>0.85577780000000003</v>
      </c>
      <c r="N952">
        <v>0</v>
      </c>
      <c r="O952">
        <v>-0.51708989999999999</v>
      </c>
      <c r="P952">
        <v>0.68910539999999998</v>
      </c>
      <c r="Q952">
        <v>1.3326670000000001E-2</v>
      </c>
      <c r="R952">
        <v>-0.7245393</v>
      </c>
      <c r="S952">
        <v>1.128571</v>
      </c>
      <c r="T952">
        <v>-6.3693519999999896E-3</v>
      </c>
      <c r="U952">
        <v>-3.08172599999999</v>
      </c>
      <c r="V952">
        <v>0.26466590000000001</v>
      </c>
      <c r="W952">
        <v>1.8819949999999998E-2</v>
      </c>
      <c r="X952">
        <v>0.96415649999999997</v>
      </c>
      <c r="Y952">
        <v>0.62585219999999997</v>
      </c>
      <c r="Z952">
        <v>4.1962199999999997E-4</v>
      </c>
      <c r="AA952">
        <v>0.77994160000000001</v>
      </c>
      <c r="AB952">
        <v>37</v>
      </c>
      <c r="AC952">
        <v>33.763199999999898</v>
      </c>
      <c r="AD952">
        <v>-0.19143270000000001</v>
      </c>
      <c r="AE952">
        <v>-92.530900000000003</v>
      </c>
      <c r="AF952">
        <v>61.7351471108963</v>
      </c>
      <c r="AG952">
        <v>-0.19143270000000001</v>
      </c>
      <c r="AH952">
        <v>76.750370993917599</v>
      </c>
      <c r="AI952">
        <v>90.111355322723099</v>
      </c>
      <c r="AJ952">
        <v>51.188093326185701</v>
      </c>
      <c r="AK952">
        <v>98.498144566213199</v>
      </c>
    </row>
    <row r="953" spans="1:37" x14ac:dyDescent="0.2">
      <c r="A953" t="str">
        <f>"20200111153419709"</f>
        <v>20200111153419709</v>
      </c>
      <c r="B953" t="str">
        <f>"1578728059706987"</f>
        <v>1578728059706987</v>
      </c>
      <c r="C953" t="s">
        <v>37</v>
      </c>
      <c r="D953">
        <v>4.9122309999999896</v>
      </c>
      <c r="E953">
        <v>0.64782359999999894</v>
      </c>
      <c r="F953" t="s">
        <v>39</v>
      </c>
      <c r="G953">
        <v>-188.3663</v>
      </c>
      <c r="H953" s="1">
        <v>-4.9118400000000004E-7</v>
      </c>
      <c r="I953">
        <v>329.8141</v>
      </c>
      <c r="J953">
        <v>-201.94470000000001</v>
      </c>
      <c r="K953">
        <v>1.0884780000000001</v>
      </c>
      <c r="L953">
        <v>363.60919999999999</v>
      </c>
      <c r="M953">
        <v>0.85103790000000001</v>
      </c>
      <c r="N953">
        <v>0</v>
      </c>
      <c r="O953">
        <v>-0.52485309999999996</v>
      </c>
      <c r="P953">
        <v>0.68260350000000003</v>
      </c>
      <c r="Q953">
        <v>1.3923140000000001E-2</v>
      </c>
      <c r="R953">
        <v>-0.7306568</v>
      </c>
      <c r="S953">
        <v>1.2121580000000001</v>
      </c>
      <c r="T953">
        <v>-9.5983680000000002E-2</v>
      </c>
      <c r="U953">
        <v>-2.9894409999999998</v>
      </c>
      <c r="V953">
        <v>0.26452999999999999</v>
      </c>
      <c r="W953">
        <v>1.9395389999999998E-2</v>
      </c>
      <c r="X953">
        <v>0.9641824</v>
      </c>
      <c r="Y953">
        <v>0.59148400000000001</v>
      </c>
      <c r="Z953">
        <v>7.3239380000000003E-3</v>
      </c>
      <c r="AA953">
        <v>0.80628350000000004</v>
      </c>
      <c r="AB953">
        <v>37</v>
      </c>
      <c r="AC953">
        <v>13.5784</v>
      </c>
      <c r="AD953">
        <v>-1.088478491184</v>
      </c>
      <c r="AE953">
        <v>-33.795099999999898</v>
      </c>
      <c r="AF953">
        <v>21.617790262905999</v>
      </c>
      <c r="AG953">
        <v>-1.088478491184</v>
      </c>
      <c r="AH953">
        <v>29.270915167906701</v>
      </c>
      <c r="AI953">
        <v>91.713365805921896</v>
      </c>
      <c r="AJ953">
        <v>53.552587722828498</v>
      </c>
      <c r="AK953">
        <v>36.404671623893996</v>
      </c>
    </row>
    <row r="954" spans="1:37" x14ac:dyDescent="0.2">
      <c r="A954" t="str">
        <f>"20200111153419725"</f>
        <v>20200111153419725</v>
      </c>
      <c r="B954" t="str">
        <f>"1578728059716747"</f>
        <v>1578728059716747</v>
      </c>
      <c r="C954" t="s">
        <v>37</v>
      </c>
      <c r="D954">
        <v>4.911079</v>
      </c>
      <c r="E954">
        <v>0.64741340000000003</v>
      </c>
      <c r="F954" t="s">
        <v>39</v>
      </c>
      <c r="G954">
        <v>-187.9743</v>
      </c>
      <c r="H954" s="1">
        <v>-4.1368869999999996E-6</v>
      </c>
      <c r="I954">
        <v>328.4384</v>
      </c>
      <c r="J954">
        <v>-201.72730000000001</v>
      </c>
      <c r="K954">
        <v>1.0883430000000001</v>
      </c>
      <c r="L954">
        <v>363.4667</v>
      </c>
      <c r="M954">
        <v>0.84477579999999997</v>
      </c>
      <c r="N954">
        <v>0</v>
      </c>
      <c r="O954">
        <v>-0.53487269999999998</v>
      </c>
      <c r="P954">
        <v>0.67385790000000001</v>
      </c>
      <c r="Q954">
        <v>1.4091050000000001E-2</v>
      </c>
      <c r="R954">
        <v>-0.73872720000000003</v>
      </c>
      <c r="S954">
        <v>1.190018</v>
      </c>
      <c r="T954">
        <v>-9.2718960000000003E-2</v>
      </c>
      <c r="U954">
        <v>-2.995911</v>
      </c>
      <c r="V954">
        <v>0.26462449999999998</v>
      </c>
      <c r="W954">
        <v>1.9524590000000001E-2</v>
      </c>
      <c r="X954">
        <v>0.96415390000000001</v>
      </c>
      <c r="Y954">
        <v>0.58769579999999999</v>
      </c>
      <c r="Z954">
        <v>7.4900050000000001E-3</v>
      </c>
      <c r="AA954">
        <v>0.80904730000000002</v>
      </c>
      <c r="AB954">
        <v>37</v>
      </c>
      <c r="AC954">
        <v>13.753</v>
      </c>
      <c r="AD954">
        <v>-1.0883471368869999</v>
      </c>
      <c r="AE954">
        <v>-35.028300000000002</v>
      </c>
      <c r="AF954">
        <v>22.219318064129101</v>
      </c>
      <c r="AG954">
        <v>-1.0883471368869999</v>
      </c>
      <c r="AH954">
        <v>30.332535084247802</v>
      </c>
      <c r="AI954">
        <v>91.657986009890905</v>
      </c>
      <c r="AJ954">
        <v>53.776318705333601</v>
      </c>
      <c r="AK954">
        <v>37.6157583914299</v>
      </c>
    </row>
    <row r="955" spans="1:37" x14ac:dyDescent="0.2">
      <c r="A955" t="str">
        <f>"20200111153419737"</f>
        <v>20200111153419737</v>
      </c>
      <c r="B955" t="str">
        <f>"1578728059727483"</f>
        <v>1578728059727483</v>
      </c>
      <c r="C955" t="s">
        <v>37</v>
      </c>
      <c r="D955">
        <v>4.8812579999999999</v>
      </c>
      <c r="E955">
        <v>0.64729799999999904</v>
      </c>
      <c r="F955" t="s">
        <v>39</v>
      </c>
      <c r="G955">
        <v>-187.3989</v>
      </c>
      <c r="H955" s="1">
        <v>-3.2803359999999999E-6</v>
      </c>
      <c r="I955">
        <v>326.2038</v>
      </c>
      <c r="J955">
        <v>-201.5583</v>
      </c>
      <c r="K955">
        <v>1.0882419999999999</v>
      </c>
      <c r="L955">
        <v>363.3537</v>
      </c>
      <c r="M955">
        <v>0.83976390000000001</v>
      </c>
      <c r="N955">
        <v>0</v>
      </c>
      <c r="O955">
        <v>-0.54270629999999997</v>
      </c>
      <c r="P955">
        <v>0.66679639999999996</v>
      </c>
      <c r="Q955">
        <v>1.359282E-2</v>
      </c>
      <c r="R955">
        <v>-0.745116</v>
      </c>
      <c r="S955">
        <v>1.156525</v>
      </c>
      <c r="T955">
        <v>-8.7846399999999894E-2</v>
      </c>
      <c r="U955">
        <v>-3.0076900000000002</v>
      </c>
      <c r="V955">
        <v>0.26482729999999999</v>
      </c>
      <c r="W955">
        <v>1.8991109999999999E-2</v>
      </c>
      <c r="X955">
        <v>0.96410879999999999</v>
      </c>
      <c r="Y955">
        <v>0.589082199999999</v>
      </c>
      <c r="Z955">
        <v>7.3354659999999997E-3</v>
      </c>
      <c r="AA955">
        <v>0.80803979999999997</v>
      </c>
      <c r="AB955">
        <v>37</v>
      </c>
      <c r="AC955">
        <v>14.1594</v>
      </c>
      <c r="AD955">
        <v>-1.0882452803360001</v>
      </c>
      <c r="AE955">
        <v>-37.149900000000002</v>
      </c>
      <c r="AF955">
        <v>23.498276364089001</v>
      </c>
      <c r="AG955">
        <v>-1.0882452803360001</v>
      </c>
      <c r="AH955">
        <v>32.032308534254199</v>
      </c>
      <c r="AI955">
        <v>91.569114419707006</v>
      </c>
      <c r="AJ955">
        <v>53.736954846242703</v>
      </c>
      <c r="AK955">
        <v>39.741943333296298</v>
      </c>
    </row>
    <row r="956" spans="1:37" x14ac:dyDescent="0.2">
      <c r="A956" t="str">
        <f>"20200111153419750"</f>
        <v>20200111153419750</v>
      </c>
      <c r="B956" t="str">
        <f>"1578728059747003"</f>
        <v>1578728059747003</v>
      </c>
      <c r="C956" t="s">
        <v>37</v>
      </c>
      <c r="D956">
        <v>4.9241869999999999</v>
      </c>
      <c r="E956">
        <v>0.64701940000000002</v>
      </c>
      <c r="F956" t="s">
        <v>39</v>
      </c>
      <c r="G956">
        <v>-188.06280000000001</v>
      </c>
      <c r="H956" s="1">
        <v>-3.62347199999999E-6</v>
      </c>
      <c r="I956">
        <v>327.27820000000003</v>
      </c>
      <c r="J956">
        <v>-201.37469999999999</v>
      </c>
      <c r="K956">
        <v>1.0881369999999999</v>
      </c>
      <c r="L956">
        <v>363.22730000000001</v>
      </c>
      <c r="M956">
        <v>0.83413740000000003</v>
      </c>
      <c r="N956">
        <v>0</v>
      </c>
      <c r="O956">
        <v>-0.55131430000000003</v>
      </c>
      <c r="P956">
        <v>0.65894489999999994</v>
      </c>
      <c r="Q956">
        <v>1.293886E-2</v>
      </c>
      <c r="R956">
        <v>-0.75208009999999903</v>
      </c>
      <c r="S956">
        <v>1.1288910000000001</v>
      </c>
      <c r="T956">
        <v>-9.1031249999999994E-2</v>
      </c>
      <c r="U956">
        <v>-3.0177</v>
      </c>
      <c r="V956">
        <v>0.2650129</v>
      </c>
      <c r="W956">
        <v>1.8303150000000001E-2</v>
      </c>
      <c r="X956">
        <v>0.96407119999999902</v>
      </c>
      <c r="Y956">
        <v>0.58814029999999995</v>
      </c>
      <c r="Z956">
        <v>7.9124529999999998E-3</v>
      </c>
      <c r="AA956">
        <v>0.808720199999999</v>
      </c>
      <c r="AB956">
        <v>37</v>
      </c>
      <c r="AC956">
        <v>13.3118999999999</v>
      </c>
      <c r="AD956">
        <v>-1.0881406234719999</v>
      </c>
      <c r="AE956">
        <v>-35.949099999999902</v>
      </c>
      <c r="AF956">
        <v>22.632240491806201</v>
      </c>
      <c r="AG956">
        <v>-1.0881406234719999</v>
      </c>
      <c r="AH956">
        <v>30.902442002141999</v>
      </c>
      <c r="AI956">
        <v>91.627231276756703</v>
      </c>
      <c r="AJ956">
        <v>53.781807074065398</v>
      </c>
      <c r="AK956">
        <v>38.319228611640398</v>
      </c>
    </row>
    <row r="957" spans="1:37" x14ac:dyDescent="0.2">
      <c r="A957" t="str">
        <f>"20200111153419763"</f>
        <v>20200111153419763</v>
      </c>
      <c r="B957" t="str">
        <f>"1578728059756763"</f>
        <v>1578728059756763</v>
      </c>
      <c r="C957" t="s">
        <v>37</v>
      </c>
      <c r="D957">
        <v>4.9189939999999996</v>
      </c>
      <c r="E957">
        <v>0.64672350000000001</v>
      </c>
      <c r="F957" t="s">
        <v>39</v>
      </c>
      <c r="G957">
        <v>-187.9974</v>
      </c>
      <c r="H957" s="1">
        <v>-3.2362629999999999E-6</v>
      </c>
      <c r="I957">
        <v>326.3485</v>
      </c>
      <c r="J957">
        <v>-201.2039</v>
      </c>
      <c r="K957">
        <v>1.0880399999999999</v>
      </c>
      <c r="L957">
        <v>363.1078</v>
      </c>
      <c r="M957">
        <v>0.82877520000000005</v>
      </c>
      <c r="N957">
        <v>0</v>
      </c>
      <c r="O957">
        <v>-0.55934169999999905</v>
      </c>
      <c r="P957">
        <v>0.65162399999999998</v>
      </c>
      <c r="Q957">
        <v>1.2399200000000001E-2</v>
      </c>
      <c r="R957">
        <v>-0.75844100000000003</v>
      </c>
      <c r="S957">
        <v>1.0983889999999901</v>
      </c>
      <c r="T957">
        <v>-8.9345220000000003E-2</v>
      </c>
      <c r="U957">
        <v>-3.0280459999999998</v>
      </c>
      <c r="V957">
        <v>0.26504109999999997</v>
      </c>
      <c r="W957">
        <v>1.7738670000000002E-2</v>
      </c>
      <c r="X957">
        <v>0.96407399999999999</v>
      </c>
      <c r="Y957">
        <v>0.58841779999999999</v>
      </c>
      <c r="Z957">
        <v>8.0346020000000001E-3</v>
      </c>
      <c r="AA957">
        <v>0.80851719999999905</v>
      </c>
      <c r="AB957">
        <v>37</v>
      </c>
      <c r="AC957">
        <v>13.2065</v>
      </c>
      <c r="AD957">
        <v>-1.0880432362629999</v>
      </c>
      <c r="AE957">
        <v>-36.759300000000003</v>
      </c>
      <c r="AF957">
        <v>23.063453133707199</v>
      </c>
      <c r="AG957">
        <v>-1.0880432362629999</v>
      </c>
      <c r="AH957">
        <v>31.486028410702399</v>
      </c>
      <c r="AI957">
        <v>91.596851814769295</v>
      </c>
      <c r="AJ957">
        <v>53.777297844392002</v>
      </c>
      <c r="AK957">
        <v>39.044547552945801</v>
      </c>
    </row>
    <row r="958" spans="1:37" x14ac:dyDescent="0.2">
      <c r="A958" t="str">
        <f>"20200111153419775"</f>
        <v>20200111153419775</v>
      </c>
      <c r="B958" t="str">
        <f>"1578728059767500"</f>
        <v>1578728059767500</v>
      </c>
      <c r="C958" t="s">
        <v>37</v>
      </c>
      <c r="D958">
        <v>4.9001229999999998</v>
      </c>
      <c r="E958">
        <v>0.64659029999999995</v>
      </c>
      <c r="F958" t="s">
        <v>39</v>
      </c>
      <c r="G958">
        <v>-188.4289</v>
      </c>
      <c r="H958" s="1">
        <v>-3.3817379999999999E-6</v>
      </c>
      <c r="I958">
        <v>326.86610000000002</v>
      </c>
      <c r="J958">
        <v>-201.04150000000001</v>
      </c>
      <c r="K958">
        <v>1.0879509999999999</v>
      </c>
      <c r="L958">
        <v>362.99189999999999</v>
      </c>
      <c r="M958">
        <v>0.82353670000000001</v>
      </c>
      <c r="N958">
        <v>0</v>
      </c>
      <c r="O958">
        <v>-0.56702519999999901</v>
      </c>
      <c r="P958">
        <v>0.64476599999999995</v>
      </c>
      <c r="Q958">
        <v>1.1616960000000001E-2</v>
      </c>
      <c r="R958">
        <v>-0.76429169999999902</v>
      </c>
      <c r="S958">
        <v>1.070541</v>
      </c>
      <c r="T958">
        <v>-9.1177699999999903E-2</v>
      </c>
      <c r="U958">
        <v>-3.037048</v>
      </c>
      <c r="V958">
        <v>0.26474219999999998</v>
      </c>
      <c r="W958">
        <v>1.6947710000000001E-2</v>
      </c>
      <c r="X958">
        <v>0.96417030000000004</v>
      </c>
      <c r="Y958">
        <v>0.58824189999999998</v>
      </c>
      <c r="Z958">
        <v>8.4701680000000001E-3</v>
      </c>
      <c r="AA958">
        <v>0.80864069999999899</v>
      </c>
      <c r="AB958">
        <v>37</v>
      </c>
      <c r="AC958">
        <v>12.6126</v>
      </c>
      <c r="AD958">
        <v>-1.087954381738</v>
      </c>
      <c r="AE958">
        <v>-36.125799999999899</v>
      </c>
      <c r="AF958">
        <v>22.5840511713041</v>
      </c>
      <c r="AG958">
        <v>-1.087954381738</v>
      </c>
      <c r="AH958">
        <v>30.850402188028799</v>
      </c>
      <c r="AI958">
        <v>91.629949462376203</v>
      </c>
      <c r="AJ958">
        <v>53.793989782265697</v>
      </c>
      <c r="AK958">
        <v>38.248795107924003</v>
      </c>
    </row>
    <row r="959" spans="1:37" x14ac:dyDescent="0.2">
      <c r="A959" t="str">
        <f>"20200111153419787"</f>
        <v>20200111153419787</v>
      </c>
      <c r="B959" t="str">
        <f>"1578728059777259"</f>
        <v>1578728059777259</v>
      </c>
      <c r="C959" t="s">
        <v>37</v>
      </c>
      <c r="D959">
        <v>4.9428669999999997</v>
      </c>
      <c r="E959">
        <v>0.64626700000000004</v>
      </c>
      <c r="F959" t="s">
        <v>39</v>
      </c>
      <c r="G959">
        <v>-188.59790000000001</v>
      </c>
      <c r="H959" s="1">
        <v>-3.2707650000000002E-6</v>
      </c>
      <c r="I959">
        <v>326.6773</v>
      </c>
      <c r="J959">
        <v>-200.886</v>
      </c>
      <c r="K959">
        <v>1.087869</v>
      </c>
      <c r="L959">
        <v>362.8784</v>
      </c>
      <c r="M959">
        <v>0.81838520000000003</v>
      </c>
      <c r="N959">
        <v>0</v>
      </c>
      <c r="O959">
        <v>-0.57443440000000001</v>
      </c>
      <c r="P959">
        <v>0.63803900000000002</v>
      </c>
      <c r="Q959">
        <v>1.1016150000000001E-2</v>
      </c>
      <c r="R959">
        <v>-0.76992569999999905</v>
      </c>
      <c r="S959">
        <v>1.0437620000000001</v>
      </c>
      <c r="T959">
        <v>-9.1256859999999995E-2</v>
      </c>
      <c r="U959">
        <v>-3.0460509999999998</v>
      </c>
      <c r="V959">
        <v>0.26448309999999903</v>
      </c>
      <c r="W959">
        <v>1.6339360000000001E-2</v>
      </c>
      <c r="X959">
        <v>0.96425190000000005</v>
      </c>
      <c r="Y959">
        <v>0.58803950000000005</v>
      </c>
      <c r="Z959">
        <v>8.7389029999999993E-3</v>
      </c>
      <c r="AA959">
        <v>0.80878499999999998</v>
      </c>
      <c r="AB959">
        <v>37</v>
      </c>
      <c r="AC959">
        <v>12.288099999999901</v>
      </c>
      <c r="AD959">
        <v>-1.0878722707649999</v>
      </c>
      <c r="AE959">
        <v>-36.201099999999997</v>
      </c>
      <c r="AF959">
        <v>22.552531277533799</v>
      </c>
      <c r="AG959">
        <v>-1.0878722707649999</v>
      </c>
      <c r="AH959">
        <v>30.830768973242002</v>
      </c>
      <c r="AI959">
        <v>91.631295933384806</v>
      </c>
      <c r="AJ959">
        <v>53.814743173770403</v>
      </c>
      <c r="AK959">
        <v>38.214348726402001</v>
      </c>
    </row>
    <row r="960" spans="1:37" x14ac:dyDescent="0.2">
      <c r="A960" t="str">
        <f>"20200111153419804"</f>
        <v>20200111153419804</v>
      </c>
      <c r="B960" t="str">
        <f>"1578728059796781"</f>
        <v>1578728059796781</v>
      </c>
      <c r="C960" t="s">
        <v>37</v>
      </c>
      <c r="D960">
        <v>4.9795629999999997</v>
      </c>
      <c r="E960">
        <v>0.64525100000000002</v>
      </c>
      <c r="F960" t="s">
        <v>39</v>
      </c>
      <c r="G960">
        <v>-188.80199999999999</v>
      </c>
      <c r="H960" s="1">
        <v>-3.2300079999999998E-6</v>
      </c>
      <c r="I960">
        <v>326.66669999999999</v>
      </c>
      <c r="J960">
        <v>-200.65690000000001</v>
      </c>
      <c r="K960">
        <v>1.087739</v>
      </c>
      <c r="L960">
        <v>362.70769999999999</v>
      </c>
      <c r="M960">
        <v>0.81057860000000004</v>
      </c>
      <c r="N960">
        <v>0</v>
      </c>
      <c r="O960">
        <v>-0.58539770000000002</v>
      </c>
      <c r="P960">
        <v>0.62819650000000005</v>
      </c>
      <c r="Q960">
        <v>9.7505059999999904E-3</v>
      </c>
      <c r="R960">
        <v>-0.77799410000000002</v>
      </c>
      <c r="S960">
        <v>1.0189360000000001</v>
      </c>
      <c r="T960">
        <v>-9.1730359999999997E-2</v>
      </c>
      <c r="U960">
        <v>-3.0534059999999998</v>
      </c>
      <c r="V960">
        <v>0.26373530000000001</v>
      </c>
      <c r="W960">
        <v>1.5080659999999999E-2</v>
      </c>
      <c r="X960">
        <v>0.96447719999999904</v>
      </c>
      <c r="Y960">
        <v>0.58364719999999903</v>
      </c>
      <c r="Z960">
        <v>9.2407169999999903E-3</v>
      </c>
      <c r="AA960">
        <v>0.81195479999999998</v>
      </c>
      <c r="AB960">
        <v>36</v>
      </c>
      <c r="AC960">
        <v>11.854899999999899</v>
      </c>
      <c r="AD960">
        <v>-1.087742230008</v>
      </c>
      <c r="AE960">
        <v>-36.040999999999997</v>
      </c>
      <c r="AF960">
        <v>22.2589649109878</v>
      </c>
      <c r="AG960">
        <v>-1.087742230008</v>
      </c>
      <c r="AH960">
        <v>30.686599096721999</v>
      </c>
      <c r="AI960">
        <v>91.6435450826813</v>
      </c>
      <c r="AJ960">
        <v>54.044207228769601</v>
      </c>
      <c r="AK960">
        <v>37.925084920016602</v>
      </c>
    </row>
    <row r="961" spans="1:37" x14ac:dyDescent="0.2">
      <c r="A961" t="str">
        <f>"20200111153419816"</f>
        <v>20200111153419816</v>
      </c>
      <c r="B961" t="str">
        <f>"1578728059807515"</f>
        <v>1578728059807515</v>
      </c>
      <c r="C961" t="s">
        <v>37</v>
      </c>
      <c r="D961">
        <v>4.9815559999999897</v>
      </c>
      <c r="E961">
        <v>0.64477640000000003</v>
      </c>
      <c r="F961" t="s">
        <v>39</v>
      </c>
      <c r="G961">
        <v>-189.43969999999999</v>
      </c>
      <c r="H961" s="1">
        <v>-3.644063E-6</v>
      </c>
      <c r="I961">
        <v>327.89550000000003</v>
      </c>
      <c r="J961">
        <v>-200.49340000000001</v>
      </c>
      <c r="K961">
        <v>1.0876539999999999</v>
      </c>
      <c r="L961">
        <v>362.58300000000003</v>
      </c>
      <c r="M961">
        <v>0.80483789999999999</v>
      </c>
      <c r="N961">
        <v>0</v>
      </c>
      <c r="O961">
        <v>-0.59326459999999903</v>
      </c>
      <c r="P961">
        <v>0.62089189999999905</v>
      </c>
      <c r="Q961">
        <v>8.8303040000000006E-3</v>
      </c>
      <c r="R961">
        <v>-0.78384659999999995</v>
      </c>
      <c r="S961">
        <v>0.98628229999999995</v>
      </c>
      <c r="T961">
        <v>-9.564048E-2</v>
      </c>
      <c r="U961">
        <v>-3.060883</v>
      </c>
      <c r="V961">
        <v>0.26333820000000002</v>
      </c>
      <c r="W961">
        <v>1.4159990000000001E-2</v>
      </c>
      <c r="X961">
        <v>0.96459969999999995</v>
      </c>
      <c r="Y961">
        <v>0.58415589999999995</v>
      </c>
      <c r="Z961">
        <v>9.9241920000000001E-3</v>
      </c>
      <c r="AA961">
        <v>0.81158079999999999</v>
      </c>
      <c r="AB961">
        <v>36</v>
      </c>
      <c r="AC961">
        <v>11.053699999999999</v>
      </c>
      <c r="AD961">
        <v>-1.0876576440629999</v>
      </c>
      <c r="AE961">
        <v>-34.6875</v>
      </c>
      <c r="AF961">
        <v>21.343912104515201</v>
      </c>
      <c r="AG961">
        <v>-1.0876576440629999</v>
      </c>
      <c r="AH961">
        <v>29.453039259551801</v>
      </c>
      <c r="AI961">
        <v>91.712767038068094</v>
      </c>
      <c r="AJ961">
        <v>54.070056201363798</v>
      </c>
      <c r="AK961">
        <v>36.389931364330103</v>
      </c>
    </row>
    <row r="962" spans="1:37" x14ac:dyDescent="0.2">
      <c r="A962" t="str">
        <f>"20200111153419828"</f>
        <v>20200111153419828</v>
      </c>
      <c r="B962" t="str">
        <f>"1578728059817275"</f>
        <v>1578728059817275</v>
      </c>
      <c r="C962" t="s">
        <v>37</v>
      </c>
      <c r="D962">
        <v>4.9616129999999998</v>
      </c>
      <c r="E962">
        <v>0.64413679999999995</v>
      </c>
      <c r="F962" t="s">
        <v>39</v>
      </c>
      <c r="G962">
        <v>-189.90020000000001</v>
      </c>
      <c r="H962" s="1">
        <v>-3.9271939999999997E-6</v>
      </c>
      <c r="I962">
        <v>328.74590000000001</v>
      </c>
      <c r="J962">
        <v>-200.34530000000001</v>
      </c>
      <c r="K962">
        <v>1.087583</v>
      </c>
      <c r="L962">
        <v>362.46730000000002</v>
      </c>
      <c r="M962">
        <v>0.79949139999999996</v>
      </c>
      <c r="N962">
        <v>0</v>
      </c>
      <c r="O962">
        <v>-0.60044969999999998</v>
      </c>
      <c r="P962">
        <v>0.61449730000000002</v>
      </c>
      <c r="Q962">
        <v>7.7356150000000004E-3</v>
      </c>
      <c r="R962">
        <v>-0.78888150000000001</v>
      </c>
      <c r="S962">
        <v>0.96040340000000002</v>
      </c>
      <c r="T962">
        <v>-9.8609450000000001E-2</v>
      </c>
      <c r="U962">
        <v>-3.0677490000000001</v>
      </c>
      <c r="V962">
        <v>0.26251069999999999</v>
      </c>
      <c r="W962">
        <v>1.3087680000000001E-2</v>
      </c>
      <c r="X962">
        <v>0.96484029999999998</v>
      </c>
      <c r="Y962">
        <v>0.58363659999999995</v>
      </c>
      <c r="Z962">
        <v>1.0518059999999999E-2</v>
      </c>
      <c r="AA962">
        <v>0.81194690000000003</v>
      </c>
      <c r="AB962">
        <v>36</v>
      </c>
      <c r="AC962">
        <v>10.445099999999901</v>
      </c>
      <c r="AD962">
        <v>-1.087586927194</v>
      </c>
      <c r="AE962">
        <v>-33.721400000000003</v>
      </c>
      <c r="AF962">
        <v>20.671423469142901</v>
      </c>
      <c r="AG962">
        <v>-1.087586927194</v>
      </c>
      <c r="AH962">
        <v>28.5755639816464</v>
      </c>
      <c r="AI962">
        <v>91.766287530240803</v>
      </c>
      <c r="AJ962">
        <v>54.118206445768003</v>
      </c>
      <c r="AK962">
        <v>35.285314940269402</v>
      </c>
    </row>
    <row r="963" spans="1:37" x14ac:dyDescent="0.2">
      <c r="A963" t="str">
        <f>"20200111153419840"</f>
        <v>20200111153419840</v>
      </c>
      <c r="B963" t="str">
        <f>"1578728059827035"</f>
        <v>1578728059827035</v>
      </c>
      <c r="C963" t="s">
        <v>37</v>
      </c>
      <c r="D963">
        <v>4.9920229999999997</v>
      </c>
      <c r="E963">
        <v>0.643661699999999</v>
      </c>
      <c r="F963" t="s">
        <v>39</v>
      </c>
      <c r="G963">
        <v>-190.54300000000001</v>
      </c>
      <c r="H963" s="1">
        <v>-4.9651740000000005E-7</v>
      </c>
      <c r="I963">
        <v>330.40969999999999</v>
      </c>
      <c r="J963">
        <v>-200.1831</v>
      </c>
      <c r="K963">
        <v>1.0875049999999999</v>
      </c>
      <c r="L963">
        <v>362.33909999999997</v>
      </c>
      <c r="M963">
        <v>0.79352469999999997</v>
      </c>
      <c r="N963">
        <v>0</v>
      </c>
      <c r="O963">
        <v>-0.60831219999999997</v>
      </c>
      <c r="P963">
        <v>0.60740539999999998</v>
      </c>
      <c r="Q963">
        <v>6.5978729999999998E-3</v>
      </c>
      <c r="R963">
        <v>-0.79436490000000004</v>
      </c>
      <c r="S963">
        <v>0.93936160000000002</v>
      </c>
      <c r="T963">
        <v>-0.10422439999999999</v>
      </c>
      <c r="U963">
        <v>-3.0721129999999999</v>
      </c>
      <c r="V963">
        <v>0.26159549999999998</v>
      </c>
      <c r="W963">
        <v>1.1974830000000001E-2</v>
      </c>
      <c r="X963">
        <v>0.9651033</v>
      </c>
      <c r="Y963">
        <v>0.58102290000000001</v>
      </c>
      <c r="Z963">
        <v>1.1486629999999999E-2</v>
      </c>
      <c r="AA963">
        <v>0.81380620000000004</v>
      </c>
      <c r="AB963">
        <v>36</v>
      </c>
      <c r="AC963">
        <v>9.6400999999999897</v>
      </c>
      <c r="AD963">
        <v>-1.0875054965174</v>
      </c>
      <c r="AE963">
        <v>-31.929399999999902</v>
      </c>
      <c r="AF963">
        <v>19.454570232305802</v>
      </c>
      <c r="AG963">
        <v>-1.0875054965174</v>
      </c>
      <c r="AH963">
        <v>27.047666068634701</v>
      </c>
      <c r="AI963">
        <v>91.869508222053597</v>
      </c>
      <c r="AJ963">
        <v>54.273674669142899</v>
      </c>
      <c r="AK963">
        <v>33.335254774623301</v>
      </c>
    </row>
    <row r="964" spans="1:37" x14ac:dyDescent="0.2">
      <c r="A964" t="str">
        <f>"20200111153419852"</f>
        <v>20200111153419852</v>
      </c>
      <c r="B964" t="str">
        <f>"1578728059847531"</f>
        <v>1578728059847531</v>
      </c>
      <c r="C964" t="s">
        <v>37</v>
      </c>
      <c r="D964">
        <v>5.0055959999999997</v>
      </c>
      <c r="E964">
        <v>0.63337359999999998</v>
      </c>
      <c r="F964" t="s">
        <v>39</v>
      </c>
      <c r="G964">
        <v>-191.0847</v>
      </c>
      <c r="H964" s="1">
        <v>-1.197533E-6</v>
      </c>
      <c r="I964">
        <v>331.7079</v>
      </c>
      <c r="J964">
        <v>-200.02250000000001</v>
      </c>
      <c r="K964">
        <v>1.087431</v>
      </c>
      <c r="L964">
        <v>362.20859999999999</v>
      </c>
      <c r="M964">
        <v>0.78743879999999999</v>
      </c>
      <c r="N964">
        <v>0</v>
      </c>
      <c r="O964">
        <v>-0.61616890000000002</v>
      </c>
      <c r="P964">
        <v>0.60058750000000005</v>
      </c>
      <c r="Q964">
        <v>5.7385419999999897E-3</v>
      </c>
      <c r="R964">
        <v>-0.79953839999999998</v>
      </c>
      <c r="S964">
        <v>0.91436770000000001</v>
      </c>
      <c r="T964">
        <v>-0.109291899999999</v>
      </c>
      <c r="U964">
        <v>-3.0783689999999999</v>
      </c>
      <c r="V964">
        <v>0.26023279999999999</v>
      </c>
      <c r="W964">
        <v>1.1163299999999999E-2</v>
      </c>
      <c r="X964">
        <v>0.96548129999999999</v>
      </c>
      <c r="Y964">
        <v>0.57945329999999995</v>
      </c>
      <c r="Z964">
        <v>1.241134E-2</v>
      </c>
      <c r="AA964">
        <v>0.81491089999999999</v>
      </c>
      <c r="AB964">
        <v>36</v>
      </c>
      <c r="AC964">
        <v>8.93780000000001</v>
      </c>
      <c r="AD964">
        <v>-1.0874321975329999</v>
      </c>
      <c r="AE964">
        <v>-30.500699999999899</v>
      </c>
      <c r="AF964">
        <v>18.4911497073136</v>
      </c>
      <c r="AG964">
        <v>-1.0874321975329999</v>
      </c>
      <c r="AH964">
        <v>25.804911945406001</v>
      </c>
      <c r="AI964">
        <v>91.961843694015997</v>
      </c>
      <c r="AJ964">
        <v>54.375570219471498</v>
      </c>
      <c r="AK964">
        <v>31.764738418451898</v>
      </c>
    </row>
    <row r="965" spans="1:37" x14ac:dyDescent="0.2">
      <c r="A965" t="str">
        <f>"20200111153419865"</f>
        <v>20200111153419865</v>
      </c>
      <c r="B965" t="str">
        <f>"1578728059857291"</f>
        <v>1578728059857291</v>
      </c>
      <c r="C965" t="s">
        <v>37</v>
      </c>
      <c r="D965">
        <v>5.0349370000000002</v>
      </c>
      <c r="E965">
        <v>0.63241729999999996</v>
      </c>
      <c r="F965" t="s">
        <v>39</v>
      </c>
      <c r="G965">
        <v>-193.48099999999999</v>
      </c>
      <c r="H965" s="1">
        <v>-1.708551E-6</v>
      </c>
      <c r="I965">
        <v>341.4128</v>
      </c>
      <c r="J965">
        <v>-199.8674</v>
      </c>
      <c r="K965">
        <v>1.0873600000000001</v>
      </c>
      <c r="L965">
        <v>362.0804</v>
      </c>
      <c r="M965">
        <v>0.78142959999999995</v>
      </c>
      <c r="N965">
        <v>0</v>
      </c>
      <c r="O965">
        <v>-0.62377179999999999</v>
      </c>
      <c r="P965">
        <v>0.59362919999999997</v>
      </c>
      <c r="Q965">
        <v>4.8969469999999996E-3</v>
      </c>
      <c r="R965">
        <v>-0.80472390000000005</v>
      </c>
      <c r="S965">
        <v>0.95497129999999997</v>
      </c>
      <c r="T965">
        <v>-0.15875139999999999</v>
      </c>
      <c r="U965">
        <v>-3.0359189999999998</v>
      </c>
      <c r="V965">
        <v>0.2592236</v>
      </c>
      <c r="W965">
        <v>1.0354159999999999E-2</v>
      </c>
      <c r="X965">
        <v>0.9657618</v>
      </c>
      <c r="Y965">
        <v>0.55829600000000001</v>
      </c>
      <c r="Z965">
        <v>1.92067E-2</v>
      </c>
      <c r="AA965">
        <v>0.82941939999999903</v>
      </c>
      <c r="AB965">
        <v>36</v>
      </c>
      <c r="AC965">
        <v>6.3864000000000001</v>
      </c>
      <c r="AD965">
        <v>-1.0873617085509999</v>
      </c>
      <c r="AE965">
        <v>-20.6676</v>
      </c>
      <c r="AF965">
        <v>12.137631965514</v>
      </c>
      <c r="AG965">
        <v>-1.0873617085509999</v>
      </c>
      <c r="AH965">
        <v>17.839784372576599</v>
      </c>
      <c r="AI965">
        <v>92.884910013339294</v>
      </c>
      <c r="AJ965">
        <v>55.769852608147097</v>
      </c>
      <c r="AK965">
        <v>21.604684021654201</v>
      </c>
    </row>
    <row r="966" spans="1:37" x14ac:dyDescent="0.2">
      <c r="A966" t="str">
        <f>"20200111153419876"</f>
        <v>20200111153419876</v>
      </c>
      <c r="B966" t="str">
        <f>"1578728059867051"</f>
        <v>1578728059867051</v>
      </c>
      <c r="C966" t="s">
        <v>37</v>
      </c>
      <c r="D966">
        <v>5.0084929999999996</v>
      </c>
      <c r="E966">
        <v>0.6322525</v>
      </c>
      <c r="F966" t="s">
        <v>39</v>
      </c>
      <c r="G966">
        <v>-193.64500000000001</v>
      </c>
      <c r="H966" s="1">
        <v>-1.9379140000000001E-6</v>
      </c>
      <c r="I966">
        <v>341.84570000000002</v>
      </c>
      <c r="J966">
        <v>-199.71449999999999</v>
      </c>
      <c r="K966">
        <v>1.0872979999999901</v>
      </c>
      <c r="L966">
        <v>361.952</v>
      </c>
      <c r="M966">
        <v>0.77537500000000004</v>
      </c>
      <c r="N966">
        <v>0</v>
      </c>
      <c r="O966">
        <v>-0.63128130000000005</v>
      </c>
      <c r="P966">
        <v>0.58691319999999902</v>
      </c>
      <c r="Q966">
        <v>4.5419379999999997E-3</v>
      </c>
      <c r="R966">
        <v>-0.80963739999999995</v>
      </c>
      <c r="S966">
        <v>0.93464659999999999</v>
      </c>
      <c r="T966">
        <v>-0.16332949999999999</v>
      </c>
      <c r="U966">
        <v>-3.0393979999999998</v>
      </c>
      <c r="V966">
        <v>0.2579321</v>
      </c>
      <c r="W966">
        <v>1.004566E-2</v>
      </c>
      <c r="X966">
        <v>0.96611080000000005</v>
      </c>
      <c r="Y966">
        <v>0.55562389999999995</v>
      </c>
      <c r="Z966">
        <v>2.0326440000000001E-2</v>
      </c>
      <c r="AA966">
        <v>0.83118519999999896</v>
      </c>
      <c r="AB966">
        <v>36</v>
      </c>
      <c r="AC966">
        <v>6.0694999999999704</v>
      </c>
      <c r="AD966">
        <v>-1.08729993791399</v>
      </c>
      <c r="AE966">
        <v>-20.106299999999901</v>
      </c>
      <c r="AF966">
        <v>11.7285581694125</v>
      </c>
      <c r="AG966">
        <v>-1.08729993791399</v>
      </c>
      <c r="AH966">
        <v>17.3547711780345</v>
      </c>
      <c r="AI966">
        <v>92.971496459221697</v>
      </c>
      <c r="AJ966">
        <v>55.948710481557796</v>
      </c>
      <c r="AK966">
        <v>20.974493570291902</v>
      </c>
    </row>
    <row r="967" spans="1:37" x14ac:dyDescent="0.2">
      <c r="A967" t="str">
        <f>"20200111153419893"</f>
        <v>20200111153419893</v>
      </c>
      <c r="B967" t="str">
        <f>"1578728059887547"</f>
        <v>1578728059887547</v>
      </c>
      <c r="C967" t="s">
        <v>37</v>
      </c>
      <c r="D967">
        <v>5.0510299999999999</v>
      </c>
      <c r="E967">
        <v>0.63161</v>
      </c>
      <c r="F967" t="s">
        <v>39</v>
      </c>
      <c r="G967">
        <v>-193.71789999999999</v>
      </c>
      <c r="H967" s="1">
        <v>-1.971572E-6</v>
      </c>
      <c r="I967">
        <v>341.87889999999999</v>
      </c>
      <c r="J967">
        <v>-199.51079999999999</v>
      </c>
      <c r="K967">
        <v>1.087234</v>
      </c>
      <c r="L967">
        <v>361.77589999999998</v>
      </c>
      <c r="M967">
        <v>0.7670498</v>
      </c>
      <c r="N967">
        <v>0</v>
      </c>
      <c r="O967">
        <v>-0.64137049999999995</v>
      </c>
      <c r="P967">
        <v>0.57825669999999996</v>
      </c>
      <c r="Q967">
        <v>5.424529E-3</v>
      </c>
      <c r="R967">
        <v>-0.81583700000000003</v>
      </c>
      <c r="S967">
        <v>0.91014099999999998</v>
      </c>
      <c r="T967">
        <v>-0.16502549999999999</v>
      </c>
      <c r="U967">
        <v>-3.0466000000000002</v>
      </c>
      <c r="V967">
        <v>0.25561929999999999</v>
      </c>
      <c r="W967">
        <v>1.102122E-2</v>
      </c>
      <c r="X967">
        <v>0.96671469999999904</v>
      </c>
      <c r="Y967">
        <v>0.55142559999999996</v>
      </c>
      <c r="Z967">
        <v>2.1301839999999999E-2</v>
      </c>
      <c r="AA967">
        <v>0.83395200000000003</v>
      </c>
      <c r="AB967">
        <v>36</v>
      </c>
      <c r="AC967">
        <v>5.7929000000000004</v>
      </c>
      <c r="AD967">
        <v>-1.0872359715719999</v>
      </c>
      <c r="AE967">
        <v>-19.896999999999899</v>
      </c>
      <c r="AF967">
        <v>11.516502958533</v>
      </c>
      <c r="AG967">
        <v>-1.0872359715719999</v>
      </c>
      <c r="AH967">
        <v>17.1599539758333</v>
      </c>
      <c r="AI967">
        <v>93.011511944122901</v>
      </c>
      <c r="AJ967">
        <v>56.133384145398601</v>
      </c>
      <c r="AK967">
        <v>20.694828892853799</v>
      </c>
    </row>
    <row r="968" spans="1:37" x14ac:dyDescent="0.2">
      <c r="A968" t="str">
        <f>"20200111153419906"</f>
        <v>20200111153419906</v>
      </c>
      <c r="B968" t="str">
        <f>"1578728059897307"</f>
        <v>1578728059897307</v>
      </c>
      <c r="C968" t="s">
        <v>37</v>
      </c>
      <c r="D968">
        <v>5.0178500000000001</v>
      </c>
      <c r="E968">
        <v>0.63115840000000001</v>
      </c>
      <c r="F968" t="s">
        <v>39</v>
      </c>
      <c r="G968">
        <v>-193.5736</v>
      </c>
      <c r="H968" s="1">
        <v>-1.6492339999999999E-6</v>
      </c>
      <c r="I968">
        <v>341.21710000000002</v>
      </c>
      <c r="J968">
        <v>-199.36009999999999</v>
      </c>
      <c r="K968">
        <v>1.087186</v>
      </c>
      <c r="L968">
        <v>361.6429</v>
      </c>
      <c r="M968">
        <v>0.76072819999999997</v>
      </c>
      <c r="N968">
        <v>0</v>
      </c>
      <c r="O968">
        <v>-0.64885530000000002</v>
      </c>
      <c r="P968">
        <v>0.57105519999999999</v>
      </c>
      <c r="Q968">
        <v>6.3421269999999899E-3</v>
      </c>
      <c r="R968">
        <v>-0.8208877</v>
      </c>
      <c r="S968">
        <v>0.88177490000000003</v>
      </c>
      <c r="T968">
        <v>-0.16147339999999999</v>
      </c>
      <c r="U968">
        <v>-3.0533450000000002</v>
      </c>
      <c r="V968">
        <v>0.25468970000000002</v>
      </c>
      <c r="W968">
        <v>1.197292E-2</v>
      </c>
      <c r="X968">
        <v>0.966948699999999</v>
      </c>
      <c r="Y968">
        <v>0.55089630000000001</v>
      </c>
      <c r="Z968">
        <v>2.13438E-2</v>
      </c>
      <c r="AA968">
        <v>0.83430070000000001</v>
      </c>
      <c r="AB968">
        <v>36</v>
      </c>
      <c r="AC968">
        <v>5.7864999999999798</v>
      </c>
      <c r="AD968">
        <v>-1.087187649234</v>
      </c>
      <c r="AE968">
        <v>-20.425799999999899</v>
      </c>
      <c r="AF968">
        <v>11.754700121713199</v>
      </c>
      <c r="AG968">
        <v>-1.087187649234</v>
      </c>
      <c r="AH968">
        <v>17.611621900150801</v>
      </c>
      <c r="AI968">
        <v>92.939281089258003</v>
      </c>
      <c r="AJ968">
        <v>56.2792699418941</v>
      </c>
      <c r="AK968">
        <v>21.201985234640699</v>
      </c>
    </row>
    <row r="969" spans="1:37" x14ac:dyDescent="0.2">
      <c r="A969" t="str">
        <f>"20200111153419916"</f>
        <v>20200111153419916</v>
      </c>
      <c r="B969" t="str">
        <f>"1578728059907067"</f>
        <v>1578728059907067</v>
      </c>
      <c r="C969" t="s">
        <v>37</v>
      </c>
      <c r="D969">
        <v>5.066897</v>
      </c>
      <c r="E969">
        <v>0.63062510000000005</v>
      </c>
      <c r="F969" t="s">
        <v>39</v>
      </c>
      <c r="G969">
        <v>-193.4751</v>
      </c>
      <c r="H969" s="1">
        <v>-1.382896E-6</v>
      </c>
      <c r="I969">
        <v>340.65730000000002</v>
      </c>
      <c r="J969">
        <v>-199.21279999999999</v>
      </c>
      <c r="K969">
        <v>1.087137</v>
      </c>
      <c r="L969">
        <v>361.51089999999999</v>
      </c>
      <c r="M969">
        <v>0.75442229999999999</v>
      </c>
      <c r="N969">
        <v>0</v>
      </c>
      <c r="O969">
        <v>-0.65617599999999998</v>
      </c>
      <c r="P969">
        <v>0.56354709999999997</v>
      </c>
      <c r="Q969">
        <v>7.6978139999999999E-3</v>
      </c>
      <c r="R969">
        <v>-0.82604809999999995</v>
      </c>
      <c r="S969">
        <v>0.85784910000000003</v>
      </c>
      <c r="T969">
        <v>-0.15847849999999999</v>
      </c>
      <c r="U969">
        <v>-3.0590519999999999</v>
      </c>
      <c r="V969">
        <v>0.25421179999999999</v>
      </c>
      <c r="W969">
        <v>1.3343239999999999E-2</v>
      </c>
      <c r="X969">
        <v>0.96705649999999999</v>
      </c>
      <c r="Y969">
        <v>0.54928869999999996</v>
      </c>
      <c r="Z969">
        <v>2.1454190000000001E-2</v>
      </c>
      <c r="AA969">
        <v>0.83535720000000002</v>
      </c>
      <c r="AB969">
        <v>36</v>
      </c>
      <c r="AC969">
        <v>5.7376999999999896</v>
      </c>
      <c r="AD969">
        <v>-1.087138382896</v>
      </c>
      <c r="AE969">
        <v>-20.853599999999901</v>
      </c>
      <c r="AF969">
        <v>11.9389923633493</v>
      </c>
      <c r="AG969">
        <v>-1.087138382896</v>
      </c>
      <c r="AH969">
        <v>17.969404099390101</v>
      </c>
      <c r="AI969">
        <v>92.884754599847497</v>
      </c>
      <c r="AJ969">
        <v>56.399670793965299</v>
      </c>
      <c r="AK969">
        <v>21.6014094957448</v>
      </c>
    </row>
    <row r="970" spans="1:37" x14ac:dyDescent="0.2">
      <c r="A970" t="str">
        <f>"20200111153419930"</f>
        <v>20200111153419930</v>
      </c>
      <c r="B970" t="str">
        <f>"1578728059927563"</f>
        <v>1578728059927563</v>
      </c>
      <c r="C970" t="s">
        <v>37</v>
      </c>
      <c r="D970">
        <v>4.9711970000000001</v>
      </c>
      <c r="E970">
        <v>0.62203759999999997</v>
      </c>
      <c r="F970" t="s">
        <v>39</v>
      </c>
      <c r="G970">
        <v>-193.35290000000001</v>
      </c>
      <c r="H970" s="1">
        <v>-1.0551799999999999E-6</v>
      </c>
      <c r="I970">
        <v>339.9692</v>
      </c>
      <c r="J970">
        <v>-199.06020000000001</v>
      </c>
      <c r="K970">
        <v>1.0870949999999999</v>
      </c>
      <c r="L970">
        <v>361.37009999999998</v>
      </c>
      <c r="M970">
        <v>0.74769730000000001</v>
      </c>
      <c r="N970">
        <v>0</v>
      </c>
      <c r="O970">
        <v>-0.66382830000000004</v>
      </c>
      <c r="P970">
        <v>0.55566969999999904</v>
      </c>
      <c r="Q970">
        <v>8.8499530000000007E-3</v>
      </c>
      <c r="R970">
        <v>-0.831356599999999</v>
      </c>
      <c r="S970">
        <v>0.83360290000000004</v>
      </c>
      <c r="T970">
        <v>-0.1546525</v>
      </c>
      <c r="U970">
        <v>-3.0644529999999999</v>
      </c>
      <c r="V970">
        <v>0.25359339999999903</v>
      </c>
      <c r="W970">
        <v>1.45171E-2</v>
      </c>
      <c r="X970">
        <v>0.96720189999999995</v>
      </c>
      <c r="Y970">
        <v>0.54730380000000001</v>
      </c>
      <c r="Z970">
        <v>2.1462510000000001E-2</v>
      </c>
      <c r="AA970">
        <v>0.83665879999999904</v>
      </c>
      <c r="AB970">
        <v>36</v>
      </c>
      <c r="AC970">
        <v>5.7073</v>
      </c>
      <c r="AD970">
        <v>-1.08709605518</v>
      </c>
      <c r="AE970">
        <v>-21.400899999999901</v>
      </c>
      <c r="AF970">
        <v>12.185088886105</v>
      </c>
      <c r="AG970">
        <v>-1.08709605518</v>
      </c>
      <c r="AH970">
        <v>18.4320471071524</v>
      </c>
      <c r="AI970">
        <v>92.8166582918209</v>
      </c>
      <c r="AJ970">
        <v>56.532039220305599</v>
      </c>
      <c r="AK970">
        <v>22.122353617003601</v>
      </c>
    </row>
    <row r="971" spans="1:37" x14ac:dyDescent="0.2">
      <c r="A971" t="str">
        <f>"20200111153419943"</f>
        <v>20200111153419943</v>
      </c>
      <c r="B971" t="str">
        <f>"1578728059937323"</f>
        <v>1578728059937323</v>
      </c>
      <c r="C971" t="s">
        <v>37</v>
      </c>
      <c r="D971">
        <v>4.9833569999999998</v>
      </c>
      <c r="E971">
        <v>0.62253449999999999</v>
      </c>
      <c r="F971" t="s">
        <v>39</v>
      </c>
      <c r="G971">
        <v>-194.50819999999999</v>
      </c>
      <c r="H971" s="1">
        <v>-3.6490769999999999E-6</v>
      </c>
      <c r="I971">
        <v>345.35989999999998</v>
      </c>
      <c r="J971">
        <v>-198.90539999999999</v>
      </c>
      <c r="K971">
        <v>1.087051</v>
      </c>
      <c r="L971">
        <v>361.22539999999998</v>
      </c>
      <c r="M971">
        <v>0.7407435</v>
      </c>
      <c r="N971">
        <v>0</v>
      </c>
      <c r="O971">
        <v>-0.67157849999999997</v>
      </c>
      <c r="P971">
        <v>0.547436699999999</v>
      </c>
      <c r="Q971">
        <v>9.8532510000000004E-3</v>
      </c>
      <c r="R971">
        <v>-0.83678909999999995</v>
      </c>
      <c r="S971">
        <v>0.86265559999999997</v>
      </c>
      <c r="T971">
        <v>-0.20602129999999899</v>
      </c>
      <c r="U971">
        <v>-3.0341800000000001</v>
      </c>
      <c r="V971">
        <v>0.2531041</v>
      </c>
      <c r="W971">
        <v>1.553646E-2</v>
      </c>
      <c r="X971">
        <v>0.96731429999999996</v>
      </c>
      <c r="Y971">
        <v>0.52894059999999998</v>
      </c>
      <c r="Z971">
        <v>2.9976550000000001E-2</v>
      </c>
      <c r="AA971">
        <v>0.84812929999999997</v>
      </c>
      <c r="AB971">
        <v>36</v>
      </c>
      <c r="AC971">
        <v>4.39719999999999</v>
      </c>
      <c r="AD971">
        <v>-1.0870546490769999</v>
      </c>
      <c r="AE971">
        <v>-15.8654999999999</v>
      </c>
      <c r="AF971">
        <v>8.7622387426428805</v>
      </c>
      <c r="AG971">
        <v>-1.0870546490769999</v>
      </c>
      <c r="AH971">
        <v>13.853686175938099</v>
      </c>
      <c r="AI971">
        <v>93.794054574941498</v>
      </c>
      <c r="AJ971">
        <v>57.687290203150297</v>
      </c>
      <c r="AK971">
        <v>16.428120289751</v>
      </c>
    </row>
    <row r="972" spans="1:37" x14ac:dyDescent="0.2">
      <c r="A972" t="str">
        <f>"20200111153419960"</f>
        <v>20200111153419960</v>
      </c>
      <c r="B972" t="str">
        <f>"1578728059956843"</f>
        <v>1578728059956843</v>
      </c>
      <c r="C972" t="s">
        <v>37</v>
      </c>
      <c r="D972">
        <v>4.9364339999999904</v>
      </c>
      <c r="E972">
        <v>0.62155669999999996</v>
      </c>
      <c r="F972" t="s">
        <v>39</v>
      </c>
      <c r="G972">
        <v>-194.60220000000001</v>
      </c>
      <c r="H972" s="1">
        <v>-3.6913219999999999E-6</v>
      </c>
      <c r="I972">
        <v>345.435</v>
      </c>
      <c r="J972">
        <v>-198.70179999999999</v>
      </c>
      <c r="K972">
        <v>1.0869979999999999</v>
      </c>
      <c r="L972">
        <v>361.03019999999998</v>
      </c>
      <c r="M972">
        <v>0.73132940000000002</v>
      </c>
      <c r="N972">
        <v>0</v>
      </c>
      <c r="O972">
        <v>-0.68181759999999902</v>
      </c>
      <c r="P972">
        <v>0.5369758</v>
      </c>
      <c r="Q972">
        <v>1.083655E-2</v>
      </c>
      <c r="R972">
        <v>-0.84352839999999996</v>
      </c>
      <c r="S972">
        <v>0.82977289999999904</v>
      </c>
      <c r="T972">
        <v>-0.20961079999999899</v>
      </c>
      <c r="U972">
        <v>-3.0447690000000001</v>
      </c>
      <c r="V972">
        <v>0.2517277</v>
      </c>
      <c r="W972">
        <v>1.6575360000000001E-2</v>
      </c>
      <c r="X972">
        <v>0.96765610000000002</v>
      </c>
      <c r="Y972">
        <v>0.52642509999999998</v>
      </c>
      <c r="Z972">
        <v>3.1418590000000003E-2</v>
      </c>
      <c r="AA972">
        <v>0.84964079999999997</v>
      </c>
      <c r="AB972">
        <v>36</v>
      </c>
      <c r="AC972">
        <v>4.0995999999999801</v>
      </c>
      <c r="AD972">
        <v>-1.087001691322</v>
      </c>
      <c r="AE972">
        <v>-15.595199999999901</v>
      </c>
      <c r="AF972">
        <v>8.5723089949275906</v>
      </c>
      <c r="AG972">
        <v>-1.087001691322</v>
      </c>
      <c r="AH972">
        <v>13.5714909737684</v>
      </c>
      <c r="AI972">
        <v>93.873990324937097</v>
      </c>
      <c r="AJ972">
        <v>57.721817632492098</v>
      </c>
      <c r="AK972">
        <v>16.0888601657336</v>
      </c>
    </row>
    <row r="973" spans="1:37" x14ac:dyDescent="0.2">
      <c r="A973" t="str">
        <f>"20200111153419973"</f>
        <v>20200111153419973</v>
      </c>
      <c r="B973" t="str">
        <f>"1578728059967579"</f>
        <v>1578728059967579</v>
      </c>
      <c r="C973" t="s">
        <v>37</v>
      </c>
      <c r="D973">
        <v>4.9648979999999998</v>
      </c>
      <c r="E973">
        <v>0.62079340000000005</v>
      </c>
      <c r="F973" t="s">
        <v>39</v>
      </c>
      <c r="G973">
        <v>-194.53139999999999</v>
      </c>
      <c r="H973" s="1">
        <v>-3.5602580000000001E-6</v>
      </c>
      <c r="I973">
        <v>345.08679999999998</v>
      </c>
      <c r="J973">
        <v>-198.54339999999999</v>
      </c>
      <c r="K973">
        <v>1.0869549999999999</v>
      </c>
      <c r="L973">
        <v>360.87389999999999</v>
      </c>
      <c r="M973">
        <v>0.72377740000000002</v>
      </c>
      <c r="N973">
        <v>0</v>
      </c>
      <c r="O973">
        <v>-0.68982860000000001</v>
      </c>
      <c r="P973">
        <v>0.52866480000000005</v>
      </c>
      <c r="Q973">
        <v>1.07984E-2</v>
      </c>
      <c r="R973">
        <v>-0.84876249999999998</v>
      </c>
      <c r="S973">
        <v>0.79808040000000002</v>
      </c>
      <c r="T973">
        <v>-0.2080206</v>
      </c>
      <c r="U973">
        <v>-3.0511169999999899</v>
      </c>
      <c r="V973">
        <v>0.250579</v>
      </c>
      <c r="W973">
        <v>1.6584890000000001E-2</v>
      </c>
      <c r="X973">
        <v>0.96795409999999904</v>
      </c>
      <c r="Y973">
        <v>0.52575869999999902</v>
      </c>
      <c r="Z973">
        <v>3.1889979999999998E-2</v>
      </c>
      <c r="AA973">
        <v>0.85003580000000001</v>
      </c>
      <c r="AB973">
        <v>36</v>
      </c>
      <c r="AC973">
        <v>4.0119999999999996</v>
      </c>
      <c r="AD973">
        <v>-1.0869585602580001</v>
      </c>
      <c r="AE973">
        <v>-15.787100000000001</v>
      </c>
      <c r="AF973">
        <v>8.6215873950594695</v>
      </c>
      <c r="AG973">
        <v>-1.0869585602580001</v>
      </c>
      <c r="AH973">
        <v>13.7349784553472</v>
      </c>
      <c r="AI973">
        <v>93.834634616934906</v>
      </c>
      <c r="AJ973">
        <v>57.883084630905898</v>
      </c>
      <c r="AK973">
        <v>16.253088361638198</v>
      </c>
    </row>
    <row r="974" spans="1:37" x14ac:dyDescent="0.2">
      <c r="A974" t="str">
        <f>"20200111153419986"</f>
        <v>20200111153419986</v>
      </c>
      <c r="B974" t="str">
        <f>"1578728059977339"</f>
        <v>1578728059977339</v>
      </c>
      <c r="C974" t="s">
        <v>37</v>
      </c>
      <c r="D974">
        <v>4.9288419999999897</v>
      </c>
      <c r="E974">
        <v>0.62033680000000002</v>
      </c>
      <c r="F974" t="s">
        <v>39</v>
      </c>
      <c r="G974">
        <v>-194.57900000000001</v>
      </c>
      <c r="H974" s="1">
        <v>-3.610141E-6</v>
      </c>
      <c r="I974">
        <v>345.20859999999999</v>
      </c>
      <c r="J974">
        <v>-198.3981</v>
      </c>
      <c r="K974">
        <v>1.0869169999999999</v>
      </c>
      <c r="L974">
        <v>360.72770000000003</v>
      </c>
      <c r="M974">
        <v>0.71668799999999999</v>
      </c>
      <c r="N974">
        <v>0</v>
      </c>
      <c r="O974">
        <v>-0.6971908</v>
      </c>
      <c r="P974">
        <v>0.5210053</v>
      </c>
      <c r="Q974">
        <v>1.063277E-2</v>
      </c>
      <c r="R974">
        <v>-0.85348760000000001</v>
      </c>
      <c r="S974">
        <v>0.77328490000000005</v>
      </c>
      <c r="T974">
        <v>-0.2120165</v>
      </c>
      <c r="U974">
        <v>-3.0556030000000001</v>
      </c>
      <c r="V974">
        <v>0.24939239999999999</v>
      </c>
      <c r="W974">
        <v>1.6469520000000001E-2</v>
      </c>
      <c r="X974">
        <v>0.96826239999999997</v>
      </c>
      <c r="Y974">
        <v>0.52384819999999999</v>
      </c>
      <c r="Z974">
        <v>3.3206920000000001E-2</v>
      </c>
      <c r="AA974">
        <v>0.85116409999999998</v>
      </c>
      <c r="AB974">
        <v>36</v>
      </c>
      <c r="AC974">
        <v>3.8190999999999899</v>
      </c>
      <c r="AD974">
        <v>-1.0869206101409901</v>
      </c>
      <c r="AE974">
        <v>-15.5191</v>
      </c>
      <c r="AF974">
        <v>8.4219569906825598</v>
      </c>
      <c r="AG974">
        <v>-1.0869206101409901</v>
      </c>
      <c r="AH974">
        <v>13.496374668401099</v>
      </c>
      <c r="AI974">
        <v>93.908551691951601</v>
      </c>
      <c r="AJ974">
        <v>58.0351670114011</v>
      </c>
      <c r="AK974">
        <v>15.945622758472499</v>
      </c>
    </row>
    <row r="975" spans="1:37" x14ac:dyDescent="0.2">
      <c r="A975" t="str">
        <f>"20200111153420006"</f>
        <v>20200111153420006</v>
      </c>
      <c r="B975" t="str">
        <f>"1578728059996859"</f>
        <v>1578728059996859</v>
      </c>
      <c r="C975" t="s">
        <v>37</v>
      </c>
      <c r="D975">
        <v>4.9524249999999999</v>
      </c>
      <c r="E975">
        <v>0.61920959999999903</v>
      </c>
      <c r="F975" t="s">
        <v>39</v>
      </c>
      <c r="G975">
        <v>-194.5575</v>
      </c>
      <c r="H975" s="1">
        <v>-3.54494799999999E-6</v>
      </c>
      <c r="I975">
        <v>345.02820000000003</v>
      </c>
      <c r="J975">
        <v>-198.16820000000001</v>
      </c>
      <c r="K975">
        <v>1.0868629999999999</v>
      </c>
      <c r="L975">
        <v>360.49029999999999</v>
      </c>
      <c r="M975">
        <v>0.70513419999999905</v>
      </c>
      <c r="N975">
        <v>0</v>
      </c>
      <c r="O975">
        <v>-0.70887330000000004</v>
      </c>
      <c r="P975">
        <v>0.50937189999999999</v>
      </c>
      <c r="Q975">
        <v>1.056966E-2</v>
      </c>
      <c r="R975">
        <v>-0.86048189999999902</v>
      </c>
      <c r="S975">
        <v>0.74871829999999995</v>
      </c>
      <c r="T975">
        <v>-0.21189250000000001</v>
      </c>
      <c r="U975">
        <v>-3.0605769999999999</v>
      </c>
      <c r="V975">
        <v>0.24662629999999999</v>
      </c>
      <c r="W975">
        <v>1.652816E-2</v>
      </c>
      <c r="X975">
        <v>0.96896970000000004</v>
      </c>
      <c r="Y975">
        <v>0.51661369999999995</v>
      </c>
      <c r="Z975">
        <v>3.4418549999999999E-2</v>
      </c>
      <c r="AA975">
        <v>0.85552659999999903</v>
      </c>
      <c r="AB975">
        <v>36</v>
      </c>
      <c r="AC975">
        <v>3.6107</v>
      </c>
      <c r="AD975">
        <v>-1.0868665449479999</v>
      </c>
      <c r="AE975">
        <v>-15.4620999999999</v>
      </c>
      <c r="AF975">
        <v>8.3055974993551001</v>
      </c>
      <c r="AG975">
        <v>-1.0868665449479999</v>
      </c>
      <c r="AH975">
        <v>13.445619540368</v>
      </c>
      <c r="AI975">
        <v>93.9341191140728</v>
      </c>
      <c r="AJ975">
        <v>58.295639660823397</v>
      </c>
      <c r="AK975">
        <v>15.8413671610801</v>
      </c>
    </row>
    <row r="976" spans="1:37" x14ac:dyDescent="0.2">
      <c r="A976" t="str">
        <f>"20200111153420020"</f>
        <v>20200111153420020</v>
      </c>
      <c r="B976" t="str">
        <f>"1578728060017355"</f>
        <v>1578728060017355</v>
      </c>
      <c r="C976" t="s">
        <v>37</v>
      </c>
      <c r="D976">
        <v>4.9211960000000001</v>
      </c>
      <c r="E976">
        <v>0.61777029999999999</v>
      </c>
      <c r="F976" t="s">
        <v>39</v>
      </c>
      <c r="G976">
        <v>-194.63239999999999</v>
      </c>
      <c r="H976" s="1">
        <v>-3.6586919999999898E-6</v>
      </c>
      <c r="I976">
        <v>345.32339999999999</v>
      </c>
      <c r="J976">
        <v>-198.01849999999999</v>
      </c>
      <c r="K976">
        <v>1.0868279999999999</v>
      </c>
      <c r="L976">
        <v>360.33210000000003</v>
      </c>
      <c r="M976">
        <v>0.69739960000000001</v>
      </c>
      <c r="N976">
        <v>0</v>
      </c>
      <c r="O976">
        <v>-0.71648400000000001</v>
      </c>
      <c r="P976">
        <v>0.50124199999999997</v>
      </c>
      <c r="Q976">
        <v>1.093626E-2</v>
      </c>
      <c r="R976">
        <v>-0.86523839999999996</v>
      </c>
      <c r="S976">
        <v>0.7147675</v>
      </c>
      <c r="T976">
        <v>-0.21971179999999901</v>
      </c>
      <c r="U976">
        <v>-3.0660099999999999</v>
      </c>
      <c r="V976">
        <v>0.24525469999999999</v>
      </c>
      <c r="W976">
        <v>1.695439E-2</v>
      </c>
      <c r="X976">
        <v>0.96931039999999902</v>
      </c>
      <c r="Y976">
        <v>0.51664469999999996</v>
      </c>
      <c r="Z976">
        <v>3.6392029999999999E-2</v>
      </c>
      <c r="AA976">
        <v>0.85542609999999997</v>
      </c>
      <c r="AB976">
        <v>36</v>
      </c>
      <c r="AC976">
        <v>3.3860999999999901</v>
      </c>
      <c r="AD976">
        <v>-1.0868316586919999</v>
      </c>
      <c r="AE976">
        <v>-15.008699999999999</v>
      </c>
      <c r="AF976">
        <v>8.0021900943742601</v>
      </c>
      <c r="AG976">
        <v>-1.0868316586919999</v>
      </c>
      <c r="AH976">
        <v>13.051699553653799</v>
      </c>
      <c r="AI976">
        <v>94.060643801063605</v>
      </c>
      <c r="AJ976">
        <v>58.486922269394398</v>
      </c>
      <c r="AK976">
        <v>15.3480653699312</v>
      </c>
    </row>
    <row r="977" spans="1:37" x14ac:dyDescent="0.2">
      <c r="A977" t="str">
        <f>"20200111153420032"</f>
        <v>20200111153420032</v>
      </c>
      <c r="B977" t="str">
        <f>"1578728060027115"</f>
        <v>1578728060027115</v>
      </c>
      <c r="C977" t="s">
        <v>37</v>
      </c>
      <c r="D977">
        <v>4.9385510000000004</v>
      </c>
      <c r="E977">
        <v>0.61707480000000003</v>
      </c>
      <c r="F977" t="s">
        <v>39</v>
      </c>
      <c r="G977">
        <v>-194.67240000000001</v>
      </c>
      <c r="H977" s="1">
        <v>-3.7547510000000002E-6</v>
      </c>
      <c r="I977">
        <v>345.58479999999997</v>
      </c>
      <c r="J977">
        <v>-197.8672</v>
      </c>
      <c r="K977">
        <v>1.0867990000000001</v>
      </c>
      <c r="L977">
        <v>360.16730000000001</v>
      </c>
      <c r="M977">
        <v>0.68935170000000001</v>
      </c>
      <c r="N977">
        <v>0</v>
      </c>
      <c r="O977">
        <v>-0.72423009999999999</v>
      </c>
      <c r="P977">
        <v>0.49283320000000003</v>
      </c>
      <c r="Q977">
        <v>1.124579E-2</v>
      </c>
      <c r="R977">
        <v>-0.87005149999999998</v>
      </c>
      <c r="S977">
        <v>0.69587710000000003</v>
      </c>
      <c r="T977">
        <v>-0.22602410000000001</v>
      </c>
      <c r="U977">
        <v>-3.0669249999999999</v>
      </c>
      <c r="V977">
        <v>0.24383260000000001</v>
      </c>
      <c r="W977">
        <v>1.7327700000000001E-2</v>
      </c>
      <c r="X977">
        <v>0.96966249999999998</v>
      </c>
      <c r="Y977">
        <v>0.51214919999999997</v>
      </c>
      <c r="Z977">
        <v>3.8328300000000003E-2</v>
      </c>
      <c r="AA977">
        <v>0.8580409</v>
      </c>
      <c r="AB977">
        <v>36</v>
      </c>
      <c r="AC977">
        <v>3.1947999999999799</v>
      </c>
      <c r="AD977">
        <v>-1.086802754751</v>
      </c>
      <c r="AE977">
        <v>-14.5825</v>
      </c>
      <c r="AF977">
        <v>7.6989990232934504</v>
      </c>
      <c r="AG977">
        <v>-1.086802754751</v>
      </c>
      <c r="AH977">
        <v>12.697946102167</v>
      </c>
      <c r="AI977">
        <v>94.185845726114806</v>
      </c>
      <c r="AJ977">
        <v>58.7707936891264</v>
      </c>
      <c r="AK977">
        <v>14.889377468583</v>
      </c>
    </row>
    <row r="978" spans="1:37" x14ac:dyDescent="0.2">
      <c r="A978" t="str">
        <f>"20200111153420049"</f>
        <v>20200111153420049</v>
      </c>
      <c r="B978" t="str">
        <f>"1578728060036875"</f>
        <v>1578728060036875</v>
      </c>
      <c r="C978" t="s">
        <v>37</v>
      </c>
      <c r="D978">
        <v>4.9524169999999996</v>
      </c>
      <c r="E978">
        <v>0.61648419999999904</v>
      </c>
      <c r="F978" t="s">
        <v>39</v>
      </c>
      <c r="G978">
        <v>-194.6902</v>
      </c>
      <c r="H978" s="1">
        <v>-3.7716079999999998E-6</v>
      </c>
      <c r="I978">
        <v>345.62509999999997</v>
      </c>
      <c r="J978">
        <v>-197.6918</v>
      </c>
      <c r="K978">
        <v>1.0867739999999999</v>
      </c>
      <c r="L978">
        <v>359.97210000000001</v>
      </c>
      <c r="M978">
        <v>0.67978769999999999</v>
      </c>
      <c r="N978">
        <v>0</v>
      </c>
      <c r="O978">
        <v>-0.73321419999999904</v>
      </c>
      <c r="P978">
        <v>0.48447249999999997</v>
      </c>
      <c r="Q978">
        <v>1.177959E-2</v>
      </c>
      <c r="R978">
        <v>-0.87472780000000006</v>
      </c>
      <c r="S978">
        <v>0.67089840000000001</v>
      </c>
      <c r="T978">
        <v>-0.22950760000000001</v>
      </c>
      <c r="U978">
        <v>-3.0709840000000002</v>
      </c>
      <c r="V978">
        <v>0.24042039999999901</v>
      </c>
      <c r="W978">
        <v>1.8018530000000001E-2</v>
      </c>
      <c r="X978">
        <v>0.97050159999999996</v>
      </c>
      <c r="Y978">
        <v>0.50778100000000004</v>
      </c>
      <c r="Z978">
        <v>3.9915730000000003E-2</v>
      </c>
      <c r="AA978">
        <v>0.86056100000000002</v>
      </c>
      <c r="AB978">
        <v>36</v>
      </c>
      <c r="AC978">
        <v>3.0015999999999901</v>
      </c>
      <c r="AD978">
        <v>-1.0867777716079901</v>
      </c>
      <c r="AE978">
        <v>-14.347</v>
      </c>
      <c r="AF978">
        <v>7.5118816154306502</v>
      </c>
      <c r="AG978">
        <v>-1.0867777716079901</v>
      </c>
      <c r="AH978">
        <v>12.4929904775005</v>
      </c>
      <c r="AI978">
        <v>94.263615174610393</v>
      </c>
      <c r="AJ978">
        <v>58.982024097345203</v>
      </c>
      <c r="AK978">
        <v>14.6179431658501</v>
      </c>
    </row>
    <row r="979" spans="1:37" x14ac:dyDescent="0.2">
      <c r="A979" t="str">
        <f>"20200111153420062"</f>
        <v>20200111153420062</v>
      </c>
      <c r="B979" t="str">
        <f>"1578728060057371"</f>
        <v>1578728060057371</v>
      </c>
      <c r="C979" t="s">
        <v>37</v>
      </c>
      <c r="D979">
        <v>5.1181299999999998</v>
      </c>
      <c r="E979">
        <v>0.61623439999999996</v>
      </c>
      <c r="F979" t="s">
        <v>39</v>
      </c>
      <c r="G979">
        <v>-194.6377</v>
      </c>
      <c r="H979" s="1">
        <v>-3.6900619999999998E-6</v>
      </c>
      <c r="I979">
        <v>345.4128</v>
      </c>
      <c r="J979">
        <v>-197.55449999999999</v>
      </c>
      <c r="K979">
        <v>1.0867500000000001</v>
      </c>
      <c r="L979">
        <v>359.81619999999998</v>
      </c>
      <c r="M979">
        <v>0.67211969999999899</v>
      </c>
      <c r="N979">
        <v>0</v>
      </c>
      <c r="O979">
        <v>-0.7402495</v>
      </c>
      <c r="P979">
        <v>0.47709579999999902</v>
      </c>
      <c r="Q979">
        <v>1.2058920000000001E-2</v>
      </c>
      <c r="R979">
        <v>-0.87876889999999996</v>
      </c>
      <c r="S979">
        <v>0.64512630000000004</v>
      </c>
      <c r="T979">
        <v>-0.22956089999999901</v>
      </c>
      <c r="U979">
        <v>-3.07537799999999</v>
      </c>
      <c r="V979">
        <v>0.23849619999999999</v>
      </c>
      <c r="W979">
        <v>1.8386110000000001E-2</v>
      </c>
      <c r="X979">
        <v>0.97096939999999998</v>
      </c>
      <c r="Y979">
        <v>0.50597499999999995</v>
      </c>
      <c r="Z979">
        <v>4.0658760000000002E-2</v>
      </c>
      <c r="AA979">
        <v>0.8615893</v>
      </c>
      <c r="AB979">
        <v>36</v>
      </c>
      <c r="AC979">
        <v>2.9167999999999901</v>
      </c>
      <c r="AD979">
        <v>-1.0867536900620001</v>
      </c>
      <c r="AE979">
        <v>-14.4033999999999</v>
      </c>
      <c r="AF979">
        <v>7.4818090164284996</v>
      </c>
      <c r="AG979">
        <v>-1.0867536900620001</v>
      </c>
      <c r="AH979">
        <v>12.555690184921399</v>
      </c>
      <c r="AI979">
        <v>94.252374419535698</v>
      </c>
      <c r="AJ979">
        <v>59.209712755737598</v>
      </c>
      <c r="AK979">
        <v>14.6561883094107</v>
      </c>
    </row>
    <row r="980" spans="1:37" x14ac:dyDescent="0.2">
      <c r="A980" t="str">
        <f>"20200111153420074"</f>
        <v>20200111153420074</v>
      </c>
      <c r="B980" t="str">
        <f>"1578728060067131"</f>
        <v>1578728060067131</v>
      </c>
      <c r="C980" t="s">
        <v>37</v>
      </c>
      <c r="D980">
        <v>5.170172</v>
      </c>
      <c r="E980">
        <v>0.61623439999999996</v>
      </c>
      <c r="F980" t="s">
        <v>39</v>
      </c>
      <c r="G980">
        <v>-194.58949999999999</v>
      </c>
      <c r="H980" s="1">
        <v>-3.57641399999999E-6</v>
      </c>
      <c r="I980">
        <v>345.10399999999998</v>
      </c>
      <c r="J980">
        <v>-197.42099999999999</v>
      </c>
      <c r="K980">
        <v>1.0867359999999999</v>
      </c>
      <c r="L980">
        <v>359.66079999999999</v>
      </c>
      <c r="M980">
        <v>0.66447929999999999</v>
      </c>
      <c r="N980">
        <v>0</v>
      </c>
      <c r="O980">
        <v>-0.74711539999999999</v>
      </c>
      <c r="P980">
        <v>0.469838599999999</v>
      </c>
      <c r="Q980">
        <v>1.2503419999999999E-2</v>
      </c>
      <c r="R980">
        <v>-0.88266440000000002</v>
      </c>
      <c r="S980">
        <v>0.62072749999999999</v>
      </c>
      <c r="T980">
        <v>-0.22751149999999901</v>
      </c>
      <c r="U980">
        <v>-3.079987</v>
      </c>
      <c r="V980">
        <v>0.23653850000000001</v>
      </c>
      <c r="W980">
        <v>1.8921029999999998E-2</v>
      </c>
      <c r="X980">
        <v>0.97143789999999997</v>
      </c>
      <c r="Y980">
        <v>0.50392740000000003</v>
      </c>
      <c r="Z980">
        <v>4.1009129999999998E-2</v>
      </c>
      <c r="AA980">
        <v>0.86277190000000004</v>
      </c>
      <c r="AB980">
        <v>36</v>
      </c>
      <c r="AC980">
        <v>2.8315000000000001</v>
      </c>
      <c r="AD980">
        <v>-1.086739576414</v>
      </c>
      <c r="AE980">
        <v>-14.5567999999999</v>
      </c>
      <c r="AF980">
        <v>7.5179424640591801</v>
      </c>
      <c r="AG980">
        <v>-1.086739576414</v>
      </c>
      <c r="AH980">
        <v>12.6907543166307</v>
      </c>
      <c r="AI980">
        <v>94.213664650054397</v>
      </c>
      <c r="AJ980">
        <v>59.357701393811297</v>
      </c>
      <c r="AK980">
        <v>14.7903923857662</v>
      </c>
    </row>
    <row r="981" spans="1:37" x14ac:dyDescent="0.2">
      <c r="A981" t="str">
        <f>"20200111153420087"</f>
        <v>20200111153420087</v>
      </c>
      <c r="B981" t="str">
        <f>"1578728060076891"</f>
        <v>1578728060076891</v>
      </c>
      <c r="C981" t="s">
        <v>37</v>
      </c>
      <c r="D981">
        <v>5.0285310000000001</v>
      </c>
      <c r="E981">
        <v>0.63646480000000005</v>
      </c>
      <c r="F981" t="s">
        <v>39</v>
      </c>
      <c r="G981">
        <v>-194.54730000000001</v>
      </c>
      <c r="H981" s="1">
        <v>-3.43119E-6</v>
      </c>
      <c r="I981">
        <v>344.76690000000002</v>
      </c>
      <c r="J981">
        <v>-197.28970000000001</v>
      </c>
      <c r="K981">
        <v>1.0867260000000001</v>
      </c>
      <c r="L981">
        <v>359.50450000000001</v>
      </c>
      <c r="M981">
        <v>0.6567904</v>
      </c>
      <c r="N981">
        <v>0</v>
      </c>
      <c r="O981">
        <v>-0.75388339999999998</v>
      </c>
      <c r="P981">
        <v>0.46238609999999902</v>
      </c>
      <c r="Q981">
        <v>1.344191E-2</v>
      </c>
      <c r="R981">
        <v>-0.8865767</v>
      </c>
      <c r="S981">
        <v>0.59524540000000004</v>
      </c>
      <c r="T981">
        <v>-0.225106799999999</v>
      </c>
      <c r="U981">
        <v>-3.0851139999999999</v>
      </c>
      <c r="V981">
        <v>0.2348025</v>
      </c>
      <c r="W981">
        <v>1.994079E-2</v>
      </c>
      <c r="X981">
        <v>0.97183850000000005</v>
      </c>
      <c r="Y981">
        <v>0.50222149999999999</v>
      </c>
      <c r="Z981">
        <v>4.1257910000000002E-2</v>
      </c>
      <c r="AA981">
        <v>0.86375419999999903</v>
      </c>
      <c r="AB981">
        <v>36</v>
      </c>
      <c r="AC981">
        <v>2.7423999999999999</v>
      </c>
      <c r="AD981">
        <v>-1.08672943119</v>
      </c>
      <c r="AE981">
        <v>-14.737599999999899</v>
      </c>
      <c r="AF981">
        <v>7.5733528479411696</v>
      </c>
      <c r="AG981">
        <v>-1.08672943119</v>
      </c>
      <c r="AH981">
        <v>12.845951362476301</v>
      </c>
      <c r="AI981">
        <v>94.168068711208306</v>
      </c>
      <c r="AJ981">
        <v>59.478450875999997</v>
      </c>
      <c r="AK981">
        <v>14.951759783488299</v>
      </c>
    </row>
    <row r="982" spans="1:37" x14ac:dyDescent="0.2">
      <c r="A982" t="str">
        <f>"20200111153420099"</f>
        <v>20200111153420099</v>
      </c>
      <c r="B982" t="str">
        <f>"1578728060097699"</f>
        <v>1578728060097699</v>
      </c>
      <c r="C982" t="s">
        <v>37</v>
      </c>
      <c r="D982">
        <v>4.7740859999999996</v>
      </c>
      <c r="E982">
        <v>0.67437349999999996</v>
      </c>
      <c r="F982" t="s">
        <v>39</v>
      </c>
      <c r="G982">
        <v>-194.6397</v>
      </c>
      <c r="H982" s="1">
        <v>-1.320902E-6</v>
      </c>
      <c r="I982">
        <v>339.79050000000001</v>
      </c>
      <c r="J982">
        <v>-197.16290000000001</v>
      </c>
      <c r="K982">
        <v>1.086716</v>
      </c>
      <c r="L982">
        <v>359.35169999999999</v>
      </c>
      <c r="M982">
        <v>0.6492386</v>
      </c>
      <c r="N982">
        <v>0</v>
      </c>
      <c r="O982">
        <v>-0.76039650000000003</v>
      </c>
      <c r="P982">
        <v>0.454841299999999</v>
      </c>
      <c r="Q982">
        <v>1.4276169999999999E-2</v>
      </c>
      <c r="R982">
        <v>-0.89045849999999904</v>
      </c>
      <c r="S982">
        <v>0.4253845</v>
      </c>
      <c r="T982">
        <v>-0.1744444</v>
      </c>
      <c r="U982">
        <v>-3.1645509999999999</v>
      </c>
      <c r="V982">
        <v>0.23339019999999999</v>
      </c>
      <c r="W982">
        <v>2.0841350000000002E-2</v>
      </c>
      <c r="X982">
        <v>0.97215980000000002</v>
      </c>
      <c r="Y982">
        <v>0.54221799999999998</v>
      </c>
      <c r="Z982">
        <v>3.1058220000000001E-2</v>
      </c>
      <c r="AA982">
        <v>0.83966369999999901</v>
      </c>
      <c r="AB982">
        <v>36</v>
      </c>
      <c r="AC982">
        <v>2.5232000000000001</v>
      </c>
      <c r="AD982">
        <v>-1.086717320902</v>
      </c>
      <c r="AE982">
        <v>-19.5611999999999</v>
      </c>
      <c r="AF982">
        <v>10.750162345616999</v>
      </c>
      <c r="AG982">
        <v>-1.086717320902</v>
      </c>
      <c r="AH982">
        <v>16.464807811460702</v>
      </c>
      <c r="AI982">
        <v>93.163263283377802</v>
      </c>
      <c r="AJ982">
        <v>56.858774420669199</v>
      </c>
      <c r="AK982">
        <v>19.693573603107399</v>
      </c>
    </row>
    <row r="983" spans="1:37" x14ac:dyDescent="0.2">
      <c r="A983" t="str">
        <f>"20200111153420118"</f>
        <v>20200111153420118</v>
      </c>
      <c r="B983" t="str">
        <f>"1578728060107458"</f>
        <v>1578728060107458</v>
      </c>
      <c r="C983" t="s">
        <v>37</v>
      </c>
      <c r="D983">
        <v>4.8881199999999998</v>
      </c>
      <c r="E983">
        <v>0.66550140000000002</v>
      </c>
      <c r="F983" t="s">
        <v>49</v>
      </c>
      <c r="G983">
        <v>-180.82910000000001</v>
      </c>
      <c r="H983">
        <v>41.683250000000001</v>
      </c>
      <c r="I983">
        <v>-81.828990000000005</v>
      </c>
      <c r="J983">
        <v>-196.9742</v>
      </c>
      <c r="K983">
        <v>1.0867100000000001</v>
      </c>
      <c r="L983">
        <v>359.11709999999999</v>
      </c>
      <c r="M983">
        <v>0.63765139999999998</v>
      </c>
      <c r="N983">
        <v>0</v>
      </c>
      <c r="O983">
        <v>-0.77013889999999996</v>
      </c>
      <c r="P983">
        <v>0.44349290000000002</v>
      </c>
      <c r="Q983">
        <v>1.6129290000000001E-2</v>
      </c>
      <c r="R983">
        <v>-0.89613290000000001</v>
      </c>
      <c r="S983">
        <v>0.12223820000000001</v>
      </c>
      <c r="T983">
        <v>0.30381540000000001</v>
      </c>
      <c r="U983">
        <v>-3.3016969999999999</v>
      </c>
      <c r="V983">
        <v>0.23108119999999999</v>
      </c>
      <c r="W983">
        <v>2.280449E-2</v>
      </c>
      <c r="X983">
        <v>0.97266719999999895</v>
      </c>
      <c r="Y983">
        <v>0.60855230000000005</v>
      </c>
      <c r="Z983">
        <v>-5.075205E-2</v>
      </c>
      <c r="AA983">
        <v>0.79188910000000001</v>
      </c>
      <c r="AB983">
        <v>36</v>
      </c>
      <c r="AC983">
        <v>16.1450999999999</v>
      </c>
      <c r="AD983">
        <v>40.596539999999997</v>
      </c>
      <c r="AE983">
        <v>-440.94609000000003</v>
      </c>
      <c r="AF983">
        <v>266.518393522937</v>
      </c>
      <c r="AG983">
        <v>40.596539999999997</v>
      </c>
      <c r="AH983">
        <v>346.99753847027301</v>
      </c>
      <c r="AI983">
        <v>84.699041385513198</v>
      </c>
      <c r="AJ983">
        <v>52.473215343436003</v>
      </c>
      <c r="AK983">
        <v>439.41714219002398</v>
      </c>
    </row>
    <row r="984" spans="1:37" x14ac:dyDescent="0.2">
      <c r="A984" t="str">
        <f>"20200111153420133"</f>
        <v>20200111153420133</v>
      </c>
      <c r="B984" t="str">
        <f>"1578728060126979"</f>
        <v>1578728060126979</v>
      </c>
      <c r="C984" t="s">
        <v>37</v>
      </c>
      <c r="D984">
        <v>4.9508979999999996</v>
      </c>
      <c r="E984">
        <v>0.65770399999999996</v>
      </c>
      <c r="F984" t="s">
        <v>49</v>
      </c>
      <c r="G984">
        <v>-177.35290000000001</v>
      </c>
      <c r="H984">
        <v>25.02787</v>
      </c>
      <c r="I984">
        <v>-80.95693</v>
      </c>
      <c r="J984">
        <v>-196.82589999999999</v>
      </c>
      <c r="K984">
        <v>1.0867089999999999</v>
      </c>
      <c r="L984">
        <v>358.92660000000001</v>
      </c>
      <c r="M984">
        <v>0.62824969999999902</v>
      </c>
      <c r="N984">
        <v>0</v>
      </c>
      <c r="O984">
        <v>-0.7778273</v>
      </c>
      <c r="P984">
        <v>0.43354700000000002</v>
      </c>
      <c r="Q984">
        <v>1.6816810000000001E-2</v>
      </c>
      <c r="R984">
        <v>-0.90097399999999905</v>
      </c>
      <c r="S984">
        <v>0.14590449999999999</v>
      </c>
      <c r="T984">
        <v>0.17802699999999999</v>
      </c>
      <c r="U984">
        <v>-3.2724000000000002</v>
      </c>
      <c r="V984">
        <v>0.2300545</v>
      </c>
      <c r="W984">
        <v>2.354148E-2</v>
      </c>
      <c r="X984">
        <v>0.97289300000000001</v>
      </c>
      <c r="Y984">
        <v>0.59298930000000005</v>
      </c>
      <c r="Z984">
        <v>-3.102384E-2</v>
      </c>
      <c r="AA984">
        <v>0.80461249999999995</v>
      </c>
      <c r="AB984">
        <v>36</v>
      </c>
      <c r="AC984">
        <v>19.4729999999999</v>
      </c>
      <c r="AD984">
        <v>23.941161000000001</v>
      </c>
      <c r="AE984">
        <v>-439.88353000000001</v>
      </c>
      <c r="AF984">
        <v>260.47747883162901</v>
      </c>
      <c r="AG984">
        <v>23.941161000000001</v>
      </c>
      <c r="AH984">
        <v>353.39341537371098</v>
      </c>
      <c r="AI984">
        <v>86.878544814813793</v>
      </c>
      <c r="AJ984">
        <v>53.606997917979001</v>
      </c>
      <c r="AK984">
        <v>439.66874143837703</v>
      </c>
    </row>
    <row r="985" spans="1:37" x14ac:dyDescent="0.2">
      <c r="A985" t="str">
        <f>"20200111153420147"</f>
        <v>20200111153420147</v>
      </c>
      <c r="B985" t="str">
        <f>"1578728060137715"</f>
        <v>1578728060137715</v>
      </c>
      <c r="C985" t="s">
        <v>37</v>
      </c>
      <c r="D985">
        <v>4.979444</v>
      </c>
      <c r="E985">
        <v>0.65501830000000005</v>
      </c>
      <c r="F985" t="s">
        <v>49</v>
      </c>
      <c r="G985">
        <v>-174.2355</v>
      </c>
      <c r="H985">
        <v>13.23631</v>
      </c>
      <c r="I985">
        <v>-80.953019999999995</v>
      </c>
      <c r="J985">
        <v>-196.68770000000001</v>
      </c>
      <c r="K985">
        <v>1.086711</v>
      </c>
      <c r="L985">
        <v>358.74509999999998</v>
      </c>
      <c r="M985">
        <v>0.61928319999999903</v>
      </c>
      <c r="N985">
        <v>0</v>
      </c>
      <c r="O985">
        <v>-0.78498469999999998</v>
      </c>
      <c r="P985">
        <v>0.42414039999999997</v>
      </c>
      <c r="Q985">
        <v>1.721953E-2</v>
      </c>
      <c r="R985">
        <v>-0.90543289999999998</v>
      </c>
      <c r="S985">
        <v>0.16679379999999999</v>
      </c>
      <c r="T985">
        <v>8.9705350000000003E-2</v>
      </c>
      <c r="U985">
        <v>-3.24780299999999</v>
      </c>
      <c r="V985">
        <v>0.2290362</v>
      </c>
      <c r="W985">
        <v>2.3993400000000002E-2</v>
      </c>
      <c r="X985">
        <v>0.97312219999999905</v>
      </c>
      <c r="Y985">
        <v>0.57827450000000002</v>
      </c>
      <c r="Z985">
        <v>-1.621007E-2</v>
      </c>
      <c r="AA985">
        <v>0.8156812</v>
      </c>
      <c r="AB985">
        <v>36</v>
      </c>
      <c r="AC985">
        <v>22.452200000000001</v>
      </c>
      <c r="AD985">
        <v>12.149599</v>
      </c>
      <c r="AE985">
        <v>-439.69812000000002</v>
      </c>
      <c r="AF985">
        <v>254.51580196827501</v>
      </c>
      <c r="AG985">
        <v>12.149599</v>
      </c>
      <c r="AH985">
        <v>358.83889970724903</v>
      </c>
      <c r="AI985">
        <v>88.418079185861998</v>
      </c>
      <c r="AJ985">
        <v>54.652838816805598</v>
      </c>
      <c r="AK985">
        <v>440.10369477036198</v>
      </c>
    </row>
    <row r="986" spans="1:37" x14ac:dyDescent="0.2">
      <c r="A986" t="str">
        <f>"20200111153420164"</f>
        <v>20200111153420164</v>
      </c>
      <c r="B986" t="str">
        <f>"1578728060157234"</f>
        <v>1578728060157234</v>
      </c>
      <c r="C986" t="s">
        <v>37</v>
      </c>
      <c r="D986">
        <v>4.9783229999999996</v>
      </c>
      <c r="E986">
        <v>0.65136329999999998</v>
      </c>
      <c r="F986" t="s">
        <v>49</v>
      </c>
      <c r="G986">
        <v>-175.95859999999999</v>
      </c>
      <c r="H986">
        <v>10.3270699999999</v>
      </c>
      <c r="I986">
        <v>-80.952060000000003</v>
      </c>
      <c r="J986">
        <v>-196.53059999999999</v>
      </c>
      <c r="K986">
        <v>1.0867149999999901</v>
      </c>
      <c r="L986">
        <v>358.53399999999999</v>
      </c>
      <c r="M986">
        <v>0.60883339999999997</v>
      </c>
      <c r="N986">
        <v>0</v>
      </c>
      <c r="O986">
        <v>-0.79311709999999902</v>
      </c>
      <c r="P986">
        <v>0.4142575</v>
      </c>
      <c r="Q986">
        <v>1.8007820000000001E-2</v>
      </c>
      <c r="R986">
        <v>-0.90998179999999995</v>
      </c>
      <c r="S986">
        <v>0.15277099999999999</v>
      </c>
      <c r="T986">
        <v>6.8100209999999994E-2</v>
      </c>
      <c r="U986">
        <v>-3.2405089999999999</v>
      </c>
      <c r="V986">
        <v>0.22676839999999901</v>
      </c>
      <c r="W986">
        <v>2.4890539999999999E-2</v>
      </c>
      <c r="X986">
        <v>0.97363060000000001</v>
      </c>
      <c r="Y986">
        <v>0.57088169999999905</v>
      </c>
      <c r="Z986">
        <v>-1.2641889999999999E-2</v>
      </c>
      <c r="AA986">
        <v>0.82093499999999997</v>
      </c>
      <c r="AB986">
        <v>35</v>
      </c>
      <c r="AC986">
        <v>20.571999999999999</v>
      </c>
      <c r="AD986">
        <v>9.2403549999999992</v>
      </c>
      <c r="AE986">
        <v>-439.48606000000001</v>
      </c>
      <c r="AF986">
        <v>251.18307340800001</v>
      </c>
      <c r="AG986">
        <v>9.2403549999999992</v>
      </c>
      <c r="AH986">
        <v>360.98145707625599</v>
      </c>
      <c r="AI986">
        <v>88.7962992307218</v>
      </c>
      <c r="AJ986">
        <v>55.168501451672903</v>
      </c>
      <c r="AK986">
        <v>439.87035917428199</v>
      </c>
    </row>
    <row r="987" spans="1:37" x14ac:dyDescent="0.2">
      <c r="A987" t="str">
        <f>"20200111153420176"</f>
        <v>20200111153420176</v>
      </c>
      <c r="B987" t="str">
        <f>"1578728060166995"</f>
        <v>1578728060166995</v>
      </c>
      <c r="C987" t="s">
        <v>37</v>
      </c>
      <c r="D987">
        <v>4.9950109999999999</v>
      </c>
      <c r="E987">
        <v>0.65136329999999998</v>
      </c>
      <c r="F987" t="s">
        <v>49</v>
      </c>
      <c r="G987">
        <v>-176.91669999999999</v>
      </c>
      <c r="H987">
        <v>6.3717759999999997</v>
      </c>
      <c r="I987">
        <v>-80.065830000000005</v>
      </c>
      <c r="J987">
        <v>-196.40520000000001</v>
      </c>
      <c r="K987">
        <v>1.0867229999999899</v>
      </c>
      <c r="L987">
        <v>358.3612</v>
      </c>
      <c r="M987">
        <v>0.60027980000000003</v>
      </c>
      <c r="N987">
        <v>0</v>
      </c>
      <c r="O987">
        <v>-0.79961059999999995</v>
      </c>
      <c r="P987">
        <v>0.40560020000000002</v>
      </c>
      <c r="Q987">
        <v>1.8088799999999999E-2</v>
      </c>
      <c r="R987">
        <v>-0.91387180000000001</v>
      </c>
      <c r="S987">
        <v>0.144455</v>
      </c>
      <c r="T987">
        <v>3.8924099999999899E-2</v>
      </c>
      <c r="U987">
        <v>-3.2302550000000001</v>
      </c>
      <c r="V987">
        <v>0.22555639999999999</v>
      </c>
      <c r="W987">
        <v>2.5030690000000001E-2</v>
      </c>
      <c r="X987">
        <v>0.97390849999999995</v>
      </c>
      <c r="Y987">
        <v>0.56403630000000005</v>
      </c>
      <c r="Z987">
        <v>-7.3937949999999999E-3</v>
      </c>
      <c r="AA987">
        <v>0.82571689999999998</v>
      </c>
      <c r="AB987">
        <v>35</v>
      </c>
      <c r="AC987">
        <v>19.488499999999998</v>
      </c>
      <c r="AD987">
        <v>5.2850529999999996</v>
      </c>
      <c r="AE987">
        <v>-438.42703</v>
      </c>
      <c r="AF987">
        <v>247.59531470337399</v>
      </c>
      <c r="AG987">
        <v>5.2850529999999996</v>
      </c>
      <c r="AH987">
        <v>362.26892080823501</v>
      </c>
      <c r="AI987">
        <v>89.309938174539695</v>
      </c>
      <c r="AJ987">
        <v>55.649063565209502</v>
      </c>
      <c r="AK987">
        <v>438.82814703690002</v>
      </c>
    </row>
    <row r="988" spans="1:37" x14ac:dyDescent="0.2">
      <c r="A988" t="str">
        <f>"20200111153420189"</f>
        <v>20200111153420189</v>
      </c>
      <c r="B988" t="str">
        <f>"1578728060177731"</f>
        <v>1578728060177731</v>
      </c>
      <c r="C988" t="s">
        <v>37</v>
      </c>
      <c r="D988">
        <v>4.9898819999999997</v>
      </c>
      <c r="E988">
        <v>0.6367391</v>
      </c>
      <c r="F988" t="s">
        <v>49</v>
      </c>
      <c r="G988">
        <v>-180.9734</v>
      </c>
      <c r="H988">
        <v>6.5108459999999999</v>
      </c>
      <c r="I988">
        <v>-80.065869999999904</v>
      </c>
      <c r="J988">
        <v>-196.28870000000001</v>
      </c>
      <c r="K988">
        <v>1.0867340000000001</v>
      </c>
      <c r="L988">
        <v>358.1961</v>
      </c>
      <c r="M988">
        <v>0.59212880000000001</v>
      </c>
      <c r="N988">
        <v>0</v>
      </c>
      <c r="O988">
        <v>-0.80566539999999998</v>
      </c>
      <c r="P988">
        <v>0.397283099999999</v>
      </c>
      <c r="Q988">
        <v>1.8003950000000001E-2</v>
      </c>
      <c r="R988">
        <v>-0.9175198</v>
      </c>
      <c r="S988">
        <v>0.11373900000000001</v>
      </c>
      <c r="T988">
        <v>3.9978380000000001E-2</v>
      </c>
      <c r="U988">
        <v>-3.2314150000000001</v>
      </c>
      <c r="V988">
        <v>0.22450879999999901</v>
      </c>
      <c r="W988">
        <v>2.4996839999999999E-2</v>
      </c>
      <c r="X988">
        <v>0.9741514</v>
      </c>
      <c r="Y988">
        <v>0.5634998</v>
      </c>
      <c r="Z988">
        <v>-7.7028000000000001E-3</v>
      </c>
      <c r="AA988">
        <v>0.82608029999999999</v>
      </c>
      <c r="AB988">
        <v>35</v>
      </c>
      <c r="AC988">
        <v>15.315300000000001</v>
      </c>
      <c r="AD988">
        <v>5.424112</v>
      </c>
      <c r="AE988">
        <v>-438.26197000000002</v>
      </c>
      <c r="AF988">
        <v>247.16615851838901</v>
      </c>
      <c r="AG988">
        <v>5.424112</v>
      </c>
      <c r="AH988">
        <v>362.15766506336701</v>
      </c>
      <c r="AI988">
        <v>89.291243977282093</v>
      </c>
      <c r="AJ988">
        <v>55.687159427983502</v>
      </c>
      <c r="AK988">
        <v>438.49595810209701</v>
      </c>
    </row>
    <row r="989" spans="1:37" x14ac:dyDescent="0.2">
      <c r="A989" t="str">
        <f>"20200111153420207"</f>
        <v>20200111153420207</v>
      </c>
      <c r="B989" t="str">
        <f>"1578728060197253"</f>
        <v>1578728060197253</v>
      </c>
      <c r="C989" t="s">
        <v>37</v>
      </c>
      <c r="D989">
        <v>4.9871040000000004</v>
      </c>
      <c r="E989">
        <v>0.63467929999999995</v>
      </c>
      <c r="F989" t="s">
        <v>39</v>
      </c>
      <c r="G989">
        <v>-193.5241</v>
      </c>
      <c r="H989" s="1">
        <v>-2.2773179999999999E-6</v>
      </c>
      <c r="I989">
        <v>312.42559999999997</v>
      </c>
      <c r="J989">
        <v>-196.1267</v>
      </c>
      <c r="K989">
        <v>1.086751</v>
      </c>
      <c r="L989">
        <v>357.96140000000003</v>
      </c>
      <c r="M989">
        <v>0.58052590000000004</v>
      </c>
      <c r="N989">
        <v>0</v>
      </c>
      <c r="O989">
        <v>-0.814065699999999</v>
      </c>
      <c r="P989">
        <v>0.38644879999999998</v>
      </c>
      <c r="Q989">
        <v>1.7716989999999998E-2</v>
      </c>
      <c r="R989">
        <v>-0.92214069999999904</v>
      </c>
      <c r="S989">
        <v>0.19255069999999999</v>
      </c>
      <c r="T989">
        <v>-7.5689320000000004E-2</v>
      </c>
      <c r="U989">
        <v>-3.1878359999999999</v>
      </c>
      <c r="V989">
        <v>0.22201669999999901</v>
      </c>
      <c r="W989">
        <v>2.4830000000000001E-2</v>
      </c>
      <c r="X989">
        <v>0.9747266</v>
      </c>
      <c r="Y989">
        <v>0.53045909999999996</v>
      </c>
      <c r="Z989">
        <v>1.5341870000000001E-2</v>
      </c>
      <c r="AA989">
        <v>0.84757169999999904</v>
      </c>
      <c r="AB989">
        <v>35</v>
      </c>
      <c r="AC989">
        <v>2.60259999999999</v>
      </c>
      <c r="AD989">
        <v>-1.086753277318</v>
      </c>
      <c r="AE989">
        <v>-45.535800000000002</v>
      </c>
      <c r="AF989">
        <v>24.305711517168099</v>
      </c>
      <c r="AG989">
        <v>-1.086753277318</v>
      </c>
      <c r="AH989">
        <v>38.563647916965401</v>
      </c>
      <c r="AI989">
        <v>91.365704223826498</v>
      </c>
      <c r="AJ989">
        <v>57.7777853173951</v>
      </c>
      <c r="AK989">
        <v>45.597188353068802</v>
      </c>
    </row>
    <row r="990" spans="1:37" x14ac:dyDescent="0.2">
      <c r="A990" t="str">
        <f>"20200111153420220"</f>
        <v>20200111153420220</v>
      </c>
      <c r="B990" t="str">
        <f>"1578728060216771"</f>
        <v>1578728060216771</v>
      </c>
      <c r="C990" t="s">
        <v>37</v>
      </c>
      <c r="D990">
        <v>4.923578</v>
      </c>
      <c r="E990">
        <v>0.63387609999999905</v>
      </c>
      <c r="F990" t="s">
        <v>39</v>
      </c>
      <c r="G990">
        <v>-193.85159999999999</v>
      </c>
      <c r="H990" s="1">
        <v>-3.70164899999999E-6</v>
      </c>
      <c r="I990">
        <v>315.25439999999998</v>
      </c>
      <c r="J990">
        <v>-196.00550000000001</v>
      </c>
      <c r="K990">
        <v>1.0867690000000001</v>
      </c>
      <c r="L990">
        <v>357.7817</v>
      </c>
      <c r="M990">
        <v>0.571640699999999</v>
      </c>
      <c r="N990">
        <v>0</v>
      </c>
      <c r="O990">
        <v>-0.82032939999999999</v>
      </c>
      <c r="P990">
        <v>0.37741819999999998</v>
      </c>
      <c r="Q990">
        <v>1.7580849999999999E-2</v>
      </c>
      <c r="R990">
        <v>-0.92587609999999998</v>
      </c>
      <c r="S990">
        <v>0.16960139999999899</v>
      </c>
      <c r="T990">
        <v>-8.101535E-2</v>
      </c>
      <c r="U990">
        <v>-3.183716</v>
      </c>
      <c r="V990">
        <v>0.22093979999999899</v>
      </c>
      <c r="W990">
        <v>2.4748010000000001E-2</v>
      </c>
      <c r="X990">
        <v>0.97497339999999999</v>
      </c>
      <c r="Y990">
        <v>0.52726200000000001</v>
      </c>
      <c r="Z990">
        <v>1.670224E-2</v>
      </c>
      <c r="AA990">
        <v>0.84953860000000003</v>
      </c>
      <c r="AB990">
        <v>35</v>
      </c>
      <c r="AC990">
        <v>2.1539000000000201</v>
      </c>
      <c r="AD990">
        <v>-1.0867727016490001</v>
      </c>
      <c r="AE990">
        <v>-42.527299999999997</v>
      </c>
      <c r="AF990">
        <v>22.5319823452812</v>
      </c>
      <c r="AG990">
        <v>-1.0867727016490001</v>
      </c>
      <c r="AH990">
        <v>36.099313819476301</v>
      </c>
      <c r="AI990">
        <v>91.462937054803007</v>
      </c>
      <c r="AJ990">
        <v>58.028971089365797</v>
      </c>
      <c r="AK990">
        <v>42.567966377901499</v>
      </c>
    </row>
    <row r="991" spans="1:37" x14ac:dyDescent="0.2">
      <c r="A991" t="str">
        <f>"20200111153420232"</f>
        <v>20200111153420232</v>
      </c>
      <c r="B991" t="str">
        <f>"1578728060227506"</f>
        <v>1578728060227506</v>
      </c>
      <c r="C991" t="s">
        <v>37</v>
      </c>
      <c r="D991">
        <v>4.9575250000000004</v>
      </c>
      <c r="E991">
        <v>0.62452580000000002</v>
      </c>
      <c r="F991" t="s">
        <v>39</v>
      </c>
      <c r="G991">
        <v>-194.13120000000001</v>
      </c>
      <c r="H991" s="1">
        <v>-4.2795509999999998E-6</v>
      </c>
      <c r="I991">
        <v>316.52210000000002</v>
      </c>
      <c r="J991">
        <v>-195.89680000000001</v>
      </c>
      <c r="K991">
        <v>1.086792</v>
      </c>
      <c r="L991">
        <v>357.61540000000002</v>
      </c>
      <c r="M991">
        <v>0.56344799999999995</v>
      </c>
      <c r="N991">
        <v>0</v>
      </c>
      <c r="O991">
        <v>-0.82597849999999995</v>
      </c>
      <c r="P991">
        <v>0.36950949999999999</v>
      </c>
      <c r="Q991">
        <v>1.7324679999999999E-2</v>
      </c>
      <c r="R991">
        <v>-0.9290659</v>
      </c>
      <c r="S991">
        <v>0.14459229999999901</v>
      </c>
      <c r="T991">
        <v>-8.3835359999999998E-2</v>
      </c>
      <c r="U991">
        <v>-3.1828310000000002</v>
      </c>
      <c r="V991">
        <v>0.2195406</v>
      </c>
      <c r="W991">
        <v>2.456067E-2</v>
      </c>
      <c r="X991">
        <v>0.975294199999999</v>
      </c>
      <c r="Y991">
        <v>0.52545019999999998</v>
      </c>
      <c r="Z991">
        <v>1.752184E-2</v>
      </c>
      <c r="AA991">
        <v>0.85064390000000001</v>
      </c>
      <c r="AB991">
        <v>35</v>
      </c>
      <c r="AC991">
        <v>1.7656000000000001</v>
      </c>
      <c r="AD991">
        <v>-1.086796279551</v>
      </c>
      <c r="AE991">
        <v>-41.093299999999999</v>
      </c>
      <c r="AF991">
        <v>21.683553240173499</v>
      </c>
      <c r="AG991">
        <v>-1.086796279551</v>
      </c>
      <c r="AH991">
        <v>34.9176228623691</v>
      </c>
      <c r="AI991">
        <v>91.514611267532004</v>
      </c>
      <c r="AJ991">
        <v>58.160063067430102</v>
      </c>
      <c r="AK991">
        <v>41.116882100073298</v>
      </c>
    </row>
    <row r="992" spans="1:37" x14ac:dyDescent="0.2">
      <c r="A992" t="str">
        <f>"20200111153420252"</f>
        <v>20200111153420252</v>
      </c>
      <c r="B992" t="str">
        <f>"1578728060247027"</f>
        <v>1578728060247027</v>
      </c>
      <c r="C992" t="s">
        <v>37</v>
      </c>
      <c r="D992">
        <v>4.9210669999999999</v>
      </c>
      <c r="E992">
        <v>0.62249270000000001</v>
      </c>
      <c r="F992" t="s">
        <v>39</v>
      </c>
      <c r="G992">
        <v>-194.6558</v>
      </c>
      <c r="H992" s="1">
        <v>-4.118675E-6</v>
      </c>
      <c r="I992">
        <v>336.66289999999998</v>
      </c>
      <c r="J992">
        <v>-195.7295</v>
      </c>
      <c r="K992">
        <v>1.0868329999999999</v>
      </c>
      <c r="L992">
        <v>357.35309999999998</v>
      </c>
      <c r="M992">
        <v>0.55052440000000002</v>
      </c>
      <c r="N992">
        <v>0</v>
      </c>
      <c r="O992">
        <v>-0.83464799999999995</v>
      </c>
      <c r="P992">
        <v>0.35821579999999997</v>
      </c>
      <c r="Q992">
        <v>1.7417289999999998E-2</v>
      </c>
      <c r="R992">
        <v>-0.93347659999999999</v>
      </c>
      <c r="S992">
        <v>0.187027</v>
      </c>
      <c r="T992">
        <v>-0.16378879999999901</v>
      </c>
      <c r="U992">
        <v>-3.157715</v>
      </c>
      <c r="V992">
        <v>0.21618870000000001</v>
      </c>
      <c r="W992">
        <v>2.4813789999999999E-2</v>
      </c>
      <c r="X992">
        <v>0.97603629999999997</v>
      </c>
      <c r="Y992">
        <v>0.50027409999999894</v>
      </c>
      <c r="Z992">
        <v>3.5536909999999998E-2</v>
      </c>
      <c r="AA992">
        <v>0.86513759999999995</v>
      </c>
      <c r="AB992">
        <v>35</v>
      </c>
      <c r="AC992">
        <v>1.0737000000000001</v>
      </c>
      <c r="AD992">
        <v>-1.0868371186750001</v>
      </c>
      <c r="AE992">
        <v>-20.690200000000001</v>
      </c>
      <c r="AF992">
        <v>10.4669932491399</v>
      </c>
      <c r="AG992">
        <v>-1.0868371186750001</v>
      </c>
      <c r="AH992">
        <v>17.813661787538098</v>
      </c>
      <c r="AI992">
        <v>93.011145986162504</v>
      </c>
      <c r="AJ992">
        <v>59.562256759477997</v>
      </c>
      <c r="AK992">
        <v>20.689748883948901</v>
      </c>
    </row>
    <row r="993" spans="1:37" x14ac:dyDescent="0.2">
      <c r="A993" t="str">
        <f>"20200111153420265"</f>
        <v>20200111153420265</v>
      </c>
      <c r="B993" t="str">
        <f>"1578728060256787"</f>
        <v>1578728060256787</v>
      </c>
      <c r="C993" t="s">
        <v>37</v>
      </c>
      <c r="D993">
        <v>4.9133659999999999</v>
      </c>
      <c r="E993">
        <v>0.62142900000000001</v>
      </c>
      <c r="F993" t="s">
        <v>39</v>
      </c>
      <c r="G993">
        <v>-194.6696</v>
      </c>
      <c r="H993" s="1">
        <v>-4.2027560000000003E-6</v>
      </c>
      <c r="I993">
        <v>336.90280000000001</v>
      </c>
      <c r="J993">
        <v>-195.61660000000001</v>
      </c>
      <c r="K993">
        <v>1.0868690000000001</v>
      </c>
      <c r="L993">
        <v>357.17079999999999</v>
      </c>
      <c r="M993">
        <v>0.5415565</v>
      </c>
      <c r="N993">
        <v>0</v>
      </c>
      <c r="O993">
        <v>-0.84049459999999998</v>
      </c>
      <c r="P993">
        <v>0.35013369999999999</v>
      </c>
      <c r="Q993">
        <v>1.7402069999999999E-2</v>
      </c>
      <c r="R993">
        <v>-0.93653829999999905</v>
      </c>
      <c r="S993">
        <v>0.16348270000000001</v>
      </c>
      <c r="T993">
        <v>-0.1676308</v>
      </c>
      <c r="U993">
        <v>-3.1542050000000001</v>
      </c>
      <c r="V993">
        <v>0.21417269999999999</v>
      </c>
      <c r="W993">
        <v>2.489626E-2</v>
      </c>
      <c r="X993">
        <v>0.97647850000000003</v>
      </c>
      <c r="Y993">
        <v>0.49738329999999997</v>
      </c>
      <c r="Z993">
        <v>3.6912140000000003E-2</v>
      </c>
      <c r="AA993">
        <v>0.86674530000000005</v>
      </c>
      <c r="AB993">
        <v>35</v>
      </c>
      <c r="AC993">
        <v>0.94700000000000195</v>
      </c>
      <c r="AD993">
        <v>-1.086873202756</v>
      </c>
      <c r="AE993">
        <v>-20.267999999999901</v>
      </c>
      <c r="AF993">
        <v>10.1526398834948</v>
      </c>
      <c r="AG993">
        <v>-1.086873202756</v>
      </c>
      <c r="AH993">
        <v>17.5002879882326</v>
      </c>
      <c r="AI993">
        <v>93.074993468454807</v>
      </c>
      <c r="AJ993">
        <v>59.880209087595802</v>
      </c>
      <c r="AK993">
        <v>20.261230703831298</v>
      </c>
    </row>
    <row r="994" spans="1:37" x14ac:dyDescent="0.2">
      <c r="A994" t="str">
        <f>"20200111153420277"</f>
        <v>20200111153420277</v>
      </c>
      <c r="B994" t="str">
        <f>"1578728060267523"</f>
        <v>1578728060267523</v>
      </c>
      <c r="C994" t="s">
        <v>37</v>
      </c>
      <c r="D994">
        <v>4.920242</v>
      </c>
      <c r="E994">
        <v>0.62029709999999905</v>
      </c>
      <c r="F994" t="s">
        <v>39</v>
      </c>
      <c r="G994">
        <v>-194.67689999999999</v>
      </c>
      <c r="H994" s="1">
        <v>-4.0809659999999999E-6</v>
      </c>
      <c r="I994">
        <v>336.54109999999997</v>
      </c>
      <c r="J994">
        <v>-195.5181</v>
      </c>
      <c r="K994">
        <v>1.086902</v>
      </c>
      <c r="L994">
        <v>357.00889999999998</v>
      </c>
      <c r="M994">
        <v>0.5335936</v>
      </c>
      <c r="N994">
        <v>0</v>
      </c>
      <c r="O994">
        <v>-0.84557269999999896</v>
      </c>
      <c r="P994">
        <v>0.34304819999999903</v>
      </c>
      <c r="Q994">
        <v>1.7540219999999999E-2</v>
      </c>
      <c r="R994">
        <v>-0.93915439999999994</v>
      </c>
      <c r="S994">
        <v>0.14360049999999999</v>
      </c>
      <c r="T994">
        <v>-0.16609839999999901</v>
      </c>
      <c r="U994">
        <v>-3.152679</v>
      </c>
      <c r="V994">
        <v>0.212329399999999</v>
      </c>
      <c r="W994">
        <v>2.512412E-2</v>
      </c>
      <c r="X994">
        <v>0.9768751</v>
      </c>
      <c r="Y994">
        <v>0.49462029999999901</v>
      </c>
      <c r="Z994">
        <v>3.7030340000000002E-2</v>
      </c>
      <c r="AA994">
        <v>0.86831999999999998</v>
      </c>
      <c r="AB994">
        <v>35</v>
      </c>
      <c r="AC994">
        <v>0.84120000000001405</v>
      </c>
      <c r="AD994">
        <v>-1.0869060809660001</v>
      </c>
      <c r="AE994">
        <v>-20.4678</v>
      </c>
      <c r="AF994">
        <v>10.182977868419901</v>
      </c>
      <c r="AG994">
        <v>-1.0869060809660001</v>
      </c>
      <c r="AH994">
        <v>17.708546703710901</v>
      </c>
      <c r="AI994">
        <v>93.045710222049493</v>
      </c>
      <c r="AJ994">
        <v>60.099727965668102</v>
      </c>
      <c r="AK994">
        <v>20.4564666903911</v>
      </c>
    </row>
    <row r="995" spans="1:37" x14ac:dyDescent="0.2">
      <c r="A995" t="str">
        <f>"20200111153420297"</f>
        <v>20200111153420297</v>
      </c>
      <c r="B995" t="str">
        <f>"1578728060287045"</f>
        <v>1578728060287045</v>
      </c>
      <c r="C995" t="s">
        <v>37</v>
      </c>
      <c r="D995">
        <v>4.9328890000000003</v>
      </c>
      <c r="E995">
        <v>0.61924089999999998</v>
      </c>
      <c r="F995" t="s">
        <v>39</v>
      </c>
      <c r="G995">
        <v>-194.68209999999999</v>
      </c>
      <c r="H995" s="1">
        <v>-4.0487529999999999E-6</v>
      </c>
      <c r="I995">
        <v>336.44369999999998</v>
      </c>
      <c r="J995">
        <v>-195.35830000000001</v>
      </c>
      <c r="K995">
        <v>1.0869690000000001</v>
      </c>
      <c r="L995">
        <v>356.73719999999997</v>
      </c>
      <c r="M995">
        <v>0.52028669999999999</v>
      </c>
      <c r="N995">
        <v>0</v>
      </c>
      <c r="O995">
        <v>-0.85382539999999996</v>
      </c>
      <c r="P995">
        <v>0.33165289999999997</v>
      </c>
      <c r="Q995">
        <v>1.8756930000000002E-2</v>
      </c>
      <c r="R995">
        <v>-0.94321509999999997</v>
      </c>
      <c r="S995">
        <v>0.12808230000000001</v>
      </c>
      <c r="T995">
        <v>-0.16651830000000001</v>
      </c>
      <c r="U995">
        <v>-3.150665</v>
      </c>
      <c r="V995">
        <v>0.208893</v>
      </c>
      <c r="W995">
        <v>2.650839E-2</v>
      </c>
      <c r="X995">
        <v>0.97757919999999998</v>
      </c>
      <c r="Y995">
        <v>0.48522929999999997</v>
      </c>
      <c r="Z995">
        <v>3.7933870000000001E-2</v>
      </c>
      <c r="AA995">
        <v>0.87356369999999905</v>
      </c>
      <c r="AB995">
        <v>35</v>
      </c>
      <c r="AC995">
        <v>0.67620000000002201</v>
      </c>
      <c r="AD995">
        <v>-1.086973048753</v>
      </c>
      <c r="AE995">
        <v>-20.293499999999899</v>
      </c>
      <c r="AF995">
        <v>9.9539728855162792</v>
      </c>
      <c r="AG995">
        <v>-1.086973048753</v>
      </c>
      <c r="AH995">
        <v>17.6309078272336</v>
      </c>
      <c r="AI995">
        <v>93.073049636091497</v>
      </c>
      <c r="AJ995">
        <v>60.552005790043602</v>
      </c>
      <c r="AK995">
        <v>20.275896957390501</v>
      </c>
    </row>
    <row r="996" spans="1:37" x14ac:dyDescent="0.2">
      <c r="A996" t="str">
        <f>"20200111153420311"</f>
        <v>20200111153420311</v>
      </c>
      <c r="B996" t="str">
        <f>"1578728060307539"</f>
        <v>1578728060307539</v>
      </c>
      <c r="C996" t="s">
        <v>37</v>
      </c>
      <c r="D996">
        <v>4.8870079999999998</v>
      </c>
      <c r="E996">
        <v>0.60981439999999998</v>
      </c>
      <c r="F996" t="s">
        <v>39</v>
      </c>
      <c r="G996">
        <v>-194.71379999999999</v>
      </c>
      <c r="H996" s="1">
        <v>-3.8907459999999999E-6</v>
      </c>
      <c r="I996">
        <v>335.96289999999999</v>
      </c>
      <c r="J996">
        <v>-195.2509</v>
      </c>
      <c r="K996">
        <v>1.087018</v>
      </c>
      <c r="L996">
        <v>356.548</v>
      </c>
      <c r="M996">
        <v>0.51105900000000004</v>
      </c>
      <c r="N996">
        <v>0</v>
      </c>
      <c r="O996">
        <v>-0.859380699999999</v>
      </c>
      <c r="P996">
        <v>0.32294229999999902</v>
      </c>
      <c r="Q996">
        <v>1.958095E-2</v>
      </c>
      <c r="R996">
        <v>-0.9462161</v>
      </c>
      <c r="S996">
        <v>9.7717289999999998E-2</v>
      </c>
      <c r="T996">
        <v>-0.164791299999999</v>
      </c>
      <c r="U996">
        <v>-3.1495060000000001</v>
      </c>
      <c r="V996">
        <v>0.2073981</v>
      </c>
      <c r="W996">
        <v>2.7405470000000001E-2</v>
      </c>
      <c r="X996">
        <v>0.97787269999999904</v>
      </c>
      <c r="Y996">
        <v>0.48420990000000003</v>
      </c>
      <c r="Z996">
        <v>3.799947E-2</v>
      </c>
      <c r="AA996">
        <v>0.87412630000000002</v>
      </c>
      <c r="AB996">
        <v>35</v>
      </c>
      <c r="AC996">
        <v>0.53710000000000901</v>
      </c>
      <c r="AD996">
        <v>-1.0870218907460001</v>
      </c>
      <c r="AE996">
        <v>-20.585100000000001</v>
      </c>
      <c r="AF996">
        <v>10.032097944138901</v>
      </c>
      <c r="AG996">
        <v>-1.0870218907460001</v>
      </c>
      <c r="AH996">
        <v>17.917545523622302</v>
      </c>
      <c r="AI996">
        <v>93.030145791341397</v>
      </c>
      <c r="AJ996">
        <v>60.755379275650597</v>
      </c>
      <c r="AK996">
        <v>20.563634001383001</v>
      </c>
    </row>
    <row r="997" spans="1:37" x14ac:dyDescent="0.2">
      <c r="A997" t="str">
        <f>"20200111153420331"</f>
        <v>20200111153420331</v>
      </c>
      <c r="B997" t="str">
        <f>"1578728060327059"</f>
        <v>1578728060327059</v>
      </c>
      <c r="C997" t="s">
        <v>37</v>
      </c>
      <c r="D997">
        <v>5.0377339999999897</v>
      </c>
      <c r="E997">
        <v>0.6081626</v>
      </c>
      <c r="F997" t="s">
        <v>39</v>
      </c>
      <c r="G997">
        <v>-194.33279999999999</v>
      </c>
      <c r="H997" s="1">
        <v>-3.846371E-6</v>
      </c>
      <c r="I997">
        <v>336.03109999999998</v>
      </c>
      <c r="J997">
        <v>-195.09129999999999</v>
      </c>
      <c r="K997">
        <v>1.0870899999999999</v>
      </c>
      <c r="L997">
        <v>356.25920000000002</v>
      </c>
      <c r="M997">
        <v>0.49700079999999902</v>
      </c>
      <c r="N997">
        <v>0</v>
      </c>
      <c r="O997">
        <v>-0.86758769999999996</v>
      </c>
      <c r="P997">
        <v>0.31064700000000001</v>
      </c>
      <c r="Q997">
        <v>2.011806E-2</v>
      </c>
      <c r="R997">
        <v>-0.95031290000000002</v>
      </c>
      <c r="S997">
        <v>0.13989260000000001</v>
      </c>
      <c r="T997">
        <v>-0.16563120000000001</v>
      </c>
      <c r="U997">
        <v>-3.1261899999999998</v>
      </c>
      <c r="V997">
        <v>0.20416679999999901</v>
      </c>
      <c r="W997">
        <v>2.8086610000000001E-2</v>
      </c>
      <c r="X997">
        <v>0.97853310000000004</v>
      </c>
      <c r="Y997">
        <v>0.45778239999999998</v>
      </c>
      <c r="Z997">
        <v>3.9500649999999998E-2</v>
      </c>
      <c r="AA997">
        <v>0.88818639999999904</v>
      </c>
      <c r="AB997">
        <v>35</v>
      </c>
      <c r="AC997">
        <v>0.75849999999999795</v>
      </c>
      <c r="AD997">
        <v>-1.08709384637099</v>
      </c>
      <c r="AE997">
        <v>-20.228100000000001</v>
      </c>
      <c r="AF997">
        <v>9.3696175105042805</v>
      </c>
      <c r="AG997">
        <v>-1.08709384637099</v>
      </c>
      <c r="AH997">
        <v>17.877590985918399</v>
      </c>
      <c r="AI997">
        <v>93.082909836830197</v>
      </c>
      <c r="AJ997">
        <v>62.341036639656899</v>
      </c>
      <c r="AK997">
        <v>20.213356098969701</v>
      </c>
    </row>
    <row r="998" spans="1:37" x14ac:dyDescent="0.2">
      <c r="A998" t="str">
        <f>"20200111153420347"</f>
        <v>20200111153420347</v>
      </c>
      <c r="B998" t="str">
        <f>"1578728060336819"</f>
        <v>1578728060336819</v>
      </c>
      <c r="C998" t="s">
        <v>37</v>
      </c>
      <c r="D998">
        <v>5.0538470000000002</v>
      </c>
      <c r="E998">
        <v>0.60747879999999999</v>
      </c>
      <c r="F998" t="s">
        <v>39</v>
      </c>
      <c r="G998">
        <v>-194.27789999999999</v>
      </c>
      <c r="H998" s="1">
        <v>-2.8412999999999998E-6</v>
      </c>
      <c r="I998">
        <v>333.55900000000003</v>
      </c>
      <c r="J998">
        <v>-194.97219999999999</v>
      </c>
      <c r="K998">
        <v>1.0871519999999999</v>
      </c>
      <c r="L998">
        <v>356.03590000000003</v>
      </c>
      <c r="M998">
        <v>0.48617630000000001</v>
      </c>
      <c r="N998">
        <v>0</v>
      </c>
      <c r="O998">
        <v>-0.87370029999999999</v>
      </c>
      <c r="P998">
        <v>0.30059730000000001</v>
      </c>
      <c r="Q998">
        <v>1.981432E-2</v>
      </c>
      <c r="R998">
        <v>-0.95354550000000005</v>
      </c>
      <c r="S998">
        <v>0.1119232</v>
      </c>
      <c r="T998">
        <v>-0.14958060000000001</v>
      </c>
      <c r="U998">
        <v>-3.1234739999999999</v>
      </c>
      <c r="V998">
        <v>0.20231579999999999</v>
      </c>
      <c r="W998">
        <v>2.7853050000000001E-2</v>
      </c>
      <c r="X998">
        <v>0.97892420000000002</v>
      </c>
      <c r="Y998">
        <v>0.45463509999999902</v>
      </c>
      <c r="Z998">
        <v>3.6185950000000001E-2</v>
      </c>
      <c r="AA998">
        <v>0.88994240000000002</v>
      </c>
      <c r="AB998">
        <v>35</v>
      </c>
      <c r="AC998">
        <v>0.69429999999999803</v>
      </c>
      <c r="AD998">
        <v>-1.0871548413000001</v>
      </c>
      <c r="AE998">
        <v>-22.476900000000001</v>
      </c>
      <c r="AF998">
        <v>10.2985035816129</v>
      </c>
      <c r="AG998">
        <v>-1.0871548413000001</v>
      </c>
      <c r="AH998">
        <v>19.931842867135799</v>
      </c>
      <c r="AI998">
        <v>92.774244890657002</v>
      </c>
      <c r="AJ998">
        <v>62.6752357033224</v>
      </c>
      <c r="AK998">
        <v>22.461510228603199</v>
      </c>
    </row>
    <row r="999" spans="1:37" x14ac:dyDescent="0.2">
      <c r="A999" t="str">
        <f>"20200111153420366"</f>
        <v>20200111153420366</v>
      </c>
      <c r="B999" t="str">
        <f>"1578728060357314"</f>
        <v>1578728060357314</v>
      </c>
      <c r="C999" t="s">
        <v>37</v>
      </c>
      <c r="D999">
        <v>4.9465190000000003</v>
      </c>
      <c r="E999">
        <v>0.60501070000000001</v>
      </c>
      <c r="F999" t="s">
        <v>39</v>
      </c>
      <c r="G999">
        <v>-194.33410000000001</v>
      </c>
      <c r="H999" s="1">
        <v>-2.31062199999999E-6</v>
      </c>
      <c r="I999">
        <v>332.28710000000001</v>
      </c>
      <c r="J999">
        <v>-194.83860000000001</v>
      </c>
      <c r="K999">
        <v>1.0872329999999999</v>
      </c>
      <c r="L999">
        <v>355.77730000000003</v>
      </c>
      <c r="M999">
        <v>0.47369699999999998</v>
      </c>
      <c r="N999">
        <v>0</v>
      </c>
      <c r="O999">
        <v>-0.88052999999999904</v>
      </c>
      <c r="P999">
        <v>0.29063519999999998</v>
      </c>
      <c r="Q999">
        <v>1.961388E-2</v>
      </c>
      <c r="R999">
        <v>-0.95663299999999996</v>
      </c>
      <c r="S999">
        <v>8.3908079999999996E-2</v>
      </c>
      <c r="T999">
        <v>-0.1429482</v>
      </c>
      <c r="U999">
        <v>-3.122681</v>
      </c>
      <c r="V999">
        <v>0.19858390000000001</v>
      </c>
      <c r="W999">
        <v>2.778918E-2</v>
      </c>
      <c r="X999">
        <v>0.97968980000000006</v>
      </c>
      <c r="Y999">
        <v>0.44992739999999998</v>
      </c>
      <c r="Z999">
        <v>3.5112730000000002E-2</v>
      </c>
      <c r="AA999">
        <v>0.89237459999999902</v>
      </c>
      <c r="AB999">
        <v>35</v>
      </c>
      <c r="AC999">
        <v>0.50450000000000705</v>
      </c>
      <c r="AD999">
        <v>-1.0872353106219901</v>
      </c>
      <c r="AE999">
        <v>-23.490200000000002</v>
      </c>
      <c r="AF999">
        <v>10.661665905125901</v>
      </c>
      <c r="AG999">
        <v>-1.0872353106219901</v>
      </c>
      <c r="AH999">
        <v>20.881003497194399</v>
      </c>
      <c r="AI999">
        <v>92.655077841497203</v>
      </c>
      <c r="AJ999">
        <v>62.951523250134102</v>
      </c>
      <c r="AK999">
        <v>23.470609441236</v>
      </c>
    </row>
    <row r="1000" spans="1:37" x14ac:dyDescent="0.2">
      <c r="A1000" t="str">
        <f>"20200111153420380"</f>
        <v>20200111153420380</v>
      </c>
      <c r="B1000" t="str">
        <f>"1578728060376834"</f>
        <v>1578728060376834</v>
      </c>
      <c r="C1000" t="s">
        <v>37</v>
      </c>
      <c r="D1000">
        <v>5.0392169999999998</v>
      </c>
      <c r="E1000">
        <v>0.60337359999999995</v>
      </c>
      <c r="F1000" t="s">
        <v>39</v>
      </c>
      <c r="G1000">
        <v>-194.36869999999999</v>
      </c>
      <c r="H1000" s="1">
        <v>-3.4313099999999902E-6</v>
      </c>
      <c r="I1000">
        <v>334.87799999999999</v>
      </c>
      <c r="J1000">
        <v>-194.7354</v>
      </c>
      <c r="K1000">
        <v>1.087294</v>
      </c>
      <c r="L1000">
        <v>355.57190000000003</v>
      </c>
      <c r="M1000">
        <v>0.46381899999999998</v>
      </c>
      <c r="N1000">
        <v>0</v>
      </c>
      <c r="O1000">
        <v>-0.88577430000000001</v>
      </c>
      <c r="P1000">
        <v>0.28121979999999902</v>
      </c>
      <c r="Q1000">
        <v>2.027079E-2</v>
      </c>
      <c r="R1000">
        <v>-0.95942939999999999</v>
      </c>
      <c r="S1000">
        <v>7.0114140000000005E-2</v>
      </c>
      <c r="T1000">
        <v>-0.16220589999999999</v>
      </c>
      <c r="U1000">
        <v>-3.1179809999999999</v>
      </c>
      <c r="V1000">
        <v>0.19726749999999901</v>
      </c>
      <c r="W1000">
        <v>2.8469830000000002E-2</v>
      </c>
      <c r="X1000">
        <v>0.97993619999999904</v>
      </c>
      <c r="Y1000">
        <v>0.4438356</v>
      </c>
      <c r="Z1000">
        <v>4.0376919999999997E-2</v>
      </c>
      <c r="AA1000">
        <v>0.8951981</v>
      </c>
      <c r="AB1000">
        <v>35</v>
      </c>
      <c r="AC1000">
        <v>0.36670000000000802</v>
      </c>
      <c r="AD1000">
        <v>-1.0872974313099999</v>
      </c>
      <c r="AE1000">
        <v>-20.6938999999999</v>
      </c>
      <c r="AF1000">
        <v>9.2491640211999009</v>
      </c>
      <c r="AG1000">
        <v>-1.0872974313099999</v>
      </c>
      <c r="AH1000">
        <v>18.4518359980983</v>
      </c>
      <c r="AI1000">
        <v>93.015477811731003</v>
      </c>
      <c r="AJ1000">
        <v>63.377231957649101</v>
      </c>
      <c r="AK1000">
        <v>20.668805057281599</v>
      </c>
    </row>
    <row r="1001" spans="1:37" x14ac:dyDescent="0.2">
      <c r="A1001" t="str">
        <f>"20200111153420398"</f>
        <v>20200111153420398</v>
      </c>
      <c r="B1001" t="str">
        <f>"1578728060387570"</f>
        <v>1578728060387570</v>
      </c>
      <c r="C1001" t="s">
        <v>37</v>
      </c>
      <c r="D1001">
        <v>4.9427289999999999</v>
      </c>
      <c r="E1001">
        <v>0.60237779999999996</v>
      </c>
      <c r="F1001" t="s">
        <v>39</v>
      </c>
      <c r="G1001">
        <v>-194.3937</v>
      </c>
      <c r="H1001" s="1">
        <v>-3.582371E-6</v>
      </c>
      <c r="I1001">
        <v>335.2235</v>
      </c>
      <c r="J1001">
        <v>-194.6078</v>
      </c>
      <c r="K1001">
        <v>1.0873699999999999</v>
      </c>
      <c r="L1001">
        <v>355.30849999999998</v>
      </c>
      <c r="M1001">
        <v>0.45124340000000002</v>
      </c>
      <c r="N1001">
        <v>0</v>
      </c>
      <c r="O1001">
        <v>-0.89224859999999995</v>
      </c>
      <c r="P1001">
        <v>0.27028759999999902</v>
      </c>
      <c r="Q1001">
        <v>2.1398170000000001E-2</v>
      </c>
      <c r="R1001">
        <v>-0.96254209999999996</v>
      </c>
      <c r="S1001">
        <v>5.230713E-2</v>
      </c>
      <c r="T1001">
        <v>-0.1664486</v>
      </c>
      <c r="U1001">
        <v>-3.115021</v>
      </c>
      <c r="V1001">
        <v>0.194576799999999</v>
      </c>
      <c r="W1001">
        <v>2.9648549999999999E-2</v>
      </c>
      <c r="X1001">
        <v>0.98043910000000001</v>
      </c>
      <c r="Y1001">
        <v>0.4362412</v>
      </c>
      <c r="Z1001">
        <v>4.2083669999999997E-2</v>
      </c>
      <c r="AA1001">
        <v>0.89884509999999995</v>
      </c>
      <c r="AB1001">
        <v>35</v>
      </c>
      <c r="AC1001">
        <v>0.21410000000000101</v>
      </c>
      <c r="AD1001">
        <v>-1.087373582371</v>
      </c>
      <c r="AE1001">
        <v>-20.084999999999901</v>
      </c>
      <c r="AF1001">
        <v>8.8474704984956603</v>
      </c>
      <c r="AG1001">
        <v>-1.087373582371</v>
      </c>
      <c r="AH1001">
        <v>17.967217980308199</v>
      </c>
      <c r="AI1001">
        <v>93.107775257883503</v>
      </c>
      <c r="AJ1001">
        <v>63.7833066979412</v>
      </c>
      <c r="AK1001">
        <v>20.056944869079601</v>
      </c>
    </row>
    <row r="1002" spans="1:37" x14ac:dyDescent="0.2">
      <c r="A1002" t="str">
        <f>"20200111153420411"</f>
        <v>20200111153420411</v>
      </c>
      <c r="B1002" t="str">
        <f>"1578728060407091"</f>
        <v>1578728060407091</v>
      </c>
      <c r="C1002" t="s">
        <v>37</v>
      </c>
      <c r="D1002">
        <v>4.9449569999999996</v>
      </c>
      <c r="E1002">
        <v>0.6002459</v>
      </c>
      <c r="F1002" t="s">
        <v>39</v>
      </c>
      <c r="G1002">
        <v>-194.45179999999999</v>
      </c>
      <c r="H1002" s="1">
        <v>-3.8035699999999999E-6</v>
      </c>
      <c r="I1002">
        <v>335.8433</v>
      </c>
      <c r="J1002">
        <v>-194.51439999999999</v>
      </c>
      <c r="K1002">
        <v>1.0874349999999999</v>
      </c>
      <c r="L1002">
        <v>355.10820000000001</v>
      </c>
      <c r="M1002">
        <v>0.4417644</v>
      </c>
      <c r="N1002">
        <v>0</v>
      </c>
      <c r="O1002">
        <v>-0.89698140000000004</v>
      </c>
      <c r="P1002">
        <v>0.2616675</v>
      </c>
      <c r="Q1002">
        <v>2.14331E-2</v>
      </c>
      <c r="R1002">
        <v>-0.96492040000000001</v>
      </c>
      <c r="S1002">
        <v>2.4948120000000001E-2</v>
      </c>
      <c r="T1002">
        <v>-0.1739319</v>
      </c>
      <c r="U1002">
        <v>-3.1135860000000002</v>
      </c>
      <c r="V1002">
        <v>0.192948799999999</v>
      </c>
      <c r="W1002">
        <v>2.968573E-2</v>
      </c>
      <c r="X1002">
        <v>0.98075970000000001</v>
      </c>
      <c r="Y1002">
        <v>0.43459429999999999</v>
      </c>
      <c r="Z1002">
        <v>4.4404119999999998E-2</v>
      </c>
      <c r="AA1002">
        <v>0.89953099999999997</v>
      </c>
      <c r="AB1002">
        <v>35</v>
      </c>
      <c r="AC1002">
        <v>6.2600000000003306E-2</v>
      </c>
      <c r="AD1002">
        <v>-1.08743880357</v>
      </c>
      <c r="AE1002">
        <v>-19.264900000000001</v>
      </c>
      <c r="AF1002">
        <v>8.4286761797346603</v>
      </c>
      <c r="AG1002">
        <v>-1.08743880357</v>
      </c>
      <c r="AH1002">
        <v>17.255257683467502</v>
      </c>
      <c r="AI1002">
        <v>93.240980387246793</v>
      </c>
      <c r="AJ1002">
        <v>63.9658773836289</v>
      </c>
      <c r="AK1002">
        <v>19.234578836491298</v>
      </c>
    </row>
    <row r="1003" spans="1:37" x14ac:dyDescent="0.2">
      <c r="A1003" t="str">
        <f>"20200111153420431"</f>
        <v>20200111153420431</v>
      </c>
      <c r="B1003" t="str">
        <f>"1578728060427587"</f>
        <v>1578728060427587</v>
      </c>
      <c r="C1003" t="s">
        <v>37</v>
      </c>
      <c r="D1003">
        <v>5.0015910000000003</v>
      </c>
      <c r="E1003">
        <v>0.59806019999999904</v>
      </c>
      <c r="F1003" t="s">
        <v>39</v>
      </c>
      <c r="G1003">
        <v>-194.43180000000001</v>
      </c>
      <c r="H1003" s="1">
        <v>-3.9559449999999901E-6</v>
      </c>
      <c r="I1003">
        <v>336.30149999999998</v>
      </c>
      <c r="J1003">
        <v>-194.39169999999999</v>
      </c>
      <c r="K1003">
        <v>1.0875349999999999</v>
      </c>
      <c r="L1003">
        <v>354.83780000000002</v>
      </c>
      <c r="M1003">
        <v>0.42904719999999902</v>
      </c>
      <c r="N1003">
        <v>0</v>
      </c>
      <c r="O1003">
        <v>-0.90313650000000001</v>
      </c>
      <c r="P1003">
        <v>0.25252529999999901</v>
      </c>
      <c r="Q1003">
        <v>2.0739879999999999E-2</v>
      </c>
      <c r="R1003">
        <v>-0.96736829999999996</v>
      </c>
      <c r="S1003">
        <v>1.365662E-2</v>
      </c>
      <c r="T1003">
        <v>-0.1797926</v>
      </c>
      <c r="U1003">
        <v>-3.1094360000000001</v>
      </c>
      <c r="V1003">
        <v>0.18833420000000001</v>
      </c>
      <c r="W1003">
        <v>2.9090890000000001E-2</v>
      </c>
      <c r="X1003">
        <v>0.98167409999999999</v>
      </c>
      <c r="Y1003">
        <v>0.42510199999999998</v>
      </c>
      <c r="Z1003">
        <v>4.6617520000000003E-2</v>
      </c>
      <c r="AA1003">
        <v>0.90394419999999898</v>
      </c>
      <c r="AB1003">
        <v>35</v>
      </c>
      <c r="AC1003">
        <v>-4.01000000000237E-2</v>
      </c>
      <c r="AD1003">
        <v>-1.0875389559449999</v>
      </c>
      <c r="AE1003">
        <v>-18.536300000000001</v>
      </c>
      <c r="AF1003">
        <v>7.9628041136284002</v>
      </c>
      <c r="AG1003">
        <v>-1.0875389559449999</v>
      </c>
      <c r="AH1003">
        <v>16.668426812830099</v>
      </c>
      <c r="AI1003">
        <v>93.369261882699902</v>
      </c>
      <c r="AJ1003">
        <v>64.465363690946504</v>
      </c>
      <c r="AK1003">
        <v>18.504741088364</v>
      </c>
    </row>
    <row r="1004" spans="1:37" x14ac:dyDescent="0.2">
      <c r="A1004" t="str">
        <f>"20200111153420446"</f>
        <v>20200111153420446</v>
      </c>
      <c r="B1004" t="str">
        <f>"1578728060437346"</f>
        <v>1578728060437346</v>
      </c>
      <c r="C1004" t="s">
        <v>37</v>
      </c>
      <c r="D1004">
        <v>4.7969179999999998</v>
      </c>
      <c r="E1004">
        <v>0.5981417</v>
      </c>
      <c r="F1004" t="s">
        <v>39</v>
      </c>
      <c r="G1004">
        <v>-194.38759999999999</v>
      </c>
      <c r="H1004" s="1">
        <v>-4.0706840000000002E-6</v>
      </c>
      <c r="I1004">
        <v>336.6617</v>
      </c>
      <c r="J1004">
        <v>-194.29589999999999</v>
      </c>
      <c r="K1004">
        <v>1.087629</v>
      </c>
      <c r="L1004">
        <v>354.61939999999998</v>
      </c>
      <c r="M1004">
        <v>0.41887970000000002</v>
      </c>
      <c r="N1004">
        <v>0</v>
      </c>
      <c r="O1004">
        <v>-0.90789929999999996</v>
      </c>
      <c r="P1004">
        <v>0.24417269999999999</v>
      </c>
      <c r="Q1004">
        <v>2.0657559999999998E-2</v>
      </c>
      <c r="R1004">
        <v>-0.96951219999999905</v>
      </c>
      <c r="S1004">
        <v>7.0190429999999896E-4</v>
      </c>
      <c r="T1004">
        <v>-0.18578339999999999</v>
      </c>
      <c r="U1004">
        <v>-3.1050110000000002</v>
      </c>
      <c r="V1004">
        <v>0.18576229999999999</v>
      </c>
      <c r="W1004">
        <v>2.9031789999999998E-2</v>
      </c>
      <c r="X1004">
        <v>0.98216579999999998</v>
      </c>
      <c r="Y1004">
        <v>0.41869289999999998</v>
      </c>
      <c r="Z1004">
        <v>4.874701E-2</v>
      </c>
      <c r="AA1004">
        <v>0.90681859999999903</v>
      </c>
      <c r="AB1004">
        <v>35</v>
      </c>
      <c r="AC1004">
        <v>-9.1700000000003001E-2</v>
      </c>
      <c r="AD1004">
        <v>-1.0876330706840001</v>
      </c>
      <c r="AE1004">
        <v>-17.9576999999999</v>
      </c>
      <c r="AF1004">
        <v>7.5785545470308904</v>
      </c>
      <c r="AG1004">
        <v>-1.0876330706840001</v>
      </c>
      <c r="AH1004">
        <v>16.208021847287799</v>
      </c>
      <c r="AI1004">
        <v>93.478602060119798</v>
      </c>
      <c r="AJ1004">
        <v>64.940127418050906</v>
      </c>
      <c r="AK1004">
        <v>17.925328641922501</v>
      </c>
    </row>
    <row r="1005" spans="1:37" x14ac:dyDescent="0.2">
      <c r="A1005" t="str">
        <f>"20200111153420460"</f>
        <v>20200111153420460</v>
      </c>
      <c r="B1005" t="str">
        <f>"1578728060447107"</f>
        <v>1578728060447107</v>
      </c>
      <c r="C1005" t="s">
        <v>37</v>
      </c>
      <c r="D1005">
        <v>4.7650399999999999</v>
      </c>
      <c r="E1005">
        <v>0.59722949999999997</v>
      </c>
      <c r="F1005" t="s">
        <v>39</v>
      </c>
      <c r="G1005">
        <v>-194.46119999999999</v>
      </c>
      <c r="H1005" s="1">
        <v>-3.6818289999999998E-6</v>
      </c>
      <c r="I1005">
        <v>335.48059999999998</v>
      </c>
      <c r="J1005">
        <v>-194.20679999999999</v>
      </c>
      <c r="K1005">
        <v>1.087731</v>
      </c>
      <c r="L1005">
        <v>354.41109999999998</v>
      </c>
      <c r="M1005">
        <v>0.40924749999999999</v>
      </c>
      <c r="N1005">
        <v>0</v>
      </c>
      <c r="O1005">
        <v>-0.91228410000000004</v>
      </c>
      <c r="P1005">
        <v>0.2362997</v>
      </c>
      <c r="Q1005">
        <v>2.0621359999999998E-2</v>
      </c>
      <c r="R1005">
        <v>-0.97146160000000004</v>
      </c>
      <c r="S1005">
        <v>-2.682495E-2</v>
      </c>
      <c r="T1005">
        <v>-0.17644479999999901</v>
      </c>
      <c r="U1005">
        <v>-3.1048580000000001</v>
      </c>
      <c r="V1005">
        <v>0.18331989999999901</v>
      </c>
      <c r="W1005">
        <v>2.901606E-2</v>
      </c>
      <c r="X1005">
        <v>0.98262499999999997</v>
      </c>
      <c r="Y1005">
        <v>0.41712510000000003</v>
      </c>
      <c r="Z1005">
        <v>4.6694279999999998E-2</v>
      </c>
      <c r="AA1005">
        <v>0.90764880000000003</v>
      </c>
      <c r="AB1005">
        <v>35</v>
      </c>
      <c r="AC1005">
        <v>-0.25440000000000401</v>
      </c>
      <c r="AD1005">
        <v>-1.0877346818289999</v>
      </c>
      <c r="AE1005">
        <v>-18.930499999999899</v>
      </c>
      <c r="AF1005">
        <v>7.95410289775816</v>
      </c>
      <c r="AG1005">
        <v>-1.0877346818289999</v>
      </c>
      <c r="AH1005">
        <v>17.111578790689698</v>
      </c>
      <c r="AI1005">
        <v>93.299097979515693</v>
      </c>
      <c r="AJ1005">
        <v>65.069229792683601</v>
      </c>
      <c r="AK1005">
        <v>18.901244624525699</v>
      </c>
    </row>
    <row r="1006" spans="1:37" x14ac:dyDescent="0.2">
      <c r="A1006" t="str">
        <f>"20200111153420477"</f>
        <v>20200111153420477</v>
      </c>
      <c r="B1006" t="str">
        <f>"1578728060467603"</f>
        <v>1578728060467603</v>
      </c>
      <c r="C1006" t="s">
        <v>37</v>
      </c>
      <c r="D1006">
        <v>4.7472379999999896</v>
      </c>
      <c r="E1006">
        <v>0.56582509999999997</v>
      </c>
      <c r="F1006" t="s">
        <v>39</v>
      </c>
      <c r="G1006">
        <v>-194.49080000000001</v>
      </c>
      <c r="H1006" s="1">
        <v>-3.4376010000000002E-6</v>
      </c>
      <c r="I1006">
        <v>334.81689999999998</v>
      </c>
      <c r="J1006">
        <v>-194.10329999999999</v>
      </c>
      <c r="K1006">
        <v>1.0878749999999999</v>
      </c>
      <c r="L1006">
        <v>354.15989999999999</v>
      </c>
      <c r="M1006">
        <v>0.39778069999999999</v>
      </c>
      <c r="N1006">
        <v>0</v>
      </c>
      <c r="O1006">
        <v>-0.91734490000000002</v>
      </c>
      <c r="P1006">
        <v>0.22787060000000001</v>
      </c>
      <c r="Q1006">
        <v>2.192235E-2</v>
      </c>
      <c r="R1006">
        <v>-0.97344489999999995</v>
      </c>
      <c r="S1006">
        <v>-4.4982910000000001E-2</v>
      </c>
      <c r="T1006">
        <v>-0.1722398</v>
      </c>
      <c r="U1006">
        <v>-3.1026919999999998</v>
      </c>
      <c r="V1006">
        <v>0.17954210000000001</v>
      </c>
      <c r="W1006">
        <v>3.0374450000000001E-2</v>
      </c>
      <c r="X1006">
        <v>0.98328130000000002</v>
      </c>
      <c r="Y1006">
        <v>0.41104350000000001</v>
      </c>
      <c r="Z1006">
        <v>4.6109589999999999E-2</v>
      </c>
      <c r="AA1006">
        <v>0.91044890000000001</v>
      </c>
      <c r="AB1006">
        <v>35</v>
      </c>
      <c r="AC1006">
        <v>-0.387500000000017</v>
      </c>
      <c r="AD1006">
        <v>-1.087878437601</v>
      </c>
      <c r="AE1006">
        <v>-19.343</v>
      </c>
      <c r="AF1006">
        <v>8.0253701281346697</v>
      </c>
      <c r="AG1006">
        <v>-1.087878437601</v>
      </c>
      <c r="AH1006">
        <v>17.536802995917402</v>
      </c>
      <c r="AI1006">
        <v>93.228516818306701</v>
      </c>
      <c r="AJ1006">
        <v>65.409738299534894</v>
      </c>
      <c r="AK1006">
        <v>19.3165603694388</v>
      </c>
    </row>
    <row r="1007" spans="1:37" x14ac:dyDescent="0.2">
      <c r="A1007" t="str">
        <f>"20200111153420500"</f>
        <v>20200111153420500</v>
      </c>
      <c r="B1007" t="str">
        <f>"1578728060487122"</f>
        <v>1578728060487122</v>
      </c>
      <c r="C1007" t="s">
        <v>37</v>
      </c>
      <c r="D1007">
        <v>4.7151079999999999</v>
      </c>
      <c r="E1007">
        <v>0.56274919999999995</v>
      </c>
      <c r="F1007" t="s">
        <v>39</v>
      </c>
      <c r="G1007">
        <v>-188.84719999999999</v>
      </c>
      <c r="H1007" s="1">
        <v>-9.7158280000000001E-7</v>
      </c>
      <c r="I1007">
        <v>261.42090000000002</v>
      </c>
      <c r="J1007">
        <v>-193.9717</v>
      </c>
      <c r="K1007">
        <v>1.088079</v>
      </c>
      <c r="L1007">
        <v>353.82729999999998</v>
      </c>
      <c r="M1007">
        <v>0.38279540000000001</v>
      </c>
      <c r="N1007">
        <v>0</v>
      </c>
      <c r="O1007">
        <v>-0.92370259999999904</v>
      </c>
      <c r="P1007">
        <v>0.21551029999999999</v>
      </c>
      <c r="Q1007">
        <v>2.2652189999999999E-2</v>
      </c>
      <c r="R1007">
        <v>-0.97623909999999903</v>
      </c>
      <c r="S1007">
        <v>0.1724243</v>
      </c>
      <c r="T1007">
        <v>-3.5687330000000003E-2</v>
      </c>
      <c r="U1007">
        <v>-3.0422669999999998</v>
      </c>
      <c r="V1007">
        <v>0.17599819999999999</v>
      </c>
      <c r="W1007">
        <v>3.1118920000000001E-2</v>
      </c>
      <c r="X1007">
        <v>0.98389850000000001</v>
      </c>
      <c r="Y1007">
        <v>0.32995609999999997</v>
      </c>
      <c r="Z1007">
        <v>1.0057760000000001E-2</v>
      </c>
      <c r="AA1007">
        <v>0.94394270000000002</v>
      </c>
      <c r="AB1007">
        <v>35</v>
      </c>
      <c r="AC1007">
        <v>5.12450000000001</v>
      </c>
      <c r="AD1007">
        <v>-1.0880799715828</v>
      </c>
      <c r="AE1007">
        <v>-92.406399999999906</v>
      </c>
      <c r="AF1007">
        <v>30.638691452934999</v>
      </c>
      <c r="AG1007">
        <v>-1.0880799715828</v>
      </c>
      <c r="AH1007">
        <v>87.316129678659394</v>
      </c>
      <c r="AI1007">
        <v>90.673681503113599</v>
      </c>
      <c r="AJ1007">
        <v>70.664342559009896</v>
      </c>
      <c r="AK1007">
        <v>92.541989572481</v>
      </c>
    </row>
    <row r="1008" spans="1:37" x14ac:dyDescent="0.2">
      <c r="A1008" t="str">
        <f>"20200111153420521"</f>
        <v>20200111153420521</v>
      </c>
      <c r="B1008" t="str">
        <f>"1578728060517379"</f>
        <v>1578728060517379</v>
      </c>
      <c r="C1008" t="s">
        <v>37</v>
      </c>
      <c r="D1008">
        <v>4.6678550000000003</v>
      </c>
      <c r="E1008">
        <v>0.56058680000000005</v>
      </c>
      <c r="F1008" t="s">
        <v>39</v>
      </c>
      <c r="G1008">
        <v>-188.68610000000001</v>
      </c>
      <c r="H1008" s="1">
        <v>-1.2015939999999999E-6</v>
      </c>
      <c r="I1008">
        <v>251.8904</v>
      </c>
      <c r="J1008">
        <v>-193.85419999999999</v>
      </c>
      <c r="K1008">
        <v>1.0882959999999999</v>
      </c>
      <c r="L1008">
        <v>353.51580000000001</v>
      </c>
      <c r="M1008">
        <v>0.36901609999999901</v>
      </c>
      <c r="N1008">
        <v>0</v>
      </c>
      <c r="O1008">
        <v>-0.92929689999999998</v>
      </c>
      <c r="P1008">
        <v>0.2058864</v>
      </c>
      <c r="Q1008">
        <v>2.2215329999999998E-2</v>
      </c>
      <c r="R1008">
        <v>-0.97832389999999902</v>
      </c>
      <c r="S1008">
        <v>0.15757750000000001</v>
      </c>
      <c r="T1008">
        <v>-3.2438160000000001E-2</v>
      </c>
      <c r="U1008">
        <v>-3.0389710000000001</v>
      </c>
      <c r="V1008">
        <v>0.1710139</v>
      </c>
      <c r="W1008">
        <v>3.0766229999999999E-2</v>
      </c>
      <c r="X1008">
        <v>0.98478809999999894</v>
      </c>
      <c r="Y1008">
        <v>0.32043899999999997</v>
      </c>
      <c r="Z1008">
        <v>9.2593380000000006E-3</v>
      </c>
      <c r="AA1008">
        <v>0.94722390000000001</v>
      </c>
      <c r="AB1008">
        <v>35</v>
      </c>
      <c r="AC1008">
        <v>5.1680999999999804</v>
      </c>
      <c r="AD1008">
        <v>-1.088297201594</v>
      </c>
      <c r="AE1008">
        <v>-101.6254</v>
      </c>
      <c r="AF1008">
        <v>32.698802002506</v>
      </c>
      <c r="AG1008">
        <v>-1.088297201594</v>
      </c>
      <c r="AH1008">
        <v>96.347553965527695</v>
      </c>
      <c r="AI1008">
        <v>90.612830164512502</v>
      </c>
      <c r="AJ1008">
        <v>71.253618348487606</v>
      </c>
      <c r="AK1008">
        <v>101.750907604494</v>
      </c>
    </row>
    <row r="1009" spans="1:37" x14ac:dyDescent="0.2">
      <c r="A1009" t="str">
        <f>"20200111153420544"</f>
        <v>20200111153420544</v>
      </c>
      <c r="B1009" t="str">
        <f>"1578728060536898"</f>
        <v>1578728060536898</v>
      </c>
      <c r="C1009" t="s">
        <v>37</v>
      </c>
      <c r="D1009">
        <v>4.7185730000000001</v>
      </c>
      <c r="E1009">
        <v>0.55942269999999905</v>
      </c>
      <c r="F1009" t="s">
        <v>50</v>
      </c>
      <c r="G1009">
        <v>-189.88079999999999</v>
      </c>
      <c r="H1009" s="1">
        <v>7.7887870000000001E-6</v>
      </c>
      <c r="I1009">
        <v>270.0077</v>
      </c>
      <c r="J1009">
        <v>-193.7311</v>
      </c>
      <c r="K1009">
        <v>1.0885450000000001</v>
      </c>
      <c r="L1009">
        <v>353.17320000000001</v>
      </c>
      <c r="M1009">
        <v>0.3541301</v>
      </c>
      <c r="N1009">
        <v>0</v>
      </c>
      <c r="O1009">
        <v>-0.93507469999999904</v>
      </c>
      <c r="P1009">
        <v>0.1943481</v>
      </c>
      <c r="Q1009">
        <v>2.2575680000000001E-2</v>
      </c>
      <c r="R1009">
        <v>-0.98067309999999996</v>
      </c>
      <c r="S1009">
        <v>0.14450070000000001</v>
      </c>
      <c r="T1009">
        <v>-3.9577599999999998E-2</v>
      </c>
      <c r="U1009">
        <v>-3.0369259999999998</v>
      </c>
      <c r="V1009">
        <v>0.1668695</v>
      </c>
      <c r="W1009">
        <v>3.1167529999999999E-2</v>
      </c>
      <c r="X1009">
        <v>0.98548630000000004</v>
      </c>
      <c r="Y1009">
        <v>0.30932589999999999</v>
      </c>
      <c r="Z1009">
        <v>1.1441710000000001E-2</v>
      </c>
      <c r="AA1009">
        <v>0.95088729999999999</v>
      </c>
      <c r="AB1009">
        <v>35</v>
      </c>
      <c r="AC1009">
        <v>3.8502999999999998</v>
      </c>
      <c r="AD1009">
        <v>-1.0885372112130001</v>
      </c>
      <c r="AE1009">
        <v>-83.165499999999994</v>
      </c>
      <c r="AF1009">
        <v>25.849606607658998</v>
      </c>
      <c r="AG1009">
        <v>-1.0885372112130001</v>
      </c>
      <c r="AH1009">
        <v>79.124925400248003</v>
      </c>
      <c r="AI1009">
        <v>90.749216368091297</v>
      </c>
      <c r="AJ1009">
        <v>71.908116350207493</v>
      </c>
      <c r="AK1009">
        <v>83.247467797079196</v>
      </c>
    </row>
    <row r="1010" spans="1:37" x14ac:dyDescent="0.2">
      <c r="A1010" t="str">
        <f>"20200111153420566"</f>
        <v>20200111153420566</v>
      </c>
      <c r="B1010" t="str">
        <f>"1578728060557394"</f>
        <v>1578728060557394</v>
      </c>
      <c r="C1010" t="s">
        <v>37</v>
      </c>
      <c r="D1010">
        <v>4.6768580000000002</v>
      </c>
      <c r="E1010">
        <v>0.55805700000000003</v>
      </c>
      <c r="F1010" t="s">
        <v>50</v>
      </c>
      <c r="G1010">
        <v>-190.7533</v>
      </c>
      <c r="H1010" s="1">
        <v>5.424619E-6</v>
      </c>
      <c r="I1010">
        <v>276.24489999999997</v>
      </c>
      <c r="J1010">
        <v>-193.6155</v>
      </c>
      <c r="K1010">
        <v>1.0888100000000001</v>
      </c>
      <c r="L1010">
        <v>352.8356</v>
      </c>
      <c r="M1010">
        <v>0.3397445</v>
      </c>
      <c r="N1010">
        <v>0</v>
      </c>
      <c r="O1010">
        <v>-0.94040069999999998</v>
      </c>
      <c r="P1010">
        <v>0.1818187</v>
      </c>
      <c r="Q1010">
        <v>2.3576719999999999E-2</v>
      </c>
      <c r="R1010">
        <v>-0.98304990000000003</v>
      </c>
      <c r="S1010">
        <v>0.1175537</v>
      </c>
      <c r="T1010">
        <v>-4.2971370000000002E-2</v>
      </c>
      <c r="U1010">
        <v>-3.036835</v>
      </c>
      <c r="V1010">
        <v>0.16432659999999999</v>
      </c>
      <c r="W1010">
        <v>3.2155040000000003E-2</v>
      </c>
      <c r="X1010">
        <v>0.98588169999999897</v>
      </c>
      <c r="Y1010">
        <v>0.30315110000000001</v>
      </c>
      <c r="Z1010">
        <v>1.255125E-2</v>
      </c>
      <c r="AA1010">
        <v>0.95285989999999998</v>
      </c>
      <c r="AB1010">
        <v>35</v>
      </c>
      <c r="AC1010">
        <v>2.8622000000000001</v>
      </c>
      <c r="AD1010">
        <v>-1.0888045753810001</v>
      </c>
      <c r="AE1010">
        <v>-76.590699999999998</v>
      </c>
      <c r="AF1010">
        <v>23.327515474894799</v>
      </c>
      <c r="AG1010">
        <v>-1.0888045753810001</v>
      </c>
      <c r="AH1010">
        <v>72.991672564968695</v>
      </c>
      <c r="AI1010">
        <v>90.814051541808794</v>
      </c>
      <c r="AJ1010">
        <v>72.276564023836002</v>
      </c>
      <c r="AK1010">
        <v>76.636432181218098</v>
      </c>
    </row>
    <row r="1011" spans="1:37" x14ac:dyDescent="0.2">
      <c r="A1011" t="str">
        <f>"20200111153420589"</f>
        <v>20200111153420589</v>
      </c>
      <c r="B1011" t="str">
        <f>"1578728060576914"</f>
        <v>1578728060576914</v>
      </c>
      <c r="C1011" t="s">
        <v>37</v>
      </c>
      <c r="D1011">
        <v>4.6754040000000003</v>
      </c>
      <c r="E1011">
        <v>0.55674199999999996</v>
      </c>
      <c r="F1011" t="s">
        <v>50</v>
      </c>
      <c r="G1011">
        <v>-191.55680000000001</v>
      </c>
      <c r="H1011" s="1">
        <v>3.81528E-6</v>
      </c>
      <c r="I1011">
        <v>283.16559999999998</v>
      </c>
      <c r="J1011">
        <v>-193.50659999999999</v>
      </c>
      <c r="K1011">
        <v>1.089083</v>
      </c>
      <c r="L1011">
        <v>352.50130000000001</v>
      </c>
      <c r="M1011">
        <v>0.32580340000000002</v>
      </c>
      <c r="N1011">
        <v>0</v>
      </c>
      <c r="O1011">
        <v>-0.94532439999999995</v>
      </c>
      <c r="P1011">
        <v>0.16971559999999999</v>
      </c>
      <c r="Q1011">
        <v>2.3394410000000001E-2</v>
      </c>
      <c r="R1011">
        <v>-0.98521550000000002</v>
      </c>
      <c r="S1011">
        <v>8.9721679999999998E-2</v>
      </c>
      <c r="T1011">
        <v>-4.7450779999999998E-2</v>
      </c>
      <c r="U1011">
        <v>-3.0362550000000001</v>
      </c>
      <c r="V1011">
        <v>0.1618378</v>
      </c>
      <c r="W1011">
        <v>3.1962980000000002E-2</v>
      </c>
      <c r="X1011">
        <v>0.98629959999999905</v>
      </c>
      <c r="Y1011">
        <v>0.29777300000000001</v>
      </c>
      <c r="Z1011">
        <v>1.399165E-2</v>
      </c>
      <c r="AA1011">
        <v>0.954534199999999</v>
      </c>
      <c r="AB1011">
        <v>35</v>
      </c>
      <c r="AC1011">
        <v>1.94979999999998</v>
      </c>
      <c r="AD1011">
        <v>-1.0890791847200001</v>
      </c>
      <c r="AE1011">
        <v>-69.335700000000003</v>
      </c>
      <c r="AF1011">
        <v>20.743718879360099</v>
      </c>
      <c r="AG1011">
        <v>-1.0890791847200001</v>
      </c>
      <c r="AH1011">
        <v>66.170747551780096</v>
      </c>
      <c r="AI1011">
        <v>90.899756272458205</v>
      </c>
      <c r="AJ1011">
        <v>72.594430921745598</v>
      </c>
      <c r="AK1011">
        <v>69.354565804840306</v>
      </c>
    </row>
    <row r="1012" spans="1:37" x14ac:dyDescent="0.2">
      <c r="A1012" t="str">
        <f>"20200111153420611"</f>
        <v>20200111153420611</v>
      </c>
      <c r="B1012" t="str">
        <f>"1578728060607170"</f>
        <v>1578728060607170</v>
      </c>
      <c r="C1012" t="s">
        <v>37</v>
      </c>
      <c r="D1012">
        <v>4.7020080000000002</v>
      </c>
      <c r="E1012">
        <v>0.55523420000000001</v>
      </c>
      <c r="F1012" t="s">
        <v>50</v>
      </c>
      <c r="G1012">
        <v>-192.09020000000001</v>
      </c>
      <c r="H1012" s="1">
        <v>3.66992099999999E-6</v>
      </c>
      <c r="I1012">
        <v>283.74599999999998</v>
      </c>
      <c r="J1012">
        <v>-193.40440000000001</v>
      </c>
      <c r="K1012">
        <v>1.089369</v>
      </c>
      <c r="L1012">
        <v>352.17230000000001</v>
      </c>
      <c r="M1012">
        <v>0.31240220000000002</v>
      </c>
      <c r="N1012">
        <v>0</v>
      </c>
      <c r="O1012">
        <v>-0.94984069999999898</v>
      </c>
      <c r="P1012">
        <v>0.16006689999999901</v>
      </c>
      <c r="Q1012">
        <v>2.1729430000000001E-2</v>
      </c>
      <c r="R1012">
        <v>-0.98686700000000005</v>
      </c>
      <c r="S1012">
        <v>6.2530520000000006E-2</v>
      </c>
      <c r="T1012">
        <v>-4.8080560000000001E-2</v>
      </c>
      <c r="U1012">
        <v>-3.0354000000000001</v>
      </c>
      <c r="V1012">
        <v>0.15746070000000001</v>
      </c>
      <c r="W1012">
        <v>3.0363959999999999E-2</v>
      </c>
      <c r="X1012">
        <v>0.98705830000000006</v>
      </c>
      <c r="Y1012">
        <v>0.29280469999999997</v>
      </c>
      <c r="Z1012">
        <v>1.430144E-2</v>
      </c>
      <c r="AA1012">
        <v>0.95606530000000001</v>
      </c>
      <c r="AB1012">
        <v>35</v>
      </c>
      <c r="AC1012">
        <v>1.31419999999999</v>
      </c>
      <c r="AD1012">
        <v>-1.089365330079</v>
      </c>
      <c r="AE1012">
        <v>-68.426299999999998</v>
      </c>
      <c r="AF1012">
        <v>20.125235779564299</v>
      </c>
      <c r="AG1012">
        <v>-1.089365330079</v>
      </c>
      <c r="AH1012">
        <v>65.394862230935502</v>
      </c>
      <c r="AI1012">
        <v>90.912150219351801</v>
      </c>
      <c r="AJ1012">
        <v>72.894277906663305</v>
      </c>
      <c r="AK1012">
        <v>68.430255283817701</v>
      </c>
    </row>
    <row r="1013" spans="1:37" x14ac:dyDescent="0.2">
      <c r="A1013" t="str">
        <f>"20200111153420625"</f>
        <v>20200111153420625</v>
      </c>
      <c r="B1013" t="str">
        <f>"1578728060616931"</f>
        <v>1578728060616931</v>
      </c>
      <c r="C1013" t="s">
        <v>37</v>
      </c>
      <c r="D1013">
        <v>4.7075370000000003</v>
      </c>
      <c r="E1013">
        <v>0.55463030000000002</v>
      </c>
      <c r="F1013" t="s">
        <v>50</v>
      </c>
      <c r="G1013">
        <v>-192.45320000000001</v>
      </c>
      <c r="H1013" s="1">
        <v>3.2760449999999998E-6</v>
      </c>
      <c r="I1013">
        <v>287.51490000000001</v>
      </c>
      <c r="J1013">
        <v>-193.3313</v>
      </c>
      <c r="K1013">
        <v>1.089601</v>
      </c>
      <c r="L1013">
        <v>351.92660000000001</v>
      </c>
      <c r="M1013">
        <v>0.30261880000000002</v>
      </c>
      <c r="N1013">
        <v>0</v>
      </c>
      <c r="O1013">
        <v>-0.9530052</v>
      </c>
      <c r="P1013">
        <v>0.15240239999999999</v>
      </c>
      <c r="Q1013">
        <v>2.1242279999999999E-2</v>
      </c>
      <c r="R1013">
        <v>-0.98809029999999998</v>
      </c>
      <c r="S1013">
        <v>4.4631959999999998E-2</v>
      </c>
      <c r="T1013">
        <v>-5.111504E-2</v>
      </c>
      <c r="U1013">
        <v>-3.03384399999999</v>
      </c>
      <c r="V1013">
        <v>0.15493479999999901</v>
      </c>
      <c r="W1013">
        <v>2.990021E-2</v>
      </c>
      <c r="X1013">
        <v>0.98747209999999996</v>
      </c>
      <c r="Y1013">
        <v>0.28859770000000001</v>
      </c>
      <c r="Z1013">
        <v>1.530256E-2</v>
      </c>
      <c r="AA1013">
        <v>0.95732809999999902</v>
      </c>
      <c r="AB1013">
        <v>35</v>
      </c>
      <c r="AC1013">
        <v>0.878099999999989</v>
      </c>
      <c r="AD1013">
        <v>-1.0895977239550001</v>
      </c>
      <c r="AE1013">
        <v>-64.411699999999996</v>
      </c>
      <c r="AF1013">
        <v>18.651914475163899</v>
      </c>
      <c r="AG1013">
        <v>-1.0895977239550001</v>
      </c>
      <c r="AH1013">
        <v>61.639036455206003</v>
      </c>
      <c r="AI1013">
        <v>90.969318506536098</v>
      </c>
      <c r="AJ1013">
        <v>73.1642342758864</v>
      </c>
      <c r="AK1013">
        <v>64.408477329580606</v>
      </c>
    </row>
    <row r="1014" spans="1:37" x14ac:dyDescent="0.2">
      <c r="A1014" t="str">
        <f>"20200111153420643"</f>
        <v>20200111153420643</v>
      </c>
      <c r="B1014" t="str">
        <f>"1578728060637426"</f>
        <v>1578728060637426</v>
      </c>
      <c r="C1014" t="s">
        <v>37</v>
      </c>
      <c r="D1014">
        <v>4.6471939999999998</v>
      </c>
      <c r="E1014">
        <v>0.55351640000000002</v>
      </c>
      <c r="F1014" t="s">
        <v>50</v>
      </c>
      <c r="G1014">
        <v>-192.80799999999999</v>
      </c>
      <c r="H1014" s="1">
        <v>2.7989579999999999E-6</v>
      </c>
      <c r="I1014">
        <v>290.26819999999998</v>
      </c>
      <c r="J1014">
        <v>-193.25399999999999</v>
      </c>
      <c r="K1014">
        <v>1.0898680000000001</v>
      </c>
      <c r="L1014">
        <v>351.65699999999998</v>
      </c>
      <c r="M1014">
        <v>0.29210839999999999</v>
      </c>
      <c r="N1014">
        <v>0</v>
      </c>
      <c r="O1014">
        <v>-0.95628179999999996</v>
      </c>
      <c r="P1014">
        <v>0.14612890000000001</v>
      </c>
      <c r="Q1014">
        <v>2.0450030000000001E-2</v>
      </c>
      <c r="R1014">
        <v>-0.98905449999999995</v>
      </c>
      <c r="S1014">
        <v>2.574158E-2</v>
      </c>
      <c r="T1014">
        <v>-5.3604010000000001E-2</v>
      </c>
      <c r="U1014">
        <v>-3.0333559999999999</v>
      </c>
      <c r="V1014">
        <v>0.15028039999999901</v>
      </c>
      <c r="W1014">
        <v>2.9208149999999999E-2</v>
      </c>
      <c r="X1014">
        <v>0.98821190000000003</v>
      </c>
      <c r="Y1014">
        <v>0.28401129999999902</v>
      </c>
      <c r="Z1014">
        <v>1.614906E-2</v>
      </c>
      <c r="AA1014">
        <v>0.95868489999999995</v>
      </c>
      <c r="AB1014">
        <v>35</v>
      </c>
      <c r="AC1014">
        <v>0.44600000000002599</v>
      </c>
      <c r="AD1014">
        <v>-1.089865201042</v>
      </c>
      <c r="AE1014">
        <v>-61.388800000000003</v>
      </c>
      <c r="AF1014">
        <v>17.501897979639899</v>
      </c>
      <c r="AG1014">
        <v>-1.089865201042</v>
      </c>
      <c r="AH1014">
        <v>58.822553147979797</v>
      </c>
      <c r="AI1014">
        <v>91.017386615465995</v>
      </c>
      <c r="AJ1014">
        <v>73.430300081844194</v>
      </c>
      <c r="AK1014">
        <v>61.380754295569503</v>
      </c>
    </row>
    <row r="1015" spans="1:37" x14ac:dyDescent="0.2">
      <c r="A1015" t="str">
        <f>"20200111153420666"</f>
        <v>20200111153420666</v>
      </c>
      <c r="B1015" t="str">
        <f>"1578728060656949"</f>
        <v>1578728060656949</v>
      </c>
      <c r="C1015" t="s">
        <v>37</v>
      </c>
      <c r="D1015">
        <v>4.6415040000000003</v>
      </c>
      <c r="E1015">
        <v>0.55245169999999999</v>
      </c>
      <c r="F1015" t="s">
        <v>50</v>
      </c>
      <c r="G1015">
        <v>-192.9452</v>
      </c>
      <c r="H1015" s="1">
        <v>2.572187E-6</v>
      </c>
      <c r="I1015">
        <v>290.84089999999998</v>
      </c>
      <c r="J1015">
        <v>-193.1566</v>
      </c>
      <c r="K1015">
        <v>1.0902459999999901</v>
      </c>
      <c r="L1015">
        <v>351.30009999999999</v>
      </c>
      <c r="M1015">
        <v>0.2785783</v>
      </c>
      <c r="N1015">
        <v>0</v>
      </c>
      <c r="O1015">
        <v>-0.96031359999999999</v>
      </c>
      <c r="P1015">
        <v>0.1354207</v>
      </c>
      <c r="Q1015">
        <v>2.0892819999999999E-2</v>
      </c>
      <c r="R1015">
        <v>-0.99056789999999995</v>
      </c>
      <c r="S1015">
        <v>1.5396119999999999E-2</v>
      </c>
      <c r="T1015">
        <v>-5.4336189999999999E-2</v>
      </c>
      <c r="U1015">
        <v>-3.0320429999999998</v>
      </c>
      <c r="V1015">
        <v>0.14699670000000001</v>
      </c>
      <c r="W1015">
        <v>2.9682389999999999E-2</v>
      </c>
      <c r="X1015">
        <v>0.98869149999999995</v>
      </c>
      <c r="Y1015">
        <v>0.27372459999999998</v>
      </c>
      <c r="Z1015">
        <v>1.6511660000000001E-2</v>
      </c>
      <c r="AA1015">
        <v>0.96166629999999997</v>
      </c>
      <c r="AB1015">
        <v>35</v>
      </c>
      <c r="AC1015">
        <v>0.21139999999999701</v>
      </c>
      <c r="AD1015">
        <v>-1.09024342781299</v>
      </c>
      <c r="AE1015">
        <v>-60.459200000000003</v>
      </c>
      <c r="AF1015">
        <v>16.6357982887627</v>
      </c>
      <c r="AG1015">
        <v>-1.09024342781299</v>
      </c>
      <c r="AH1015">
        <v>58.105366942026002</v>
      </c>
      <c r="AI1015">
        <v>91.033415948079806</v>
      </c>
      <c r="AJ1015">
        <v>74.023371503277104</v>
      </c>
      <c r="AK1015">
        <v>60.449748410591198</v>
      </c>
    </row>
    <row r="1016" spans="1:37" x14ac:dyDescent="0.2">
      <c r="A1016" t="str">
        <f>"20200111153420689"</f>
        <v>20200111153420689</v>
      </c>
      <c r="B1016" t="str">
        <f>"1578728060677442"</f>
        <v>1578728060677442</v>
      </c>
      <c r="C1016" t="s">
        <v>37</v>
      </c>
      <c r="D1016">
        <v>4.5897069999999998</v>
      </c>
      <c r="E1016">
        <v>0.55154320000000001</v>
      </c>
      <c r="F1016" t="s">
        <v>50</v>
      </c>
      <c r="G1016">
        <v>-193.352</v>
      </c>
      <c r="H1016" s="1">
        <v>3.3088659999999899E-6</v>
      </c>
      <c r="I1016">
        <v>285.31580000000002</v>
      </c>
      <c r="J1016">
        <v>-193.0693</v>
      </c>
      <c r="K1016">
        <v>1.0906049999999901</v>
      </c>
      <c r="L1016">
        <v>350.96280000000002</v>
      </c>
      <c r="M1016">
        <v>0.26616190000000001</v>
      </c>
      <c r="N1016">
        <v>0</v>
      </c>
      <c r="O1016">
        <v>-0.96383169999999996</v>
      </c>
      <c r="P1016">
        <v>0.1259873</v>
      </c>
      <c r="Q1016">
        <v>2.2036759999999999E-2</v>
      </c>
      <c r="R1016">
        <v>-0.99178739999999999</v>
      </c>
      <c r="S1016">
        <v>-8.9721680000000009E-3</v>
      </c>
      <c r="T1016">
        <v>-5.007756E-2</v>
      </c>
      <c r="U1016">
        <v>-3.0308229999999998</v>
      </c>
      <c r="V1016">
        <v>0.14364479999999999</v>
      </c>
      <c r="W1016">
        <v>3.0872989999999999E-2</v>
      </c>
      <c r="X1016">
        <v>0.98914760000000002</v>
      </c>
      <c r="Y1016">
        <v>0.269038</v>
      </c>
      <c r="Z1016">
        <v>1.532178E-2</v>
      </c>
      <c r="AA1016">
        <v>0.96300769999999902</v>
      </c>
      <c r="AB1016">
        <v>35</v>
      </c>
      <c r="AC1016">
        <v>-0.282700000000005</v>
      </c>
      <c r="AD1016">
        <v>-1.09060169113399</v>
      </c>
      <c r="AE1016">
        <v>-65.646999999999906</v>
      </c>
      <c r="AF1016">
        <v>17.7419620244785</v>
      </c>
      <c r="AG1016">
        <v>-1.09060169113399</v>
      </c>
      <c r="AH1016">
        <v>63.185864496360303</v>
      </c>
      <c r="AI1016">
        <v>90.952028088436094</v>
      </c>
      <c r="AJ1016">
        <v>74.315786541148498</v>
      </c>
      <c r="AK1016">
        <v>65.638556509715798</v>
      </c>
    </row>
    <row r="1017" spans="1:37" x14ac:dyDescent="0.2">
      <c r="A1017" t="str">
        <f>"20200111153420711"</f>
        <v>20200111153420711</v>
      </c>
      <c r="B1017" t="str">
        <f>"1578728060707698"</f>
        <v>1578728060707698</v>
      </c>
      <c r="C1017" t="s">
        <v>37</v>
      </c>
      <c r="D1017">
        <v>4.6215109999999999</v>
      </c>
      <c r="E1017">
        <v>0.55053839999999998</v>
      </c>
      <c r="F1017" t="s">
        <v>50</v>
      </c>
      <c r="G1017">
        <v>-193.8057</v>
      </c>
      <c r="H1017" s="1">
        <v>4.2230570000000001E-6</v>
      </c>
      <c r="I1017">
        <v>277.74169999999998</v>
      </c>
      <c r="J1017">
        <v>-192.98249999999999</v>
      </c>
      <c r="K1017">
        <v>1.0909759999999999</v>
      </c>
      <c r="L1017">
        <v>350.60969999999998</v>
      </c>
      <c r="M1017">
        <v>0.25353209999999998</v>
      </c>
      <c r="N1017">
        <v>0</v>
      </c>
      <c r="O1017">
        <v>-0.96723320000000002</v>
      </c>
      <c r="P1017">
        <v>0.1166172</v>
      </c>
      <c r="Q1017">
        <v>2.2121470000000001E-2</v>
      </c>
      <c r="R1017">
        <v>-0.9929306</v>
      </c>
      <c r="S1017">
        <v>-3.04718E-2</v>
      </c>
      <c r="T1017">
        <v>-4.5127029999999999E-2</v>
      </c>
      <c r="U1017">
        <v>-3.02975499999999</v>
      </c>
      <c r="V1017">
        <v>0.14001429999999901</v>
      </c>
      <c r="W1017">
        <v>3.1015009999999999E-2</v>
      </c>
      <c r="X1017">
        <v>0.98966359999999998</v>
      </c>
      <c r="Y1017">
        <v>0.26326919999999998</v>
      </c>
      <c r="Z1017">
        <v>1.38996E-2</v>
      </c>
      <c r="AA1017">
        <v>0.96462230000000004</v>
      </c>
      <c r="AB1017">
        <v>35</v>
      </c>
      <c r="AC1017">
        <v>-0.82320000000001403</v>
      </c>
      <c r="AD1017">
        <v>-1.0909717769429901</v>
      </c>
      <c r="AE1017">
        <v>-72.867999999999995</v>
      </c>
      <c r="AF1017">
        <v>19.268033097910401</v>
      </c>
      <c r="AG1017">
        <v>-1.0909717769429901</v>
      </c>
      <c r="AH1017">
        <v>70.262268280993894</v>
      </c>
      <c r="AI1017">
        <v>90.857899582319504</v>
      </c>
      <c r="AJ1017">
        <v>74.664764196135494</v>
      </c>
      <c r="AK1017">
        <v>72.864488352493197</v>
      </c>
    </row>
    <row r="1018" spans="1:37" x14ac:dyDescent="0.2">
      <c r="A1018" t="str">
        <f>"20200111153420734"</f>
        <v>20200111153420734</v>
      </c>
      <c r="B1018" t="str">
        <f>"1578728060727218"</f>
        <v>1578728060727218</v>
      </c>
      <c r="C1018" t="s">
        <v>37</v>
      </c>
      <c r="D1018">
        <v>4.6606189999999996</v>
      </c>
      <c r="E1018">
        <v>0.53887209999999997</v>
      </c>
      <c r="F1018" t="s">
        <v>50</v>
      </c>
      <c r="G1018">
        <v>-194.28229999999999</v>
      </c>
      <c r="H1018" s="1">
        <v>5.4967899999999998E-6</v>
      </c>
      <c r="I1018">
        <v>273.56279999999998</v>
      </c>
      <c r="J1018">
        <v>-192.90299999999999</v>
      </c>
      <c r="K1018">
        <v>1.0913310000000001</v>
      </c>
      <c r="L1018">
        <v>350.26780000000002</v>
      </c>
      <c r="M1018">
        <v>0.24166959999999901</v>
      </c>
      <c r="N1018">
        <v>0</v>
      </c>
      <c r="O1018">
        <v>-0.97026780000000001</v>
      </c>
      <c r="P1018">
        <v>0.10862229999999901</v>
      </c>
      <c r="Q1018">
        <v>2.2356040000000001E-2</v>
      </c>
      <c r="R1018">
        <v>-0.99383199999999905</v>
      </c>
      <c r="S1018">
        <v>-5.1086430000000002E-2</v>
      </c>
      <c r="T1018">
        <v>-4.2880540000000002E-2</v>
      </c>
      <c r="U1018">
        <v>-3.0283199999999999</v>
      </c>
      <c r="V1018">
        <v>0.13583439999999999</v>
      </c>
      <c r="W1018">
        <v>3.1325760000000001E-2</v>
      </c>
      <c r="X1018">
        <v>0.99023619999999901</v>
      </c>
      <c r="Y1018">
        <v>0.25802159999999902</v>
      </c>
      <c r="Z1018">
        <v>1.3287729999999999E-2</v>
      </c>
      <c r="AA1018">
        <v>0.96604780000000001</v>
      </c>
      <c r="AB1018">
        <v>35</v>
      </c>
      <c r="AC1018">
        <v>-1.3793</v>
      </c>
      <c r="AD1018">
        <v>-1.09132550321</v>
      </c>
      <c r="AE1018">
        <v>-76.704999999999998</v>
      </c>
      <c r="AF1018">
        <v>19.873286796716801</v>
      </c>
      <c r="AG1018">
        <v>-1.09132550321</v>
      </c>
      <c r="AH1018">
        <v>74.082593809228797</v>
      </c>
      <c r="AI1018">
        <v>90.815157690611898</v>
      </c>
      <c r="AJ1018">
        <v>74.983465469017702</v>
      </c>
      <c r="AK1018">
        <v>76.709642320647603</v>
      </c>
    </row>
    <row r="1019" spans="1:37" x14ac:dyDescent="0.2">
      <c r="A1019" t="str">
        <f>"20200111153420757"</f>
        <v>20200111153420757</v>
      </c>
      <c r="B1019" t="str">
        <f>"1578728060747715"</f>
        <v>1578728060747715</v>
      </c>
      <c r="C1019" t="s">
        <v>37</v>
      </c>
      <c r="D1019">
        <v>4.6644399999999999</v>
      </c>
      <c r="E1019">
        <v>0.53859140000000005</v>
      </c>
      <c r="F1019" t="s">
        <v>39</v>
      </c>
      <c r="G1019">
        <v>-192.37979999999999</v>
      </c>
      <c r="H1019" s="1">
        <v>-4.1898899999999996E-6</v>
      </c>
      <c r="I1019">
        <v>258.05849999999998</v>
      </c>
      <c r="J1019">
        <v>-192.82380000000001</v>
      </c>
      <c r="K1019">
        <v>1.0917030000000001</v>
      </c>
      <c r="L1019">
        <v>349.9085</v>
      </c>
      <c r="M1019">
        <v>0.2295866</v>
      </c>
      <c r="N1019">
        <v>0</v>
      </c>
      <c r="O1019">
        <v>-0.97319999999999995</v>
      </c>
      <c r="P1019">
        <v>9.9871580000000001E-2</v>
      </c>
      <c r="Q1019">
        <v>2.3066799999999998E-2</v>
      </c>
      <c r="R1019">
        <v>-0.99473289999999903</v>
      </c>
      <c r="S1019">
        <v>1.7120360000000001E-2</v>
      </c>
      <c r="T1019">
        <v>-3.5713910000000001E-2</v>
      </c>
      <c r="U1019">
        <v>-3.0175480000000001</v>
      </c>
      <c r="V1019">
        <v>0.13222029999999901</v>
      </c>
      <c r="W1019">
        <v>3.2088319999999997E-2</v>
      </c>
      <c r="X1019">
        <v>0.99070079999999905</v>
      </c>
      <c r="Y1019">
        <v>0.224080899999999</v>
      </c>
      <c r="Z1019">
        <v>1.120987E-2</v>
      </c>
      <c r="AA1019">
        <v>0.97450609999999904</v>
      </c>
      <c r="AB1019">
        <v>35</v>
      </c>
      <c r="AC1019">
        <v>0.44400000000001599</v>
      </c>
      <c r="AD1019">
        <v>-1.0917071898899999</v>
      </c>
      <c r="AE1019">
        <v>-91.85</v>
      </c>
      <c r="AF1019">
        <v>20.654284665472002</v>
      </c>
      <c r="AG1019">
        <v>-1.0917071898899999</v>
      </c>
      <c r="AH1019">
        <v>89.485401137759496</v>
      </c>
      <c r="AI1019">
        <v>90.6810601358046</v>
      </c>
      <c r="AJ1019">
        <v>77.003068636011704</v>
      </c>
      <c r="AK1019">
        <v>91.844587844992404</v>
      </c>
    </row>
    <row r="1020" spans="1:37" x14ac:dyDescent="0.2">
      <c r="A1020" t="str">
        <f>"20200111153420778"</f>
        <v>20200111153420778</v>
      </c>
      <c r="B1020" t="str">
        <f>"1578728060767237"</f>
        <v>1578728060767237</v>
      </c>
      <c r="C1020" t="s">
        <v>37</v>
      </c>
      <c r="D1020">
        <v>4.6974980000000004</v>
      </c>
      <c r="E1020">
        <v>0.53774560000000005</v>
      </c>
      <c r="F1020" t="s">
        <v>50</v>
      </c>
      <c r="G1020">
        <v>-193.1302</v>
      </c>
      <c r="H1020" s="1">
        <v>1.694338E-6</v>
      </c>
      <c r="I1020">
        <v>223.434</v>
      </c>
      <c r="J1020">
        <v>-192.7544</v>
      </c>
      <c r="K1020">
        <v>1.0920449999999999</v>
      </c>
      <c r="L1020">
        <v>349.57530000000003</v>
      </c>
      <c r="M1020">
        <v>0.21874339999999901</v>
      </c>
      <c r="N1020">
        <v>0</v>
      </c>
      <c r="O1020">
        <v>-0.97569660000000002</v>
      </c>
      <c r="P1020">
        <v>9.2306230000000003E-2</v>
      </c>
      <c r="Q1020">
        <v>2.3979690000000001E-2</v>
      </c>
      <c r="R1020">
        <v>-0.99544200000000005</v>
      </c>
      <c r="S1020">
        <v>-7.3089599999999998E-3</v>
      </c>
      <c r="T1020">
        <v>-2.6043420000000001E-2</v>
      </c>
      <c r="U1020">
        <v>-3.0171509999999899</v>
      </c>
      <c r="V1020">
        <v>0.1287179</v>
      </c>
      <c r="W1020">
        <v>3.3046730000000003E-2</v>
      </c>
      <c r="X1020">
        <v>0.99113050000000003</v>
      </c>
      <c r="Y1020">
        <v>0.22112470000000001</v>
      </c>
      <c r="Z1020">
        <v>8.2109980000000006E-3</v>
      </c>
      <c r="AA1020">
        <v>0.97521100000000005</v>
      </c>
      <c r="AB1020">
        <v>35</v>
      </c>
      <c r="AC1020">
        <v>-0.37579999999999802</v>
      </c>
      <c r="AD1020">
        <v>-1.092043305662</v>
      </c>
      <c r="AE1020">
        <v>-126.1413</v>
      </c>
      <c r="AF1020">
        <v>27.959489568253002</v>
      </c>
      <c r="AG1020">
        <v>-1.092043305662</v>
      </c>
      <c r="AH1020">
        <v>122.994515671892</v>
      </c>
      <c r="AI1020">
        <v>90.496049436690797</v>
      </c>
      <c r="AJ1020">
        <v>77.192991797953496</v>
      </c>
      <c r="AK1020">
        <v>126.13713371114</v>
      </c>
    </row>
    <row r="1021" spans="1:37" x14ac:dyDescent="0.2">
      <c r="A1021" t="str">
        <f>"20200111153420800"</f>
        <v>20200111153420800</v>
      </c>
      <c r="B1021" t="str">
        <f>"1578728060797490"</f>
        <v>1578728060797490</v>
      </c>
      <c r="C1021" t="s">
        <v>37</v>
      </c>
      <c r="D1021">
        <v>4.6564399999999999</v>
      </c>
      <c r="E1021">
        <v>0.53566639999999999</v>
      </c>
      <c r="F1021" t="s">
        <v>39</v>
      </c>
      <c r="G1021">
        <v>-194.0025</v>
      </c>
      <c r="H1021" s="1">
        <v>-1.0968700000000001E-6</v>
      </c>
      <c r="I1021">
        <v>189.6635</v>
      </c>
      <c r="J1021">
        <v>-192.6891</v>
      </c>
      <c r="K1021">
        <v>1.092384</v>
      </c>
      <c r="L1021">
        <v>349.2441</v>
      </c>
      <c r="M1021">
        <v>0.20830899999999999</v>
      </c>
      <c r="N1021">
        <v>0</v>
      </c>
      <c r="O1021">
        <v>-0.97797990000000001</v>
      </c>
      <c r="P1021">
        <v>8.5106100000000004E-2</v>
      </c>
      <c r="Q1021">
        <v>2.520853E-2</v>
      </c>
      <c r="R1021">
        <v>-0.99605319999999997</v>
      </c>
      <c r="S1021">
        <v>-2.3544309999999999E-2</v>
      </c>
      <c r="T1021">
        <v>-2.059948E-2</v>
      </c>
      <c r="U1021">
        <v>-3.0164490000000002</v>
      </c>
      <c r="V1021">
        <v>0.1252926</v>
      </c>
      <c r="W1021">
        <v>3.430391E-2</v>
      </c>
      <c r="X1021">
        <v>0.99152659999999904</v>
      </c>
      <c r="Y1021">
        <v>0.21595320000000001</v>
      </c>
      <c r="Z1021">
        <v>6.5234209999999997E-3</v>
      </c>
      <c r="AA1021">
        <v>0.97638199999999997</v>
      </c>
      <c r="AB1021">
        <v>35</v>
      </c>
      <c r="AC1021">
        <v>-1.3133999999999999</v>
      </c>
      <c r="AD1021">
        <v>-1.09238509687</v>
      </c>
      <c r="AE1021">
        <v>-159.5806</v>
      </c>
      <c r="AF1021">
        <v>34.527744844885099</v>
      </c>
      <c r="AG1021">
        <v>-1.09238509687</v>
      </c>
      <c r="AH1021">
        <v>155.79839957193201</v>
      </c>
      <c r="AI1021">
        <v>90.392208644720696</v>
      </c>
      <c r="AJ1021">
        <v>77.504181441562395</v>
      </c>
      <c r="AK1021">
        <v>159.58226649113899</v>
      </c>
    </row>
    <row r="1022" spans="1:37" x14ac:dyDescent="0.2">
      <c r="A1022" t="str">
        <f>"20200111153420822"</f>
        <v>20200111153420822</v>
      </c>
      <c r="B1022" t="str">
        <f>"1578728060817010"</f>
        <v>1578728060817010</v>
      </c>
      <c r="C1022" t="s">
        <v>37</v>
      </c>
      <c r="D1022">
        <v>4.7272249999999998</v>
      </c>
      <c r="E1022">
        <v>0.5280397</v>
      </c>
      <c r="F1022" t="s">
        <v>51</v>
      </c>
      <c r="G1022">
        <v>-194.59399999999999</v>
      </c>
      <c r="H1022" s="1">
        <v>-1.1503299999999901E-5</v>
      </c>
      <c r="I1022">
        <v>149.59119999999999</v>
      </c>
      <c r="J1022">
        <v>-192.62139999999999</v>
      </c>
      <c r="K1022">
        <v>1.0927559999999901</v>
      </c>
      <c r="L1022">
        <v>348.8793</v>
      </c>
      <c r="M1022">
        <v>0.1971976</v>
      </c>
      <c r="N1022">
        <v>0</v>
      </c>
      <c r="O1022">
        <v>-0.98028369999999998</v>
      </c>
      <c r="P1022">
        <v>8.0983689999999997E-2</v>
      </c>
      <c r="Q1022">
        <v>2.7137390000000001E-2</v>
      </c>
      <c r="R1022">
        <v>-0.99634639999999997</v>
      </c>
      <c r="S1022">
        <v>-2.8762820000000001E-2</v>
      </c>
      <c r="T1022">
        <v>-1.649523E-2</v>
      </c>
      <c r="U1022">
        <v>-3.0147710000000001</v>
      </c>
      <c r="V1022">
        <v>0.1181463</v>
      </c>
      <c r="W1022">
        <v>3.6342069999999997E-2</v>
      </c>
      <c r="X1022">
        <v>0.99233099999999996</v>
      </c>
      <c r="Y1022">
        <v>0.20655679999999901</v>
      </c>
      <c r="Z1022">
        <v>5.2510400000000002E-3</v>
      </c>
      <c r="AA1022">
        <v>0.97842050000000003</v>
      </c>
      <c r="AB1022">
        <v>35</v>
      </c>
      <c r="AC1022">
        <v>-1.9726000000000199</v>
      </c>
      <c r="AD1022">
        <v>-1.0927675032999999</v>
      </c>
      <c r="AE1022">
        <v>-199.28809999999999</v>
      </c>
      <c r="AF1022">
        <v>41.234839585564103</v>
      </c>
      <c r="AG1022">
        <v>-1.0927675032999999</v>
      </c>
      <c r="AH1022">
        <v>194.97932655229999</v>
      </c>
      <c r="AI1022">
        <v>90.314164035848194</v>
      </c>
      <c r="AJ1022">
        <v>78.058856949330007</v>
      </c>
      <c r="AK1022">
        <v>199.29486676593601</v>
      </c>
    </row>
    <row r="1023" spans="1:37" x14ac:dyDescent="0.2">
      <c r="A1023" t="str">
        <f>"20200111153420845"</f>
        <v>20200111153420845</v>
      </c>
      <c r="B1023" t="str">
        <f>"1578728060837506"</f>
        <v>1578728060837506</v>
      </c>
      <c r="C1023" t="s">
        <v>37</v>
      </c>
      <c r="D1023">
        <v>4.7006509999999997</v>
      </c>
      <c r="E1023">
        <v>0.52723790000000004</v>
      </c>
      <c r="F1023" t="s">
        <v>50</v>
      </c>
      <c r="G1023">
        <v>-192.28049999999999</v>
      </c>
      <c r="H1023" s="1">
        <v>1.4086109999999901E-6</v>
      </c>
      <c r="I1023">
        <v>295.04880000000003</v>
      </c>
      <c r="J1023">
        <v>-192.5591</v>
      </c>
      <c r="K1023">
        <v>1.0931010000000001</v>
      </c>
      <c r="L1023">
        <v>348.52319999999997</v>
      </c>
      <c r="M1023">
        <v>0.18666830000000001</v>
      </c>
      <c r="N1023">
        <v>0</v>
      </c>
      <c r="O1023">
        <v>-0.98234560000000004</v>
      </c>
      <c r="P1023">
        <v>7.4694869999999997E-2</v>
      </c>
      <c r="Q1023">
        <v>2.7974829999999999E-2</v>
      </c>
      <c r="R1023">
        <v>-0.99681439999999999</v>
      </c>
      <c r="S1023">
        <v>1.9073489999999999E-2</v>
      </c>
      <c r="T1023">
        <v>-6.1125869999999999E-2</v>
      </c>
      <c r="U1023">
        <v>-3.011139</v>
      </c>
      <c r="V1023">
        <v>0.11374139999999899</v>
      </c>
      <c r="W1023">
        <v>3.7198370000000001E-2</v>
      </c>
      <c r="X1023">
        <v>0.99281379999999997</v>
      </c>
      <c r="Y1023">
        <v>0.1804568</v>
      </c>
      <c r="Z1023">
        <v>1.9593900000000001E-2</v>
      </c>
      <c r="AA1023">
        <v>0.98338769999999998</v>
      </c>
      <c r="AB1023">
        <v>35</v>
      </c>
      <c r="AC1023">
        <v>0.27860000000001101</v>
      </c>
      <c r="AD1023">
        <v>-1.093099591389</v>
      </c>
      <c r="AE1023">
        <v>-53.474399999999903</v>
      </c>
      <c r="AF1023">
        <v>9.7049769197421494</v>
      </c>
      <c r="AG1023">
        <v>-1.093099591389</v>
      </c>
      <c r="AH1023">
        <v>52.564382045727903</v>
      </c>
      <c r="AI1023">
        <v>91.171524704221994</v>
      </c>
      <c r="AJ1023">
        <v>79.539265232376906</v>
      </c>
      <c r="AK1023">
        <v>53.463966403351201</v>
      </c>
    </row>
    <row r="1024" spans="1:37" x14ac:dyDescent="0.2">
      <c r="A1024" t="str">
        <f>"20200111153420867"</f>
        <v>20200111153420867</v>
      </c>
      <c r="B1024" t="str">
        <f>"1578728060857026"</f>
        <v>1578728060857026</v>
      </c>
      <c r="C1024" t="s">
        <v>37</v>
      </c>
      <c r="D1024">
        <v>4.7044699999999997</v>
      </c>
      <c r="E1024">
        <v>0.52606119999999901</v>
      </c>
      <c r="F1024" t="s">
        <v>50</v>
      </c>
      <c r="G1024">
        <v>-192.42740000000001</v>
      </c>
      <c r="H1024" s="1">
        <v>3.320191E-6</v>
      </c>
      <c r="I1024">
        <v>287.06229999999999</v>
      </c>
      <c r="J1024">
        <v>-192.50149999999999</v>
      </c>
      <c r="K1024">
        <v>1.093418</v>
      </c>
      <c r="L1024">
        <v>348.17290000000003</v>
      </c>
      <c r="M1024">
        <v>0.17659849999999999</v>
      </c>
      <c r="N1024">
        <v>0</v>
      </c>
      <c r="O1024">
        <v>-0.98420830000000004</v>
      </c>
      <c r="P1024">
        <v>6.9382719999999995E-2</v>
      </c>
      <c r="Q1024">
        <v>2.883167E-2</v>
      </c>
      <c r="R1024">
        <v>-0.99717350000000005</v>
      </c>
      <c r="S1024">
        <v>6.4544679999999997E-3</v>
      </c>
      <c r="T1024">
        <v>-5.3544639999999998E-2</v>
      </c>
      <c r="U1024">
        <v>-3.0106199999999999</v>
      </c>
      <c r="V1024">
        <v>0.1088456</v>
      </c>
      <c r="W1024">
        <v>3.8073699999999898E-2</v>
      </c>
      <c r="X1024">
        <v>0.99332929999999997</v>
      </c>
      <c r="Y1024">
        <v>0.17450099999999999</v>
      </c>
      <c r="Z1024">
        <v>1.7226760000000001E-2</v>
      </c>
      <c r="AA1024">
        <v>0.98450629999999995</v>
      </c>
      <c r="AB1024">
        <v>35</v>
      </c>
      <c r="AC1024">
        <v>7.4099999999987107E-2</v>
      </c>
      <c r="AD1024">
        <v>-1.0934146798090001</v>
      </c>
      <c r="AE1024">
        <v>-61.110599999999998</v>
      </c>
      <c r="AF1024">
        <v>10.716467618382399</v>
      </c>
      <c r="AG1024">
        <v>-1.0934146798090001</v>
      </c>
      <c r="AH1024">
        <v>60.143813325773699</v>
      </c>
      <c r="AI1024">
        <v>91.025376380744405</v>
      </c>
      <c r="AJ1024">
        <v>79.897024301355899</v>
      </c>
      <c r="AK1024">
        <v>61.100871640618799</v>
      </c>
    </row>
    <row r="1025" spans="1:37" x14ac:dyDescent="0.2">
      <c r="A1025" t="str">
        <f>"20200111153420889"</f>
        <v>20200111153420889</v>
      </c>
      <c r="B1025" t="str">
        <f>"1578728060877522"</f>
        <v>1578728060877522</v>
      </c>
      <c r="C1025" t="s">
        <v>37</v>
      </c>
      <c r="D1025">
        <v>4.7666829999999996</v>
      </c>
      <c r="E1025">
        <v>0.52491919999999903</v>
      </c>
      <c r="F1025" t="s">
        <v>50</v>
      </c>
      <c r="G1025">
        <v>-192.51560000000001</v>
      </c>
      <c r="H1025" s="1">
        <v>3.251195E-6</v>
      </c>
      <c r="I1025">
        <v>287.67259999999999</v>
      </c>
      <c r="J1025">
        <v>-192.45050000000001</v>
      </c>
      <c r="K1025">
        <v>1.0936969999999999</v>
      </c>
      <c r="L1025">
        <v>347.84440000000001</v>
      </c>
      <c r="M1025">
        <v>0.1674157</v>
      </c>
      <c r="N1025">
        <v>0</v>
      </c>
      <c r="O1025">
        <v>-0.98581419999999997</v>
      </c>
      <c r="P1025">
        <v>6.563397E-2</v>
      </c>
      <c r="Q1025">
        <v>2.865556E-2</v>
      </c>
      <c r="R1025">
        <v>-0.99743269999999995</v>
      </c>
      <c r="S1025">
        <v>-7.0190429999999896E-4</v>
      </c>
      <c r="T1025">
        <v>-5.4402230000000003E-2</v>
      </c>
      <c r="U1025">
        <v>-3.0101619999999998</v>
      </c>
      <c r="V1025">
        <v>0.103281399999999</v>
      </c>
      <c r="W1025">
        <v>3.7924079999999999E-2</v>
      </c>
      <c r="X1025">
        <v>0.9939289</v>
      </c>
      <c r="Y1025">
        <v>0.16765729999999901</v>
      </c>
      <c r="Z1025">
        <v>1.7559430000000001E-2</v>
      </c>
      <c r="AA1025">
        <v>0.98568889999999998</v>
      </c>
      <c r="AB1025">
        <v>35</v>
      </c>
      <c r="AC1025">
        <v>-6.5100000000001004E-2</v>
      </c>
      <c r="AD1025">
        <v>-1.09369374880499</v>
      </c>
      <c r="AE1025">
        <v>-60.171799999999998</v>
      </c>
      <c r="AF1025">
        <v>10.135253727237901</v>
      </c>
      <c r="AG1025">
        <v>-1.09369374880499</v>
      </c>
      <c r="AH1025">
        <v>59.291949184725702</v>
      </c>
      <c r="AI1025">
        <v>91.041647340030195</v>
      </c>
      <c r="AJ1025">
        <v>80.299722791107499</v>
      </c>
      <c r="AK1025">
        <v>60.161904659474999</v>
      </c>
    </row>
    <row r="1026" spans="1:37" x14ac:dyDescent="0.2">
      <c r="A1026" t="str">
        <f>"20200111153420912"</f>
        <v>20200111153420912</v>
      </c>
      <c r="B1026" t="str">
        <f>"1578728060907778"</f>
        <v>1578728060907778</v>
      </c>
      <c r="C1026" t="s">
        <v>37</v>
      </c>
      <c r="D1026">
        <v>4.0803060000000002</v>
      </c>
      <c r="E1026">
        <v>0.52411509999999994</v>
      </c>
      <c r="F1026" t="s">
        <v>50</v>
      </c>
      <c r="G1026">
        <v>-192.51050000000001</v>
      </c>
      <c r="H1026" s="1">
        <v>3.1350940000000001E-6</v>
      </c>
      <c r="I1026">
        <v>289.010999999999</v>
      </c>
      <c r="J1026">
        <v>-192.39619999999999</v>
      </c>
      <c r="K1026">
        <v>1.094009</v>
      </c>
      <c r="L1026">
        <v>347.47160000000002</v>
      </c>
      <c r="M1026">
        <v>0.15731120000000001</v>
      </c>
      <c r="N1026">
        <v>0</v>
      </c>
      <c r="O1026">
        <v>-0.98747969999999896</v>
      </c>
      <c r="P1026">
        <v>6.0066929999999998E-2</v>
      </c>
      <c r="Q1026">
        <v>2.7519080000000001E-2</v>
      </c>
      <c r="R1026">
        <v>-0.99781529999999996</v>
      </c>
      <c r="S1026">
        <v>-3.067017E-3</v>
      </c>
      <c r="T1026">
        <v>-5.5945990000000001E-2</v>
      </c>
      <c r="U1026">
        <v>-3.0095209999999999</v>
      </c>
      <c r="V1026">
        <v>9.8588560000000006E-2</v>
      </c>
      <c r="W1026">
        <v>3.6763320000000002E-2</v>
      </c>
      <c r="X1026">
        <v>0.99444900000000003</v>
      </c>
      <c r="Y1026">
        <v>0.158328</v>
      </c>
      <c r="Z1026">
        <v>1.8122059999999999E-2</v>
      </c>
      <c r="AA1026">
        <v>0.98722019999999899</v>
      </c>
      <c r="AB1026">
        <v>35</v>
      </c>
      <c r="AC1026">
        <v>-0.114300000000014</v>
      </c>
      <c r="AD1026">
        <v>-1.094005864906</v>
      </c>
      <c r="AE1026">
        <v>-58.460599999999999</v>
      </c>
      <c r="AF1026">
        <v>9.3067547709275296</v>
      </c>
      <c r="AG1026">
        <v>-1.094005864906</v>
      </c>
      <c r="AH1026">
        <v>57.694425134729102</v>
      </c>
      <c r="AI1026">
        <v>91.072456095334999</v>
      </c>
      <c r="AJ1026">
        <v>80.836489210268596</v>
      </c>
      <c r="AK1026">
        <v>58.450485240291201</v>
      </c>
    </row>
    <row r="1027" spans="1:37" x14ac:dyDescent="0.2">
      <c r="A1027" t="str">
        <f>"20200111153420934"</f>
        <v>20200111153420934</v>
      </c>
      <c r="B1027" t="str">
        <f>"1578728060927298"</f>
        <v>1578728060927298</v>
      </c>
      <c r="C1027" t="s">
        <v>37</v>
      </c>
      <c r="D1027">
        <v>4.7965980000000004</v>
      </c>
      <c r="E1027">
        <v>0.52327139999999905</v>
      </c>
      <c r="F1027" t="s">
        <v>50</v>
      </c>
      <c r="G1027">
        <v>-192.63310000000001</v>
      </c>
      <c r="H1027" s="1">
        <v>1.5037779999999999E-6</v>
      </c>
      <c r="I1027">
        <v>294.69110000000001</v>
      </c>
      <c r="J1027">
        <v>-192.34880000000001</v>
      </c>
      <c r="K1027">
        <v>1.0943039999999999</v>
      </c>
      <c r="L1027">
        <v>347.12380000000002</v>
      </c>
      <c r="M1027">
        <v>0.14818020000000001</v>
      </c>
      <c r="N1027">
        <v>0</v>
      </c>
      <c r="O1027">
        <v>-0.98889369999999999</v>
      </c>
      <c r="P1027">
        <v>5.5027149999999997E-2</v>
      </c>
      <c r="Q1027">
        <v>2.6488029999999999E-2</v>
      </c>
      <c r="R1027">
        <v>-0.99813379999999996</v>
      </c>
      <c r="S1027">
        <v>-1.350403E-2</v>
      </c>
      <c r="T1027">
        <v>-6.2371019999999999E-2</v>
      </c>
      <c r="U1027">
        <v>-3.0090939999999899</v>
      </c>
      <c r="V1027">
        <v>9.4367699999999999E-2</v>
      </c>
      <c r="W1027">
        <v>3.5699229999999998E-2</v>
      </c>
      <c r="X1027">
        <v>0.99489709999999998</v>
      </c>
      <c r="Y1027">
        <v>0.1526255</v>
      </c>
      <c r="Z1027">
        <v>2.025834E-2</v>
      </c>
      <c r="AA1027">
        <v>0.98807639999999997</v>
      </c>
      <c r="AB1027">
        <v>35</v>
      </c>
      <c r="AC1027">
        <v>-0.284300000000001</v>
      </c>
      <c r="AD1027">
        <v>-1.094302496222</v>
      </c>
      <c r="AE1027">
        <v>-52.432699999999997</v>
      </c>
      <c r="AF1027">
        <v>8.0476560418328908</v>
      </c>
      <c r="AG1027">
        <v>-1.094302496222</v>
      </c>
      <c r="AH1027">
        <v>51.789097848666401</v>
      </c>
      <c r="AI1027">
        <v>91.196127408967797</v>
      </c>
      <c r="AJ1027">
        <v>81.167287187531002</v>
      </c>
      <c r="AK1027">
        <v>52.4220652178034</v>
      </c>
    </row>
    <row r="1028" spans="1:37" x14ac:dyDescent="0.2">
      <c r="A1028" t="str">
        <f>"20200111153420956"</f>
        <v>20200111153420956</v>
      </c>
      <c r="B1028" t="str">
        <f>"1578728060947794"</f>
        <v>1578728060947794</v>
      </c>
      <c r="C1028" t="s">
        <v>37</v>
      </c>
      <c r="D1028">
        <v>4.8047300000000002</v>
      </c>
      <c r="E1028">
        <v>0.52232959999999995</v>
      </c>
      <c r="F1028" t="s">
        <v>50</v>
      </c>
      <c r="G1028">
        <v>-192.6994</v>
      </c>
      <c r="H1028" s="1">
        <v>2.2928009999999999E-7</v>
      </c>
      <c r="I1028">
        <v>298.31450000000001</v>
      </c>
      <c r="J1028">
        <v>-192.30240000000001</v>
      </c>
      <c r="K1028">
        <v>1.094614</v>
      </c>
      <c r="L1028">
        <v>346.76029999999997</v>
      </c>
      <c r="M1028">
        <v>0.13893259999999999</v>
      </c>
      <c r="N1028">
        <v>0</v>
      </c>
      <c r="O1028">
        <v>-0.9902377</v>
      </c>
      <c r="P1028">
        <v>4.927368E-2</v>
      </c>
      <c r="Q1028">
        <v>2.548984E-2</v>
      </c>
      <c r="R1028">
        <v>-0.99846039999999903</v>
      </c>
      <c r="S1028">
        <v>-2.1606449999999999E-2</v>
      </c>
      <c r="T1028">
        <v>-6.7452789999999999E-2</v>
      </c>
      <c r="U1028">
        <v>-3.0086059999999999</v>
      </c>
      <c r="V1028">
        <v>9.0751079999999998E-2</v>
      </c>
      <c r="W1028">
        <v>3.4646080000000003E-2</v>
      </c>
      <c r="X1028">
        <v>0.99527080000000001</v>
      </c>
      <c r="Y1028">
        <v>0.1460476</v>
      </c>
      <c r="Z1028">
        <v>2.1967730000000001E-2</v>
      </c>
      <c r="AA1028">
        <v>0.98903359999999996</v>
      </c>
      <c r="AB1028">
        <v>35</v>
      </c>
      <c r="AC1028">
        <v>-0.39699999999999103</v>
      </c>
      <c r="AD1028">
        <v>-1.0946137707199</v>
      </c>
      <c r="AE1028">
        <v>-48.445799999999899</v>
      </c>
      <c r="AF1028">
        <v>7.1206428737786602</v>
      </c>
      <c r="AG1028">
        <v>-1.0946137707199</v>
      </c>
      <c r="AH1028">
        <v>47.896294917128699</v>
      </c>
      <c r="AI1028">
        <v>91.294972393756893</v>
      </c>
      <c r="AJ1028">
        <v>81.543891640001704</v>
      </c>
      <c r="AK1028">
        <v>48.435078208169699</v>
      </c>
    </row>
    <row r="1029" spans="1:37" x14ac:dyDescent="0.2">
      <c r="A1029" t="str">
        <f>"20200111153420980"</f>
        <v>20200111153420980</v>
      </c>
      <c r="B1029" t="str">
        <f>"1578728060967317"</f>
        <v>1578728060967317</v>
      </c>
      <c r="C1029" t="s">
        <v>37</v>
      </c>
      <c r="D1029">
        <v>4.8162459999999996</v>
      </c>
      <c r="E1029">
        <v>0.5214801</v>
      </c>
      <c r="F1029" t="s">
        <v>50</v>
      </c>
      <c r="G1029">
        <v>-192.80670000000001</v>
      </c>
      <c r="H1029" s="1">
        <v>3.234845E-7</v>
      </c>
      <c r="I1029">
        <v>297.98649999999998</v>
      </c>
      <c r="J1029">
        <v>-192.2603</v>
      </c>
      <c r="K1029">
        <v>1.0949249999999999</v>
      </c>
      <c r="L1029">
        <v>346.40570000000002</v>
      </c>
      <c r="M1029">
        <v>0.13023170000000001</v>
      </c>
      <c r="N1029">
        <v>0</v>
      </c>
      <c r="O1029">
        <v>-0.99142169999999896</v>
      </c>
      <c r="P1029">
        <v>4.4455599999999998E-2</v>
      </c>
      <c r="Q1029">
        <v>2.547025E-2</v>
      </c>
      <c r="R1029">
        <v>-0.99868690000000004</v>
      </c>
      <c r="S1029">
        <v>-3.1097409999999999E-2</v>
      </c>
      <c r="T1029">
        <v>-6.7504640000000005E-2</v>
      </c>
      <c r="U1029">
        <v>-3.0078740000000002</v>
      </c>
      <c r="V1029">
        <v>8.6780960000000004E-2</v>
      </c>
      <c r="W1029">
        <v>3.4583650000000001E-2</v>
      </c>
      <c r="X1029">
        <v>0.99562700000000004</v>
      </c>
      <c r="Y1029">
        <v>0.1404801</v>
      </c>
      <c r="Z1029">
        <v>2.2038459999999999E-2</v>
      </c>
      <c r="AA1029">
        <v>0.9898382</v>
      </c>
      <c r="AB1029">
        <v>35</v>
      </c>
      <c r="AC1029">
        <v>-0.54640000000000499</v>
      </c>
      <c r="AD1029">
        <v>-1.0949246765154901</v>
      </c>
      <c r="AE1029">
        <v>-48.419199999999996</v>
      </c>
      <c r="AF1029">
        <v>6.8443481996193203</v>
      </c>
      <c r="AG1029">
        <v>-1.0949246765154901</v>
      </c>
      <c r="AH1029">
        <v>47.911131242286899</v>
      </c>
      <c r="AI1029">
        <v>91.296013533283997</v>
      </c>
      <c r="AJ1029">
        <v>81.870013811246395</v>
      </c>
      <c r="AK1029">
        <v>48.409921082775099</v>
      </c>
    </row>
    <row r="1030" spans="1:37" x14ac:dyDescent="0.2">
      <c r="A1030" t="str">
        <f>"20200111153421001"</f>
        <v>20200111153421001</v>
      </c>
      <c r="B1030" t="str">
        <f>"1578728060997571"</f>
        <v>1578728060997571</v>
      </c>
      <c r="C1030" t="s">
        <v>37</v>
      </c>
      <c r="D1030">
        <v>4.825234</v>
      </c>
      <c r="E1030">
        <v>0.52049570000000001</v>
      </c>
      <c r="F1030" t="s">
        <v>50</v>
      </c>
      <c r="G1030">
        <v>-192.8717</v>
      </c>
      <c r="H1030" s="1">
        <v>2.0416959999999901E-7</v>
      </c>
      <c r="I1030">
        <v>298.45699999999999</v>
      </c>
      <c r="J1030">
        <v>-192.22239999999999</v>
      </c>
      <c r="K1030">
        <v>1.0952249999999999</v>
      </c>
      <c r="L1030">
        <v>346.06220000000002</v>
      </c>
      <c r="M1030">
        <v>0.12212389999999999</v>
      </c>
      <c r="N1030">
        <v>0</v>
      </c>
      <c r="O1030">
        <v>-0.99245519999999998</v>
      </c>
      <c r="P1030">
        <v>3.966484E-2</v>
      </c>
      <c r="Q1030">
        <v>2.578799E-2</v>
      </c>
      <c r="R1030">
        <v>-0.9988804</v>
      </c>
      <c r="S1030">
        <v>-3.8345339999999999E-2</v>
      </c>
      <c r="T1030">
        <v>-6.8674680000000002E-2</v>
      </c>
      <c r="U1030">
        <v>-3.00738499999999</v>
      </c>
      <c r="V1030">
        <v>8.3393949999999994E-2</v>
      </c>
      <c r="W1030">
        <v>3.485576E-2</v>
      </c>
      <c r="X1030">
        <v>0.99590689999999904</v>
      </c>
      <c r="Y1030">
        <v>0.13477169999999999</v>
      </c>
      <c r="Z1030">
        <v>2.2467939999999999E-2</v>
      </c>
      <c r="AA1030">
        <v>0.99062190000000006</v>
      </c>
      <c r="AB1030">
        <v>36</v>
      </c>
      <c r="AC1030">
        <v>-0.64930000000000998</v>
      </c>
      <c r="AD1030">
        <v>-1.0952247958304</v>
      </c>
      <c r="AE1030">
        <v>-47.605200000000004</v>
      </c>
      <c r="AF1030">
        <v>6.4551002784382101</v>
      </c>
      <c r="AG1030">
        <v>-1.0952247958304</v>
      </c>
      <c r="AH1030">
        <v>47.144577696876702</v>
      </c>
      <c r="AI1030">
        <v>91.318512367298993</v>
      </c>
      <c r="AJ1030">
        <v>82.203463781093603</v>
      </c>
      <c r="AK1030">
        <v>47.597048681351502</v>
      </c>
    </row>
    <row r="1031" spans="1:37" x14ac:dyDescent="0.2">
      <c r="A1031" t="str">
        <f>"20200111153421023"</f>
        <v>20200111153421023</v>
      </c>
      <c r="B1031" t="str">
        <f>"1578728061017090"</f>
        <v>1578728061017090</v>
      </c>
      <c r="C1031" t="s">
        <v>37</v>
      </c>
      <c r="D1031">
        <v>4.8701270000000001</v>
      </c>
      <c r="E1031">
        <v>0.51078159999999995</v>
      </c>
      <c r="F1031" t="s">
        <v>50</v>
      </c>
      <c r="G1031">
        <v>-192.92439999999999</v>
      </c>
      <c r="H1031" s="1">
        <v>1.52935799999999E-7</v>
      </c>
      <c r="I1031">
        <v>298.74799999999999</v>
      </c>
      <c r="J1031">
        <v>-192.18510000000001</v>
      </c>
      <c r="K1031">
        <v>1.0955269999999999</v>
      </c>
      <c r="L1031">
        <v>345.69920000000002</v>
      </c>
      <c r="M1031">
        <v>0.113841899999999</v>
      </c>
      <c r="N1031">
        <v>0</v>
      </c>
      <c r="O1031">
        <v>-0.99344120000000002</v>
      </c>
      <c r="P1031">
        <v>3.4262620000000001E-2</v>
      </c>
      <c r="Q1031">
        <v>2.6142559999999999E-2</v>
      </c>
      <c r="R1031">
        <v>-0.99907119999999905</v>
      </c>
      <c r="S1031">
        <v>-4.4616699999999898E-2</v>
      </c>
      <c r="T1031">
        <v>-6.9603319999999996E-2</v>
      </c>
      <c r="U1031">
        <v>-3.0068969999999999</v>
      </c>
      <c r="V1031">
        <v>8.0449279999999998E-2</v>
      </c>
      <c r="W1031">
        <v>3.51536E-2</v>
      </c>
      <c r="X1031">
        <v>0.99613859999999999</v>
      </c>
      <c r="Y1031">
        <v>0.12857189999999999</v>
      </c>
      <c r="Z1031">
        <v>2.2818660000000001E-2</v>
      </c>
      <c r="AA1031">
        <v>0.99143760000000003</v>
      </c>
      <c r="AB1031">
        <v>36</v>
      </c>
      <c r="AC1031">
        <v>-0.73929999999998497</v>
      </c>
      <c r="AD1031">
        <v>-1.0955268470641999</v>
      </c>
      <c r="AE1031">
        <v>-46.9512</v>
      </c>
      <c r="AF1031">
        <v>6.0765057969250398</v>
      </c>
      <c r="AG1031">
        <v>-1.0955268470641999</v>
      </c>
      <c r="AH1031">
        <v>46.53643114234</v>
      </c>
      <c r="AI1031">
        <v>91.3372191567112</v>
      </c>
      <c r="AJ1031">
        <v>82.560679021722393</v>
      </c>
      <c r="AK1031">
        <v>46.9442597687774</v>
      </c>
    </row>
    <row r="1032" spans="1:37" x14ac:dyDescent="0.2">
      <c r="A1032" t="str">
        <f>"20200111153421048"</f>
        <v>20200111153421048</v>
      </c>
      <c r="B1032" t="str">
        <f>"1578728061037586"</f>
        <v>1578728061037586</v>
      </c>
      <c r="C1032" t="s">
        <v>37</v>
      </c>
      <c r="D1032">
        <v>4.8855449999999996</v>
      </c>
      <c r="E1032">
        <v>0.5104706</v>
      </c>
      <c r="F1032" t="s">
        <v>39</v>
      </c>
      <c r="G1032">
        <v>-191.96420000000001</v>
      </c>
      <c r="H1032" s="1">
        <v>-3.4012289999999999E-6</v>
      </c>
      <c r="I1032">
        <v>306.29919999999998</v>
      </c>
      <c r="J1032">
        <v>-192.14859999999999</v>
      </c>
      <c r="K1032">
        <v>1.095828</v>
      </c>
      <c r="L1032">
        <v>345.31439999999998</v>
      </c>
      <c r="M1032">
        <v>0.105400299999999</v>
      </c>
      <c r="N1032">
        <v>0</v>
      </c>
      <c r="O1032">
        <v>-0.99437419999999999</v>
      </c>
      <c r="P1032">
        <v>2.7174279999999999E-2</v>
      </c>
      <c r="Q1032">
        <v>2.6689350000000001E-2</v>
      </c>
      <c r="R1032">
        <v>-0.99927449999999995</v>
      </c>
      <c r="S1032">
        <v>1.6845699999999901E-2</v>
      </c>
      <c r="T1032">
        <v>-8.3537459999999994E-2</v>
      </c>
      <c r="U1032">
        <v>-3.0043639999999998</v>
      </c>
      <c r="V1032">
        <v>7.9034709999999994E-2</v>
      </c>
      <c r="W1032">
        <v>3.5609170000000002E-2</v>
      </c>
      <c r="X1032">
        <v>0.99623569999999995</v>
      </c>
      <c r="Y1032">
        <v>9.9830730000000006E-2</v>
      </c>
      <c r="Z1032">
        <v>2.749279E-2</v>
      </c>
      <c r="AA1032">
        <v>0.99462459999999997</v>
      </c>
      <c r="AB1032">
        <v>36</v>
      </c>
      <c r="AC1032">
        <v>0.18439999999998199</v>
      </c>
      <c r="AD1032">
        <v>-1.095831401229</v>
      </c>
      <c r="AE1032">
        <v>-39.015199999999901</v>
      </c>
      <c r="AF1032">
        <v>3.9259716008763701</v>
      </c>
      <c r="AG1032">
        <v>-1.095831401229</v>
      </c>
      <c r="AH1032">
        <v>38.786695237525699</v>
      </c>
      <c r="AI1032">
        <v>91.610110984163896</v>
      </c>
      <c r="AJ1032">
        <v>84.220232359881294</v>
      </c>
      <c r="AK1032">
        <v>39.000279831297398</v>
      </c>
    </row>
    <row r="1033" spans="1:37" x14ac:dyDescent="0.2">
      <c r="A1033" t="str">
        <f>"20200111153421069"</f>
        <v>20200111153421069</v>
      </c>
      <c r="B1033" t="str">
        <f>"1578728061057106"</f>
        <v>1578728061057106</v>
      </c>
      <c r="C1033" t="s">
        <v>37</v>
      </c>
      <c r="D1033">
        <v>4.8906210000000003</v>
      </c>
      <c r="E1033">
        <v>0.51007539999999996</v>
      </c>
      <c r="F1033" t="s">
        <v>39</v>
      </c>
      <c r="G1033">
        <v>-192.16810000000001</v>
      </c>
      <c r="H1033" s="1">
        <v>-3.3622280000000001E-6</v>
      </c>
      <c r="I1033">
        <v>306.08179999999999</v>
      </c>
      <c r="J1033">
        <v>-192.11859999999999</v>
      </c>
      <c r="K1033">
        <v>1.096104</v>
      </c>
      <c r="L1033">
        <v>344.97250000000003</v>
      </c>
      <c r="M1033">
        <v>9.821249E-2</v>
      </c>
      <c r="N1033">
        <v>0</v>
      </c>
      <c r="O1033">
        <v>-0.99511149999999904</v>
      </c>
      <c r="P1033">
        <v>2.210931E-2</v>
      </c>
      <c r="Q1033">
        <v>2.6945449999999999E-2</v>
      </c>
      <c r="R1033">
        <v>-0.99939239999999996</v>
      </c>
      <c r="S1033">
        <v>-1.495361E-3</v>
      </c>
      <c r="T1033">
        <v>-8.391941E-2</v>
      </c>
      <c r="U1033">
        <v>-3.0044559999999998</v>
      </c>
      <c r="V1033">
        <v>7.6861990000000005E-2</v>
      </c>
      <c r="W1033">
        <v>3.5800739999999998E-2</v>
      </c>
      <c r="X1033">
        <v>0.99639880000000003</v>
      </c>
      <c r="Y1033">
        <v>9.8712770000000005E-2</v>
      </c>
      <c r="Z1033">
        <v>2.76500999999999E-2</v>
      </c>
      <c r="AA1033">
        <v>0.994731699999999</v>
      </c>
      <c r="AB1033">
        <v>36</v>
      </c>
      <c r="AC1033">
        <v>-4.9500000000023102E-2</v>
      </c>
      <c r="AD1033">
        <v>-1.096107362228</v>
      </c>
      <c r="AE1033">
        <v>-38.890700000000002</v>
      </c>
      <c r="AF1033">
        <v>3.86594736419638</v>
      </c>
      <c r="AG1033">
        <v>-1.096107362228</v>
      </c>
      <c r="AH1033">
        <v>38.6670842593674</v>
      </c>
      <c r="AI1033">
        <v>91.615694788759498</v>
      </c>
      <c r="AJ1033">
        <v>84.290523418655496</v>
      </c>
      <c r="AK1033">
        <v>38.8753187188643</v>
      </c>
    </row>
    <row r="1034" spans="1:37" x14ac:dyDescent="0.2">
      <c r="A1034" t="str">
        <f>"20200111153421090"</f>
        <v>20200111153421090</v>
      </c>
      <c r="B1034" t="str">
        <f>"1578728061087362"</f>
        <v>1578728061087362</v>
      </c>
      <c r="C1034" t="s">
        <v>37</v>
      </c>
      <c r="D1034">
        <v>4.8190480000000004</v>
      </c>
      <c r="E1034">
        <v>0.50926949999999904</v>
      </c>
      <c r="F1034" t="s">
        <v>39</v>
      </c>
      <c r="G1034">
        <v>-192.28729999999999</v>
      </c>
      <c r="H1034" s="1">
        <v>-3.9761669999999999E-6</v>
      </c>
      <c r="I1034">
        <v>307.4787</v>
      </c>
      <c r="J1034">
        <v>-192.09039999999999</v>
      </c>
      <c r="K1034">
        <v>1.0963959999999999</v>
      </c>
      <c r="L1034">
        <v>344.62520000000001</v>
      </c>
      <c r="M1034">
        <v>9.1241999999999907E-2</v>
      </c>
      <c r="N1034">
        <v>0</v>
      </c>
      <c r="O1034">
        <v>-0.99577669999999996</v>
      </c>
      <c r="P1034">
        <v>1.796116E-2</v>
      </c>
      <c r="Q1034">
        <v>2.840142E-2</v>
      </c>
      <c r="R1034">
        <v>-0.99943539999999997</v>
      </c>
      <c r="S1034">
        <v>-1.351929E-2</v>
      </c>
      <c r="T1034">
        <v>-8.7834120000000002E-2</v>
      </c>
      <c r="U1034">
        <v>-3.004486</v>
      </c>
      <c r="V1034">
        <v>7.4013659999999995E-2</v>
      </c>
      <c r="W1034">
        <v>3.7192650000000001E-2</v>
      </c>
      <c r="X1034">
        <v>0.99656339999999999</v>
      </c>
      <c r="Y1034">
        <v>9.5724719999999999E-2</v>
      </c>
      <c r="Z1034">
        <v>2.8971750000000001E-2</v>
      </c>
      <c r="AA1034">
        <v>0.99498609999999899</v>
      </c>
      <c r="AB1034">
        <v>36</v>
      </c>
      <c r="AC1034">
        <v>-0.19689999999999899</v>
      </c>
      <c r="AD1034">
        <v>-1.096399976167</v>
      </c>
      <c r="AE1034">
        <v>-37.146500000000003</v>
      </c>
      <c r="AF1034">
        <v>3.5824543982649701</v>
      </c>
      <c r="AG1034">
        <v>-1.096399976167</v>
      </c>
      <c r="AH1034">
        <v>36.941388772926203</v>
      </c>
      <c r="AI1034">
        <v>91.692074707972296</v>
      </c>
      <c r="AJ1034">
        <v>84.460964313314904</v>
      </c>
      <c r="AK1034">
        <v>37.130880367907501</v>
      </c>
    </row>
    <row r="1035" spans="1:37" x14ac:dyDescent="0.2">
      <c r="A1035" t="str">
        <f>"20200111153421112"</f>
        <v>20200111153421112</v>
      </c>
      <c r="B1035" t="str">
        <f>"1578728061107858"</f>
        <v>1578728061107858</v>
      </c>
      <c r="C1035" t="s">
        <v>37</v>
      </c>
      <c r="D1035">
        <v>4.8974949999999904</v>
      </c>
      <c r="E1035">
        <v>0.50327189999999999</v>
      </c>
      <c r="F1035" t="s">
        <v>39</v>
      </c>
      <c r="G1035">
        <v>-192.33869999999999</v>
      </c>
      <c r="H1035" s="1">
        <v>-3.490826E-6</v>
      </c>
      <c r="I1035">
        <v>306.2758</v>
      </c>
      <c r="J1035">
        <v>-192.0635</v>
      </c>
      <c r="K1035">
        <v>1.096716</v>
      </c>
      <c r="L1035">
        <v>344.26639999999998</v>
      </c>
      <c r="M1035">
        <v>8.4406560000000005E-2</v>
      </c>
      <c r="N1035">
        <v>0</v>
      </c>
      <c r="O1035">
        <v>-0.99638130000000003</v>
      </c>
      <c r="P1035">
        <v>1.438146E-2</v>
      </c>
      <c r="Q1035">
        <v>2.9772570000000002E-2</v>
      </c>
      <c r="R1035">
        <v>-0.9994537</v>
      </c>
      <c r="S1035">
        <v>-1.945496E-2</v>
      </c>
      <c r="T1035">
        <v>-8.5898279999999994E-2</v>
      </c>
      <c r="U1035">
        <v>-3.0045169999999999</v>
      </c>
      <c r="V1035">
        <v>7.0731080000000002E-2</v>
      </c>
      <c r="W1035">
        <v>3.8493010000000001E-2</v>
      </c>
      <c r="X1035">
        <v>0.99675239999999998</v>
      </c>
      <c r="Y1035">
        <v>9.0858320000000006E-2</v>
      </c>
      <c r="Z1035">
        <v>2.8365660000000001E-2</v>
      </c>
      <c r="AA1035">
        <v>0.99545980000000001</v>
      </c>
      <c r="AB1035">
        <v>36</v>
      </c>
      <c r="AC1035">
        <v>-0.27519999999998301</v>
      </c>
      <c r="AD1035">
        <v>-1.0967194908260001</v>
      </c>
      <c r="AE1035">
        <v>-37.990599999999901</v>
      </c>
      <c r="AF1035">
        <v>3.478135337596</v>
      </c>
      <c r="AG1035">
        <v>-1.0967194908260001</v>
      </c>
      <c r="AH1035">
        <v>37.800283257112099</v>
      </c>
      <c r="AI1035">
        <v>91.654899452758499</v>
      </c>
      <c r="AJ1035">
        <v>84.742819600299896</v>
      </c>
      <c r="AK1035">
        <v>37.975803261894299</v>
      </c>
    </row>
    <row r="1036" spans="1:37" x14ac:dyDescent="0.2">
      <c r="A1036" t="str">
        <f>"20200111153421136"</f>
        <v>20200111153421136</v>
      </c>
      <c r="B1036" t="str">
        <f>"1578728061127379"</f>
        <v>1578728061127379</v>
      </c>
      <c r="C1036" t="s">
        <v>37</v>
      </c>
      <c r="D1036">
        <v>4.876887</v>
      </c>
      <c r="E1036">
        <v>0.50454889999999997</v>
      </c>
      <c r="F1036" t="s">
        <v>39</v>
      </c>
      <c r="G1036">
        <v>-191.86</v>
      </c>
      <c r="H1036" s="1">
        <v>-4.4213520000000001E-6</v>
      </c>
      <c r="I1036">
        <v>309.00959999999998</v>
      </c>
      <c r="J1036">
        <v>-192.03720000000001</v>
      </c>
      <c r="K1036">
        <v>1.0970770000000001</v>
      </c>
      <c r="L1036">
        <v>343.88639999999998</v>
      </c>
      <c r="M1036">
        <v>7.7563019999999996E-2</v>
      </c>
      <c r="N1036">
        <v>0</v>
      </c>
      <c r="O1036">
        <v>-0.99693940000000003</v>
      </c>
      <c r="P1036">
        <v>9.9149449999999997E-3</v>
      </c>
      <c r="Q1036">
        <v>3.1873859999999997E-2</v>
      </c>
      <c r="R1036">
        <v>-0.99944290000000002</v>
      </c>
      <c r="S1036">
        <v>1.7333979999999999E-2</v>
      </c>
      <c r="T1036">
        <v>-9.3450779999999997E-2</v>
      </c>
      <c r="U1036">
        <v>-3.0042110000000002</v>
      </c>
      <c r="V1036">
        <v>6.8333690000000002E-2</v>
      </c>
      <c r="W1036">
        <v>4.0491779999999998E-2</v>
      </c>
      <c r="X1036">
        <v>0.99684050000000002</v>
      </c>
      <c r="Y1036">
        <v>7.1815740000000003E-2</v>
      </c>
      <c r="Z1036">
        <v>3.0910679999999999E-2</v>
      </c>
      <c r="AA1036">
        <v>0.99693880000000001</v>
      </c>
      <c r="AB1036">
        <v>36</v>
      </c>
      <c r="AC1036">
        <v>0.177199999999999</v>
      </c>
      <c r="AD1036">
        <v>-1.0970814213519999</v>
      </c>
      <c r="AE1036">
        <v>-34.876800000000003</v>
      </c>
      <c r="AF1036">
        <v>2.52611395124159</v>
      </c>
      <c r="AG1036">
        <v>-1.0970814213519999</v>
      </c>
      <c r="AH1036">
        <v>34.751082271666498</v>
      </c>
      <c r="AI1036">
        <v>91.803454944921199</v>
      </c>
      <c r="AJ1036">
        <v>85.842387280398697</v>
      </c>
      <c r="AK1036">
        <v>34.860042432444999</v>
      </c>
    </row>
    <row r="1037" spans="1:37" x14ac:dyDescent="0.2">
      <c r="A1037" t="str">
        <f>"20200111153421158"</f>
        <v>20200111153421158</v>
      </c>
      <c r="B1037" t="str">
        <f>"1578728061146901"</f>
        <v>1578728061146901</v>
      </c>
      <c r="C1037" t="s">
        <v>37</v>
      </c>
      <c r="D1037">
        <v>4.902145</v>
      </c>
      <c r="E1037">
        <v>0.50381949999999998</v>
      </c>
      <c r="F1037" t="s">
        <v>39</v>
      </c>
      <c r="G1037">
        <v>-192.1319</v>
      </c>
      <c r="H1037" s="1">
        <v>-6.2103370000000002E-7</v>
      </c>
      <c r="I1037">
        <v>299.71449999999999</v>
      </c>
      <c r="J1037">
        <v>-192.01429999999999</v>
      </c>
      <c r="K1037">
        <v>1.0974159999999999</v>
      </c>
      <c r="L1037">
        <v>343.52440000000001</v>
      </c>
      <c r="M1037">
        <v>7.1427779999999996E-2</v>
      </c>
      <c r="N1037">
        <v>0</v>
      </c>
      <c r="O1037">
        <v>-0.997399699999999</v>
      </c>
      <c r="P1037">
        <v>6.0305979999999999E-3</v>
      </c>
      <c r="Q1037">
        <v>3.3372140000000002E-2</v>
      </c>
      <c r="R1037">
        <v>-0.99942500000000001</v>
      </c>
      <c r="S1037">
        <v>-6.4392090000000004E-3</v>
      </c>
      <c r="T1037">
        <v>-7.4610350000000006E-2</v>
      </c>
      <c r="U1037">
        <v>-3.0040589999999998</v>
      </c>
      <c r="V1037">
        <v>6.6057350000000001E-2</v>
      </c>
      <c r="W1037">
        <v>4.1886769999999997E-2</v>
      </c>
      <c r="X1037">
        <v>0.9969363</v>
      </c>
      <c r="Y1037">
        <v>7.3568250000000002E-2</v>
      </c>
      <c r="Z1037">
        <v>2.4700059999999999E-2</v>
      </c>
      <c r="AA1037">
        <v>0.99698419999999899</v>
      </c>
      <c r="AB1037">
        <v>36</v>
      </c>
      <c r="AC1037">
        <v>-0.11760000000001</v>
      </c>
      <c r="AD1037">
        <v>-1.0974166210337</v>
      </c>
      <c r="AE1037">
        <v>-43.809899999999999</v>
      </c>
      <c r="AF1037">
        <v>3.2446513769234699</v>
      </c>
      <c r="AG1037">
        <v>-1.0974166210337</v>
      </c>
      <c r="AH1037">
        <v>43.662192156139803</v>
      </c>
      <c r="AI1037">
        <v>91.435826078028398</v>
      </c>
      <c r="AJ1037">
        <v>85.7500130250463</v>
      </c>
      <c r="AK1037">
        <v>43.796336715273</v>
      </c>
    </row>
    <row r="1038" spans="1:37" x14ac:dyDescent="0.2">
      <c r="A1038" t="str">
        <f>"20200111153421180"</f>
        <v>20200111153421180</v>
      </c>
      <c r="B1038" t="str">
        <f>"1578728061177154"</f>
        <v>1578728061177154</v>
      </c>
      <c r="C1038" t="s">
        <v>37</v>
      </c>
      <c r="D1038">
        <v>4.8355360000000003</v>
      </c>
      <c r="E1038">
        <v>0.50301439999999997</v>
      </c>
      <c r="F1038" t="s">
        <v>39</v>
      </c>
      <c r="G1038">
        <v>-192.1943</v>
      </c>
      <c r="H1038" s="1">
        <v>-7.5376559999999897E-7</v>
      </c>
      <c r="I1038">
        <v>299.98520000000002</v>
      </c>
      <c r="J1038">
        <v>-191.99440000000001</v>
      </c>
      <c r="K1038">
        <v>1.0977189999999999</v>
      </c>
      <c r="L1038">
        <v>343.1798</v>
      </c>
      <c r="M1038">
        <v>6.5937499999999996E-2</v>
      </c>
      <c r="N1038">
        <v>0</v>
      </c>
      <c r="O1038">
        <v>-0.99777939999999998</v>
      </c>
      <c r="P1038">
        <v>2.8171359999999901E-3</v>
      </c>
      <c r="Q1038">
        <v>3.4482640000000002E-2</v>
      </c>
      <c r="R1038">
        <v>-0.99940119999999899</v>
      </c>
      <c r="S1038">
        <v>-1.242065E-2</v>
      </c>
      <c r="T1038">
        <v>-7.5724120000000006E-2</v>
      </c>
      <c r="U1038">
        <v>-3.00430299999999</v>
      </c>
      <c r="V1038">
        <v>6.3754630000000007E-2</v>
      </c>
      <c r="W1038">
        <v>4.2889139999999999E-2</v>
      </c>
      <c r="X1038">
        <v>0.99704359999999903</v>
      </c>
      <c r="Y1038">
        <v>7.0063780000000006E-2</v>
      </c>
      <c r="Z1038">
        <v>2.5083899999999999E-2</v>
      </c>
      <c r="AA1038">
        <v>0.99722710000000003</v>
      </c>
      <c r="AB1038">
        <v>36</v>
      </c>
      <c r="AC1038">
        <v>-0.19989999999998501</v>
      </c>
      <c r="AD1038">
        <v>-1.0977197537656</v>
      </c>
      <c r="AE1038">
        <v>-43.194599999999902</v>
      </c>
      <c r="AF1038">
        <v>3.04576789515728</v>
      </c>
      <c r="AG1038">
        <v>-1.0977197537656</v>
      </c>
      <c r="AH1038">
        <v>43.0595991900679</v>
      </c>
      <c r="AI1038">
        <v>91.456688880117397</v>
      </c>
      <c r="AJ1038">
        <v>85.953992136520895</v>
      </c>
      <c r="AK1038">
        <v>43.181139090328202</v>
      </c>
    </row>
    <row r="1039" spans="1:37" x14ac:dyDescent="0.2">
      <c r="A1039" t="str">
        <f>"20200111153421203"</f>
        <v>20200111153421203</v>
      </c>
      <c r="B1039" t="str">
        <f>"1578728061197650"</f>
        <v>1578728061197650</v>
      </c>
      <c r="C1039" t="s">
        <v>37</v>
      </c>
      <c r="D1039">
        <v>4.8283050000000003</v>
      </c>
      <c r="E1039">
        <v>0.50211470000000002</v>
      </c>
      <c r="F1039" t="s">
        <v>50</v>
      </c>
      <c r="G1039">
        <v>-192.2311</v>
      </c>
      <c r="H1039" s="1">
        <v>2.4570150000000002E-7</v>
      </c>
      <c r="I1039">
        <v>298.35090000000002</v>
      </c>
      <c r="J1039">
        <v>-191.9744</v>
      </c>
      <c r="K1039">
        <v>1.0980289999999999</v>
      </c>
      <c r="L1039">
        <v>342.80079999999998</v>
      </c>
      <c r="M1039">
        <v>6.025469E-2</v>
      </c>
      <c r="N1039">
        <v>0</v>
      </c>
      <c r="O1039">
        <v>-0.99814080000000005</v>
      </c>
      <c r="P1039">
        <v>-6.514305E-4</v>
      </c>
      <c r="Q1039">
        <v>3.5915250000000003E-2</v>
      </c>
      <c r="R1039">
        <v>-0.99935479999999999</v>
      </c>
      <c r="S1039">
        <v>-1.586914E-2</v>
      </c>
      <c r="T1039">
        <v>-7.3568939999999999E-2</v>
      </c>
      <c r="U1039">
        <v>-3.0044249999999999</v>
      </c>
      <c r="V1039">
        <v>6.1518129999999997E-2</v>
      </c>
      <c r="W1039">
        <v>4.4193959999999997E-2</v>
      </c>
      <c r="X1039">
        <v>0.99712710000000004</v>
      </c>
      <c r="Y1039">
        <v>6.5527039999999995E-2</v>
      </c>
      <c r="Z1039">
        <v>2.4386330000000001E-2</v>
      </c>
      <c r="AA1039">
        <v>0.99755280000000002</v>
      </c>
      <c r="AB1039">
        <v>36</v>
      </c>
      <c r="AC1039">
        <v>-0.25669999999999499</v>
      </c>
      <c r="AD1039">
        <v>-1.0980287542985001</v>
      </c>
      <c r="AE1039">
        <v>-44.4498999999999</v>
      </c>
      <c r="AF1039">
        <v>2.9328717751201401</v>
      </c>
      <c r="AG1039">
        <v>-1.0980287542985001</v>
      </c>
      <c r="AH1039">
        <v>44.3266132143644</v>
      </c>
      <c r="AI1039">
        <v>91.415907299778496</v>
      </c>
      <c r="AJ1039">
        <v>86.2145404988904</v>
      </c>
      <c r="AK1039">
        <v>44.437102100051803</v>
      </c>
    </row>
    <row r="1040" spans="1:37" x14ac:dyDescent="0.2">
      <c r="A1040" t="str">
        <f>"20200111153421225"</f>
        <v>20200111153421225</v>
      </c>
      <c r="B1040" t="str">
        <f>"1578728061217171"</f>
        <v>1578728061217171</v>
      </c>
      <c r="C1040" t="s">
        <v>37</v>
      </c>
      <c r="D1040">
        <v>4.815817</v>
      </c>
      <c r="E1040">
        <v>0.50129040000000002</v>
      </c>
      <c r="F1040" t="s">
        <v>39</v>
      </c>
      <c r="G1040">
        <v>-192.24809999999999</v>
      </c>
      <c r="H1040" s="1">
        <v>-8.5439469999999997E-7</v>
      </c>
      <c r="I1040">
        <v>300.18639999999999</v>
      </c>
      <c r="J1040">
        <v>-191.95670000000001</v>
      </c>
      <c r="K1040">
        <v>1.098287</v>
      </c>
      <c r="L1040">
        <v>342.43049999999999</v>
      </c>
      <c r="M1040">
        <v>5.4973439999999998E-2</v>
      </c>
      <c r="N1040">
        <v>0</v>
      </c>
      <c r="O1040">
        <v>-0.99844750000000004</v>
      </c>
      <c r="P1040">
        <v>-3.673997E-3</v>
      </c>
      <c r="Q1040">
        <v>3.6371059999999997E-2</v>
      </c>
      <c r="R1040">
        <v>-0.999332</v>
      </c>
      <c r="S1040">
        <v>-1.9302369999999999E-2</v>
      </c>
      <c r="T1040">
        <v>-7.7421069999999995E-2</v>
      </c>
      <c r="U1040">
        <v>-3.0047000000000001</v>
      </c>
      <c r="V1040">
        <v>5.923225E-2</v>
      </c>
      <c r="W1040">
        <v>4.4531699999999903E-2</v>
      </c>
      <c r="X1040">
        <v>0.99725039999999998</v>
      </c>
      <c r="Y1040">
        <v>6.1386599999999999E-2</v>
      </c>
      <c r="Z1040">
        <v>2.5675130000000001E-2</v>
      </c>
      <c r="AA1040">
        <v>0.9977838</v>
      </c>
      <c r="AB1040">
        <v>36</v>
      </c>
      <c r="AC1040">
        <v>-0.29139999999998101</v>
      </c>
      <c r="AD1040">
        <v>-1.0982878543946999</v>
      </c>
      <c r="AE1040">
        <v>-42.244100000000003</v>
      </c>
      <c r="AF1040">
        <v>2.61159113903966</v>
      </c>
      <c r="AG1040">
        <v>-1.0982878543946999</v>
      </c>
      <c r="AH1040">
        <v>42.135714800355601</v>
      </c>
      <c r="AI1040">
        <v>91.490245805783402</v>
      </c>
      <c r="AJ1040">
        <v>86.453317996464705</v>
      </c>
      <c r="AK1040">
        <v>42.230854907585403</v>
      </c>
    </row>
    <row r="1041" spans="1:37" x14ac:dyDescent="0.2">
      <c r="A1041" t="str">
        <f>"20200111153421248"</f>
        <v>20200111153421248</v>
      </c>
      <c r="B1041" t="str">
        <f>"1578728061237666"</f>
        <v>1578728061237666</v>
      </c>
      <c r="C1041" t="s">
        <v>37</v>
      </c>
      <c r="D1041">
        <v>4.8439809999999897</v>
      </c>
      <c r="E1041">
        <v>0.50038249999999995</v>
      </c>
      <c r="F1041" t="s">
        <v>50</v>
      </c>
      <c r="G1041">
        <v>-192.27209999999999</v>
      </c>
      <c r="H1041" s="1">
        <v>5.6589859999999902E-8</v>
      </c>
      <c r="I1041">
        <v>299.29500000000002</v>
      </c>
      <c r="J1041">
        <v>-191.9408</v>
      </c>
      <c r="K1041">
        <v>1.098498</v>
      </c>
      <c r="L1041">
        <v>342.06189999999998</v>
      </c>
      <c r="M1041">
        <v>4.9937210000000003E-2</v>
      </c>
      <c r="N1041">
        <v>0</v>
      </c>
      <c r="O1041">
        <v>-0.99871339999999997</v>
      </c>
      <c r="P1041">
        <v>-7.1776640000000003E-3</v>
      </c>
      <c r="Q1041">
        <v>3.6030020000000003E-2</v>
      </c>
      <c r="R1041">
        <v>-0.99932509999999997</v>
      </c>
      <c r="S1041">
        <v>-2.1972660000000001E-2</v>
      </c>
      <c r="T1041">
        <v>-7.6504470000000005E-2</v>
      </c>
      <c r="U1041">
        <v>-3.0047299999999999</v>
      </c>
      <c r="V1041">
        <v>5.766802E-2</v>
      </c>
      <c r="W1041">
        <v>4.4065809999999997E-2</v>
      </c>
      <c r="X1041">
        <v>0.99736290000000005</v>
      </c>
      <c r="Y1041">
        <v>5.7238820000000003E-2</v>
      </c>
      <c r="Z1041">
        <v>2.5384259999999999E-2</v>
      </c>
      <c r="AA1041">
        <v>0.99803779999999997</v>
      </c>
      <c r="AB1041">
        <v>36</v>
      </c>
      <c r="AC1041">
        <v>-0.33129999999999798</v>
      </c>
      <c r="AD1041">
        <v>-1.0984979434101401</v>
      </c>
      <c r="AE1041">
        <v>-42.7668999999999</v>
      </c>
      <c r="AF1041">
        <v>2.4650031922581199</v>
      </c>
      <c r="AG1041">
        <v>-1.0984979434101401</v>
      </c>
      <c r="AH1041">
        <v>42.668843964097597</v>
      </c>
      <c r="AI1041">
        <v>91.472285018451998</v>
      </c>
      <c r="AJ1041">
        <v>86.693665448747396</v>
      </c>
      <c r="AK1041">
        <v>42.754101367027097</v>
      </c>
    </row>
    <row r="1042" spans="1:37" x14ac:dyDescent="0.2">
      <c r="A1042" t="str">
        <f>"20200111153421269"</f>
        <v>20200111153421269</v>
      </c>
      <c r="B1042" t="str">
        <f>"1578728061257186"</f>
        <v>1578728061257186</v>
      </c>
      <c r="C1042" t="s">
        <v>37</v>
      </c>
      <c r="D1042">
        <v>4.8065499999999997</v>
      </c>
      <c r="E1042">
        <v>0.49987789999999999</v>
      </c>
      <c r="F1042" t="s">
        <v>39</v>
      </c>
      <c r="G1042">
        <v>-192.28149999999999</v>
      </c>
      <c r="H1042" s="1">
        <v>-1.5605359999999899E-6</v>
      </c>
      <c r="I1042">
        <v>301.81169999999997</v>
      </c>
      <c r="J1042">
        <v>-191.9271</v>
      </c>
      <c r="K1042">
        <v>1.0986719999999901</v>
      </c>
      <c r="L1042">
        <v>341.7088</v>
      </c>
      <c r="M1042">
        <v>4.5281969999999998E-2</v>
      </c>
      <c r="N1042">
        <v>0</v>
      </c>
      <c r="O1042">
        <v>-0.99893670000000001</v>
      </c>
      <c r="P1042">
        <v>-1.0106449999999999E-2</v>
      </c>
      <c r="Q1042">
        <v>3.6072550000000002E-2</v>
      </c>
      <c r="R1042">
        <v>-0.99929820000000003</v>
      </c>
      <c r="S1042">
        <v>-2.5436400000000001E-2</v>
      </c>
      <c r="T1042">
        <v>-8.2005380000000003E-2</v>
      </c>
      <c r="U1042">
        <v>-3.0047609999999998</v>
      </c>
      <c r="V1042">
        <v>5.5920909999999997E-2</v>
      </c>
      <c r="W1042">
        <v>4.3994350000000002E-2</v>
      </c>
      <c r="X1042">
        <v>0.9974655</v>
      </c>
      <c r="Y1042">
        <v>5.3735270000000002E-2</v>
      </c>
      <c r="Z1042">
        <v>2.7219489999999999E-2</v>
      </c>
      <c r="AA1042">
        <v>0.99818410000000002</v>
      </c>
      <c r="AB1042">
        <v>36</v>
      </c>
      <c r="AC1042">
        <v>-0.35439999999999799</v>
      </c>
      <c r="AD1042">
        <v>-1.0986735605359901</v>
      </c>
      <c r="AE1042">
        <v>-39.897100000000002</v>
      </c>
      <c r="AF1042">
        <v>2.1590863366335902</v>
      </c>
      <c r="AG1042">
        <v>-1.0986735605359901</v>
      </c>
      <c r="AH1042">
        <v>39.809937325575198</v>
      </c>
      <c r="AI1042">
        <v>91.578527411545593</v>
      </c>
      <c r="AJ1042">
        <v>86.895612863211397</v>
      </c>
      <c r="AK1042">
        <v>39.883578666763199</v>
      </c>
    </row>
    <row r="1043" spans="1:37" x14ac:dyDescent="0.2">
      <c r="A1043" t="str">
        <f>"20200111153421293"</f>
        <v>20200111153421293</v>
      </c>
      <c r="B1043" t="str">
        <f>"1578728061287443"</f>
        <v>1578728061287443</v>
      </c>
      <c r="C1043" t="s">
        <v>37</v>
      </c>
      <c r="D1043">
        <v>4.950977</v>
      </c>
      <c r="E1043">
        <v>0.499326099999999</v>
      </c>
      <c r="F1043" t="s">
        <v>39</v>
      </c>
      <c r="G1043">
        <v>-192.31389999999999</v>
      </c>
      <c r="H1043" s="1">
        <v>-2.20779599999999E-6</v>
      </c>
      <c r="I1043">
        <v>303.30040000000002</v>
      </c>
      <c r="J1043">
        <v>-191.91419999999999</v>
      </c>
      <c r="K1043">
        <v>1.098827</v>
      </c>
      <c r="L1043">
        <v>341.32889999999998</v>
      </c>
      <c r="M1043">
        <v>4.040883E-2</v>
      </c>
      <c r="N1043">
        <v>0</v>
      </c>
      <c r="O1043">
        <v>-0.99914720000000001</v>
      </c>
      <c r="P1043">
        <v>-1.351113E-2</v>
      </c>
      <c r="Q1043">
        <v>3.6171410000000001E-2</v>
      </c>
      <c r="R1043">
        <v>-0.99925439999999999</v>
      </c>
      <c r="S1043">
        <v>-3.0258179999999999E-2</v>
      </c>
      <c r="T1043">
        <v>-8.5955619999999996E-2</v>
      </c>
      <c r="U1043">
        <v>-3.0049130000000002</v>
      </c>
      <c r="V1043">
        <v>5.4434749999999997E-2</v>
      </c>
      <c r="W1043">
        <v>4.3965289999999997E-2</v>
      </c>
      <c r="X1043">
        <v>0.99754889999999996</v>
      </c>
      <c r="Y1043">
        <v>5.0464960000000003E-2</v>
      </c>
      <c r="Z1043">
        <v>2.853936E-2</v>
      </c>
      <c r="AA1043">
        <v>0.99831800000000004</v>
      </c>
      <c r="AB1043">
        <v>37</v>
      </c>
      <c r="AC1043">
        <v>-0.399699999999995</v>
      </c>
      <c r="AD1043">
        <v>-1.098829207796</v>
      </c>
      <c r="AE1043">
        <v>-38.028499999999902</v>
      </c>
      <c r="AF1043">
        <v>1.9345010635793201</v>
      </c>
      <c r="AG1043">
        <v>-1.098829207796</v>
      </c>
      <c r="AH1043">
        <v>37.949604046869098</v>
      </c>
      <c r="AI1043">
        <v>91.656384054828294</v>
      </c>
      <c r="AJ1043">
        <v>87.081843312880494</v>
      </c>
      <c r="AK1043">
        <v>38.014762491787799</v>
      </c>
    </row>
    <row r="1044" spans="1:37" x14ac:dyDescent="0.2">
      <c r="A1044" t="str">
        <f>"20200111153421337"</f>
        <v>20200111153421337</v>
      </c>
      <c r="B1044" t="str">
        <f>"1578728061327458"</f>
        <v>1578728061327458</v>
      </c>
      <c r="C1044" t="s">
        <v>37</v>
      </c>
      <c r="D1044">
        <v>4.7451739999999996</v>
      </c>
      <c r="E1044">
        <v>0.52965660000000003</v>
      </c>
      <c r="F1044" t="s">
        <v>39</v>
      </c>
      <c r="G1044">
        <v>-192.3716</v>
      </c>
      <c r="H1044" s="1">
        <v>-2.413375E-6</v>
      </c>
      <c r="I1044">
        <v>303.74380000000002</v>
      </c>
      <c r="J1044">
        <v>-191.89410000000001</v>
      </c>
      <c r="K1044">
        <v>1.0990439999999999</v>
      </c>
      <c r="L1044">
        <v>340.59500000000003</v>
      </c>
      <c r="M1044">
        <v>3.1231129999999999E-2</v>
      </c>
      <c r="N1044">
        <v>0</v>
      </c>
      <c r="O1044">
        <v>-0.99947889999999995</v>
      </c>
      <c r="P1044">
        <v>-2.183409E-2</v>
      </c>
      <c r="Q1044">
        <v>3.5463050000000003E-2</v>
      </c>
      <c r="R1044">
        <v>-0.99913269999999998</v>
      </c>
      <c r="S1044">
        <v>-3.6575320000000001E-2</v>
      </c>
      <c r="T1044">
        <v>-8.785105E-2</v>
      </c>
      <c r="U1044">
        <v>-3.0049130000000002</v>
      </c>
      <c r="V1044">
        <v>5.3545420000000003E-2</v>
      </c>
      <c r="W1044">
        <v>4.2979650000000001E-2</v>
      </c>
      <c r="X1044">
        <v>0.99763999999999997</v>
      </c>
      <c r="Y1044">
        <v>4.3389659999999997E-2</v>
      </c>
      <c r="Z1044">
        <v>2.9187089999999999E-2</v>
      </c>
      <c r="AA1044">
        <v>0.99863179999999996</v>
      </c>
      <c r="AB1044">
        <v>37</v>
      </c>
      <c r="AC1044">
        <v>-0.47749999999999199</v>
      </c>
      <c r="AD1044">
        <v>-1.099046413375</v>
      </c>
      <c r="AE1044">
        <v>-36.851199999999999</v>
      </c>
      <c r="AF1044">
        <v>1.6267632622344299</v>
      </c>
      <c r="AG1044">
        <v>-1.099046413375</v>
      </c>
      <c r="AH1044">
        <v>36.785595030459397</v>
      </c>
      <c r="AI1044">
        <v>91.7096519584818</v>
      </c>
      <c r="AJ1044">
        <v>87.467868056590305</v>
      </c>
      <c r="AK1044">
        <v>36.837945972530399</v>
      </c>
    </row>
    <row r="1045" spans="1:37" x14ac:dyDescent="0.2">
      <c r="A1045" t="str">
        <f>"20200111153421359"</f>
        <v>20200111153421359</v>
      </c>
      <c r="B1045" t="str">
        <f>"1578728061346981"</f>
        <v>1578728061346981</v>
      </c>
      <c r="C1045" t="s">
        <v>37</v>
      </c>
      <c r="D1045">
        <v>4.8182099999999997</v>
      </c>
      <c r="E1045">
        <v>0.53058399999999994</v>
      </c>
      <c r="F1045" t="s">
        <v>39</v>
      </c>
      <c r="G1045">
        <v>-195.16069999999999</v>
      </c>
      <c r="H1045" s="1">
        <v>-4.7691160000000002E-6</v>
      </c>
      <c r="I1045">
        <v>308.31099999999998</v>
      </c>
      <c r="J1045">
        <v>-191.88659999999999</v>
      </c>
      <c r="K1045">
        <v>1.0991150000000001</v>
      </c>
      <c r="L1045">
        <v>340.23559999999998</v>
      </c>
      <c r="M1045">
        <v>2.6805430000000002E-2</v>
      </c>
      <c r="N1045">
        <v>0</v>
      </c>
      <c r="O1045">
        <v>-0.99960890000000002</v>
      </c>
      <c r="P1045">
        <v>-2.5062839999999999E-2</v>
      </c>
      <c r="Q1045">
        <v>3.5186219999999997E-2</v>
      </c>
      <c r="R1045">
        <v>-0.99906689999999998</v>
      </c>
      <c r="S1045">
        <v>-0.30351259999999902</v>
      </c>
      <c r="T1045">
        <v>-0.1021161</v>
      </c>
      <c r="U1045">
        <v>-2.999603</v>
      </c>
      <c r="V1045">
        <v>5.2337799999999997E-2</v>
      </c>
      <c r="W1045">
        <v>4.2564709999999999E-2</v>
      </c>
      <c r="X1045">
        <v>0.99772190000000005</v>
      </c>
      <c r="Y1045">
        <v>0.12724659999999999</v>
      </c>
      <c r="Z1045">
        <v>3.3780709999999999E-2</v>
      </c>
      <c r="AA1045">
        <v>0.9912957</v>
      </c>
      <c r="AB1045">
        <v>37</v>
      </c>
      <c r="AC1045">
        <v>-3.2740999999999998</v>
      </c>
      <c r="AD1045">
        <v>-1.099119769116</v>
      </c>
      <c r="AE1045">
        <v>-31.924600000000002</v>
      </c>
      <c r="AF1045">
        <v>4.1238659895296204</v>
      </c>
      <c r="AG1045">
        <v>-1.099119769116</v>
      </c>
      <c r="AH1045">
        <v>31.788074198461501</v>
      </c>
      <c r="AI1045">
        <v>91.963853861137096</v>
      </c>
      <c r="AJ1045">
        <v>82.608302714218794</v>
      </c>
      <c r="AK1045">
        <v>32.073291010018899</v>
      </c>
    </row>
    <row r="1046" spans="1:37" x14ac:dyDescent="0.2">
      <c r="A1046" t="str">
        <f>"20200111153421383"</f>
        <v>20200111153421383</v>
      </c>
      <c r="B1046" t="str">
        <f>"1578728061377234"</f>
        <v>1578728061377234</v>
      </c>
      <c r="C1046" t="s">
        <v>37</v>
      </c>
      <c r="D1046">
        <v>4.7412919999999996</v>
      </c>
      <c r="E1046">
        <v>0.53027559999999996</v>
      </c>
      <c r="F1046" t="s">
        <v>39</v>
      </c>
      <c r="G1046">
        <v>-195.50710000000001</v>
      </c>
      <c r="H1046" s="1">
        <v>-4.1747419999999999E-6</v>
      </c>
      <c r="I1046">
        <v>306.38389999999998</v>
      </c>
      <c r="J1046">
        <v>-191.88030000000001</v>
      </c>
      <c r="K1046">
        <v>1.099189</v>
      </c>
      <c r="L1046">
        <v>339.84390000000002</v>
      </c>
      <c r="M1046">
        <v>2.2058660000000001E-2</v>
      </c>
      <c r="N1046">
        <v>0</v>
      </c>
      <c r="O1046">
        <v>-0.99972640000000002</v>
      </c>
      <c r="P1046">
        <v>-2.867422E-2</v>
      </c>
      <c r="Q1046">
        <v>3.5622109999999998E-2</v>
      </c>
      <c r="R1046">
        <v>-0.99895409999999996</v>
      </c>
      <c r="S1046">
        <v>-0.32066349999999999</v>
      </c>
      <c r="T1046">
        <v>-9.7347500000000003E-2</v>
      </c>
      <c r="U1046">
        <v>-2.9981990000000001</v>
      </c>
      <c r="V1046">
        <v>5.1199099999999997E-2</v>
      </c>
      <c r="W1046">
        <v>4.2828629999999999E-2</v>
      </c>
      <c r="X1046">
        <v>0.99776969999999998</v>
      </c>
      <c r="Y1046">
        <v>0.1281987</v>
      </c>
      <c r="Z1046">
        <v>3.2214050000000001E-2</v>
      </c>
      <c r="AA1046">
        <v>0.99122520000000003</v>
      </c>
      <c r="AB1046">
        <v>37</v>
      </c>
      <c r="AC1046">
        <v>-3.6267999999999998</v>
      </c>
      <c r="AD1046">
        <v>-1.0991931747419901</v>
      </c>
      <c r="AE1046">
        <v>-33.46</v>
      </c>
      <c r="AF1046">
        <v>4.35937263247805</v>
      </c>
      <c r="AG1046">
        <v>-1.0991931747419901</v>
      </c>
      <c r="AH1046">
        <v>33.336294905166099</v>
      </c>
      <c r="AI1046">
        <v>91.872589924226403</v>
      </c>
      <c r="AJ1046">
        <v>82.549732358436103</v>
      </c>
      <c r="AK1046">
        <v>33.638087243308</v>
      </c>
    </row>
    <row r="1047" spans="1:37" x14ac:dyDescent="0.2">
      <c r="A1047" t="str">
        <f>"20200111153421404"</f>
        <v>20200111153421404</v>
      </c>
      <c r="B1047" t="str">
        <f>"1578728061397263"</f>
        <v>1578728061397263</v>
      </c>
      <c r="C1047" t="s">
        <v>37</v>
      </c>
      <c r="D1047">
        <v>4.7882939999999996</v>
      </c>
      <c r="E1047">
        <v>0.52988729999999995</v>
      </c>
      <c r="F1047" t="s">
        <v>39</v>
      </c>
      <c r="G1047">
        <v>-196.03099999999901</v>
      </c>
      <c r="H1047" s="1">
        <v>-2.6496179999999899E-6</v>
      </c>
      <c r="I1047">
        <v>302.0249</v>
      </c>
      <c r="J1047">
        <v>-191.87599999999901</v>
      </c>
      <c r="K1047">
        <v>1.099262</v>
      </c>
      <c r="L1047">
        <v>339.48050000000001</v>
      </c>
      <c r="M1047">
        <v>1.7749999999999998E-2</v>
      </c>
      <c r="N1047">
        <v>0</v>
      </c>
      <c r="O1047">
        <v>-0.99981339999999996</v>
      </c>
      <c r="P1047">
        <v>-3.1265929999999997E-2</v>
      </c>
      <c r="Q1047">
        <v>3.6817229999999999E-2</v>
      </c>
      <c r="R1047">
        <v>-0.99883310000000003</v>
      </c>
      <c r="S1047">
        <v>-0.32890320000000001</v>
      </c>
      <c r="T1047">
        <v>-8.7101339999999999E-2</v>
      </c>
      <c r="U1047">
        <v>-2.996826</v>
      </c>
      <c r="V1047">
        <v>4.9487169999999997E-2</v>
      </c>
      <c r="W1047">
        <v>4.3858580000000001E-2</v>
      </c>
      <c r="X1047">
        <v>0.99781129999999996</v>
      </c>
      <c r="Y1047">
        <v>0.1266774</v>
      </c>
      <c r="Z1047">
        <v>2.8841849999999999E-2</v>
      </c>
      <c r="AA1047">
        <v>0.99152459999999898</v>
      </c>
      <c r="AB1047">
        <v>37</v>
      </c>
      <c r="AC1047">
        <v>-4.1550000000000002</v>
      </c>
      <c r="AD1047">
        <v>-1.0992646496180001</v>
      </c>
      <c r="AE1047">
        <v>-37.455599999999997</v>
      </c>
      <c r="AF1047">
        <v>4.81510459217243</v>
      </c>
      <c r="AG1047">
        <v>-1.0992646496180001</v>
      </c>
      <c r="AH1047">
        <v>37.344170623983402</v>
      </c>
      <c r="AI1047">
        <v>91.672238854578396</v>
      </c>
      <c r="AJ1047">
        <v>82.652899767835095</v>
      </c>
      <c r="AK1047">
        <v>37.669360156453997</v>
      </c>
    </row>
    <row r="1048" spans="1:37" x14ac:dyDescent="0.2">
      <c r="A1048" t="str">
        <f>"20200111153421426"</f>
        <v>20200111153421426</v>
      </c>
      <c r="B1048" t="str">
        <f>"1578728061417760"</f>
        <v>1578728061417760</v>
      </c>
      <c r="C1048" t="s">
        <v>37</v>
      </c>
      <c r="D1048">
        <v>4.7852269999999999</v>
      </c>
      <c r="E1048">
        <v>0.52957860000000001</v>
      </c>
      <c r="F1048" t="s">
        <v>50</v>
      </c>
      <c r="G1048">
        <v>-196.34110000000001</v>
      </c>
      <c r="H1048" s="1">
        <v>4.0167119999999997E-8</v>
      </c>
      <c r="I1048">
        <v>299.38830000000002</v>
      </c>
      <c r="J1048">
        <v>-191.87289999999999</v>
      </c>
      <c r="K1048">
        <v>1.099353</v>
      </c>
      <c r="L1048">
        <v>339.10410000000002</v>
      </c>
      <c r="M1048">
        <v>1.3391770000000001E-2</v>
      </c>
      <c r="N1048">
        <v>0</v>
      </c>
      <c r="O1048">
        <v>-0.99988290000000002</v>
      </c>
      <c r="P1048">
        <v>-3.4834950000000003E-2</v>
      </c>
      <c r="Q1048">
        <v>3.7547699999999899E-2</v>
      </c>
      <c r="R1048">
        <v>-0.99868729999999994</v>
      </c>
      <c r="S1048">
        <v>-0.33367920000000001</v>
      </c>
      <c r="T1048">
        <v>-8.214784E-2</v>
      </c>
      <c r="U1048">
        <v>-2.9960939999999998</v>
      </c>
      <c r="V1048">
        <v>4.8696699999999898E-2</v>
      </c>
      <c r="W1048">
        <v>4.4402129999999998E-2</v>
      </c>
      <c r="X1048">
        <v>0.997826199999999</v>
      </c>
      <c r="Y1048">
        <v>0.123946</v>
      </c>
      <c r="Z1048">
        <v>2.7214579999999999E-2</v>
      </c>
      <c r="AA1048">
        <v>0.99191569999999996</v>
      </c>
      <c r="AB1048">
        <v>37</v>
      </c>
      <c r="AC1048">
        <v>-4.4682000000000199</v>
      </c>
      <c r="AD1048">
        <v>-1.09935295983288</v>
      </c>
      <c r="AE1048">
        <v>-39.715800000000002</v>
      </c>
      <c r="AF1048">
        <v>4.9958986816247997</v>
      </c>
      <c r="AG1048">
        <v>-1.09935295983288</v>
      </c>
      <c r="AH1048">
        <v>39.622419966029902</v>
      </c>
      <c r="AI1048">
        <v>91.576826999810393</v>
      </c>
      <c r="AJ1048">
        <v>82.813631642077894</v>
      </c>
      <c r="AK1048">
        <v>39.9512671204782</v>
      </c>
    </row>
    <row r="1049" spans="1:37" x14ac:dyDescent="0.2">
      <c r="A1049" t="str">
        <f>"20200111153421449"</f>
        <v>20200111153421449</v>
      </c>
      <c r="B1049" t="str">
        <f>"1578728061437282"</f>
        <v>1578728061437282</v>
      </c>
      <c r="C1049" t="s">
        <v>37</v>
      </c>
      <c r="D1049">
        <v>4.7340359999999997</v>
      </c>
      <c r="E1049">
        <v>0.52901009999999904</v>
      </c>
      <c r="F1049" t="s">
        <v>50</v>
      </c>
      <c r="G1049">
        <v>-196.50960000000001</v>
      </c>
      <c r="H1049" s="1">
        <v>1.8995529999999901E-7</v>
      </c>
      <c r="I1049">
        <v>298.5378</v>
      </c>
      <c r="J1049">
        <v>-191.87139999999999</v>
      </c>
      <c r="K1049">
        <v>1.0994539999999999</v>
      </c>
      <c r="L1049">
        <v>338.71289999999999</v>
      </c>
      <c r="M1049">
        <v>9.0138609999999997E-3</v>
      </c>
      <c r="N1049">
        <v>0</v>
      </c>
      <c r="O1049">
        <v>-0.99993379999999998</v>
      </c>
      <c r="P1049">
        <v>-3.8472949999999999E-2</v>
      </c>
      <c r="Q1049">
        <v>3.8351549999999998E-2</v>
      </c>
      <c r="R1049">
        <v>-0.99852339999999995</v>
      </c>
      <c r="S1049">
        <v>-0.34233089999999999</v>
      </c>
      <c r="T1049">
        <v>-8.1167219999999998E-2</v>
      </c>
      <c r="U1049">
        <v>-2.9950869999999998</v>
      </c>
      <c r="V1049">
        <v>4.7954289999999997E-2</v>
      </c>
      <c r="W1049">
        <v>4.4994239999999998E-2</v>
      </c>
      <c r="X1049">
        <v>0.99783559999999905</v>
      </c>
      <c r="Y1049">
        <v>0.1224682</v>
      </c>
      <c r="Z1049">
        <v>2.6899059999999999E-2</v>
      </c>
      <c r="AA1049">
        <v>0.99210789999999904</v>
      </c>
      <c r="AB1049">
        <v>37</v>
      </c>
      <c r="AC1049">
        <v>-4.6382000000000101</v>
      </c>
      <c r="AD1049">
        <v>-1.0994538100447</v>
      </c>
      <c r="AE1049">
        <v>-40.175099999999901</v>
      </c>
      <c r="AF1049">
        <v>4.9964608189000703</v>
      </c>
      <c r="AG1049">
        <v>-1.0994538100447</v>
      </c>
      <c r="AH1049">
        <v>40.102020132679797</v>
      </c>
      <c r="AI1049">
        <v>91.558408267968602</v>
      </c>
      <c r="AJ1049">
        <v>82.897903462203601</v>
      </c>
      <c r="AK1049">
        <v>40.427038453454401</v>
      </c>
    </row>
    <row r="1050" spans="1:37" x14ac:dyDescent="0.2">
      <c r="A1050" t="str">
        <f>"20200111153421472"</f>
        <v>20200111153421472</v>
      </c>
      <c r="B1050" t="str">
        <f>"1578728061467535"</f>
        <v>1578728061467535</v>
      </c>
      <c r="C1050" t="s">
        <v>37</v>
      </c>
      <c r="D1050">
        <v>4.7471160000000001</v>
      </c>
      <c r="E1050">
        <v>0.52804099999999998</v>
      </c>
      <c r="F1050" t="s">
        <v>50</v>
      </c>
      <c r="G1050">
        <v>-196.69390000000001</v>
      </c>
      <c r="H1050" s="1">
        <v>4.0872199999999902E-7</v>
      </c>
      <c r="I1050">
        <v>297.29559999999998</v>
      </c>
      <c r="J1050">
        <v>-191.87119999999999</v>
      </c>
      <c r="K1050">
        <v>1.0995680000000001</v>
      </c>
      <c r="L1050">
        <v>338.34629999999999</v>
      </c>
      <c r="M1050">
        <v>5.0999829999999998E-3</v>
      </c>
      <c r="N1050">
        <v>0</v>
      </c>
      <c r="O1050">
        <v>-0.99996309999999999</v>
      </c>
      <c r="P1050">
        <v>-4.1620230000000001E-2</v>
      </c>
      <c r="Q1050">
        <v>4.0224679999999999E-2</v>
      </c>
      <c r="R1050">
        <v>-0.99832359999999898</v>
      </c>
      <c r="S1050">
        <v>-0.34861759999999897</v>
      </c>
      <c r="T1050">
        <v>-7.9478499999999994E-2</v>
      </c>
      <c r="U1050">
        <v>-2.99401899999999</v>
      </c>
      <c r="V1050">
        <v>4.7194279999999998E-2</v>
      </c>
      <c r="W1050">
        <v>4.6650940000000002E-2</v>
      </c>
      <c r="X1050">
        <v>0.99779580000000001</v>
      </c>
      <c r="Y1050">
        <v>0.1206808</v>
      </c>
      <c r="Z1050">
        <v>2.634997E-2</v>
      </c>
      <c r="AA1050">
        <v>0.99234159999999905</v>
      </c>
      <c r="AB1050">
        <v>37</v>
      </c>
      <c r="AC1050">
        <v>-4.8227000000000197</v>
      </c>
      <c r="AD1050">
        <v>-1.0995675912780001</v>
      </c>
      <c r="AE1050">
        <v>-41.050699999999999</v>
      </c>
      <c r="AF1050">
        <v>5.02844152105523</v>
      </c>
      <c r="AG1050">
        <v>-1.0995675912780001</v>
      </c>
      <c r="AH1050">
        <v>40.996556543055299</v>
      </c>
      <c r="AI1050">
        <v>91.524937767585399</v>
      </c>
      <c r="AJ1050">
        <v>83.007300931590507</v>
      </c>
      <c r="AK1050">
        <v>41.318421090433603</v>
      </c>
    </row>
    <row r="1051" spans="1:37" x14ac:dyDescent="0.2">
      <c r="A1051" t="str">
        <f>"20200111153421494"</f>
        <v>20200111153421494</v>
      </c>
      <c r="B1051" t="str">
        <f>"1578728061487056"</f>
        <v>1578728061487056</v>
      </c>
      <c r="C1051" t="s">
        <v>37</v>
      </c>
      <c r="D1051">
        <v>4.797606</v>
      </c>
      <c r="E1051">
        <v>0.52745710000000001</v>
      </c>
      <c r="F1051" t="s">
        <v>50</v>
      </c>
      <c r="G1051">
        <v>-196.90539999999999</v>
      </c>
      <c r="H1051" s="1">
        <v>8.834343E-7</v>
      </c>
      <c r="I1051">
        <v>295.3741</v>
      </c>
      <c r="J1051">
        <v>-191.8723</v>
      </c>
      <c r="K1051">
        <v>1.09971</v>
      </c>
      <c r="L1051">
        <v>337.95699999999999</v>
      </c>
      <c r="M1051">
        <v>1.183286E-3</v>
      </c>
      <c r="N1051">
        <v>0</v>
      </c>
      <c r="O1051">
        <v>-0.99997739999999902</v>
      </c>
      <c r="P1051">
        <v>-4.5286760000000002E-2</v>
      </c>
      <c r="Q1051">
        <v>4.184297E-2</v>
      </c>
      <c r="R1051">
        <v>-0.99809769999999898</v>
      </c>
      <c r="S1051">
        <v>-0.35069270000000002</v>
      </c>
      <c r="T1051">
        <v>-7.6597209999999999E-2</v>
      </c>
      <c r="U1051">
        <v>-2.9935</v>
      </c>
      <c r="V1051">
        <v>4.6943579999999999E-2</v>
      </c>
      <c r="W1051">
        <v>4.8012699999999998E-2</v>
      </c>
      <c r="X1051">
        <v>0.99774300000000005</v>
      </c>
      <c r="Y1051">
        <v>0.11749329999999999</v>
      </c>
      <c r="Z1051">
        <v>2.5404050000000001E-2</v>
      </c>
      <c r="AA1051">
        <v>0.99274869999999904</v>
      </c>
      <c r="AB1051">
        <v>38</v>
      </c>
      <c r="AC1051">
        <v>-5.0330999999999904</v>
      </c>
      <c r="AD1051">
        <v>-1.0997091165657</v>
      </c>
      <c r="AE1051">
        <v>-42.582900000000002</v>
      </c>
      <c r="AF1051">
        <v>5.0801438710064204</v>
      </c>
      <c r="AG1051">
        <v>-1.0997091165657</v>
      </c>
      <c r="AH1051">
        <v>42.548927956670298</v>
      </c>
      <c r="AI1051">
        <v>91.4700864909247</v>
      </c>
      <c r="AJ1051">
        <v>83.191381493581204</v>
      </c>
      <c r="AK1051">
        <v>42.8652364061264</v>
      </c>
    </row>
    <row r="1052" spans="1:37" x14ac:dyDescent="0.2">
      <c r="A1052" t="str">
        <f>"20200111153421515"</f>
        <v>20200111153421515</v>
      </c>
      <c r="B1052" t="str">
        <f>"1578728061507083"</f>
        <v>1578728061507083</v>
      </c>
      <c r="C1052" t="s">
        <v>37</v>
      </c>
      <c r="D1052">
        <v>4.7829470000000001</v>
      </c>
      <c r="E1052">
        <v>0.52698420000000001</v>
      </c>
      <c r="F1052" t="s">
        <v>50</v>
      </c>
      <c r="G1052">
        <v>-197.1765</v>
      </c>
      <c r="H1052" s="1">
        <v>1.3230619999999899E-6</v>
      </c>
      <c r="I1052">
        <v>293.50450000000001</v>
      </c>
      <c r="J1052">
        <v>-191.87450000000001</v>
      </c>
      <c r="K1052">
        <v>1.09986299999999</v>
      </c>
      <c r="L1052">
        <v>337.59410000000003</v>
      </c>
      <c r="M1052">
        <v>-2.2111399999999999E-3</v>
      </c>
      <c r="N1052">
        <v>0</v>
      </c>
      <c r="O1052">
        <v>-0.99997739999999902</v>
      </c>
      <c r="P1052">
        <v>-4.8220190000000003E-2</v>
      </c>
      <c r="Q1052">
        <v>4.2275989999999999E-2</v>
      </c>
      <c r="R1052">
        <v>-0.99794179999999999</v>
      </c>
      <c r="S1052">
        <v>-0.35708620000000002</v>
      </c>
      <c r="T1052">
        <v>-7.4034210000000003E-2</v>
      </c>
      <c r="U1052">
        <v>-2.9926149999999998</v>
      </c>
      <c r="V1052">
        <v>4.6468599999999999E-2</v>
      </c>
      <c r="W1052">
        <v>4.8197490000000003E-2</v>
      </c>
      <c r="X1052">
        <v>0.99775630000000004</v>
      </c>
      <c r="Y1052">
        <v>0.116250299999999</v>
      </c>
      <c r="Z1052">
        <v>2.4560410000000001E-2</v>
      </c>
      <c r="AA1052">
        <v>0.99291620000000003</v>
      </c>
      <c r="AB1052">
        <v>38</v>
      </c>
      <c r="AC1052">
        <v>-5.3019999999999898</v>
      </c>
      <c r="AD1052">
        <v>-1.0998616769380001</v>
      </c>
      <c r="AE1052">
        <v>-44.089599999999997</v>
      </c>
      <c r="AF1052">
        <v>5.2013061335697</v>
      </c>
      <c r="AG1052">
        <v>-1.0998616769380001</v>
      </c>
      <c r="AH1052">
        <v>44.07417928489</v>
      </c>
      <c r="AI1052">
        <v>91.419659665471698</v>
      </c>
      <c r="AJ1052">
        <v>83.269509048779398</v>
      </c>
      <c r="AK1052">
        <v>44.393654510978699</v>
      </c>
    </row>
    <row r="1053" spans="1:37" x14ac:dyDescent="0.2">
      <c r="A1053" t="str">
        <f>"20200111153421539"</f>
        <v>20200111153421539</v>
      </c>
      <c r="B1053" t="str">
        <f>"1578728061527578"</f>
        <v>1578728061527578</v>
      </c>
      <c r="C1053" t="s">
        <v>37</v>
      </c>
      <c r="D1053">
        <v>4.7501600000000002</v>
      </c>
      <c r="E1053">
        <v>0.52676020000000001</v>
      </c>
      <c r="F1053" t="s">
        <v>50</v>
      </c>
      <c r="G1053">
        <v>-197.16890000000001</v>
      </c>
      <c r="H1053" s="1">
        <v>1.2636939999999999E-6</v>
      </c>
      <c r="I1053">
        <v>293.84539999999998</v>
      </c>
      <c r="J1053">
        <v>-191.87790000000001</v>
      </c>
      <c r="K1053">
        <v>1.100042</v>
      </c>
      <c r="L1053">
        <v>337.19810000000001</v>
      </c>
      <c r="M1053">
        <v>-5.62574199999999E-3</v>
      </c>
      <c r="N1053">
        <v>0</v>
      </c>
      <c r="O1053">
        <v>-0.99996589999999996</v>
      </c>
      <c r="P1053">
        <v>-5.0730280000000003E-2</v>
      </c>
      <c r="Q1053">
        <v>4.2750780000000002E-2</v>
      </c>
      <c r="R1053">
        <v>-0.99779739999999995</v>
      </c>
      <c r="S1053">
        <v>-0.3620758</v>
      </c>
      <c r="T1053">
        <v>-7.5218080000000007E-2</v>
      </c>
      <c r="U1053">
        <v>-2.9919129999999998</v>
      </c>
      <c r="V1053">
        <v>4.5546650000000001E-2</v>
      </c>
      <c r="W1053">
        <v>4.8403719999999997E-2</v>
      </c>
      <c r="X1053">
        <v>0.99778880000000003</v>
      </c>
      <c r="Y1053">
        <v>0.1145172</v>
      </c>
      <c r="Z1053">
        <v>2.4958270000000001E-2</v>
      </c>
      <c r="AA1053">
        <v>0.99310769999999904</v>
      </c>
      <c r="AB1053">
        <v>38</v>
      </c>
      <c r="AC1053">
        <v>-5.2909999999999897</v>
      </c>
      <c r="AD1053">
        <v>-1.1000407363060001</v>
      </c>
      <c r="AE1053">
        <v>-43.352699999999999</v>
      </c>
      <c r="AF1053">
        <v>5.0438208998295497</v>
      </c>
      <c r="AG1053">
        <v>-1.1000407363060001</v>
      </c>
      <c r="AH1053">
        <v>43.354276269800998</v>
      </c>
      <c r="AI1053">
        <v>91.443737287093896</v>
      </c>
      <c r="AJ1053">
        <v>83.3640612789046</v>
      </c>
      <c r="AK1053">
        <v>43.660548436423902</v>
      </c>
    </row>
    <row r="1054" spans="1:37" x14ac:dyDescent="0.2">
      <c r="A1054" t="str">
        <f>"20200111153421559"</f>
        <v>20200111153421559</v>
      </c>
      <c r="B1054" t="str">
        <f>"1578728061547101"</f>
        <v>1578728061547101</v>
      </c>
      <c r="C1054" t="s">
        <v>37</v>
      </c>
      <c r="D1054">
        <v>4.7387090000000001</v>
      </c>
      <c r="E1054">
        <v>0.52631919999999899</v>
      </c>
      <c r="F1054" t="s">
        <v>50</v>
      </c>
      <c r="G1054">
        <v>-197.35489999999999</v>
      </c>
      <c r="H1054" s="1">
        <v>1.4517099999999899E-6</v>
      </c>
      <c r="I1054">
        <v>292.6841</v>
      </c>
      <c r="J1054">
        <v>-191.88210000000001</v>
      </c>
      <c r="K1054">
        <v>1.1002160000000001</v>
      </c>
      <c r="L1054">
        <v>336.83569999999997</v>
      </c>
      <c r="M1054">
        <v>-8.4483809999999996E-3</v>
      </c>
      <c r="N1054">
        <v>0</v>
      </c>
      <c r="O1054">
        <v>-0.99994760000000005</v>
      </c>
      <c r="P1054">
        <v>-5.2652589999999999E-2</v>
      </c>
      <c r="Q1054">
        <v>4.2409699999999897E-2</v>
      </c>
      <c r="R1054">
        <v>-0.99771209999999899</v>
      </c>
      <c r="S1054">
        <v>-0.36802669999999998</v>
      </c>
      <c r="T1054">
        <v>-7.3917389999999999E-2</v>
      </c>
      <c r="U1054">
        <v>-2.9911189999999999</v>
      </c>
      <c r="V1054">
        <v>4.4622250000000002E-2</v>
      </c>
      <c r="W1054">
        <v>4.7825029999999998E-2</v>
      </c>
      <c r="X1054">
        <v>0.99785849999999898</v>
      </c>
      <c r="Y1054">
        <v>0.1136925</v>
      </c>
      <c r="Z1054">
        <v>2.4530900000000001E-2</v>
      </c>
      <c r="AA1054">
        <v>0.99321309999999996</v>
      </c>
      <c r="AB1054">
        <v>38</v>
      </c>
      <c r="AC1054">
        <v>-5.4727999999999701</v>
      </c>
      <c r="AD1054">
        <v>-1.1002145482900001</v>
      </c>
      <c r="AE1054">
        <v>-44.151599999999902</v>
      </c>
      <c r="AF1054">
        <v>5.0964721033885096</v>
      </c>
      <c r="AG1054">
        <v>-1.1002145482900001</v>
      </c>
      <c r="AH1054">
        <v>44.169249138034999</v>
      </c>
      <c r="AI1054">
        <v>91.417488099672894</v>
      </c>
      <c r="AJ1054">
        <v>83.418029383803699</v>
      </c>
      <c r="AK1054">
        <v>44.475915610256898</v>
      </c>
    </row>
    <row r="1055" spans="1:37" x14ac:dyDescent="0.2">
      <c r="A1055" t="str">
        <f>"20200111153421583"</f>
        <v>20200111153421583</v>
      </c>
      <c r="B1055" t="str">
        <f>"1578728061577355"</f>
        <v>1578728061577355</v>
      </c>
      <c r="C1055" t="s">
        <v>37</v>
      </c>
      <c r="D1055">
        <v>4.7349180000000004</v>
      </c>
      <c r="E1055">
        <v>0.52575709999999998</v>
      </c>
      <c r="F1055" t="s">
        <v>50</v>
      </c>
      <c r="G1055">
        <v>-197.17930000000001</v>
      </c>
      <c r="H1055" s="1">
        <v>1.218675E-6</v>
      </c>
      <c r="I1055">
        <v>294.0958</v>
      </c>
      <c r="J1055">
        <v>-191.88749999999999</v>
      </c>
      <c r="K1055">
        <v>1.1003889999999901</v>
      </c>
      <c r="L1055">
        <v>336.44799999999998</v>
      </c>
      <c r="M1055">
        <v>-1.1210049999999999E-2</v>
      </c>
      <c r="N1055">
        <v>0</v>
      </c>
      <c r="O1055">
        <v>-0.99992199999999998</v>
      </c>
      <c r="P1055">
        <v>-5.5307210000000002E-2</v>
      </c>
      <c r="Q1055">
        <v>4.1862480000000001E-2</v>
      </c>
      <c r="R1055">
        <v>-0.99759149999999996</v>
      </c>
      <c r="S1055">
        <v>-0.37065120000000001</v>
      </c>
      <c r="T1055">
        <v>-7.6984410000000003E-2</v>
      </c>
      <c r="U1055">
        <v>-2.9906009999999998</v>
      </c>
      <c r="V1055">
        <v>4.449053E-2</v>
      </c>
      <c r="W1055">
        <v>4.7030089999999997E-2</v>
      </c>
      <c r="X1055">
        <v>0.99790219999999896</v>
      </c>
      <c r="Y1055">
        <v>0.1118247</v>
      </c>
      <c r="Z1055">
        <v>2.5552789999999999E-2</v>
      </c>
      <c r="AA1055">
        <v>0.99339940000000004</v>
      </c>
      <c r="AB1055">
        <v>38</v>
      </c>
      <c r="AC1055">
        <v>-5.2918000000000198</v>
      </c>
      <c r="AD1055">
        <v>-1.10038778132499</v>
      </c>
      <c r="AE1055">
        <v>-42.352200000000003</v>
      </c>
      <c r="AF1055">
        <v>4.8134905775529999</v>
      </c>
      <c r="AG1055">
        <v>-1.10038778132499</v>
      </c>
      <c r="AH1055">
        <v>42.380691433110798</v>
      </c>
      <c r="AI1055">
        <v>91.477817419031396</v>
      </c>
      <c r="AJ1055">
        <v>83.520259178852996</v>
      </c>
      <c r="AK1055">
        <v>42.667359317844202</v>
      </c>
    </row>
    <row r="1056" spans="1:37" x14ac:dyDescent="0.2">
      <c r="A1056" t="str">
        <f>"20200111153421606"</f>
        <v>20200111153421606</v>
      </c>
      <c r="B1056" t="str">
        <f>"1578728061597151"</f>
        <v>1578728061597151</v>
      </c>
      <c r="C1056" t="s">
        <v>37</v>
      </c>
      <c r="D1056">
        <v>4.7376259999999997</v>
      </c>
      <c r="E1056">
        <v>0.52537299999999998</v>
      </c>
      <c r="F1056" t="s">
        <v>50</v>
      </c>
      <c r="G1056">
        <v>-196.8922</v>
      </c>
      <c r="H1056" s="1">
        <v>5.6498459999999897E-7</v>
      </c>
      <c r="I1056">
        <v>296.4083</v>
      </c>
      <c r="J1056">
        <v>-191.89420000000001</v>
      </c>
      <c r="K1056">
        <v>1.1005590000000001</v>
      </c>
      <c r="L1056">
        <v>336.03609999999998</v>
      </c>
      <c r="M1056">
        <v>-1.386828E-2</v>
      </c>
      <c r="N1056">
        <v>0</v>
      </c>
      <c r="O1056">
        <v>-0.99988999999999995</v>
      </c>
      <c r="P1056">
        <v>-5.7950519999999998E-2</v>
      </c>
      <c r="Q1056">
        <v>4.2012630000000002E-2</v>
      </c>
      <c r="R1056">
        <v>-0.99743499999999996</v>
      </c>
      <c r="S1056">
        <v>-0.3737183</v>
      </c>
      <c r="T1056">
        <v>-8.2170489999999999E-2</v>
      </c>
      <c r="U1056">
        <v>-2.9899290000000001</v>
      </c>
      <c r="V1056">
        <v>4.4457299999999998E-2</v>
      </c>
      <c r="W1056">
        <v>4.6936249999999999E-2</v>
      </c>
      <c r="X1056">
        <v>0.99790809999999996</v>
      </c>
      <c r="Y1056">
        <v>0.11020779999999999</v>
      </c>
      <c r="Z1056">
        <v>2.727837E-2</v>
      </c>
      <c r="AA1056">
        <v>0.99353409999999998</v>
      </c>
      <c r="AB1056">
        <v>38</v>
      </c>
      <c r="AC1056">
        <v>-4.9979999999999896</v>
      </c>
      <c r="AD1056">
        <v>-1.1005584350153901</v>
      </c>
      <c r="AE1056">
        <v>-39.627799999999901</v>
      </c>
      <c r="AF1056">
        <v>4.44456786563779</v>
      </c>
      <c r="AG1056">
        <v>-1.1005584350153901</v>
      </c>
      <c r="AH1056">
        <v>39.663190133886403</v>
      </c>
      <c r="AI1056">
        <v>91.579531640226506</v>
      </c>
      <c r="AJ1056">
        <v>83.606236836194896</v>
      </c>
      <c r="AK1056">
        <v>39.926608470767498</v>
      </c>
    </row>
    <row r="1057" spans="1:37" x14ac:dyDescent="0.2">
      <c r="A1057" t="str">
        <f>"20200111153421628"</f>
        <v>20200111153421628</v>
      </c>
      <c r="B1057" t="str">
        <f>"1578728061617646"</f>
        <v>1578728061617646</v>
      </c>
      <c r="C1057" t="s">
        <v>37</v>
      </c>
      <c r="D1057">
        <v>4.7583459999999898</v>
      </c>
      <c r="E1057">
        <v>0.52499059999999997</v>
      </c>
      <c r="F1057" t="s">
        <v>50</v>
      </c>
      <c r="G1057">
        <v>-196.82210000000001</v>
      </c>
      <c r="H1057" s="1">
        <v>4.3908619999999998E-7</v>
      </c>
      <c r="I1057">
        <v>297.12310000000002</v>
      </c>
      <c r="J1057">
        <v>-191.90110000000001</v>
      </c>
      <c r="K1057">
        <v>1.1007260000000001</v>
      </c>
      <c r="L1057">
        <v>335.65750000000003</v>
      </c>
      <c r="M1057">
        <v>-1.6065929999999999E-2</v>
      </c>
      <c r="N1057">
        <v>0</v>
      </c>
      <c r="O1057">
        <v>-0.99985859999999904</v>
      </c>
      <c r="P1057">
        <v>-5.9829180000000003E-2</v>
      </c>
      <c r="Q1057">
        <v>4.2311010000000003E-2</v>
      </c>
      <c r="R1057">
        <v>-0.99731170000000002</v>
      </c>
      <c r="S1057">
        <v>-0.37855529999999998</v>
      </c>
      <c r="T1057">
        <v>-8.4543820000000006E-2</v>
      </c>
      <c r="U1057">
        <v>-2.989258</v>
      </c>
      <c r="V1057">
        <v>4.4122429999999997E-2</v>
      </c>
      <c r="W1057">
        <v>4.7029609999999999E-2</v>
      </c>
      <c r="X1057">
        <v>0.99791849999999904</v>
      </c>
      <c r="Y1057">
        <v>0.10963059999999999</v>
      </c>
      <c r="Z1057">
        <v>2.8068570000000001E-2</v>
      </c>
      <c r="AA1057">
        <v>0.99357600000000001</v>
      </c>
      <c r="AB1057">
        <v>39</v>
      </c>
      <c r="AC1057">
        <v>-4.9209999999999896</v>
      </c>
      <c r="AD1057">
        <v>-1.1007255609138</v>
      </c>
      <c r="AE1057">
        <v>-38.534399999999998</v>
      </c>
      <c r="AF1057">
        <v>4.2978157358981903</v>
      </c>
      <c r="AG1057">
        <v>-1.1007255609138</v>
      </c>
      <c r="AH1057">
        <v>38.577515806707602</v>
      </c>
      <c r="AI1057">
        <v>91.624323409788403</v>
      </c>
      <c r="AJ1057">
        <v>83.643047055612996</v>
      </c>
      <c r="AK1057">
        <v>38.831785211047901</v>
      </c>
    </row>
    <row r="1058" spans="1:37" x14ac:dyDescent="0.2">
      <c r="A1058" t="str">
        <f>"20200111153421651"</f>
        <v>20200111153421651</v>
      </c>
      <c r="B1058" t="str">
        <f>"1578728061646926"</f>
        <v>1578728061646926</v>
      </c>
      <c r="C1058" t="s">
        <v>37</v>
      </c>
      <c r="D1058">
        <v>4.7454919999999996</v>
      </c>
      <c r="E1058">
        <v>0.54198669999999904</v>
      </c>
      <c r="F1058" t="s">
        <v>50</v>
      </c>
      <c r="G1058">
        <v>-196.76570000000001</v>
      </c>
      <c r="H1058" s="1">
        <v>3.6522370000000001E-7</v>
      </c>
      <c r="I1058">
        <v>297.54250000000002</v>
      </c>
      <c r="J1058">
        <v>-191.9092</v>
      </c>
      <c r="K1058">
        <v>1.1009199999999999</v>
      </c>
      <c r="L1058">
        <v>335.25330000000002</v>
      </c>
      <c r="M1058">
        <v>-1.815162E-2</v>
      </c>
      <c r="N1058">
        <v>0</v>
      </c>
      <c r="O1058">
        <v>-0.99982369999999898</v>
      </c>
      <c r="P1058">
        <v>-6.1594210000000003E-2</v>
      </c>
      <c r="Q1058">
        <v>4.2990430000000003E-2</v>
      </c>
      <c r="R1058">
        <v>-0.99717489999999998</v>
      </c>
      <c r="S1058">
        <v>-0.38146970000000002</v>
      </c>
      <c r="T1058">
        <v>-8.6315630000000004E-2</v>
      </c>
      <c r="U1058">
        <v>-2.988861</v>
      </c>
      <c r="V1058">
        <v>4.3786079999999998E-2</v>
      </c>
      <c r="W1058">
        <v>4.7508769999999999E-2</v>
      </c>
      <c r="X1058">
        <v>0.99791070000000004</v>
      </c>
      <c r="Y1058">
        <v>0.10852489999999999</v>
      </c>
      <c r="Z1058">
        <v>2.865856E-2</v>
      </c>
      <c r="AA1058">
        <v>0.99368049999999997</v>
      </c>
      <c r="AB1058">
        <v>39</v>
      </c>
      <c r="AC1058">
        <v>-4.8565000000000103</v>
      </c>
      <c r="AD1058">
        <v>-1.1009196347762999</v>
      </c>
      <c r="AE1058">
        <v>-37.710799999999999</v>
      </c>
      <c r="AF1058">
        <v>4.1676857738222104</v>
      </c>
      <c r="AG1058">
        <v>-1.1009196347762999</v>
      </c>
      <c r="AH1058">
        <v>37.761083420212501</v>
      </c>
      <c r="AI1058">
        <v>91.659904407927002</v>
      </c>
      <c r="AJ1058">
        <v>83.701763861903899</v>
      </c>
      <c r="AK1058">
        <v>38.0063290758237</v>
      </c>
    </row>
    <row r="1059" spans="1:37" x14ac:dyDescent="0.2">
      <c r="A1059" t="str">
        <f>"20200111153421672"</f>
        <v>20200111153421672</v>
      </c>
      <c r="B1059" t="str">
        <f>"1578728061667423"</f>
        <v>1578728061667423</v>
      </c>
      <c r="C1059" t="s">
        <v>37</v>
      </c>
      <c r="D1059">
        <v>4.7053609999999999</v>
      </c>
      <c r="E1059">
        <v>0.54306219999999905</v>
      </c>
      <c r="F1059" t="s">
        <v>50</v>
      </c>
      <c r="G1059">
        <v>-198.97819999999999</v>
      </c>
      <c r="H1059" s="1">
        <v>8.7438750000000002E-7</v>
      </c>
      <c r="I1059">
        <v>294.87959999999998</v>
      </c>
      <c r="J1059">
        <v>-191.9169</v>
      </c>
      <c r="K1059">
        <v>1.1010979999999999</v>
      </c>
      <c r="L1059">
        <v>334.89589999999998</v>
      </c>
      <c r="M1059">
        <v>-1.9774409999999999E-2</v>
      </c>
      <c r="N1059">
        <v>0</v>
      </c>
      <c r="O1059">
        <v>-0.99979379999999995</v>
      </c>
      <c r="P1059">
        <v>-6.3860009999999995E-2</v>
      </c>
      <c r="Q1059">
        <v>4.4087699999999903E-2</v>
      </c>
      <c r="R1059">
        <v>-0.99698469999999995</v>
      </c>
      <c r="S1059">
        <v>-0.52172850000000004</v>
      </c>
      <c r="T1059">
        <v>-8.1253889999999995E-2</v>
      </c>
      <c r="U1059">
        <v>-2.979797</v>
      </c>
      <c r="V1059">
        <v>4.441784E-2</v>
      </c>
      <c r="W1059">
        <v>4.8442779999999998E-2</v>
      </c>
      <c r="X1059">
        <v>0.9978378</v>
      </c>
      <c r="Y1059">
        <v>0.15289069999999999</v>
      </c>
      <c r="Z1059">
        <v>2.6885570000000001E-2</v>
      </c>
      <c r="AA1059">
        <v>0.98787729999999996</v>
      </c>
      <c r="AB1059">
        <v>39</v>
      </c>
      <c r="AC1059">
        <v>-7.0612999999999797</v>
      </c>
      <c r="AD1059">
        <v>-1.1010971256124999</v>
      </c>
      <c r="AE1059">
        <v>-40.016300000000001</v>
      </c>
      <c r="AF1059">
        <v>6.2640125667169197</v>
      </c>
      <c r="AG1059">
        <v>-1.1010971256124999</v>
      </c>
      <c r="AH1059">
        <v>40.118651626393998</v>
      </c>
      <c r="AI1059">
        <v>91.553335326652203</v>
      </c>
      <c r="AJ1059">
        <v>81.125651799585697</v>
      </c>
      <c r="AK1059">
        <v>40.619656284069997</v>
      </c>
    </row>
    <row r="1060" spans="1:37" x14ac:dyDescent="0.2">
      <c r="A1060" t="str">
        <f>"20200111153421694"</f>
        <v>20200111153421694</v>
      </c>
      <c r="B1060" t="str">
        <f>"1578728061686942"</f>
        <v>1578728061686942</v>
      </c>
      <c r="C1060" t="s">
        <v>37</v>
      </c>
      <c r="D1060">
        <v>4.7115980000000004</v>
      </c>
      <c r="E1060">
        <v>0.54269219999999996</v>
      </c>
      <c r="F1060" t="s">
        <v>50</v>
      </c>
      <c r="G1060">
        <v>-199.66550000000001</v>
      </c>
      <c r="H1060" s="1">
        <v>1.3852929999999999E-6</v>
      </c>
      <c r="I1060">
        <v>291.89769999999999</v>
      </c>
      <c r="J1060">
        <v>-191.92609999999999</v>
      </c>
      <c r="K1060">
        <v>1.101307</v>
      </c>
      <c r="L1060">
        <v>334.49299999999999</v>
      </c>
      <c r="M1060">
        <v>-2.136888E-2</v>
      </c>
      <c r="N1060">
        <v>0</v>
      </c>
      <c r="O1060">
        <v>-0.99976189999999998</v>
      </c>
      <c r="P1060">
        <v>-6.6296030000000006E-2</v>
      </c>
      <c r="Q1060">
        <v>4.4738569999999998E-2</v>
      </c>
      <c r="R1060">
        <v>-0.99679680000000004</v>
      </c>
      <c r="S1060">
        <v>-0.53666689999999995</v>
      </c>
      <c r="T1060">
        <v>-7.6261999999999996E-2</v>
      </c>
      <c r="U1060">
        <v>-2.9780579999999999</v>
      </c>
      <c r="V1060">
        <v>4.5241129999999997E-2</v>
      </c>
      <c r="W1060">
        <v>4.8932379999999998E-2</v>
      </c>
      <c r="X1060">
        <v>0.99777700000000003</v>
      </c>
      <c r="Y1060">
        <v>0.1562231</v>
      </c>
      <c r="Z1060">
        <v>2.5230590000000001E-2</v>
      </c>
      <c r="AA1060">
        <v>0.98739949999999999</v>
      </c>
      <c r="AB1060">
        <v>39</v>
      </c>
      <c r="AC1060">
        <v>-7.7394000000000096</v>
      </c>
      <c r="AD1060">
        <v>-1.1013056147069999</v>
      </c>
      <c r="AE1060">
        <v>-42.595300000000002</v>
      </c>
      <c r="AF1060">
        <v>6.8229946989617396</v>
      </c>
      <c r="AG1060">
        <v>-1.1013056147069999</v>
      </c>
      <c r="AH1060">
        <v>42.723310291660098</v>
      </c>
      <c r="AI1060">
        <v>91.458152633740994</v>
      </c>
      <c r="AJ1060">
        <v>80.926376255281795</v>
      </c>
      <c r="AK1060">
        <v>43.278717321525598</v>
      </c>
    </row>
    <row r="1061" spans="1:37" x14ac:dyDescent="0.2">
      <c r="A1061" t="str">
        <f>"20200111153421718"</f>
        <v>20200111153421718</v>
      </c>
      <c r="B1061" t="str">
        <f>"1578728061707440"</f>
        <v>1578728061707440</v>
      </c>
      <c r="C1061" t="s">
        <v>37</v>
      </c>
      <c r="D1061">
        <v>4.728326</v>
      </c>
      <c r="E1061">
        <v>0.54213999999999996</v>
      </c>
      <c r="F1061" t="s">
        <v>50</v>
      </c>
      <c r="G1061">
        <v>-199.92779999999999</v>
      </c>
      <c r="H1061" s="1">
        <v>1.62079199999999E-6</v>
      </c>
      <c r="I1061">
        <v>290.42829999999998</v>
      </c>
      <c r="J1061">
        <v>-191.9358</v>
      </c>
      <c r="K1061">
        <v>1.101512</v>
      </c>
      <c r="L1061">
        <v>334.09039999999999</v>
      </c>
      <c r="M1061">
        <v>-2.2719099999999999E-2</v>
      </c>
      <c r="N1061">
        <v>0</v>
      </c>
      <c r="O1061">
        <v>-0.99973289999999904</v>
      </c>
      <c r="P1061">
        <v>-6.8436259999999999E-2</v>
      </c>
      <c r="Q1061">
        <v>4.2974449999999997E-2</v>
      </c>
      <c r="R1061">
        <v>-0.99672969999999905</v>
      </c>
      <c r="S1061">
        <v>-0.54060359999999996</v>
      </c>
      <c r="T1061">
        <v>-7.4405189999999996E-2</v>
      </c>
      <c r="U1061">
        <v>-2.9770509999999999</v>
      </c>
      <c r="V1061">
        <v>4.5997650000000001E-2</v>
      </c>
      <c r="W1061">
        <v>4.7029139999999997E-2</v>
      </c>
      <c r="X1061">
        <v>0.99783389999999905</v>
      </c>
      <c r="Y1061">
        <v>0.1562144</v>
      </c>
      <c r="Z1061">
        <v>2.4620900000000001E-2</v>
      </c>
      <c r="AA1061">
        <v>0.98741630000000002</v>
      </c>
      <c r="AB1061">
        <v>39</v>
      </c>
      <c r="AC1061">
        <v>-7.9919999999999902</v>
      </c>
      <c r="AD1061">
        <v>-1.1015103792080001</v>
      </c>
      <c r="AE1061">
        <v>-43.662100000000002</v>
      </c>
      <c r="AF1061">
        <v>6.9936577492294898</v>
      </c>
      <c r="AG1061">
        <v>-1.1015103792080001</v>
      </c>
      <c r="AH1061">
        <v>43.8054263899528</v>
      </c>
      <c r="AI1061">
        <v>91.422422370936502</v>
      </c>
      <c r="AJ1061">
        <v>80.929122239939304</v>
      </c>
      <c r="AK1061">
        <v>44.373865676030903</v>
      </c>
    </row>
    <row r="1062" spans="1:37" x14ac:dyDescent="0.2">
      <c r="A1062" t="str">
        <f>"20200111153421739"</f>
        <v>20200111153421739</v>
      </c>
      <c r="B1062" t="str">
        <f>"1578728061726961"</f>
        <v>1578728061726961</v>
      </c>
      <c r="C1062" t="s">
        <v>37</v>
      </c>
      <c r="D1062">
        <v>4.6609730000000003</v>
      </c>
      <c r="E1062">
        <v>0.54094750000000003</v>
      </c>
      <c r="F1062" t="s">
        <v>50</v>
      </c>
      <c r="G1062">
        <v>-199.21430000000001</v>
      </c>
      <c r="H1062" s="1">
        <v>1.028991E-6</v>
      </c>
      <c r="I1062">
        <v>294.147999999999</v>
      </c>
      <c r="J1062">
        <v>-191.94540000000001</v>
      </c>
      <c r="K1062">
        <v>1.1017030000000001</v>
      </c>
      <c r="L1062">
        <v>333.7029</v>
      </c>
      <c r="M1062">
        <v>-2.3778049999999998E-2</v>
      </c>
      <c r="N1062">
        <v>0</v>
      </c>
      <c r="O1062">
        <v>-0.99970870000000001</v>
      </c>
      <c r="P1062">
        <v>-6.9766179999999997E-2</v>
      </c>
      <c r="Q1062">
        <v>3.9993929999999997E-2</v>
      </c>
      <c r="R1062">
        <v>-0.99676139999999902</v>
      </c>
      <c r="S1062">
        <v>-0.54232789999999997</v>
      </c>
      <c r="T1062">
        <v>-8.2074279999999999E-2</v>
      </c>
      <c r="U1062">
        <v>-2.97613499999999</v>
      </c>
      <c r="V1062">
        <v>4.6230149999999998E-2</v>
      </c>
      <c r="W1062">
        <v>4.3934809999999998E-2</v>
      </c>
      <c r="X1062">
        <v>0.99796419999999997</v>
      </c>
      <c r="Y1062">
        <v>0.1557635</v>
      </c>
      <c r="Z1062">
        <v>2.7163590000000001E-2</v>
      </c>
      <c r="AA1062">
        <v>0.98742079999999999</v>
      </c>
      <c r="AB1062">
        <v>39</v>
      </c>
      <c r="AC1062">
        <v>-7.2689000000000004</v>
      </c>
      <c r="AD1062">
        <v>-1.1017019710089999</v>
      </c>
      <c r="AE1062">
        <v>-39.554900000000004</v>
      </c>
      <c r="AF1062">
        <v>6.3215545194449696</v>
      </c>
      <c r="AG1062">
        <v>-1.1017019710089999</v>
      </c>
      <c r="AH1062">
        <v>39.686776197314302</v>
      </c>
      <c r="AI1062">
        <v>91.570331817113896</v>
      </c>
      <c r="AJ1062">
        <v>80.949606154883696</v>
      </c>
      <c r="AK1062">
        <v>40.202189041281798</v>
      </c>
    </row>
    <row r="1063" spans="1:37" x14ac:dyDescent="0.2">
      <c r="A1063" t="str">
        <f>"20200111153421762"</f>
        <v>20200111153421762</v>
      </c>
      <c r="B1063" t="str">
        <f>"1578728061757214"</f>
        <v>1578728061757214</v>
      </c>
      <c r="C1063" t="s">
        <v>37</v>
      </c>
      <c r="D1063">
        <v>4.6842319999999997</v>
      </c>
      <c r="E1063">
        <v>0.54111480000000001</v>
      </c>
      <c r="F1063" t="s">
        <v>50</v>
      </c>
      <c r="G1063">
        <v>-198.46530000000001</v>
      </c>
      <c r="H1063" s="1">
        <v>3.6076099999999998E-7</v>
      </c>
      <c r="I1063">
        <v>297.56790000000001</v>
      </c>
      <c r="J1063">
        <v>-191.9556</v>
      </c>
      <c r="K1063">
        <v>1.101915</v>
      </c>
      <c r="L1063">
        <v>333.30540000000002</v>
      </c>
      <c r="M1063">
        <v>-2.4594919999999999E-2</v>
      </c>
      <c r="N1063">
        <v>0</v>
      </c>
      <c r="O1063">
        <v>-0.99968969999999902</v>
      </c>
      <c r="P1063">
        <v>-7.0167660000000007E-2</v>
      </c>
      <c r="Q1063">
        <v>3.6639049999999999E-2</v>
      </c>
      <c r="R1063">
        <v>-0.99686229999999998</v>
      </c>
      <c r="S1063">
        <v>-0.53692629999999997</v>
      </c>
      <c r="T1063">
        <v>-9.072769E-2</v>
      </c>
      <c r="U1063">
        <v>-2.9758</v>
      </c>
      <c r="V1063">
        <v>4.5774879999999997E-2</v>
      </c>
      <c r="W1063">
        <v>4.048272E-2</v>
      </c>
      <c r="X1063">
        <v>0.9981312</v>
      </c>
      <c r="Y1063">
        <v>0.15322569999999999</v>
      </c>
      <c r="Z1063">
        <v>3.003832E-2</v>
      </c>
      <c r="AA1063">
        <v>0.98773459999999902</v>
      </c>
      <c r="AB1063">
        <v>40</v>
      </c>
      <c r="AC1063">
        <v>-6.5096999999999996</v>
      </c>
      <c r="AD1063">
        <v>-1.101914639239</v>
      </c>
      <c r="AE1063">
        <v>-35.737499999999997</v>
      </c>
      <c r="AF1063">
        <v>5.6235882730854803</v>
      </c>
      <c r="AG1063">
        <v>-1.101914639239</v>
      </c>
      <c r="AH1063">
        <v>35.853804139945602</v>
      </c>
      <c r="AI1063">
        <v>91.739099815402994</v>
      </c>
      <c r="AJ1063">
        <v>81.085911934815798</v>
      </c>
      <c r="AK1063">
        <v>36.308872638005901</v>
      </c>
    </row>
    <row r="1064" spans="1:37" x14ac:dyDescent="0.2">
      <c r="A1064" t="str">
        <f>"20200111153421783"</f>
        <v>20200111153421783</v>
      </c>
      <c r="B1064" t="str">
        <f>"1578728061777710"</f>
        <v>1578728061777710</v>
      </c>
      <c r="C1064" t="s">
        <v>37</v>
      </c>
      <c r="D1064">
        <v>4.7129260000000004</v>
      </c>
      <c r="E1064">
        <v>0.54098089999999999</v>
      </c>
      <c r="F1064" t="s">
        <v>39</v>
      </c>
      <c r="G1064">
        <v>-197.81030000000001</v>
      </c>
      <c r="H1064" s="1">
        <v>-2.6863709999999899E-6</v>
      </c>
      <c r="I1064">
        <v>301.00689999999997</v>
      </c>
      <c r="J1064">
        <v>-191.9657</v>
      </c>
      <c r="K1064">
        <v>1.102123</v>
      </c>
      <c r="L1064">
        <v>332.9119</v>
      </c>
      <c r="M1064">
        <v>-2.5187540000000001E-2</v>
      </c>
      <c r="N1064">
        <v>0</v>
      </c>
      <c r="O1064">
        <v>-0.99967519999999999</v>
      </c>
      <c r="P1064">
        <v>-6.9526859999999996E-2</v>
      </c>
      <c r="Q1064">
        <v>3.5322270000000003E-2</v>
      </c>
      <c r="R1064">
        <v>-0.99695469999999897</v>
      </c>
      <c r="S1064">
        <v>-0.53932190000000002</v>
      </c>
      <c r="T1064">
        <v>-0.1015047</v>
      </c>
      <c r="U1064">
        <v>-2.9752200000000002</v>
      </c>
      <c r="V1064">
        <v>4.4513070000000002E-2</v>
      </c>
      <c r="W1064">
        <v>3.9083840000000002E-2</v>
      </c>
      <c r="X1064">
        <v>0.99824400000000002</v>
      </c>
      <c r="Y1064">
        <v>0.15342339999999999</v>
      </c>
      <c r="Z1064">
        <v>3.3605320000000001E-2</v>
      </c>
      <c r="AA1064">
        <v>0.98758889999999999</v>
      </c>
      <c r="AB1064">
        <v>40</v>
      </c>
      <c r="AC1064">
        <v>-5.8446000000000096</v>
      </c>
      <c r="AD1064">
        <v>-1.1021256863710001</v>
      </c>
      <c r="AE1064">
        <v>-31.905000000000001</v>
      </c>
      <c r="AF1064">
        <v>5.0333200280318398</v>
      </c>
      <c r="AG1064">
        <v>-1.1021256863710001</v>
      </c>
      <c r="AH1064">
        <v>32.005138686384498</v>
      </c>
      <c r="AI1064">
        <v>91.948324666215598</v>
      </c>
      <c r="AJ1064">
        <v>81.0625246909688</v>
      </c>
      <c r="AK1064">
        <v>32.417246858236602</v>
      </c>
    </row>
    <row r="1065" spans="1:37" x14ac:dyDescent="0.2">
      <c r="A1065" t="str">
        <f>"20200111153421806"</f>
        <v>20200111153421806</v>
      </c>
      <c r="B1065" t="str">
        <f>"1578728061797010"</f>
        <v>1578728061797010</v>
      </c>
      <c r="C1065" t="s">
        <v>37</v>
      </c>
      <c r="D1065">
        <v>4.8156910000000002</v>
      </c>
      <c r="E1065">
        <v>0.54076899999999894</v>
      </c>
      <c r="F1065" t="s">
        <v>39</v>
      </c>
      <c r="G1065">
        <v>-197.43</v>
      </c>
      <c r="H1065" s="1">
        <v>-3.2294630000000002E-6</v>
      </c>
      <c r="I1065">
        <v>302.60390000000001</v>
      </c>
      <c r="J1065">
        <v>-191.97620000000001</v>
      </c>
      <c r="K1065">
        <v>1.1023369999999999</v>
      </c>
      <c r="L1065">
        <v>332.50799999999998</v>
      </c>
      <c r="M1065">
        <v>-2.557972E-2</v>
      </c>
      <c r="N1065">
        <v>0</v>
      </c>
      <c r="O1065">
        <v>-0.9996659</v>
      </c>
      <c r="P1065">
        <v>-6.8846550000000006E-2</v>
      </c>
      <c r="Q1065">
        <v>3.4640600000000001E-2</v>
      </c>
      <c r="R1065">
        <v>-0.99702599999999997</v>
      </c>
      <c r="S1065">
        <v>-0.53646850000000001</v>
      </c>
      <c r="T1065">
        <v>-0.1082047</v>
      </c>
      <c r="U1065">
        <v>-2.9755859999999998</v>
      </c>
      <c r="V1065">
        <v>4.3415710000000003E-2</v>
      </c>
      <c r="W1065">
        <v>3.8329090000000003E-2</v>
      </c>
      <c r="X1065">
        <v>0.99832160000000003</v>
      </c>
      <c r="Y1065">
        <v>0.15208350000000001</v>
      </c>
      <c r="Z1065">
        <v>3.5822609999999998E-2</v>
      </c>
      <c r="AA1065">
        <v>0.98771819999999899</v>
      </c>
      <c r="AB1065">
        <v>40</v>
      </c>
      <c r="AC1065">
        <v>-5.4538000000000002</v>
      </c>
      <c r="AD1065">
        <v>-1.102340229463</v>
      </c>
      <c r="AE1065">
        <v>-29.9041</v>
      </c>
      <c r="AF1065">
        <v>4.68091575638993</v>
      </c>
      <c r="AG1065">
        <v>-1.102340229463</v>
      </c>
      <c r="AH1065">
        <v>29.9943767518801</v>
      </c>
      <c r="AI1065">
        <v>92.079612896739803</v>
      </c>
      <c r="AJ1065">
        <v>81.129980369108793</v>
      </c>
      <c r="AK1065">
        <v>30.3774383882782</v>
      </c>
    </row>
    <row r="1066" spans="1:37" x14ac:dyDescent="0.2">
      <c r="A1066" t="str">
        <f>"20200111153421829"</f>
        <v>20200111153421829</v>
      </c>
      <c r="B1066" t="str">
        <f>"1578728061817507"</f>
        <v>1578728061817507</v>
      </c>
      <c r="C1066" t="s">
        <v>37</v>
      </c>
      <c r="D1066">
        <v>4.8612519999999897</v>
      </c>
      <c r="E1066">
        <v>0.48783169999999998</v>
      </c>
      <c r="F1066" t="s">
        <v>39</v>
      </c>
      <c r="G1066">
        <v>-197.17</v>
      </c>
      <c r="H1066" s="1">
        <v>-3.4817410000000001E-6</v>
      </c>
      <c r="I1066">
        <v>303.48070000000001</v>
      </c>
      <c r="J1066">
        <v>-191.98670000000001</v>
      </c>
      <c r="K1066">
        <v>1.102568</v>
      </c>
      <c r="L1066">
        <v>332.1069</v>
      </c>
      <c r="M1066">
        <v>-2.572644E-2</v>
      </c>
      <c r="N1066">
        <v>0</v>
      </c>
      <c r="O1066">
        <v>-0.99966219999999995</v>
      </c>
      <c r="P1066">
        <v>-6.8300180000000002E-2</v>
      </c>
      <c r="Q1066">
        <v>3.539146E-2</v>
      </c>
      <c r="R1066">
        <v>-0.99703709999999901</v>
      </c>
      <c r="S1066">
        <v>-0.53250120000000001</v>
      </c>
      <c r="T1066">
        <v>-0.1130193</v>
      </c>
      <c r="U1066">
        <v>-2.9760740000000001</v>
      </c>
      <c r="V1066">
        <v>4.2701900000000001E-2</v>
      </c>
      <c r="W1066">
        <v>3.9020470000000002E-2</v>
      </c>
      <c r="X1066">
        <v>0.99832559999999904</v>
      </c>
      <c r="Y1066">
        <v>0.15062420000000001</v>
      </c>
      <c r="Z1066">
        <v>3.7416680000000001E-2</v>
      </c>
      <c r="AA1066">
        <v>0.987882699999999</v>
      </c>
      <c r="AB1066">
        <v>40</v>
      </c>
      <c r="AC1066">
        <v>-5.1832999999999698</v>
      </c>
      <c r="AD1066">
        <v>-1.1025714817409999</v>
      </c>
      <c r="AE1066">
        <v>-28.626199999999901</v>
      </c>
      <c r="AF1066">
        <v>4.4387533397327497</v>
      </c>
      <c r="AG1066">
        <v>-1.1025714817409999</v>
      </c>
      <c r="AH1066">
        <v>28.7088365299578</v>
      </c>
      <c r="AI1066">
        <v>92.173579506545494</v>
      </c>
      <c r="AJ1066">
        <v>81.210933229024405</v>
      </c>
      <c r="AK1066">
        <v>29.070870127795899</v>
      </c>
    </row>
    <row r="1067" spans="1:37" x14ac:dyDescent="0.2">
      <c r="A1067" t="str">
        <f>"20200111153421850"</f>
        <v>20200111153421850</v>
      </c>
      <c r="B1067" t="str">
        <f>"1578728061847763"</f>
        <v>1578728061847763</v>
      </c>
      <c r="C1067" t="s">
        <v>37</v>
      </c>
      <c r="D1067">
        <v>4.7085319999999999</v>
      </c>
      <c r="E1067">
        <v>0.48348999999999998</v>
      </c>
      <c r="F1067" t="s">
        <v>39</v>
      </c>
      <c r="G1067">
        <v>-192.7321</v>
      </c>
      <c r="H1067" s="1">
        <v>-1.680981E-6</v>
      </c>
      <c r="I1067">
        <v>311.60989999999998</v>
      </c>
      <c r="J1067">
        <v>-191.99700000000001</v>
      </c>
      <c r="K1067">
        <v>1.102824</v>
      </c>
      <c r="L1067">
        <v>331.70589999999999</v>
      </c>
      <c r="M1067">
        <v>-2.5600899999999999E-2</v>
      </c>
      <c r="N1067">
        <v>0</v>
      </c>
      <c r="O1067">
        <v>-0.99966559999999904</v>
      </c>
      <c r="P1067">
        <v>-6.8287249999999994E-2</v>
      </c>
      <c r="Q1067">
        <v>3.7378979999999999E-2</v>
      </c>
      <c r="R1067">
        <v>-0.9969654</v>
      </c>
      <c r="S1067">
        <v>-0.1093597</v>
      </c>
      <c r="T1067">
        <v>-0.16176119999999999</v>
      </c>
      <c r="U1067">
        <v>-3.0071720000000002</v>
      </c>
      <c r="V1067">
        <v>4.2794199999999998E-2</v>
      </c>
      <c r="W1067">
        <v>4.0958210000000002E-2</v>
      </c>
      <c r="X1067">
        <v>0.99824400000000002</v>
      </c>
      <c r="Y1067">
        <v>1.069382E-2</v>
      </c>
      <c r="Z1067">
        <v>5.3668559999999997E-2</v>
      </c>
      <c r="AA1067">
        <v>0.99850149999999904</v>
      </c>
      <c r="AB1067">
        <v>40</v>
      </c>
      <c r="AC1067">
        <v>-0.73509999999998799</v>
      </c>
      <c r="AD1067">
        <v>-1.102825680981</v>
      </c>
      <c r="AE1067">
        <v>-20.096</v>
      </c>
      <c r="AF1067">
        <v>0.21971914201286899</v>
      </c>
      <c r="AG1067">
        <v>-1.102825680981</v>
      </c>
      <c r="AH1067">
        <v>20.047937357602802</v>
      </c>
      <c r="AI1067">
        <v>93.1484462792816</v>
      </c>
      <c r="AJ1067">
        <v>89.372081262696597</v>
      </c>
      <c r="AK1067">
        <v>20.079449526278399</v>
      </c>
    </row>
    <row r="1068" spans="1:37" x14ac:dyDescent="0.2">
      <c r="A1068" t="str">
        <f>"20200111153421884"</f>
        <v>20200111153421884</v>
      </c>
      <c r="B1068" t="str">
        <f>"1578728061877043"</f>
        <v>1578728061877043</v>
      </c>
      <c r="C1068" t="s">
        <v>37</v>
      </c>
      <c r="D1068">
        <v>4.6396220000000001</v>
      </c>
      <c r="E1068">
        <v>0.48359259999999898</v>
      </c>
      <c r="F1068" t="s">
        <v>39</v>
      </c>
      <c r="G1068">
        <v>-192.49680000000001</v>
      </c>
      <c r="H1068" s="1">
        <v>-1.522221E-6</v>
      </c>
      <c r="I1068">
        <v>311.40649999999999</v>
      </c>
      <c r="J1068">
        <v>-192.01240000000001</v>
      </c>
      <c r="K1068">
        <v>1.103272</v>
      </c>
      <c r="L1068">
        <v>331.08449999999999</v>
      </c>
      <c r="M1068">
        <v>-2.4821090000000001E-2</v>
      </c>
      <c r="N1068">
        <v>0</v>
      </c>
      <c r="O1068">
        <v>-0.99968599999999996</v>
      </c>
      <c r="P1068">
        <v>-7.025547E-2</v>
      </c>
      <c r="Q1068">
        <v>4.1037089999999998E-2</v>
      </c>
      <c r="R1068">
        <v>-0.99668500000000004</v>
      </c>
      <c r="S1068">
        <v>-7.4111940000000001E-2</v>
      </c>
      <c r="T1068">
        <v>-0.16353779999999901</v>
      </c>
      <c r="U1068">
        <v>-3.0101930000000001</v>
      </c>
      <c r="V1068">
        <v>4.5504049999999997E-2</v>
      </c>
      <c r="W1068">
        <v>4.4555520000000001E-2</v>
      </c>
      <c r="X1068">
        <v>0.99797000000000002</v>
      </c>
      <c r="Y1068">
        <v>-2.4463689999999999E-4</v>
      </c>
      <c r="Z1068">
        <v>5.4214779999999997E-2</v>
      </c>
      <c r="AA1068">
        <v>0.99852929999999995</v>
      </c>
      <c r="AB1068">
        <v>40</v>
      </c>
      <c r="AC1068">
        <v>-0.484399999999993</v>
      </c>
      <c r="AD1068">
        <v>-1.1032735222209999</v>
      </c>
      <c r="AE1068">
        <v>-19.678000000000001</v>
      </c>
      <c r="AF1068">
        <v>-4.1684400374090097E-3</v>
      </c>
      <c r="AG1068">
        <v>-1.1032735222209999</v>
      </c>
      <c r="AH1068">
        <v>19.622316604414198</v>
      </c>
      <c r="AI1068">
        <v>93.218092476188602</v>
      </c>
      <c r="AJ1068">
        <v>90.012171550511496</v>
      </c>
      <c r="AK1068">
        <v>19.653308595872499</v>
      </c>
    </row>
    <row r="1069" spans="1:37" x14ac:dyDescent="0.2">
      <c r="A1069" t="str">
        <f>"20200111153421906"</f>
        <v>20200111153421906</v>
      </c>
      <c r="B1069" t="str">
        <f>"1578728061897096"</f>
        <v>1578728061897096</v>
      </c>
      <c r="C1069" t="s">
        <v>37</v>
      </c>
      <c r="D1069">
        <v>4.6646010000000002</v>
      </c>
      <c r="E1069">
        <v>0.48334369999999999</v>
      </c>
      <c r="F1069" t="s">
        <v>39</v>
      </c>
      <c r="G1069">
        <v>-192.59379999999999</v>
      </c>
      <c r="H1069" s="1">
        <v>-4.6785680000000004E-6</v>
      </c>
      <c r="I1069">
        <v>309.38299999999998</v>
      </c>
      <c r="J1069">
        <v>-192.02180000000001</v>
      </c>
      <c r="K1069">
        <v>1.103577</v>
      </c>
      <c r="L1069">
        <v>330.68459999999999</v>
      </c>
      <c r="M1069">
        <v>-2.393549E-2</v>
      </c>
      <c r="N1069">
        <v>0</v>
      </c>
      <c r="O1069">
        <v>-0.99970759999999903</v>
      </c>
      <c r="P1069">
        <v>-7.1705160000000004E-2</v>
      </c>
      <c r="Q1069">
        <v>4.2514549999999998E-2</v>
      </c>
      <c r="R1069">
        <v>-0.99651970000000001</v>
      </c>
      <c r="S1069">
        <v>-8.0642699999999998E-2</v>
      </c>
      <c r="T1069">
        <v>-0.15305479999999999</v>
      </c>
      <c r="U1069">
        <v>-3.0105900000000001</v>
      </c>
      <c r="V1069">
        <v>4.7807999999999899E-2</v>
      </c>
      <c r="W1069">
        <v>4.6010290000000002E-2</v>
      </c>
      <c r="X1069">
        <v>0.99779629999999997</v>
      </c>
      <c r="Y1069">
        <v>2.8075190000000001E-3</v>
      </c>
      <c r="Z1069">
        <v>5.0742259999999997E-2</v>
      </c>
      <c r="AA1069">
        <v>0.99870780000000003</v>
      </c>
      <c r="AB1069">
        <v>41</v>
      </c>
      <c r="AC1069">
        <v>-0.57199999999997397</v>
      </c>
      <c r="AD1069">
        <v>-1.1035816785679999</v>
      </c>
      <c r="AE1069">
        <v>-21.301600000000001</v>
      </c>
      <c r="AF1069">
        <v>6.1803118432848601E-2</v>
      </c>
      <c r="AG1069">
        <v>-1.1035816785679999</v>
      </c>
      <c r="AH1069">
        <v>21.252188273566301</v>
      </c>
      <c r="AI1069">
        <v>92.972567480422498</v>
      </c>
      <c r="AJ1069">
        <v>89.833379611584306</v>
      </c>
      <c r="AK1069">
        <v>21.2809120707226</v>
      </c>
    </row>
    <row r="1070" spans="1:37" x14ac:dyDescent="0.2">
      <c r="A1070" t="str">
        <f>"20200111153421929"</f>
        <v>20200111153421929</v>
      </c>
      <c r="B1070" t="str">
        <f>"1578728061917588"</f>
        <v>1578728061917588</v>
      </c>
      <c r="C1070" t="s">
        <v>37</v>
      </c>
      <c r="D1070">
        <v>4.6982819999999998</v>
      </c>
      <c r="E1070">
        <v>0.48315069999999999</v>
      </c>
      <c r="F1070" t="s">
        <v>39</v>
      </c>
      <c r="G1070">
        <v>-192.6498</v>
      </c>
      <c r="H1070" s="1">
        <v>-4.2081590000000001E-6</v>
      </c>
      <c r="I1070">
        <v>307.97149999999999</v>
      </c>
      <c r="J1070">
        <v>-192.0309</v>
      </c>
      <c r="K1070">
        <v>1.1038749999999999</v>
      </c>
      <c r="L1070">
        <v>330.27260000000001</v>
      </c>
      <c r="M1070">
        <v>-2.274294E-2</v>
      </c>
      <c r="N1070">
        <v>0</v>
      </c>
      <c r="O1070">
        <v>-0.9997357</v>
      </c>
      <c r="P1070">
        <v>-7.2643730000000004E-2</v>
      </c>
      <c r="Q1070">
        <v>4.2507730000000001E-2</v>
      </c>
      <c r="R1070">
        <v>-0.99645219999999901</v>
      </c>
      <c r="S1070">
        <v>-8.3236690000000002E-2</v>
      </c>
      <c r="T1070">
        <v>-0.14628389999999999</v>
      </c>
      <c r="U1070">
        <v>-3.0107119999999998</v>
      </c>
      <c r="V1070">
        <v>4.9904270000000001E-2</v>
      </c>
      <c r="W1070">
        <v>4.599172E-2</v>
      </c>
      <c r="X1070">
        <v>0.99769449999999904</v>
      </c>
      <c r="Y1070">
        <v>4.8622309999999998E-3</v>
      </c>
      <c r="Z1070">
        <v>4.8502209999999997E-2</v>
      </c>
      <c r="AA1070">
        <v>0.99881119999999901</v>
      </c>
      <c r="AB1070">
        <v>41</v>
      </c>
      <c r="AC1070">
        <v>-0.61889999999999601</v>
      </c>
      <c r="AD1070">
        <v>-1.1038792081589901</v>
      </c>
      <c r="AE1070">
        <v>-22.301100000000002</v>
      </c>
      <c r="AF1070">
        <v>0.111272053033476</v>
      </c>
      <c r="AG1070">
        <v>-1.1038792081589901</v>
      </c>
      <c r="AH1070">
        <v>22.254921683977599</v>
      </c>
      <c r="AI1070">
        <v>92.839598302309298</v>
      </c>
      <c r="AJ1070">
        <v>89.713530068456294</v>
      </c>
      <c r="AK1070">
        <v>22.2825597707259</v>
      </c>
    </row>
    <row r="1071" spans="1:37" x14ac:dyDescent="0.2">
      <c r="A1071" t="str">
        <f>"20200111153421951"</f>
        <v>20200111153421951</v>
      </c>
      <c r="B1071" t="str">
        <f>"1578728061946869"</f>
        <v>1578728061946869</v>
      </c>
      <c r="C1071" t="s">
        <v>37</v>
      </c>
      <c r="D1071">
        <v>4.6777819999999997</v>
      </c>
      <c r="E1071">
        <v>0.4828558</v>
      </c>
      <c r="F1071" t="s">
        <v>39</v>
      </c>
      <c r="G1071">
        <v>-192.6764</v>
      </c>
      <c r="H1071" s="1">
        <v>-4.0117710000000001E-6</v>
      </c>
      <c r="I1071">
        <v>307.38049999999998</v>
      </c>
      <c r="J1071">
        <v>-192.0394</v>
      </c>
      <c r="K1071">
        <v>1.1041780000000001</v>
      </c>
      <c r="L1071">
        <v>329.85840000000002</v>
      </c>
      <c r="M1071">
        <v>-2.1248389999999999E-2</v>
      </c>
      <c r="N1071">
        <v>0</v>
      </c>
      <c r="O1071">
        <v>-0.99976869999999995</v>
      </c>
      <c r="P1071">
        <v>-7.2916830000000002E-2</v>
      </c>
      <c r="Q1071">
        <v>4.221842E-2</v>
      </c>
      <c r="R1071">
        <v>-0.99644429999999995</v>
      </c>
      <c r="S1071">
        <v>-8.4884639999999997E-2</v>
      </c>
      <c r="T1071">
        <v>-0.14518110000000001</v>
      </c>
      <c r="U1071">
        <v>-3.010742</v>
      </c>
      <c r="V1071">
        <v>5.1635559999999997E-2</v>
      </c>
      <c r="W1071">
        <v>4.5702090000000001E-2</v>
      </c>
      <c r="X1071">
        <v>0.9976197</v>
      </c>
      <c r="Y1071">
        <v>6.90362099999999E-3</v>
      </c>
      <c r="Z1071">
        <v>4.8138670000000001E-2</v>
      </c>
      <c r="AA1071">
        <v>0.99881679999999995</v>
      </c>
      <c r="AB1071">
        <v>41</v>
      </c>
      <c r="AC1071">
        <v>-0.63700000000000001</v>
      </c>
      <c r="AD1071">
        <v>-1.1041820117709999</v>
      </c>
      <c r="AE1071">
        <v>-22.477900000000002</v>
      </c>
      <c r="AF1071">
        <v>0.158851344513458</v>
      </c>
      <c r="AG1071">
        <v>-1.1041820117709999</v>
      </c>
      <c r="AH1071">
        <v>22.432273149508202</v>
      </c>
      <c r="AI1071">
        <v>92.8179206654453</v>
      </c>
      <c r="AJ1071">
        <v>89.594273865154193</v>
      </c>
      <c r="AK1071">
        <v>22.459993996413299</v>
      </c>
    </row>
    <row r="1072" spans="1:37" x14ac:dyDescent="0.2">
      <c r="A1072" t="str">
        <f>"20200111153421975"</f>
        <v>20200111153421975</v>
      </c>
      <c r="B1072" t="str">
        <f>"1578728061967365"</f>
        <v>1578728061967365</v>
      </c>
      <c r="C1072" t="s">
        <v>37</v>
      </c>
      <c r="D1072">
        <v>4.6778180000000003</v>
      </c>
      <c r="E1072">
        <v>0.48258440000000002</v>
      </c>
      <c r="F1072" t="s">
        <v>39</v>
      </c>
      <c r="G1072">
        <v>-192.68029999999999</v>
      </c>
      <c r="H1072" s="1">
        <v>-3.7669139999999998E-6</v>
      </c>
      <c r="I1072">
        <v>306.70749999999998</v>
      </c>
      <c r="J1072">
        <v>-192.0471</v>
      </c>
      <c r="K1072">
        <v>1.104481</v>
      </c>
      <c r="L1072">
        <v>329.4418</v>
      </c>
      <c r="M1072">
        <v>-1.9456459999999998E-2</v>
      </c>
      <c r="N1072">
        <v>0</v>
      </c>
      <c r="O1072">
        <v>-0.99980530000000001</v>
      </c>
      <c r="P1072">
        <v>-7.2148359999999995E-2</v>
      </c>
      <c r="Q1072">
        <v>4.2362209999999997E-2</v>
      </c>
      <c r="R1072">
        <v>-0.996494199999999</v>
      </c>
      <c r="S1072">
        <v>-8.3343509999999996E-2</v>
      </c>
      <c r="T1072">
        <v>-0.143593</v>
      </c>
      <c r="U1072">
        <v>-3.01065099999999</v>
      </c>
      <c r="V1072">
        <v>5.2620269999999997E-2</v>
      </c>
      <c r="W1072">
        <v>4.5853570000000003E-2</v>
      </c>
      <c r="X1072">
        <v>0.99756129999999998</v>
      </c>
      <c r="Y1072">
        <v>8.1865340000000005E-3</v>
      </c>
      <c r="Z1072">
        <v>4.7617439999999997E-2</v>
      </c>
      <c r="AA1072">
        <v>0.9988321</v>
      </c>
      <c r="AB1072">
        <v>41</v>
      </c>
      <c r="AC1072">
        <v>-0.633199999999987</v>
      </c>
      <c r="AD1072">
        <v>-1.1044847669140001</v>
      </c>
      <c r="AE1072">
        <v>-22.734300000000001</v>
      </c>
      <c r="AF1072">
        <v>0.19029994271144501</v>
      </c>
      <c r="AG1072">
        <v>-1.1044847669140001</v>
      </c>
      <c r="AH1072">
        <v>22.6888068303026</v>
      </c>
      <c r="AI1072">
        <v>92.786844612908993</v>
      </c>
      <c r="AJ1072">
        <v>89.519449040538305</v>
      </c>
      <c r="AK1072">
        <v>22.7164710298789</v>
      </c>
    </row>
    <row r="1073" spans="1:37" x14ac:dyDescent="0.2">
      <c r="A1073" t="str">
        <f>"20200111153421996"</f>
        <v>20200111153421996</v>
      </c>
      <c r="B1073" t="str">
        <f>"1578728061986885"</f>
        <v>1578728061986885</v>
      </c>
      <c r="C1073" t="s">
        <v>37</v>
      </c>
      <c r="D1073">
        <v>4.6739639999999998</v>
      </c>
      <c r="E1073">
        <v>0.48212840000000001</v>
      </c>
      <c r="F1073" t="s">
        <v>39</v>
      </c>
      <c r="G1073">
        <v>-192.65530000000001</v>
      </c>
      <c r="H1073" s="1">
        <v>-3.549445E-6</v>
      </c>
      <c r="I1073">
        <v>306.21609999999998</v>
      </c>
      <c r="J1073">
        <v>-192.0538</v>
      </c>
      <c r="K1073">
        <v>1.104768</v>
      </c>
      <c r="L1073">
        <v>329.03570000000002</v>
      </c>
      <c r="M1073">
        <v>-1.7455209999999999E-2</v>
      </c>
      <c r="N1073">
        <v>0</v>
      </c>
      <c r="O1073">
        <v>-0.99984200000000001</v>
      </c>
      <c r="P1073">
        <v>-7.0483889999999993E-2</v>
      </c>
      <c r="Q1073">
        <v>4.237697E-2</v>
      </c>
      <c r="R1073">
        <v>-0.996612099999999</v>
      </c>
      <c r="S1073">
        <v>-7.8842159999999994E-2</v>
      </c>
      <c r="T1073">
        <v>-0.14318420000000001</v>
      </c>
      <c r="U1073">
        <v>-3.0109560000000002</v>
      </c>
      <c r="V1073">
        <v>5.2918710000000001E-2</v>
      </c>
      <c r="W1073">
        <v>4.5882149999999997E-2</v>
      </c>
      <c r="X1073">
        <v>0.99754419999999899</v>
      </c>
      <c r="Y1073">
        <v>8.6932840000000008E-3</v>
      </c>
      <c r="Z1073">
        <v>4.7480870000000001E-2</v>
      </c>
      <c r="AA1073">
        <v>0.99883429999999995</v>
      </c>
      <c r="AB1073">
        <v>41</v>
      </c>
      <c r="AC1073">
        <v>-0.60150000000001502</v>
      </c>
      <c r="AD1073">
        <v>-1.1047715494449999</v>
      </c>
      <c r="AE1073">
        <v>-22.819600000000001</v>
      </c>
      <c r="AF1073">
        <v>0.202610641131721</v>
      </c>
      <c r="AG1073">
        <v>-1.1047715494449999</v>
      </c>
      <c r="AH1073">
        <v>22.7732826894242</v>
      </c>
      <c r="AI1073">
        <v>92.7772308147769</v>
      </c>
      <c r="AJ1073">
        <v>89.490261087902894</v>
      </c>
      <c r="AK1073">
        <v>22.800964359008798</v>
      </c>
    </row>
    <row r="1074" spans="1:37" x14ac:dyDescent="0.2">
      <c r="A1074" t="str">
        <f>"20200111153422018"</f>
        <v>20200111153422018</v>
      </c>
      <c r="B1074" t="str">
        <f>"1578728062007204"</f>
        <v>1578728062007204</v>
      </c>
      <c r="C1074" t="s">
        <v>37</v>
      </c>
      <c r="D1074">
        <v>4.6820209999999998</v>
      </c>
      <c r="E1074">
        <v>0.48178769999999999</v>
      </c>
      <c r="F1074" t="s">
        <v>39</v>
      </c>
      <c r="G1074">
        <v>-192.5976</v>
      </c>
      <c r="H1074" s="1">
        <v>-3.3079180000000002E-6</v>
      </c>
      <c r="I1074">
        <v>305.68880000000001</v>
      </c>
      <c r="J1074">
        <v>-192.05969999999999</v>
      </c>
      <c r="K1074">
        <v>1.1050549999999999</v>
      </c>
      <c r="L1074">
        <v>328.61489999999998</v>
      </c>
      <c r="M1074">
        <v>-1.515707E-2</v>
      </c>
      <c r="N1074">
        <v>0</v>
      </c>
      <c r="O1074">
        <v>-0.99987999999999899</v>
      </c>
      <c r="P1074">
        <v>-6.8426169999999994E-2</v>
      </c>
      <c r="Q1074">
        <v>4.2217659999999997E-2</v>
      </c>
      <c r="R1074">
        <v>-0.99676290000000001</v>
      </c>
      <c r="S1074">
        <v>-7.0144650000000003E-2</v>
      </c>
      <c r="T1074">
        <v>-0.14249249999999999</v>
      </c>
      <c r="U1074">
        <v>-3.0112610000000002</v>
      </c>
      <c r="V1074">
        <v>5.3121000000000002E-2</v>
      </c>
      <c r="W1074">
        <v>4.5745920000000002E-2</v>
      </c>
      <c r="X1074">
        <v>0.99753969999999903</v>
      </c>
      <c r="Y1074">
        <v>8.1060709999999994E-3</v>
      </c>
      <c r="Z1074">
        <v>4.7251679999999997E-2</v>
      </c>
      <c r="AA1074">
        <v>0.99885009999999996</v>
      </c>
      <c r="AB1074">
        <v>41</v>
      </c>
      <c r="AC1074">
        <v>-0.53790000000000704</v>
      </c>
      <c r="AD1074">
        <v>-1.1050583079180001</v>
      </c>
      <c r="AE1074">
        <v>-22.926099999999899</v>
      </c>
      <c r="AF1074">
        <v>0.18990296126307299</v>
      </c>
      <c r="AG1074">
        <v>-1.1050583079180001</v>
      </c>
      <c r="AH1074">
        <v>22.8784944265701</v>
      </c>
      <c r="AI1074">
        <v>92.765209573410701</v>
      </c>
      <c r="AJ1074">
        <v>89.5244272582364</v>
      </c>
      <c r="AK1074">
        <v>22.905953903411099</v>
      </c>
    </row>
    <row r="1075" spans="1:37" x14ac:dyDescent="0.2">
      <c r="A1075" t="str">
        <f>"20200111153422041"</f>
        <v>20200111153422041</v>
      </c>
      <c r="B1075" t="str">
        <f>"1578728062037459"</f>
        <v>1578728062037459</v>
      </c>
      <c r="C1075" t="s">
        <v>37</v>
      </c>
      <c r="D1075">
        <v>4.7281190000000004</v>
      </c>
      <c r="E1075">
        <v>0.48141080000000003</v>
      </c>
      <c r="F1075" t="s">
        <v>39</v>
      </c>
      <c r="G1075">
        <v>-192.53890000000001</v>
      </c>
      <c r="H1075" s="1">
        <v>-3.032416E-6</v>
      </c>
      <c r="I1075">
        <v>305.0831</v>
      </c>
      <c r="J1075">
        <v>-192.0643</v>
      </c>
      <c r="K1075">
        <v>1.1053139999999999</v>
      </c>
      <c r="L1075">
        <v>328.21030000000002</v>
      </c>
      <c r="M1075">
        <v>-1.2763429999999999E-2</v>
      </c>
      <c r="N1075">
        <v>0</v>
      </c>
      <c r="O1075">
        <v>-0.99991319999999995</v>
      </c>
      <c r="P1075">
        <v>-6.5995369999999998E-2</v>
      </c>
      <c r="Q1075">
        <v>4.3309739999999999E-2</v>
      </c>
      <c r="R1075">
        <v>-0.99687990000000004</v>
      </c>
      <c r="S1075">
        <v>-6.1325070000000002E-2</v>
      </c>
      <c r="T1075">
        <v>-0.1414251</v>
      </c>
      <c r="U1075">
        <v>-3.0115970000000001</v>
      </c>
      <c r="V1075">
        <v>5.3044269999999998E-2</v>
      </c>
      <c r="W1075">
        <v>4.687434E-2</v>
      </c>
      <c r="X1075">
        <v>0.99749140000000003</v>
      </c>
      <c r="Y1075">
        <v>7.5738400000000001E-3</v>
      </c>
      <c r="Z1075">
        <v>4.6897229999999998E-2</v>
      </c>
      <c r="AA1075">
        <v>0.99887099999999995</v>
      </c>
      <c r="AB1075">
        <v>42</v>
      </c>
      <c r="AC1075">
        <v>-0.47460000000000901</v>
      </c>
      <c r="AD1075">
        <v>-1.105317032416</v>
      </c>
      <c r="AE1075">
        <v>-23.127199999999998</v>
      </c>
      <c r="AF1075">
        <v>0.17896874276862901</v>
      </c>
      <c r="AG1075">
        <v>-1.105317032416</v>
      </c>
      <c r="AH1075">
        <v>23.078680348969701</v>
      </c>
      <c r="AI1075">
        <v>92.741913536832598</v>
      </c>
      <c r="AJ1075">
        <v>89.555696082668405</v>
      </c>
      <c r="AK1075">
        <v>23.105827018372601</v>
      </c>
    </row>
    <row r="1076" spans="1:37" x14ac:dyDescent="0.2">
      <c r="A1076" t="str">
        <f>"20200111153422062"</f>
        <v>20200111153422062</v>
      </c>
      <c r="B1076" t="str">
        <f>"1578728062056977"</f>
        <v>1578728062056977</v>
      </c>
      <c r="C1076" t="s">
        <v>37</v>
      </c>
      <c r="D1076">
        <v>4.6922670000000002</v>
      </c>
      <c r="E1076">
        <v>0.48113610000000001</v>
      </c>
      <c r="F1076" t="s">
        <v>39</v>
      </c>
      <c r="G1076">
        <v>-192.47239999999999</v>
      </c>
      <c r="H1076" s="1">
        <v>-2.64534699999999E-6</v>
      </c>
      <c r="I1076">
        <v>304.22199999999998</v>
      </c>
      <c r="J1076">
        <v>-192.06799999999899</v>
      </c>
      <c r="K1076">
        <v>1.105553</v>
      </c>
      <c r="L1076">
        <v>327.78699999999998</v>
      </c>
      <c r="M1076">
        <v>-1.012948E-2</v>
      </c>
      <c r="N1076">
        <v>0</v>
      </c>
      <c r="O1076">
        <v>-0.99994309999999997</v>
      </c>
      <c r="P1076">
        <v>-6.3354659999999993E-2</v>
      </c>
      <c r="Q1076">
        <v>4.4783419999999997E-2</v>
      </c>
      <c r="R1076">
        <v>-0.99698600000000004</v>
      </c>
      <c r="S1076">
        <v>-5.1239010000000001E-2</v>
      </c>
      <c r="T1076">
        <v>-0.1387861</v>
      </c>
      <c r="U1076">
        <v>-3.0120239999999998</v>
      </c>
      <c r="V1076">
        <v>5.2996179999999997E-2</v>
      </c>
      <c r="W1076">
        <v>4.8410870000000002E-2</v>
      </c>
      <c r="X1076">
        <v>0.99742050000000004</v>
      </c>
      <c r="Y1076">
        <v>6.862066E-3</v>
      </c>
      <c r="Z1076">
        <v>4.6021119999999999E-2</v>
      </c>
      <c r="AA1076">
        <v>0.9989169</v>
      </c>
      <c r="AB1076">
        <v>42</v>
      </c>
      <c r="AC1076">
        <v>-0.40440000000000897</v>
      </c>
      <c r="AD1076">
        <v>-1.1055556453469999</v>
      </c>
      <c r="AE1076">
        <v>-23.565000000000001</v>
      </c>
      <c r="AF1076">
        <v>0.16531296845520299</v>
      </c>
      <c r="AG1076">
        <v>-1.1055556453469999</v>
      </c>
      <c r="AH1076">
        <v>23.516142840301502</v>
      </c>
      <c r="AI1076">
        <v>92.691576843813806</v>
      </c>
      <c r="AJ1076">
        <v>89.597230743292897</v>
      </c>
      <c r="AK1076">
        <v>23.542696441740901</v>
      </c>
    </row>
    <row r="1077" spans="1:37" x14ac:dyDescent="0.2">
      <c r="A1077" t="str">
        <f>"20200111153422086"</f>
        <v>20200111153422086</v>
      </c>
      <c r="B1077" t="str">
        <f>"1578728062077474"</f>
        <v>1578728062077474</v>
      </c>
      <c r="C1077" t="s">
        <v>37</v>
      </c>
      <c r="D1077">
        <v>6.1427059999999898</v>
      </c>
      <c r="E1077">
        <v>0.48115019999999997</v>
      </c>
      <c r="F1077" t="s">
        <v>39</v>
      </c>
      <c r="G1077">
        <v>-192.40729999999999</v>
      </c>
      <c r="H1077" s="1">
        <v>-2.1880480000000001E-6</v>
      </c>
      <c r="I1077">
        <v>303.19639999999998</v>
      </c>
      <c r="J1077">
        <v>-192.07069999999999</v>
      </c>
      <c r="K1077">
        <v>1.1057629999999901</v>
      </c>
      <c r="L1077">
        <v>327.34879999999998</v>
      </c>
      <c r="M1077">
        <v>-7.3070660000000001E-3</v>
      </c>
      <c r="N1077">
        <v>0</v>
      </c>
      <c r="O1077">
        <v>-0.99996759999999996</v>
      </c>
      <c r="P1077">
        <v>-6.0364599999999997E-2</v>
      </c>
      <c r="Q1077">
        <v>4.5348699999999999E-2</v>
      </c>
      <c r="R1077">
        <v>-0.99714609999999904</v>
      </c>
      <c r="S1077">
        <v>-4.1564940000000002E-2</v>
      </c>
      <c r="T1077">
        <v>-0.1354351</v>
      </c>
      <c r="U1077">
        <v>-3.012451</v>
      </c>
      <c r="V1077">
        <v>5.2792659999999998E-2</v>
      </c>
      <c r="W1077">
        <v>4.9063830000000003E-2</v>
      </c>
      <c r="X1077">
        <v>0.99739940000000005</v>
      </c>
      <c r="Y1077">
        <v>6.4757030000000002E-3</v>
      </c>
      <c r="Z1077">
        <v>4.4908669999999998E-2</v>
      </c>
      <c r="AA1077">
        <v>0.99897009999999897</v>
      </c>
      <c r="AB1077">
        <v>42</v>
      </c>
      <c r="AC1077">
        <v>-0.33660000000000401</v>
      </c>
      <c r="AD1077">
        <v>-1.10576518804799</v>
      </c>
      <c r="AE1077">
        <v>-24.1524</v>
      </c>
      <c r="AF1077">
        <v>0.15977199852885199</v>
      </c>
      <c r="AG1077">
        <v>-1.10576518804799</v>
      </c>
      <c r="AH1077">
        <v>24.103701597455601</v>
      </c>
      <c r="AI1077">
        <v>92.626563407540104</v>
      </c>
      <c r="AJ1077">
        <v>89.620219031700401</v>
      </c>
      <c r="AK1077">
        <v>24.129580900666198</v>
      </c>
    </row>
    <row r="1078" spans="1:37" x14ac:dyDescent="0.2">
      <c r="A1078" t="str">
        <f>"20200111153422108"</f>
        <v>20200111153422108</v>
      </c>
      <c r="B1078" t="str">
        <f>"1578728062097001"</f>
        <v>1578728062097001</v>
      </c>
      <c r="C1078" t="s">
        <v>37</v>
      </c>
      <c r="D1078">
        <v>4.6802019999999898</v>
      </c>
      <c r="E1078">
        <v>0.518069</v>
      </c>
      <c r="F1078" t="s">
        <v>39</v>
      </c>
      <c r="G1078">
        <v>-192.3441</v>
      </c>
      <c r="H1078" s="1">
        <v>-1.869221E-6</v>
      </c>
      <c r="I1078">
        <v>302.49239999999998</v>
      </c>
      <c r="J1078">
        <v>-192.07210000000001</v>
      </c>
      <c r="K1078">
        <v>1.1059369999999999</v>
      </c>
      <c r="L1078">
        <v>326.93290000000002</v>
      </c>
      <c r="M1078">
        <v>-4.5739409999999998E-3</v>
      </c>
      <c r="N1078">
        <v>0</v>
      </c>
      <c r="O1078">
        <v>-0.99998339999999997</v>
      </c>
      <c r="P1078">
        <v>-5.7629909999999999E-2</v>
      </c>
      <c r="Q1078">
        <v>4.4640279999999997E-2</v>
      </c>
      <c r="R1078">
        <v>-0.9973398</v>
      </c>
      <c r="S1078">
        <v>-3.3142089999999999E-2</v>
      </c>
      <c r="T1078">
        <v>-0.13402030000000001</v>
      </c>
      <c r="U1078">
        <v>-3.0126339999999998</v>
      </c>
      <c r="V1078">
        <v>5.276687E-2</v>
      </c>
      <c r="W1078">
        <v>4.8489919999999999E-2</v>
      </c>
      <c r="X1078">
        <v>0.99742889999999995</v>
      </c>
      <c r="Y1078">
        <v>6.4156940000000004E-3</v>
      </c>
      <c r="Z1078">
        <v>4.4439649999999997E-2</v>
      </c>
      <c r="AA1078">
        <v>0.99899150000000003</v>
      </c>
      <c r="AB1078">
        <v>42</v>
      </c>
      <c r="AC1078">
        <v>-0.27199999999999103</v>
      </c>
      <c r="AD1078">
        <v>-1.1059388692209999</v>
      </c>
      <c r="AE1078">
        <v>-24.4405</v>
      </c>
      <c r="AF1078">
        <v>0.15987973645870401</v>
      </c>
      <c r="AG1078">
        <v>-1.1059388692209999</v>
      </c>
      <c r="AH1078">
        <v>24.391550852308601</v>
      </c>
      <c r="AI1078">
        <v>92.596017878010997</v>
      </c>
      <c r="AJ1078">
        <v>89.624447703347599</v>
      </c>
      <c r="AK1078">
        <v>24.417133642042</v>
      </c>
    </row>
    <row r="1079" spans="1:37" x14ac:dyDescent="0.2">
      <c r="A1079" t="str">
        <f>"20200111153422131"</f>
        <v>20200111153422131</v>
      </c>
      <c r="B1079" t="str">
        <f>"1578728062127249"</f>
        <v>1578728062127249</v>
      </c>
      <c r="C1079" t="s">
        <v>37</v>
      </c>
      <c r="D1079">
        <v>4.6512060000000002</v>
      </c>
      <c r="E1079">
        <v>0.53806039999999999</v>
      </c>
      <c r="F1079" t="s">
        <v>39</v>
      </c>
      <c r="G1079">
        <v>-194.6131</v>
      </c>
      <c r="H1079" s="1">
        <v>-2.7176379999999998E-6</v>
      </c>
      <c r="I1079">
        <v>303.06279999999998</v>
      </c>
      <c r="J1079">
        <v>-192.07230000000001</v>
      </c>
      <c r="K1079">
        <v>1.106123</v>
      </c>
      <c r="L1079">
        <v>326.50290000000001</v>
      </c>
      <c r="M1079">
        <v>-1.731675E-3</v>
      </c>
      <c r="N1079">
        <v>0</v>
      </c>
      <c r="O1079">
        <v>-0.99999150000000003</v>
      </c>
      <c r="P1079">
        <v>-5.5510709999999998E-2</v>
      </c>
      <c r="Q1079">
        <v>4.260941E-2</v>
      </c>
      <c r="R1079">
        <v>-0.99754859999999901</v>
      </c>
      <c r="S1079">
        <v>-0.31890869999999999</v>
      </c>
      <c r="T1079">
        <v>-0.13879859999999999</v>
      </c>
      <c r="U1079">
        <v>-2.9957579999999999</v>
      </c>
      <c r="V1079">
        <v>5.347648E-2</v>
      </c>
      <c r="W1079">
        <v>4.670763E-2</v>
      </c>
      <c r="X1079">
        <v>0.99747619999999904</v>
      </c>
      <c r="Y1079">
        <v>0.104021</v>
      </c>
      <c r="Z1079">
        <v>4.6026669999999999E-2</v>
      </c>
      <c r="AA1079">
        <v>0.99350949999999905</v>
      </c>
      <c r="AB1079">
        <v>42</v>
      </c>
      <c r="AC1079">
        <v>-2.5407999999999902</v>
      </c>
      <c r="AD1079">
        <v>-1.1061257176379999</v>
      </c>
      <c r="AE1079">
        <v>-23.440100000000001</v>
      </c>
      <c r="AF1079">
        <v>2.4947144426648702</v>
      </c>
      <c r="AG1079">
        <v>-1.1061257176379999</v>
      </c>
      <c r="AH1079">
        <v>23.392977139674201</v>
      </c>
      <c r="AI1079">
        <v>92.691945415762007</v>
      </c>
      <c r="AJ1079">
        <v>83.912770985453406</v>
      </c>
      <c r="AK1079">
        <v>23.551613399318899</v>
      </c>
    </row>
    <row r="1080" spans="1:37" x14ac:dyDescent="0.2">
      <c r="A1080" t="str">
        <f>"20200111153422151"</f>
        <v>20200111153422151</v>
      </c>
      <c r="B1080" t="str">
        <f>"1578728062147747"</f>
        <v>1578728062147747</v>
      </c>
      <c r="C1080" t="s">
        <v>37</v>
      </c>
      <c r="D1080">
        <v>4.6975280000000001</v>
      </c>
      <c r="E1080">
        <v>0.54054559999999996</v>
      </c>
      <c r="F1080" t="s">
        <v>39</v>
      </c>
      <c r="G1080">
        <v>-195.3364</v>
      </c>
      <c r="H1080" s="1">
        <v>-3.9598679999999999E-6</v>
      </c>
      <c r="I1080">
        <v>305.8415</v>
      </c>
      <c r="J1080">
        <v>-192.07130000000001</v>
      </c>
      <c r="K1080">
        <v>1.1062959999999999</v>
      </c>
      <c r="L1080">
        <v>326.1069</v>
      </c>
      <c r="M1080">
        <v>8.7457639999999998E-4</v>
      </c>
      <c r="N1080">
        <v>0</v>
      </c>
      <c r="O1080">
        <v>-0.99999150000000003</v>
      </c>
      <c r="P1080">
        <v>-5.3924880000000001E-2</v>
      </c>
      <c r="Q1080">
        <v>4.0551869999999997E-2</v>
      </c>
      <c r="R1080">
        <v>-0.99772150000000004</v>
      </c>
      <c r="S1080">
        <v>-0.47204589999999902</v>
      </c>
      <c r="T1080">
        <v>-0.1599622</v>
      </c>
      <c r="U1080">
        <v>-2.987946</v>
      </c>
      <c r="V1080">
        <v>5.448911E-2</v>
      </c>
      <c r="W1080">
        <v>4.5011389999999998E-2</v>
      </c>
      <c r="X1080">
        <v>0.99749929999999998</v>
      </c>
      <c r="Y1080">
        <v>0.15669420000000001</v>
      </c>
      <c r="Z1080">
        <v>5.2802590000000003E-2</v>
      </c>
      <c r="AA1080">
        <v>0.98623470000000002</v>
      </c>
      <c r="AB1080">
        <v>42</v>
      </c>
      <c r="AC1080">
        <v>-3.2650999999999799</v>
      </c>
      <c r="AD1080">
        <v>-1.1062999598679999</v>
      </c>
      <c r="AE1080">
        <v>-20.2654</v>
      </c>
      <c r="AF1080">
        <v>3.2733144455983498</v>
      </c>
      <c r="AG1080">
        <v>-1.1062999598679999</v>
      </c>
      <c r="AH1080">
        <v>20.203849945975399</v>
      </c>
      <c r="AI1080">
        <v>93.093945633802903</v>
      </c>
      <c r="AJ1080">
        <v>80.797223374186004</v>
      </c>
      <c r="AK1080">
        <v>20.497171504879802</v>
      </c>
    </row>
    <row r="1081" spans="1:37" x14ac:dyDescent="0.2">
      <c r="A1081" t="str">
        <f>"20200111153422175"</f>
        <v>20200111153422175</v>
      </c>
      <c r="B1081" t="str">
        <f>"1578728062167265"</f>
        <v>1578728062167265</v>
      </c>
      <c r="C1081" t="s">
        <v>37</v>
      </c>
      <c r="D1081">
        <v>4.7764980000000001</v>
      </c>
      <c r="E1081">
        <v>0.54164489999999998</v>
      </c>
      <c r="F1081" t="s">
        <v>39</v>
      </c>
      <c r="G1081">
        <v>-195.28980000000001</v>
      </c>
      <c r="H1081" s="1">
        <v>-4.1320819999999997E-6</v>
      </c>
      <c r="I1081">
        <v>306.37180000000001</v>
      </c>
      <c r="J1081">
        <v>-192.06899999999999</v>
      </c>
      <c r="K1081">
        <v>1.1064799999999999</v>
      </c>
      <c r="L1081">
        <v>325.66649999999998</v>
      </c>
      <c r="M1081">
        <v>3.7448659999999999E-3</v>
      </c>
      <c r="N1081">
        <v>0</v>
      </c>
      <c r="O1081">
        <v>-0.99998240000000005</v>
      </c>
      <c r="P1081">
        <v>-5.2343220000000003E-2</v>
      </c>
      <c r="Q1081">
        <v>3.8177860000000001E-2</v>
      </c>
      <c r="R1081">
        <v>-0.99789939999999999</v>
      </c>
      <c r="S1081">
        <v>-0.48718260000000002</v>
      </c>
      <c r="T1081">
        <v>-0.1674629</v>
      </c>
      <c r="U1081">
        <v>-2.9873349999999999</v>
      </c>
      <c r="V1081">
        <v>5.5773450000000002E-2</v>
      </c>
      <c r="W1081">
        <v>4.3187830000000003E-2</v>
      </c>
      <c r="X1081">
        <v>0.99750890000000003</v>
      </c>
      <c r="Y1081">
        <v>0.16440560000000001</v>
      </c>
      <c r="Z1081">
        <v>5.522473E-2</v>
      </c>
      <c r="AA1081">
        <v>0.98484570000000005</v>
      </c>
      <c r="AB1081">
        <v>43</v>
      </c>
      <c r="AC1081">
        <v>-3.2207999999999899</v>
      </c>
      <c r="AD1081">
        <v>-1.10648413208199</v>
      </c>
      <c r="AE1081">
        <v>-19.294699999999899</v>
      </c>
      <c r="AF1081">
        <v>3.2825318741688401</v>
      </c>
      <c r="AG1081">
        <v>-1.10648413208199</v>
      </c>
      <c r="AH1081">
        <v>19.2210060204294</v>
      </c>
      <c r="AI1081">
        <v>93.247757996930105</v>
      </c>
      <c r="AJ1081">
        <v>80.308616200656701</v>
      </c>
      <c r="AK1081">
        <v>19.530652704834701</v>
      </c>
    </row>
    <row r="1082" spans="1:37" x14ac:dyDescent="0.2">
      <c r="A1082" t="str">
        <f>"20200111153422197"</f>
        <v>20200111153422197</v>
      </c>
      <c r="B1082" t="str">
        <f>"1578728062187760"</f>
        <v>1578728062187760</v>
      </c>
      <c r="C1082" t="s">
        <v>37</v>
      </c>
      <c r="D1082">
        <v>4.7171510000000003</v>
      </c>
      <c r="E1082">
        <v>0.54272410000000004</v>
      </c>
      <c r="F1082" t="s">
        <v>39</v>
      </c>
      <c r="G1082">
        <v>-195.09950000000001</v>
      </c>
      <c r="H1082" s="1">
        <v>-4.3917480000000003E-6</v>
      </c>
      <c r="I1082">
        <v>307.23399999999998</v>
      </c>
      <c r="J1082">
        <v>-192.06559999999999</v>
      </c>
      <c r="K1082">
        <v>1.1066499999999999</v>
      </c>
      <c r="L1082">
        <v>325.23439999999999</v>
      </c>
      <c r="M1082">
        <v>6.5152750000000001E-3</v>
      </c>
      <c r="N1082">
        <v>0</v>
      </c>
      <c r="O1082">
        <v>-0.99996489999999905</v>
      </c>
      <c r="P1082">
        <v>-5.1963580000000002E-2</v>
      </c>
      <c r="Q1082">
        <v>3.388969E-2</v>
      </c>
      <c r="R1082">
        <v>-0.99807380000000001</v>
      </c>
      <c r="S1082">
        <v>-0.49116520000000002</v>
      </c>
      <c r="T1082">
        <v>-0.1793323</v>
      </c>
      <c r="U1082">
        <v>-2.9874269999999998</v>
      </c>
      <c r="V1082">
        <v>5.8178420000000002E-2</v>
      </c>
      <c r="W1082">
        <v>3.9572699999999898E-2</v>
      </c>
      <c r="X1082">
        <v>0.99752160000000001</v>
      </c>
      <c r="Y1082">
        <v>0.16837479999999999</v>
      </c>
      <c r="Z1082">
        <v>5.909619E-2</v>
      </c>
      <c r="AA1082">
        <v>0.98394999999999999</v>
      </c>
      <c r="AB1082">
        <v>43</v>
      </c>
      <c r="AC1082">
        <v>-3.0339000000000098</v>
      </c>
      <c r="AD1082">
        <v>-1.1066543917479901</v>
      </c>
      <c r="AE1082">
        <v>-18.0003999999999</v>
      </c>
      <c r="AF1082">
        <v>3.1395758641301001</v>
      </c>
      <c r="AG1082">
        <v>-1.1066543917479901</v>
      </c>
      <c r="AH1082">
        <v>17.914409906531802</v>
      </c>
      <c r="AI1082">
        <v>93.481993249194701</v>
      </c>
      <c r="AJ1082">
        <v>80.059622410749</v>
      </c>
      <c r="AK1082">
        <v>18.221078531432902</v>
      </c>
    </row>
    <row r="1083" spans="1:37" x14ac:dyDescent="0.2">
      <c r="A1083" t="str">
        <f>"20200111153422219"</f>
        <v>20200111153422219</v>
      </c>
      <c r="B1083" t="str">
        <f>"1578728062217041"</f>
        <v>1578728062217041</v>
      </c>
      <c r="C1083" t="s">
        <v>37</v>
      </c>
      <c r="D1083">
        <v>4.7527299999999997</v>
      </c>
      <c r="E1083">
        <v>0.54397609999999996</v>
      </c>
      <c r="F1083" t="s">
        <v>39</v>
      </c>
      <c r="G1083">
        <v>-194.8793</v>
      </c>
      <c r="H1083" s="1">
        <v>-4.7405830000000001E-6</v>
      </c>
      <c r="I1083">
        <v>308.37389999999999</v>
      </c>
      <c r="J1083">
        <v>-192.06110000000001</v>
      </c>
      <c r="K1083">
        <v>1.1067819999999999</v>
      </c>
      <c r="L1083">
        <v>324.82249999999999</v>
      </c>
      <c r="M1083">
        <v>9.0847569999999902E-3</v>
      </c>
      <c r="N1083">
        <v>0</v>
      </c>
      <c r="O1083">
        <v>-0.99994089999999902</v>
      </c>
      <c r="P1083">
        <v>-5.3268620000000003E-2</v>
      </c>
      <c r="Q1083">
        <v>3.0459699999999999E-2</v>
      </c>
      <c r="R1083">
        <v>-0.9981158</v>
      </c>
      <c r="S1083">
        <v>-0.4983978</v>
      </c>
      <c r="T1083">
        <v>-0.196024</v>
      </c>
      <c r="U1083">
        <v>-2.986542</v>
      </c>
      <c r="V1083">
        <v>6.2064939999999999E-2</v>
      </c>
      <c r="W1083">
        <v>3.688959E-2</v>
      </c>
      <c r="X1083">
        <v>0.9973902</v>
      </c>
      <c r="Y1083">
        <v>0.1732157</v>
      </c>
      <c r="Z1083">
        <v>6.4551310000000001E-2</v>
      </c>
      <c r="AA1083">
        <v>0.98276620000000003</v>
      </c>
      <c r="AB1083">
        <v>43</v>
      </c>
      <c r="AC1083">
        <v>-2.8181999999999898</v>
      </c>
      <c r="AD1083">
        <v>-1.1067867405830001</v>
      </c>
      <c r="AE1083">
        <v>-16.448599999999999</v>
      </c>
      <c r="AF1083">
        <v>2.9545224241828598</v>
      </c>
      <c r="AG1083">
        <v>-1.1067867405830001</v>
      </c>
      <c r="AH1083">
        <v>16.350400807786201</v>
      </c>
      <c r="AI1083">
        <v>93.811008566058305</v>
      </c>
      <c r="AJ1083">
        <v>79.757165704944398</v>
      </c>
      <c r="AK1083">
        <v>16.652020484595401</v>
      </c>
    </row>
    <row r="1084" spans="1:37" x14ac:dyDescent="0.2">
      <c r="A1084" t="str">
        <f>"20200111153422241"</f>
        <v>20200111153422241</v>
      </c>
      <c r="B1084" t="str">
        <f>"1578728062237537"</f>
        <v>1578728062237537</v>
      </c>
      <c r="C1084" t="s">
        <v>37</v>
      </c>
      <c r="D1084">
        <v>4.7792089999999998</v>
      </c>
      <c r="E1084">
        <v>0.54474339999999999</v>
      </c>
      <c r="F1084" t="s">
        <v>39</v>
      </c>
      <c r="G1084">
        <v>-194.8073</v>
      </c>
      <c r="H1084" s="1">
        <v>-4.8724299999999997E-6</v>
      </c>
      <c r="I1084">
        <v>308.79880000000003</v>
      </c>
      <c r="J1084">
        <v>-192.05539999999999</v>
      </c>
      <c r="K1084">
        <v>1.106887</v>
      </c>
      <c r="L1084">
        <v>324.40539999999999</v>
      </c>
      <c r="M1084">
        <v>1.156947E-2</v>
      </c>
      <c r="N1084">
        <v>0</v>
      </c>
      <c r="O1084">
        <v>-0.99991010000000002</v>
      </c>
      <c r="P1084">
        <v>-5.5245320000000001E-2</v>
      </c>
      <c r="Q1084">
        <v>2.8799640000000001E-2</v>
      </c>
      <c r="R1084">
        <v>-0.99805739999999998</v>
      </c>
      <c r="S1084">
        <v>-0.51153559999999998</v>
      </c>
      <c r="T1084">
        <v>-0.20615610000000001</v>
      </c>
      <c r="U1084">
        <v>-2.9846499999999998</v>
      </c>
      <c r="V1084">
        <v>6.6527929999999999E-2</v>
      </c>
      <c r="W1084">
        <v>3.6067599999999998E-2</v>
      </c>
      <c r="X1084">
        <v>0.99713249999999998</v>
      </c>
      <c r="Y1084">
        <v>0.17992849999999999</v>
      </c>
      <c r="Z1084">
        <v>6.784635E-2</v>
      </c>
      <c r="AA1084">
        <v>0.98133719999999902</v>
      </c>
      <c r="AB1084">
        <v>43</v>
      </c>
      <c r="AC1084">
        <v>-2.7519</v>
      </c>
      <c r="AD1084">
        <v>-1.1068918724300001</v>
      </c>
      <c r="AE1084">
        <v>-15.606599999999901</v>
      </c>
      <c r="AF1084">
        <v>2.91804404093098</v>
      </c>
      <c r="AG1084">
        <v>-1.1068918724300001</v>
      </c>
      <c r="AH1084">
        <v>15.4981073988027</v>
      </c>
      <c r="AI1084">
        <v>94.014881984036705</v>
      </c>
      <c r="AJ1084">
        <v>79.336962341052896</v>
      </c>
      <c r="AK1084">
        <v>15.809222738227399</v>
      </c>
    </row>
    <row r="1085" spans="1:37" x14ac:dyDescent="0.2">
      <c r="A1085" t="str">
        <f>"20200111153422264"</f>
        <v>20200111153422264</v>
      </c>
      <c r="B1085" t="str">
        <f>"1578728062257057"</f>
        <v>1578728062257057</v>
      </c>
      <c r="C1085" t="s">
        <v>37</v>
      </c>
      <c r="D1085">
        <v>4.7977629999999998</v>
      </c>
      <c r="E1085">
        <v>0.54544589999999904</v>
      </c>
      <c r="F1085" t="s">
        <v>39</v>
      </c>
      <c r="G1085">
        <v>-194.77930000000001</v>
      </c>
      <c r="H1085" s="1">
        <v>-4.8914030000000002E-6</v>
      </c>
      <c r="I1085">
        <v>308.86919999999998</v>
      </c>
      <c r="J1085">
        <v>-192.04849999999999</v>
      </c>
      <c r="K1085">
        <v>1.106954</v>
      </c>
      <c r="L1085">
        <v>323.97649999999999</v>
      </c>
      <c r="M1085">
        <v>1.4015329999999999E-2</v>
      </c>
      <c r="N1085">
        <v>0</v>
      </c>
      <c r="O1085">
        <v>-0.9998726</v>
      </c>
      <c r="P1085">
        <v>-5.6204360000000002E-2</v>
      </c>
      <c r="Q1085">
        <v>2.87745999999999E-2</v>
      </c>
      <c r="R1085">
        <v>-0.99800469999999897</v>
      </c>
      <c r="S1085">
        <v>-0.52299499999999999</v>
      </c>
      <c r="T1085">
        <v>-0.21253</v>
      </c>
      <c r="U1085">
        <v>-2.9830320000000001</v>
      </c>
      <c r="V1085">
        <v>6.9924819999999999E-2</v>
      </c>
      <c r="W1085">
        <v>3.6888160000000003E-2</v>
      </c>
      <c r="X1085">
        <v>0.99687000000000003</v>
      </c>
      <c r="Y1085">
        <v>0.18605469999999999</v>
      </c>
      <c r="Z1085">
        <v>6.9904709999999995E-2</v>
      </c>
      <c r="AA1085">
        <v>0.98004950000000002</v>
      </c>
      <c r="AB1085">
        <v>43</v>
      </c>
      <c r="AC1085">
        <v>-2.7308000000000101</v>
      </c>
      <c r="AD1085">
        <v>-1.106958891403</v>
      </c>
      <c r="AE1085">
        <v>-15.1073</v>
      </c>
      <c r="AF1085">
        <v>2.9270537730487001</v>
      </c>
      <c r="AG1085">
        <v>-1.106958891403</v>
      </c>
      <c r="AH1085">
        <v>14.9896098251526</v>
      </c>
      <c r="AI1085">
        <v>94.145518966787506</v>
      </c>
      <c r="AJ1085">
        <v>78.950768323124606</v>
      </c>
      <c r="AK1085">
        <v>15.3127856540829</v>
      </c>
    </row>
    <row r="1086" spans="1:37" x14ac:dyDescent="0.2">
      <c r="A1086" t="str">
        <f>"20200111153422286"</f>
        <v>20200111153422286</v>
      </c>
      <c r="B1086" t="str">
        <f>"1578728062277554"</f>
        <v>1578728062277554</v>
      </c>
      <c r="C1086" t="s">
        <v>37</v>
      </c>
      <c r="D1086">
        <v>4.8133939999999997</v>
      </c>
      <c r="E1086">
        <v>0.54600269999999995</v>
      </c>
      <c r="F1086" t="s">
        <v>39</v>
      </c>
      <c r="G1086">
        <v>-194.80799999999999</v>
      </c>
      <c r="H1086" s="1">
        <v>-4.7627110000000002E-6</v>
      </c>
      <c r="I1086">
        <v>308.47609999999997</v>
      </c>
      <c r="J1086">
        <v>-192.04069999999999</v>
      </c>
      <c r="K1086">
        <v>1.1069610000000001</v>
      </c>
      <c r="L1086">
        <v>323.55020000000002</v>
      </c>
      <c r="M1086">
        <v>1.6292790000000001E-2</v>
      </c>
      <c r="N1086">
        <v>0</v>
      </c>
      <c r="O1086">
        <v>-0.99983199999999905</v>
      </c>
      <c r="P1086">
        <v>-5.5607459999999997E-2</v>
      </c>
      <c r="Q1086">
        <v>3.01476E-2</v>
      </c>
      <c r="R1086">
        <v>-0.99799760000000004</v>
      </c>
      <c r="S1086">
        <v>-0.53091429999999995</v>
      </c>
      <c r="T1086">
        <v>-0.2129779</v>
      </c>
      <c r="U1086">
        <v>-2.9822690000000001</v>
      </c>
      <c r="V1086">
        <v>7.1592340000000004E-2</v>
      </c>
      <c r="W1086">
        <v>3.9032379999999998E-2</v>
      </c>
      <c r="X1086">
        <v>0.9966699</v>
      </c>
      <c r="Y1086">
        <v>0.1908552</v>
      </c>
      <c r="Z1086">
        <v>7.0016620000000002E-2</v>
      </c>
      <c r="AA1086">
        <v>0.97911789999999999</v>
      </c>
      <c r="AB1086">
        <v>42</v>
      </c>
      <c r="AC1086">
        <v>-2.7673000000000001</v>
      </c>
      <c r="AD1086">
        <v>-1.1069657627109999</v>
      </c>
      <c r="AE1086">
        <v>-15.0741</v>
      </c>
      <c r="AF1086">
        <v>2.9969059746331199</v>
      </c>
      <c r="AG1086">
        <v>-1.1069657627109999</v>
      </c>
      <c r="AH1086">
        <v>14.949023165497101</v>
      </c>
      <c r="AI1086">
        <v>94.152658676660906</v>
      </c>
      <c r="AJ1086">
        <v>78.663899125606406</v>
      </c>
      <c r="AK1086">
        <v>15.286599105856601</v>
      </c>
    </row>
    <row r="1087" spans="1:37" x14ac:dyDescent="0.2">
      <c r="A1087" t="str">
        <f>"20200111153422309"</f>
        <v>20200111153422309</v>
      </c>
      <c r="B1087" t="str">
        <f>"1578728062297106"</f>
        <v>1578728062297106</v>
      </c>
      <c r="C1087" t="s">
        <v>37</v>
      </c>
      <c r="D1087">
        <v>4.8169639999999996</v>
      </c>
      <c r="E1087">
        <v>0.54647990000000002</v>
      </c>
      <c r="F1087" t="s">
        <v>39</v>
      </c>
      <c r="G1087">
        <v>-194.90790000000001</v>
      </c>
      <c r="H1087" s="1">
        <v>-4.4636689999999902E-6</v>
      </c>
      <c r="I1087">
        <v>307.5453</v>
      </c>
      <c r="J1087">
        <v>-192.03210000000001</v>
      </c>
      <c r="K1087">
        <v>1.1068910000000001</v>
      </c>
      <c r="L1087">
        <v>323.12279999999998</v>
      </c>
      <c r="M1087">
        <v>1.8348529999999998E-2</v>
      </c>
      <c r="N1087">
        <v>0</v>
      </c>
      <c r="O1087">
        <v>-0.99978999999999996</v>
      </c>
      <c r="P1087">
        <v>-5.4619540000000001E-2</v>
      </c>
      <c r="Q1087">
        <v>2.9071710000000001E-2</v>
      </c>
      <c r="R1087">
        <v>-0.99808390000000002</v>
      </c>
      <c r="S1087">
        <v>-0.5342865</v>
      </c>
      <c r="T1087">
        <v>-0.2062804</v>
      </c>
      <c r="U1087">
        <v>-2.9824830000000002</v>
      </c>
      <c r="V1087">
        <v>7.2671959999999994E-2</v>
      </c>
      <c r="W1087">
        <v>3.8652159999999998E-2</v>
      </c>
      <c r="X1087">
        <v>0.99660659999999901</v>
      </c>
      <c r="Y1087">
        <v>0.19396040000000001</v>
      </c>
      <c r="Z1087">
        <v>6.7789390000000005E-2</v>
      </c>
      <c r="AA1087">
        <v>0.97866439999999999</v>
      </c>
      <c r="AB1087">
        <v>42</v>
      </c>
      <c r="AC1087">
        <v>-2.8757999999999901</v>
      </c>
      <c r="AD1087">
        <v>-1.106895463669</v>
      </c>
      <c r="AE1087">
        <v>-15.577499999999899</v>
      </c>
      <c r="AF1087">
        <v>3.1457918963127098</v>
      </c>
      <c r="AG1087">
        <v>-1.106895463669</v>
      </c>
      <c r="AH1087">
        <v>15.446686414617799</v>
      </c>
      <c r="AI1087">
        <v>94.016587017909998</v>
      </c>
      <c r="AJ1087">
        <v>78.488858953375299</v>
      </c>
      <c r="AK1087">
        <v>15.802574012291</v>
      </c>
    </row>
    <row r="1088" spans="1:37" x14ac:dyDescent="0.2">
      <c r="A1088" t="str">
        <f>"20200111153422330"</f>
        <v>20200111153422330</v>
      </c>
      <c r="B1088" t="str">
        <f>"1578728062327360"</f>
        <v>1578728062327360</v>
      </c>
      <c r="C1088" t="s">
        <v>37</v>
      </c>
      <c r="D1088">
        <v>4.8318599999999998</v>
      </c>
      <c r="E1088">
        <v>0.54715069999999999</v>
      </c>
      <c r="F1088" t="s">
        <v>39</v>
      </c>
      <c r="G1088">
        <v>-194.9007</v>
      </c>
      <c r="H1088" s="1">
        <v>-4.3303129999999996E-6</v>
      </c>
      <c r="I1088">
        <v>307.15710000000001</v>
      </c>
      <c r="J1088">
        <v>-192.02340000000001</v>
      </c>
      <c r="K1088">
        <v>1.1067499999999999</v>
      </c>
      <c r="L1088">
        <v>322.72469999999998</v>
      </c>
      <c r="M1088">
        <v>1.999542E-2</v>
      </c>
      <c r="N1088">
        <v>0</v>
      </c>
      <c r="O1088">
        <v>-0.99975290000000006</v>
      </c>
      <c r="P1088">
        <v>-5.4553949999999997E-2</v>
      </c>
      <c r="Q1088">
        <v>2.695113E-2</v>
      </c>
      <c r="R1088">
        <v>-0.99814720000000001</v>
      </c>
      <c r="S1088">
        <v>-0.53587340000000006</v>
      </c>
      <c r="T1088">
        <v>-0.20677209999999999</v>
      </c>
      <c r="U1088">
        <v>-2.9824519999999999</v>
      </c>
      <c r="V1088">
        <v>7.4277549999999998E-2</v>
      </c>
      <c r="W1088">
        <v>3.7111169999999999E-2</v>
      </c>
      <c r="X1088">
        <v>0.99654690000000001</v>
      </c>
      <c r="Y1088">
        <v>0.19608039999999999</v>
      </c>
      <c r="Z1088">
        <v>6.7930039999999997E-2</v>
      </c>
      <c r="AA1088">
        <v>0.97823209999999905</v>
      </c>
      <c r="AB1088">
        <v>42</v>
      </c>
      <c r="AC1088">
        <v>-2.8772999999999902</v>
      </c>
      <c r="AD1088">
        <v>-1.1067543303129901</v>
      </c>
      <c r="AE1088">
        <v>-15.567599999999899</v>
      </c>
      <c r="AF1088">
        <v>3.1725149662649801</v>
      </c>
      <c r="AG1088">
        <v>-1.1067543303129901</v>
      </c>
      <c r="AH1088">
        <v>15.4315328709034</v>
      </c>
      <c r="AI1088">
        <v>94.018487537997601</v>
      </c>
      <c r="AJ1088">
        <v>78.3826283006658</v>
      </c>
      <c r="AK1088">
        <v>15.7930985909863</v>
      </c>
    </row>
    <row r="1089" spans="1:37" x14ac:dyDescent="0.2">
      <c r="A1089" t="str">
        <f>"20200111153422352"</f>
        <v>20200111153422352</v>
      </c>
      <c r="B1089" t="str">
        <f>"1578728062347856"</f>
        <v>1578728062347856</v>
      </c>
      <c r="C1089" t="s">
        <v>37</v>
      </c>
      <c r="D1089">
        <v>4.8121279999999897</v>
      </c>
      <c r="E1089">
        <v>0.54760600000000004</v>
      </c>
      <c r="F1089" t="s">
        <v>39</v>
      </c>
      <c r="G1089">
        <v>-194.86799999999999</v>
      </c>
      <c r="H1089" s="1">
        <v>-4.2975300000000003E-6</v>
      </c>
      <c r="I1089">
        <v>307.0779</v>
      </c>
      <c r="J1089">
        <v>-192.0136</v>
      </c>
      <c r="K1089">
        <v>1.106525</v>
      </c>
      <c r="L1089">
        <v>322.2987</v>
      </c>
      <c r="M1089">
        <v>2.1415130000000001E-2</v>
      </c>
      <c r="N1089">
        <v>0</v>
      </c>
      <c r="O1089">
        <v>-0.99971759999999998</v>
      </c>
      <c r="P1089">
        <v>-5.5797489999999998E-2</v>
      </c>
      <c r="Q1089">
        <v>2.3135599999999999E-2</v>
      </c>
      <c r="R1089">
        <v>-0.99817429999999996</v>
      </c>
      <c r="S1089">
        <v>-0.54205319999999901</v>
      </c>
      <c r="T1089">
        <v>-0.2108989</v>
      </c>
      <c r="U1089">
        <v>-2.981598</v>
      </c>
      <c r="V1089">
        <v>7.698033E-2</v>
      </c>
      <c r="W1089">
        <v>3.3842129999999998E-2</v>
      </c>
      <c r="X1089">
        <v>0.99645810000000001</v>
      </c>
      <c r="Y1089">
        <v>0.19946749999999999</v>
      </c>
      <c r="Z1089">
        <v>6.9259029999999999E-2</v>
      </c>
      <c r="AA1089">
        <v>0.97745380000000004</v>
      </c>
      <c r="AB1089">
        <v>42</v>
      </c>
      <c r="AC1089">
        <v>-2.8543999999999898</v>
      </c>
      <c r="AD1089">
        <v>-1.1065292975299901</v>
      </c>
      <c r="AE1089">
        <v>-15.220799999999899</v>
      </c>
      <c r="AF1089">
        <v>3.16356639180542</v>
      </c>
      <c r="AG1089">
        <v>-1.1065292975299901</v>
      </c>
      <c r="AH1089">
        <v>15.079191369413399</v>
      </c>
      <c r="AI1089">
        <v>94.107799017488603</v>
      </c>
      <c r="AJ1089">
        <v>78.151371011823898</v>
      </c>
      <c r="AK1089">
        <v>15.4471541636978</v>
      </c>
    </row>
    <row r="1090" spans="1:37" x14ac:dyDescent="0.2">
      <c r="A1090" t="str">
        <f>"20200111153422376"</f>
        <v>20200111153422376</v>
      </c>
      <c r="B1090" t="str">
        <f>"1578728062367376"</f>
        <v>1578728062367376</v>
      </c>
      <c r="C1090" t="s">
        <v>37</v>
      </c>
      <c r="D1090">
        <v>4.8328769999999999</v>
      </c>
      <c r="E1090">
        <v>0.54803089999999999</v>
      </c>
      <c r="F1090" t="s">
        <v>39</v>
      </c>
      <c r="G1090">
        <v>-194.75819999999999</v>
      </c>
      <c r="H1090" s="1">
        <v>-4.3940809999999997E-6</v>
      </c>
      <c r="I1090">
        <v>307.41879999999998</v>
      </c>
      <c r="J1090">
        <v>-192.0033</v>
      </c>
      <c r="K1090">
        <v>1.106233</v>
      </c>
      <c r="L1090">
        <v>321.8655</v>
      </c>
      <c r="M1090">
        <v>2.2471809999999998E-2</v>
      </c>
      <c r="N1090">
        <v>0</v>
      </c>
      <c r="O1090">
        <v>-0.99968880000000004</v>
      </c>
      <c r="P1090">
        <v>-5.723433E-2</v>
      </c>
      <c r="Q1090">
        <v>1.9291630000000001E-2</v>
      </c>
      <c r="R1090">
        <v>-0.99817489999999998</v>
      </c>
      <c r="S1090">
        <v>-0.54965209999999998</v>
      </c>
      <c r="T1090">
        <v>-0.2215956</v>
      </c>
      <c r="U1090">
        <v>-2.979889</v>
      </c>
      <c r="V1090">
        <v>7.9514639999999998E-2</v>
      </c>
      <c r="W1090">
        <v>3.0473589999999998E-2</v>
      </c>
      <c r="X1090">
        <v>0.99636780000000003</v>
      </c>
      <c r="Y1090">
        <v>0.20296700000000001</v>
      </c>
      <c r="Z1090">
        <v>7.2748599999999997E-2</v>
      </c>
      <c r="AA1090">
        <v>0.9764794</v>
      </c>
      <c r="AB1090">
        <v>42</v>
      </c>
      <c r="AC1090">
        <v>-2.7548999999999899</v>
      </c>
      <c r="AD1090">
        <v>-1.106237394081</v>
      </c>
      <c r="AE1090">
        <v>-14.4467</v>
      </c>
      <c r="AF1090">
        <v>3.0615452009334501</v>
      </c>
      <c r="AG1090">
        <v>-1.106237394081</v>
      </c>
      <c r="AH1090">
        <v>14.300232491219401</v>
      </c>
      <c r="AI1090">
        <v>94.325835814424494</v>
      </c>
      <c r="AJ1090">
        <v>77.915932367104304</v>
      </c>
      <c r="AK1090">
        <v>14.6660652355138</v>
      </c>
    </row>
    <row r="1091" spans="1:37" x14ac:dyDescent="0.2">
      <c r="A1091" t="str">
        <f>"20200111153422398"</f>
        <v>20200111153422398</v>
      </c>
      <c r="B1091" t="str">
        <f>"1578728062386895"</f>
        <v>1578728062386895</v>
      </c>
      <c r="C1091" t="s">
        <v>37</v>
      </c>
      <c r="D1091">
        <v>4.8313600000000001</v>
      </c>
      <c r="E1091">
        <v>0.54843489999999995</v>
      </c>
      <c r="F1091" t="s">
        <v>39</v>
      </c>
      <c r="G1091">
        <v>-194.65209999999999</v>
      </c>
      <c r="H1091" s="1">
        <v>-4.471081E-6</v>
      </c>
      <c r="I1091">
        <v>307.7004</v>
      </c>
      <c r="J1091">
        <v>-191.99289999999999</v>
      </c>
      <c r="K1091">
        <v>1.105893</v>
      </c>
      <c r="L1091">
        <v>321.43169999999998</v>
      </c>
      <c r="M1091">
        <v>2.3116359999999999E-2</v>
      </c>
      <c r="N1091">
        <v>0</v>
      </c>
      <c r="O1091">
        <v>-0.99966880000000002</v>
      </c>
      <c r="P1091">
        <v>-6.0019030000000001E-2</v>
      </c>
      <c r="Q1091">
        <v>1.637015E-2</v>
      </c>
      <c r="R1091">
        <v>-0.99806309999999998</v>
      </c>
      <c r="S1091">
        <v>-0.55686950000000002</v>
      </c>
      <c r="T1091">
        <v>-0.23257149999999999</v>
      </c>
      <c r="U1091">
        <v>-2.978027</v>
      </c>
      <c r="V1091">
        <v>8.297686E-2</v>
      </c>
      <c r="W1091">
        <v>2.795744E-2</v>
      </c>
      <c r="X1091">
        <v>0.99615929999999997</v>
      </c>
      <c r="Y1091">
        <v>0.20594459999999901</v>
      </c>
      <c r="Z1091">
        <v>7.6335249999999993E-2</v>
      </c>
      <c r="AA1091">
        <v>0.97558180000000005</v>
      </c>
      <c r="AB1091">
        <v>42</v>
      </c>
      <c r="AC1091">
        <v>-2.65919999999999</v>
      </c>
      <c r="AD1091">
        <v>-1.1058974710809999</v>
      </c>
      <c r="AE1091">
        <v>-13.7312999999999</v>
      </c>
      <c r="AF1091">
        <v>2.9574375013479499</v>
      </c>
      <c r="AG1091">
        <v>-1.1058974710809999</v>
      </c>
      <c r="AH1091">
        <v>13.581245827463</v>
      </c>
      <c r="AI1091">
        <v>94.549081953296493</v>
      </c>
      <c r="AJ1091">
        <v>77.715115157770299</v>
      </c>
      <c r="AK1091">
        <v>13.943445916160901</v>
      </c>
    </row>
    <row r="1092" spans="1:37" x14ac:dyDescent="0.2">
      <c r="A1092" t="str">
        <f>"20200111153422421"</f>
        <v>20200111153422421</v>
      </c>
      <c r="B1092" t="str">
        <f>"1578728062417151"</f>
        <v>1578728062417151</v>
      </c>
      <c r="C1092" t="s">
        <v>37</v>
      </c>
      <c r="D1092">
        <v>4.8103800000000003</v>
      </c>
      <c r="E1092">
        <v>0.54900740000000003</v>
      </c>
      <c r="F1092" t="s">
        <v>39</v>
      </c>
      <c r="G1092">
        <v>-194.60579999999999</v>
      </c>
      <c r="H1092" s="1">
        <v>-4.4793649999999999E-6</v>
      </c>
      <c r="I1092">
        <v>307.74880000000002</v>
      </c>
      <c r="J1092">
        <v>-191.98330000000001</v>
      </c>
      <c r="K1092">
        <v>1.1055459999999999</v>
      </c>
      <c r="L1092">
        <v>321.02390000000003</v>
      </c>
      <c r="M1092">
        <v>2.327825E-2</v>
      </c>
      <c r="N1092">
        <v>0</v>
      </c>
      <c r="O1092">
        <v>-0.99966069999999996</v>
      </c>
      <c r="P1092">
        <v>-6.3799579999999995E-2</v>
      </c>
      <c r="Q1092">
        <v>1.5447489999999999E-2</v>
      </c>
      <c r="R1092">
        <v>-0.99784399999999995</v>
      </c>
      <c r="S1092">
        <v>-0.568222</v>
      </c>
      <c r="T1092">
        <v>-0.2404994</v>
      </c>
      <c r="U1092">
        <v>-2.975616</v>
      </c>
      <c r="V1092">
        <v>8.6941260000000006E-2</v>
      </c>
      <c r="W1092">
        <v>2.7350180000000002E-2</v>
      </c>
      <c r="X1092">
        <v>0.99583790000000005</v>
      </c>
      <c r="Y1092">
        <v>0.20979989999999901</v>
      </c>
      <c r="Z1092">
        <v>7.892275E-2</v>
      </c>
      <c r="AA1092">
        <v>0.97455380000000003</v>
      </c>
      <c r="AB1092">
        <v>42</v>
      </c>
      <c r="AC1092">
        <v>-2.6224999999999699</v>
      </c>
      <c r="AD1092">
        <v>-1.1055504793649999</v>
      </c>
      <c r="AE1092">
        <v>-13.2751</v>
      </c>
      <c r="AF1092">
        <v>2.91139772603124</v>
      </c>
      <c r="AG1092">
        <v>-1.1055504793649999</v>
      </c>
      <c r="AH1092">
        <v>13.1228550777893</v>
      </c>
      <c r="AI1092">
        <v>94.701788457822204</v>
      </c>
      <c r="AJ1092">
        <v>77.4911328424147</v>
      </c>
      <c r="AK1092">
        <v>13.487320118326799</v>
      </c>
    </row>
    <row r="1093" spans="1:37" x14ac:dyDescent="0.2">
      <c r="A1093" t="str">
        <f>"20200111153422441"</f>
        <v>20200111153422441</v>
      </c>
      <c r="B1093" t="str">
        <f>"1578728062437647"</f>
        <v>1578728062437647</v>
      </c>
      <c r="C1093" t="s">
        <v>37</v>
      </c>
      <c r="D1093">
        <v>4.8406010000000004</v>
      </c>
      <c r="E1093">
        <v>0.54930880000000004</v>
      </c>
      <c r="F1093" t="s">
        <v>39</v>
      </c>
      <c r="G1093">
        <v>-194.65770000000001</v>
      </c>
      <c r="H1093" s="1">
        <v>-4.3664199999999999E-6</v>
      </c>
      <c r="I1093">
        <v>307.38990000000001</v>
      </c>
      <c r="J1093">
        <v>-191.97409999999999</v>
      </c>
      <c r="K1093">
        <v>1.105191</v>
      </c>
      <c r="L1093">
        <v>320.62189999999998</v>
      </c>
      <c r="M1093">
        <v>2.3039520000000001E-2</v>
      </c>
      <c r="N1093">
        <v>0</v>
      </c>
      <c r="O1093">
        <v>-0.99966180000000004</v>
      </c>
      <c r="P1093">
        <v>-6.8988579999999994E-2</v>
      </c>
      <c r="Q1093">
        <v>1.623293E-2</v>
      </c>
      <c r="R1093">
        <v>-0.99748570000000003</v>
      </c>
      <c r="S1093">
        <v>-0.58316040000000002</v>
      </c>
      <c r="T1093">
        <v>-0.2410717</v>
      </c>
      <c r="U1093">
        <v>-2.9729610000000002</v>
      </c>
      <c r="V1093">
        <v>9.1907699999999995E-2</v>
      </c>
      <c r="W1093">
        <v>2.839214E-2</v>
      </c>
      <c r="X1093">
        <v>0.99536270000000004</v>
      </c>
      <c r="Y1093">
        <v>0.21444160000000001</v>
      </c>
      <c r="Z1093">
        <v>7.9101409999999997E-2</v>
      </c>
      <c r="AA1093">
        <v>0.97352850000000002</v>
      </c>
      <c r="AB1093">
        <v>42</v>
      </c>
      <c r="AC1093">
        <v>-2.68360000000001</v>
      </c>
      <c r="AD1093">
        <v>-1.10519536642</v>
      </c>
      <c r="AE1093">
        <v>-13.2319999999999</v>
      </c>
      <c r="AF1093">
        <v>2.9678817231654602</v>
      </c>
      <c r="AG1093">
        <v>-1.10519536642</v>
      </c>
      <c r="AH1093">
        <v>13.0790150162029</v>
      </c>
      <c r="AI1093">
        <v>94.710894636702903</v>
      </c>
      <c r="AJ1093">
        <v>77.214987408524905</v>
      </c>
      <c r="AK1093">
        <v>13.456983782211999</v>
      </c>
    </row>
    <row r="1094" spans="1:37" x14ac:dyDescent="0.2">
      <c r="A1094" t="str">
        <f>"20200111153422466"</f>
        <v>20200111153422466</v>
      </c>
      <c r="B1094" t="str">
        <f>"1578728062457167"</f>
        <v>1578728062457167</v>
      </c>
      <c r="C1094" t="s">
        <v>37</v>
      </c>
      <c r="D1094">
        <v>4.8635919999999997</v>
      </c>
      <c r="E1094">
        <v>0.549724199999999</v>
      </c>
      <c r="F1094" t="s">
        <v>39</v>
      </c>
      <c r="G1094">
        <v>-194.739</v>
      </c>
      <c r="H1094" s="1">
        <v>-4.2257510000000004E-6</v>
      </c>
      <c r="I1094">
        <v>306.9341</v>
      </c>
      <c r="J1094">
        <v>-191.9639</v>
      </c>
      <c r="K1094">
        <v>1.104797</v>
      </c>
      <c r="L1094">
        <v>320.15989999999999</v>
      </c>
      <c r="M1094">
        <v>2.2348179999999999E-2</v>
      </c>
      <c r="N1094">
        <v>0</v>
      </c>
      <c r="O1094">
        <v>-0.99967349999999999</v>
      </c>
      <c r="P1094">
        <v>-7.5421650000000007E-2</v>
      </c>
      <c r="Q1094">
        <v>1.7817389999999999E-2</v>
      </c>
      <c r="R1094">
        <v>-0.99699280000000001</v>
      </c>
      <c r="S1094">
        <v>-0.59994510000000001</v>
      </c>
      <c r="T1094">
        <v>-0.239804399999999</v>
      </c>
      <c r="U1094">
        <v>-2.9699709999999899</v>
      </c>
      <c r="V1094">
        <v>9.7668480000000002E-2</v>
      </c>
      <c r="W1094">
        <v>3.0215260000000001E-2</v>
      </c>
      <c r="X1094">
        <v>0.99476019999999898</v>
      </c>
      <c r="Y1094">
        <v>0.21924730000000001</v>
      </c>
      <c r="Z1094">
        <v>7.8682039999999995E-2</v>
      </c>
      <c r="AA1094">
        <v>0.97249149999999995</v>
      </c>
      <c r="AB1094">
        <v>42</v>
      </c>
      <c r="AC1094">
        <v>-2.7751000000000001</v>
      </c>
      <c r="AD1094">
        <v>-1.104801225751</v>
      </c>
      <c r="AE1094">
        <v>-13.2257999999999</v>
      </c>
      <c r="AF1094">
        <v>3.0496194952878799</v>
      </c>
      <c r="AG1094">
        <v>-1.104801225751</v>
      </c>
      <c r="AH1094">
        <v>13.073097286202101</v>
      </c>
      <c r="AI1094">
        <v>94.704835330242901</v>
      </c>
      <c r="AJ1094">
        <v>76.869177652014699</v>
      </c>
      <c r="AK1094">
        <v>13.469470571220199</v>
      </c>
    </row>
    <row r="1095" spans="1:37" x14ac:dyDescent="0.2">
      <c r="A1095" t="str">
        <f>"20200111153422489"</f>
        <v>20200111153422489</v>
      </c>
      <c r="B1095" t="str">
        <f>"1578728062477663"</f>
        <v>1578728062477663</v>
      </c>
      <c r="C1095" t="s">
        <v>37</v>
      </c>
      <c r="D1095">
        <v>4.8148919999999897</v>
      </c>
      <c r="E1095">
        <v>0.55003469999999999</v>
      </c>
      <c r="F1095" t="s">
        <v>39</v>
      </c>
      <c r="G1095">
        <v>-194.88650000000001</v>
      </c>
      <c r="H1095" s="1">
        <v>-4.0069809999999996E-6</v>
      </c>
      <c r="I1095">
        <v>306.21440000000001</v>
      </c>
      <c r="J1095">
        <v>-191.95490000000001</v>
      </c>
      <c r="K1095">
        <v>1.104427</v>
      </c>
      <c r="L1095">
        <v>319.72590000000002</v>
      </c>
      <c r="M1095">
        <v>2.134088E-2</v>
      </c>
      <c r="N1095">
        <v>0</v>
      </c>
      <c r="O1095">
        <v>-0.99969209999999997</v>
      </c>
      <c r="P1095">
        <v>-8.2302760000000003E-2</v>
      </c>
      <c r="Q1095">
        <v>1.7012070000000001E-2</v>
      </c>
      <c r="R1095">
        <v>-0.99646270000000003</v>
      </c>
      <c r="S1095">
        <v>-0.6216431</v>
      </c>
      <c r="T1095">
        <v>-0.2349957</v>
      </c>
      <c r="U1095">
        <v>-2.96624799999999</v>
      </c>
      <c r="V1095">
        <v>0.103561999999999</v>
      </c>
      <c r="W1095">
        <v>2.9586109999999999E-2</v>
      </c>
      <c r="X1095">
        <v>0.99418289999999998</v>
      </c>
      <c r="Y1095">
        <v>0.22534679999999899</v>
      </c>
      <c r="Z1095">
        <v>7.7100550000000004E-2</v>
      </c>
      <c r="AA1095">
        <v>0.97122310000000001</v>
      </c>
      <c r="AB1095">
        <v>42</v>
      </c>
      <c r="AC1095">
        <v>-2.9316</v>
      </c>
      <c r="AD1095">
        <v>-1.1044310069809999</v>
      </c>
      <c r="AE1095">
        <v>-13.5115</v>
      </c>
      <c r="AF1095">
        <v>3.1988903933607902</v>
      </c>
      <c r="AG1095">
        <v>-1.1044310069809999</v>
      </c>
      <c r="AH1095">
        <v>13.360599853556099</v>
      </c>
      <c r="AI1095">
        <v>94.596190003594202</v>
      </c>
      <c r="AJ1095">
        <v>76.535304866792302</v>
      </c>
      <c r="AK1095">
        <v>13.7825359076173</v>
      </c>
    </row>
    <row r="1096" spans="1:37" x14ac:dyDescent="0.2">
      <c r="A1096" t="str">
        <f>"20200111153422509"</f>
        <v>20200111153422509</v>
      </c>
      <c r="B1096" t="str">
        <f>"1578728062497183"</f>
        <v>1578728062497183</v>
      </c>
      <c r="C1096" t="s">
        <v>37</v>
      </c>
      <c r="D1096">
        <v>4.8449749999999998</v>
      </c>
      <c r="E1096">
        <v>0.55037239999999998</v>
      </c>
      <c r="F1096" t="s">
        <v>39</v>
      </c>
      <c r="G1096">
        <v>-194.9528</v>
      </c>
      <c r="H1096" s="1">
        <v>-3.9256740000000001E-6</v>
      </c>
      <c r="I1096">
        <v>305.9409</v>
      </c>
      <c r="J1096">
        <v>-191.94739999999999</v>
      </c>
      <c r="K1096">
        <v>1.104088</v>
      </c>
      <c r="L1096">
        <v>319.332999999999</v>
      </c>
      <c r="M1096">
        <v>2.0133580000000002E-2</v>
      </c>
      <c r="N1096">
        <v>0</v>
      </c>
      <c r="O1096">
        <v>-0.99971409999999905</v>
      </c>
      <c r="P1096">
        <v>-8.8298899999999902E-2</v>
      </c>
      <c r="Q1096">
        <v>1.5189380000000001E-2</v>
      </c>
      <c r="R1096">
        <v>-0.99597839999999904</v>
      </c>
      <c r="S1096">
        <v>-0.64405819999999903</v>
      </c>
      <c r="T1096">
        <v>-0.23727179999999901</v>
      </c>
      <c r="U1096">
        <v>-2.96151699999999</v>
      </c>
      <c r="V1096">
        <v>0.1083686</v>
      </c>
      <c r="W1096">
        <v>2.7884510000000001E-2</v>
      </c>
      <c r="X1096">
        <v>0.99371960000000004</v>
      </c>
      <c r="Y1096">
        <v>0.231494799999999</v>
      </c>
      <c r="Z1096">
        <v>7.7849080000000001E-2</v>
      </c>
      <c r="AA1096">
        <v>0.96971629999999998</v>
      </c>
      <c r="AB1096">
        <v>42</v>
      </c>
      <c r="AC1096">
        <v>-3.0053999999999998</v>
      </c>
      <c r="AD1096">
        <v>-1.1040919256739901</v>
      </c>
      <c r="AE1096">
        <v>-13.3920999999999</v>
      </c>
      <c r="AF1096">
        <v>3.2533912322014999</v>
      </c>
      <c r="AG1096">
        <v>-1.1040919256739901</v>
      </c>
      <c r="AH1096">
        <v>13.2431733926406</v>
      </c>
      <c r="AI1096">
        <v>94.628759384132096</v>
      </c>
      <c r="AJ1096">
        <v>76.197731969561801</v>
      </c>
      <c r="AK1096">
        <v>13.681564786151</v>
      </c>
    </row>
    <row r="1097" spans="1:37" x14ac:dyDescent="0.2">
      <c r="A1097" t="str">
        <f>"20200111153422532"</f>
        <v>20200111153422532</v>
      </c>
      <c r="B1097" t="str">
        <f>"1578728062527439"</f>
        <v>1578728062527439</v>
      </c>
      <c r="C1097" t="s">
        <v>37</v>
      </c>
      <c r="D1097">
        <v>4.8497659999999998</v>
      </c>
      <c r="E1097">
        <v>0.55068229999999996</v>
      </c>
      <c r="F1097" t="s">
        <v>39</v>
      </c>
      <c r="G1097">
        <v>-194.994</v>
      </c>
      <c r="H1097" s="1">
        <v>-3.8798760000000001E-6</v>
      </c>
      <c r="I1097">
        <v>305.78489999999999</v>
      </c>
      <c r="J1097">
        <v>-191.9402</v>
      </c>
      <c r="K1097">
        <v>1.103723</v>
      </c>
      <c r="L1097">
        <v>318.92239999999998</v>
      </c>
      <c r="M1097">
        <v>1.8584159999999999E-2</v>
      </c>
      <c r="N1097">
        <v>0</v>
      </c>
      <c r="O1097">
        <v>-0.99974180000000001</v>
      </c>
      <c r="P1097">
        <v>-9.3326399999999907E-2</v>
      </c>
      <c r="Q1097">
        <v>1.3293040000000001E-2</v>
      </c>
      <c r="R1097">
        <v>-0.99554719999999997</v>
      </c>
      <c r="S1097">
        <v>-0.66491699999999998</v>
      </c>
      <c r="T1097">
        <v>-0.24096210000000001</v>
      </c>
      <c r="U1097">
        <v>-2.9568180000000002</v>
      </c>
      <c r="V1097">
        <v>0.11186699999999999</v>
      </c>
      <c r="W1097">
        <v>2.608367E-2</v>
      </c>
      <c r="X1097">
        <v>0.99338079999999995</v>
      </c>
      <c r="Y1097">
        <v>0.23680409999999999</v>
      </c>
      <c r="Z1097">
        <v>7.9067219999999994E-2</v>
      </c>
      <c r="AA1097">
        <v>0.96833469999999999</v>
      </c>
      <c r="AB1097">
        <v>42</v>
      </c>
      <c r="AC1097">
        <v>-3.0538000000000198</v>
      </c>
      <c r="AD1097">
        <v>-1.103726879876</v>
      </c>
      <c r="AE1097">
        <v>-13.1374999999999</v>
      </c>
      <c r="AF1097">
        <v>3.2755085575962299</v>
      </c>
      <c r="AG1097">
        <v>-1.103726879876</v>
      </c>
      <c r="AH1097">
        <v>12.991477001907</v>
      </c>
      <c r="AI1097">
        <v>94.709377212821707</v>
      </c>
      <c r="AJ1097">
        <v>75.849087964122106</v>
      </c>
      <c r="AK1097">
        <v>13.443423820862201</v>
      </c>
    </row>
    <row r="1098" spans="1:37" x14ac:dyDescent="0.2">
      <c r="A1098" t="str">
        <f>"20200111153422555"</f>
        <v>20200111153422555</v>
      </c>
      <c r="B1098" t="str">
        <f>"1578728062547937"</f>
        <v>1578728062547937</v>
      </c>
      <c r="C1098" t="s">
        <v>37</v>
      </c>
      <c r="D1098">
        <v>4.8796290000000004</v>
      </c>
      <c r="E1098">
        <v>0.55095919999999998</v>
      </c>
      <c r="F1098" t="s">
        <v>39</v>
      </c>
      <c r="G1098">
        <v>-195.03739999999999</v>
      </c>
      <c r="H1098" s="1">
        <v>-3.8015209999999999E-6</v>
      </c>
      <c r="I1098">
        <v>305.53199999999998</v>
      </c>
      <c r="J1098">
        <v>-191.93340000000001</v>
      </c>
      <c r="K1098">
        <v>1.103329</v>
      </c>
      <c r="L1098">
        <v>318.47399999999999</v>
      </c>
      <c r="M1098">
        <v>1.6578869999999999E-2</v>
      </c>
      <c r="N1098">
        <v>0</v>
      </c>
      <c r="O1098">
        <v>-0.9997743</v>
      </c>
      <c r="P1098">
        <v>-9.812303E-2</v>
      </c>
      <c r="Q1098">
        <v>1.205816E-2</v>
      </c>
      <c r="R1098">
        <v>-0.99510149999999997</v>
      </c>
      <c r="S1098">
        <v>-0.68295289999999997</v>
      </c>
      <c r="T1098">
        <v>-0.24337909999999999</v>
      </c>
      <c r="U1098">
        <v>-2.9526669999999999</v>
      </c>
      <c r="V1098">
        <v>0.11468389999999901</v>
      </c>
      <c r="W1098">
        <v>2.492105E-2</v>
      </c>
      <c r="X1098">
        <v>0.99308940000000001</v>
      </c>
      <c r="Y1098">
        <v>0.24075269999999999</v>
      </c>
      <c r="Z1098">
        <v>7.9875559999999998E-2</v>
      </c>
      <c r="AA1098">
        <v>0.96729419999999899</v>
      </c>
      <c r="AB1098">
        <v>42</v>
      </c>
      <c r="AC1098">
        <v>-3.1039999999999801</v>
      </c>
      <c r="AD1098">
        <v>-1.103332801521</v>
      </c>
      <c r="AE1098">
        <v>-12.942</v>
      </c>
      <c r="AF1098">
        <v>3.2955073128369099</v>
      </c>
      <c r="AG1098">
        <v>-1.103332801521</v>
      </c>
      <c r="AH1098">
        <v>12.800781065356</v>
      </c>
      <c r="AI1098">
        <v>94.771465626082602</v>
      </c>
      <c r="AJ1098">
        <v>75.562947281402899</v>
      </c>
      <c r="AK1098">
        <v>13.264151220604001</v>
      </c>
    </row>
    <row r="1099" spans="1:37" x14ac:dyDescent="0.2">
      <c r="A1099" t="str">
        <f>"20200111153422577"</f>
        <v>20200111153422577</v>
      </c>
      <c r="B1099" t="str">
        <f>"1578728062567455"</f>
        <v>1578728062567455</v>
      </c>
      <c r="C1099" t="s">
        <v>37</v>
      </c>
      <c r="D1099">
        <v>4.8706239999999896</v>
      </c>
      <c r="E1099">
        <v>0.55111599999999905</v>
      </c>
      <c r="F1099" t="s">
        <v>39</v>
      </c>
      <c r="G1099">
        <v>-195.08619999999999</v>
      </c>
      <c r="H1099" s="1">
        <v>-3.6917970000000001E-6</v>
      </c>
      <c r="I1099">
        <v>305.1841</v>
      </c>
      <c r="J1099">
        <v>-191.9282</v>
      </c>
      <c r="K1099">
        <v>1.1029679999999999</v>
      </c>
      <c r="L1099">
        <v>318.0677</v>
      </c>
      <c r="M1099">
        <v>1.447639E-2</v>
      </c>
      <c r="N1099">
        <v>0</v>
      </c>
      <c r="O1099">
        <v>-0.9998049</v>
      </c>
      <c r="P1099">
        <v>-0.102413899999999</v>
      </c>
      <c r="Q1099">
        <v>1.0229749999999999E-2</v>
      </c>
      <c r="R1099">
        <v>-0.99468979999999996</v>
      </c>
      <c r="S1099">
        <v>-0.69953920000000003</v>
      </c>
      <c r="T1099">
        <v>-0.2448082</v>
      </c>
      <c r="U1099">
        <v>-2.9487610000000002</v>
      </c>
      <c r="V1099">
        <v>0.116893899999999</v>
      </c>
      <c r="W1099">
        <v>2.313343E-2</v>
      </c>
      <c r="X1099">
        <v>0.99287499999999995</v>
      </c>
      <c r="Y1099">
        <v>0.24414040000000001</v>
      </c>
      <c r="Z1099">
        <v>8.036335E-2</v>
      </c>
      <c r="AA1099">
        <v>0.96640429999999999</v>
      </c>
      <c r="AB1099">
        <v>42</v>
      </c>
      <c r="AC1099">
        <v>-3.1579999999999799</v>
      </c>
      <c r="AD1099">
        <v>-1.1029716917970001</v>
      </c>
      <c r="AE1099">
        <v>-12.883599999999999</v>
      </c>
      <c r="AF1099">
        <v>3.3212316708819198</v>
      </c>
      <c r="AG1099">
        <v>-1.1029716917970001</v>
      </c>
      <c r="AH1099">
        <v>12.748389787586699</v>
      </c>
      <c r="AI1099">
        <v>94.785865307952704</v>
      </c>
      <c r="AJ1099">
        <v>75.397790993639802</v>
      </c>
      <c r="AK1099">
        <v>13.2200063744622</v>
      </c>
    </row>
    <row r="1100" spans="1:37" x14ac:dyDescent="0.2">
      <c r="A1100" t="str">
        <f>"20200111153422600"</f>
        <v>20200111153422600</v>
      </c>
      <c r="B1100" t="str">
        <f>"1578728062597712"</f>
        <v>1578728062597712</v>
      </c>
      <c r="C1100" t="s">
        <v>37</v>
      </c>
      <c r="D1100">
        <v>4.9609709999999998</v>
      </c>
      <c r="E1100">
        <v>0.55132879999999995</v>
      </c>
      <c r="F1100" t="s">
        <v>39</v>
      </c>
      <c r="G1100">
        <v>-195.09549999999999</v>
      </c>
      <c r="H1100" s="1">
        <v>-3.6309679999999898E-6</v>
      </c>
      <c r="I1100">
        <v>305.00049999999999</v>
      </c>
      <c r="J1100">
        <v>-191.92400000000001</v>
      </c>
      <c r="K1100">
        <v>1.1025969999999901</v>
      </c>
      <c r="L1100">
        <v>317.63729999999998</v>
      </c>
      <c r="M1100">
        <v>1.194925E-2</v>
      </c>
      <c r="N1100">
        <v>0</v>
      </c>
      <c r="O1100">
        <v>-0.99983659999999996</v>
      </c>
      <c r="P1100">
        <v>-0.1065953</v>
      </c>
      <c r="Q1100">
        <v>8.6454310000000003E-3</v>
      </c>
      <c r="R1100">
        <v>-0.99426530000000002</v>
      </c>
      <c r="S1100">
        <v>-0.71383669999999899</v>
      </c>
      <c r="T1100">
        <v>-0.2485888</v>
      </c>
      <c r="U1100">
        <v>-2.9450989999999999</v>
      </c>
      <c r="V1100">
        <v>0.11857289999999999</v>
      </c>
      <c r="W1100">
        <v>2.1573599999999998E-2</v>
      </c>
      <c r="X1100">
        <v>0.99271089999999995</v>
      </c>
      <c r="Y1100">
        <v>0.24637100000000001</v>
      </c>
      <c r="Z1100">
        <v>8.1629469999999996E-2</v>
      </c>
      <c r="AA1100">
        <v>0.96573189999999998</v>
      </c>
      <c r="AB1100">
        <v>42</v>
      </c>
      <c r="AC1100">
        <v>-3.17149999999998</v>
      </c>
      <c r="AD1100">
        <v>-1.1026006309680001</v>
      </c>
      <c r="AE1100">
        <v>-12.6367999999999</v>
      </c>
      <c r="AF1100">
        <v>3.2986626977914701</v>
      </c>
      <c r="AG1100">
        <v>-1.1026006309680001</v>
      </c>
      <c r="AH1100">
        <v>12.508411909066799</v>
      </c>
      <c r="AI1100">
        <v>94.871812551353798</v>
      </c>
      <c r="AJ1100">
        <v>75.226559479907394</v>
      </c>
      <c r="AK1100">
        <v>12.982960842276899</v>
      </c>
    </row>
    <row r="1101" spans="1:37" x14ac:dyDescent="0.2">
      <c r="A1101" t="str">
        <f>"20200111153422621"</f>
        <v>20200111153422621</v>
      </c>
      <c r="B1101" t="str">
        <f>"1578728062617231"</f>
        <v>1578728062617231</v>
      </c>
      <c r="C1101" t="s">
        <v>37</v>
      </c>
      <c r="D1101">
        <v>4.906498</v>
      </c>
      <c r="E1101">
        <v>0.55121119999999901</v>
      </c>
      <c r="F1101" t="s">
        <v>39</v>
      </c>
      <c r="G1101">
        <v>-195.11619999999999</v>
      </c>
      <c r="H1101" s="1">
        <v>-3.5474230000000001E-6</v>
      </c>
      <c r="I1101">
        <v>304.74430000000001</v>
      </c>
      <c r="J1101">
        <v>-191.92140000000001</v>
      </c>
      <c r="K1101">
        <v>1.1022799999999999</v>
      </c>
      <c r="L1101">
        <v>317.2491</v>
      </c>
      <c r="M1101">
        <v>9.4096130000000007E-3</v>
      </c>
      <c r="N1101">
        <v>0</v>
      </c>
      <c r="O1101">
        <v>-0.99986200000000003</v>
      </c>
      <c r="P1101">
        <v>-0.1104117</v>
      </c>
      <c r="Q1101">
        <v>7.0397819999999996E-3</v>
      </c>
      <c r="R1101">
        <v>-0.99386099999999999</v>
      </c>
      <c r="S1101">
        <v>-0.72825620000000002</v>
      </c>
      <c r="T1101">
        <v>-0.25154609999999999</v>
      </c>
      <c r="U1101">
        <v>-2.9414060000000002</v>
      </c>
      <c r="V1101">
        <v>0.1198712</v>
      </c>
      <c r="W1101">
        <v>1.9977970000000001E-2</v>
      </c>
      <c r="X1101">
        <v>0.99258840000000004</v>
      </c>
      <c r="Y1101">
        <v>0.24863299999999999</v>
      </c>
      <c r="Z1101">
        <v>8.2625829999999997E-2</v>
      </c>
      <c r="AA1101">
        <v>0.96506709999999996</v>
      </c>
      <c r="AB1101">
        <v>42</v>
      </c>
      <c r="AC1101">
        <v>-3.1947999999999799</v>
      </c>
      <c r="AD1101">
        <v>-1.1022835474229999</v>
      </c>
      <c r="AE1101">
        <v>-12.5047999999999</v>
      </c>
      <c r="AF1101">
        <v>3.28834931665416</v>
      </c>
      <c r="AG1101">
        <v>-1.1022835474229999</v>
      </c>
      <c r="AH1101">
        <v>12.383852479475699</v>
      </c>
      <c r="AI1101">
        <v>94.916964387954906</v>
      </c>
      <c r="AJ1101">
        <v>75.129121695846294</v>
      </c>
      <c r="AK1101">
        <v>12.860329407938</v>
      </c>
    </row>
    <row r="1102" spans="1:37" x14ac:dyDescent="0.2">
      <c r="A1102" t="str">
        <f>"20200111153422644"</f>
        <v>20200111153422644</v>
      </c>
      <c r="B1102" t="str">
        <f>"1578728062637728"</f>
        <v>1578728062637728</v>
      </c>
      <c r="C1102" t="s">
        <v>37</v>
      </c>
      <c r="D1102">
        <v>4.9185239999999997</v>
      </c>
      <c r="E1102">
        <v>0.55120259999999999</v>
      </c>
      <c r="F1102" t="s">
        <v>39</v>
      </c>
      <c r="G1102">
        <v>-195.13570000000001</v>
      </c>
      <c r="H1102" s="1">
        <v>-3.4553729999999999E-6</v>
      </c>
      <c r="I1102">
        <v>304.46359999999999</v>
      </c>
      <c r="J1102">
        <v>-191.91990000000001</v>
      </c>
      <c r="K1102">
        <v>1.101961</v>
      </c>
      <c r="L1102">
        <v>316.81229999999999</v>
      </c>
      <c r="M1102">
        <v>6.2983519999999897E-3</v>
      </c>
      <c r="N1102">
        <v>0</v>
      </c>
      <c r="O1102">
        <v>-0.99988500000000002</v>
      </c>
      <c r="P1102">
        <v>-0.1147497</v>
      </c>
      <c r="Q1102">
        <v>6.8330040000000002E-3</v>
      </c>
      <c r="R1102">
        <v>-0.99337119999999901</v>
      </c>
      <c r="S1102">
        <v>-0.73867799999999995</v>
      </c>
      <c r="T1102">
        <v>-0.25331409999999999</v>
      </c>
      <c r="U1102">
        <v>-2.9382320000000002</v>
      </c>
      <c r="V1102">
        <v>0.12113119999999999</v>
      </c>
      <c r="W1102">
        <v>1.9774880000000002E-2</v>
      </c>
      <c r="X1102">
        <v>0.99243950000000003</v>
      </c>
      <c r="Y1102">
        <v>0.24907260000000001</v>
      </c>
      <c r="Z1102">
        <v>8.3252419999999994E-2</v>
      </c>
      <c r="AA1102">
        <v>0.96489999999999998</v>
      </c>
      <c r="AB1102">
        <v>42</v>
      </c>
      <c r="AC1102">
        <v>-3.2158000000000002</v>
      </c>
      <c r="AD1102">
        <v>-1.1019644553729999</v>
      </c>
      <c r="AE1102">
        <v>-12.348699999999999</v>
      </c>
      <c r="AF1102">
        <v>3.2691402942101599</v>
      </c>
      <c r="AG1102">
        <v>-1.1019644553729999</v>
      </c>
      <c r="AH1102">
        <v>12.236941275385</v>
      </c>
      <c r="AI1102">
        <v>94.972276121034895</v>
      </c>
      <c r="AJ1102">
        <v>75.042550439022904</v>
      </c>
      <c r="AK1102">
        <v>12.713942571104999</v>
      </c>
    </row>
    <row r="1103" spans="1:37" x14ac:dyDescent="0.2">
      <c r="A1103" t="str">
        <f>"20200111153422666"</f>
        <v>20200111153422666</v>
      </c>
      <c r="B1103" t="str">
        <f>"1578728062657247"</f>
        <v>1578728062657247</v>
      </c>
      <c r="C1103" t="s">
        <v>37</v>
      </c>
      <c r="D1103">
        <v>4.9067189999999998</v>
      </c>
      <c r="E1103">
        <v>0.5510623</v>
      </c>
      <c r="F1103" t="s">
        <v>39</v>
      </c>
      <c r="G1103">
        <v>-195.20169999999999</v>
      </c>
      <c r="H1103" s="1">
        <v>-3.2704660000000002E-6</v>
      </c>
      <c r="I1103">
        <v>303.98649999999998</v>
      </c>
      <c r="J1103">
        <v>-191.91990000000001</v>
      </c>
      <c r="K1103">
        <v>1.1016919999999999</v>
      </c>
      <c r="L1103">
        <v>316.3954</v>
      </c>
      <c r="M1103">
        <v>3.1031729999999999E-3</v>
      </c>
      <c r="N1103">
        <v>0</v>
      </c>
      <c r="O1103">
        <v>-0.99989869999999903</v>
      </c>
      <c r="P1103">
        <v>-0.118147499999999</v>
      </c>
      <c r="Q1103">
        <v>7.9998139999999992E-3</v>
      </c>
      <c r="R1103">
        <v>-0.99296399999999996</v>
      </c>
      <c r="S1103">
        <v>-0.75097659999999999</v>
      </c>
      <c r="T1103">
        <v>-0.25216660000000002</v>
      </c>
      <c r="U1103">
        <v>-2.93499799999999</v>
      </c>
      <c r="V1103">
        <v>0.12137719999999901</v>
      </c>
      <c r="W1103">
        <v>2.09448E-2</v>
      </c>
      <c r="X1103">
        <v>0.99238539999999997</v>
      </c>
      <c r="Y1103">
        <v>0.25003550000000002</v>
      </c>
      <c r="Z1103">
        <v>8.2915630000000004E-2</v>
      </c>
      <c r="AA1103">
        <v>0.96467990000000003</v>
      </c>
      <c r="AB1103">
        <v>42</v>
      </c>
      <c r="AC1103">
        <v>-3.2817999999999699</v>
      </c>
      <c r="AD1103">
        <v>-1.1016952704659999</v>
      </c>
      <c r="AE1103">
        <v>-12.408899999999999</v>
      </c>
      <c r="AF1103">
        <v>3.2960129120030399</v>
      </c>
      <c r="AG1103">
        <v>-1.1016952704659999</v>
      </c>
      <c r="AH1103">
        <v>12.3079814863168</v>
      </c>
      <c r="AI1103">
        <v>94.941730420247694</v>
      </c>
      <c r="AJ1103">
        <v>75.008256077007601</v>
      </c>
      <c r="AK1103">
        <v>12.789208022883001</v>
      </c>
    </row>
    <row r="1104" spans="1:37" x14ac:dyDescent="0.2">
      <c r="A1104" t="str">
        <f>"20200111153422688"</f>
        <v>20200111153422688</v>
      </c>
      <c r="B1104" t="str">
        <f>"1578728062677743"</f>
        <v>1578728062677743</v>
      </c>
      <c r="C1104" t="s">
        <v>37</v>
      </c>
      <c r="D1104">
        <v>4.9263629999999896</v>
      </c>
      <c r="E1104">
        <v>0.55096610000000001</v>
      </c>
      <c r="F1104" t="s">
        <v>39</v>
      </c>
      <c r="G1104">
        <v>-195.32599999999999</v>
      </c>
      <c r="H1104" s="1">
        <v>-2.9853189999999999E-6</v>
      </c>
      <c r="I1104">
        <v>303.24470000000002</v>
      </c>
      <c r="J1104">
        <v>-191.92140000000001</v>
      </c>
      <c r="K1104">
        <v>1.1014440000000001</v>
      </c>
      <c r="L1104">
        <v>315.9787</v>
      </c>
      <c r="M1104">
        <v>-3.0704879999999998E-4</v>
      </c>
      <c r="N1104">
        <v>0</v>
      </c>
      <c r="O1104">
        <v>-0.99990249999999903</v>
      </c>
      <c r="P1104">
        <v>-0.1207155</v>
      </c>
      <c r="Q1104">
        <v>9.6920029999999994E-3</v>
      </c>
      <c r="R1104">
        <v>-0.99264010000000003</v>
      </c>
      <c r="S1104">
        <v>-0.75961299999999998</v>
      </c>
      <c r="T1104">
        <v>-0.24569489999999999</v>
      </c>
      <c r="U1104">
        <v>-2.9328310000000002</v>
      </c>
      <c r="V1104">
        <v>0.1205862</v>
      </c>
      <c r="W1104">
        <v>2.2643360000000001E-2</v>
      </c>
      <c r="X1104">
        <v>0.99244460000000001</v>
      </c>
      <c r="Y1104">
        <v>0.24961230000000001</v>
      </c>
      <c r="Z1104">
        <v>8.0835749999999998E-2</v>
      </c>
      <c r="AA1104">
        <v>0.96496589999999904</v>
      </c>
      <c r="AB1104">
        <v>42</v>
      </c>
      <c r="AC1104">
        <v>-3.4045999999999799</v>
      </c>
      <c r="AD1104">
        <v>-1.1014469853190001</v>
      </c>
      <c r="AE1104">
        <v>-12.733999999999901</v>
      </c>
      <c r="AF1104">
        <v>3.3771087667104598</v>
      </c>
      <c r="AG1104">
        <v>-1.1014469853190001</v>
      </c>
      <c r="AH1104">
        <v>12.646738763122899</v>
      </c>
      <c r="AI1104">
        <v>94.809820029673006</v>
      </c>
      <c r="AJ1104">
        <v>75.048937254453094</v>
      </c>
      <c r="AK1104">
        <v>13.136135292632099</v>
      </c>
    </row>
    <row r="1105" spans="1:37" x14ac:dyDescent="0.2">
      <c r="A1105" t="str">
        <f>"20200111153422710"</f>
        <v>20200111153422710</v>
      </c>
      <c r="B1105" t="str">
        <f>"1578728062707023"</f>
        <v>1578728062707023</v>
      </c>
      <c r="C1105" t="s">
        <v>37</v>
      </c>
      <c r="D1105">
        <v>4.8650289999999998</v>
      </c>
      <c r="E1105">
        <v>0.5508731</v>
      </c>
      <c r="F1105" t="s">
        <v>39</v>
      </c>
      <c r="G1105">
        <v>-195.4581</v>
      </c>
      <c r="H1105" s="1">
        <v>-2.67691599999999E-6</v>
      </c>
      <c r="I1105">
        <v>302.44380000000001</v>
      </c>
      <c r="J1105">
        <v>-191.92429999999999</v>
      </c>
      <c r="K1105">
        <v>1.1012169999999999</v>
      </c>
      <c r="L1105">
        <v>315.57279999999997</v>
      </c>
      <c r="M1105">
        <v>-3.8253929999999998E-3</v>
      </c>
      <c r="N1105">
        <v>0</v>
      </c>
      <c r="O1105">
        <v>-0.99989439999999996</v>
      </c>
      <c r="P1105">
        <v>-0.1230622</v>
      </c>
      <c r="Q1105">
        <v>1.0079350000000001E-2</v>
      </c>
      <c r="R1105">
        <v>-0.99234809999999996</v>
      </c>
      <c r="S1105">
        <v>-0.76599119999999998</v>
      </c>
      <c r="T1105">
        <v>-0.2385516</v>
      </c>
      <c r="U1105">
        <v>-2.9313959999999999</v>
      </c>
      <c r="V1105">
        <v>0.1194576</v>
      </c>
      <c r="W1105">
        <v>2.303618E-2</v>
      </c>
      <c r="X1105">
        <v>0.99257199999999901</v>
      </c>
      <c r="Y1105">
        <v>0.2483332</v>
      </c>
      <c r="Z1105">
        <v>7.8528959999999995E-2</v>
      </c>
      <c r="AA1105">
        <v>0.96548630000000002</v>
      </c>
      <c r="AB1105">
        <v>42</v>
      </c>
      <c r="AC1105">
        <v>-3.53380000000001</v>
      </c>
      <c r="AD1105">
        <v>-1.1012196769160001</v>
      </c>
      <c r="AE1105">
        <v>-13.1289999999999</v>
      </c>
      <c r="AF1105">
        <v>3.4608422343120999</v>
      </c>
      <c r="AG1105">
        <v>-1.1012196769160001</v>
      </c>
      <c r="AH1105">
        <v>13.0567700359644</v>
      </c>
      <c r="AI1105">
        <v>94.660766128088397</v>
      </c>
      <c r="AJ1105">
        <v>75.154500264568</v>
      </c>
      <c r="AK1105">
        <v>13.552466842596701</v>
      </c>
    </row>
    <row r="1106" spans="1:37" x14ac:dyDescent="0.2">
      <c r="A1106" t="str">
        <f>"20200111153422733"</f>
        <v>20200111153422733</v>
      </c>
      <c r="B1106" t="str">
        <f>"1578728062727520"</f>
        <v>1578728062727520</v>
      </c>
      <c r="C1106" t="s">
        <v>37</v>
      </c>
      <c r="D1106">
        <v>4.9264449999999904</v>
      </c>
      <c r="E1106">
        <v>0.55084630000000001</v>
      </c>
      <c r="F1106" t="s">
        <v>39</v>
      </c>
      <c r="G1106">
        <v>-195.5565</v>
      </c>
      <c r="H1106" s="1">
        <v>-2.4213130000000002E-6</v>
      </c>
      <c r="I1106">
        <v>301.78699999999998</v>
      </c>
      <c r="J1106">
        <v>-191.929</v>
      </c>
      <c r="K1106">
        <v>1.1009899999999999</v>
      </c>
      <c r="L1106">
        <v>315.14879999999999</v>
      </c>
      <c r="M1106">
        <v>-7.6831410000000001E-3</v>
      </c>
      <c r="N1106">
        <v>0</v>
      </c>
      <c r="O1106">
        <v>-0.99987099999999995</v>
      </c>
      <c r="P1106">
        <v>-0.1256033</v>
      </c>
      <c r="Q1106">
        <v>9.5946509999999992E-3</v>
      </c>
      <c r="R1106">
        <v>-0.99203430000000004</v>
      </c>
      <c r="S1106">
        <v>-0.77192689999999997</v>
      </c>
      <c r="T1106">
        <v>-0.23403189999999999</v>
      </c>
      <c r="U1106">
        <v>-2.9297789999999999</v>
      </c>
      <c r="V1106">
        <v>0.1181797</v>
      </c>
      <c r="W1106">
        <v>2.2555169999999999E-2</v>
      </c>
      <c r="X1106">
        <v>0.99273599999999995</v>
      </c>
      <c r="Y1106">
        <v>0.24658539999999901</v>
      </c>
      <c r="Z1106">
        <v>7.7086779999999994E-2</v>
      </c>
      <c r="AA1106">
        <v>0.96605030000000003</v>
      </c>
      <c r="AB1106">
        <v>42</v>
      </c>
      <c r="AC1106">
        <v>-3.6274999999999902</v>
      </c>
      <c r="AD1106">
        <v>-1.100992421313</v>
      </c>
      <c r="AE1106">
        <v>-13.361799999999899</v>
      </c>
      <c r="AF1106">
        <v>3.50257372832555</v>
      </c>
      <c r="AG1106">
        <v>-1.100992421313</v>
      </c>
      <c r="AH1106">
        <v>13.305144394908</v>
      </c>
      <c r="AI1106">
        <v>94.575231262428304</v>
      </c>
      <c r="AJ1106">
        <v>75.251524107963306</v>
      </c>
      <c r="AK1106">
        <v>13.802430018061999</v>
      </c>
    </row>
    <row r="1107" spans="1:37" x14ac:dyDescent="0.2">
      <c r="A1107" t="str">
        <f>"20200111153422755"</f>
        <v>20200111153422755</v>
      </c>
      <c r="B1107" t="str">
        <f>"1578728062747039"</f>
        <v>1578728062747039</v>
      </c>
      <c r="C1107" t="s">
        <v>37</v>
      </c>
      <c r="D1107">
        <v>4.9266329999999998</v>
      </c>
      <c r="E1107">
        <v>0.55084880000000003</v>
      </c>
      <c r="F1107" t="s">
        <v>39</v>
      </c>
      <c r="G1107">
        <v>-195.5908</v>
      </c>
      <c r="H1107" s="1">
        <v>-2.2575349999999999E-6</v>
      </c>
      <c r="I1107">
        <v>301.38389999999998</v>
      </c>
      <c r="J1107">
        <v>-191.93559999999999</v>
      </c>
      <c r="K1107">
        <v>1.1007739999999999</v>
      </c>
      <c r="L1107">
        <v>314.71539999999999</v>
      </c>
      <c r="M1107">
        <v>-1.178012E-2</v>
      </c>
      <c r="N1107">
        <v>0</v>
      </c>
      <c r="O1107">
        <v>-0.99983040000000001</v>
      </c>
      <c r="P1107">
        <v>-0.12864990000000001</v>
      </c>
      <c r="Q1107">
        <v>7.9177280000000006E-3</v>
      </c>
      <c r="R1107">
        <v>-0.99165859999999995</v>
      </c>
      <c r="S1107">
        <v>-0.77885439999999995</v>
      </c>
      <c r="T1107">
        <v>-0.23417649999999901</v>
      </c>
      <c r="U1107">
        <v>-2.9277340000000001</v>
      </c>
      <c r="V1107">
        <v>0.117158</v>
      </c>
      <c r="W1107">
        <v>2.0879479999999999E-2</v>
      </c>
      <c r="X1107">
        <v>0.99289380000000005</v>
      </c>
      <c r="Y1107">
        <v>0.24491550000000001</v>
      </c>
      <c r="Z1107">
        <v>7.717504E-2</v>
      </c>
      <c r="AA1107">
        <v>0.96646799999999999</v>
      </c>
      <c r="AB1107">
        <v>42</v>
      </c>
      <c r="AC1107">
        <v>-3.6551999999999998</v>
      </c>
      <c r="AD1107">
        <v>-1.100776257535</v>
      </c>
      <c r="AE1107">
        <v>-13.3315</v>
      </c>
      <c r="AF1107">
        <v>3.4758433977749799</v>
      </c>
      <c r="AG1107">
        <v>-1.100776257535</v>
      </c>
      <c r="AH1107">
        <v>13.2893691499214</v>
      </c>
      <c r="AI1107">
        <v>94.5816460859416</v>
      </c>
      <c r="AJ1107">
        <v>75.3425942058781</v>
      </c>
      <c r="AK1107">
        <v>13.7804400545807</v>
      </c>
    </row>
    <row r="1108" spans="1:37" x14ac:dyDescent="0.2">
      <c r="A1108" t="str">
        <f>"20200111153422778"</f>
        <v>20200111153422778</v>
      </c>
      <c r="B1108" t="str">
        <f>"1578728062767535"</f>
        <v>1578728062767535</v>
      </c>
      <c r="C1108" t="s">
        <v>37</v>
      </c>
      <c r="D1108">
        <v>4.929894</v>
      </c>
      <c r="E1108">
        <v>0.55091919999999905</v>
      </c>
      <c r="F1108" t="s">
        <v>39</v>
      </c>
      <c r="G1108">
        <v>-195.5805</v>
      </c>
      <c r="H1108" s="1">
        <v>-2.1661829999999999E-6</v>
      </c>
      <c r="I1108">
        <v>301.17739999999998</v>
      </c>
      <c r="J1108">
        <v>-191.9436</v>
      </c>
      <c r="K1108">
        <v>1.1006069999999999</v>
      </c>
      <c r="L1108">
        <v>314.3048</v>
      </c>
      <c r="M1108">
        <v>-1.5772669999999999E-2</v>
      </c>
      <c r="N1108">
        <v>0</v>
      </c>
      <c r="O1108">
        <v>-0.99977490000000002</v>
      </c>
      <c r="P1108">
        <v>-0.13262560000000001</v>
      </c>
      <c r="Q1108">
        <v>6.0304719999999899E-3</v>
      </c>
      <c r="R1108">
        <v>-0.99114829999999998</v>
      </c>
      <c r="S1108">
        <v>-0.78750609999999999</v>
      </c>
      <c r="T1108">
        <v>-0.23783000000000001</v>
      </c>
      <c r="U1108">
        <v>-2.9249879999999999</v>
      </c>
      <c r="V1108">
        <v>0.1171657</v>
      </c>
      <c r="W1108">
        <v>1.898443E-2</v>
      </c>
      <c r="X1108">
        <v>0.99293089999999995</v>
      </c>
      <c r="Y1108">
        <v>0.2439123</v>
      </c>
      <c r="Z1108">
        <v>7.8416459999999993E-2</v>
      </c>
      <c r="AA1108">
        <v>0.96662179999999998</v>
      </c>
      <c r="AB1108">
        <v>42</v>
      </c>
      <c r="AC1108">
        <v>-3.63689999999999</v>
      </c>
      <c r="AD1108">
        <v>-1.100609166183</v>
      </c>
      <c r="AE1108">
        <v>-13.1274</v>
      </c>
      <c r="AF1108">
        <v>3.4071301397338898</v>
      </c>
      <c r="AG1108">
        <v>-1.100609166183</v>
      </c>
      <c r="AH1108">
        <v>13.0976323900775</v>
      </c>
      <c r="AI1108">
        <v>94.649324737735995</v>
      </c>
      <c r="AJ1108">
        <v>75.418630915373697</v>
      </c>
      <c r="AK1108">
        <v>13.5782123474107</v>
      </c>
    </row>
    <row r="1109" spans="1:37" x14ac:dyDescent="0.2">
      <c r="A1109" t="str">
        <f>"20200111153422801"</f>
        <v>20200111153422801</v>
      </c>
      <c r="B1109" t="str">
        <f>"1578728062797792"</f>
        <v>1578728062797792</v>
      </c>
      <c r="C1109" t="s">
        <v>37</v>
      </c>
      <c r="D1109">
        <v>4.9368989999999897</v>
      </c>
      <c r="E1109">
        <v>0.55125019999999902</v>
      </c>
      <c r="F1109" t="s">
        <v>39</v>
      </c>
      <c r="G1109">
        <v>-195.55449999999999</v>
      </c>
      <c r="H1109" s="1">
        <v>-2.1287340000000001E-6</v>
      </c>
      <c r="I1109">
        <v>301.1062</v>
      </c>
      <c r="J1109">
        <v>-191.95359999999999</v>
      </c>
      <c r="K1109">
        <v>1.100481</v>
      </c>
      <c r="L1109">
        <v>313.88639999999998</v>
      </c>
      <c r="M1109">
        <v>-1.9914709999999999E-2</v>
      </c>
      <c r="N1109">
        <v>0</v>
      </c>
      <c r="O1109">
        <v>-0.99970040000000004</v>
      </c>
      <c r="P1109">
        <v>-0.137465</v>
      </c>
      <c r="Q1109">
        <v>5.7443479999999998E-3</v>
      </c>
      <c r="R1109">
        <v>-0.99049019999999999</v>
      </c>
      <c r="S1109">
        <v>-0.79922490000000002</v>
      </c>
      <c r="T1109">
        <v>-0.24360760000000001</v>
      </c>
      <c r="U1109">
        <v>-2.9213559999999998</v>
      </c>
      <c r="V1109">
        <v>0.11790580000000001</v>
      </c>
      <c r="W1109">
        <v>1.868599E-2</v>
      </c>
      <c r="X1109">
        <v>0.99284889999999903</v>
      </c>
      <c r="Y1109">
        <v>0.24376729999999899</v>
      </c>
      <c r="Z1109">
        <v>8.0355969999999999E-2</v>
      </c>
      <c r="AA1109">
        <v>0.966499</v>
      </c>
      <c r="AB1109">
        <v>42</v>
      </c>
      <c r="AC1109">
        <v>-3.60089999999999</v>
      </c>
      <c r="AD1109">
        <v>-1.100483128734</v>
      </c>
      <c r="AE1109">
        <v>-12.780199999999899</v>
      </c>
      <c r="AF1109">
        <v>3.3228204263485899</v>
      </c>
      <c r="AG1109">
        <v>-1.100483128734</v>
      </c>
      <c r="AH1109">
        <v>12.7617186135348</v>
      </c>
      <c r="AI1109">
        <v>94.770323913253605</v>
      </c>
      <c r="AJ1109">
        <v>75.405710900583799</v>
      </c>
      <c r="AK1109">
        <v>13.233051827656</v>
      </c>
    </row>
    <row r="1110" spans="1:37" x14ac:dyDescent="0.2">
      <c r="A1110" t="str">
        <f>"20200111153422823"</f>
        <v>20200111153422823</v>
      </c>
      <c r="B1110" t="str">
        <f>"1578728062817311"</f>
        <v>1578728062817311</v>
      </c>
      <c r="C1110" t="s">
        <v>37</v>
      </c>
      <c r="D1110">
        <v>4.9221959999999996</v>
      </c>
      <c r="E1110">
        <v>0.55148980000000003</v>
      </c>
      <c r="F1110" t="s">
        <v>39</v>
      </c>
      <c r="G1110">
        <v>-195.60589999999999</v>
      </c>
      <c r="H1110" s="1">
        <v>-2.0229909999999999E-6</v>
      </c>
      <c r="I1110">
        <v>300.8279</v>
      </c>
      <c r="J1110">
        <v>-191.96549999999999</v>
      </c>
      <c r="K1110">
        <v>1.1003889999999901</v>
      </c>
      <c r="L1110">
        <v>313.46589999999998</v>
      </c>
      <c r="M1110">
        <v>-2.4116530000000001E-2</v>
      </c>
      <c r="N1110">
        <v>0</v>
      </c>
      <c r="O1110">
        <v>-0.99960740000000003</v>
      </c>
      <c r="P1110">
        <v>-0.14324229999999999</v>
      </c>
      <c r="Q1110">
        <v>7.3321280000000003E-3</v>
      </c>
      <c r="R1110">
        <v>-0.98966069999999995</v>
      </c>
      <c r="S1110">
        <v>-0.81582639999999995</v>
      </c>
      <c r="T1110">
        <v>-0.24581990000000001</v>
      </c>
      <c r="U1110">
        <v>-2.9169619999999998</v>
      </c>
      <c r="V1110">
        <v>0.1195481</v>
      </c>
      <c r="W1110">
        <v>2.0254009999999999E-2</v>
      </c>
      <c r="X1110">
        <v>0.9926218</v>
      </c>
      <c r="Y1110">
        <v>0.24515490000000001</v>
      </c>
      <c r="Z1110">
        <v>8.111198E-2</v>
      </c>
      <c r="AA1110">
        <v>0.96608479999999997</v>
      </c>
      <c r="AB1110">
        <v>42</v>
      </c>
      <c r="AC1110">
        <v>-3.6404000000000001</v>
      </c>
      <c r="AD1110">
        <v>-1.1003910229909999</v>
      </c>
      <c r="AE1110">
        <v>-12.6379999999999</v>
      </c>
      <c r="AF1110">
        <v>3.3113447237350702</v>
      </c>
      <c r="AG1110">
        <v>-1.1003910229909999</v>
      </c>
      <c r="AH1110">
        <v>12.6336861406139</v>
      </c>
      <c r="AI1110">
        <v>94.816010771794396</v>
      </c>
      <c r="AJ1110">
        <v>75.312903217767698</v>
      </c>
      <c r="AK1110">
        <v>13.1067116311617</v>
      </c>
    </row>
    <row r="1111" spans="1:37" x14ac:dyDescent="0.2">
      <c r="A1111" t="str">
        <f>"20200111153422845"</f>
        <v>20200111153422845</v>
      </c>
      <c r="B1111" t="str">
        <f>"1578728062837809"</f>
        <v>1578728062837809</v>
      </c>
      <c r="C1111" t="s">
        <v>37</v>
      </c>
      <c r="D1111">
        <v>4.9723459999999999</v>
      </c>
      <c r="E1111">
        <v>0.55176069999999999</v>
      </c>
      <c r="F1111" t="s">
        <v>39</v>
      </c>
      <c r="G1111">
        <v>-195.7638</v>
      </c>
      <c r="H1111" s="1">
        <v>-1.8004749999999999E-6</v>
      </c>
      <c r="I1111">
        <v>300.21120000000002</v>
      </c>
      <c r="J1111">
        <v>-191.97890000000001</v>
      </c>
      <c r="K1111">
        <v>1.100322</v>
      </c>
      <c r="L1111">
        <v>313.0489</v>
      </c>
      <c r="M1111">
        <v>-2.8302480000000001E-2</v>
      </c>
      <c r="N1111">
        <v>0</v>
      </c>
      <c r="O1111">
        <v>-0.99949719999999997</v>
      </c>
      <c r="P1111">
        <v>-0.14987159999999999</v>
      </c>
      <c r="Q1111">
        <v>8.7085779999999998E-3</v>
      </c>
      <c r="R1111">
        <v>-0.98866730000000003</v>
      </c>
      <c r="S1111">
        <v>-0.83457950000000003</v>
      </c>
      <c r="T1111">
        <v>-0.241780299999999</v>
      </c>
      <c r="U1111">
        <v>-2.9123540000000001</v>
      </c>
      <c r="V1111">
        <v>0.12206259999999999</v>
      </c>
      <c r="W1111">
        <v>2.1602679999999999E-2</v>
      </c>
      <c r="X1111">
        <v>0.99228729999999998</v>
      </c>
      <c r="Y1111">
        <v>0.2472792</v>
      </c>
      <c r="Z1111">
        <v>7.9805230000000005E-2</v>
      </c>
      <c r="AA1111">
        <v>0.96565219999999896</v>
      </c>
      <c r="AB1111">
        <v>42</v>
      </c>
      <c r="AC1111">
        <v>-3.7848999999999902</v>
      </c>
      <c r="AD1111">
        <v>-1.100323800475</v>
      </c>
      <c r="AE1111">
        <v>-12.8376999999999</v>
      </c>
      <c r="AF1111">
        <v>3.3970477329839301</v>
      </c>
      <c r="AG1111">
        <v>-1.100323800475</v>
      </c>
      <c r="AH1111">
        <v>12.8528199429342</v>
      </c>
      <c r="AI1111">
        <v>94.731438415137902</v>
      </c>
      <c r="AJ1111">
        <v>75.195057176660598</v>
      </c>
      <c r="AK1111">
        <v>13.339626166109401</v>
      </c>
    </row>
    <row r="1112" spans="1:37" x14ac:dyDescent="0.2">
      <c r="A1112" t="str">
        <f>"20200111153422869"</f>
        <v>20200111153422869</v>
      </c>
      <c r="B1112" t="str">
        <f>"1578728062857327"</f>
        <v>1578728062857327</v>
      </c>
      <c r="C1112" t="s">
        <v>37</v>
      </c>
      <c r="D1112">
        <v>4.9383109999999997</v>
      </c>
      <c r="E1112">
        <v>0.55198930000000002</v>
      </c>
      <c r="F1112" t="s">
        <v>39</v>
      </c>
      <c r="G1112">
        <v>-195.93360000000001</v>
      </c>
      <c r="H1112" s="1">
        <v>-1.5915079999999999E-6</v>
      </c>
      <c r="I1112">
        <v>299.61880000000002</v>
      </c>
      <c r="J1112">
        <v>-191.9949</v>
      </c>
      <c r="K1112">
        <v>1.10026</v>
      </c>
      <c r="L1112">
        <v>312.61290000000002</v>
      </c>
      <c r="M1112">
        <v>-3.2682049999999997E-2</v>
      </c>
      <c r="N1112">
        <v>0</v>
      </c>
      <c r="O1112">
        <v>-0.99936320000000001</v>
      </c>
      <c r="P1112">
        <v>-0.1575734</v>
      </c>
      <c r="Q1112">
        <v>9.5774369999999994E-3</v>
      </c>
      <c r="R1112">
        <v>-0.98746069999999997</v>
      </c>
      <c r="S1112">
        <v>-0.85591130000000004</v>
      </c>
      <c r="T1112">
        <v>-0.23814639999999901</v>
      </c>
      <c r="U1112">
        <v>-2.9067080000000001</v>
      </c>
      <c r="V1112">
        <v>0.12546189999999999</v>
      </c>
      <c r="W1112">
        <v>2.2433129999999999E-2</v>
      </c>
      <c r="X1112">
        <v>0.99184479999999997</v>
      </c>
      <c r="Y1112">
        <v>0.25009029999999999</v>
      </c>
      <c r="Z1112">
        <v>7.8636029999999996E-2</v>
      </c>
      <c r="AA1112">
        <v>0.96502389999999905</v>
      </c>
      <c r="AB1112">
        <v>42</v>
      </c>
      <c r="AC1112">
        <v>-3.9387000000000101</v>
      </c>
      <c r="AD1112">
        <v>-1.1002615915080001</v>
      </c>
      <c r="AE1112">
        <v>-12.9941</v>
      </c>
      <c r="AF1112">
        <v>3.4889682830737598</v>
      </c>
      <c r="AG1112">
        <v>-1.1002615915080001</v>
      </c>
      <c r="AH1112">
        <v>13.0303331441827</v>
      </c>
      <c r="AI1112">
        <v>94.663020460273501</v>
      </c>
      <c r="AJ1112">
        <v>75.010252618443005</v>
      </c>
      <c r="AK1112">
        <v>13.5341441213853</v>
      </c>
    </row>
    <row r="1113" spans="1:37" x14ac:dyDescent="0.2">
      <c r="A1113" t="str">
        <f>"20200111153422890"</f>
        <v>20200111153422890</v>
      </c>
      <c r="B1113" t="str">
        <f>"1578728062887583"</f>
        <v>1578728062887583</v>
      </c>
      <c r="C1113" t="s">
        <v>37</v>
      </c>
      <c r="D1113">
        <v>4.9325099999999997</v>
      </c>
      <c r="E1113">
        <v>0.55212249999999996</v>
      </c>
      <c r="F1113" t="s">
        <v>50</v>
      </c>
      <c r="G1113">
        <v>-196.08709999999999</v>
      </c>
      <c r="H1113" s="1">
        <v>8.6122520000000002E-8</v>
      </c>
      <c r="I1113">
        <v>299.12729999999999</v>
      </c>
      <c r="J1113">
        <v>-192.0111</v>
      </c>
      <c r="K1113">
        <v>1.1001969999999901</v>
      </c>
      <c r="L1113">
        <v>312.21589999999998</v>
      </c>
      <c r="M1113">
        <v>-3.6661829999999999E-2</v>
      </c>
      <c r="N1113">
        <v>0</v>
      </c>
      <c r="O1113">
        <v>-0.99922509999999998</v>
      </c>
      <c r="P1113">
        <v>-0.1662517</v>
      </c>
      <c r="Q1113">
        <v>9.8904040000000002E-3</v>
      </c>
      <c r="R1113">
        <v>-0.98603390000000002</v>
      </c>
      <c r="S1113">
        <v>-0.87998960000000004</v>
      </c>
      <c r="T1113">
        <v>-0.23660019999999901</v>
      </c>
      <c r="U1113">
        <v>-2.8999329999999999</v>
      </c>
      <c r="V1113">
        <v>0.1302403</v>
      </c>
      <c r="W1113">
        <v>2.2689609999999999E-2</v>
      </c>
      <c r="X1113">
        <v>0.99122279999999996</v>
      </c>
      <c r="Y1113">
        <v>0.25420870000000001</v>
      </c>
      <c r="Z1113">
        <v>7.8153089999999995E-2</v>
      </c>
      <c r="AA1113">
        <v>0.96398649999999997</v>
      </c>
      <c r="AB1113">
        <v>41</v>
      </c>
      <c r="AC1113">
        <v>-4.0759999999999899</v>
      </c>
      <c r="AD1113">
        <v>-1.1001969138774801</v>
      </c>
      <c r="AE1113">
        <v>-13.0885999999999</v>
      </c>
      <c r="AF1113">
        <v>3.5703611878324999</v>
      </c>
      <c r="AG1113">
        <v>-1.1001969138774801</v>
      </c>
      <c r="AH1113">
        <v>13.1445833148227</v>
      </c>
      <c r="AI1113">
        <v>94.617926584778402</v>
      </c>
      <c r="AJ1113">
        <v>74.803828168411499</v>
      </c>
      <c r="AK1113">
        <v>13.6652106745999</v>
      </c>
    </row>
    <row r="1114" spans="1:37" x14ac:dyDescent="0.2">
      <c r="A1114" t="str">
        <f>"20200111153422923"</f>
        <v>20200111153422923</v>
      </c>
      <c r="B1114" t="str">
        <f>"1578728062917840"</f>
        <v>1578728062917840</v>
      </c>
      <c r="C1114" t="s">
        <v>37</v>
      </c>
      <c r="D1114">
        <v>4.963165</v>
      </c>
      <c r="E1114">
        <v>0.55223459999999902</v>
      </c>
      <c r="F1114" t="s">
        <v>50</v>
      </c>
      <c r="G1114">
        <v>-196.2259</v>
      </c>
      <c r="H1114" s="1">
        <v>1.5025939999999999E-7</v>
      </c>
      <c r="I1114">
        <v>298.76319999999998</v>
      </c>
      <c r="J1114">
        <v>-192.03890000000001</v>
      </c>
      <c r="K1114">
        <v>1.1001209999999999</v>
      </c>
      <c r="L1114">
        <v>311.6069</v>
      </c>
      <c r="M1114">
        <v>-4.2747849999999997E-2</v>
      </c>
      <c r="N1114">
        <v>0</v>
      </c>
      <c r="O1114">
        <v>-0.99898279999999995</v>
      </c>
      <c r="P1114">
        <v>-0.1752137</v>
      </c>
      <c r="Q1114">
        <v>8.228038E-3</v>
      </c>
      <c r="R1114">
        <v>-0.9844965</v>
      </c>
      <c r="S1114">
        <v>-0.90611269999999999</v>
      </c>
      <c r="T1114">
        <v>-0.2365215</v>
      </c>
      <c r="U1114">
        <v>-2.89209</v>
      </c>
      <c r="V1114">
        <v>0.13320270000000001</v>
      </c>
      <c r="W1114">
        <v>2.099533E-2</v>
      </c>
      <c r="X1114">
        <v>0.99086640000000004</v>
      </c>
      <c r="Y1114">
        <v>0.25699309999999997</v>
      </c>
      <c r="Z1114">
        <v>7.8169459999999996E-2</v>
      </c>
      <c r="AA1114">
        <v>0.96324659999999995</v>
      </c>
      <c r="AB1114">
        <v>41</v>
      </c>
      <c r="AC1114">
        <v>-4.1869999999999798</v>
      </c>
      <c r="AD1114">
        <v>-1.1001208497406001</v>
      </c>
      <c r="AE1114">
        <v>-12.8437</v>
      </c>
      <c r="AF1114">
        <v>3.6101326911838201</v>
      </c>
      <c r="AG1114">
        <v>-1.1001208497406001</v>
      </c>
      <c r="AH1114">
        <v>12.9252418464422</v>
      </c>
      <c r="AI1114">
        <v>94.686431333704206</v>
      </c>
      <c r="AJ1114">
        <v>74.394488351712795</v>
      </c>
      <c r="AK1114">
        <v>13.4649619650784</v>
      </c>
    </row>
    <row r="1115" spans="1:37" x14ac:dyDescent="0.2">
      <c r="A1115" t="str">
        <f>"20200111153422946"</f>
        <v>20200111153422946</v>
      </c>
      <c r="B1115" t="str">
        <f>"1578728062937360"</f>
        <v>1578728062937360</v>
      </c>
      <c r="C1115" t="s">
        <v>37</v>
      </c>
      <c r="D1115">
        <v>5.1171489999999897</v>
      </c>
      <c r="E1115">
        <v>0.55228389999999905</v>
      </c>
      <c r="F1115" t="s">
        <v>50</v>
      </c>
      <c r="G1115">
        <v>-196.28970000000001</v>
      </c>
      <c r="H1115" s="1">
        <v>2.008848E-7</v>
      </c>
      <c r="I1115">
        <v>298.47570000000002</v>
      </c>
      <c r="J1115">
        <v>-192.06039999999999</v>
      </c>
      <c r="K1115">
        <v>1.1000799999999999</v>
      </c>
      <c r="L1115">
        <v>311.18490000000003</v>
      </c>
      <c r="M1115">
        <v>-4.6952420000000002E-2</v>
      </c>
      <c r="N1115">
        <v>0</v>
      </c>
      <c r="O1115">
        <v>-0.99879379999999995</v>
      </c>
      <c r="P1115">
        <v>-0.1804347</v>
      </c>
      <c r="Q1115">
        <v>7.45117E-3</v>
      </c>
      <c r="R1115">
        <v>-0.98355899999999996</v>
      </c>
      <c r="S1115">
        <v>-0.93333440000000001</v>
      </c>
      <c r="T1115">
        <v>-0.24154729999999999</v>
      </c>
      <c r="U1115">
        <v>-2.8831479999999998</v>
      </c>
      <c r="V1115">
        <v>0.13428199999999901</v>
      </c>
      <c r="W1115">
        <v>2.0208710000000001E-2</v>
      </c>
      <c r="X1115">
        <v>0.99073709999999904</v>
      </c>
      <c r="Y1115">
        <v>0.2619881</v>
      </c>
      <c r="Z1115">
        <v>7.9865510000000001E-2</v>
      </c>
      <c r="AA1115">
        <v>0.96176079999999997</v>
      </c>
      <c r="AB1115">
        <v>41</v>
      </c>
      <c r="AC1115">
        <v>-4.2293000000000198</v>
      </c>
      <c r="AD1115">
        <v>-1.10007979911519</v>
      </c>
      <c r="AE1115">
        <v>-12.709199999999999</v>
      </c>
      <c r="AF1115">
        <v>3.6035384894317901</v>
      </c>
      <c r="AG1115">
        <v>-1.10007979911519</v>
      </c>
      <c r="AH1115">
        <v>12.8073874333819</v>
      </c>
      <c r="AI1115">
        <v>94.726671545040205</v>
      </c>
      <c r="AJ1115">
        <v>74.285306394730497</v>
      </c>
      <c r="AK1115">
        <v>13.350087568176701</v>
      </c>
    </row>
    <row r="1116" spans="1:37" x14ac:dyDescent="0.2">
      <c r="A1116" t="str">
        <f>"20200111153422967"</f>
        <v>20200111153422967</v>
      </c>
      <c r="B1116" t="str">
        <f>"1578728062957855"</f>
        <v>1578728062957855</v>
      </c>
      <c r="C1116" t="s">
        <v>37</v>
      </c>
      <c r="D1116">
        <v>5.0832239999999898</v>
      </c>
      <c r="E1116">
        <v>0.58132950000000005</v>
      </c>
      <c r="F1116" t="s">
        <v>50</v>
      </c>
      <c r="G1116">
        <v>-196.3389</v>
      </c>
      <c r="H1116" s="1">
        <v>2.4731699999999999E-7</v>
      </c>
      <c r="I1116">
        <v>298.21199999999999</v>
      </c>
      <c r="J1116">
        <v>-192.0829</v>
      </c>
      <c r="K1116">
        <v>1.1000570000000001</v>
      </c>
      <c r="L1116">
        <v>310.77760000000001</v>
      </c>
      <c r="M1116">
        <v>-5.1005639999999998E-2</v>
      </c>
      <c r="N1116">
        <v>0</v>
      </c>
      <c r="O1116">
        <v>-0.99859489999999995</v>
      </c>
      <c r="P1116">
        <v>-0.18574779999999999</v>
      </c>
      <c r="Q1116">
        <v>7.1106950000000002E-3</v>
      </c>
      <c r="R1116">
        <v>-0.98257209999999995</v>
      </c>
      <c r="S1116">
        <v>-0.94911190000000001</v>
      </c>
      <c r="T1116">
        <v>-0.2440388</v>
      </c>
      <c r="U1116">
        <v>-2.877869</v>
      </c>
      <c r="V1116">
        <v>0.13561300000000001</v>
      </c>
      <c r="W1116">
        <v>1.985545E-2</v>
      </c>
      <c r="X1116">
        <v>0.99056290000000002</v>
      </c>
      <c r="Y1116">
        <v>0.26333089999999998</v>
      </c>
      <c r="Z1116">
        <v>8.0717650000000002E-2</v>
      </c>
      <c r="AA1116">
        <v>0.96132280000000003</v>
      </c>
      <c r="AB1116">
        <v>41</v>
      </c>
      <c r="AC1116">
        <v>-4.2560000000000002</v>
      </c>
      <c r="AD1116">
        <v>-1.1000567526830001</v>
      </c>
      <c r="AE1116">
        <v>-12.5656</v>
      </c>
      <c r="AF1116">
        <v>3.5848292471044299</v>
      </c>
      <c r="AG1116">
        <v>-1.1000567526830001</v>
      </c>
      <c r="AH1116">
        <v>12.6791688345146</v>
      </c>
      <c r="AI1116">
        <v>94.772450519609507</v>
      </c>
      <c r="AJ1116">
        <v>74.212610518424199</v>
      </c>
      <c r="AK1116">
        <v>13.2220440146047</v>
      </c>
    </row>
    <row r="1117" spans="1:37" x14ac:dyDescent="0.2">
      <c r="A1117" t="str">
        <f>"20200111153422990"</f>
        <v>20200111153422990</v>
      </c>
      <c r="B1117" t="str">
        <f>"1578728062977378"</f>
        <v>1578728062977378</v>
      </c>
      <c r="C1117" t="s">
        <v>37</v>
      </c>
      <c r="D1117">
        <v>5.0611639999999998</v>
      </c>
      <c r="E1117">
        <v>0.58124770000000003</v>
      </c>
      <c r="F1117" t="s">
        <v>50</v>
      </c>
      <c r="G1117">
        <v>-197.607</v>
      </c>
      <c r="H1117" s="1">
        <v>3.4330199999999901E-7</v>
      </c>
      <c r="I1117">
        <v>297.66699999999997</v>
      </c>
      <c r="J1117">
        <v>-192.107</v>
      </c>
      <c r="K1117">
        <v>1.1000509999999999</v>
      </c>
      <c r="L1117">
        <v>310.3707</v>
      </c>
      <c r="M1117">
        <v>-5.5047079999999998E-2</v>
      </c>
      <c r="N1117">
        <v>0</v>
      </c>
      <c r="O1117">
        <v>-0.99837980000000004</v>
      </c>
      <c r="P1117">
        <v>-0.19140370000000001</v>
      </c>
      <c r="Q1117">
        <v>8.0209080000000002E-3</v>
      </c>
      <c r="R1117">
        <v>-0.9814792</v>
      </c>
      <c r="S1117">
        <v>-1.192215</v>
      </c>
      <c r="T1117">
        <v>-0.2374136</v>
      </c>
      <c r="U1117">
        <v>-2.829529</v>
      </c>
      <c r="V1117">
        <v>0.1373202</v>
      </c>
      <c r="W1117">
        <v>2.0772220000000001E-2</v>
      </c>
      <c r="X1117">
        <v>0.99030890000000005</v>
      </c>
      <c r="Y1117">
        <v>0.33579439999999999</v>
      </c>
      <c r="Z1117">
        <v>7.7710769999999998E-2</v>
      </c>
      <c r="AA1117">
        <v>0.93872420000000001</v>
      </c>
      <c r="AB1117">
        <v>41</v>
      </c>
      <c r="AC1117">
        <v>-5.5</v>
      </c>
      <c r="AD1117">
        <v>-1.100050656698</v>
      </c>
      <c r="AE1117">
        <v>-12.7036999999999</v>
      </c>
      <c r="AF1117">
        <v>4.7622128083839703</v>
      </c>
      <c r="AG1117">
        <v>-1.100050656698</v>
      </c>
      <c r="AH1117">
        <v>12.905728686808001</v>
      </c>
      <c r="AI1117">
        <v>94.572036472043195</v>
      </c>
      <c r="AJ1117">
        <v>69.745943391130197</v>
      </c>
      <c r="AK1117">
        <v>13.800239679698899</v>
      </c>
    </row>
    <row r="1118" spans="1:37" x14ac:dyDescent="0.2">
      <c r="A1118" t="str">
        <f>"20200111153423013"</f>
        <v>20200111153423013</v>
      </c>
      <c r="B1118" t="str">
        <f>"1578728063007631"</f>
        <v>1578728063007631</v>
      </c>
      <c r="C1118" t="s">
        <v>37</v>
      </c>
      <c r="D1118">
        <v>5.0667770000000001</v>
      </c>
      <c r="E1118">
        <v>0.58048100000000002</v>
      </c>
      <c r="F1118" t="s">
        <v>50</v>
      </c>
      <c r="G1118">
        <v>-198.1885</v>
      </c>
      <c r="H1118" s="1">
        <v>6.0938610000000002E-7</v>
      </c>
      <c r="I1118">
        <v>296.15620000000001</v>
      </c>
      <c r="J1118">
        <v>-192.13380000000001</v>
      </c>
      <c r="K1118">
        <v>1.1000939999999999</v>
      </c>
      <c r="L1118">
        <v>309.94810000000001</v>
      </c>
      <c r="M1118">
        <v>-5.9221509999999998E-2</v>
      </c>
      <c r="N1118">
        <v>0</v>
      </c>
      <c r="O1118">
        <v>-0.99813909999999995</v>
      </c>
      <c r="P1118">
        <v>-0.19665529999999901</v>
      </c>
      <c r="Q1118">
        <v>9.5945219999999994E-3</v>
      </c>
      <c r="R1118">
        <v>-0.98042580000000001</v>
      </c>
      <c r="S1118">
        <v>-1.2077180000000001</v>
      </c>
      <c r="T1118">
        <v>-0.21845719999999999</v>
      </c>
      <c r="U1118">
        <v>-2.822845</v>
      </c>
      <c r="V1118">
        <v>0.1385006</v>
      </c>
      <c r="W1118">
        <v>2.2447430000000001E-2</v>
      </c>
      <c r="X1118">
        <v>0.99010789999999904</v>
      </c>
      <c r="Y1118">
        <v>0.33719850000000001</v>
      </c>
      <c r="Z1118">
        <v>7.1578050000000004E-2</v>
      </c>
      <c r="AA1118">
        <v>0.93870849999999995</v>
      </c>
      <c r="AB1118">
        <v>41</v>
      </c>
      <c r="AC1118">
        <v>-6.0546999999999898</v>
      </c>
      <c r="AD1118">
        <v>-1.1000933906139001</v>
      </c>
      <c r="AE1118">
        <v>-13.791899999999901</v>
      </c>
      <c r="AF1118">
        <v>5.1994724372661896</v>
      </c>
      <c r="AG1118">
        <v>-1.1000933906139001</v>
      </c>
      <c r="AH1118">
        <v>14.0513416729251</v>
      </c>
      <c r="AI1118">
        <v>94.199424929329297</v>
      </c>
      <c r="AJ1118">
        <v>69.693819023150098</v>
      </c>
      <c r="AK1118">
        <v>15.0228133817619</v>
      </c>
    </row>
    <row r="1119" spans="1:37" x14ac:dyDescent="0.2">
      <c r="A1119" t="str">
        <f>"20200111153423034"</f>
        <v>20200111153423034</v>
      </c>
      <c r="B1119" t="str">
        <f>"1578728063027152"</f>
        <v>1578728063027152</v>
      </c>
      <c r="C1119" t="s">
        <v>37</v>
      </c>
      <c r="D1119">
        <v>5.0074009999999998</v>
      </c>
      <c r="E1119">
        <v>0.58000529999999995</v>
      </c>
      <c r="F1119" t="s">
        <v>50</v>
      </c>
      <c r="G1119">
        <v>-198.46350000000001</v>
      </c>
      <c r="H1119" s="1">
        <v>7.7652949999999997E-7</v>
      </c>
      <c r="I1119">
        <v>295.28559999999999</v>
      </c>
      <c r="J1119">
        <v>-192.16159999999999</v>
      </c>
      <c r="K1119">
        <v>1.100149</v>
      </c>
      <c r="L1119">
        <v>309.5367</v>
      </c>
      <c r="M1119">
        <v>-6.3276659999999998E-2</v>
      </c>
      <c r="N1119">
        <v>0</v>
      </c>
      <c r="O1119">
        <v>-0.99788719999999997</v>
      </c>
      <c r="P1119">
        <v>-0.20136799999999999</v>
      </c>
      <c r="Q1119">
        <v>1.0805749999999999E-2</v>
      </c>
      <c r="R1119">
        <v>-0.97945599999999999</v>
      </c>
      <c r="S1119">
        <v>-1.2164919999999999</v>
      </c>
      <c r="T1119">
        <v>-0.21142520000000001</v>
      </c>
      <c r="U1119">
        <v>-2.8179630000000002</v>
      </c>
      <c r="V1119">
        <v>0.1392552</v>
      </c>
      <c r="W1119">
        <v>2.3842760000000001E-2</v>
      </c>
      <c r="X1119">
        <v>0.9899694</v>
      </c>
      <c r="Y1119">
        <v>0.3364914</v>
      </c>
      <c r="Z1119">
        <v>6.9337659999999995E-2</v>
      </c>
      <c r="AA1119">
        <v>0.93913040000000003</v>
      </c>
      <c r="AB1119">
        <v>41</v>
      </c>
      <c r="AC1119">
        <v>-6.3019000000000096</v>
      </c>
      <c r="AD1119">
        <v>-1.1001482234705</v>
      </c>
      <c r="AE1119">
        <v>-14.251099999999999</v>
      </c>
      <c r="AF1119">
        <v>5.3606869789745604</v>
      </c>
      <c r="AG1119">
        <v>-1.1001482234705</v>
      </c>
      <c r="AH1119">
        <v>14.5488197984234</v>
      </c>
      <c r="AI1119">
        <v>94.058585863292706</v>
      </c>
      <c r="AJ1119">
        <v>69.7730757808514</v>
      </c>
      <c r="AK1119">
        <v>15.5439843195736</v>
      </c>
    </row>
    <row r="1120" spans="1:37" x14ac:dyDescent="0.2">
      <c r="A1120" t="str">
        <f>"20200111153423057"</f>
        <v>20200111153423057</v>
      </c>
      <c r="B1120" t="str">
        <f>"1578728063047647"</f>
        <v>1578728063047647</v>
      </c>
      <c r="C1120" t="s">
        <v>37</v>
      </c>
      <c r="D1120">
        <v>5.063561</v>
      </c>
      <c r="E1120">
        <v>0.579901</v>
      </c>
      <c r="F1120" t="s">
        <v>50</v>
      </c>
      <c r="G1120">
        <v>-198.63900000000001</v>
      </c>
      <c r="H1120" s="1">
        <v>9.7745919999999998E-7</v>
      </c>
      <c r="I1120">
        <v>294.67309999999998</v>
      </c>
      <c r="J1120">
        <v>-192.19139999999999</v>
      </c>
      <c r="K1120">
        <v>1.100198</v>
      </c>
      <c r="L1120">
        <v>309.1207</v>
      </c>
      <c r="M1120">
        <v>-6.7383750000000006E-2</v>
      </c>
      <c r="N1120">
        <v>0</v>
      </c>
      <c r="O1120">
        <v>-0.99761509999999998</v>
      </c>
      <c r="P1120">
        <v>-0.20636360000000001</v>
      </c>
      <c r="Q1120">
        <v>1.04733999999999E-2</v>
      </c>
      <c r="R1120">
        <v>-0.97841939999999905</v>
      </c>
      <c r="S1120">
        <v>-1.225967</v>
      </c>
      <c r="T1120">
        <v>-0.20822270000000001</v>
      </c>
      <c r="U1120">
        <v>-2.813202</v>
      </c>
      <c r="V1120">
        <v>0.14023039999999901</v>
      </c>
      <c r="W1120">
        <v>2.371786E-2</v>
      </c>
      <c r="X1120">
        <v>0.98983480000000001</v>
      </c>
      <c r="Y1120">
        <v>0.33588379999999901</v>
      </c>
      <c r="Z1120">
        <v>6.8334030000000004E-2</v>
      </c>
      <c r="AA1120">
        <v>0.93942139999999996</v>
      </c>
      <c r="AB1120">
        <v>41</v>
      </c>
      <c r="AC1120">
        <v>-6.44760000000002</v>
      </c>
      <c r="AD1120">
        <v>-1.1001970225408</v>
      </c>
      <c r="AE1120">
        <v>-14.4476</v>
      </c>
      <c r="AF1120">
        <v>5.4330266305395796</v>
      </c>
      <c r="AG1120">
        <v>-1.1001970225408</v>
      </c>
      <c r="AH1120">
        <v>14.7778041000216</v>
      </c>
      <c r="AI1120">
        <v>93.997130837541704</v>
      </c>
      <c r="AJ1120">
        <v>69.814161410292996</v>
      </c>
      <c r="AK1120">
        <v>15.783272977274899</v>
      </c>
    </row>
    <row r="1121" spans="1:37" x14ac:dyDescent="0.2">
      <c r="A1121" t="str">
        <f>"20200111153423079"</f>
        <v>20200111153423079</v>
      </c>
      <c r="B1121" t="str">
        <f>"1578728063067170"</f>
        <v>1578728063067170</v>
      </c>
      <c r="C1121" t="s">
        <v>37</v>
      </c>
      <c r="D1121">
        <v>5.0586190000000002</v>
      </c>
      <c r="E1121">
        <v>0.57983879999999999</v>
      </c>
      <c r="F1121" t="s">
        <v>50</v>
      </c>
      <c r="G1121">
        <v>-198.7364</v>
      </c>
      <c r="H1121" s="1">
        <v>1.0449909999999999E-6</v>
      </c>
      <c r="I1121">
        <v>294.2978</v>
      </c>
      <c r="J1121">
        <v>-192.2217</v>
      </c>
      <c r="K1121">
        <v>1.100231</v>
      </c>
      <c r="L1121">
        <v>308.72210000000001</v>
      </c>
      <c r="M1121">
        <v>-7.1308549999999998E-2</v>
      </c>
      <c r="N1121">
        <v>0</v>
      </c>
      <c r="O1121">
        <v>-0.99733890000000003</v>
      </c>
      <c r="P1121">
        <v>-0.21070359999999999</v>
      </c>
      <c r="Q1121">
        <v>8.8189800000000006E-3</v>
      </c>
      <c r="R1121">
        <v>-0.97751060000000001</v>
      </c>
      <c r="S1121">
        <v>-1.2394259999999999</v>
      </c>
      <c r="T1121">
        <v>-0.20834349999999999</v>
      </c>
      <c r="U1121">
        <v>-2.807007</v>
      </c>
      <c r="V1121">
        <v>0.14071129999999901</v>
      </c>
      <c r="W1121">
        <v>2.2283440000000002E-2</v>
      </c>
      <c r="X1121">
        <v>0.98979989999999995</v>
      </c>
      <c r="Y1121">
        <v>0.33671139999999999</v>
      </c>
      <c r="Z1121">
        <v>6.8409200000000003E-2</v>
      </c>
      <c r="AA1121">
        <v>0.93911959999999906</v>
      </c>
      <c r="AB1121">
        <v>41</v>
      </c>
      <c r="AC1121">
        <v>-6.5147000000000004</v>
      </c>
      <c r="AD1121">
        <v>-1.100229955009</v>
      </c>
      <c r="AE1121">
        <v>-14.424300000000001</v>
      </c>
      <c r="AF1121">
        <v>5.4431145050208496</v>
      </c>
      <c r="AG1121">
        <v>-1.100229955009</v>
      </c>
      <c r="AH1121">
        <v>14.7807535479287</v>
      </c>
      <c r="AI1121">
        <v>93.995668749526104</v>
      </c>
      <c r="AJ1121">
        <v>69.783422139094597</v>
      </c>
      <c r="AK1121">
        <v>15.789511610980099</v>
      </c>
    </row>
    <row r="1122" spans="1:37" x14ac:dyDescent="0.2">
      <c r="A1122" t="str">
        <f>"20200111153423102"</f>
        <v>20200111153423102</v>
      </c>
      <c r="B1122" t="str">
        <f>"1578728063097423"</f>
        <v>1578728063097423</v>
      </c>
      <c r="C1122" t="s">
        <v>37</v>
      </c>
      <c r="D1122">
        <v>5.0377039999999997</v>
      </c>
      <c r="E1122">
        <v>0.57996719999999902</v>
      </c>
      <c r="F1122" t="s">
        <v>50</v>
      </c>
      <c r="G1122">
        <v>-198.64689999999999</v>
      </c>
      <c r="H1122" s="1">
        <v>1.046467E-6</v>
      </c>
      <c r="I1122">
        <v>294.33449999999999</v>
      </c>
      <c r="J1122">
        <v>-192.25389999999999</v>
      </c>
      <c r="K1122">
        <v>1.100282</v>
      </c>
      <c r="L1122">
        <v>308.32029999999997</v>
      </c>
      <c r="M1122">
        <v>-7.5240440000000006E-2</v>
      </c>
      <c r="N1122">
        <v>0</v>
      </c>
      <c r="O1122">
        <v>-0.99704559999999998</v>
      </c>
      <c r="P1122">
        <v>-0.21519940000000001</v>
      </c>
      <c r="Q1122">
        <v>8.26642E-3</v>
      </c>
      <c r="R1122">
        <v>-0.97653559999999995</v>
      </c>
      <c r="S1122">
        <v>-1.2510219999999901</v>
      </c>
      <c r="T1122">
        <v>-0.21422039999999901</v>
      </c>
      <c r="U1122">
        <v>-2.8013309999999998</v>
      </c>
      <c r="V1122">
        <v>0.1413595</v>
      </c>
      <c r="W1122">
        <v>2.200123E-2</v>
      </c>
      <c r="X1122">
        <v>0.98971379999999998</v>
      </c>
      <c r="Y1122">
        <v>0.33689350000000001</v>
      </c>
      <c r="Z1122">
        <v>7.0368710000000001E-2</v>
      </c>
      <c r="AA1122">
        <v>0.93890949999999995</v>
      </c>
      <c r="AB1122">
        <v>41</v>
      </c>
      <c r="AC1122">
        <v>-6.3929999999999998</v>
      </c>
      <c r="AD1122">
        <v>-1.100280953533</v>
      </c>
      <c r="AE1122">
        <v>-13.9857999999999</v>
      </c>
      <c r="AF1122">
        <v>5.29534133232616</v>
      </c>
      <c r="AG1122">
        <v>-1.100280953533</v>
      </c>
      <c r="AH1122">
        <v>14.353732669399401</v>
      </c>
      <c r="AI1122">
        <v>94.113448211613402</v>
      </c>
      <c r="AJ1122">
        <v>69.750106173435</v>
      </c>
      <c r="AK1122">
        <v>15.338868913552</v>
      </c>
    </row>
    <row r="1123" spans="1:37" x14ac:dyDescent="0.2">
      <c r="A1123" t="str">
        <f>"20200111153423125"</f>
        <v>20200111153423125</v>
      </c>
      <c r="B1123" t="str">
        <f>"1578728063117920"</f>
        <v>1578728063117920</v>
      </c>
      <c r="C1123" t="s">
        <v>37</v>
      </c>
      <c r="D1123">
        <v>5.0622429999999996</v>
      </c>
      <c r="E1123">
        <v>0.57986649999999995</v>
      </c>
      <c r="F1123" t="s">
        <v>50</v>
      </c>
      <c r="G1123">
        <v>-198.7593</v>
      </c>
      <c r="H1123" s="1">
        <v>1.105352E-6</v>
      </c>
      <c r="I1123">
        <v>293.94349999999997</v>
      </c>
      <c r="J1123">
        <v>-192.29140000000001</v>
      </c>
      <c r="K1123">
        <v>1.1003529999999999</v>
      </c>
      <c r="L1123">
        <v>307.8768</v>
      </c>
      <c r="M1123">
        <v>-7.9575839999999995E-2</v>
      </c>
      <c r="N1123">
        <v>0</v>
      </c>
      <c r="O1123">
        <v>-0.99670340000000002</v>
      </c>
      <c r="P1123">
        <v>-0.21985759999999999</v>
      </c>
      <c r="Q1123">
        <v>7.4317949999999997E-3</v>
      </c>
      <c r="R1123">
        <v>-0.97550380000000003</v>
      </c>
      <c r="S1123">
        <v>-1.264786</v>
      </c>
      <c r="T1123">
        <v>-0.21391689999999999</v>
      </c>
      <c r="U1123">
        <v>-2.7951349999999899</v>
      </c>
      <c r="V1123">
        <v>0.141771799999999</v>
      </c>
      <c r="W1123">
        <v>2.1505429999999999E-2</v>
      </c>
      <c r="X1123">
        <v>0.98966569999999898</v>
      </c>
      <c r="Y1123">
        <v>0.33742090000000002</v>
      </c>
      <c r="Z1123">
        <v>7.0300299999999996E-2</v>
      </c>
      <c r="AA1123">
        <v>0.93872520000000004</v>
      </c>
      <c r="AB1123">
        <v>41</v>
      </c>
      <c r="AC1123">
        <v>-6.4678999999999798</v>
      </c>
      <c r="AD1123">
        <v>-1.100351894648</v>
      </c>
      <c r="AE1123">
        <v>-13.933299999999999</v>
      </c>
      <c r="AF1123">
        <v>5.31123909488519</v>
      </c>
      <c r="AG1123">
        <v>-1.100351894648</v>
      </c>
      <c r="AH1123">
        <v>14.330327312722501</v>
      </c>
      <c r="AI1123">
        <v>94.118122178929099</v>
      </c>
      <c r="AJ1123">
        <v>69.663818572093405</v>
      </c>
      <c r="AK1123">
        <v>15.3224774728127</v>
      </c>
    </row>
    <row r="1124" spans="1:37" x14ac:dyDescent="0.2">
      <c r="A1124" t="str">
        <f>"20200111153423147"</f>
        <v>20200111153423147</v>
      </c>
      <c r="B1124" t="str">
        <f>"1578728063137440"</f>
        <v>1578728063137440</v>
      </c>
      <c r="C1124" t="s">
        <v>37</v>
      </c>
      <c r="D1124">
        <v>5.0067510000000004</v>
      </c>
      <c r="E1124">
        <v>0.57979040000000004</v>
      </c>
      <c r="F1124" t="s">
        <v>50</v>
      </c>
      <c r="G1124">
        <v>-198.71979999999999</v>
      </c>
      <c r="H1124" s="1">
        <v>1.1277630000000001E-6</v>
      </c>
      <c r="I1124">
        <v>293.83620000000002</v>
      </c>
      <c r="J1124">
        <v>-192.32599999999999</v>
      </c>
      <c r="K1124">
        <v>1.1004119999999999</v>
      </c>
      <c r="L1124">
        <v>307.4873</v>
      </c>
      <c r="M1124">
        <v>-8.3390290000000006E-2</v>
      </c>
      <c r="N1124">
        <v>0</v>
      </c>
      <c r="O1124">
        <v>-0.99638680000000002</v>
      </c>
      <c r="P1124">
        <v>-0.22469829999999899</v>
      </c>
      <c r="Q1124">
        <v>7.276968E-3</v>
      </c>
      <c r="R1124">
        <v>-0.97440149999999903</v>
      </c>
      <c r="S1124">
        <v>-1.2770079999999999</v>
      </c>
      <c r="T1124">
        <v>-0.21858609999999901</v>
      </c>
      <c r="U1124">
        <v>-2.7891849999999998</v>
      </c>
      <c r="V1124">
        <v>0.1428981</v>
      </c>
      <c r="W1124">
        <v>2.1642729999999999E-2</v>
      </c>
      <c r="X1124">
        <v>0.98950079999999996</v>
      </c>
      <c r="Y1124">
        <v>0.33793069999999997</v>
      </c>
      <c r="Z1124">
        <v>7.186215E-2</v>
      </c>
      <c r="AA1124">
        <v>0.93842349999999997</v>
      </c>
      <c r="AB1124">
        <v>41</v>
      </c>
      <c r="AC1124">
        <v>-6.3937999999999899</v>
      </c>
      <c r="AD1124">
        <v>-1.1004108722370001</v>
      </c>
      <c r="AE1124">
        <v>-13.6510999999999</v>
      </c>
      <c r="AF1124">
        <v>5.2052691280120804</v>
      </c>
      <c r="AG1124">
        <v>-1.1004108722370001</v>
      </c>
      <c r="AH1124">
        <v>14.0618560838024</v>
      </c>
      <c r="AI1124">
        <v>94.197318300758894</v>
      </c>
      <c r="AJ1124">
        <v>69.686988523851397</v>
      </c>
      <c r="AK1124">
        <v>15.0346774925285</v>
      </c>
    </row>
    <row r="1125" spans="1:37" x14ac:dyDescent="0.2">
      <c r="A1125" t="str">
        <f>"20200111153423169"</f>
        <v>20200111153423169</v>
      </c>
      <c r="B1125" t="str">
        <f>"1578728063157935"</f>
        <v>1578728063157935</v>
      </c>
      <c r="C1125" t="s">
        <v>37</v>
      </c>
      <c r="D1125">
        <v>5.010516</v>
      </c>
      <c r="E1125">
        <v>0.5799552</v>
      </c>
      <c r="F1125" t="s">
        <v>50</v>
      </c>
      <c r="G1125">
        <v>-198.7371</v>
      </c>
      <c r="H1125" s="1">
        <v>1.157962E-6</v>
      </c>
      <c r="I1125">
        <v>293.65600000000001</v>
      </c>
      <c r="J1125">
        <v>-192.36269999999999</v>
      </c>
      <c r="K1125">
        <v>1.1004750000000001</v>
      </c>
      <c r="L1125">
        <v>307.09199999999998</v>
      </c>
      <c r="M1125">
        <v>-8.7273890000000007E-2</v>
      </c>
      <c r="N1125">
        <v>0</v>
      </c>
      <c r="O1125">
        <v>-0.99604879999999996</v>
      </c>
      <c r="P1125">
        <v>-0.229623999999999</v>
      </c>
      <c r="Q1125">
        <v>6.9265380000000003E-3</v>
      </c>
      <c r="R1125">
        <v>-0.97325490000000003</v>
      </c>
      <c r="S1125">
        <v>-1.289963</v>
      </c>
      <c r="T1125">
        <v>-0.2214102</v>
      </c>
      <c r="U1125">
        <v>-2.782959</v>
      </c>
      <c r="V1125">
        <v>0.14404410000000001</v>
      </c>
      <c r="W1125">
        <v>2.1595059999999999E-2</v>
      </c>
      <c r="X1125">
        <v>0.98933559999999998</v>
      </c>
      <c r="Y1125">
        <v>0.33862999999999999</v>
      </c>
      <c r="Z1125">
        <v>7.2818649999999999E-2</v>
      </c>
      <c r="AA1125">
        <v>0.93809769999999904</v>
      </c>
      <c r="AB1125">
        <v>41</v>
      </c>
      <c r="AC1125">
        <v>-6.3743999999999996</v>
      </c>
      <c r="AD1125">
        <v>-1.100473842038</v>
      </c>
      <c r="AE1125">
        <v>-13.4359999999999</v>
      </c>
      <c r="AF1125">
        <v>5.1491046835910099</v>
      </c>
      <c r="AG1125">
        <v>-1.100473842038</v>
      </c>
      <c r="AH1125">
        <v>13.865188686246301</v>
      </c>
      <c r="AI1125">
        <v>94.255221121831795</v>
      </c>
      <c r="AJ1125">
        <v>69.626551798663797</v>
      </c>
      <c r="AK1125">
        <v>14.831310765566201</v>
      </c>
    </row>
    <row r="1126" spans="1:37" x14ac:dyDescent="0.2">
      <c r="A1126" t="str">
        <f>"20200111153423192"</f>
        <v>20200111153423192</v>
      </c>
      <c r="B1126" t="str">
        <f>"1578728063187216"</f>
        <v>1578728063187216</v>
      </c>
      <c r="C1126" t="s">
        <v>37</v>
      </c>
      <c r="D1126">
        <v>5.0103309999999999</v>
      </c>
      <c r="E1126">
        <v>0.58010299999999904</v>
      </c>
      <c r="F1126" t="s">
        <v>50</v>
      </c>
      <c r="G1126">
        <v>-198.78280000000001</v>
      </c>
      <c r="H1126" s="1">
        <v>1.1925199999999999E-6</v>
      </c>
      <c r="I1126">
        <v>293.43680000000001</v>
      </c>
      <c r="J1126">
        <v>-192.40270000000001</v>
      </c>
      <c r="K1126">
        <v>1.100527</v>
      </c>
      <c r="L1126">
        <v>306.67919999999998</v>
      </c>
      <c r="M1126">
        <v>-9.1354580000000005E-2</v>
      </c>
      <c r="N1126">
        <v>0</v>
      </c>
      <c r="O1126">
        <v>-0.99567719999999904</v>
      </c>
      <c r="P1126">
        <v>-0.23462140000000001</v>
      </c>
      <c r="Q1126">
        <v>7.8856009999999904E-3</v>
      </c>
      <c r="R1126">
        <v>-0.972054999999999</v>
      </c>
      <c r="S1126">
        <v>-1.305191</v>
      </c>
      <c r="T1126">
        <v>-0.22372300000000001</v>
      </c>
      <c r="U1126">
        <v>-2.776062</v>
      </c>
      <c r="V1126">
        <v>0.14508750000000001</v>
      </c>
      <c r="W1126">
        <v>2.2881720000000001E-2</v>
      </c>
      <c r="X1126">
        <v>0.98915419999999998</v>
      </c>
      <c r="Y1126">
        <v>0.33986309999999997</v>
      </c>
      <c r="Z1126">
        <v>7.3600609999999997E-2</v>
      </c>
      <c r="AA1126">
        <v>0.93759049999999999</v>
      </c>
      <c r="AB1126">
        <v>41</v>
      </c>
      <c r="AC1126">
        <v>-6.3800999999999899</v>
      </c>
      <c r="AD1126">
        <v>-1.10052580748</v>
      </c>
      <c r="AE1126">
        <v>-13.2423999999999</v>
      </c>
      <c r="AF1126">
        <v>5.1148185947422098</v>
      </c>
      <c r="AG1126">
        <v>-1.10052580748</v>
      </c>
      <c r="AH1126">
        <v>13.693186866850001</v>
      </c>
      <c r="AI1126">
        <v>94.305641326327802</v>
      </c>
      <c r="AJ1126">
        <v>69.517822164213598</v>
      </c>
      <c r="AK1126">
        <v>14.658645670065299</v>
      </c>
    </row>
    <row r="1127" spans="1:37" x14ac:dyDescent="0.2">
      <c r="A1127" t="str">
        <f>"20200111153423215"</f>
        <v>20200111153423215</v>
      </c>
      <c r="B1127" t="str">
        <f>"1578728063207712"</f>
        <v>1578728063207712</v>
      </c>
      <c r="C1127" t="s">
        <v>37</v>
      </c>
      <c r="D1127">
        <v>4.9326780000000001</v>
      </c>
      <c r="E1127">
        <v>0.58016679999999998</v>
      </c>
      <c r="F1127" t="s">
        <v>50</v>
      </c>
      <c r="G1127">
        <v>-198.95660000000001</v>
      </c>
      <c r="H1127" s="1">
        <v>1.2650810000000001E-6</v>
      </c>
      <c r="I1127">
        <v>292.93720000000002</v>
      </c>
      <c r="J1127">
        <v>-192.44479999999999</v>
      </c>
      <c r="K1127">
        <v>1.100576</v>
      </c>
      <c r="L1127">
        <v>306.26299999999998</v>
      </c>
      <c r="M1127">
        <v>-9.5517420000000006E-2</v>
      </c>
      <c r="N1127">
        <v>0</v>
      </c>
      <c r="O1127">
        <v>-0.99528050000000001</v>
      </c>
      <c r="P1127">
        <v>-0.24056230000000001</v>
      </c>
      <c r="Q1127">
        <v>9.0881720000000003E-3</v>
      </c>
      <c r="R1127">
        <v>-0.97059139999999999</v>
      </c>
      <c r="S1127">
        <v>-1.3207549999999999</v>
      </c>
      <c r="T1127">
        <v>-0.22177859999999999</v>
      </c>
      <c r="U1127">
        <v>-2.7692869999999998</v>
      </c>
      <c r="V1127">
        <v>0.14701879999999901</v>
      </c>
      <c r="W1127">
        <v>2.4407649999999999E-2</v>
      </c>
      <c r="X1127">
        <v>0.9888325</v>
      </c>
      <c r="Y1127">
        <v>0.34113579999999999</v>
      </c>
      <c r="Z1127">
        <v>7.2980870000000003E-2</v>
      </c>
      <c r="AA1127">
        <v>0.93717669999999997</v>
      </c>
      <c r="AB1127">
        <v>40</v>
      </c>
      <c r="AC1127">
        <v>-6.5118000000000196</v>
      </c>
      <c r="AD1127">
        <v>-1.100574734919</v>
      </c>
      <c r="AE1127">
        <v>-13.3257999999999</v>
      </c>
      <c r="AF1127">
        <v>5.1804602409646403</v>
      </c>
      <c r="AG1127">
        <v>-1.100574734919</v>
      </c>
      <c r="AH1127">
        <v>13.8108888099064</v>
      </c>
      <c r="AI1127">
        <v>94.267081014396496</v>
      </c>
      <c r="AJ1127">
        <v>69.438946852948007</v>
      </c>
      <c r="AK1127">
        <v>14.791520637681399</v>
      </c>
    </row>
    <row r="1128" spans="1:37" x14ac:dyDescent="0.2">
      <c r="A1128" t="str">
        <f>"20200111153423237"</f>
        <v>20200111153423237</v>
      </c>
      <c r="B1128" t="str">
        <f>"1578728063227232"</f>
        <v>1578728063227232</v>
      </c>
      <c r="C1128" t="s">
        <v>37</v>
      </c>
      <c r="D1128">
        <v>4.9674490000000002</v>
      </c>
      <c r="E1128">
        <v>0.58023930000000001</v>
      </c>
      <c r="F1128" t="s">
        <v>50</v>
      </c>
      <c r="G1128">
        <v>-199.1618</v>
      </c>
      <c r="H1128" s="1">
        <v>1.3409889999999899E-6</v>
      </c>
      <c r="I1128">
        <v>292.40289999999999</v>
      </c>
      <c r="J1128">
        <v>-192.48779999999999</v>
      </c>
      <c r="K1128">
        <v>1.10059</v>
      </c>
      <c r="L1128">
        <v>305.85559999999998</v>
      </c>
      <c r="M1128">
        <v>-9.9682510000000002E-2</v>
      </c>
      <c r="N1128">
        <v>0</v>
      </c>
      <c r="O1128">
        <v>-0.99486600000000003</v>
      </c>
      <c r="P1128">
        <v>-0.24765960000000001</v>
      </c>
      <c r="Q1128">
        <v>1.014695E-2</v>
      </c>
      <c r="R1128">
        <v>-0.9687943</v>
      </c>
      <c r="S1128">
        <v>-1.3382259999999999</v>
      </c>
      <c r="T1128">
        <v>-0.21926760000000001</v>
      </c>
      <c r="U1128">
        <v>-2.76135299999999</v>
      </c>
      <c r="V1128">
        <v>0.1501345</v>
      </c>
      <c r="W1128">
        <v>2.5751429999999999E-2</v>
      </c>
      <c r="X1128">
        <v>0.98833009999999999</v>
      </c>
      <c r="Y1128">
        <v>0.34308649999999902</v>
      </c>
      <c r="Z1128">
        <v>7.2179789999999994E-2</v>
      </c>
      <c r="AA1128">
        <v>0.93652639999999998</v>
      </c>
      <c r="AB1128">
        <v>40</v>
      </c>
      <c r="AC1128">
        <v>-6.6740000000000004</v>
      </c>
      <c r="AD1128">
        <v>-1.1005886590109999</v>
      </c>
      <c r="AE1128">
        <v>-13.452699999999901</v>
      </c>
      <c r="AF1128">
        <v>5.2712323719522098</v>
      </c>
      <c r="AG1128">
        <v>-1.1005886590109999</v>
      </c>
      <c r="AH1128">
        <v>13.9759905265566</v>
      </c>
      <c r="AI1128">
        <v>94.214052745627498</v>
      </c>
      <c r="AJ1128">
        <v>69.335359464313896</v>
      </c>
      <c r="AK1128">
        <v>14.9774997016812</v>
      </c>
    </row>
    <row r="1129" spans="1:37" x14ac:dyDescent="0.2">
      <c r="A1129" t="str">
        <f>"20200111153423260"</f>
        <v>20200111153423260</v>
      </c>
      <c r="B1129" t="str">
        <f>"1578728063247734"</f>
        <v>1578728063247734</v>
      </c>
      <c r="C1129" t="s">
        <v>37</v>
      </c>
      <c r="D1129">
        <v>4.9083189999999997</v>
      </c>
      <c r="E1129">
        <v>0.58041909999999997</v>
      </c>
      <c r="F1129" t="s">
        <v>50</v>
      </c>
      <c r="G1129">
        <v>-199.3347</v>
      </c>
      <c r="H1129" s="1">
        <v>1.398861E-6</v>
      </c>
      <c r="I1129">
        <v>291.98719999999997</v>
      </c>
      <c r="J1129">
        <v>-192.53020000000001</v>
      </c>
      <c r="K1129">
        <v>1.100563</v>
      </c>
      <c r="L1129">
        <v>305.47190000000001</v>
      </c>
      <c r="M1129">
        <v>-0.1037371</v>
      </c>
      <c r="N1129">
        <v>0</v>
      </c>
      <c r="O1129">
        <v>-0.99444599999999905</v>
      </c>
      <c r="P1129">
        <v>-0.25481579999999998</v>
      </c>
      <c r="Q1129">
        <v>1.056441E-2</v>
      </c>
      <c r="R1129">
        <v>-0.96693209999999996</v>
      </c>
      <c r="S1129">
        <v>-1.35849</v>
      </c>
      <c r="T1129">
        <v>-0.21836999999999901</v>
      </c>
      <c r="U1129">
        <v>-2.7516479999999999</v>
      </c>
      <c r="V1129">
        <v>0.153424799999999</v>
      </c>
      <c r="W1129">
        <v>2.639971E-2</v>
      </c>
      <c r="X1129">
        <v>0.98780759999999901</v>
      </c>
      <c r="Y1129">
        <v>0.34612209999999899</v>
      </c>
      <c r="Z1129">
        <v>7.1915400000000004E-2</v>
      </c>
      <c r="AA1129">
        <v>0.93542919999999996</v>
      </c>
      <c r="AB1129">
        <v>40</v>
      </c>
      <c r="AC1129">
        <v>-6.8044999999999902</v>
      </c>
      <c r="AD1129">
        <v>-1.100561601139</v>
      </c>
      <c r="AE1129">
        <v>-13.4847</v>
      </c>
      <c r="AF1129">
        <v>5.3403388167071197</v>
      </c>
      <c r="AG1129">
        <v>-1.100561601139</v>
      </c>
      <c r="AH1129">
        <v>14.0433550285551</v>
      </c>
      <c r="AI1129">
        <v>94.189503232140893</v>
      </c>
      <c r="AJ1129">
        <v>69.179434965677004</v>
      </c>
      <c r="AK1129">
        <v>15.0647361401777</v>
      </c>
    </row>
    <row r="1130" spans="1:37" x14ac:dyDescent="0.2">
      <c r="A1130" t="str">
        <f>"20200111153423280"</f>
        <v>20200111153423280</v>
      </c>
      <c r="B1130" t="str">
        <f>"1578728063267250"</f>
        <v>1578728063267250</v>
      </c>
      <c r="C1130" t="s">
        <v>37</v>
      </c>
      <c r="D1130">
        <v>4.9128699999999998</v>
      </c>
      <c r="E1130">
        <v>0.58057919999999996</v>
      </c>
      <c r="F1130" t="s">
        <v>50</v>
      </c>
      <c r="G1130">
        <v>-199.48079999999999</v>
      </c>
      <c r="H1130" s="1">
        <v>1.443298E-6</v>
      </c>
      <c r="I1130">
        <v>291.66129999999998</v>
      </c>
      <c r="J1130">
        <v>-192.57259999999999</v>
      </c>
      <c r="K1130">
        <v>1.1004929999999999</v>
      </c>
      <c r="L1130">
        <v>305.10239999999999</v>
      </c>
      <c r="M1130">
        <v>-0.10780969999999999</v>
      </c>
      <c r="N1130">
        <v>0</v>
      </c>
      <c r="O1130">
        <v>-0.9940078</v>
      </c>
      <c r="P1130">
        <v>-0.26103710000000002</v>
      </c>
      <c r="Q1130">
        <v>1.0904779999999999E-2</v>
      </c>
      <c r="R1130">
        <v>-0.9652674</v>
      </c>
      <c r="S1130">
        <v>-1.3796839999999999</v>
      </c>
      <c r="T1130">
        <v>-0.21845809999999999</v>
      </c>
      <c r="U1130">
        <v>-2.7413639999999999</v>
      </c>
      <c r="V1130">
        <v>0.15575269999999999</v>
      </c>
      <c r="W1130">
        <v>2.6936910000000001E-2</v>
      </c>
      <c r="X1130">
        <v>0.98742870000000005</v>
      </c>
      <c r="Y1130">
        <v>0.34945660000000001</v>
      </c>
      <c r="Z1130">
        <v>7.1973499999999996E-2</v>
      </c>
      <c r="AA1130">
        <v>0.93418409999999996</v>
      </c>
      <c r="AB1130">
        <v>40</v>
      </c>
      <c r="AC1130">
        <v>-6.9081999999999901</v>
      </c>
      <c r="AD1130">
        <v>-1.1004915567019999</v>
      </c>
      <c r="AE1130">
        <v>-13.4411</v>
      </c>
      <c r="AF1130">
        <v>5.39002376042904</v>
      </c>
      <c r="AG1130">
        <v>-1.1004915567019999</v>
      </c>
      <c r="AH1130">
        <v>14.0332108919325</v>
      </c>
      <c r="AI1130">
        <v>94.186943400096098</v>
      </c>
      <c r="AJ1130">
        <v>68.988689032736701</v>
      </c>
      <c r="AK1130">
        <v>15.072970700622101</v>
      </c>
    </row>
    <row r="1131" spans="1:37" x14ac:dyDescent="0.2">
      <c r="A1131" t="str">
        <f>"20200111153423303"</f>
        <v>20200111153423303</v>
      </c>
      <c r="B1131" t="str">
        <f>"1578728063297504"</f>
        <v>1578728063297504</v>
      </c>
      <c r="C1131" t="s">
        <v>37</v>
      </c>
      <c r="D1131">
        <v>4.9015469999999999</v>
      </c>
      <c r="E1131">
        <v>0.58070869999999997</v>
      </c>
      <c r="F1131" t="s">
        <v>50</v>
      </c>
      <c r="G1131">
        <v>-199.60470000000001</v>
      </c>
      <c r="H1131" s="1">
        <v>1.484734E-6</v>
      </c>
      <c r="I1131">
        <v>291.36360000000002</v>
      </c>
      <c r="J1131">
        <v>-192.62139999999999</v>
      </c>
      <c r="K1131">
        <v>1.100374</v>
      </c>
      <c r="L1131">
        <v>304.69529999999997</v>
      </c>
      <c r="M1131">
        <v>-0.11248909999999999</v>
      </c>
      <c r="N1131">
        <v>0</v>
      </c>
      <c r="O1131">
        <v>-0.99348440000000005</v>
      </c>
      <c r="P1131">
        <v>-0.26692339999999998</v>
      </c>
      <c r="Q1131">
        <v>1.016776E-2</v>
      </c>
      <c r="R1131">
        <v>-0.96366469999999904</v>
      </c>
      <c r="S1131">
        <v>-1.398468</v>
      </c>
      <c r="T1131">
        <v>-0.21885199999999999</v>
      </c>
      <c r="U1131">
        <v>-2.732208</v>
      </c>
      <c r="V1131">
        <v>0.15713099999999999</v>
      </c>
      <c r="W1131">
        <v>2.640114E-2</v>
      </c>
      <c r="X1131">
        <v>0.98722480000000001</v>
      </c>
      <c r="Y1131">
        <v>0.35139979999999998</v>
      </c>
      <c r="Z1131">
        <v>7.2126699999999905E-2</v>
      </c>
      <c r="AA1131">
        <v>0.93344300000000002</v>
      </c>
      <c r="AB1131">
        <v>40</v>
      </c>
      <c r="AC1131">
        <v>-6.9833000000000096</v>
      </c>
      <c r="AD1131">
        <v>-1.100372515266</v>
      </c>
      <c r="AE1131">
        <v>-13.3316999999999</v>
      </c>
      <c r="AF1131">
        <v>5.4101184286756796</v>
      </c>
      <c r="AG1131">
        <v>-1.100372515266</v>
      </c>
      <c r="AH1131">
        <v>13.9581146222926</v>
      </c>
      <c r="AI1131">
        <v>94.203999852967797</v>
      </c>
      <c r="AJ1131">
        <v>68.813836114126005</v>
      </c>
      <c r="AK1131">
        <v>15.010301958778401</v>
      </c>
    </row>
    <row r="1132" spans="1:37" x14ac:dyDescent="0.2">
      <c r="A1132" t="str">
        <f>"20200111153423324"</f>
        <v>20200111153423324</v>
      </c>
      <c r="B1132" t="str">
        <f>"1578728063317023"</f>
        <v>1578728063317023</v>
      </c>
      <c r="C1132" t="s">
        <v>37</v>
      </c>
      <c r="D1132">
        <v>4.8759169999999896</v>
      </c>
      <c r="E1132">
        <v>0.5809029</v>
      </c>
      <c r="F1132" t="s">
        <v>50</v>
      </c>
      <c r="G1132">
        <v>-199.6026</v>
      </c>
      <c r="H1132" s="1">
        <v>1.5018139999999999E-6</v>
      </c>
      <c r="I1132">
        <v>291.26769999999999</v>
      </c>
      <c r="J1132">
        <v>-192.6695</v>
      </c>
      <c r="K1132">
        <v>1.1002430000000001</v>
      </c>
      <c r="L1132">
        <v>304.31079999999997</v>
      </c>
      <c r="M1132">
        <v>-0.1171257</v>
      </c>
      <c r="N1132">
        <v>0</v>
      </c>
      <c r="O1132">
        <v>-0.99294400000000005</v>
      </c>
      <c r="P1132">
        <v>-0.2730784</v>
      </c>
      <c r="Q1132">
        <v>8.0290499999999994E-3</v>
      </c>
      <c r="R1132">
        <v>-0.96195849999999905</v>
      </c>
      <c r="S1132">
        <v>-1.415878</v>
      </c>
      <c r="T1132">
        <v>-0.22316999999999901</v>
      </c>
      <c r="U1132">
        <v>-2.7232970000000001</v>
      </c>
      <c r="V1132">
        <v>0.1588165</v>
      </c>
      <c r="W1132">
        <v>2.441432E-2</v>
      </c>
      <c r="X1132">
        <v>0.98700619999999994</v>
      </c>
      <c r="Y1132">
        <v>0.35292959999999901</v>
      </c>
      <c r="Z1132">
        <v>7.3570590000000005E-2</v>
      </c>
      <c r="AA1132">
        <v>0.93275300000000005</v>
      </c>
      <c r="AB1132">
        <v>40</v>
      </c>
      <c r="AC1132">
        <v>-6.9330999999999898</v>
      </c>
      <c r="AD1132">
        <v>-1.100241498186</v>
      </c>
      <c r="AE1132">
        <v>-13.0430999999999</v>
      </c>
      <c r="AF1132">
        <v>5.3278595604904098</v>
      </c>
      <c r="AG1132">
        <v>-1.100241498186</v>
      </c>
      <c r="AH1132">
        <v>13.6895282340297</v>
      </c>
      <c r="AI1132">
        <v>94.283370072093206</v>
      </c>
      <c r="AJ1132">
        <v>68.734393464313897</v>
      </c>
      <c r="AK1132">
        <v>14.730913146201599</v>
      </c>
    </row>
    <row r="1133" spans="1:37" x14ac:dyDescent="0.2">
      <c r="A1133" t="str">
        <f>"20200111153423348"</f>
        <v>20200111153423348</v>
      </c>
      <c r="B1133" t="str">
        <f>"1578728063337519"</f>
        <v>1578728063337519</v>
      </c>
      <c r="C1133" t="s">
        <v>37</v>
      </c>
      <c r="D1133">
        <v>4.8879029999999997</v>
      </c>
      <c r="E1133">
        <v>0.58101499999999995</v>
      </c>
      <c r="F1133" t="s">
        <v>50</v>
      </c>
      <c r="G1133">
        <v>-199.50729999999999</v>
      </c>
      <c r="H1133" s="1">
        <v>1.4913959999999999E-6</v>
      </c>
      <c r="I1133">
        <v>291.37490000000003</v>
      </c>
      <c r="J1133">
        <v>-192.7227</v>
      </c>
      <c r="K1133">
        <v>1.100071</v>
      </c>
      <c r="L1133">
        <v>303.90339999999998</v>
      </c>
      <c r="M1133">
        <v>-0.122325399999999</v>
      </c>
      <c r="N1133">
        <v>0</v>
      </c>
      <c r="O1133">
        <v>-0.99231270000000005</v>
      </c>
      <c r="P1133">
        <v>-0.27913860000000001</v>
      </c>
      <c r="Q1133">
        <v>5.9564700000000002E-3</v>
      </c>
      <c r="R1133">
        <v>-0.96023269999999905</v>
      </c>
      <c r="S1133">
        <v>-1.43428</v>
      </c>
      <c r="T1133">
        <v>-0.23078470000000001</v>
      </c>
      <c r="U1133">
        <v>-2.713409</v>
      </c>
      <c r="V1133">
        <v>0.15985469999999999</v>
      </c>
      <c r="W1133">
        <v>2.2477469999999999E-2</v>
      </c>
      <c r="X1133">
        <v>0.9868846</v>
      </c>
      <c r="Y1133">
        <v>0.35428920000000003</v>
      </c>
      <c r="Z1133">
        <v>7.610372E-2</v>
      </c>
      <c r="AA1133">
        <v>0.93203400000000003</v>
      </c>
      <c r="AB1133">
        <v>39</v>
      </c>
      <c r="AC1133">
        <v>-6.7845999999999798</v>
      </c>
      <c r="AD1133">
        <v>-1.100069508604</v>
      </c>
      <c r="AE1133">
        <v>-12.5284999999999</v>
      </c>
      <c r="AF1133">
        <v>5.1699854396685501</v>
      </c>
      <c r="AG1133">
        <v>-1.100069508604</v>
      </c>
      <c r="AH1133">
        <v>13.1858456838539</v>
      </c>
      <c r="AI1133">
        <v>94.441312635433206</v>
      </c>
      <c r="AJ1133">
        <v>68.590549767566998</v>
      </c>
      <c r="AK1133">
        <v>14.205823762406499</v>
      </c>
    </row>
    <row r="1134" spans="1:37" x14ac:dyDescent="0.2">
      <c r="A1134" t="str">
        <f>"20200111153423370"</f>
        <v>20200111153423370</v>
      </c>
      <c r="B1134" t="str">
        <f>"1578728063367775"</f>
        <v>1578728063367775</v>
      </c>
      <c r="C1134" t="s">
        <v>37</v>
      </c>
      <c r="D1134">
        <v>4.8698769999999998</v>
      </c>
      <c r="E1134">
        <v>0.58136009999999905</v>
      </c>
      <c r="F1134" t="s">
        <v>50</v>
      </c>
      <c r="G1134">
        <v>-199.4067</v>
      </c>
      <c r="H1134" s="1">
        <v>1.48629E-6</v>
      </c>
      <c r="I1134">
        <v>291.4545</v>
      </c>
      <c r="J1134">
        <v>-192.77520000000001</v>
      </c>
      <c r="K1134">
        <v>1.0998829999999999</v>
      </c>
      <c r="L1134">
        <v>303.5181</v>
      </c>
      <c r="M1134">
        <v>-0.12756300000000001</v>
      </c>
      <c r="N1134">
        <v>0</v>
      </c>
      <c r="O1134">
        <v>-0.99164929999999996</v>
      </c>
      <c r="P1134">
        <v>-0.28584799999999999</v>
      </c>
      <c r="Q1134">
        <v>5.3659619999999898E-3</v>
      </c>
      <c r="R1134">
        <v>-0.95826029999999995</v>
      </c>
      <c r="S1134">
        <v>-1.4516910000000001</v>
      </c>
      <c r="T1134">
        <v>-0.23892279999999999</v>
      </c>
      <c r="U1134">
        <v>-2.7037659999999999</v>
      </c>
      <c r="V1134">
        <v>0.16155169999999999</v>
      </c>
      <c r="W1134">
        <v>2.1972140000000001E-2</v>
      </c>
      <c r="X1134">
        <v>0.98661960000000004</v>
      </c>
      <c r="Y1134">
        <v>0.35529739999999999</v>
      </c>
      <c r="Z1134">
        <v>7.8809100000000007E-2</v>
      </c>
      <c r="AA1134">
        <v>0.93142519999999995</v>
      </c>
      <c r="AB1134">
        <v>39</v>
      </c>
      <c r="AC1134">
        <v>-6.6314999999999804</v>
      </c>
      <c r="AD1134">
        <v>-1.09988151371</v>
      </c>
      <c r="AE1134">
        <v>-12.063599999999999</v>
      </c>
      <c r="AF1134">
        <v>5.0062010208855803</v>
      </c>
      <c r="AG1134">
        <v>-1.09988151371</v>
      </c>
      <c r="AH1134">
        <v>12.729834316533999</v>
      </c>
      <c r="AI1134">
        <v>94.597120020804795</v>
      </c>
      <c r="AJ1134">
        <v>68.532011761268507</v>
      </c>
      <c r="AK1134">
        <v>13.7229905535246</v>
      </c>
    </row>
    <row r="1135" spans="1:37" x14ac:dyDescent="0.2">
      <c r="A1135" t="str">
        <f>"20200111153423392"</f>
        <v>20200111153423392</v>
      </c>
      <c r="B1135" t="str">
        <f>"1578728063387295"</f>
        <v>1578728063387295</v>
      </c>
      <c r="C1135" t="s">
        <v>37</v>
      </c>
      <c r="D1135">
        <v>4.8968730000000003</v>
      </c>
      <c r="E1135">
        <v>0.58156039999999998</v>
      </c>
      <c r="F1135" t="s">
        <v>50</v>
      </c>
      <c r="G1135">
        <v>-199.52340000000001</v>
      </c>
      <c r="H1135" s="1">
        <v>1.5231309999999899E-6</v>
      </c>
      <c r="I1135">
        <v>291.1866</v>
      </c>
      <c r="J1135">
        <v>-192.8278</v>
      </c>
      <c r="K1135">
        <v>1.0996680000000001</v>
      </c>
      <c r="L1135">
        <v>303.14920000000001</v>
      </c>
      <c r="M1135">
        <v>-0.13292079999999901</v>
      </c>
      <c r="N1135">
        <v>0</v>
      </c>
      <c r="O1135">
        <v>-0.99094190000000004</v>
      </c>
      <c r="P1135">
        <v>-0.2929561</v>
      </c>
      <c r="Q1135">
        <v>6.0460729999999999E-3</v>
      </c>
      <c r="R1135">
        <v>-0.95610689999999998</v>
      </c>
      <c r="S1135">
        <v>-1.473419</v>
      </c>
      <c r="T1135">
        <v>-0.2401518</v>
      </c>
      <c r="U1135">
        <v>-2.6925050000000001</v>
      </c>
      <c r="V1135">
        <v>0.1635704</v>
      </c>
      <c r="W1135">
        <v>2.2699609999999999E-2</v>
      </c>
      <c r="X1135">
        <v>0.98627049999999905</v>
      </c>
      <c r="Y1135">
        <v>0.35765619999999998</v>
      </c>
      <c r="Z1135">
        <v>7.923616E-2</v>
      </c>
      <c r="AA1135">
        <v>0.93048569999999997</v>
      </c>
      <c r="AB1135">
        <v>39</v>
      </c>
      <c r="AC1135">
        <v>-6.6956000000000104</v>
      </c>
      <c r="AD1135">
        <v>-1.0996664768690001</v>
      </c>
      <c r="AE1135">
        <v>-11.9626</v>
      </c>
      <c r="AF1135">
        <v>5.0135366345422101</v>
      </c>
      <c r="AG1135">
        <v>-1.0996664768690001</v>
      </c>
      <c r="AH1135">
        <v>12.6650669247277</v>
      </c>
      <c r="AI1135">
        <v>94.615562136974205</v>
      </c>
      <c r="AJ1135">
        <v>68.403590627110006</v>
      </c>
      <c r="AK1135">
        <v>13.665604126934101</v>
      </c>
    </row>
    <row r="1136" spans="1:37" x14ac:dyDescent="0.2">
      <c r="A1136" t="str">
        <f>"20200111153423414"</f>
        <v>20200111153423414</v>
      </c>
      <c r="B1136" t="str">
        <f>"1578728063407792"</f>
        <v>1578728063407792</v>
      </c>
      <c r="C1136" t="s">
        <v>37</v>
      </c>
      <c r="D1136">
        <v>4.9030659999999999</v>
      </c>
      <c r="E1136">
        <v>0.58183430000000003</v>
      </c>
      <c r="F1136" t="s">
        <v>50</v>
      </c>
      <c r="G1136">
        <v>-199.74459999999999</v>
      </c>
      <c r="H1136" s="1">
        <v>1.580662E-6</v>
      </c>
      <c r="I1136">
        <v>290.74849999999998</v>
      </c>
      <c r="J1136">
        <v>-192.88740000000001</v>
      </c>
      <c r="K1136">
        <v>1.09937</v>
      </c>
      <c r="L1136">
        <v>302.74930000000001</v>
      </c>
      <c r="M1136">
        <v>-0.13916410000000001</v>
      </c>
      <c r="N1136">
        <v>0</v>
      </c>
      <c r="O1136">
        <v>-0.99008079999999998</v>
      </c>
      <c r="P1136">
        <v>-0.2995468</v>
      </c>
      <c r="Q1136">
        <v>7.8835859999999997E-3</v>
      </c>
      <c r="R1136">
        <v>-0.95404920000000004</v>
      </c>
      <c r="S1136">
        <v>-1.4954069999999999</v>
      </c>
      <c r="T1136">
        <v>-0.23774709999999999</v>
      </c>
      <c r="U1136">
        <v>-2.6810299999999998</v>
      </c>
      <c r="V1136">
        <v>0.16420789999999999</v>
      </c>
      <c r="W1136">
        <v>2.4579739999999999E-2</v>
      </c>
      <c r="X1136">
        <v>0.98611939999999998</v>
      </c>
      <c r="Y1136">
        <v>0.35931809999999997</v>
      </c>
      <c r="Z1136">
        <v>7.8465690000000005E-2</v>
      </c>
      <c r="AA1136">
        <v>0.92991049999999997</v>
      </c>
      <c r="AB1136">
        <v>39</v>
      </c>
      <c r="AC1136">
        <v>-6.8571999999999704</v>
      </c>
      <c r="AD1136">
        <v>-1.099368419338</v>
      </c>
      <c r="AE1136">
        <v>-12.0008</v>
      </c>
      <c r="AF1136">
        <v>5.0878691976112203</v>
      </c>
      <c r="AG1136">
        <v>-1.099368419338</v>
      </c>
      <c r="AH1136">
        <v>12.757723323690501</v>
      </c>
      <c r="AI1136">
        <v>94.576329369967794</v>
      </c>
      <c r="AJ1136">
        <v>68.257541140042406</v>
      </c>
      <c r="AK1136">
        <v>13.7787709283984</v>
      </c>
    </row>
    <row r="1137" spans="1:37" x14ac:dyDescent="0.2">
      <c r="A1137" t="str">
        <f>"20200111153423437"</f>
        <v>20200111153423437</v>
      </c>
      <c r="B1137" t="str">
        <f>"1578728063427314"</f>
        <v>1578728063427314</v>
      </c>
      <c r="C1137" t="s">
        <v>37</v>
      </c>
      <c r="D1137">
        <v>4.8356490000000001</v>
      </c>
      <c r="E1137">
        <v>0.58209419999999901</v>
      </c>
      <c r="F1137" t="s">
        <v>50</v>
      </c>
      <c r="G1137">
        <v>-200.05930000000001</v>
      </c>
      <c r="H1137" s="1">
        <v>1.7223400000000001E-6</v>
      </c>
      <c r="I1137">
        <v>290.11770000000001</v>
      </c>
      <c r="J1137">
        <v>-192.9479</v>
      </c>
      <c r="K1137">
        <v>1.099024</v>
      </c>
      <c r="L1137">
        <v>302.36270000000002</v>
      </c>
      <c r="M1137">
        <v>-0.1456895</v>
      </c>
      <c r="N1137">
        <v>0</v>
      </c>
      <c r="O1137">
        <v>-0.98913869999999904</v>
      </c>
      <c r="P1137">
        <v>-0.30689739999999999</v>
      </c>
      <c r="Q1137">
        <v>9.8276159999999904E-3</v>
      </c>
      <c r="R1137">
        <v>-0.95169230000000005</v>
      </c>
      <c r="S1137">
        <v>-1.5161739999999999</v>
      </c>
      <c r="T1137">
        <v>-0.232410799999999</v>
      </c>
      <c r="U1137">
        <v>-2.67037999999999</v>
      </c>
      <c r="V1137">
        <v>0.1653686</v>
      </c>
      <c r="W1137">
        <v>2.65122E-2</v>
      </c>
      <c r="X1137">
        <v>0.98587539999999996</v>
      </c>
      <c r="Y1137">
        <v>0.3602978</v>
      </c>
      <c r="Z1137">
        <v>7.6718980000000006E-2</v>
      </c>
      <c r="AA1137">
        <v>0.92967719999999898</v>
      </c>
      <c r="AB1137">
        <v>39</v>
      </c>
      <c r="AC1137">
        <v>-7.1113999999999997</v>
      </c>
      <c r="AD1137">
        <v>-1.09902227766</v>
      </c>
      <c r="AE1137">
        <v>-12.244999999999999</v>
      </c>
      <c r="AF1137">
        <v>5.2197458977178703</v>
      </c>
      <c r="AG1137">
        <v>-1.09902227766</v>
      </c>
      <c r="AH1137">
        <v>13.0718109466989</v>
      </c>
      <c r="AI1137">
        <v>94.464644874217996</v>
      </c>
      <c r="AJ1137">
        <v>68.232524476036204</v>
      </c>
      <c r="AK1137">
        <v>14.118280300014399</v>
      </c>
    </row>
    <row r="1138" spans="1:37" x14ac:dyDescent="0.2">
      <c r="A1138" t="str">
        <f>"20200111153423460"</f>
        <v>20200111153423460</v>
      </c>
      <c r="B1138" t="str">
        <f>"1578728063457567"</f>
        <v>1578728063457567</v>
      </c>
      <c r="C1138" t="s">
        <v>37</v>
      </c>
      <c r="D1138">
        <v>4.8320419999999897</v>
      </c>
      <c r="E1138">
        <v>0.58244499999999999</v>
      </c>
      <c r="F1138" t="s">
        <v>50</v>
      </c>
      <c r="G1138">
        <v>-200.39060000000001</v>
      </c>
      <c r="H1138" s="1">
        <v>1.9628929999999999E-6</v>
      </c>
      <c r="I1138">
        <v>289.50409999999999</v>
      </c>
      <c r="J1138">
        <v>-193.01310000000001</v>
      </c>
      <c r="K1138">
        <v>1.0985989999999899</v>
      </c>
      <c r="L1138">
        <v>301.9667</v>
      </c>
      <c r="M1138">
        <v>-0.15295049999999999</v>
      </c>
      <c r="N1138">
        <v>0</v>
      </c>
      <c r="O1138">
        <v>-0.98803929999999995</v>
      </c>
      <c r="P1138">
        <v>-0.31468390000000002</v>
      </c>
      <c r="Q1138">
        <v>1.0731640000000001E-2</v>
      </c>
      <c r="R1138">
        <v>-0.94913630000000004</v>
      </c>
      <c r="S1138">
        <v>-1.538727</v>
      </c>
      <c r="T1138">
        <v>-0.2272149</v>
      </c>
      <c r="U1138">
        <v>-2.658417</v>
      </c>
      <c r="V1138">
        <v>0.16625019999999999</v>
      </c>
      <c r="W1138">
        <v>2.7359229999999998E-2</v>
      </c>
      <c r="X1138">
        <v>0.98570400000000002</v>
      </c>
      <c r="Y1138">
        <v>0.36123769999999999</v>
      </c>
      <c r="Z1138">
        <v>7.5017849999999997E-2</v>
      </c>
      <c r="AA1138">
        <v>0.92945129999999998</v>
      </c>
      <c r="AB1138">
        <v>39</v>
      </c>
      <c r="AC1138">
        <v>-7.3774999999999897</v>
      </c>
      <c r="AD1138">
        <v>-1.098597037107</v>
      </c>
      <c r="AE1138">
        <v>-12.4626</v>
      </c>
      <c r="AF1138">
        <v>5.3533298853048397</v>
      </c>
      <c r="AG1138">
        <v>-1.098597037107</v>
      </c>
      <c r="AH1138">
        <v>13.367595489171601</v>
      </c>
      <c r="AI1138">
        <v>94.362824500732202</v>
      </c>
      <c r="AJ1138">
        <v>68.175346659829003</v>
      </c>
      <c r="AK1138">
        <v>14.441525732171</v>
      </c>
    </row>
    <row r="1139" spans="1:37" x14ac:dyDescent="0.2">
      <c r="A1139" t="str">
        <f>"20200111153423482"</f>
        <v>20200111153423482</v>
      </c>
      <c r="B1139" t="str">
        <f>"1578728063477088"</f>
        <v>1578728063477088</v>
      </c>
      <c r="C1139" t="s">
        <v>37</v>
      </c>
      <c r="D1139">
        <v>4.9254709999999999</v>
      </c>
      <c r="E1139">
        <v>0.59059399999999995</v>
      </c>
      <c r="F1139" t="s">
        <v>50</v>
      </c>
      <c r="G1139">
        <v>-200.68559999999999</v>
      </c>
      <c r="H1139" s="1">
        <v>2.138879E-6</v>
      </c>
      <c r="I1139">
        <v>288.98759999999999</v>
      </c>
      <c r="J1139">
        <v>-193.0804</v>
      </c>
      <c r="K1139">
        <v>1.098142</v>
      </c>
      <c r="L1139">
        <v>301.58080000000001</v>
      </c>
      <c r="M1139">
        <v>-0.16063620000000001</v>
      </c>
      <c r="N1139">
        <v>0</v>
      </c>
      <c r="O1139">
        <v>-0.9868169</v>
      </c>
      <c r="P1139">
        <v>-0.32275490000000001</v>
      </c>
      <c r="Q1139">
        <v>1.0195020000000001E-2</v>
      </c>
      <c r="R1139">
        <v>-0.946428099999999</v>
      </c>
      <c r="S1139">
        <v>-1.5635219999999901</v>
      </c>
      <c r="T1139">
        <v>-0.22387579999999899</v>
      </c>
      <c r="U1139">
        <v>-2.64492799999999</v>
      </c>
      <c r="V1139">
        <v>0.16699320000000001</v>
      </c>
      <c r="W1139">
        <v>2.6725269999999999E-2</v>
      </c>
      <c r="X1139">
        <v>0.98559580000000002</v>
      </c>
      <c r="Y1139">
        <v>0.3625602</v>
      </c>
      <c r="Z1139">
        <v>7.3924879999999998E-2</v>
      </c>
      <c r="AA1139">
        <v>0.92902379999999996</v>
      </c>
      <c r="AB1139">
        <v>39</v>
      </c>
      <c r="AC1139">
        <v>-7.6051999999999902</v>
      </c>
      <c r="AD1139">
        <v>-1.098139861121</v>
      </c>
      <c r="AE1139">
        <v>-12.5932</v>
      </c>
      <c r="AF1139">
        <v>5.4526992305188404</v>
      </c>
      <c r="AG1139">
        <v>-1.098139861121</v>
      </c>
      <c r="AH1139">
        <v>13.5758613339547</v>
      </c>
      <c r="AI1139">
        <v>94.292628393834903</v>
      </c>
      <c r="AJ1139">
        <v>68.117303865096304</v>
      </c>
      <c r="AK1139">
        <v>14.6711230317194</v>
      </c>
    </row>
    <row r="1140" spans="1:37" x14ac:dyDescent="0.2">
      <c r="A1140" t="str">
        <f>"20200111153423505"</f>
        <v>20200111153423505</v>
      </c>
      <c r="B1140" t="str">
        <f>"1578728063497583"</f>
        <v>1578728063497583</v>
      </c>
      <c r="C1140" t="s">
        <v>37</v>
      </c>
      <c r="D1140">
        <v>4.8201830000000001</v>
      </c>
      <c r="E1140">
        <v>0.59027700000000005</v>
      </c>
      <c r="F1140" t="s">
        <v>50</v>
      </c>
      <c r="G1140">
        <v>-199.9924</v>
      </c>
      <c r="H1140" s="1">
        <v>1.600556E-6</v>
      </c>
      <c r="I1140">
        <v>290.62400000000002</v>
      </c>
      <c r="J1140">
        <v>-193.1508</v>
      </c>
      <c r="K1140">
        <v>1.097685</v>
      </c>
      <c r="L1140">
        <v>301.19670000000002</v>
      </c>
      <c r="M1140">
        <v>-0.1688105</v>
      </c>
      <c r="N1140">
        <v>0</v>
      </c>
      <c r="O1140">
        <v>-0.98544969999999998</v>
      </c>
      <c r="P1140">
        <v>-0.33225739999999998</v>
      </c>
      <c r="Q1140">
        <v>9.2704599999999995E-3</v>
      </c>
      <c r="R1140">
        <v>-0.94314379999999998</v>
      </c>
      <c r="S1140">
        <v>-1.647095</v>
      </c>
      <c r="T1140">
        <v>-0.26167950000000001</v>
      </c>
      <c r="U1140">
        <v>-2.6109309999999999</v>
      </c>
      <c r="V1140">
        <v>0.168747799999999</v>
      </c>
      <c r="W1140">
        <v>2.5668489999999999E-2</v>
      </c>
      <c r="X1140">
        <v>0.98532500000000001</v>
      </c>
      <c r="Y1140">
        <v>0.38109959999999998</v>
      </c>
      <c r="Z1140">
        <v>8.6085930000000005E-2</v>
      </c>
      <c r="AA1140">
        <v>0.92051740000000004</v>
      </c>
      <c r="AB1140">
        <v>38</v>
      </c>
      <c r="AC1140">
        <v>-6.8415999999999997</v>
      </c>
      <c r="AD1140">
        <v>-1.0976833994440001</v>
      </c>
      <c r="AE1140">
        <v>-10.5726999999999</v>
      </c>
      <c r="AF1140">
        <v>4.9208545885341097</v>
      </c>
      <c r="AG1140">
        <v>-1.0976833994440001</v>
      </c>
      <c r="AH1140">
        <v>11.4887787056264</v>
      </c>
      <c r="AI1140">
        <v>95.019226120760294</v>
      </c>
      <c r="AJ1140">
        <v>66.813661523820699</v>
      </c>
      <c r="AK1140">
        <v>12.5463841354299</v>
      </c>
    </row>
    <row r="1141" spans="1:37" x14ac:dyDescent="0.2">
      <c r="A1141" t="str">
        <f>"20200111153423526"</f>
        <v>20200111153423526</v>
      </c>
      <c r="B1141" t="str">
        <f>"1578728063517103"</f>
        <v>1578728063517103</v>
      </c>
      <c r="C1141" t="s">
        <v>37</v>
      </c>
      <c r="D1141">
        <v>4.8396419999999898</v>
      </c>
      <c r="E1141">
        <v>0.59047349999999998</v>
      </c>
      <c r="F1141" t="s">
        <v>50</v>
      </c>
      <c r="G1141">
        <v>-200.25880000000001</v>
      </c>
      <c r="H1141" s="1">
        <v>1.812606E-6</v>
      </c>
      <c r="I1141">
        <v>290.15710000000001</v>
      </c>
      <c r="J1141">
        <v>-193.21979999999999</v>
      </c>
      <c r="K1141">
        <v>1.0972599999999999</v>
      </c>
      <c r="L1141">
        <v>300.83789999999999</v>
      </c>
      <c r="M1141">
        <v>-0.17694879999999999</v>
      </c>
      <c r="N1141">
        <v>0</v>
      </c>
      <c r="O1141">
        <v>-0.9840198</v>
      </c>
      <c r="P1141">
        <v>-0.34230739999999998</v>
      </c>
      <c r="Q1141">
        <v>8.8712840000000001E-3</v>
      </c>
      <c r="R1141">
        <v>-0.93954660000000001</v>
      </c>
      <c r="S1141">
        <v>-1.67068499999999</v>
      </c>
      <c r="T1141">
        <v>-0.25800139999999999</v>
      </c>
      <c r="U1141">
        <v>-2.594757</v>
      </c>
      <c r="V1141">
        <v>0.17114209999999999</v>
      </c>
      <c r="W1141">
        <v>2.5109340000000001E-2</v>
      </c>
      <c r="X1141">
        <v>0.98492630000000003</v>
      </c>
      <c r="Y1141">
        <v>0.38204280000000002</v>
      </c>
      <c r="Z1141">
        <v>8.4934159999999995E-2</v>
      </c>
      <c r="AA1141">
        <v>0.92023339999999998</v>
      </c>
      <c r="AB1141">
        <v>38</v>
      </c>
      <c r="AC1141">
        <v>-7.0390000000000104</v>
      </c>
      <c r="AD1141">
        <v>-1.0972581873939999</v>
      </c>
      <c r="AE1141">
        <v>-10.6807999999999</v>
      </c>
      <c r="AF1141">
        <v>5.00075769702201</v>
      </c>
      <c r="AG1141">
        <v>-1.0972581873939999</v>
      </c>
      <c r="AH1141">
        <v>11.672094902300399</v>
      </c>
      <c r="AI1141">
        <v>94.938674327777605</v>
      </c>
      <c r="AJ1141">
        <v>66.807915276935603</v>
      </c>
      <c r="AK1141">
        <v>12.7455620700868</v>
      </c>
    </row>
    <row r="1142" spans="1:37" x14ac:dyDescent="0.2">
      <c r="A1142" t="str">
        <f>"20200111153423549"</f>
        <v>20200111153423549</v>
      </c>
      <c r="B1142" t="str">
        <f>"1578728063537599"</f>
        <v>1578728063537599</v>
      </c>
      <c r="C1142" t="s">
        <v>37</v>
      </c>
      <c r="D1142">
        <v>4.8166869999999999</v>
      </c>
      <c r="E1142">
        <v>0.59056600000000004</v>
      </c>
      <c r="F1142" t="s">
        <v>50</v>
      </c>
      <c r="G1142">
        <v>-200.5198</v>
      </c>
      <c r="H1142" s="1">
        <v>1.9896750000000001E-6</v>
      </c>
      <c r="I1142">
        <v>289.77289999999999</v>
      </c>
      <c r="J1142">
        <v>-193.29519999999999</v>
      </c>
      <c r="K1142">
        <v>1.096808</v>
      </c>
      <c r="L1142">
        <v>300.46570000000003</v>
      </c>
      <c r="M1142">
        <v>-0.18595400000000001</v>
      </c>
      <c r="N1142">
        <v>0</v>
      </c>
      <c r="O1142">
        <v>-0.98235669999999897</v>
      </c>
      <c r="P1142">
        <v>-0.35268369999999999</v>
      </c>
      <c r="Q1142">
        <v>9.9390629999999997E-3</v>
      </c>
      <c r="R1142">
        <v>-0.93569020000000003</v>
      </c>
      <c r="S1142">
        <v>-1.6996150000000001</v>
      </c>
      <c r="T1142">
        <v>-0.25546970000000002</v>
      </c>
      <c r="U1142">
        <v>-2.5762019999999999</v>
      </c>
      <c r="V1142">
        <v>0.17307259999999999</v>
      </c>
      <c r="W1142">
        <v>2.599311E-2</v>
      </c>
      <c r="X1142">
        <v>0.98456599999999905</v>
      </c>
      <c r="Y1142">
        <v>0.38386900000000002</v>
      </c>
      <c r="Z1142">
        <v>8.4126380000000001E-2</v>
      </c>
      <c r="AA1142">
        <v>0.91954729999999996</v>
      </c>
      <c r="AB1142">
        <v>38</v>
      </c>
      <c r="AC1142">
        <v>-7.2245999999999997</v>
      </c>
      <c r="AD1142">
        <v>-1.0968060103249999</v>
      </c>
      <c r="AE1142">
        <v>-10.6928</v>
      </c>
      <c r="AF1142">
        <v>5.0731309770596296</v>
      </c>
      <c r="AG1142">
        <v>-1.0968060103249999</v>
      </c>
      <c r="AH1142">
        <v>11.7649485201246</v>
      </c>
      <c r="AI1142">
        <v>94.892981374048901</v>
      </c>
      <c r="AJ1142">
        <v>66.673944757297605</v>
      </c>
      <c r="AK1142">
        <v>12.8589912129945</v>
      </c>
    </row>
    <row r="1143" spans="1:37" x14ac:dyDescent="0.2">
      <c r="A1143" t="str">
        <f>"20200111153423571"</f>
        <v>20200111153423571</v>
      </c>
      <c r="B1143" t="str">
        <f>"1578728063567855"</f>
        <v>1578728063567855</v>
      </c>
      <c r="C1143" t="s">
        <v>37</v>
      </c>
      <c r="D1143">
        <v>4.7973499999999998</v>
      </c>
      <c r="E1143">
        <v>0.59075390000000005</v>
      </c>
      <c r="F1143" t="s">
        <v>50</v>
      </c>
      <c r="G1143">
        <v>-200.80529999999999</v>
      </c>
      <c r="H1143" s="1">
        <v>2.159922E-6</v>
      </c>
      <c r="I1143">
        <v>289.35419999999999</v>
      </c>
      <c r="J1143">
        <v>-193.37530000000001</v>
      </c>
      <c r="K1143">
        <v>1.096339</v>
      </c>
      <c r="L1143">
        <v>300.09039999999999</v>
      </c>
      <c r="M1143">
        <v>-0.19562969999999999</v>
      </c>
      <c r="N1143">
        <v>0</v>
      </c>
      <c r="O1143">
        <v>-0.98047510000000004</v>
      </c>
      <c r="P1143">
        <v>-0.36358970000000002</v>
      </c>
      <c r="Q1143">
        <v>1.166443E-2</v>
      </c>
      <c r="R1143">
        <v>-0.93148639999999905</v>
      </c>
      <c r="S1143">
        <v>-1.72847</v>
      </c>
      <c r="T1143">
        <v>-0.2524322</v>
      </c>
      <c r="U1143">
        <v>-2.5573429999999999</v>
      </c>
      <c r="V1143">
        <v>0.17493909999999999</v>
      </c>
      <c r="W1143">
        <v>2.7507480000000001E-2</v>
      </c>
      <c r="X1143">
        <v>0.98419489999999998</v>
      </c>
      <c r="Y1143">
        <v>0.38508709999999902</v>
      </c>
      <c r="Z1143">
        <v>8.3139379999999999E-2</v>
      </c>
      <c r="AA1143">
        <v>0.91912780000000005</v>
      </c>
      <c r="AB1143">
        <v>38</v>
      </c>
      <c r="AC1143">
        <v>-7.4299999999999704</v>
      </c>
      <c r="AD1143">
        <v>-1.096336840078</v>
      </c>
      <c r="AE1143">
        <v>-10.736199999999901</v>
      </c>
      <c r="AF1143">
        <v>5.1493345356704703</v>
      </c>
      <c r="AG1143">
        <v>-1.096336840078</v>
      </c>
      <c r="AH1143">
        <v>11.8985933036909</v>
      </c>
      <c r="AI1143">
        <v>94.833491317435602</v>
      </c>
      <c r="AJ1143">
        <v>66.598566583277005</v>
      </c>
      <c r="AK1143">
        <v>13.0113075143814</v>
      </c>
    </row>
    <row r="1144" spans="1:37" x14ac:dyDescent="0.2">
      <c r="A1144" t="str">
        <f>"20200111153423595"</f>
        <v>20200111153423595</v>
      </c>
      <c r="B1144" t="str">
        <f>"1578728063587376"</f>
        <v>1578728063587376</v>
      </c>
      <c r="C1144" t="s">
        <v>37</v>
      </c>
      <c r="D1144">
        <v>4.8406149999999997</v>
      </c>
      <c r="E1144">
        <v>0.59066669999999999</v>
      </c>
      <c r="F1144" t="s">
        <v>50</v>
      </c>
      <c r="G1144">
        <v>-201.20959999999999</v>
      </c>
      <c r="H1144" s="1">
        <v>2.3878559999999899E-6</v>
      </c>
      <c r="I1144">
        <v>288.79770000000002</v>
      </c>
      <c r="J1144">
        <v>-193.46520000000001</v>
      </c>
      <c r="K1144">
        <v>1.095825</v>
      </c>
      <c r="L1144">
        <v>299.69060000000002</v>
      </c>
      <c r="M1144">
        <v>-0.20658099999999999</v>
      </c>
      <c r="N1144">
        <v>0</v>
      </c>
      <c r="O1144">
        <v>-0.97822540000000002</v>
      </c>
      <c r="P1144">
        <v>-0.37558170000000002</v>
      </c>
      <c r="Q1144">
        <v>1.393573E-2</v>
      </c>
      <c r="R1144">
        <v>-0.92668459999999997</v>
      </c>
      <c r="S1144">
        <v>-1.7599180000000001</v>
      </c>
      <c r="T1144">
        <v>-0.24628229999999901</v>
      </c>
      <c r="U1144">
        <v>-2.5368040000000001</v>
      </c>
      <c r="V1144">
        <v>0.17673079999999999</v>
      </c>
      <c r="W1144">
        <v>2.9537500000000001E-2</v>
      </c>
      <c r="X1144">
        <v>0.98381589999999997</v>
      </c>
      <c r="Y1144">
        <v>0.3860499</v>
      </c>
      <c r="Z1144">
        <v>8.1110280000000007E-2</v>
      </c>
      <c r="AA1144">
        <v>0.91890509999999903</v>
      </c>
      <c r="AB1144">
        <v>38</v>
      </c>
      <c r="AC1144">
        <v>-7.7443999999999802</v>
      </c>
      <c r="AD1144">
        <v>-1.095822612144</v>
      </c>
      <c r="AE1144">
        <v>-10.8928999999999</v>
      </c>
      <c r="AF1144">
        <v>5.2909981691411998</v>
      </c>
      <c r="AG1144">
        <v>-1.095822612144</v>
      </c>
      <c r="AH1144">
        <v>12.176152421018999</v>
      </c>
      <c r="AI1144">
        <v>94.718574398429396</v>
      </c>
      <c r="AJ1144">
        <v>66.513233168187199</v>
      </c>
      <c r="AK1144">
        <v>13.321192762024999</v>
      </c>
    </row>
    <row r="1145" spans="1:37" x14ac:dyDescent="0.2">
      <c r="A1145" t="str">
        <f>"20200111153423615"</f>
        <v>20200111153423615</v>
      </c>
      <c r="B1145" t="str">
        <f>"1578728063607872"</f>
        <v>1578728063607872</v>
      </c>
      <c r="C1145" t="s">
        <v>37</v>
      </c>
      <c r="D1145">
        <v>4.807213</v>
      </c>
      <c r="E1145">
        <v>0.59082419999999902</v>
      </c>
      <c r="F1145" t="s">
        <v>50</v>
      </c>
      <c r="G1145">
        <v>-201.6567</v>
      </c>
      <c r="H1145" s="1">
        <v>2.6386119999999999E-6</v>
      </c>
      <c r="I1145">
        <v>288.19740000000002</v>
      </c>
      <c r="J1145">
        <v>-193.5463</v>
      </c>
      <c r="K1145">
        <v>1.095372</v>
      </c>
      <c r="L1145">
        <v>299.34870000000001</v>
      </c>
      <c r="M1145">
        <v>-0.21650929999999999</v>
      </c>
      <c r="N1145">
        <v>0</v>
      </c>
      <c r="O1145">
        <v>-0.9760759</v>
      </c>
      <c r="P1145">
        <v>-0.38672909999999999</v>
      </c>
      <c r="Q1145">
        <v>1.6932909999999999E-2</v>
      </c>
      <c r="R1145">
        <v>-0.92203829999999998</v>
      </c>
      <c r="S1145">
        <v>-1.7922359999999999</v>
      </c>
      <c r="T1145">
        <v>-0.23975569999999999</v>
      </c>
      <c r="U1145">
        <v>-2.514618</v>
      </c>
      <c r="V1145">
        <v>0.17871519999999999</v>
      </c>
      <c r="W1145">
        <v>3.2301829999999997E-2</v>
      </c>
      <c r="X1145">
        <v>0.98337050000000004</v>
      </c>
      <c r="Y1145">
        <v>0.388447599999999</v>
      </c>
      <c r="Z1145">
        <v>7.897353E-2</v>
      </c>
      <c r="AA1145">
        <v>0.91808040000000002</v>
      </c>
      <c r="AB1145">
        <v>38</v>
      </c>
      <c r="AC1145">
        <v>-8.1103999999999896</v>
      </c>
      <c r="AD1145">
        <v>-1.095369361388</v>
      </c>
      <c r="AE1145">
        <v>-11.1512999999999</v>
      </c>
      <c r="AF1145">
        <v>5.4685952508300399</v>
      </c>
      <c r="AG1145">
        <v>-1.095369361388</v>
      </c>
      <c r="AH1145">
        <v>12.563733646027501</v>
      </c>
      <c r="AI1145">
        <v>94.570537586181104</v>
      </c>
      <c r="AJ1145">
        <v>66.4780335780966</v>
      </c>
      <c r="AK1145">
        <v>13.746009282100401</v>
      </c>
    </row>
    <row r="1146" spans="1:37" x14ac:dyDescent="0.2">
      <c r="A1146" t="str">
        <f>"20200111153423640"</f>
        <v>20200111153423640</v>
      </c>
      <c r="B1146" t="str">
        <f>"1578728063627391"</f>
        <v>1578728063627391</v>
      </c>
      <c r="C1146" t="s">
        <v>37</v>
      </c>
      <c r="D1146">
        <v>4.8088949999999997</v>
      </c>
      <c r="E1146">
        <v>0.59082309999999905</v>
      </c>
      <c r="F1146" t="s">
        <v>50</v>
      </c>
      <c r="G1146">
        <v>-202.1523</v>
      </c>
      <c r="H1146" s="1">
        <v>2.91199799999999E-6</v>
      </c>
      <c r="I1146">
        <v>287.584</v>
      </c>
      <c r="J1146">
        <v>-193.64359999999999</v>
      </c>
      <c r="K1146">
        <v>1.0948469999999999</v>
      </c>
      <c r="L1146">
        <v>298.959</v>
      </c>
      <c r="M1146">
        <v>-0.22842789999999999</v>
      </c>
      <c r="N1146">
        <v>0</v>
      </c>
      <c r="O1146">
        <v>-0.97335490000000002</v>
      </c>
      <c r="P1146">
        <v>-0.39973170000000002</v>
      </c>
      <c r="Q1146">
        <v>1.901094E-2</v>
      </c>
      <c r="R1146">
        <v>-0.91643519999999901</v>
      </c>
      <c r="S1146">
        <v>-1.82368499999999</v>
      </c>
      <c r="T1146">
        <v>-0.2321183</v>
      </c>
      <c r="U1146">
        <v>-2.493042</v>
      </c>
      <c r="V1146">
        <v>0.18070429999999901</v>
      </c>
      <c r="W1146">
        <v>3.4114730000000003E-2</v>
      </c>
      <c r="X1146">
        <v>0.98294559999999997</v>
      </c>
      <c r="Y1146">
        <v>0.3886387</v>
      </c>
      <c r="Z1146">
        <v>7.6428319999999994E-2</v>
      </c>
      <c r="AA1146">
        <v>0.918215</v>
      </c>
      <c r="AB1146">
        <v>38</v>
      </c>
      <c r="AC1146">
        <v>-8.5086999999999993</v>
      </c>
      <c r="AD1146">
        <v>-1.0948440880019901</v>
      </c>
      <c r="AE1146">
        <v>-11.375</v>
      </c>
      <c r="AF1146">
        <v>5.6511874791350998</v>
      </c>
      <c r="AG1146">
        <v>-1.0948440880019901</v>
      </c>
      <c r="AH1146">
        <v>12.9412714701732</v>
      </c>
      <c r="AI1146">
        <v>94.433338229988607</v>
      </c>
      <c r="AJ1146">
        <v>66.410094494903007</v>
      </c>
      <c r="AK1146">
        <v>14.163725172640399</v>
      </c>
    </row>
    <row r="1147" spans="1:37" x14ac:dyDescent="0.2">
      <c r="A1147" t="str">
        <f>"20200111153423660"</f>
        <v>20200111153423660</v>
      </c>
      <c r="B1147" t="str">
        <f>"1578728063657647"</f>
        <v>1578728063657647</v>
      </c>
      <c r="C1147" t="s">
        <v>37</v>
      </c>
      <c r="D1147">
        <v>4.823054</v>
      </c>
      <c r="E1147">
        <v>0.59063769999999904</v>
      </c>
      <c r="F1147" t="s">
        <v>50</v>
      </c>
      <c r="G1147">
        <v>-202.58150000000001</v>
      </c>
      <c r="H1147" s="1">
        <v>3.1452429999999899E-6</v>
      </c>
      <c r="I1147">
        <v>287.09320000000002</v>
      </c>
      <c r="J1147">
        <v>-193.73390000000001</v>
      </c>
      <c r="K1147">
        <v>1.0943799999999999</v>
      </c>
      <c r="L1147">
        <v>298.61689999999999</v>
      </c>
      <c r="M1147">
        <v>-0.2394655</v>
      </c>
      <c r="N1147">
        <v>0</v>
      </c>
      <c r="O1147">
        <v>-0.970697899999999</v>
      </c>
      <c r="P1147">
        <v>-0.41212860000000001</v>
      </c>
      <c r="Q1147">
        <v>2.0155989999999999E-2</v>
      </c>
      <c r="R1147">
        <v>-0.91090300000000002</v>
      </c>
      <c r="S1147">
        <v>-1.8586879999999999</v>
      </c>
      <c r="T1147">
        <v>-0.22767879999999999</v>
      </c>
      <c r="U1147">
        <v>-2.46755999999999</v>
      </c>
      <c r="V1147">
        <v>0.18295439999999999</v>
      </c>
      <c r="W1147">
        <v>3.5016360000000003E-2</v>
      </c>
      <c r="X1147">
        <v>0.98249759999999997</v>
      </c>
      <c r="Y1147">
        <v>0.39111750000000001</v>
      </c>
      <c r="Z1147">
        <v>7.4958759999999999E-2</v>
      </c>
      <c r="AA1147">
        <v>0.91728310000000002</v>
      </c>
      <c r="AB1147">
        <v>37</v>
      </c>
      <c r="AC1147">
        <v>-8.8475999999999999</v>
      </c>
      <c r="AD1147">
        <v>-1.0943768547570001</v>
      </c>
      <c r="AE1147">
        <v>-11.5236999999999</v>
      </c>
      <c r="AF1147">
        <v>5.79709649956955</v>
      </c>
      <c r="AG1147">
        <v>-1.0943768547570001</v>
      </c>
      <c r="AH1147">
        <v>13.2323192203446</v>
      </c>
      <c r="AI1147">
        <v>94.332105121872999</v>
      </c>
      <c r="AJ1147">
        <v>66.341710709271794</v>
      </c>
      <c r="AK1147">
        <v>14.487865973795101</v>
      </c>
    </row>
    <row r="1148" spans="1:37" x14ac:dyDescent="0.2">
      <c r="A1148" t="str">
        <f>"20200111153423683"</f>
        <v>20200111153423683</v>
      </c>
      <c r="B1148" t="str">
        <f>"1578728063677167"</f>
        <v>1578728063677167</v>
      </c>
      <c r="C1148" t="s">
        <v>37</v>
      </c>
      <c r="D1148">
        <v>4.8501760000000003</v>
      </c>
      <c r="E1148">
        <v>0.59056690000000001</v>
      </c>
      <c r="F1148" t="s">
        <v>50</v>
      </c>
      <c r="G1148">
        <v>-202.839</v>
      </c>
      <c r="H1148" s="1">
        <v>3.2804579999999999E-6</v>
      </c>
      <c r="I1148">
        <v>286.8528</v>
      </c>
      <c r="J1148">
        <v>-193.8365</v>
      </c>
      <c r="K1148">
        <v>1.093888</v>
      </c>
      <c r="L1148">
        <v>298.24770000000001</v>
      </c>
      <c r="M1148">
        <v>-0.25190619999999903</v>
      </c>
      <c r="N1148">
        <v>0</v>
      </c>
      <c r="O1148">
        <v>-0.96754319999999905</v>
      </c>
      <c r="P1148">
        <v>-0.42528469999999902</v>
      </c>
      <c r="Q1148">
        <v>2.0327910000000001E-2</v>
      </c>
      <c r="R1148">
        <v>-0.90483179999999996</v>
      </c>
      <c r="S1148">
        <v>-1.8908229999999999</v>
      </c>
      <c r="T1148">
        <v>-0.2272641</v>
      </c>
      <c r="U1148">
        <v>-2.442993</v>
      </c>
      <c r="V1148">
        <v>0.18462619999999999</v>
      </c>
      <c r="W1148">
        <v>3.4963460000000002E-2</v>
      </c>
      <c r="X1148">
        <v>0.98218669999999997</v>
      </c>
      <c r="Y1148">
        <v>0.39132729999999999</v>
      </c>
      <c r="Z1148">
        <v>7.4781130000000001E-2</v>
      </c>
      <c r="AA1148">
        <v>0.91720809999999997</v>
      </c>
      <c r="AB1148">
        <v>37</v>
      </c>
      <c r="AC1148">
        <v>-9.0025000000000208</v>
      </c>
      <c r="AD1148">
        <v>-1.0938847195420001</v>
      </c>
      <c r="AE1148">
        <v>-11.3949</v>
      </c>
      <c r="AF1148">
        <v>5.8080849206973504</v>
      </c>
      <c r="AG1148">
        <v>-1.0938847195420001</v>
      </c>
      <c r="AH1148">
        <v>13.220512452754701</v>
      </c>
      <c r="AI1148">
        <v>94.332075515076397</v>
      </c>
      <c r="AJ1148">
        <v>66.282975965267397</v>
      </c>
      <c r="AK1148">
        <v>14.4814496421843</v>
      </c>
    </row>
    <row r="1149" spans="1:37" x14ac:dyDescent="0.2">
      <c r="A1149" t="str">
        <f>"20200111153423706"</f>
        <v>20200111153423706</v>
      </c>
      <c r="B1149" t="str">
        <f>"1578728063697663"</f>
        <v>1578728063697663</v>
      </c>
      <c r="C1149" t="s">
        <v>37</v>
      </c>
      <c r="D1149">
        <v>4.8391599999999997</v>
      </c>
      <c r="E1149">
        <v>0.59056119999999901</v>
      </c>
      <c r="F1149" t="s">
        <v>50</v>
      </c>
      <c r="G1149">
        <v>-202.9906</v>
      </c>
      <c r="H1149" s="1">
        <v>3.3555509999999998E-6</v>
      </c>
      <c r="I1149">
        <v>286.76249999999999</v>
      </c>
      <c r="J1149">
        <v>-193.9434</v>
      </c>
      <c r="K1149">
        <v>1.0934280000000001</v>
      </c>
      <c r="L1149">
        <v>297.88209999999998</v>
      </c>
      <c r="M1149">
        <v>-0.26474150000000002</v>
      </c>
      <c r="N1149">
        <v>0</v>
      </c>
      <c r="O1149">
        <v>-0.96410949999999995</v>
      </c>
      <c r="P1149">
        <v>-0.43845299999999998</v>
      </c>
      <c r="Q1149">
        <v>1.9790470000000001E-2</v>
      </c>
      <c r="R1149">
        <v>-0.89853649999999996</v>
      </c>
      <c r="S1149">
        <v>-1.9254150000000001</v>
      </c>
      <c r="T1149">
        <v>-0.23008190000000001</v>
      </c>
      <c r="U1149">
        <v>-2.4157410000000001</v>
      </c>
      <c r="V1149">
        <v>0.18593760000000001</v>
      </c>
      <c r="W1149">
        <v>3.4220519999999997E-2</v>
      </c>
      <c r="X1149">
        <v>0.98196550000000005</v>
      </c>
      <c r="Y1149">
        <v>0.39213599999999998</v>
      </c>
      <c r="Z1149">
        <v>7.5654509999999994E-2</v>
      </c>
      <c r="AA1149">
        <v>0.91679100000000002</v>
      </c>
      <c r="AB1149">
        <v>37</v>
      </c>
      <c r="AC1149">
        <v>-9.0472000000000001</v>
      </c>
      <c r="AD1149">
        <v>-1.0934246444489999</v>
      </c>
      <c r="AE1149">
        <v>-11.119599999999901</v>
      </c>
      <c r="AF1149">
        <v>5.7464094312481802</v>
      </c>
      <c r="AG1149">
        <v>-1.0934246444489999</v>
      </c>
      <c r="AH1149">
        <v>13.0424561544098</v>
      </c>
      <c r="AI1149">
        <v>94.387103563289003</v>
      </c>
      <c r="AJ1149">
        <v>66.222066311962095</v>
      </c>
      <c r="AK1149">
        <v>14.294140804690899</v>
      </c>
    </row>
    <row r="1150" spans="1:37" x14ac:dyDescent="0.2">
      <c r="A1150" t="str">
        <f>"20200111153423727"</f>
        <v>20200111153423727</v>
      </c>
      <c r="B1150" t="str">
        <f>"1578728063717185"</f>
        <v>1578728063717185</v>
      </c>
      <c r="C1150" t="s">
        <v>37</v>
      </c>
      <c r="D1150">
        <v>4.891553</v>
      </c>
      <c r="E1150">
        <v>0.59070579999999995</v>
      </c>
      <c r="F1150" t="s">
        <v>50</v>
      </c>
      <c r="G1150">
        <v>-203.12360000000001</v>
      </c>
      <c r="H1150" s="1">
        <v>3.4198549999999999E-6</v>
      </c>
      <c r="I1150">
        <v>286.70190000000002</v>
      </c>
      <c r="J1150">
        <v>-194.0522</v>
      </c>
      <c r="K1150">
        <v>1.092994</v>
      </c>
      <c r="L1150">
        <v>297.5283</v>
      </c>
      <c r="M1150">
        <v>-0.27764070000000002</v>
      </c>
      <c r="N1150">
        <v>0</v>
      </c>
      <c r="O1150">
        <v>-0.96047369999999899</v>
      </c>
      <c r="P1150">
        <v>-0.45217209999999902</v>
      </c>
      <c r="Q1150">
        <v>1.9886149999999998E-2</v>
      </c>
      <c r="R1150">
        <v>-0.89170939999999999</v>
      </c>
      <c r="S1150">
        <v>-1.9602809999999999</v>
      </c>
      <c r="T1150">
        <v>-0.23348360000000001</v>
      </c>
      <c r="U1150">
        <v>-2.3873599999999899</v>
      </c>
      <c r="V1150">
        <v>0.187863</v>
      </c>
      <c r="W1150">
        <v>3.4093760000000001E-2</v>
      </c>
      <c r="X1150">
        <v>0.98160329999999996</v>
      </c>
      <c r="Y1150">
        <v>0.39310050000000002</v>
      </c>
      <c r="Z1150">
        <v>7.6707719999999993E-2</v>
      </c>
      <c r="AA1150">
        <v>0.9162903</v>
      </c>
      <c r="AB1150">
        <v>37</v>
      </c>
      <c r="AC1150">
        <v>-9.0714000000000095</v>
      </c>
      <c r="AD1150">
        <v>-1.0929905801449999</v>
      </c>
      <c r="AE1150">
        <v>-10.8263999999999</v>
      </c>
      <c r="AF1150">
        <v>5.67417309690103</v>
      </c>
      <c r="AG1150">
        <v>-1.0929905801449999</v>
      </c>
      <c r="AH1150">
        <v>12.8427811736499</v>
      </c>
      <c r="AI1150">
        <v>94.451271760369593</v>
      </c>
      <c r="AJ1150">
        <v>66.163290986918696</v>
      </c>
      <c r="AK1150">
        <v>14.0828937728059</v>
      </c>
    </row>
    <row r="1151" spans="1:37" x14ac:dyDescent="0.2">
      <c r="A1151" t="str">
        <f>"20200111153423750"</f>
        <v>20200111153423750</v>
      </c>
      <c r="B1151" t="str">
        <f>"1578728063737679"</f>
        <v>1578728063737679</v>
      </c>
      <c r="C1151" t="s">
        <v>37</v>
      </c>
      <c r="D1151">
        <v>4.8470690000000003</v>
      </c>
      <c r="E1151">
        <v>0.62443079999999995</v>
      </c>
      <c r="F1151" t="s">
        <v>50</v>
      </c>
      <c r="G1151">
        <v>-203.3219</v>
      </c>
      <c r="H1151" s="1">
        <v>3.5172899999999999E-6</v>
      </c>
      <c r="I1151">
        <v>286.59350000000001</v>
      </c>
      <c r="J1151">
        <v>-194.16460000000001</v>
      </c>
      <c r="K1151">
        <v>1.0925769999999999</v>
      </c>
      <c r="L1151">
        <v>297.18040000000002</v>
      </c>
      <c r="M1151">
        <v>-0.29077729999999902</v>
      </c>
      <c r="N1151">
        <v>0</v>
      </c>
      <c r="O1151">
        <v>-0.95657800000000004</v>
      </c>
      <c r="P1151">
        <v>-0.46682449999999998</v>
      </c>
      <c r="Q1151">
        <v>1.8814770000000001E-2</v>
      </c>
      <c r="R1151">
        <v>-0.88414999999999999</v>
      </c>
      <c r="S1151">
        <v>-1.9977419999999999</v>
      </c>
      <c r="T1151">
        <v>-0.2355536</v>
      </c>
      <c r="U1151">
        <v>-2.356598</v>
      </c>
      <c r="V1151">
        <v>0.1906013</v>
      </c>
      <c r="W1151">
        <v>3.2776029999999998E-2</v>
      </c>
      <c r="X1151">
        <v>0.981120199999999</v>
      </c>
      <c r="Y1151">
        <v>0.39484989999999998</v>
      </c>
      <c r="Z1151">
        <v>7.7306340000000001E-2</v>
      </c>
      <c r="AA1151">
        <v>0.91548750000000001</v>
      </c>
      <c r="AB1151">
        <v>37</v>
      </c>
      <c r="AC1151">
        <v>-9.1572999999999904</v>
      </c>
      <c r="AD1151">
        <v>-1.09257348271</v>
      </c>
      <c r="AE1151">
        <v>-10.5869</v>
      </c>
      <c r="AF1151">
        <v>5.6479890216262802</v>
      </c>
      <c r="AG1151">
        <v>-1.09257348271</v>
      </c>
      <c r="AH1151">
        <v>12.7150706974651</v>
      </c>
      <c r="AI1151">
        <v>94.4901491346249</v>
      </c>
      <c r="AJ1151">
        <v>66.049378311206198</v>
      </c>
      <c r="AK1151">
        <v>13.9558776021097</v>
      </c>
    </row>
    <row r="1152" spans="1:37" x14ac:dyDescent="0.2">
      <c r="A1152" t="str">
        <f>"20200111153423772"</f>
        <v>20200111153423772</v>
      </c>
      <c r="B1152" t="str">
        <f>"1578728063767935"</f>
        <v>1578728063767935</v>
      </c>
      <c r="C1152" t="s">
        <v>37</v>
      </c>
      <c r="D1152">
        <v>5.0970170000000001</v>
      </c>
      <c r="E1152">
        <v>0.61973129999999998</v>
      </c>
      <c r="F1152" t="s">
        <v>50</v>
      </c>
      <c r="G1152">
        <v>-209.92339999999999</v>
      </c>
      <c r="H1152" s="1">
        <v>6.8485559999999996E-6</v>
      </c>
      <c r="I1152">
        <v>281.97469999999998</v>
      </c>
      <c r="J1152">
        <v>-194.2851</v>
      </c>
      <c r="K1152">
        <v>1.092174</v>
      </c>
      <c r="L1152">
        <v>296.82470000000001</v>
      </c>
      <c r="M1152">
        <v>-0.30465720000000002</v>
      </c>
      <c r="N1152">
        <v>0</v>
      </c>
      <c r="O1152">
        <v>-0.95224739999999997</v>
      </c>
      <c r="P1152">
        <v>-0.48179420000000001</v>
      </c>
      <c r="Q1152">
        <v>1.8013609999999999E-2</v>
      </c>
      <c r="R1152">
        <v>-0.87609930000000003</v>
      </c>
      <c r="S1152">
        <v>-2.2751160000000001</v>
      </c>
      <c r="T1152">
        <v>-0.15773489999999901</v>
      </c>
      <c r="U1152">
        <v>-2.1952509999999998</v>
      </c>
      <c r="V1152">
        <v>0.1930211</v>
      </c>
      <c r="W1152">
        <v>3.1741829999999999E-2</v>
      </c>
      <c r="X1152">
        <v>0.98068109999999997</v>
      </c>
      <c r="Y1152">
        <v>0.47284280000000001</v>
      </c>
      <c r="Z1152">
        <v>5.1283179999999998E-2</v>
      </c>
      <c r="AA1152">
        <v>0.87965319999999902</v>
      </c>
      <c r="AB1152">
        <v>37</v>
      </c>
      <c r="AC1152">
        <v>-15.6382999999999</v>
      </c>
      <c r="AD1152">
        <v>-1.0921671514439999</v>
      </c>
      <c r="AE1152">
        <v>-14.85</v>
      </c>
      <c r="AF1152">
        <v>10.3429637347844</v>
      </c>
      <c r="AG1152">
        <v>-1.0921671514439999</v>
      </c>
      <c r="AH1152">
        <v>18.8606870679324</v>
      </c>
      <c r="AI1152">
        <v>92.906618794881993</v>
      </c>
      <c r="AJ1152">
        <v>61.260189970341102</v>
      </c>
      <c r="AK1152">
        <v>21.538227517143401</v>
      </c>
    </row>
    <row r="1153" spans="1:37" x14ac:dyDescent="0.2">
      <c r="A1153" t="str">
        <f>"20200111153423795"</f>
        <v>20200111153423795</v>
      </c>
      <c r="B1153" t="str">
        <f>"1578728063787455"</f>
        <v>1578728063787455</v>
      </c>
      <c r="C1153" t="s">
        <v>37</v>
      </c>
      <c r="D1153">
        <v>5.1203919999999998</v>
      </c>
      <c r="E1153">
        <v>0.61360800000000004</v>
      </c>
      <c r="F1153" t="s">
        <v>50</v>
      </c>
      <c r="G1153">
        <v>-207.5316</v>
      </c>
      <c r="H1153" s="1">
        <v>5.5949849999999996E-6</v>
      </c>
      <c r="I1153">
        <v>284.18090000000001</v>
      </c>
      <c r="J1153">
        <v>-194.41050000000001</v>
      </c>
      <c r="K1153">
        <v>1.091788</v>
      </c>
      <c r="L1153">
        <v>296.47210000000001</v>
      </c>
      <c r="M1153">
        <v>-0.3188511</v>
      </c>
      <c r="N1153">
        <v>0</v>
      </c>
      <c r="O1153">
        <v>-0.94758819999999999</v>
      </c>
      <c r="P1153">
        <v>-0.49659829999999999</v>
      </c>
      <c r="Q1153">
        <v>1.7671829999999999E-2</v>
      </c>
      <c r="R1153">
        <v>-0.86780059999999903</v>
      </c>
      <c r="S1153">
        <v>-2.2786559999999998</v>
      </c>
      <c r="T1153">
        <v>-0.18787499999999999</v>
      </c>
      <c r="U1153">
        <v>-2.1749879999999999</v>
      </c>
      <c r="V1153">
        <v>0.1950335</v>
      </c>
      <c r="W1153">
        <v>3.1190880000000001E-2</v>
      </c>
      <c r="X1153">
        <v>0.98030049999999902</v>
      </c>
      <c r="Y1153">
        <v>0.46400429999999998</v>
      </c>
      <c r="Z1153">
        <v>6.1110390000000001E-2</v>
      </c>
      <c r="AA1153">
        <v>0.88372249999999997</v>
      </c>
      <c r="AB1153">
        <v>37</v>
      </c>
      <c r="AC1153">
        <v>-13.121099999999901</v>
      </c>
      <c r="AD1153">
        <v>-1.091782405015</v>
      </c>
      <c r="AE1153">
        <v>-12.2912</v>
      </c>
      <c r="AF1153">
        <v>8.4847962596374291</v>
      </c>
      <c r="AG1153">
        <v>-1.091782405015</v>
      </c>
      <c r="AH1153">
        <v>15.775748472350299</v>
      </c>
      <c r="AI1153">
        <v>93.487867220943897</v>
      </c>
      <c r="AJ1153">
        <v>61.726949486279601</v>
      </c>
      <c r="AK1153">
        <v>17.945974374502999</v>
      </c>
    </row>
    <row r="1154" spans="1:37" x14ac:dyDescent="0.2">
      <c r="A1154" t="str">
        <f>"20200111153423818"</f>
        <v>20200111153423818</v>
      </c>
      <c r="B1154" t="str">
        <f>"1578728063807951"</f>
        <v>1578728063807951</v>
      </c>
      <c r="C1154" t="s">
        <v>37</v>
      </c>
      <c r="D1154">
        <v>5.1625990000000002</v>
      </c>
      <c r="E1154">
        <v>0.60997539999999995</v>
      </c>
      <c r="F1154" t="s">
        <v>50</v>
      </c>
      <c r="G1154">
        <v>-205.3912</v>
      </c>
      <c r="H1154" s="1">
        <v>4.4840749999999999E-6</v>
      </c>
      <c r="I1154">
        <v>286.03100000000001</v>
      </c>
      <c r="J1154">
        <v>-194.5427</v>
      </c>
      <c r="K1154">
        <v>1.091413</v>
      </c>
      <c r="L1154">
        <v>296.11779999999999</v>
      </c>
      <c r="M1154">
        <v>-0.33354079999999903</v>
      </c>
      <c r="N1154">
        <v>0</v>
      </c>
      <c r="O1154">
        <v>-0.9425171</v>
      </c>
      <c r="P1154">
        <v>-0.51105840000000002</v>
      </c>
      <c r="Q1154">
        <v>1.8093370000000001E-2</v>
      </c>
      <c r="R1154">
        <v>-0.85935550000000005</v>
      </c>
      <c r="S1154">
        <v>-2.2727200000000001</v>
      </c>
      <c r="T1154">
        <v>-0.2259719</v>
      </c>
      <c r="U1154">
        <v>-2.161041</v>
      </c>
      <c r="V1154">
        <v>0.1962555</v>
      </c>
      <c r="W1154">
        <v>3.1441579999999997E-2</v>
      </c>
      <c r="X1154">
        <v>0.98004849999999999</v>
      </c>
      <c r="Y1154">
        <v>0.45125649999999901</v>
      </c>
      <c r="Z1154">
        <v>7.3488890000000001E-2</v>
      </c>
      <c r="AA1154">
        <v>0.88936319999999902</v>
      </c>
      <c r="AB1154">
        <v>37</v>
      </c>
      <c r="AC1154">
        <v>-10.8485</v>
      </c>
      <c r="AD1154">
        <v>-1.091408515925</v>
      </c>
      <c r="AE1154">
        <v>-10.086799999999901</v>
      </c>
      <c r="AF1154">
        <v>6.8249030027563098</v>
      </c>
      <c r="AG1154">
        <v>-1.091408515925</v>
      </c>
      <c r="AH1154">
        <v>13.0572240318819</v>
      </c>
      <c r="AI1154">
        <v>94.236596990639597</v>
      </c>
      <c r="AJ1154">
        <v>62.404303625376301</v>
      </c>
      <c r="AK1154">
        <v>14.7736783830033</v>
      </c>
    </row>
    <row r="1155" spans="1:37" x14ac:dyDescent="0.2">
      <c r="A1155" t="str">
        <f>"20200111153423841"</f>
        <v>20200111153423841</v>
      </c>
      <c r="B1155" t="str">
        <f>"1578728063837231"</f>
        <v>1578728063837231</v>
      </c>
      <c r="C1155" t="s">
        <v>37</v>
      </c>
      <c r="D1155">
        <v>5.1296349999999897</v>
      </c>
      <c r="E1155">
        <v>0.6093404</v>
      </c>
      <c r="F1155" t="s">
        <v>50</v>
      </c>
      <c r="G1155">
        <v>-204.82820000000001</v>
      </c>
      <c r="H1155" s="1">
        <v>4.1945110000000003E-6</v>
      </c>
      <c r="I1155">
        <v>286.4873</v>
      </c>
      <c r="J1155">
        <v>-194.6764</v>
      </c>
      <c r="K1155">
        <v>1.091065</v>
      </c>
      <c r="L1155">
        <v>295.7765</v>
      </c>
      <c r="M1155">
        <v>-0.34810790000000003</v>
      </c>
      <c r="N1155">
        <v>0</v>
      </c>
      <c r="O1155">
        <v>-0.937233599999999</v>
      </c>
      <c r="P1155">
        <v>-0.52507769999999898</v>
      </c>
      <c r="Q1155">
        <v>1.8059160000000001E-2</v>
      </c>
      <c r="R1155">
        <v>-0.85086299999999904</v>
      </c>
      <c r="S1155">
        <v>-2.283493</v>
      </c>
      <c r="T1155">
        <v>-0.24230489999999999</v>
      </c>
      <c r="U1155">
        <v>-2.1380619999999899</v>
      </c>
      <c r="V1155">
        <v>0.19715859999999999</v>
      </c>
      <c r="W1155">
        <v>3.1264760000000003E-2</v>
      </c>
      <c r="X1155">
        <v>0.97987289999999905</v>
      </c>
      <c r="Y1155">
        <v>0.44395839999999998</v>
      </c>
      <c r="Z1155">
        <v>7.8718049999999998E-2</v>
      </c>
      <c r="AA1155">
        <v>0.89258300000000002</v>
      </c>
      <c r="AB1155">
        <v>36</v>
      </c>
      <c r="AC1155">
        <v>-10.1518</v>
      </c>
      <c r="AD1155">
        <v>-1.0910608054889901</v>
      </c>
      <c r="AE1155">
        <v>-9.2891999999999904</v>
      </c>
      <c r="AF1155">
        <v>6.2430157211172599</v>
      </c>
      <c r="AG1155">
        <v>-1.0910608054889901</v>
      </c>
      <c r="AH1155">
        <v>12.166119863017499</v>
      </c>
      <c r="AI1155">
        <v>94.561877877662496</v>
      </c>
      <c r="AJ1155">
        <v>62.835479932213701</v>
      </c>
      <c r="AK1155">
        <v>13.717876347915601</v>
      </c>
    </row>
    <row r="1156" spans="1:37" x14ac:dyDescent="0.2">
      <c r="A1156" t="str">
        <f>"20200111153423860"</f>
        <v>20200111153423860</v>
      </c>
      <c r="B1156" t="str">
        <f>"1578728063857727"</f>
        <v>1578728063857727</v>
      </c>
      <c r="C1156" t="s">
        <v>37</v>
      </c>
      <c r="D1156">
        <v>5.1320300000000003</v>
      </c>
      <c r="E1156">
        <v>0.61014740000000001</v>
      </c>
      <c r="F1156" t="s">
        <v>50</v>
      </c>
      <c r="G1156">
        <v>-205.95230000000001</v>
      </c>
      <c r="H1156" s="1">
        <v>4.7763999999999997E-6</v>
      </c>
      <c r="I1156">
        <v>285.53359999999998</v>
      </c>
      <c r="J1156">
        <v>-194.8058</v>
      </c>
      <c r="K1156">
        <v>1.090751</v>
      </c>
      <c r="L1156">
        <v>295.46100000000001</v>
      </c>
      <c r="M1156">
        <v>-0.36193829999999999</v>
      </c>
      <c r="N1156">
        <v>0</v>
      </c>
      <c r="O1156">
        <v>-0.93197870000000005</v>
      </c>
      <c r="P1156">
        <v>-0.53854799999999903</v>
      </c>
      <c r="Q1156">
        <v>1.7873549999999998E-2</v>
      </c>
      <c r="R1156">
        <v>-0.84240530000000002</v>
      </c>
      <c r="S1156">
        <v>-2.314346</v>
      </c>
      <c r="T1156">
        <v>-0.2239372</v>
      </c>
      <c r="U1156">
        <v>-2.102325</v>
      </c>
      <c r="V1156">
        <v>0.1982642</v>
      </c>
      <c r="W1156">
        <v>3.0937799999999901E-2</v>
      </c>
      <c r="X1156">
        <v>0.97966019999999898</v>
      </c>
      <c r="Y1156">
        <v>0.44452839999999999</v>
      </c>
      <c r="Z1156">
        <v>7.2680709999999996E-2</v>
      </c>
      <c r="AA1156">
        <v>0.89281129999999997</v>
      </c>
      <c r="AB1156">
        <v>36</v>
      </c>
      <c r="AC1156">
        <v>-11.1465</v>
      </c>
      <c r="AD1156">
        <v>-1.0907462236000001</v>
      </c>
      <c r="AE1156">
        <v>-9.9274000000000306</v>
      </c>
      <c r="AF1156">
        <v>6.7605086638432201</v>
      </c>
      <c r="AG1156">
        <v>-1.0907462236000001</v>
      </c>
      <c r="AH1156">
        <v>13.2186506647844</v>
      </c>
      <c r="AI1156">
        <v>94.201693917582304</v>
      </c>
      <c r="AJ1156">
        <v>62.913111550424603</v>
      </c>
      <c r="AK1156">
        <v>14.8871397560379</v>
      </c>
    </row>
    <row r="1157" spans="1:37" x14ac:dyDescent="0.2">
      <c r="A1157" t="str">
        <f>"20200111153423884"</f>
        <v>20200111153423884</v>
      </c>
      <c r="B1157" t="str">
        <f>"1578728063877248"</f>
        <v>1578728063877248</v>
      </c>
      <c r="C1157" t="s">
        <v>37</v>
      </c>
      <c r="D1157">
        <v>5.2987310000000001</v>
      </c>
      <c r="E1157">
        <v>0.6109869</v>
      </c>
      <c r="F1157" t="s">
        <v>50</v>
      </c>
      <c r="G1157">
        <v>-206.91069999999999</v>
      </c>
      <c r="H1157" s="1">
        <v>5.2606390000000001E-6</v>
      </c>
      <c r="I1157">
        <v>284.85590000000002</v>
      </c>
      <c r="J1157">
        <v>-194.9545</v>
      </c>
      <c r="K1157">
        <v>1.09043</v>
      </c>
      <c r="L1157">
        <v>295.11489999999998</v>
      </c>
      <c r="M1157">
        <v>-0.37748379999999998</v>
      </c>
      <c r="N1157">
        <v>0</v>
      </c>
      <c r="O1157">
        <v>-0.92579049999999996</v>
      </c>
      <c r="P1157">
        <v>-0.55353769999999902</v>
      </c>
      <c r="Q1157">
        <v>1.8075109999999998E-2</v>
      </c>
      <c r="R1157">
        <v>-0.83262839999999905</v>
      </c>
      <c r="S1157">
        <v>-2.3529819999999999</v>
      </c>
      <c r="T1157">
        <v>-0.212023299999999</v>
      </c>
      <c r="U1157">
        <v>-2.0614619999999899</v>
      </c>
      <c r="V1157">
        <v>0.1994351</v>
      </c>
      <c r="W1157">
        <v>3.098594E-2</v>
      </c>
      <c r="X1157">
        <v>0.97942099999999899</v>
      </c>
      <c r="Y1157">
        <v>0.44581759999999898</v>
      </c>
      <c r="Z1157">
        <v>6.8643029999999994E-2</v>
      </c>
      <c r="AA1157">
        <v>0.89248799999999995</v>
      </c>
      <c r="AB1157">
        <v>36</v>
      </c>
      <c r="AC1157">
        <v>-11.9561999999999</v>
      </c>
      <c r="AD1157">
        <v>-1.090424739361</v>
      </c>
      <c r="AE1157">
        <v>-10.258999999999901</v>
      </c>
      <c r="AF1157">
        <v>7.1635165044683999</v>
      </c>
      <c r="AG1157">
        <v>-1.090424739361</v>
      </c>
      <c r="AH1157">
        <v>13.947069892540499</v>
      </c>
      <c r="AI1157">
        <v>93.978288112620504</v>
      </c>
      <c r="AJ1157">
        <v>62.813988015159197</v>
      </c>
      <c r="AK1157">
        <v>15.7170529492463</v>
      </c>
    </row>
    <row r="1158" spans="1:37" x14ac:dyDescent="0.2">
      <c r="A1158" t="str">
        <f>"20200111153423907"</f>
        <v>20200111153423907</v>
      </c>
      <c r="B1158" t="str">
        <f>"1578728063897743"</f>
        <v>1578728063897743</v>
      </c>
      <c r="C1158" t="s">
        <v>37</v>
      </c>
      <c r="D1158">
        <v>5.216348</v>
      </c>
      <c r="E1158">
        <v>0.63046569999999902</v>
      </c>
      <c r="F1158" t="s">
        <v>50</v>
      </c>
      <c r="G1158">
        <v>-207.81950000000001</v>
      </c>
      <c r="H1158" s="1">
        <v>5.7131169999999901E-6</v>
      </c>
      <c r="I1158">
        <v>284.29039999999998</v>
      </c>
      <c r="J1158">
        <v>-195.11269999999999</v>
      </c>
      <c r="K1158">
        <v>1.0901160000000001</v>
      </c>
      <c r="L1158">
        <v>294.76319999999998</v>
      </c>
      <c r="M1158">
        <v>-0.39363720000000002</v>
      </c>
      <c r="N1158">
        <v>0</v>
      </c>
      <c r="O1158">
        <v>-0.91903780000000002</v>
      </c>
      <c r="P1158">
        <v>-0.56922980000000001</v>
      </c>
      <c r="Q1158">
        <v>1.885653E-2</v>
      </c>
      <c r="R1158">
        <v>-0.82196239999999998</v>
      </c>
      <c r="S1158">
        <v>-2.3950809999999998</v>
      </c>
      <c r="T1158">
        <v>-0.20300470000000001</v>
      </c>
      <c r="U1158">
        <v>-2.0151979999999998</v>
      </c>
      <c r="V1158">
        <v>0.20091870000000001</v>
      </c>
      <c r="W1158">
        <v>3.1597899999999998E-2</v>
      </c>
      <c r="X1158">
        <v>0.97909820000000003</v>
      </c>
      <c r="Y1158">
        <v>0.44814969999999998</v>
      </c>
      <c r="Z1158">
        <v>6.5541600000000005E-2</v>
      </c>
      <c r="AA1158">
        <v>0.89155269999999998</v>
      </c>
      <c r="AB1158">
        <v>36</v>
      </c>
      <c r="AC1158">
        <v>-12.706799999999999</v>
      </c>
      <c r="AD1158">
        <v>-1.0901102868829999</v>
      </c>
      <c r="AE1158">
        <v>-10.472799999999999</v>
      </c>
      <c r="AF1158">
        <v>7.5241540301536496</v>
      </c>
      <c r="AG1158">
        <v>-1.0901102868829999</v>
      </c>
      <c r="AH1158">
        <v>14.565996876790701</v>
      </c>
      <c r="AI1158">
        <v>93.804125579067502</v>
      </c>
      <c r="AJ1158">
        <v>62.6811107268759</v>
      </c>
      <c r="AK1158">
        <v>16.4307485928585</v>
      </c>
    </row>
    <row r="1159" spans="1:37" x14ac:dyDescent="0.2">
      <c r="A1159" t="str">
        <f>"20200111153423928"</f>
        <v>20200111153423928</v>
      </c>
      <c r="B1159" t="str">
        <f>"1578728063917832"</f>
        <v>1578728063917832</v>
      </c>
      <c r="C1159" t="s">
        <v>37</v>
      </c>
      <c r="D1159">
        <v>5.1453100000000003</v>
      </c>
      <c r="E1159">
        <v>0.64138219999999901</v>
      </c>
      <c r="F1159" t="s">
        <v>38</v>
      </c>
      <c r="G1159">
        <v>-230.16640000000001</v>
      </c>
      <c r="H1159">
        <v>-0.05</v>
      </c>
      <c r="I1159">
        <v>269.0763</v>
      </c>
      <c r="J1159">
        <v>-195.2604</v>
      </c>
      <c r="K1159">
        <v>1.089861</v>
      </c>
      <c r="L1159">
        <v>294.44920000000002</v>
      </c>
      <c r="M1159">
        <v>-0.40836840000000002</v>
      </c>
      <c r="N1159">
        <v>0</v>
      </c>
      <c r="O1159">
        <v>-0.91258719999999904</v>
      </c>
      <c r="P1159">
        <v>-0.58484009999999997</v>
      </c>
      <c r="Q1159">
        <v>2.0761519999999999E-2</v>
      </c>
      <c r="R1159">
        <v>-0.81088329999999997</v>
      </c>
      <c r="S1159">
        <v>-2.56201199999999</v>
      </c>
      <c r="T1159">
        <v>-8.3328959999999994E-2</v>
      </c>
      <c r="U1159">
        <v>-1.8774109999999999</v>
      </c>
      <c r="V1159">
        <v>0.20399690000000001</v>
      </c>
      <c r="W1159">
        <v>3.3278830000000002E-2</v>
      </c>
      <c r="X1159">
        <v>0.97840569999999905</v>
      </c>
      <c r="Y1159">
        <v>0.4945254</v>
      </c>
      <c r="Z1159">
        <v>2.677413E-2</v>
      </c>
      <c r="AA1159">
        <v>0.86875069999999999</v>
      </c>
      <c r="AB1159">
        <v>36</v>
      </c>
      <c r="AC1159">
        <v>-34.905999999999999</v>
      </c>
      <c r="AD1159">
        <v>-1.139861</v>
      </c>
      <c r="AE1159">
        <v>-25.372900000000001</v>
      </c>
      <c r="AF1159">
        <v>21.4828028994168</v>
      </c>
      <c r="AG1159">
        <v>-1.139861</v>
      </c>
      <c r="AH1159">
        <v>37.391258615267297</v>
      </c>
      <c r="AI1159">
        <v>91.514124735145003</v>
      </c>
      <c r="AJ1159">
        <v>60.120875765663399</v>
      </c>
      <c r="AK1159">
        <v>43.138339378658401</v>
      </c>
    </row>
    <row r="1160" spans="1:37" x14ac:dyDescent="0.2">
      <c r="A1160" t="str">
        <f>"20200111153423962"</f>
        <v>20200111153423962</v>
      </c>
      <c r="B1160" t="str">
        <f>"1578728063957845"</f>
        <v>1578728063957845</v>
      </c>
      <c r="C1160" t="s">
        <v>37</v>
      </c>
      <c r="D1160">
        <v>5.2150739999999898</v>
      </c>
      <c r="E1160">
        <v>0.645300599999999</v>
      </c>
      <c r="F1160" t="s">
        <v>38</v>
      </c>
      <c r="G1160">
        <v>-236.59180000000001</v>
      </c>
      <c r="H1160">
        <v>-0.05</v>
      </c>
      <c r="I1160">
        <v>266.91379999999998</v>
      </c>
      <c r="J1160">
        <v>-195.50149999999999</v>
      </c>
      <c r="K1160">
        <v>1.0894760000000001</v>
      </c>
      <c r="L1160">
        <v>293.9624</v>
      </c>
      <c r="M1160">
        <v>-0.43173879999999998</v>
      </c>
      <c r="N1160">
        <v>0</v>
      </c>
      <c r="O1160">
        <v>-0.90176520000000004</v>
      </c>
      <c r="P1160">
        <v>-0.60818549999999905</v>
      </c>
      <c r="Q1160">
        <v>2.32675E-2</v>
      </c>
      <c r="R1160">
        <v>-0.79345410000000005</v>
      </c>
      <c r="S1160">
        <v>-2.6678470000000001</v>
      </c>
      <c r="T1160">
        <v>-7.3575379999999996E-2</v>
      </c>
      <c r="U1160">
        <v>-1.77734399999999</v>
      </c>
      <c r="V1160">
        <v>0.20741699999999999</v>
      </c>
      <c r="W1160">
        <v>3.5486699999999899E-2</v>
      </c>
      <c r="X1160">
        <v>0.9776087</v>
      </c>
      <c r="Y1160">
        <v>0.51096339999999996</v>
      </c>
      <c r="Z1160">
        <v>2.3419570000000001E-2</v>
      </c>
      <c r="AA1160">
        <v>0.85928340000000003</v>
      </c>
      <c r="AB1160">
        <v>36</v>
      </c>
      <c r="AC1160">
        <v>-41.090299999999999</v>
      </c>
      <c r="AD1160">
        <v>-1.1394759999999999</v>
      </c>
      <c r="AE1160">
        <v>-27.0486</v>
      </c>
      <c r="AF1160">
        <v>25.3676071932674</v>
      </c>
      <c r="AG1160">
        <v>-1.1394759999999999</v>
      </c>
      <c r="AH1160">
        <v>42.118040061310303</v>
      </c>
      <c r="AI1160">
        <v>91.327613920317802</v>
      </c>
      <c r="AJ1160">
        <v>58.939532688369603</v>
      </c>
      <c r="AK1160">
        <v>49.180719788069702</v>
      </c>
    </row>
    <row r="1161" spans="1:37" x14ac:dyDescent="0.2">
      <c r="A1161" t="str">
        <f>"20200111153423985"</f>
        <v>20200111153423985</v>
      </c>
      <c r="B1161" t="str">
        <f>"1578728063977365"</f>
        <v>1578728063977365</v>
      </c>
      <c r="C1161" t="s">
        <v>37</v>
      </c>
      <c r="D1161">
        <v>5.2133510000000003</v>
      </c>
      <c r="E1161">
        <v>0.64389149999999995</v>
      </c>
      <c r="F1161" t="s">
        <v>38</v>
      </c>
      <c r="G1161">
        <v>-232.0067</v>
      </c>
      <c r="H1161">
        <v>-0.05</v>
      </c>
      <c r="I1161">
        <v>271.59589999999997</v>
      </c>
      <c r="J1161">
        <v>-195.67259999999999</v>
      </c>
      <c r="K1161">
        <v>1.089235</v>
      </c>
      <c r="L1161">
        <v>293.63630000000001</v>
      </c>
      <c r="M1161">
        <v>-0.44779529999999901</v>
      </c>
      <c r="N1161">
        <v>0</v>
      </c>
      <c r="O1161">
        <v>-0.89390020000000003</v>
      </c>
      <c r="P1161">
        <v>-0.62406410000000001</v>
      </c>
      <c r="Q1161">
        <v>2.4855430000000001E-2</v>
      </c>
      <c r="R1161">
        <v>-0.78097780000000006</v>
      </c>
      <c r="S1161">
        <v>-2.7432249999999998</v>
      </c>
      <c r="T1161">
        <v>-8.5627320000000007E-2</v>
      </c>
      <c r="U1161">
        <v>-1.6807559999999999</v>
      </c>
      <c r="V1161">
        <v>0.20975379999999999</v>
      </c>
      <c r="W1161">
        <v>3.6876249999999999E-2</v>
      </c>
      <c r="X1161">
        <v>0.977058599999999</v>
      </c>
      <c r="Y1161">
        <v>0.52804019999999996</v>
      </c>
      <c r="Z1161">
        <v>2.7193060000000002E-2</v>
      </c>
      <c r="AA1161">
        <v>0.84878390000000004</v>
      </c>
      <c r="AB1161">
        <v>36</v>
      </c>
      <c r="AC1161">
        <v>-36.334099999999999</v>
      </c>
      <c r="AD1161">
        <v>-1.139235</v>
      </c>
      <c r="AE1161">
        <v>-22.040400000000002</v>
      </c>
      <c r="AF1161">
        <v>22.5980013734187</v>
      </c>
      <c r="AG1161">
        <v>-1.139235</v>
      </c>
      <c r="AH1161">
        <v>35.953907598336997</v>
      </c>
      <c r="AI1161">
        <v>91.536708197994201</v>
      </c>
      <c r="AJ1161">
        <v>57.849529894297802</v>
      </c>
      <c r="AK1161">
        <v>42.481184000072503</v>
      </c>
    </row>
    <row r="1162" spans="1:37" x14ac:dyDescent="0.2">
      <c r="A1162" t="str">
        <f>"20200111153424006"</f>
        <v>20200111153424006</v>
      </c>
      <c r="B1162" t="str">
        <f>"1578728063997862"</f>
        <v>1578728063997862</v>
      </c>
      <c r="C1162" t="s">
        <v>37</v>
      </c>
      <c r="D1162">
        <v>5.2931349999999897</v>
      </c>
      <c r="E1162">
        <v>0.64246400000000004</v>
      </c>
      <c r="F1162" t="s">
        <v>52</v>
      </c>
      <c r="G1162">
        <v>-226.72569999999999</v>
      </c>
      <c r="H1162">
        <v>8.0000950000000001E-2</v>
      </c>
      <c r="I1162">
        <v>275.32420000000002</v>
      </c>
      <c r="J1162">
        <v>-195.84350000000001</v>
      </c>
      <c r="K1162">
        <v>1.0890169999999999</v>
      </c>
      <c r="L1162">
        <v>293.32389999999998</v>
      </c>
      <c r="M1162">
        <v>-0.46343190000000001</v>
      </c>
      <c r="N1162">
        <v>0</v>
      </c>
      <c r="O1162">
        <v>-0.88589430000000002</v>
      </c>
      <c r="P1162">
        <v>-0.63981469999999996</v>
      </c>
      <c r="Q1162">
        <v>2.5824650000000001E-2</v>
      </c>
      <c r="R1162">
        <v>-0.76809530000000004</v>
      </c>
      <c r="S1162">
        <v>-2.7680509999999998</v>
      </c>
      <c r="T1162">
        <v>-8.9962479999999997E-2</v>
      </c>
      <c r="U1162">
        <v>-1.6323239999999899</v>
      </c>
      <c r="V1162">
        <v>0.21252379999999901</v>
      </c>
      <c r="W1162">
        <v>3.7633890000000003E-2</v>
      </c>
      <c r="X1162">
        <v>0.97643089999999999</v>
      </c>
      <c r="Y1162">
        <v>0.52742</v>
      </c>
      <c r="Z1162">
        <v>2.8497499999999999E-2</v>
      </c>
      <c r="AA1162">
        <v>0.84912670000000001</v>
      </c>
      <c r="AB1162">
        <v>35</v>
      </c>
      <c r="AC1162">
        <v>-30.882199999999902</v>
      </c>
      <c r="AD1162">
        <v>-1.0090160499999901</v>
      </c>
      <c r="AE1162">
        <v>-17.999699999999901</v>
      </c>
      <c r="AF1162">
        <v>19.0056008409023</v>
      </c>
      <c r="AG1162">
        <v>-1.0090160499999901</v>
      </c>
      <c r="AH1162">
        <v>30.239920933171799</v>
      </c>
      <c r="AI1162">
        <v>91.618217052629106</v>
      </c>
      <c r="AJ1162">
        <v>57.850895803254097</v>
      </c>
      <c r="AK1162">
        <v>35.730712206130796</v>
      </c>
    </row>
    <row r="1163" spans="1:37" x14ac:dyDescent="0.2">
      <c r="A1163" t="str">
        <f>"20200111153424029"</f>
        <v>20200111153424029</v>
      </c>
      <c r="B1163" t="str">
        <f>"1578728064017407"</f>
        <v>1578728064017407</v>
      </c>
      <c r="C1163" t="s">
        <v>37</v>
      </c>
      <c r="D1163">
        <v>5.2891820000000003</v>
      </c>
      <c r="E1163">
        <v>0.64106370000000001</v>
      </c>
      <c r="F1163" t="s">
        <v>52</v>
      </c>
      <c r="G1163">
        <v>-224.3536</v>
      </c>
      <c r="H1163">
        <v>8.0000180000000004E-2</v>
      </c>
      <c r="I1163">
        <v>277.15199999999999</v>
      </c>
      <c r="J1163">
        <v>-196.0172</v>
      </c>
      <c r="K1163">
        <v>1.08882099999999</v>
      </c>
      <c r="L1163">
        <v>293.01929999999999</v>
      </c>
      <c r="M1163">
        <v>-0.47892959999999901</v>
      </c>
      <c r="N1163">
        <v>0</v>
      </c>
      <c r="O1163">
        <v>-0.87761290000000003</v>
      </c>
      <c r="P1163">
        <v>-0.65559690000000004</v>
      </c>
      <c r="Q1163">
        <v>2.686616E-2</v>
      </c>
      <c r="R1163">
        <v>-0.75463329999999995</v>
      </c>
      <c r="S1163">
        <v>-2.791779</v>
      </c>
      <c r="T1163">
        <v>-9.8805370000000003E-2</v>
      </c>
      <c r="U1163">
        <v>-1.583588</v>
      </c>
      <c r="V1163">
        <v>0.21567549999999999</v>
      </c>
      <c r="W1163">
        <v>3.8444409999999998E-2</v>
      </c>
      <c r="X1163">
        <v>0.97570800000000002</v>
      </c>
      <c r="Y1163">
        <v>0.52670699999999904</v>
      </c>
      <c r="Z1163">
        <v>3.1208909999999999E-2</v>
      </c>
      <c r="AA1163">
        <v>0.84947379999999995</v>
      </c>
      <c r="AB1163">
        <v>35</v>
      </c>
      <c r="AC1163">
        <v>-28.336400000000001</v>
      </c>
      <c r="AD1163">
        <v>-1.00882081999999</v>
      </c>
      <c r="AE1163">
        <v>-15.8673</v>
      </c>
      <c r="AF1163">
        <v>17.256065113449299</v>
      </c>
      <c r="AG1163">
        <v>-1.00882081999999</v>
      </c>
      <c r="AH1163">
        <v>27.4757801420443</v>
      </c>
      <c r="AI1163">
        <v>91.780928426378097</v>
      </c>
      <c r="AJ1163">
        <v>57.8692720229744</v>
      </c>
      <c r="AK1163">
        <v>32.460868704648398</v>
      </c>
    </row>
    <row r="1164" spans="1:37" x14ac:dyDescent="0.2">
      <c r="A1164" t="str">
        <f>"20200111153424052"</f>
        <v>20200111153424052</v>
      </c>
      <c r="B1164" t="str">
        <f>"1578728064047662"</f>
        <v>1578728064047662</v>
      </c>
      <c r="C1164" t="s">
        <v>37</v>
      </c>
      <c r="D1164">
        <v>5.2612519999999998</v>
      </c>
      <c r="E1164">
        <v>0.62258590000000003</v>
      </c>
      <c r="F1164" t="s">
        <v>52</v>
      </c>
      <c r="G1164">
        <v>-221.11590000000001</v>
      </c>
      <c r="H1164">
        <v>8.0001130000000004E-2</v>
      </c>
      <c r="I1164">
        <v>279.34679999999997</v>
      </c>
      <c r="J1164">
        <v>-196.20750000000001</v>
      </c>
      <c r="K1164">
        <v>1.0886260000000001</v>
      </c>
      <c r="L1164">
        <v>292.69920000000002</v>
      </c>
      <c r="M1164">
        <v>-0.4954691</v>
      </c>
      <c r="N1164">
        <v>0</v>
      </c>
      <c r="O1164">
        <v>-0.86838280000000001</v>
      </c>
      <c r="P1164">
        <v>-0.67135859999999903</v>
      </c>
      <c r="Q1164">
        <v>2.819752E-2</v>
      </c>
      <c r="R1164">
        <v>-0.74059680000000006</v>
      </c>
      <c r="S1164">
        <v>-2.8153079999999999</v>
      </c>
      <c r="T1164">
        <v>-0.1131591</v>
      </c>
      <c r="U1164">
        <v>-1.5336299999999901</v>
      </c>
      <c r="V1164">
        <v>0.21785370000000001</v>
      </c>
      <c r="W1164">
        <v>3.9576979999999998E-2</v>
      </c>
      <c r="X1164">
        <v>0.97517869999999995</v>
      </c>
      <c r="Y1164">
        <v>0.52505119999999905</v>
      </c>
      <c r="Z1164">
        <v>3.5602219999999997E-2</v>
      </c>
      <c r="AA1164">
        <v>0.85032559999999902</v>
      </c>
      <c r="AB1164">
        <v>35</v>
      </c>
      <c r="AC1164">
        <v>-24.9084</v>
      </c>
      <c r="AD1164">
        <v>-1.00862487</v>
      </c>
      <c r="AE1164">
        <v>-13.352399999999999</v>
      </c>
      <c r="AF1164">
        <v>14.9983877108531</v>
      </c>
      <c r="AG1164">
        <v>-1.00862487</v>
      </c>
      <c r="AH1164">
        <v>23.910930028911501</v>
      </c>
      <c r="AI1164">
        <v>92.046559829849699</v>
      </c>
      <c r="AJ1164">
        <v>57.901565551730897</v>
      </c>
      <c r="AK1164">
        <v>28.243610479203198</v>
      </c>
    </row>
    <row r="1165" spans="1:37" x14ac:dyDescent="0.2">
      <c r="A1165" t="str">
        <f>"20200111153424074"</f>
        <v>20200111153424074</v>
      </c>
      <c r="B1165" t="str">
        <f>"1578728064067182"</f>
        <v>1578728064067182</v>
      </c>
      <c r="C1165" t="s">
        <v>37</v>
      </c>
      <c r="D1165">
        <v>5.242591</v>
      </c>
      <c r="E1165">
        <v>0.62088330000000003</v>
      </c>
      <c r="F1165" t="s">
        <v>50</v>
      </c>
      <c r="G1165">
        <v>-206.01220000000001</v>
      </c>
      <c r="H1165" s="1">
        <v>4.6718010000000001E-6</v>
      </c>
      <c r="I1165">
        <v>287.03379999999999</v>
      </c>
      <c r="J1165">
        <v>-196.393</v>
      </c>
      <c r="K1165">
        <v>1.0884510000000001</v>
      </c>
      <c r="L1165">
        <v>292.39980000000003</v>
      </c>
      <c r="M1165">
        <v>-0.51116689999999998</v>
      </c>
      <c r="N1165">
        <v>0</v>
      </c>
      <c r="O1165">
        <v>-0.85923609999999995</v>
      </c>
      <c r="P1165">
        <v>-0.68600280000000002</v>
      </c>
      <c r="Q1165">
        <v>2.99244E-2</v>
      </c>
      <c r="R1165">
        <v>-0.72698379999999996</v>
      </c>
      <c r="S1165">
        <v>-2.7368619999999999</v>
      </c>
      <c r="T1165">
        <v>-0.30387500000000001</v>
      </c>
      <c r="U1165">
        <v>-1.581421</v>
      </c>
      <c r="V1165">
        <v>0.21971260000000001</v>
      </c>
      <c r="W1165">
        <v>4.112735E-2</v>
      </c>
      <c r="X1165">
        <v>0.97469740000000005</v>
      </c>
      <c r="Y1165">
        <v>0.48393649999999999</v>
      </c>
      <c r="Z1165">
        <v>9.4968440000000001E-2</v>
      </c>
      <c r="AA1165">
        <v>0.86993469999999995</v>
      </c>
      <c r="AB1165">
        <v>35</v>
      </c>
      <c r="AC1165">
        <v>-9.6191999999999993</v>
      </c>
      <c r="AD1165">
        <v>-1.088446328199</v>
      </c>
      <c r="AE1165">
        <v>-5.3660000000000396</v>
      </c>
      <c r="AF1165">
        <v>5.4699927805233504</v>
      </c>
      <c r="AG1165">
        <v>-1.088446328199</v>
      </c>
      <c r="AH1165">
        <v>9.43753000108752</v>
      </c>
      <c r="AI1165">
        <v>95.698273093040797</v>
      </c>
      <c r="AJ1165">
        <v>59.903417335710003</v>
      </c>
      <c r="AK1165">
        <v>10.9623222425622</v>
      </c>
    </row>
    <row r="1166" spans="1:37" x14ac:dyDescent="0.2">
      <c r="A1166" t="str">
        <f>"20200111153424097"</f>
        <v>20200111153424097</v>
      </c>
      <c r="B1166" t="str">
        <f>"1578728064087678"</f>
        <v>1578728064087678</v>
      </c>
      <c r="C1166" t="s">
        <v>37</v>
      </c>
      <c r="D1166">
        <v>5.2489410000000003</v>
      </c>
      <c r="E1166">
        <v>0.62059609999999998</v>
      </c>
      <c r="F1166" t="s">
        <v>50</v>
      </c>
      <c r="G1166">
        <v>-206.32660000000001</v>
      </c>
      <c r="H1166" s="1">
        <v>4.8255370000000002E-6</v>
      </c>
      <c r="I1166">
        <v>286.87</v>
      </c>
      <c r="J1166">
        <v>-196.59030000000001</v>
      </c>
      <c r="K1166">
        <v>1.0882750000000001</v>
      </c>
      <c r="L1166">
        <v>292.09410000000003</v>
      </c>
      <c r="M1166">
        <v>-0.52741830000000001</v>
      </c>
      <c r="N1166">
        <v>0</v>
      </c>
      <c r="O1166">
        <v>-0.84935749999999999</v>
      </c>
      <c r="P1166">
        <v>-0.70113970000000003</v>
      </c>
      <c r="Q1166">
        <v>3.1241040000000001E-2</v>
      </c>
      <c r="R1166">
        <v>-0.71233930000000001</v>
      </c>
      <c r="S1166">
        <v>-2.7588200000000001</v>
      </c>
      <c r="T1166">
        <v>-0.30229060000000002</v>
      </c>
      <c r="U1166">
        <v>-1.5357670000000001</v>
      </c>
      <c r="V1166">
        <v>0.22176989999999999</v>
      </c>
      <c r="W1166">
        <v>4.2256469999999997E-2</v>
      </c>
      <c r="X1166">
        <v>0.97418300000000002</v>
      </c>
      <c r="Y1166">
        <v>0.48130319999999999</v>
      </c>
      <c r="Z1166">
        <v>9.3959979999999999E-2</v>
      </c>
      <c r="AA1166">
        <v>0.87150380000000005</v>
      </c>
      <c r="AB1166">
        <v>35</v>
      </c>
      <c r="AC1166">
        <v>-9.7363</v>
      </c>
      <c r="AD1166">
        <v>-1.0882701744629999</v>
      </c>
      <c r="AE1166">
        <v>-5.2241000000000204</v>
      </c>
      <c r="AF1166">
        <v>5.4624865859895699</v>
      </c>
      <c r="AG1166">
        <v>-1.0882701744629999</v>
      </c>
      <c r="AH1166">
        <v>9.4822656092637292</v>
      </c>
      <c r="AI1166">
        <v>95.679265175635905</v>
      </c>
      <c r="AJ1166">
        <v>60.0548743574886</v>
      </c>
      <c r="AK1166">
        <v>10.9971111097127</v>
      </c>
    </row>
    <row r="1167" spans="1:37" x14ac:dyDescent="0.2">
      <c r="A1167" t="str">
        <f>"20200111153424125"</f>
        <v>20200111153424125</v>
      </c>
      <c r="B1167" t="str">
        <f>"1578728064117934"</f>
        <v>1578728064117934</v>
      </c>
      <c r="C1167" t="s">
        <v>37</v>
      </c>
      <c r="D1167">
        <v>5.01424</v>
      </c>
      <c r="E1167">
        <v>0.65488729999999995</v>
      </c>
      <c r="F1167" t="s">
        <v>50</v>
      </c>
      <c r="G1167">
        <v>-206.7037</v>
      </c>
      <c r="H1167" s="1">
        <v>5.00529999999999E-6</v>
      </c>
      <c r="I1167">
        <v>286.72669999999999</v>
      </c>
      <c r="J1167">
        <v>-196.8349</v>
      </c>
      <c r="K1167">
        <v>1.0880829999999999</v>
      </c>
      <c r="L1167">
        <v>291.73329999999999</v>
      </c>
      <c r="M1167">
        <v>-0.54694140000000002</v>
      </c>
      <c r="N1167">
        <v>0</v>
      </c>
      <c r="O1167">
        <v>-0.83691959999999999</v>
      </c>
      <c r="P1167">
        <v>-0.71865330000000005</v>
      </c>
      <c r="Q1167">
        <v>3.267606E-2</v>
      </c>
      <c r="R1167">
        <v>-0.69460040000000001</v>
      </c>
      <c r="S1167">
        <v>-2.788589</v>
      </c>
      <c r="T1167">
        <v>-0.30007040000000001</v>
      </c>
      <c r="U1167">
        <v>-1.4799500000000001</v>
      </c>
      <c r="V1167">
        <v>0.22357679999999999</v>
      </c>
      <c r="W1167">
        <v>4.3490340000000002E-2</v>
      </c>
      <c r="X1167">
        <v>0.97371559999999902</v>
      </c>
      <c r="Y1167">
        <v>0.4786049</v>
      </c>
      <c r="Z1167">
        <v>9.250593E-2</v>
      </c>
      <c r="AA1167">
        <v>0.87314369999999997</v>
      </c>
      <c r="AB1167">
        <v>35</v>
      </c>
      <c r="AC1167">
        <v>-9.8687999999999896</v>
      </c>
      <c r="AD1167">
        <v>-1.0880779946999899</v>
      </c>
      <c r="AE1167">
        <v>-5.0065999999999899</v>
      </c>
      <c r="AF1167">
        <v>5.4693602515139501</v>
      </c>
      <c r="AG1167">
        <v>-1.0880779946999899</v>
      </c>
      <c r="AH1167">
        <v>9.4979696904347399</v>
      </c>
      <c r="AI1167">
        <v>95.669498801363503</v>
      </c>
      <c r="AJ1167">
        <v>60.0647177545261</v>
      </c>
      <c r="AK1167">
        <v>11.014047554092301</v>
      </c>
    </row>
    <row r="1168" spans="1:37" x14ac:dyDescent="0.2">
      <c r="A1168" t="str">
        <f>"20200111153424143"</f>
        <v>20200111153424143</v>
      </c>
      <c r="B1168" t="str">
        <f>"1578728064137453"</f>
        <v>1578728064137453</v>
      </c>
      <c r="C1168" t="s">
        <v>37</v>
      </c>
      <c r="D1168">
        <v>5.2263199999999896</v>
      </c>
      <c r="E1168">
        <v>0.67501849999999997</v>
      </c>
      <c r="F1168" t="s">
        <v>53</v>
      </c>
      <c r="G1168">
        <v>-258.28289999999998</v>
      </c>
      <c r="H1168">
        <v>1.0547120000000001</v>
      </c>
      <c r="I1168">
        <v>267.2808</v>
      </c>
      <c r="J1168">
        <v>-196.99870000000001</v>
      </c>
      <c r="K1168">
        <v>1.087963</v>
      </c>
      <c r="L1168">
        <v>291.50080000000003</v>
      </c>
      <c r="M1168">
        <v>-0.55966839999999995</v>
      </c>
      <c r="N1168">
        <v>0</v>
      </c>
      <c r="O1168">
        <v>-0.82846309999999901</v>
      </c>
      <c r="P1168">
        <v>-0.73061719999999997</v>
      </c>
      <c r="Q1168">
        <v>3.3699689999999997E-2</v>
      </c>
      <c r="R1168">
        <v>-0.68195519999999998</v>
      </c>
      <c r="S1168">
        <v>-3.0149689999999998</v>
      </c>
      <c r="T1168">
        <v>-1.6362670000000001E-3</v>
      </c>
      <c r="U1168">
        <v>-1.1997679999999999</v>
      </c>
      <c r="V1168">
        <v>0.2256997</v>
      </c>
      <c r="W1168">
        <v>4.4336390000000003E-2</v>
      </c>
      <c r="X1168">
        <v>0.97318749999999998</v>
      </c>
      <c r="Y1168">
        <v>0.56294270000000002</v>
      </c>
      <c r="Z1168">
        <v>5.0484459999999896E-4</v>
      </c>
      <c r="AA1168">
        <v>0.8264958</v>
      </c>
      <c r="AB1168">
        <v>35</v>
      </c>
      <c r="AC1168">
        <v>-61.284199999999899</v>
      </c>
      <c r="AD1168">
        <v>-3.3250999999999899E-2</v>
      </c>
      <c r="AE1168">
        <v>-24.22</v>
      </c>
      <c r="AF1168">
        <v>37.224341360625097</v>
      </c>
      <c r="AG1168">
        <v>-3.3250999999999899E-2</v>
      </c>
      <c r="AH1168">
        <v>54.3756174093729</v>
      </c>
      <c r="AI1168">
        <v>90.028911087348803</v>
      </c>
      <c r="AJ1168">
        <v>55.605323920099003</v>
      </c>
      <c r="AK1168">
        <v>65.896589168270594</v>
      </c>
    </row>
    <row r="1169" spans="1:37" x14ac:dyDescent="0.2">
      <c r="A1169" t="str">
        <f>"20200111153424164"</f>
        <v>20200111153424164</v>
      </c>
      <c r="B1169" t="str">
        <f>"1578728064157949"</f>
        <v>1578728064157949</v>
      </c>
      <c r="C1169" t="s">
        <v>37</v>
      </c>
      <c r="D1169">
        <v>5.1265499999999999</v>
      </c>
      <c r="E1169">
        <v>0.68153660000000005</v>
      </c>
      <c r="F1169" t="s">
        <v>54</v>
      </c>
      <c r="G1169">
        <v>-265.27910000000003</v>
      </c>
      <c r="H1169">
        <v>1.9527080000000001</v>
      </c>
      <c r="I1169">
        <v>269.1841</v>
      </c>
      <c r="J1169">
        <v>-197.19929999999999</v>
      </c>
      <c r="K1169">
        <v>1.0878219999999901</v>
      </c>
      <c r="L1169">
        <v>291.22660000000002</v>
      </c>
      <c r="M1169">
        <v>-0.5748508</v>
      </c>
      <c r="N1169">
        <v>0</v>
      </c>
      <c r="O1169">
        <v>-0.81800260000000002</v>
      </c>
      <c r="P1169">
        <v>-0.74461449999999996</v>
      </c>
      <c r="Q1169">
        <v>3.4142199999999998E-2</v>
      </c>
      <c r="R1169">
        <v>-0.66662159999999904</v>
      </c>
      <c r="S1169">
        <v>-3.1448669999999899</v>
      </c>
      <c r="T1169">
        <v>3.9832119999999999E-2</v>
      </c>
      <c r="U1169">
        <v>-1.027863</v>
      </c>
      <c r="V1169">
        <v>0.22799620000000001</v>
      </c>
      <c r="W1169">
        <v>4.4576480000000002E-2</v>
      </c>
      <c r="X1169">
        <v>0.97264110000000004</v>
      </c>
      <c r="Y1169">
        <v>0.59898469999999904</v>
      </c>
      <c r="Z1169">
        <v>-1.215194E-2</v>
      </c>
      <c r="AA1169">
        <v>0.8006683</v>
      </c>
      <c r="AB1169">
        <v>35</v>
      </c>
      <c r="AC1169">
        <v>-68.079800000000006</v>
      </c>
      <c r="AD1169">
        <v>0.86488600000000004</v>
      </c>
      <c r="AE1169">
        <v>-22.0425</v>
      </c>
      <c r="AF1169">
        <v>43.0210204009854</v>
      </c>
      <c r="AG1169">
        <v>0.86488600000000004</v>
      </c>
      <c r="AH1169">
        <v>57.170158737842399</v>
      </c>
      <c r="AI1169">
        <v>89.307439362789196</v>
      </c>
      <c r="AJ1169">
        <v>53.0382345164669</v>
      </c>
      <c r="AK1169">
        <v>71.554058405132395</v>
      </c>
    </row>
    <row r="1170" spans="1:37" x14ac:dyDescent="0.2">
      <c r="A1170" t="str">
        <f>"20200111153424186"</f>
        <v>20200111153424186</v>
      </c>
      <c r="B1170" t="str">
        <f>"1578728064177470"</f>
        <v>1578728064177470</v>
      </c>
      <c r="C1170" t="s">
        <v>37</v>
      </c>
      <c r="D1170">
        <v>5.0020449999999999</v>
      </c>
      <c r="E1170">
        <v>0.68585260000000003</v>
      </c>
      <c r="F1170" t="s">
        <v>55</v>
      </c>
      <c r="G1170">
        <v>-324.85079999999999</v>
      </c>
      <c r="H1170">
        <v>3.1153469999999999</v>
      </c>
      <c r="I1170">
        <v>254.4024</v>
      </c>
      <c r="J1170">
        <v>-197.40629999999999</v>
      </c>
      <c r="K1170">
        <v>1.08769</v>
      </c>
      <c r="L1170">
        <v>290.95440000000002</v>
      </c>
      <c r="M1170">
        <v>-0.59008739999999904</v>
      </c>
      <c r="N1170">
        <v>0</v>
      </c>
      <c r="O1170">
        <v>-0.80708069999999998</v>
      </c>
      <c r="P1170">
        <v>-0.75787059999999995</v>
      </c>
      <c r="Q1170">
        <v>3.3042559999999999E-2</v>
      </c>
      <c r="R1170">
        <v>-0.65156719999999901</v>
      </c>
      <c r="S1170">
        <v>-3.2001339999999998</v>
      </c>
      <c r="T1170">
        <v>5.0828930000000001E-2</v>
      </c>
      <c r="U1170">
        <v>-0.92315669999999905</v>
      </c>
      <c r="V1170">
        <v>0.2292525</v>
      </c>
      <c r="W1170">
        <v>4.3322659999999999E-2</v>
      </c>
      <c r="X1170">
        <v>0.972402399999999</v>
      </c>
      <c r="Y1170">
        <v>0.61189839999999995</v>
      </c>
      <c r="Z1170">
        <v>-1.5395789999999999E-2</v>
      </c>
      <c r="AA1170">
        <v>0.79078649999999995</v>
      </c>
      <c r="AB1170">
        <v>34</v>
      </c>
      <c r="AC1170">
        <v>-127.44450000000001</v>
      </c>
      <c r="AD1170">
        <v>2.027657</v>
      </c>
      <c r="AE1170">
        <v>-36.552</v>
      </c>
      <c r="AF1170">
        <v>81.287087857475399</v>
      </c>
      <c r="AG1170">
        <v>2.027657</v>
      </c>
      <c r="AH1170">
        <v>104.701187815856</v>
      </c>
      <c r="AI1170">
        <v>89.123608324054302</v>
      </c>
      <c r="AJ1170">
        <v>52.1752304663231</v>
      </c>
      <c r="AK1170">
        <v>132.56711800182401</v>
      </c>
    </row>
    <row r="1171" spans="1:37" x14ac:dyDescent="0.2">
      <c r="A1171" t="str">
        <f>"20200111153424209"</f>
        <v>20200111153424209</v>
      </c>
      <c r="B1171" t="str">
        <f>"1578728064196992"</f>
        <v>1578728064196992</v>
      </c>
      <c r="C1171" t="s">
        <v>37</v>
      </c>
      <c r="D1171">
        <v>5.3133939999999997</v>
      </c>
      <c r="E1171">
        <v>0.68414219999999903</v>
      </c>
      <c r="F1171" t="s">
        <v>55</v>
      </c>
      <c r="G1171">
        <v>-327.35910000000001</v>
      </c>
      <c r="H1171">
        <v>5.0634129999999997</v>
      </c>
      <c r="I1171">
        <v>257.67059999999998</v>
      </c>
      <c r="J1171">
        <v>-197.6302</v>
      </c>
      <c r="K1171">
        <v>1.087558</v>
      </c>
      <c r="L1171">
        <v>290.67160000000001</v>
      </c>
      <c r="M1171">
        <v>-0.60608930000000005</v>
      </c>
      <c r="N1171">
        <v>0</v>
      </c>
      <c r="O1171">
        <v>-0.79513519999999904</v>
      </c>
      <c r="P1171">
        <v>-0.77124689999999996</v>
      </c>
      <c r="Q1171">
        <v>3.2243399999999998E-2</v>
      </c>
      <c r="R1171">
        <v>-0.63571889999999998</v>
      </c>
      <c r="S1171">
        <v>-3.2405849999999998</v>
      </c>
      <c r="T1171">
        <v>9.9141240000000005E-2</v>
      </c>
      <c r="U1171">
        <v>-0.82998660000000002</v>
      </c>
      <c r="V1171">
        <v>0.22999</v>
      </c>
      <c r="W1171">
        <v>4.2392720000000002E-2</v>
      </c>
      <c r="X1171">
        <v>0.97226919999999994</v>
      </c>
      <c r="Y1171">
        <v>0.61951259999999997</v>
      </c>
      <c r="Z1171">
        <v>-2.9797790000000001E-2</v>
      </c>
      <c r="AA1171">
        <v>0.78442089999999998</v>
      </c>
      <c r="AB1171">
        <v>34</v>
      </c>
      <c r="AC1171">
        <v>-129.72890000000001</v>
      </c>
      <c r="AD1171">
        <v>3.9758550000000001</v>
      </c>
      <c r="AE1171">
        <v>-33.000999999999998</v>
      </c>
      <c r="AF1171">
        <v>83.094449149067003</v>
      </c>
      <c r="AG1171">
        <v>3.9758550000000001</v>
      </c>
      <c r="AH1171">
        <v>104.796912915123</v>
      </c>
      <c r="AI1171">
        <v>88.297231705566602</v>
      </c>
      <c r="AJ1171">
        <v>51.588773131659003</v>
      </c>
      <c r="AK1171">
        <v>133.801673602791</v>
      </c>
    </row>
    <row r="1172" spans="1:37" x14ac:dyDescent="0.2">
      <c r="A1172" t="str">
        <f>"20200111153424230"</f>
        <v>20200111153424230</v>
      </c>
      <c r="B1172" t="str">
        <f>"1578728064227246"</f>
        <v>1578728064227246</v>
      </c>
      <c r="C1172" t="s">
        <v>37</v>
      </c>
      <c r="D1172">
        <v>5.310492</v>
      </c>
      <c r="E1172">
        <v>0.67829399999999995</v>
      </c>
      <c r="F1172" t="s">
        <v>55</v>
      </c>
      <c r="G1172">
        <v>-327.46030000000002</v>
      </c>
      <c r="H1172">
        <v>3.9203480000000002</v>
      </c>
      <c r="I1172">
        <v>259.72000000000003</v>
      </c>
      <c r="J1172">
        <v>-197.84020000000001</v>
      </c>
      <c r="K1172">
        <v>1.0874459999999999</v>
      </c>
      <c r="L1172">
        <v>290.41660000000002</v>
      </c>
      <c r="M1172">
        <v>-0.62066319999999997</v>
      </c>
      <c r="N1172">
        <v>0</v>
      </c>
      <c r="O1172">
        <v>-0.78381259999999997</v>
      </c>
      <c r="P1172">
        <v>-0.78356139999999996</v>
      </c>
      <c r="Q1172">
        <v>3.169814E-2</v>
      </c>
      <c r="R1172">
        <v>-0.62050519999999998</v>
      </c>
      <c r="S1172">
        <v>-3.24848899999999</v>
      </c>
      <c r="T1172">
        <v>7.0879819999999996E-2</v>
      </c>
      <c r="U1172">
        <v>-0.77444460000000004</v>
      </c>
      <c r="V1172">
        <v>0.23107169999999999</v>
      </c>
      <c r="W1172">
        <v>4.171383E-2</v>
      </c>
      <c r="X1172">
        <v>0.97204210000000002</v>
      </c>
      <c r="Y1172">
        <v>0.61837830000000005</v>
      </c>
      <c r="Z1172">
        <v>-2.1198910000000001E-2</v>
      </c>
      <c r="AA1172">
        <v>0.78559460000000003</v>
      </c>
      <c r="AB1172">
        <v>34</v>
      </c>
      <c r="AC1172">
        <v>-129.62010000000001</v>
      </c>
      <c r="AD1172">
        <v>2.8329019999999998</v>
      </c>
      <c r="AE1172">
        <v>-30.696599999999901</v>
      </c>
      <c r="AF1172">
        <v>82.525425474548598</v>
      </c>
      <c r="AG1172">
        <v>2.8329019999999998</v>
      </c>
      <c r="AH1172">
        <v>104.485242695707</v>
      </c>
      <c r="AI1172">
        <v>88.781112721033594</v>
      </c>
      <c r="AJ1172">
        <v>51.697314195674302</v>
      </c>
      <c r="AK1172">
        <v>133.17521212552199</v>
      </c>
    </row>
    <row r="1173" spans="1:37" x14ac:dyDescent="0.2">
      <c r="A1173" t="str">
        <f>"20200111153424253"</f>
        <v>20200111153424253</v>
      </c>
      <c r="B1173" t="str">
        <f>"1578728064247741"</f>
        <v>1578728064247741</v>
      </c>
      <c r="C1173" t="s">
        <v>37</v>
      </c>
      <c r="D1173">
        <v>5.3586220000000004</v>
      </c>
      <c r="E1173">
        <v>0.65338019999999997</v>
      </c>
      <c r="F1173" t="s">
        <v>53</v>
      </c>
      <c r="G1173">
        <v>-323.0222</v>
      </c>
      <c r="H1173">
        <v>0.73477209999999904</v>
      </c>
      <c r="I1173">
        <v>261.34519999999998</v>
      </c>
      <c r="J1173">
        <v>-198.07730000000001</v>
      </c>
      <c r="K1173">
        <v>1.0873329999999899</v>
      </c>
      <c r="L1173">
        <v>290.13959999999997</v>
      </c>
      <c r="M1173">
        <v>-0.63664730000000003</v>
      </c>
      <c r="N1173">
        <v>0</v>
      </c>
      <c r="O1173">
        <v>-0.7708874</v>
      </c>
      <c r="P1173">
        <v>-0.79712869999999902</v>
      </c>
      <c r="Q1173">
        <v>3.1760080000000003E-2</v>
      </c>
      <c r="R1173">
        <v>-0.60297440000000002</v>
      </c>
      <c r="S1173">
        <v>-3.2342379999999999</v>
      </c>
      <c r="T1173">
        <v>-9.1102119999999995E-3</v>
      </c>
      <c r="U1173">
        <v>-0.75109859999999995</v>
      </c>
      <c r="V1173">
        <v>0.23265469999999999</v>
      </c>
      <c r="W1173">
        <v>4.1612349999999999E-2</v>
      </c>
      <c r="X1173">
        <v>0.9716688</v>
      </c>
      <c r="Y1173">
        <v>0.60700690000000002</v>
      </c>
      <c r="Z1173">
        <v>2.7065169999999999E-3</v>
      </c>
      <c r="AA1173">
        <v>0.79469190000000001</v>
      </c>
      <c r="AB1173">
        <v>34</v>
      </c>
      <c r="AC1173">
        <v>-124.9449</v>
      </c>
      <c r="AD1173">
        <v>-0.35256089999999901</v>
      </c>
      <c r="AE1173">
        <v>-28.7944</v>
      </c>
      <c r="AF1173">
        <v>78.002085004335299</v>
      </c>
      <c r="AG1173">
        <v>-0.35256089999999901</v>
      </c>
      <c r="AH1173">
        <v>101.763311889842</v>
      </c>
      <c r="AI1173">
        <v>90.157544591110295</v>
      </c>
      <c r="AJ1173">
        <v>52.529655561639302</v>
      </c>
      <c r="AK1173">
        <v>128.21942602819999</v>
      </c>
    </row>
    <row r="1174" spans="1:37" x14ac:dyDescent="0.2">
      <c r="A1174" t="str">
        <f>"20200111153424276"</f>
        <v>20200111153424276</v>
      </c>
      <c r="B1174" t="str">
        <f>"1578728064267262"</f>
        <v>1578728064267262</v>
      </c>
      <c r="C1174" t="s">
        <v>37</v>
      </c>
      <c r="D1174">
        <v>5.1292369999999998</v>
      </c>
      <c r="E1174">
        <v>0.65339429999999998</v>
      </c>
      <c r="F1174" t="s">
        <v>52</v>
      </c>
      <c r="G1174">
        <v>-213.04939999999999</v>
      </c>
      <c r="H1174" s="1">
        <v>8.5958259999999905E-8</v>
      </c>
      <c r="I1174">
        <v>286.08420000000001</v>
      </c>
      <c r="J1174">
        <v>-198.3038</v>
      </c>
      <c r="K1174">
        <v>1.087235</v>
      </c>
      <c r="L1174">
        <v>289.88560000000001</v>
      </c>
      <c r="M1174">
        <v>-0.65144460000000004</v>
      </c>
      <c r="N1174">
        <v>0</v>
      </c>
      <c r="O1174">
        <v>-0.75842469999999995</v>
      </c>
      <c r="P1174">
        <v>-0.80950739999999999</v>
      </c>
      <c r="Q1174">
        <v>3.0912720000000001E-2</v>
      </c>
      <c r="R1174">
        <v>-0.58629540000000002</v>
      </c>
      <c r="S1174">
        <v>-3.1310579999999999</v>
      </c>
      <c r="T1174">
        <v>-0.22739009999999901</v>
      </c>
      <c r="U1174">
        <v>-0.84808349999999899</v>
      </c>
      <c r="V1174">
        <v>0.234020899999999</v>
      </c>
      <c r="W1174">
        <v>4.0622329999999998E-2</v>
      </c>
      <c r="X1174">
        <v>0.97138259999999899</v>
      </c>
      <c r="Y1174">
        <v>0.55914819999999998</v>
      </c>
      <c r="Z1174">
        <v>6.7035960000000006E-2</v>
      </c>
      <c r="AA1174">
        <v>0.82635309999999995</v>
      </c>
      <c r="AB1174">
        <v>34</v>
      </c>
      <c r="AC1174">
        <v>-14.7455999999999</v>
      </c>
      <c r="AD1174">
        <v>-1.0872349140417401</v>
      </c>
      <c r="AE1174">
        <v>-3.8014000000000001</v>
      </c>
      <c r="AF1174">
        <v>8.6646494723507104</v>
      </c>
      <c r="AG1174">
        <v>-1.0872349140417401</v>
      </c>
      <c r="AH1174">
        <v>12.428234267748801</v>
      </c>
      <c r="AI1174">
        <v>94.104645602282503</v>
      </c>
      <c r="AJ1174">
        <v>55.116770041433298</v>
      </c>
      <c r="AK1174">
        <v>15.189444928998</v>
      </c>
    </row>
    <row r="1175" spans="1:37" x14ac:dyDescent="0.2">
      <c r="A1175" t="str">
        <f>"20200111153424298"</f>
        <v>20200111153424298</v>
      </c>
      <c r="B1175" t="str">
        <f>"1578728064287757"</f>
        <v>1578728064287757</v>
      </c>
      <c r="C1175" t="s">
        <v>37</v>
      </c>
      <c r="D1175">
        <v>5.1303799999999997</v>
      </c>
      <c r="E1175">
        <v>0.65314399999999995</v>
      </c>
      <c r="F1175" t="s">
        <v>52</v>
      </c>
      <c r="G1175">
        <v>-218.1901</v>
      </c>
      <c r="H1175" s="1">
        <v>2.8215820000000002E-6</v>
      </c>
      <c r="I1175">
        <v>284.96080000000001</v>
      </c>
      <c r="J1175">
        <v>-198.5429</v>
      </c>
      <c r="K1175">
        <v>1.0871409999999999</v>
      </c>
      <c r="L1175">
        <v>289.6277</v>
      </c>
      <c r="M1175">
        <v>-0.66659869999999899</v>
      </c>
      <c r="N1175">
        <v>0</v>
      </c>
      <c r="O1175">
        <v>-0.74514130000000001</v>
      </c>
      <c r="P1175">
        <v>-0.82157709999999995</v>
      </c>
      <c r="Q1175">
        <v>2.9137079999999999E-2</v>
      </c>
      <c r="R1175">
        <v>-0.56935290000000005</v>
      </c>
      <c r="S1175">
        <v>-3.1479339999999998</v>
      </c>
      <c r="T1175">
        <v>-0.172104799999999</v>
      </c>
      <c r="U1175">
        <v>-0.77957149999999997</v>
      </c>
      <c r="V1175">
        <v>0.2345998</v>
      </c>
      <c r="W1175">
        <v>3.874698E-2</v>
      </c>
      <c r="X1175">
        <v>0.97131959999999995</v>
      </c>
      <c r="Y1175">
        <v>0.56161229999999995</v>
      </c>
      <c r="Z1175">
        <v>5.0383560000000001E-2</v>
      </c>
      <c r="AA1175">
        <v>0.82586510000000002</v>
      </c>
      <c r="AB1175">
        <v>34</v>
      </c>
      <c r="AC1175">
        <v>-19.647200000000002</v>
      </c>
      <c r="AD1175">
        <v>-1.0871381784180001</v>
      </c>
      <c r="AE1175">
        <v>-4.6668999999999903</v>
      </c>
      <c r="AF1175">
        <v>11.4980346439015</v>
      </c>
      <c r="AG1175">
        <v>-1.0871381784180001</v>
      </c>
      <c r="AH1175">
        <v>16.529794926219999</v>
      </c>
      <c r="AI1175">
        <v>93.090460511117698</v>
      </c>
      <c r="AJ1175">
        <v>55.177737254625796</v>
      </c>
      <c r="AK1175">
        <v>20.164840450502499</v>
      </c>
    </row>
    <row r="1176" spans="1:37" x14ac:dyDescent="0.2">
      <c r="A1176" t="str">
        <f>"20200111153424321"</f>
        <v>20200111153424321</v>
      </c>
      <c r="B1176" t="str">
        <f>"1578728064317709"</f>
        <v>1578728064317709</v>
      </c>
      <c r="C1176" t="s">
        <v>37</v>
      </c>
      <c r="D1176">
        <v>5.2036899999999999</v>
      </c>
      <c r="E1176">
        <v>0.65112789999999998</v>
      </c>
      <c r="F1176" t="s">
        <v>52</v>
      </c>
      <c r="G1176">
        <v>-223.31880000000001</v>
      </c>
      <c r="H1176" s="1">
        <v>2.29317399999999E-7</v>
      </c>
      <c r="I1176">
        <v>284.04090000000002</v>
      </c>
      <c r="J1176">
        <v>-198.79339999999999</v>
      </c>
      <c r="K1176">
        <v>1.0870519999999999</v>
      </c>
      <c r="L1176">
        <v>289.36939999999998</v>
      </c>
      <c r="M1176">
        <v>-0.68195539999999999</v>
      </c>
      <c r="N1176">
        <v>0</v>
      </c>
      <c r="O1176">
        <v>-0.73111349999999997</v>
      </c>
      <c r="P1176">
        <v>-0.83402229999999999</v>
      </c>
      <c r="Q1176">
        <v>2.7846969999999999E-2</v>
      </c>
      <c r="R1176">
        <v>-0.55102819999999997</v>
      </c>
      <c r="S1176">
        <v>-3.1622619999999899</v>
      </c>
      <c r="T1176">
        <v>-0.1387565</v>
      </c>
      <c r="U1176">
        <v>-0.71307369999999903</v>
      </c>
      <c r="V1176">
        <v>0.23587549999999999</v>
      </c>
      <c r="W1176">
        <v>3.7333699999999997E-2</v>
      </c>
      <c r="X1176">
        <v>0.97106589999999904</v>
      </c>
      <c r="Y1176">
        <v>0.5622954</v>
      </c>
      <c r="Z1176">
        <v>4.0265420000000003E-2</v>
      </c>
      <c r="AA1176">
        <v>0.82595549999999995</v>
      </c>
      <c r="AB1176">
        <v>34</v>
      </c>
      <c r="AC1176">
        <v>-24.525400000000001</v>
      </c>
      <c r="AD1176">
        <v>-1.0870517706825999</v>
      </c>
      <c r="AE1176">
        <v>-5.32849999999996</v>
      </c>
      <c r="AF1176">
        <v>14.273205849099799</v>
      </c>
      <c r="AG1176">
        <v>-1.0870517706825999</v>
      </c>
      <c r="AH1176">
        <v>20.586573854485099</v>
      </c>
      <c r="AI1176">
        <v>92.484750235375301</v>
      </c>
      <c r="AJ1176">
        <v>55.265426206110703</v>
      </c>
      <c r="AK1176">
        <v>25.074152225530799</v>
      </c>
    </row>
    <row r="1177" spans="1:37" x14ac:dyDescent="0.2">
      <c r="A1177" t="str">
        <f>"20200111153424343"</f>
        <v>20200111153424343</v>
      </c>
      <c r="B1177" t="str">
        <f>"1578728064337229"</f>
        <v>1578728064337229</v>
      </c>
      <c r="C1177" t="s">
        <v>37</v>
      </c>
      <c r="D1177">
        <v>5.2476039999999999</v>
      </c>
      <c r="E1177">
        <v>0.64963000000000004</v>
      </c>
      <c r="F1177" t="s">
        <v>52</v>
      </c>
      <c r="G1177">
        <v>-227.3818</v>
      </c>
      <c r="H1177" s="1">
        <v>2.3914530000000001E-6</v>
      </c>
      <c r="I1177">
        <v>283.4597</v>
      </c>
      <c r="J1177">
        <v>-199.02539999999999</v>
      </c>
      <c r="K1177">
        <v>1.0869759999999999</v>
      </c>
      <c r="L1177">
        <v>289.13929999999999</v>
      </c>
      <c r="M1177">
        <v>-0.69573769999999902</v>
      </c>
      <c r="N1177">
        <v>0</v>
      </c>
      <c r="O1177">
        <v>-0.71801099999999995</v>
      </c>
      <c r="P1177">
        <v>-0.84501009999999999</v>
      </c>
      <c r="Q1177">
        <v>2.614986E-2</v>
      </c>
      <c r="R1177">
        <v>-0.5341108</v>
      </c>
      <c r="S1177">
        <v>-3.1683349999999999</v>
      </c>
      <c r="T1177">
        <v>-0.120473</v>
      </c>
      <c r="U1177">
        <v>-0.65493769999999996</v>
      </c>
      <c r="V1177">
        <v>0.2369424</v>
      </c>
      <c r="W1177">
        <v>3.5538170000000001E-2</v>
      </c>
      <c r="X1177">
        <v>0.97087349999999994</v>
      </c>
      <c r="Y1177">
        <v>0.56165120000000002</v>
      </c>
      <c r="Z1177">
        <v>3.4692290000000001E-2</v>
      </c>
      <c r="AA1177">
        <v>0.8266464</v>
      </c>
      <c r="AB1177">
        <v>34</v>
      </c>
      <c r="AC1177">
        <v>-28.356400000000001</v>
      </c>
      <c r="AD1177">
        <v>-1.0869736085470001</v>
      </c>
      <c r="AE1177">
        <v>-5.67959999999999</v>
      </c>
      <c r="AF1177">
        <v>16.388901208037002</v>
      </c>
      <c r="AG1177">
        <v>-1.0869736085470001</v>
      </c>
      <c r="AH1177">
        <v>23.777913471350601</v>
      </c>
      <c r="AI1177">
        <v>92.1555469336393</v>
      </c>
      <c r="AJ1177">
        <v>55.423488296853101</v>
      </c>
      <c r="AK1177">
        <v>28.899251953701398</v>
      </c>
    </row>
    <row r="1178" spans="1:37" x14ac:dyDescent="0.2">
      <c r="A1178" t="str">
        <f>"20200111153424364"</f>
        <v>20200111153424364</v>
      </c>
      <c r="B1178" t="str">
        <f>"1578728064357725"</f>
        <v>1578728064357725</v>
      </c>
      <c r="C1178" t="s">
        <v>37</v>
      </c>
      <c r="D1178">
        <v>5.1940229999999996</v>
      </c>
      <c r="E1178">
        <v>0.64750600000000003</v>
      </c>
      <c r="F1178" t="s">
        <v>52</v>
      </c>
      <c r="G1178">
        <v>-227.1283</v>
      </c>
      <c r="H1178" s="1">
        <v>2.256518E-6</v>
      </c>
      <c r="I1178">
        <v>283.82119999999998</v>
      </c>
      <c r="J1178">
        <v>-199.26830000000001</v>
      </c>
      <c r="K1178">
        <v>1.0869180000000001</v>
      </c>
      <c r="L1178">
        <v>288.90780000000001</v>
      </c>
      <c r="M1178">
        <v>-0.70972290000000005</v>
      </c>
      <c r="N1178">
        <v>0</v>
      </c>
      <c r="O1178">
        <v>-0.7041906</v>
      </c>
      <c r="P1178">
        <v>-0.85560219999999898</v>
      </c>
      <c r="Q1178">
        <v>2.492306E-2</v>
      </c>
      <c r="R1178">
        <v>-0.5170342</v>
      </c>
      <c r="S1178">
        <v>-3.174347</v>
      </c>
      <c r="T1178">
        <v>-0.1227785</v>
      </c>
      <c r="U1178">
        <v>-0.60070800000000002</v>
      </c>
      <c r="V1178">
        <v>0.23732310000000001</v>
      </c>
      <c r="W1178">
        <v>3.4255300000000002E-2</v>
      </c>
      <c r="X1178">
        <v>0.97082659999999998</v>
      </c>
      <c r="Y1178">
        <v>0.55926189999999998</v>
      </c>
      <c r="Z1178">
        <v>3.5002249999999999E-2</v>
      </c>
      <c r="AA1178">
        <v>0.82825179999999998</v>
      </c>
      <c r="AB1178">
        <v>33</v>
      </c>
      <c r="AC1178">
        <v>-27.8599999999999</v>
      </c>
      <c r="AD1178">
        <v>-1.086915743482</v>
      </c>
      <c r="AE1178">
        <v>-5.08660000000003</v>
      </c>
      <c r="AF1178">
        <v>15.9883982783821</v>
      </c>
      <c r="AG1178">
        <v>-1.086915743482</v>
      </c>
      <c r="AH1178">
        <v>23.325236515965301</v>
      </c>
      <c r="AI1178">
        <v>92.2011135729757</v>
      </c>
      <c r="AJ1178">
        <v>55.571119487804097</v>
      </c>
      <c r="AK1178">
        <v>28.299768971977901</v>
      </c>
    </row>
    <row r="1179" spans="1:37" x14ac:dyDescent="0.2">
      <c r="A1179" t="str">
        <f>"20200111153424387"</f>
        <v>20200111153424387</v>
      </c>
      <c r="B1179" t="str">
        <f>"1578728064377245"</f>
        <v>1578728064377245</v>
      </c>
      <c r="C1179" t="s">
        <v>37</v>
      </c>
      <c r="D1179">
        <v>5.2584210000000002</v>
      </c>
      <c r="E1179">
        <v>0.64575990000000005</v>
      </c>
      <c r="F1179" t="s">
        <v>52</v>
      </c>
      <c r="G1179">
        <v>-226.84049999999999</v>
      </c>
      <c r="H1179" s="1">
        <v>2.103368E-6</v>
      </c>
      <c r="I1179">
        <v>284.12639999999999</v>
      </c>
      <c r="J1179">
        <v>-199.51410000000001</v>
      </c>
      <c r="K1179">
        <v>1.0868640000000001</v>
      </c>
      <c r="L1179">
        <v>288.68259999999998</v>
      </c>
      <c r="M1179">
        <v>-0.72343389999999996</v>
      </c>
      <c r="N1179">
        <v>0</v>
      </c>
      <c r="O1179">
        <v>-0.69009750000000003</v>
      </c>
      <c r="P1179">
        <v>-0.86561409999999905</v>
      </c>
      <c r="Q1179">
        <v>2.4108640000000001E-2</v>
      </c>
      <c r="R1179">
        <v>-0.5001314</v>
      </c>
      <c r="S1179">
        <v>-3.17701699999999</v>
      </c>
      <c r="T1179">
        <v>-0.1252403</v>
      </c>
      <c r="U1179">
        <v>-0.55093380000000003</v>
      </c>
      <c r="V1179">
        <v>0.2372812</v>
      </c>
      <c r="W1179">
        <v>3.341131E-2</v>
      </c>
      <c r="X1179">
        <v>0.97086629999999996</v>
      </c>
      <c r="Y1179">
        <v>0.55562539999999905</v>
      </c>
      <c r="Z1179">
        <v>3.5321230000000002E-2</v>
      </c>
      <c r="AA1179">
        <v>0.83068220000000004</v>
      </c>
      <c r="AB1179">
        <v>33</v>
      </c>
      <c r="AC1179">
        <v>-27.3263999999999</v>
      </c>
      <c r="AD1179">
        <v>-1.0868618966320001</v>
      </c>
      <c r="AE1179">
        <v>-4.5561999999999898</v>
      </c>
      <c r="AF1179">
        <v>15.5410331712119</v>
      </c>
      <c r="AG1179">
        <v>-1.0868618966320001</v>
      </c>
      <c r="AH1179">
        <v>22.8825323995049</v>
      </c>
      <c r="AI1179">
        <v>92.250115939394206</v>
      </c>
      <c r="AJ1179">
        <v>55.816994333910401</v>
      </c>
      <c r="AK1179">
        <v>27.682400001182199</v>
      </c>
    </row>
    <row r="1180" spans="1:37" x14ac:dyDescent="0.2">
      <c r="A1180" t="str">
        <f>"20200111153424409"</f>
        <v>20200111153424409</v>
      </c>
      <c r="B1180" t="str">
        <f>"1578728064397741"</f>
        <v>1578728064397741</v>
      </c>
      <c r="C1180" t="s">
        <v>37</v>
      </c>
      <c r="D1180">
        <v>5.2732519999999896</v>
      </c>
      <c r="E1180">
        <v>0.64576149999999999</v>
      </c>
      <c r="F1180" t="s">
        <v>52</v>
      </c>
      <c r="G1180">
        <v>-227.1703</v>
      </c>
      <c r="H1180" s="1">
        <v>2.278913E-6</v>
      </c>
      <c r="I1180">
        <v>284.33539999999999</v>
      </c>
      <c r="J1180">
        <v>-199.76669999999999</v>
      </c>
      <c r="K1180">
        <v>1.08682099999999</v>
      </c>
      <c r="L1180">
        <v>288.46019999999999</v>
      </c>
      <c r="M1180">
        <v>-0.73707419999999901</v>
      </c>
      <c r="N1180">
        <v>0</v>
      </c>
      <c r="O1180">
        <v>-0.67550929999999998</v>
      </c>
      <c r="P1180">
        <v>-0.87547129999999995</v>
      </c>
      <c r="Q1180">
        <v>2.396098E-2</v>
      </c>
      <c r="R1180">
        <v>-0.48267529999999997</v>
      </c>
      <c r="S1180">
        <v>-3.1804199999999998</v>
      </c>
      <c r="T1180">
        <v>-0.1249871</v>
      </c>
      <c r="U1180">
        <v>-0.49990839999999998</v>
      </c>
      <c r="V1180">
        <v>0.237352799999999</v>
      </c>
      <c r="W1180">
        <v>3.322783E-2</v>
      </c>
      <c r="X1180">
        <v>0.97085509999999997</v>
      </c>
      <c r="Y1180">
        <v>0.55215340000000002</v>
      </c>
      <c r="Z1180">
        <v>3.483377E-2</v>
      </c>
      <c r="AA1180">
        <v>0.83301449999999999</v>
      </c>
      <c r="AB1180">
        <v>33</v>
      </c>
      <c r="AC1180">
        <v>-27.403600000000001</v>
      </c>
      <c r="AD1180">
        <v>-1.08681872108699</v>
      </c>
      <c r="AE1180">
        <v>-4.1247999999999898</v>
      </c>
      <c r="AF1180">
        <v>15.450502748867599</v>
      </c>
      <c r="AG1180">
        <v>-1.08681872108699</v>
      </c>
      <c r="AH1180">
        <v>22.9542223107251</v>
      </c>
      <c r="AI1180">
        <v>92.249321412534698</v>
      </c>
      <c r="AJ1180">
        <v>56.055476034504103</v>
      </c>
      <c r="AK1180">
        <v>27.6910731466923</v>
      </c>
    </row>
    <row r="1181" spans="1:37" x14ac:dyDescent="0.2">
      <c r="A1181" t="str">
        <f>"20200111153424431"</f>
        <v>20200111153424431</v>
      </c>
      <c r="B1181" t="str">
        <f>"1578728064427659"</f>
        <v>1578728064427659</v>
      </c>
      <c r="C1181" t="s">
        <v>37</v>
      </c>
      <c r="D1181">
        <v>5.1477899999999996</v>
      </c>
      <c r="E1181">
        <v>0.65987659999999904</v>
      </c>
      <c r="F1181" t="s">
        <v>52</v>
      </c>
      <c r="G1181">
        <v>-227.03649999999999</v>
      </c>
      <c r="H1181" s="1">
        <v>2.2076700000000001E-6</v>
      </c>
      <c r="I1181">
        <v>284.7278</v>
      </c>
      <c r="J1181">
        <v>-200.0231</v>
      </c>
      <c r="K1181">
        <v>1.0867770000000001</v>
      </c>
      <c r="L1181">
        <v>288.24360000000001</v>
      </c>
      <c r="M1181">
        <v>-0.7504691</v>
      </c>
      <c r="N1181">
        <v>0</v>
      </c>
      <c r="O1181">
        <v>-0.66059699999999999</v>
      </c>
      <c r="P1181">
        <v>-0.88491189999999997</v>
      </c>
      <c r="Q1181">
        <v>2.3402019999999999E-2</v>
      </c>
      <c r="R1181">
        <v>-0.46517059999999999</v>
      </c>
      <c r="S1181">
        <v>-3.1895289999999998</v>
      </c>
      <c r="T1181">
        <v>-0.12711649999999999</v>
      </c>
      <c r="U1181">
        <v>-0.436554</v>
      </c>
      <c r="V1181">
        <v>0.23718320000000001</v>
      </c>
      <c r="W1181">
        <v>3.26445E-2</v>
      </c>
      <c r="X1181">
        <v>0.97091629999999995</v>
      </c>
      <c r="Y1181">
        <v>0.55198729999999996</v>
      </c>
      <c r="Z1181">
        <v>3.4996579999999999E-2</v>
      </c>
      <c r="AA1181">
        <v>0.83311780000000002</v>
      </c>
      <c r="AB1181">
        <v>33</v>
      </c>
      <c r="AC1181">
        <v>-27.013399999999901</v>
      </c>
      <c r="AD1181">
        <v>-1.08677479233</v>
      </c>
      <c r="AE1181">
        <v>-3.5158000000000098</v>
      </c>
      <c r="AF1181">
        <v>15.185404150681</v>
      </c>
      <c r="AG1181">
        <v>-1.08677479233</v>
      </c>
      <c r="AH1181">
        <v>22.5639446562339</v>
      </c>
      <c r="AI1181">
        <v>92.288206177360294</v>
      </c>
      <c r="AJ1181">
        <v>56.0596745620064</v>
      </c>
      <c r="AK1181">
        <v>27.219646895548699</v>
      </c>
    </row>
    <row r="1182" spans="1:37" x14ac:dyDescent="0.2">
      <c r="A1182" t="str">
        <f>"20200111153424455"</f>
        <v>20200111153424455</v>
      </c>
      <c r="B1182" t="str">
        <f>"1578728064447180"</f>
        <v>1578728064447180</v>
      </c>
      <c r="C1182" t="s">
        <v>37</v>
      </c>
      <c r="D1182">
        <v>5.0702829999999999</v>
      </c>
      <c r="E1182">
        <v>0.66036359999999905</v>
      </c>
      <c r="F1182" t="s">
        <v>52</v>
      </c>
      <c r="G1182">
        <v>-213.00640000000001</v>
      </c>
      <c r="H1182" s="1">
        <v>6.3055240000000002E-8</v>
      </c>
      <c r="I1182">
        <v>287.13400000000001</v>
      </c>
      <c r="J1182">
        <v>-200.30619999999999</v>
      </c>
      <c r="K1182">
        <v>1.0867359999999999</v>
      </c>
      <c r="L1182">
        <v>288.01429999999999</v>
      </c>
      <c r="M1182">
        <v>-0.76474430000000004</v>
      </c>
      <c r="N1182">
        <v>0</v>
      </c>
      <c r="O1182">
        <v>-0.64401779999999997</v>
      </c>
      <c r="P1182">
        <v>-0.89380939999999998</v>
      </c>
      <c r="Q1182">
        <v>2.2837929999999999E-2</v>
      </c>
      <c r="R1182">
        <v>-0.44786549999999897</v>
      </c>
      <c r="S1182">
        <v>-3.2512970000000001</v>
      </c>
      <c r="T1182">
        <v>-0.27215220000000001</v>
      </c>
      <c r="U1182">
        <v>-0.27786250000000001</v>
      </c>
      <c r="V1182">
        <v>0.2348152</v>
      </c>
      <c r="W1182">
        <v>3.2162669999999997E-2</v>
      </c>
      <c r="X1182">
        <v>0.97150780000000003</v>
      </c>
      <c r="Y1182">
        <v>0.57280549999999997</v>
      </c>
      <c r="Z1182">
        <v>7.3675889999999994E-2</v>
      </c>
      <c r="AA1182">
        <v>0.81637349999999997</v>
      </c>
      <c r="AB1182">
        <v>33</v>
      </c>
      <c r="AC1182">
        <v>-12.700200000000001</v>
      </c>
      <c r="AD1182">
        <v>-1.08673593694476</v>
      </c>
      <c r="AE1182">
        <v>-0.88029999999997699</v>
      </c>
      <c r="AF1182">
        <v>7.4531684257718798</v>
      </c>
      <c r="AG1182">
        <v>-1.08673593694476</v>
      </c>
      <c r="AH1182">
        <v>10.2070498925571</v>
      </c>
      <c r="AI1182">
        <v>94.914525916525704</v>
      </c>
      <c r="AJ1182">
        <v>53.8631521424225</v>
      </c>
      <c r="AK1182">
        <v>12.685211156646901</v>
      </c>
    </row>
    <row r="1183" spans="1:37" x14ac:dyDescent="0.2">
      <c r="A1183" t="str">
        <f>"20200111153424478"</f>
        <v>20200111153424478</v>
      </c>
      <c r="B1183" t="str">
        <f>"1578728064467675"</f>
        <v>1578728064467675</v>
      </c>
      <c r="C1183" t="s">
        <v>37</v>
      </c>
      <c r="D1183">
        <v>5.2092689999999999</v>
      </c>
      <c r="E1183">
        <v>0.65833759999999997</v>
      </c>
      <c r="F1183" t="s">
        <v>52</v>
      </c>
      <c r="G1183">
        <v>-217.91909999999999</v>
      </c>
      <c r="H1183" s="1">
        <v>2.6773549999999998E-6</v>
      </c>
      <c r="I1183">
        <v>286.89049999999997</v>
      </c>
      <c r="J1183">
        <v>-200.57990000000001</v>
      </c>
      <c r="K1183">
        <v>1.0867100000000001</v>
      </c>
      <c r="L1183">
        <v>287.8021</v>
      </c>
      <c r="M1183">
        <v>-0.77804960000000001</v>
      </c>
      <c r="N1183">
        <v>0</v>
      </c>
      <c r="O1183">
        <v>-0.62787910000000002</v>
      </c>
      <c r="P1183">
        <v>-0.90150019999999997</v>
      </c>
      <c r="Q1183">
        <v>2.3606240000000001E-2</v>
      </c>
      <c r="R1183">
        <v>-0.43213479999999999</v>
      </c>
      <c r="S1183">
        <v>-3.257431</v>
      </c>
      <c r="T1183">
        <v>-0.20098659999999999</v>
      </c>
      <c r="U1183">
        <v>-0.2078247</v>
      </c>
      <c r="V1183">
        <v>0.23153799999999999</v>
      </c>
      <c r="W1183">
        <v>3.3057690000000001E-2</v>
      </c>
      <c r="X1183">
        <v>0.97226409999999996</v>
      </c>
      <c r="Y1183">
        <v>0.57507540000000001</v>
      </c>
      <c r="Z1183">
        <v>5.3777270000000002E-2</v>
      </c>
      <c r="AA1183">
        <v>0.81633100000000003</v>
      </c>
      <c r="AB1183">
        <v>33</v>
      </c>
      <c r="AC1183">
        <v>-17.339199999999899</v>
      </c>
      <c r="AD1183">
        <v>-1.0867073226449999</v>
      </c>
      <c r="AE1183">
        <v>-0.91160000000002095</v>
      </c>
      <c r="AF1183">
        <v>10.1400015730233</v>
      </c>
      <c r="AG1183">
        <v>-1.0867073226449999</v>
      </c>
      <c r="AH1183">
        <v>14.0111091343179</v>
      </c>
      <c r="AI1183">
        <v>93.595291539129093</v>
      </c>
      <c r="AJ1183">
        <v>54.106306118184499</v>
      </c>
      <c r="AK1183">
        <v>17.329505009658298</v>
      </c>
    </row>
    <row r="1184" spans="1:37" x14ac:dyDescent="0.2">
      <c r="A1184" t="str">
        <f>"20200111153424501"</f>
        <v>20200111153424501</v>
      </c>
      <c r="B1184" t="str">
        <f>"1578728064497931"</f>
        <v>1578728064497931</v>
      </c>
      <c r="C1184" t="s">
        <v>37</v>
      </c>
      <c r="D1184">
        <v>5.1602990000000002</v>
      </c>
      <c r="E1184">
        <v>0.65705429999999998</v>
      </c>
      <c r="F1184" t="s">
        <v>52</v>
      </c>
      <c r="G1184">
        <v>-220.24420000000001</v>
      </c>
      <c r="H1184" s="1">
        <v>-1.4068180000000001E-6</v>
      </c>
      <c r="I1184">
        <v>286.81270000000001</v>
      </c>
      <c r="J1184">
        <v>-200.84880000000001</v>
      </c>
      <c r="K1184">
        <v>1.0866959999999899</v>
      </c>
      <c r="L1184">
        <v>287.60309999999998</v>
      </c>
      <c r="M1184">
        <v>-0.79065099999999999</v>
      </c>
      <c r="N1184">
        <v>0</v>
      </c>
      <c r="O1184">
        <v>-0.61193599999999904</v>
      </c>
      <c r="P1184">
        <v>-0.90884169999999997</v>
      </c>
      <c r="Q1184">
        <v>2.7387140000000001E-2</v>
      </c>
      <c r="R1184">
        <v>-0.416241799999999</v>
      </c>
      <c r="S1184">
        <v>-3.254013</v>
      </c>
      <c r="T1184">
        <v>-0.1798266</v>
      </c>
      <c r="U1184">
        <v>-0.16372679999999901</v>
      </c>
      <c r="V1184">
        <v>0.22894789999999901</v>
      </c>
      <c r="W1184">
        <v>3.6930570000000003E-2</v>
      </c>
      <c r="X1184">
        <v>0.97273790000000004</v>
      </c>
      <c r="Y1184">
        <v>0.5698706</v>
      </c>
      <c r="Z1184">
        <v>4.7400589999999999E-2</v>
      </c>
      <c r="AA1184">
        <v>0.82036620000000005</v>
      </c>
      <c r="AB1184">
        <v>33</v>
      </c>
      <c r="AC1184">
        <v>-19.395399999999899</v>
      </c>
      <c r="AD1184">
        <v>-1.086697406818</v>
      </c>
      <c r="AE1184">
        <v>-0.79039999999997601</v>
      </c>
      <c r="AF1184">
        <v>11.2109572020646</v>
      </c>
      <c r="AG1184">
        <v>-1.086697406818</v>
      </c>
      <c r="AH1184">
        <v>15.7724426181369</v>
      </c>
      <c r="AI1184">
        <v>93.2142172918808</v>
      </c>
      <c r="AJ1184">
        <v>54.595014505093602</v>
      </c>
      <c r="AK1184">
        <v>19.381342027396599</v>
      </c>
    </row>
    <row r="1185" spans="1:37" x14ac:dyDescent="0.2">
      <c r="A1185" t="str">
        <f>"20200111153424522"</f>
        <v>20200111153424522</v>
      </c>
      <c r="B1185" t="str">
        <f>"1578728064517194"</f>
        <v>1578728064517194</v>
      </c>
      <c r="C1185" t="s">
        <v>37</v>
      </c>
      <c r="D1185">
        <v>5.2369000000000003</v>
      </c>
      <c r="E1185">
        <v>0.6556206</v>
      </c>
      <c r="F1185" t="s">
        <v>52</v>
      </c>
      <c r="G1185">
        <v>-229.60910000000001</v>
      </c>
      <c r="H1185" s="1">
        <v>3.5766900000000001E-6</v>
      </c>
      <c r="I1185">
        <v>286.59410000000003</v>
      </c>
      <c r="J1185">
        <v>-201.11</v>
      </c>
      <c r="K1185">
        <v>1.086692</v>
      </c>
      <c r="L1185">
        <v>287.41800000000001</v>
      </c>
      <c r="M1185">
        <v>-0.80246280000000003</v>
      </c>
      <c r="N1185">
        <v>0</v>
      </c>
      <c r="O1185">
        <v>-0.59636350000000005</v>
      </c>
      <c r="P1185">
        <v>-0.9161087</v>
      </c>
      <c r="Q1185">
        <v>3.044666E-2</v>
      </c>
      <c r="R1185">
        <v>-0.39977309999999999</v>
      </c>
      <c r="S1185">
        <v>-3.2523650000000002</v>
      </c>
      <c r="T1185">
        <v>-0.1228889</v>
      </c>
      <c r="U1185">
        <v>-0.114105199999999</v>
      </c>
      <c r="V1185">
        <v>0.22756419999999999</v>
      </c>
      <c r="W1185">
        <v>4.0022950000000002E-2</v>
      </c>
      <c r="X1185">
        <v>0.97294020000000003</v>
      </c>
      <c r="Y1185">
        <v>0.56719699999999995</v>
      </c>
      <c r="Z1185">
        <v>3.1940120000000002E-2</v>
      </c>
      <c r="AA1185">
        <v>0.82296259999999999</v>
      </c>
      <c r="AB1185">
        <v>33</v>
      </c>
      <c r="AC1185">
        <v>-28.499099999999999</v>
      </c>
      <c r="AD1185">
        <v>-1.08668842331</v>
      </c>
      <c r="AE1185">
        <v>-0.82389999999997998</v>
      </c>
      <c r="AF1185">
        <v>16.314274535617098</v>
      </c>
      <c r="AG1185">
        <v>-1.08668842331</v>
      </c>
      <c r="AH1185">
        <v>23.331637566584401</v>
      </c>
      <c r="AI1185">
        <v>92.185922651949696</v>
      </c>
      <c r="AJ1185">
        <v>55.0374453659241</v>
      </c>
      <c r="AK1185">
        <v>28.490380076287099</v>
      </c>
    </row>
    <row r="1186" spans="1:37" x14ac:dyDescent="0.2">
      <c r="A1186" t="str">
        <f>"20200111153424542"</f>
        <v>20200111153424542</v>
      </c>
      <c r="B1186" t="str">
        <f>"1578728064537688"</f>
        <v>1578728064537688</v>
      </c>
      <c r="C1186" t="s">
        <v>37</v>
      </c>
      <c r="D1186">
        <v>5.1724389999999998</v>
      </c>
      <c r="E1186">
        <v>0.65399909999999895</v>
      </c>
      <c r="F1186" t="s">
        <v>52</v>
      </c>
      <c r="G1186">
        <v>-234.7833</v>
      </c>
      <c r="H1186" s="1">
        <v>9.157822E-7</v>
      </c>
      <c r="I1186">
        <v>286.74119999999999</v>
      </c>
      <c r="J1186">
        <v>-201.36709999999999</v>
      </c>
      <c r="K1186">
        <v>1.0866830000000001</v>
      </c>
      <c r="L1186">
        <v>287.2432</v>
      </c>
      <c r="M1186">
        <v>-0.81368569999999996</v>
      </c>
      <c r="N1186">
        <v>0</v>
      </c>
      <c r="O1186">
        <v>-0.58095799999999997</v>
      </c>
      <c r="P1186">
        <v>-0.92309529999999995</v>
      </c>
      <c r="Q1186">
        <v>3.1767940000000001E-2</v>
      </c>
      <c r="R1186">
        <v>-0.38325729999999902</v>
      </c>
      <c r="S1186">
        <v>-3.249695</v>
      </c>
      <c r="T1186">
        <v>-0.1048728</v>
      </c>
      <c r="U1186">
        <v>-6.5307619999999997E-2</v>
      </c>
      <c r="V1186">
        <v>0.22652129999999901</v>
      </c>
      <c r="W1186">
        <v>4.1362699999999898E-2</v>
      </c>
      <c r="X1186">
        <v>0.97312749999999903</v>
      </c>
      <c r="Y1186">
        <v>0.5640425</v>
      </c>
      <c r="Z1186">
        <v>2.6854349999999999E-2</v>
      </c>
      <c r="AA1186">
        <v>0.82530899999999996</v>
      </c>
      <c r="AB1186">
        <v>33</v>
      </c>
      <c r="AC1186">
        <v>-33.416200000000003</v>
      </c>
      <c r="AD1186">
        <v>-1.0866820842178</v>
      </c>
      <c r="AE1186">
        <v>-0.50200000000000899</v>
      </c>
      <c r="AF1186">
        <v>18.988696299251099</v>
      </c>
      <c r="AG1186">
        <v>-1.0866820842178</v>
      </c>
      <c r="AH1186">
        <v>27.458438114684402</v>
      </c>
      <c r="AI1186">
        <v>91.864338196683207</v>
      </c>
      <c r="AJ1186">
        <v>55.334467144069301</v>
      </c>
      <c r="AK1186">
        <v>33.402354539692404</v>
      </c>
    </row>
    <row r="1187" spans="1:37" x14ac:dyDescent="0.2">
      <c r="A1187" t="str">
        <f>"20200111153424565"</f>
        <v>20200111153424565</v>
      </c>
      <c r="B1187" t="str">
        <f>"1578728064557209"</f>
        <v>1578728064557209</v>
      </c>
      <c r="C1187" t="s">
        <v>37</v>
      </c>
      <c r="D1187">
        <v>5.2436619999999996</v>
      </c>
      <c r="E1187">
        <v>0.65233090000000005</v>
      </c>
      <c r="F1187" t="s">
        <v>52</v>
      </c>
      <c r="G1187">
        <v>-239.1465</v>
      </c>
      <c r="H1187" s="1">
        <v>3.2252559999999999E-6</v>
      </c>
      <c r="I1187">
        <v>287.0247</v>
      </c>
      <c r="J1187">
        <v>-201.65199999999999</v>
      </c>
      <c r="K1187">
        <v>1.086679</v>
      </c>
      <c r="L1187">
        <v>287.05810000000002</v>
      </c>
      <c r="M1187">
        <v>-0.82566530000000005</v>
      </c>
      <c r="N1187">
        <v>0</v>
      </c>
      <c r="O1187">
        <v>-0.56380369999999902</v>
      </c>
      <c r="P1187">
        <v>-0.93040780000000001</v>
      </c>
      <c r="Q1187">
        <v>3.2544709999999998E-2</v>
      </c>
      <c r="R1187">
        <v>-0.36507869999999998</v>
      </c>
      <c r="S1187">
        <v>-3.2453609999999999</v>
      </c>
      <c r="T1187">
        <v>-9.3348979999999998E-2</v>
      </c>
      <c r="U1187">
        <v>-1.876831E-2</v>
      </c>
      <c r="V1187">
        <v>0.22526189999999999</v>
      </c>
      <c r="W1187">
        <v>4.2168810000000001E-2</v>
      </c>
      <c r="X1187">
        <v>0.97338530000000001</v>
      </c>
      <c r="Y1187">
        <v>0.55869019999999903</v>
      </c>
      <c r="Z1187">
        <v>2.3470060000000001E-2</v>
      </c>
      <c r="AA1187">
        <v>0.82904419999999901</v>
      </c>
      <c r="AB1187">
        <v>33</v>
      </c>
      <c r="AC1187">
        <v>-37.494499999999903</v>
      </c>
      <c r="AD1187">
        <v>-1.0866757747439999</v>
      </c>
      <c r="AE1187">
        <v>-3.3400000000028698E-2</v>
      </c>
      <c r="AF1187">
        <v>21.098485383521801</v>
      </c>
      <c r="AG1187">
        <v>-1.0866757747439999</v>
      </c>
      <c r="AH1187">
        <v>30.956966973524001</v>
      </c>
      <c r="AI1187">
        <v>91.661490117829302</v>
      </c>
      <c r="AJ1187">
        <v>55.723911310313802</v>
      </c>
      <c r="AK1187">
        <v>37.478804062002197</v>
      </c>
    </row>
    <row r="1188" spans="1:37" x14ac:dyDescent="0.2">
      <c r="A1188" t="str">
        <f>"20200111153424587"</f>
        <v>20200111153424587</v>
      </c>
      <c r="B1188" t="str">
        <f>"1578728064577713"</f>
        <v>1578728064577713</v>
      </c>
      <c r="C1188" t="s">
        <v>37</v>
      </c>
      <c r="D1188">
        <v>5.1755500000000003</v>
      </c>
      <c r="E1188">
        <v>0.65138409999999902</v>
      </c>
      <c r="F1188" t="s">
        <v>52</v>
      </c>
      <c r="G1188">
        <v>-241.4221</v>
      </c>
      <c r="H1188" s="1">
        <v>-7.8002169999999904E-7</v>
      </c>
      <c r="I1188">
        <v>287.46480000000003</v>
      </c>
      <c r="J1188">
        <v>-201.93219999999999</v>
      </c>
      <c r="K1188">
        <v>1.0866769999999999</v>
      </c>
      <c r="L1188">
        <v>286.88420000000002</v>
      </c>
      <c r="M1188">
        <v>-0.83699979999999996</v>
      </c>
      <c r="N1188">
        <v>0</v>
      </c>
      <c r="O1188">
        <v>-0.5468364</v>
      </c>
      <c r="P1188">
        <v>-0.9370001</v>
      </c>
      <c r="Q1188">
        <v>3.3083300000000003E-2</v>
      </c>
      <c r="R1188">
        <v>-0.34775889999999998</v>
      </c>
      <c r="S1188">
        <v>-3.2404630000000001</v>
      </c>
      <c r="T1188">
        <v>-8.8542460000000003E-2</v>
      </c>
      <c r="U1188">
        <v>3.3142089999999999E-2</v>
      </c>
      <c r="V1188">
        <v>0.22346359999999901</v>
      </c>
      <c r="W1188">
        <v>4.2768140000000003E-2</v>
      </c>
      <c r="X1188">
        <v>0.97377349999999996</v>
      </c>
      <c r="Y1188">
        <v>0.55508559999999996</v>
      </c>
      <c r="Z1188">
        <v>2.1871669999999999E-2</v>
      </c>
      <c r="AA1188">
        <v>0.83150569999999902</v>
      </c>
      <c r="AB1188">
        <v>32</v>
      </c>
      <c r="AC1188">
        <v>-39.489899999999999</v>
      </c>
      <c r="AD1188">
        <v>-1.0866777800217</v>
      </c>
      <c r="AE1188">
        <v>0.580600000000004</v>
      </c>
      <c r="AF1188">
        <v>22.0682013101727</v>
      </c>
      <c r="AG1188">
        <v>-1.0866777800217</v>
      </c>
      <c r="AH1188">
        <v>32.717346032370699</v>
      </c>
      <c r="AI1188">
        <v>91.577282158322305</v>
      </c>
      <c r="AJ1188">
        <v>55.999912420534002</v>
      </c>
      <c r="AK1188">
        <v>39.479249094502599</v>
      </c>
    </row>
    <row r="1189" spans="1:37" x14ac:dyDescent="0.2">
      <c r="A1189" t="str">
        <f>"20200111153424609"</f>
        <v>20200111153424609</v>
      </c>
      <c r="B1189" t="str">
        <f>"1578728064607961"</f>
        <v>1578728064607961</v>
      </c>
      <c r="C1189" t="s">
        <v>37</v>
      </c>
      <c r="D1189">
        <v>5.1613819999999997</v>
      </c>
      <c r="E1189">
        <v>0.62776369999999904</v>
      </c>
      <c r="F1189" t="s">
        <v>52</v>
      </c>
      <c r="G1189">
        <v>-243.3152</v>
      </c>
      <c r="H1189" s="1">
        <v>2.273717E-7</v>
      </c>
      <c r="I1189">
        <v>287.99419999999998</v>
      </c>
      <c r="J1189">
        <v>-202.21549999999999</v>
      </c>
      <c r="K1189">
        <v>1.0866929999999999</v>
      </c>
      <c r="L1189">
        <v>286.71640000000002</v>
      </c>
      <c r="M1189">
        <v>-0.84800830000000005</v>
      </c>
      <c r="N1189">
        <v>0</v>
      </c>
      <c r="O1189">
        <v>-0.52960509999999905</v>
      </c>
      <c r="P1189">
        <v>-0.94307209999999997</v>
      </c>
      <c r="Q1189">
        <v>3.3551480000000002E-2</v>
      </c>
      <c r="R1189">
        <v>-0.33089190000000002</v>
      </c>
      <c r="S1189">
        <v>-3.236923</v>
      </c>
      <c r="T1189">
        <v>-8.4998610000000002E-2</v>
      </c>
      <c r="U1189">
        <v>8.6822510000000006E-2</v>
      </c>
      <c r="V1189">
        <v>0.22103049999999999</v>
      </c>
      <c r="W1189">
        <v>4.3338380000000003E-2</v>
      </c>
      <c r="X1189">
        <v>0.97430349999999999</v>
      </c>
      <c r="Y1189">
        <v>0.55190399999999995</v>
      </c>
      <c r="Z1189">
        <v>2.0601930000000001E-2</v>
      </c>
      <c r="AA1189">
        <v>0.83365319999999898</v>
      </c>
      <c r="AB1189">
        <v>32</v>
      </c>
      <c r="AC1189">
        <v>-41.099699999999999</v>
      </c>
      <c r="AD1189">
        <v>-1.0866927726283</v>
      </c>
      <c r="AE1189">
        <v>1.2777999999999501</v>
      </c>
      <c r="AF1189">
        <v>22.838820185144101</v>
      </c>
      <c r="AG1189">
        <v>-1.0866927726283</v>
      </c>
      <c r="AH1189">
        <v>34.159143360297598</v>
      </c>
      <c r="AI1189">
        <v>91.514896499680006</v>
      </c>
      <c r="AJ1189">
        <v>56.233293061412297</v>
      </c>
      <c r="AK1189">
        <v>41.105226963742702</v>
      </c>
    </row>
    <row r="1190" spans="1:37" x14ac:dyDescent="0.2">
      <c r="A1190" t="str">
        <f>"20200111153424631"</f>
        <v>20200111153424631</v>
      </c>
      <c r="B1190" t="str">
        <f>"1578728064627480"</f>
        <v>1578728064627480</v>
      </c>
      <c r="C1190" t="s">
        <v>37</v>
      </c>
      <c r="D1190">
        <v>5.1691349999999998</v>
      </c>
      <c r="E1190">
        <v>0.62530769999999902</v>
      </c>
      <c r="F1190" t="s">
        <v>52</v>
      </c>
      <c r="G1190">
        <v>-216.7439</v>
      </c>
      <c r="H1190" s="1">
        <v>2.051961E-6</v>
      </c>
      <c r="I1190">
        <v>286.56389999999999</v>
      </c>
      <c r="J1190">
        <v>-202.49010000000001</v>
      </c>
      <c r="K1190">
        <v>1.08671299999999</v>
      </c>
      <c r="L1190">
        <v>286.56130000000002</v>
      </c>
      <c r="M1190">
        <v>-0.85825560000000001</v>
      </c>
      <c r="N1190">
        <v>0</v>
      </c>
      <c r="O1190">
        <v>-0.51283259999999997</v>
      </c>
      <c r="P1190">
        <v>-0.94833199999999995</v>
      </c>
      <c r="Q1190">
        <v>3.4082220000000003E-2</v>
      </c>
      <c r="R1190">
        <v>-0.31544440000000001</v>
      </c>
      <c r="S1190">
        <v>-3.1778559999999998</v>
      </c>
      <c r="T1190">
        <v>-0.23769699999999999</v>
      </c>
      <c r="U1190">
        <v>-3.3355709999999997E-2</v>
      </c>
      <c r="V1190">
        <v>0.21780229999999901</v>
      </c>
      <c r="W1190">
        <v>4.4029140000000001E-2</v>
      </c>
      <c r="X1190">
        <v>0.97499919999999995</v>
      </c>
      <c r="Y1190">
        <v>0.50117769999999995</v>
      </c>
      <c r="Z1190">
        <v>5.5542069999999999E-2</v>
      </c>
      <c r="AA1190">
        <v>0.86356010000000005</v>
      </c>
      <c r="AB1190">
        <v>32</v>
      </c>
      <c r="AC1190">
        <v>-14.253799999999901</v>
      </c>
      <c r="AD1190">
        <v>-1.08671094803899</v>
      </c>
      <c r="AE1190">
        <v>2.5999999999726199E-3</v>
      </c>
      <c r="AF1190">
        <v>7.2712433371146599</v>
      </c>
      <c r="AG1190">
        <v>-1.08671094803899</v>
      </c>
      <c r="AH1190">
        <v>12.163814967005299</v>
      </c>
      <c r="AI1190">
        <v>94.385043998510994</v>
      </c>
      <c r="AJ1190">
        <v>59.130007671062103</v>
      </c>
      <c r="AK1190">
        <v>14.2130332759642</v>
      </c>
    </row>
    <row r="1191" spans="1:37" x14ac:dyDescent="0.2">
      <c r="A1191" t="str">
        <f>"20200111153424654"</f>
        <v>20200111153424654</v>
      </c>
      <c r="B1191" t="str">
        <f>"1578728064647000"</f>
        <v>1578728064647000</v>
      </c>
      <c r="C1191" t="s">
        <v>37</v>
      </c>
      <c r="D1191">
        <v>5.142252</v>
      </c>
      <c r="E1191">
        <v>0.62462189999999995</v>
      </c>
      <c r="F1191" t="s">
        <v>52</v>
      </c>
      <c r="G1191">
        <v>-216.10159999999999</v>
      </c>
      <c r="H1191" s="1">
        <v>1.7101890000000001E-6</v>
      </c>
      <c r="I1191">
        <v>286.56389999999999</v>
      </c>
      <c r="J1191">
        <v>-202.79169999999999</v>
      </c>
      <c r="K1191">
        <v>1.08674</v>
      </c>
      <c r="L1191">
        <v>286.39909999999998</v>
      </c>
      <c r="M1191">
        <v>-0.86904629999999905</v>
      </c>
      <c r="N1191">
        <v>0</v>
      </c>
      <c r="O1191">
        <v>-0.49432539999999903</v>
      </c>
      <c r="P1191">
        <v>-0.95378669999999999</v>
      </c>
      <c r="Q1191">
        <v>3.3971149999999999E-2</v>
      </c>
      <c r="R1191">
        <v>-0.29855759999999998</v>
      </c>
      <c r="S1191">
        <v>-3.1727750000000001</v>
      </c>
      <c r="T1191">
        <v>-0.2533067</v>
      </c>
      <c r="U1191">
        <v>6.1035159999999996E-4</v>
      </c>
      <c r="V1191">
        <v>0.2142163</v>
      </c>
      <c r="W1191">
        <v>4.4117730000000001E-2</v>
      </c>
      <c r="X1191">
        <v>0.97578940000000003</v>
      </c>
      <c r="Y1191">
        <v>0.49156450000000002</v>
      </c>
      <c r="Z1191">
        <v>5.7622189999999997E-2</v>
      </c>
      <c r="AA1191">
        <v>0.868932699999999</v>
      </c>
      <c r="AB1191">
        <v>32</v>
      </c>
      <c r="AC1191">
        <v>-13.309900000000001</v>
      </c>
      <c r="AD1191">
        <v>-1.0867382898109901</v>
      </c>
      <c r="AE1191">
        <v>0.16480000000001299</v>
      </c>
      <c r="AF1191">
        <v>6.6794664317530401</v>
      </c>
      <c r="AG1191">
        <v>-1.0867382898109901</v>
      </c>
      <c r="AH1191">
        <v>11.4116928101512</v>
      </c>
      <c r="AI1191">
        <v>94.698397152674104</v>
      </c>
      <c r="AJ1191">
        <v>59.658803641914503</v>
      </c>
      <c r="AK1191">
        <v>13.2673661559751</v>
      </c>
    </row>
    <row r="1192" spans="1:37" x14ac:dyDescent="0.2">
      <c r="A1192" t="str">
        <f>"20200111153424677"</f>
        <v>20200111153424677</v>
      </c>
      <c r="B1192" t="str">
        <f>"1578728064667496"</f>
        <v>1578728064667496</v>
      </c>
      <c r="C1192" t="s">
        <v>37</v>
      </c>
      <c r="D1192">
        <v>5.1346470000000002</v>
      </c>
      <c r="E1192">
        <v>0.623382199999999</v>
      </c>
      <c r="F1192" t="s">
        <v>52</v>
      </c>
      <c r="G1192">
        <v>-216.4734</v>
      </c>
      <c r="H1192" s="1">
        <v>1.9080059999999999E-6</v>
      </c>
      <c r="I1192">
        <v>286.62529999999998</v>
      </c>
      <c r="J1192">
        <v>-203.08580000000001</v>
      </c>
      <c r="K1192">
        <v>1.086778</v>
      </c>
      <c r="L1192">
        <v>286.24900000000002</v>
      </c>
      <c r="M1192">
        <v>-0.87911159999999999</v>
      </c>
      <c r="N1192">
        <v>0</v>
      </c>
      <c r="O1192">
        <v>-0.47619440000000002</v>
      </c>
      <c r="P1192">
        <v>-0.95854409999999901</v>
      </c>
      <c r="Q1192">
        <v>3.3811729999999998E-2</v>
      </c>
      <c r="R1192">
        <v>-0.28293209999999902</v>
      </c>
      <c r="S1192">
        <v>-3.170715</v>
      </c>
      <c r="T1192">
        <v>-0.25185099999999999</v>
      </c>
      <c r="U1192">
        <v>5.2429199999999898E-2</v>
      </c>
      <c r="V1192">
        <v>0.2099155</v>
      </c>
      <c r="W1192">
        <v>4.4207290000000003E-2</v>
      </c>
      <c r="X1192">
        <v>0.97671960000000002</v>
      </c>
      <c r="Y1192">
        <v>0.48781720000000001</v>
      </c>
      <c r="Z1192">
        <v>5.5933999999999998E-2</v>
      </c>
      <c r="AA1192">
        <v>0.87115200000000004</v>
      </c>
      <c r="AB1192">
        <v>32</v>
      </c>
      <c r="AC1192">
        <v>-13.3875999999999</v>
      </c>
      <c r="AD1192">
        <v>-1.0867760919939999</v>
      </c>
      <c r="AE1192">
        <v>0.376299999999957</v>
      </c>
      <c r="AF1192">
        <v>6.6633811594577699</v>
      </c>
      <c r="AG1192">
        <v>-1.0867760919939999</v>
      </c>
      <c r="AH1192">
        <v>11.5164990448837</v>
      </c>
      <c r="AI1192">
        <v>94.669557710412207</v>
      </c>
      <c r="AJ1192">
        <v>59.946568810543297</v>
      </c>
      <c r="AK1192">
        <v>13.3495872970348</v>
      </c>
    </row>
    <row r="1193" spans="1:37" x14ac:dyDescent="0.2">
      <c r="A1193" t="str">
        <f>"20200111153424700"</f>
        <v>20200111153424700</v>
      </c>
      <c r="B1193" t="str">
        <f>"1578728064688013"</f>
        <v>1578728064688013</v>
      </c>
      <c r="C1193" t="s">
        <v>37</v>
      </c>
      <c r="D1193">
        <v>5.131977</v>
      </c>
      <c r="E1193">
        <v>0.62166290000000002</v>
      </c>
      <c r="F1193" t="s">
        <v>52</v>
      </c>
      <c r="G1193">
        <v>-216.53049999999999</v>
      </c>
      <c r="H1193" s="1">
        <v>1.93843099999999E-6</v>
      </c>
      <c r="I1193">
        <v>286.65289999999999</v>
      </c>
      <c r="J1193">
        <v>-203.3766</v>
      </c>
      <c r="K1193">
        <v>1.086829</v>
      </c>
      <c r="L1193">
        <v>286.10820000000001</v>
      </c>
      <c r="M1193">
        <v>-0.88862559999999902</v>
      </c>
      <c r="N1193">
        <v>0</v>
      </c>
      <c r="O1193">
        <v>-0.45819319999999902</v>
      </c>
      <c r="P1193">
        <v>-0.96259980000000001</v>
      </c>
      <c r="Q1193">
        <v>3.4011449999999999E-2</v>
      </c>
      <c r="R1193">
        <v>-0.26878469999999999</v>
      </c>
      <c r="S1193">
        <v>-3.166855</v>
      </c>
      <c r="T1193">
        <v>-0.25598680000000001</v>
      </c>
      <c r="U1193">
        <v>9.5153810000000005E-2</v>
      </c>
      <c r="V1193">
        <v>0.20441139999999999</v>
      </c>
      <c r="W1193">
        <v>4.4728440000000001E-2</v>
      </c>
      <c r="X1193">
        <v>0.97786269999999997</v>
      </c>
      <c r="Y1193">
        <v>0.48178679999999902</v>
      </c>
      <c r="Z1193">
        <v>5.53856E-2</v>
      </c>
      <c r="AA1193">
        <v>0.87453649999999905</v>
      </c>
      <c r="AB1193">
        <v>32</v>
      </c>
      <c r="AC1193">
        <v>-13.153899999999901</v>
      </c>
      <c r="AD1193">
        <v>-1.0868270615690001</v>
      </c>
      <c r="AE1193">
        <v>0.54469999999997698</v>
      </c>
      <c r="AF1193">
        <v>6.4682943976111096</v>
      </c>
      <c r="AG1193">
        <v>-1.0868270615690001</v>
      </c>
      <c r="AH1193">
        <v>11.3641760270079</v>
      </c>
      <c r="AI1193">
        <v>94.751263354337098</v>
      </c>
      <c r="AJ1193">
        <v>60.352209053875498</v>
      </c>
      <c r="AK1193">
        <v>13.121147901336499</v>
      </c>
    </row>
    <row r="1194" spans="1:37" x14ac:dyDescent="0.2">
      <c r="A1194" t="str">
        <f>"20200111153424720"</f>
        <v>20200111153424720</v>
      </c>
      <c r="B1194" t="str">
        <f>"1578728064717782"</f>
        <v>1578728064717782</v>
      </c>
      <c r="C1194" t="s">
        <v>37</v>
      </c>
      <c r="D1194">
        <v>5.1443329999999996</v>
      </c>
      <c r="E1194">
        <v>0.61875179999999996</v>
      </c>
      <c r="F1194" t="s">
        <v>52</v>
      </c>
      <c r="G1194">
        <v>-216.67060000000001</v>
      </c>
      <c r="H1194" s="1">
        <v>2.0129720000000001E-6</v>
      </c>
      <c r="I1194">
        <v>286.65190000000001</v>
      </c>
      <c r="J1194">
        <v>-203.65770000000001</v>
      </c>
      <c r="K1194">
        <v>1.086881</v>
      </c>
      <c r="L1194">
        <v>285.9796</v>
      </c>
      <c r="M1194">
        <v>-0.89741389999999999</v>
      </c>
      <c r="N1194">
        <v>0</v>
      </c>
      <c r="O1194">
        <v>-0.44073019999999902</v>
      </c>
      <c r="P1194">
        <v>-0.96565970000000001</v>
      </c>
      <c r="Q1194">
        <v>3.3902719999999997E-2</v>
      </c>
      <c r="R1194">
        <v>-0.25758949999999903</v>
      </c>
      <c r="S1194">
        <v>-3.16178899999999</v>
      </c>
      <c r="T1194">
        <v>-0.25848690000000002</v>
      </c>
      <c r="U1194">
        <v>0.129303</v>
      </c>
      <c r="V1194">
        <v>0.196635</v>
      </c>
      <c r="W1194">
        <v>4.5055690000000002E-2</v>
      </c>
      <c r="X1194">
        <v>0.97944100000000001</v>
      </c>
      <c r="Y1194">
        <v>0.47414639999999902</v>
      </c>
      <c r="Z1194">
        <v>5.441381E-2</v>
      </c>
      <c r="AA1194">
        <v>0.87876299999999996</v>
      </c>
      <c r="AB1194">
        <v>32</v>
      </c>
      <c r="AC1194">
        <v>-13.0129</v>
      </c>
      <c r="AD1194">
        <v>-1.086878987028</v>
      </c>
      <c r="AE1194">
        <v>0.672300000000007</v>
      </c>
      <c r="AF1194">
        <v>6.295989222927</v>
      </c>
      <c r="AG1194">
        <v>-1.086878987028</v>
      </c>
      <c r="AH1194">
        <v>11.305303701040099</v>
      </c>
      <c r="AI1194">
        <v>94.8011347893475</v>
      </c>
      <c r="AJ1194">
        <v>60.886312463232898</v>
      </c>
      <c r="AK1194">
        <v>12.9857875387058</v>
      </c>
    </row>
    <row r="1195" spans="1:37" x14ac:dyDescent="0.2">
      <c r="A1195" t="str">
        <f>"20200111153424744"</f>
        <v>20200111153424744</v>
      </c>
      <c r="B1195" t="str">
        <f>"1578728064737302"</f>
        <v>1578728064737302</v>
      </c>
      <c r="C1195" t="s">
        <v>37</v>
      </c>
      <c r="D1195">
        <v>5.1549180000000003</v>
      </c>
      <c r="E1195">
        <v>0.61911490000000002</v>
      </c>
      <c r="F1195" t="s">
        <v>52</v>
      </c>
      <c r="G1195">
        <v>-216.63220000000001</v>
      </c>
      <c r="H1195" s="1">
        <v>1.9925169999999998E-6</v>
      </c>
      <c r="I1195">
        <v>286.57659999999998</v>
      </c>
      <c r="J1195">
        <v>-203.96019999999999</v>
      </c>
      <c r="K1195">
        <v>1.0869409999999999</v>
      </c>
      <c r="L1195">
        <v>285.84890000000001</v>
      </c>
      <c r="M1195">
        <v>-0.90643759999999995</v>
      </c>
      <c r="N1195">
        <v>0</v>
      </c>
      <c r="O1195">
        <v>-0.4218577</v>
      </c>
      <c r="P1195">
        <v>-0.96863379999999999</v>
      </c>
      <c r="Q1195">
        <v>3.4721019999999998E-2</v>
      </c>
      <c r="R1195">
        <v>-0.24605560000000001</v>
      </c>
      <c r="S1195">
        <v>-3.1546939999999899</v>
      </c>
      <c r="T1195">
        <v>-0.26427109999999998</v>
      </c>
      <c r="U1195">
        <v>0.14514160000000001</v>
      </c>
      <c r="V1195">
        <v>0.1878368</v>
      </c>
      <c r="W1195">
        <v>4.636038E-2</v>
      </c>
      <c r="X1195">
        <v>0.98110549999999996</v>
      </c>
      <c r="Y1195">
        <v>0.46013979999999999</v>
      </c>
      <c r="Z1195">
        <v>5.3716090000000001E-2</v>
      </c>
      <c r="AA1195">
        <v>0.88622000000000001</v>
      </c>
      <c r="AB1195">
        <v>32</v>
      </c>
      <c r="AC1195">
        <v>-12.672000000000001</v>
      </c>
      <c r="AD1195">
        <v>-1.0869390074830001</v>
      </c>
      <c r="AE1195">
        <v>0.72769999999997004</v>
      </c>
      <c r="AF1195">
        <v>5.9628910250768197</v>
      </c>
      <c r="AG1195">
        <v>-1.0869390074830001</v>
      </c>
      <c r="AH1195">
        <v>11.1002670333619</v>
      </c>
      <c r="AI1195">
        <v>94.930229120929596</v>
      </c>
      <c r="AJ1195">
        <v>61.755998645905798</v>
      </c>
      <c r="AK1195">
        <v>12.6472698237553</v>
      </c>
    </row>
    <row r="1196" spans="1:37" x14ac:dyDescent="0.2">
      <c r="A1196" t="str">
        <f>"20200111153424766"</f>
        <v>20200111153424766</v>
      </c>
      <c r="B1196" t="str">
        <f>"1578728064757798"</f>
        <v>1578728064757798</v>
      </c>
      <c r="C1196" t="s">
        <v>37</v>
      </c>
      <c r="D1196">
        <v>5.1487210000000001</v>
      </c>
      <c r="E1196">
        <v>0.6181257</v>
      </c>
      <c r="F1196" t="s">
        <v>52</v>
      </c>
      <c r="G1196">
        <v>-217.95670000000001</v>
      </c>
      <c r="H1196" s="1">
        <v>2.6973699999999998E-6</v>
      </c>
      <c r="I1196">
        <v>286.68</v>
      </c>
      <c r="J1196">
        <v>-204.26669999999999</v>
      </c>
      <c r="K1196">
        <v>1.0870059999999999</v>
      </c>
      <c r="L1196">
        <v>285.72410000000002</v>
      </c>
      <c r="M1196">
        <v>-0.9151243</v>
      </c>
      <c r="N1196">
        <v>0</v>
      </c>
      <c r="O1196">
        <v>-0.40266420000000003</v>
      </c>
      <c r="P1196">
        <v>-0.97181280000000003</v>
      </c>
      <c r="Q1196">
        <v>3.6428809999999999E-2</v>
      </c>
      <c r="R1196">
        <v>-0.23292270000000001</v>
      </c>
      <c r="S1196">
        <v>-3.15351899999999</v>
      </c>
      <c r="T1196">
        <v>-0.2448958</v>
      </c>
      <c r="U1196">
        <v>0.1872559</v>
      </c>
      <c r="V1196">
        <v>0.1804838</v>
      </c>
      <c r="W1196">
        <v>4.8480879999999997E-2</v>
      </c>
      <c r="X1196">
        <v>0.98238239999999999</v>
      </c>
      <c r="Y1196">
        <v>0.45376229999999901</v>
      </c>
      <c r="Z1196">
        <v>4.8181960000000003E-2</v>
      </c>
      <c r="AA1196">
        <v>0.88981929999999998</v>
      </c>
      <c r="AB1196">
        <v>32</v>
      </c>
      <c r="AC1196">
        <v>-13.69</v>
      </c>
      <c r="AD1196">
        <v>-1.0870033026299999</v>
      </c>
      <c r="AE1196">
        <v>0.95589999999998498</v>
      </c>
      <c r="AF1196">
        <v>6.3487153293888303</v>
      </c>
      <c r="AG1196">
        <v>-1.0870033026299999</v>
      </c>
      <c r="AH1196">
        <v>12.0699031086474</v>
      </c>
      <c r="AI1196">
        <v>94.557146606645503</v>
      </c>
      <c r="AJ1196">
        <v>62.255829522125801</v>
      </c>
      <c r="AK1196">
        <v>13.681020560092801</v>
      </c>
    </row>
    <row r="1197" spans="1:37" x14ac:dyDescent="0.2">
      <c r="A1197" t="str">
        <f>"20200111153424789"</f>
        <v>20200111153424789</v>
      </c>
      <c r="B1197" t="str">
        <f>"1578728064777320"</f>
        <v>1578728064777320</v>
      </c>
      <c r="C1197" t="s">
        <v>37</v>
      </c>
      <c r="D1197">
        <v>5.1408519999999998</v>
      </c>
      <c r="E1197">
        <v>0.61615699999999995</v>
      </c>
      <c r="F1197" t="s">
        <v>52</v>
      </c>
      <c r="G1197">
        <v>-218.3734</v>
      </c>
      <c r="H1197" s="1">
        <v>2.9191289999999999E-6</v>
      </c>
      <c r="I1197">
        <v>286.72379999999998</v>
      </c>
      <c r="J1197">
        <v>-204.56780000000001</v>
      </c>
      <c r="K1197">
        <v>1.08707</v>
      </c>
      <c r="L1197">
        <v>285.60890000000001</v>
      </c>
      <c r="M1197">
        <v>-0.92320999999999998</v>
      </c>
      <c r="N1197">
        <v>0</v>
      </c>
      <c r="O1197">
        <v>-0.38376169999999998</v>
      </c>
      <c r="P1197">
        <v>-0.9749118</v>
      </c>
      <c r="Q1197">
        <v>3.6745519999999997E-2</v>
      </c>
      <c r="R1197">
        <v>-0.21953839999999999</v>
      </c>
      <c r="S1197">
        <v>-3.1495820000000001</v>
      </c>
      <c r="T1197">
        <v>-0.24269379999999999</v>
      </c>
      <c r="U1197">
        <v>0.2232056</v>
      </c>
      <c r="V1197">
        <v>0.1737908</v>
      </c>
      <c r="W1197">
        <v>4.9171470000000002E-2</v>
      </c>
      <c r="X1197">
        <v>0.98355419999999905</v>
      </c>
      <c r="Y1197">
        <v>0.44573760000000001</v>
      </c>
      <c r="Z1197">
        <v>4.6135469999999998E-2</v>
      </c>
      <c r="AA1197">
        <v>0.89397399999999905</v>
      </c>
      <c r="AB1197">
        <v>31</v>
      </c>
      <c r="AC1197">
        <v>-13.805599999999901</v>
      </c>
      <c r="AD1197">
        <v>-1.0870670808709999</v>
      </c>
      <c r="AE1197">
        <v>1.11489999999997</v>
      </c>
      <c r="AF1197">
        <v>6.2899000333550301</v>
      </c>
      <c r="AG1197">
        <v>-1.0870670808709999</v>
      </c>
      <c r="AH1197">
        <v>12.244712380260999</v>
      </c>
      <c r="AI1197">
        <v>94.515218980469399</v>
      </c>
      <c r="AJ1197">
        <v>62.811207013199002</v>
      </c>
      <c r="AK1197">
        <v>13.808603786887</v>
      </c>
    </row>
    <row r="1198" spans="1:37" x14ac:dyDescent="0.2">
      <c r="A1198" t="str">
        <f>"20200111153424810"</f>
        <v>20200111153424810</v>
      </c>
      <c r="B1198" t="str">
        <f>"1578728064797830"</f>
        <v>1578728064797830</v>
      </c>
      <c r="C1198" t="s">
        <v>37</v>
      </c>
      <c r="D1198">
        <v>5.15672</v>
      </c>
      <c r="E1198">
        <v>0.6147376</v>
      </c>
      <c r="F1198" t="s">
        <v>52</v>
      </c>
      <c r="G1198">
        <v>-218.23099999999999</v>
      </c>
      <c r="H1198" s="1">
        <v>2.8433659999999899E-6</v>
      </c>
      <c r="I1198">
        <v>286.70499999999998</v>
      </c>
      <c r="J1198">
        <v>-204.85169999999999</v>
      </c>
      <c r="K1198">
        <v>1.0871420000000001</v>
      </c>
      <c r="L1198">
        <v>285.5068</v>
      </c>
      <c r="M1198">
        <v>-0.93042839999999905</v>
      </c>
      <c r="N1198">
        <v>0</v>
      </c>
      <c r="O1198">
        <v>-0.36591240000000003</v>
      </c>
      <c r="P1198">
        <v>-0.97762399999999905</v>
      </c>
      <c r="Q1198">
        <v>3.5810090000000003E-2</v>
      </c>
      <c r="R1198">
        <v>-0.20728959999999999</v>
      </c>
      <c r="S1198">
        <v>-3.1434479999999998</v>
      </c>
      <c r="T1198">
        <v>-0.25009680000000001</v>
      </c>
      <c r="U1198">
        <v>0.25219730000000001</v>
      </c>
      <c r="V1198">
        <v>0.16715139999999901</v>
      </c>
      <c r="W1198">
        <v>4.8595659999999999E-2</v>
      </c>
      <c r="X1198">
        <v>0.98473290000000002</v>
      </c>
      <c r="Y1198">
        <v>0.43674170000000001</v>
      </c>
      <c r="Z1198">
        <v>4.592939E-2</v>
      </c>
      <c r="AA1198">
        <v>0.89841369999999898</v>
      </c>
      <c r="AB1198">
        <v>31</v>
      </c>
      <c r="AC1198">
        <v>-13.379300000000001</v>
      </c>
      <c r="AD1198">
        <v>-1.0871391566339901</v>
      </c>
      <c r="AE1198">
        <v>1.1981999999999799</v>
      </c>
      <c r="AF1198">
        <v>5.9726070069476904</v>
      </c>
      <c r="AG1198">
        <v>-1.0871391566339901</v>
      </c>
      <c r="AH1198">
        <v>11.934345244230199</v>
      </c>
      <c r="AI1198">
        <v>94.657116876726604</v>
      </c>
      <c r="AJ1198">
        <v>63.414080608231501</v>
      </c>
      <c r="AK1198">
        <v>13.3896416088634</v>
      </c>
    </row>
    <row r="1199" spans="1:37" x14ac:dyDescent="0.2">
      <c r="A1199" t="str">
        <f>"20200111153424824"</f>
        <v>20200111153424824</v>
      </c>
      <c r="B1199" t="str">
        <f>"1578728064817841"</f>
        <v>1578728064817841</v>
      </c>
      <c r="C1199" t="s">
        <v>37</v>
      </c>
      <c r="D1199">
        <v>4.8894869999999999</v>
      </c>
      <c r="E1199">
        <v>0.61532229999999999</v>
      </c>
      <c r="F1199" t="s">
        <v>52</v>
      </c>
      <c r="G1199">
        <v>-218.5839</v>
      </c>
      <c r="H1199" s="1">
        <v>3.0311430000000002E-6</v>
      </c>
      <c r="I1199">
        <v>286.74160000000001</v>
      </c>
      <c r="J1199">
        <v>-205.0488</v>
      </c>
      <c r="K1199">
        <v>1.087205</v>
      </c>
      <c r="L1199">
        <v>285.43950000000001</v>
      </c>
      <c r="M1199">
        <v>-0.93520550000000002</v>
      </c>
      <c r="N1199">
        <v>0</v>
      </c>
      <c r="O1199">
        <v>-0.35352430000000001</v>
      </c>
      <c r="P1199">
        <v>-0.9796591</v>
      </c>
      <c r="Q1199">
        <v>3.6038540000000001E-2</v>
      </c>
      <c r="R1199">
        <v>-0.1974072</v>
      </c>
      <c r="S1199">
        <v>-3.1376189999999999</v>
      </c>
      <c r="T1199">
        <v>-0.248396799999999</v>
      </c>
      <c r="U1199">
        <v>0.28213499999999903</v>
      </c>
      <c r="V1199">
        <v>0.16401769999999999</v>
      </c>
      <c r="W1199">
        <v>4.9000490000000001E-2</v>
      </c>
      <c r="X1199">
        <v>0.98523959999999999</v>
      </c>
      <c r="Y1199">
        <v>0.43352309999999999</v>
      </c>
      <c r="Z1199">
        <v>4.4637870000000003E-2</v>
      </c>
      <c r="AA1199">
        <v>0.90003619999999995</v>
      </c>
      <c r="AB1199">
        <v>31</v>
      </c>
      <c r="AC1199">
        <v>-13.5351</v>
      </c>
      <c r="AD1199">
        <v>-1.087201968857</v>
      </c>
      <c r="AE1199">
        <v>1.30209999999999</v>
      </c>
      <c r="AF1199">
        <v>5.9658137550044099</v>
      </c>
      <c r="AG1199">
        <v>-1.087201968857</v>
      </c>
      <c r="AH1199">
        <v>12.1227853250648</v>
      </c>
      <c r="AI1199">
        <v>94.600487224964894</v>
      </c>
      <c r="AJ1199">
        <v>63.797474078887703</v>
      </c>
      <c r="AK1199">
        <v>13.554883471210401</v>
      </c>
    </row>
    <row r="1200" spans="1:37" x14ac:dyDescent="0.2">
      <c r="A1200" t="str">
        <f>"20200111153424843"</f>
        <v>20200111153424843</v>
      </c>
      <c r="B1200" t="str">
        <f>"1578728064837361"</f>
        <v>1578728064837361</v>
      </c>
      <c r="C1200" t="s">
        <v>37</v>
      </c>
      <c r="D1200">
        <v>5.0972609999999996</v>
      </c>
      <c r="E1200">
        <v>0.61501430000000001</v>
      </c>
      <c r="F1200" t="s">
        <v>52</v>
      </c>
      <c r="G1200">
        <v>-219.70079999999999</v>
      </c>
      <c r="H1200" s="1">
        <v>3.6255089999999999E-6</v>
      </c>
      <c r="I1200">
        <v>286.92880000000002</v>
      </c>
      <c r="J1200">
        <v>-205.3099</v>
      </c>
      <c r="K1200">
        <v>1.087302</v>
      </c>
      <c r="L1200">
        <v>285.35500000000002</v>
      </c>
      <c r="M1200">
        <v>-0.9412334</v>
      </c>
      <c r="N1200">
        <v>0</v>
      </c>
      <c r="O1200">
        <v>-0.337148</v>
      </c>
      <c r="P1200">
        <v>-0.98196240000000001</v>
      </c>
      <c r="Q1200">
        <v>3.7557529999999999E-2</v>
      </c>
      <c r="R1200">
        <v>-0.18530940000000001</v>
      </c>
      <c r="S1200">
        <v>-3.1350560000000001</v>
      </c>
      <c r="T1200">
        <v>-0.23262629999999901</v>
      </c>
      <c r="U1200">
        <v>0.31866459999999902</v>
      </c>
      <c r="V1200">
        <v>0.15900539999999999</v>
      </c>
      <c r="W1200">
        <v>5.0785919999999998E-2</v>
      </c>
      <c r="X1200">
        <v>0.98597060000000003</v>
      </c>
      <c r="Y1200">
        <v>0.42861559999999999</v>
      </c>
      <c r="Z1200">
        <v>4.0494019999999999E-2</v>
      </c>
      <c r="AA1200">
        <v>0.90257909999999997</v>
      </c>
      <c r="AB1200">
        <v>31</v>
      </c>
      <c r="AC1200">
        <v>-14.390899999999901</v>
      </c>
      <c r="AD1200">
        <v>-1.0872983744910001</v>
      </c>
      <c r="AE1200">
        <v>1.5738000000000001</v>
      </c>
      <c r="AF1200">
        <v>6.2989453390173997</v>
      </c>
      <c r="AG1200">
        <v>-1.0872983744910001</v>
      </c>
      <c r="AH1200">
        <v>12.9442480934354</v>
      </c>
      <c r="AI1200">
        <v>94.319375358825297</v>
      </c>
      <c r="AJ1200">
        <v>64.051464186222901</v>
      </c>
      <c r="AK1200">
        <v>14.436498496640599</v>
      </c>
    </row>
    <row r="1201" spans="1:37" x14ac:dyDescent="0.2">
      <c r="A1201" t="str">
        <f>"20200111153424867"</f>
        <v>20200111153424867</v>
      </c>
      <c r="B1201" t="str">
        <f>"1578728064857857"</f>
        <v>1578728064857857</v>
      </c>
      <c r="C1201" t="s">
        <v>37</v>
      </c>
      <c r="D1201">
        <v>4.8845830000000001</v>
      </c>
      <c r="E1201">
        <v>0.61481239999999904</v>
      </c>
      <c r="F1201" t="s">
        <v>52</v>
      </c>
      <c r="G1201">
        <v>-220.8338</v>
      </c>
      <c r="H1201" s="1">
        <v>-1.0930679999999999E-6</v>
      </c>
      <c r="I1201">
        <v>287.11290000000002</v>
      </c>
      <c r="J1201">
        <v>-205.6283</v>
      </c>
      <c r="K1201">
        <v>1.087458</v>
      </c>
      <c r="L1201">
        <v>285.25920000000002</v>
      </c>
      <c r="M1201">
        <v>-0.94812019999999997</v>
      </c>
      <c r="N1201">
        <v>0</v>
      </c>
      <c r="O1201">
        <v>-0.31726659999999901</v>
      </c>
      <c r="P1201">
        <v>-0.98476620000000004</v>
      </c>
      <c r="Q1201">
        <v>3.8162920000000003E-2</v>
      </c>
      <c r="R1201">
        <v>-0.1696452</v>
      </c>
      <c r="S1201">
        <v>-3.1303860000000001</v>
      </c>
      <c r="T1201">
        <v>-0.2192538</v>
      </c>
      <c r="U1201">
        <v>0.35446169999999999</v>
      </c>
      <c r="V1201">
        <v>0.1539576</v>
      </c>
      <c r="W1201">
        <v>5.1655010000000001E-2</v>
      </c>
      <c r="X1201">
        <v>0.98672629999999995</v>
      </c>
      <c r="Y1201">
        <v>0.42023490000000002</v>
      </c>
      <c r="Z1201">
        <v>3.6586439999999998E-2</v>
      </c>
      <c r="AA1201">
        <v>0.90667749999999903</v>
      </c>
      <c r="AB1201">
        <v>31</v>
      </c>
      <c r="AC1201">
        <v>-15.205500000000001</v>
      </c>
      <c r="AD1201">
        <v>-1.0874590930679999</v>
      </c>
      <c r="AE1201">
        <v>1.8536999999999999</v>
      </c>
      <c r="AF1201">
        <v>6.55006600211623</v>
      </c>
      <c r="AG1201">
        <v>-1.0874590930679999</v>
      </c>
      <c r="AH1201">
        <v>13.7620018613394</v>
      </c>
      <c r="AI1201">
        <v>94.081119344703396</v>
      </c>
      <c r="AJ1201">
        <v>64.547747537702193</v>
      </c>
      <c r="AK1201">
        <v>15.280007432677699</v>
      </c>
    </row>
    <row r="1202" spans="1:37" x14ac:dyDescent="0.2">
      <c r="A1202" t="str">
        <f>"20200111153424889"</f>
        <v>20200111153424889</v>
      </c>
      <c r="B1202" t="str">
        <f>"1578728064877379"</f>
        <v>1578728064877379</v>
      </c>
      <c r="C1202" t="s">
        <v>37</v>
      </c>
      <c r="D1202">
        <v>5.048978</v>
      </c>
      <c r="E1202">
        <v>0.61385239999999996</v>
      </c>
      <c r="F1202" t="s">
        <v>52</v>
      </c>
      <c r="G1202">
        <v>-221.74969999999999</v>
      </c>
      <c r="H1202" s="1">
        <v>-6.0567749999999999E-7</v>
      </c>
      <c r="I1202">
        <v>287.33550000000002</v>
      </c>
      <c r="J1202">
        <v>-205.92169999999999</v>
      </c>
      <c r="K1202">
        <v>1.087628</v>
      </c>
      <c r="L1202">
        <v>285.17720000000003</v>
      </c>
      <c r="M1202">
        <v>-0.95401559999999896</v>
      </c>
      <c r="N1202">
        <v>0</v>
      </c>
      <c r="O1202">
        <v>-0.29907470000000003</v>
      </c>
      <c r="P1202">
        <v>-0.98701039999999995</v>
      </c>
      <c r="Q1202">
        <v>3.7098100000000002E-2</v>
      </c>
      <c r="R1202">
        <v>-0.1563155</v>
      </c>
      <c r="S1202">
        <v>-3.1238709999999998</v>
      </c>
      <c r="T1202">
        <v>-0.21071880000000001</v>
      </c>
      <c r="U1202">
        <v>0.40234379999999997</v>
      </c>
      <c r="V1202">
        <v>0.14836649999999901</v>
      </c>
      <c r="W1202">
        <v>5.086545E-2</v>
      </c>
      <c r="X1202">
        <v>0.98762349999999999</v>
      </c>
      <c r="Y1202">
        <v>0.41697650000000003</v>
      </c>
      <c r="Z1202">
        <v>3.3924019999999999E-2</v>
      </c>
      <c r="AA1202">
        <v>0.90828399999999998</v>
      </c>
      <c r="AB1202">
        <v>31</v>
      </c>
      <c r="AC1202">
        <v>-15.827999999999999</v>
      </c>
      <c r="AD1202">
        <v>-1.0876286056775</v>
      </c>
      <c r="AE1202">
        <v>2.1582999999999899</v>
      </c>
      <c r="AF1202">
        <v>6.7628442830641298</v>
      </c>
      <c r="AG1202">
        <v>-1.0876286056775</v>
      </c>
      <c r="AH1202">
        <v>14.3909088651488</v>
      </c>
      <c r="AI1202">
        <v>93.912995051109704</v>
      </c>
      <c r="AJ1202">
        <v>64.829354650056999</v>
      </c>
      <c r="AK1202">
        <v>15.937918833583</v>
      </c>
    </row>
    <row r="1203" spans="1:37" x14ac:dyDescent="0.2">
      <c r="A1203" t="str">
        <f>"20200111153424910"</f>
        <v>20200111153424910</v>
      </c>
      <c r="B1203" t="str">
        <f>"1578728064907163"</f>
        <v>1578728064907163</v>
      </c>
      <c r="C1203" t="s">
        <v>37</v>
      </c>
      <c r="D1203">
        <v>5.0125390000000003</v>
      </c>
      <c r="E1203">
        <v>0.61245719999999904</v>
      </c>
      <c r="F1203" t="s">
        <v>52</v>
      </c>
      <c r="G1203">
        <v>-222.06720000000001</v>
      </c>
      <c r="H1203" s="1">
        <v>-4.3671640000000003E-7</v>
      </c>
      <c r="I1203">
        <v>287.44310000000002</v>
      </c>
      <c r="J1203">
        <v>-206.21449999999999</v>
      </c>
      <c r="K1203">
        <v>1.0878350000000001</v>
      </c>
      <c r="L1203">
        <v>285.10129999999998</v>
      </c>
      <c r="M1203">
        <v>-0.9594684</v>
      </c>
      <c r="N1203">
        <v>0</v>
      </c>
      <c r="O1203">
        <v>-0.2810957</v>
      </c>
      <c r="P1203">
        <v>-0.98916219999999999</v>
      </c>
      <c r="Q1203">
        <v>3.5600310000000003E-2</v>
      </c>
      <c r="R1203">
        <v>-0.14244679999999901</v>
      </c>
      <c r="S1203">
        <v>-3.1166529999999999</v>
      </c>
      <c r="T1203">
        <v>-0.20995</v>
      </c>
      <c r="U1203">
        <v>0.43740839999999998</v>
      </c>
      <c r="V1203">
        <v>0.143592</v>
      </c>
      <c r="W1203">
        <v>4.9597250000000002E-2</v>
      </c>
      <c r="X1203">
        <v>0.98839339999999998</v>
      </c>
      <c r="Y1203">
        <v>0.41026200000000002</v>
      </c>
      <c r="Z1203">
        <v>3.24611E-2</v>
      </c>
      <c r="AA1203">
        <v>0.91138980000000003</v>
      </c>
      <c r="AB1203">
        <v>31</v>
      </c>
      <c r="AC1203">
        <v>-15.8527</v>
      </c>
      <c r="AD1203">
        <v>-1.0878354367164</v>
      </c>
      <c r="AE1203">
        <v>2.3418000000000299</v>
      </c>
      <c r="AF1203">
        <v>6.6736143782369002</v>
      </c>
      <c r="AG1203">
        <v>-1.0878354367164</v>
      </c>
      <c r="AH1203">
        <v>14.488080762397001</v>
      </c>
      <c r="AI1203">
        <v>93.901394153123604</v>
      </c>
      <c r="AJ1203">
        <v>65.267883339987307</v>
      </c>
      <c r="AK1203">
        <v>15.9882769235626</v>
      </c>
    </row>
    <row r="1204" spans="1:37" x14ac:dyDescent="0.2">
      <c r="A1204" t="str">
        <f>"20200111153424924"</f>
        <v>20200111153424924</v>
      </c>
      <c r="B1204" t="str">
        <f>"1578728064917900"</f>
        <v>1578728064917900</v>
      </c>
      <c r="C1204" t="s">
        <v>37</v>
      </c>
      <c r="D1204">
        <v>4.7548560000000002</v>
      </c>
      <c r="E1204">
        <v>0.61245719999999904</v>
      </c>
      <c r="F1204" t="s">
        <v>52</v>
      </c>
      <c r="G1204">
        <v>-222.3263</v>
      </c>
      <c r="H1204" s="1">
        <v>-2.9884310000000002E-7</v>
      </c>
      <c r="I1204">
        <v>287.53539999999998</v>
      </c>
      <c r="J1204">
        <v>-206.4091</v>
      </c>
      <c r="K1204">
        <v>1.088001</v>
      </c>
      <c r="L1204">
        <v>285.05399999999997</v>
      </c>
      <c r="M1204">
        <v>-0.96285359999999998</v>
      </c>
      <c r="N1204">
        <v>0</v>
      </c>
      <c r="O1204">
        <v>-0.26927519999999999</v>
      </c>
      <c r="P1204">
        <v>-0.9905311</v>
      </c>
      <c r="Q1204">
        <v>3.4398430000000001E-2</v>
      </c>
      <c r="R1204">
        <v>-0.13291069999999999</v>
      </c>
      <c r="S1204">
        <v>-3.108047</v>
      </c>
      <c r="T1204">
        <v>-0.2098486</v>
      </c>
      <c r="U1204">
        <v>0.4695435</v>
      </c>
      <c r="V1204">
        <v>0.14089749999999901</v>
      </c>
      <c r="W1204">
        <v>4.852327E-2</v>
      </c>
      <c r="X1204">
        <v>0.9888344</v>
      </c>
      <c r="Y1204">
        <v>0.40865279999999998</v>
      </c>
      <c r="Z1204">
        <v>3.1686230000000003E-2</v>
      </c>
      <c r="AA1204">
        <v>0.912139699999999</v>
      </c>
      <c r="AB1204">
        <v>31</v>
      </c>
      <c r="AC1204">
        <v>-15.917199999999999</v>
      </c>
      <c r="AD1204">
        <v>-1.08800129884309</v>
      </c>
      <c r="AE1204">
        <v>2.4813999999999501</v>
      </c>
      <c r="AF1204">
        <v>6.6463636886985604</v>
      </c>
      <c r="AG1204">
        <v>-1.08800129884309</v>
      </c>
      <c r="AH1204">
        <v>14.5941446646404</v>
      </c>
      <c r="AI1204">
        <v>93.881348037191401</v>
      </c>
      <c r="AJ1204">
        <v>65.514861836964002</v>
      </c>
      <c r="AK1204">
        <v>16.073175031747301</v>
      </c>
    </row>
    <row r="1205" spans="1:37" x14ac:dyDescent="0.2">
      <c r="A1205" t="str">
        <f>"20200111153424945"</f>
        <v>20200111153424945</v>
      </c>
      <c r="B1205" t="str">
        <f>"1578728064937419"</f>
        <v>1578728064937419</v>
      </c>
      <c r="C1205" t="s">
        <v>37</v>
      </c>
      <c r="D1205">
        <v>4.9416640000000003</v>
      </c>
      <c r="E1205">
        <v>0.5471956</v>
      </c>
      <c r="F1205" t="s">
        <v>52</v>
      </c>
      <c r="G1205">
        <v>-222.17230000000001</v>
      </c>
      <c r="H1205" s="1">
        <v>-3.807976E-7</v>
      </c>
      <c r="I1205">
        <v>287.59039999999999</v>
      </c>
      <c r="J1205">
        <v>-206.69120000000001</v>
      </c>
      <c r="K1205">
        <v>1.08829</v>
      </c>
      <c r="L1205">
        <v>284.99009999999998</v>
      </c>
      <c r="M1205">
        <v>-0.96741309999999903</v>
      </c>
      <c r="N1205">
        <v>0</v>
      </c>
      <c r="O1205">
        <v>-0.25241140000000001</v>
      </c>
      <c r="P1205">
        <v>-0.99194819999999995</v>
      </c>
      <c r="Q1205">
        <v>3.0877499999999999E-2</v>
      </c>
      <c r="R1205">
        <v>-0.1228221</v>
      </c>
      <c r="S1205">
        <v>-3.1031040000000001</v>
      </c>
      <c r="T1205">
        <v>-0.2141817</v>
      </c>
      <c r="U1205">
        <v>0.49929809999999902</v>
      </c>
      <c r="V1205">
        <v>0.1335286</v>
      </c>
      <c r="W1205">
        <v>4.5332450000000003E-2</v>
      </c>
      <c r="X1205">
        <v>0.99000759999999899</v>
      </c>
      <c r="Y1205">
        <v>0.4014469</v>
      </c>
      <c r="Z1205">
        <v>3.0989050000000001E-2</v>
      </c>
      <c r="AA1205">
        <v>0.91535789999999995</v>
      </c>
      <c r="AB1205">
        <v>31</v>
      </c>
      <c r="AC1205">
        <v>-15.4810999999999</v>
      </c>
      <c r="AD1205">
        <v>-1.0882903807976001</v>
      </c>
      <c r="AE1205">
        <v>2.6002999999999998</v>
      </c>
      <c r="AF1205">
        <v>6.3937270316804602</v>
      </c>
      <c r="AG1205">
        <v>-1.0882903807976001</v>
      </c>
      <c r="AH1205">
        <v>14.254630417762399</v>
      </c>
      <c r="AI1205">
        <v>93.984790136704603</v>
      </c>
      <c r="AJ1205">
        <v>65.842007846466501</v>
      </c>
      <c r="AK1205">
        <v>15.6607346461006</v>
      </c>
    </row>
    <row r="1206" spans="1:37" x14ac:dyDescent="0.2">
      <c r="A1206" t="str">
        <f>"20200111153424958"</f>
        <v>20200111153424958</v>
      </c>
      <c r="B1206" t="str">
        <f>"1578728064947179"</f>
        <v>1578728064947179</v>
      </c>
      <c r="C1206" t="s">
        <v>37</v>
      </c>
      <c r="D1206">
        <v>4.9238140000000001</v>
      </c>
      <c r="E1206">
        <v>0.54526140000000001</v>
      </c>
      <c r="F1206" t="s">
        <v>52</v>
      </c>
      <c r="G1206">
        <v>-221</v>
      </c>
      <c r="H1206" s="1">
        <v>-1.004657E-6</v>
      </c>
      <c r="I1206">
        <v>285.06</v>
      </c>
      <c r="J1206">
        <v>-206.88030000000001</v>
      </c>
      <c r="K1206">
        <v>1.0885119999999999</v>
      </c>
      <c r="L1206">
        <v>284.9495</v>
      </c>
      <c r="M1206">
        <v>-0.97025599999999901</v>
      </c>
      <c r="N1206">
        <v>0</v>
      </c>
      <c r="O1206">
        <v>-0.24125859999999999</v>
      </c>
      <c r="P1206">
        <v>-0.99251389999999995</v>
      </c>
      <c r="Q1206">
        <v>2.807165E-2</v>
      </c>
      <c r="R1206">
        <v>-0.1188642</v>
      </c>
      <c r="S1206">
        <v>-3.0333860000000001</v>
      </c>
      <c r="T1206">
        <v>-0.23071220000000001</v>
      </c>
      <c r="U1206">
        <v>1.4831540000000001E-2</v>
      </c>
      <c r="V1206">
        <v>0.125958399999999</v>
      </c>
      <c r="W1206">
        <v>4.2853879999999997E-2</v>
      </c>
      <c r="X1206">
        <v>0.99110949999999998</v>
      </c>
      <c r="Y1206">
        <v>0.24465509999999999</v>
      </c>
      <c r="Z1206">
        <v>2.748219E-2</v>
      </c>
      <c r="AA1206">
        <v>0.96922059999999999</v>
      </c>
      <c r="AB1206">
        <v>31</v>
      </c>
      <c r="AC1206">
        <v>-14.1196999999999</v>
      </c>
      <c r="AD1206">
        <v>-1.088513004657</v>
      </c>
      <c r="AE1206">
        <v>0.110500000000001</v>
      </c>
      <c r="AF1206">
        <v>3.4936490555130399</v>
      </c>
      <c r="AG1206">
        <v>-1.088513004657</v>
      </c>
      <c r="AH1206">
        <v>13.594991410342001</v>
      </c>
      <c r="AI1206">
        <v>94.434273368392596</v>
      </c>
      <c r="AJ1206">
        <v>75.587947248317604</v>
      </c>
      <c r="AK1206">
        <v>14.078857756638699</v>
      </c>
    </row>
    <row r="1207" spans="1:37" x14ac:dyDescent="0.2">
      <c r="A1207" t="str">
        <f>"20200111153424989"</f>
        <v>20200111153424989</v>
      </c>
      <c r="B1207" t="str">
        <f>"1578728064977441"</f>
        <v>1578728064977441</v>
      </c>
      <c r="C1207" t="s">
        <v>37</v>
      </c>
      <c r="D1207">
        <v>4.8061169999999898</v>
      </c>
      <c r="E1207">
        <v>0.54398480000000005</v>
      </c>
      <c r="F1207" t="s">
        <v>52</v>
      </c>
      <c r="G1207">
        <v>-220.9905</v>
      </c>
      <c r="H1207" s="1">
        <v>-1.0096799999999999E-6</v>
      </c>
      <c r="I1207">
        <v>285.0086</v>
      </c>
      <c r="J1207">
        <v>-207.29310000000001</v>
      </c>
      <c r="K1207">
        <v>1.0891109999999999</v>
      </c>
      <c r="L1207">
        <v>284.87009999999998</v>
      </c>
      <c r="M1207">
        <v>-0.97580669999999903</v>
      </c>
      <c r="N1207">
        <v>0</v>
      </c>
      <c r="O1207">
        <v>-0.21774109999999999</v>
      </c>
      <c r="P1207">
        <v>-0.99412289999999903</v>
      </c>
      <c r="Q1207">
        <v>2.6272E-2</v>
      </c>
      <c r="R1207">
        <v>-0.1050219</v>
      </c>
      <c r="S1207">
        <v>-3.03076199999999</v>
      </c>
      <c r="T1207">
        <v>-0.23380409999999999</v>
      </c>
      <c r="U1207">
        <v>1.269531E-2</v>
      </c>
      <c r="V1207">
        <v>0.11568059999999999</v>
      </c>
      <c r="W1207">
        <v>4.1473240000000001E-2</v>
      </c>
      <c r="X1207">
        <v>0.99242030000000003</v>
      </c>
      <c r="Y1207">
        <v>0.2205751</v>
      </c>
      <c r="Z1207">
        <v>2.5170830000000002E-2</v>
      </c>
      <c r="AA1207">
        <v>0.975045099999999</v>
      </c>
      <c r="AB1207">
        <v>31</v>
      </c>
      <c r="AC1207">
        <v>-13.697399999999901</v>
      </c>
      <c r="AD1207">
        <v>-1.08911200968</v>
      </c>
      <c r="AE1207">
        <v>0.138500000000021</v>
      </c>
      <c r="AF1207">
        <v>3.0986560929700402</v>
      </c>
      <c r="AG1207">
        <v>-1.08911200968</v>
      </c>
      <c r="AH1207">
        <v>13.2546692382494</v>
      </c>
      <c r="AI1207">
        <v>94.574540041113096</v>
      </c>
      <c r="AJ1207">
        <v>76.841793331563096</v>
      </c>
      <c r="AK1207">
        <v>13.655551661046999</v>
      </c>
    </row>
    <row r="1208" spans="1:37" x14ac:dyDescent="0.2">
      <c r="A1208" t="str">
        <f>"20200111153425011"</f>
        <v>20200111153425011</v>
      </c>
      <c r="B1208" t="str">
        <f>"1578728065007220"</f>
        <v>1578728065007220</v>
      </c>
      <c r="C1208" t="s">
        <v>37</v>
      </c>
      <c r="D1208">
        <v>4.8028240000000002</v>
      </c>
      <c r="E1208">
        <v>0.54388269999999905</v>
      </c>
      <c r="F1208" t="s">
        <v>52</v>
      </c>
      <c r="G1208">
        <v>-222.4442</v>
      </c>
      <c r="H1208" s="1">
        <v>-2.361214E-7</v>
      </c>
      <c r="I1208">
        <v>285.08550000000002</v>
      </c>
      <c r="J1208">
        <v>-207.59559999999999</v>
      </c>
      <c r="K1208">
        <v>1.0896319999999999</v>
      </c>
      <c r="L1208">
        <v>284.81760000000003</v>
      </c>
      <c r="M1208">
        <v>-0.97936489999999998</v>
      </c>
      <c r="N1208">
        <v>0</v>
      </c>
      <c r="O1208">
        <v>-0.20114799999999999</v>
      </c>
      <c r="P1208">
        <v>-0.99540799999999996</v>
      </c>
      <c r="Q1208">
        <v>2.4778229999999998E-2</v>
      </c>
      <c r="R1208">
        <v>-9.2462150000000007E-2</v>
      </c>
      <c r="S1208">
        <v>-3.02802999999999</v>
      </c>
      <c r="T1208">
        <v>-0.2176652</v>
      </c>
      <c r="U1208">
        <v>4.3060300000000003E-2</v>
      </c>
      <c r="V1208">
        <v>0.11125879999999901</v>
      </c>
      <c r="W1208">
        <v>4.0138729999999997E-2</v>
      </c>
      <c r="X1208">
        <v>0.99298050000000004</v>
      </c>
      <c r="Y1208">
        <v>0.2140281</v>
      </c>
      <c r="Z1208">
        <v>2.205534E-2</v>
      </c>
      <c r="AA1208">
        <v>0.97657850000000002</v>
      </c>
      <c r="AB1208">
        <v>30</v>
      </c>
      <c r="AC1208">
        <v>-14.848599999999999</v>
      </c>
      <c r="AD1208">
        <v>-1.0896322361213999</v>
      </c>
      <c r="AE1208">
        <v>0.26789999999999697</v>
      </c>
      <c r="AF1208">
        <v>3.23236113293079</v>
      </c>
      <c r="AG1208">
        <v>-1.0896322361213999</v>
      </c>
      <c r="AH1208">
        <v>14.413499750224201</v>
      </c>
      <c r="AI1208">
        <v>94.218831524912403</v>
      </c>
      <c r="AJ1208">
        <v>77.360017822485602</v>
      </c>
      <c r="AK1208">
        <v>14.811631643859901</v>
      </c>
    </row>
    <row r="1209" spans="1:37" x14ac:dyDescent="0.2">
      <c r="A1209" t="str">
        <f>"20200111153425033"</f>
        <v>20200111153425033</v>
      </c>
      <c r="B1209" t="str">
        <f>"1578728065027718"</f>
        <v>1578728065027718</v>
      </c>
      <c r="C1209" t="s">
        <v>37</v>
      </c>
      <c r="D1209">
        <v>4.8214300000000003</v>
      </c>
      <c r="E1209">
        <v>0.54316750000000003</v>
      </c>
      <c r="F1209" t="s">
        <v>52</v>
      </c>
      <c r="G1209">
        <v>-222.75219999999999</v>
      </c>
      <c r="H1209" s="1">
        <v>-7.2218109999999994E-8</v>
      </c>
      <c r="I1209">
        <v>285.21080000000001</v>
      </c>
      <c r="J1209">
        <v>-207.89779999999999</v>
      </c>
      <c r="K1209">
        <v>1.090204</v>
      </c>
      <c r="L1209">
        <v>284.76990000000001</v>
      </c>
      <c r="M1209">
        <v>-0.98250959999999998</v>
      </c>
      <c r="N1209">
        <v>0</v>
      </c>
      <c r="O1209">
        <v>-0.18519730000000001</v>
      </c>
      <c r="P1209">
        <v>-0.99634239999999996</v>
      </c>
      <c r="Q1209">
        <v>2.3729509999999999E-2</v>
      </c>
      <c r="R1209">
        <v>-8.209226E-2</v>
      </c>
      <c r="S1209">
        <v>-3.0265499999999999</v>
      </c>
      <c r="T1209">
        <v>-0.217584</v>
      </c>
      <c r="U1209">
        <v>7.8521729999999998E-2</v>
      </c>
      <c r="V1209">
        <v>0.1053563</v>
      </c>
      <c r="W1209">
        <v>3.9285859999999999E-2</v>
      </c>
      <c r="X1209">
        <v>0.99365820000000005</v>
      </c>
      <c r="Y1209">
        <v>0.2096412</v>
      </c>
      <c r="Z1209">
        <v>2.0771919999999999E-2</v>
      </c>
      <c r="AA1209">
        <v>0.97755769999999997</v>
      </c>
      <c r="AB1209">
        <v>30</v>
      </c>
      <c r="AC1209">
        <v>-14.854399999999901</v>
      </c>
      <c r="AD1209">
        <v>-1.0902040722181101</v>
      </c>
      <c r="AE1209">
        <v>0.44089999999999901</v>
      </c>
      <c r="AF1209">
        <v>3.1677354614914099</v>
      </c>
      <c r="AG1209">
        <v>-1.0902040722181101</v>
      </c>
      <c r="AH1209">
        <v>14.437971011573101</v>
      </c>
      <c r="AI1209">
        <v>94.218222143795799</v>
      </c>
      <c r="AJ1209">
        <v>77.625207065712999</v>
      </c>
      <c r="AK1209">
        <v>14.8215417485529</v>
      </c>
    </row>
    <row r="1210" spans="1:37" x14ac:dyDescent="0.2">
      <c r="A1210" t="str">
        <f>"20200111153425056"</f>
        <v>20200111153425056</v>
      </c>
      <c r="B1210" t="str">
        <f>"1578728065047236"</f>
        <v>1578728065047236</v>
      </c>
      <c r="C1210" t="s">
        <v>37</v>
      </c>
      <c r="D1210">
        <v>4.8710800000000001</v>
      </c>
      <c r="E1210">
        <v>0.54250259999999995</v>
      </c>
      <c r="F1210" t="s">
        <v>52</v>
      </c>
      <c r="G1210">
        <v>-223.2081</v>
      </c>
      <c r="H1210" s="1">
        <v>1.7039000000000001E-7</v>
      </c>
      <c r="I1210">
        <v>285.29239999999999</v>
      </c>
      <c r="J1210">
        <v>-208.22329999999999</v>
      </c>
      <c r="K1210">
        <v>1.090886</v>
      </c>
      <c r="L1210">
        <v>284.72359999999998</v>
      </c>
      <c r="M1210">
        <v>-0.9854598</v>
      </c>
      <c r="N1210">
        <v>0</v>
      </c>
      <c r="O1210">
        <v>-0.16881849999999901</v>
      </c>
      <c r="P1210">
        <v>-0.99710909999999997</v>
      </c>
      <c r="Q1210">
        <v>2.59020999999999E-2</v>
      </c>
      <c r="R1210">
        <v>-7.143091E-2</v>
      </c>
      <c r="S1210">
        <v>-3.0246279999999999</v>
      </c>
      <c r="T1210">
        <v>-0.21537590000000001</v>
      </c>
      <c r="U1210">
        <v>0.10321039999999999</v>
      </c>
      <c r="V1210">
        <v>9.9437949999999997E-2</v>
      </c>
      <c r="W1210">
        <v>4.1638559999999998E-2</v>
      </c>
      <c r="X1210">
        <v>0.99417219999999995</v>
      </c>
      <c r="Y1210">
        <v>0.20143059999999999</v>
      </c>
      <c r="Z1210">
        <v>1.9130390000000001E-2</v>
      </c>
      <c r="AA1210">
        <v>0.97931590000000002</v>
      </c>
      <c r="AB1210">
        <v>30</v>
      </c>
      <c r="AC1210">
        <v>-14.9848</v>
      </c>
      <c r="AD1210">
        <v>-1.0908858296099999</v>
      </c>
      <c r="AE1210">
        <v>0.56880000000000996</v>
      </c>
      <c r="AF1210">
        <v>3.0745408555348801</v>
      </c>
      <c r="AG1210">
        <v>-1.0908858296099999</v>
      </c>
      <c r="AH1210">
        <v>14.5963577727846</v>
      </c>
      <c r="AI1210">
        <v>94.182713917321607</v>
      </c>
      <c r="AJ1210">
        <v>78.105240023246793</v>
      </c>
      <c r="AK1210">
        <v>14.9564866729031</v>
      </c>
    </row>
    <row r="1211" spans="1:37" x14ac:dyDescent="0.2">
      <c r="A1211" t="str">
        <f>"20200111153425078"</f>
        <v>20200111153425078</v>
      </c>
      <c r="B1211" t="str">
        <f>"1578728065067732"</f>
        <v>1578728065067732</v>
      </c>
      <c r="C1211" t="s">
        <v>37</v>
      </c>
      <c r="D1211">
        <v>4.8412420000000003</v>
      </c>
      <c r="E1211">
        <v>0.54158879999999998</v>
      </c>
      <c r="F1211" t="s">
        <v>52</v>
      </c>
      <c r="G1211">
        <v>-224.13939999999999</v>
      </c>
      <c r="H1211" s="1">
        <v>6.6600390000000002E-7</v>
      </c>
      <c r="I1211">
        <v>285.40379999999999</v>
      </c>
      <c r="J1211">
        <v>-208.51669999999999</v>
      </c>
      <c r="K1211">
        <v>1.0915509999999999</v>
      </c>
      <c r="L1211">
        <v>284.68619999999999</v>
      </c>
      <c r="M1211">
        <v>-0.98775219999999897</v>
      </c>
      <c r="N1211">
        <v>0</v>
      </c>
      <c r="O1211">
        <v>-0.15486659999999999</v>
      </c>
      <c r="P1211">
        <v>-0.99763729999999995</v>
      </c>
      <c r="Q1211">
        <v>2.897628E-2</v>
      </c>
      <c r="R1211">
        <v>-6.2292510000000002E-2</v>
      </c>
      <c r="S1211">
        <v>-3.0233460000000001</v>
      </c>
      <c r="T1211">
        <v>-0.20721899999999999</v>
      </c>
      <c r="U1211">
        <v>0.1292114</v>
      </c>
      <c r="V1211">
        <v>9.4501989999999994E-2</v>
      </c>
      <c r="W1211">
        <v>4.4844670000000003E-2</v>
      </c>
      <c r="X1211">
        <v>0.99451409999999996</v>
      </c>
      <c r="Y1211">
        <v>0.1961157</v>
      </c>
      <c r="Z1211">
        <v>1.7285640000000001E-2</v>
      </c>
      <c r="AA1211">
        <v>0.98042839999999998</v>
      </c>
      <c r="AB1211">
        <v>30</v>
      </c>
      <c r="AC1211">
        <v>-15.6227</v>
      </c>
      <c r="AD1211">
        <v>-1.0915503339960999</v>
      </c>
      <c r="AE1211">
        <v>0.71760000000000401</v>
      </c>
      <c r="AF1211">
        <v>3.1136436424691998</v>
      </c>
      <c r="AG1211">
        <v>-1.0915503339960999</v>
      </c>
      <c r="AH1211">
        <v>15.248713534114399</v>
      </c>
      <c r="AI1211">
        <v>94.011922765183897</v>
      </c>
      <c r="AJ1211">
        <v>78.459386906274801</v>
      </c>
      <c r="AK1211">
        <v>15.6015872048141</v>
      </c>
    </row>
    <row r="1212" spans="1:37" x14ac:dyDescent="0.2">
      <c r="A1212" t="str">
        <f>"20200111153425100"</f>
        <v>20200111153425100</v>
      </c>
      <c r="B1212" t="str">
        <f>"1578728065097989"</f>
        <v>1578728065097989</v>
      </c>
      <c r="C1212" t="s">
        <v>37</v>
      </c>
      <c r="D1212">
        <v>4.8434280000000003</v>
      </c>
      <c r="E1212">
        <v>0.54036209999999996</v>
      </c>
      <c r="F1212" t="s">
        <v>52</v>
      </c>
      <c r="G1212">
        <v>-225.47380000000001</v>
      </c>
      <c r="H1212" s="1">
        <v>1.3761179999999999E-6</v>
      </c>
      <c r="I1212">
        <v>285.51850000000002</v>
      </c>
      <c r="J1212">
        <v>-208.80889999999999</v>
      </c>
      <c r="K1212">
        <v>1.092268</v>
      </c>
      <c r="L1212">
        <v>284.65280000000001</v>
      </c>
      <c r="M1212">
        <v>-0.98971290000000001</v>
      </c>
      <c r="N1212">
        <v>0</v>
      </c>
      <c r="O1212">
        <v>-0.14182320000000001</v>
      </c>
      <c r="P1212">
        <v>-0.99809919999999996</v>
      </c>
      <c r="Q1212">
        <v>2.9636579999999999E-2</v>
      </c>
      <c r="R1212">
        <v>-5.4035100000000003E-2</v>
      </c>
      <c r="S1212">
        <v>-3.02200299999999</v>
      </c>
      <c r="T1212">
        <v>-0.19452949999999999</v>
      </c>
      <c r="U1212">
        <v>0.14831539999999999</v>
      </c>
      <c r="V1212">
        <v>8.9546749999999994E-2</v>
      </c>
      <c r="W1212">
        <v>4.5625400000000003E-2</v>
      </c>
      <c r="X1212">
        <v>0.99493709999999902</v>
      </c>
      <c r="Y1212">
        <v>0.18951779999999999</v>
      </c>
      <c r="Z1212">
        <v>1.5190540000000001E-2</v>
      </c>
      <c r="AA1212">
        <v>0.98175979999999996</v>
      </c>
      <c r="AB1212">
        <v>30</v>
      </c>
      <c r="AC1212">
        <v>-16.664899999999999</v>
      </c>
      <c r="AD1212">
        <v>-1.092266623882</v>
      </c>
      <c r="AE1212">
        <v>0.86570000000000302</v>
      </c>
      <c r="AF1212">
        <v>3.2070947282495901</v>
      </c>
      <c r="AG1212">
        <v>-1.092266623882</v>
      </c>
      <c r="AH1212">
        <v>16.303742704792999</v>
      </c>
      <c r="AI1212">
        <v>93.760933861988704</v>
      </c>
      <c r="AJ1212">
        <v>78.871483720947296</v>
      </c>
      <c r="AK1212">
        <v>16.6520427923335</v>
      </c>
    </row>
    <row r="1213" spans="1:37" x14ac:dyDescent="0.2">
      <c r="A1213" t="str">
        <f>"20200111153425123"</f>
        <v>20200111153425123</v>
      </c>
      <c r="B1213" t="str">
        <f>"1578728065117511"</f>
        <v>1578728065117511</v>
      </c>
      <c r="C1213" t="s">
        <v>37</v>
      </c>
      <c r="D1213">
        <v>4.8159859999999997</v>
      </c>
      <c r="E1213">
        <v>0.53955529999999996</v>
      </c>
      <c r="F1213" t="s">
        <v>52</v>
      </c>
      <c r="G1213">
        <v>-226.4513</v>
      </c>
      <c r="H1213" s="1">
        <v>1.8962519999999999E-6</v>
      </c>
      <c r="I1213">
        <v>285.60849999999999</v>
      </c>
      <c r="J1213">
        <v>-209.12729999999999</v>
      </c>
      <c r="K1213">
        <v>1.093062</v>
      </c>
      <c r="L1213">
        <v>284.62029999999999</v>
      </c>
      <c r="M1213">
        <v>-0.99152549999999995</v>
      </c>
      <c r="N1213">
        <v>0</v>
      </c>
      <c r="O1213">
        <v>-0.12857299999999999</v>
      </c>
      <c r="P1213">
        <v>-0.99849129999999997</v>
      </c>
      <c r="Q1213">
        <v>2.9792320000000001E-2</v>
      </c>
      <c r="R1213">
        <v>-4.6126099999999899E-2</v>
      </c>
      <c r="S1213">
        <v>-3.0201259999999999</v>
      </c>
      <c r="T1213">
        <v>-0.1869806</v>
      </c>
      <c r="U1213">
        <v>0.16360469999999999</v>
      </c>
      <c r="V1213">
        <v>8.4029980000000004E-2</v>
      </c>
      <c r="W1213">
        <v>4.5899299999999997E-2</v>
      </c>
      <c r="X1213">
        <v>0.9954056</v>
      </c>
      <c r="Y1213">
        <v>0.18145810000000001</v>
      </c>
      <c r="Z1213">
        <v>1.354614E-2</v>
      </c>
      <c r="AA1213">
        <v>0.9833054</v>
      </c>
      <c r="AB1213">
        <v>30</v>
      </c>
      <c r="AC1213">
        <v>-17.324000000000002</v>
      </c>
      <c r="AD1213">
        <v>-1.0930601037479999</v>
      </c>
      <c r="AE1213">
        <v>0.98820000000000596</v>
      </c>
      <c r="AF1213">
        <v>3.19510098132031</v>
      </c>
      <c r="AG1213">
        <v>-1.0930601037479999</v>
      </c>
      <c r="AH1213">
        <v>16.985683155763098</v>
      </c>
      <c r="AI1213">
        <v>93.618720084598607</v>
      </c>
      <c r="AJ1213">
        <v>79.346832228106805</v>
      </c>
      <c r="AK1213">
        <v>17.318108526603499</v>
      </c>
    </row>
    <row r="1214" spans="1:37" x14ac:dyDescent="0.2">
      <c r="A1214" t="str">
        <f>"20200111153425144"</f>
        <v>20200111153425144</v>
      </c>
      <c r="B1214" t="str">
        <f>"1578728065137029"</f>
        <v>1578728065137029</v>
      </c>
      <c r="C1214" t="s">
        <v>37</v>
      </c>
      <c r="D1214">
        <v>4.8375789999999999</v>
      </c>
      <c r="E1214">
        <v>0.53893570000000002</v>
      </c>
      <c r="F1214" t="s">
        <v>52</v>
      </c>
      <c r="G1214">
        <v>-226.81270000000001</v>
      </c>
      <c r="H1214" s="1">
        <v>2.088608E-6</v>
      </c>
      <c r="I1214">
        <v>285.68200000000002</v>
      </c>
      <c r="J1214">
        <v>-209.4211</v>
      </c>
      <c r="K1214">
        <v>1.09375</v>
      </c>
      <c r="L1214">
        <v>284.59359999999998</v>
      </c>
      <c r="M1214">
        <v>-0.99295290000000003</v>
      </c>
      <c r="N1214">
        <v>0</v>
      </c>
      <c r="O1214">
        <v>-0.11707089999999901</v>
      </c>
      <c r="P1214">
        <v>-0.9987798</v>
      </c>
      <c r="Q1214">
        <v>2.947551E-2</v>
      </c>
      <c r="R1214">
        <v>-3.9624409999999999E-2</v>
      </c>
      <c r="S1214">
        <v>-3.018478</v>
      </c>
      <c r="T1214">
        <v>-0.18655939999999999</v>
      </c>
      <c r="U1214">
        <v>0.1812134</v>
      </c>
      <c r="V1214">
        <v>7.8881030000000005E-2</v>
      </c>
      <c r="W1214">
        <v>4.5665890000000001E-2</v>
      </c>
      <c r="X1214">
        <v>0.99583759999999999</v>
      </c>
      <c r="Y1214">
        <v>0.17583770000000001</v>
      </c>
      <c r="Z1214">
        <v>1.264122E-2</v>
      </c>
      <c r="AA1214">
        <v>0.98433799999999905</v>
      </c>
      <c r="AB1214">
        <v>30</v>
      </c>
      <c r="AC1214">
        <v>-17.3916</v>
      </c>
      <c r="AD1214">
        <v>-1.0937479113919999</v>
      </c>
      <c r="AE1214">
        <v>1.08840000000003</v>
      </c>
      <c r="AF1214">
        <v>3.1050756243250399</v>
      </c>
      <c r="AG1214">
        <v>-1.0937479113919999</v>
      </c>
      <c r="AH1214">
        <v>17.0772470388656</v>
      </c>
      <c r="AI1214">
        <v>93.605664413276997</v>
      </c>
      <c r="AJ1214">
        <v>79.694758551517296</v>
      </c>
      <c r="AK1214">
        <v>17.391668854738899</v>
      </c>
    </row>
    <row r="1215" spans="1:37" x14ac:dyDescent="0.2">
      <c r="A1215" t="str">
        <f>"20200111153425167"</f>
        <v>20200111153425167</v>
      </c>
      <c r="B1215" t="str">
        <f>"1578728065157524"</f>
        <v>1578728065157524</v>
      </c>
      <c r="C1215" t="s">
        <v>37</v>
      </c>
      <c r="D1215">
        <v>4.8434419999999996</v>
      </c>
      <c r="E1215">
        <v>0.53872279999999995</v>
      </c>
      <c r="F1215" t="s">
        <v>52</v>
      </c>
      <c r="G1215">
        <v>-226.8108</v>
      </c>
      <c r="H1215" s="1">
        <v>2.087566E-6</v>
      </c>
      <c r="I1215">
        <v>285.7199</v>
      </c>
      <c r="J1215">
        <v>-209.72299999999899</v>
      </c>
      <c r="K1215">
        <v>1.09443</v>
      </c>
      <c r="L1215">
        <v>284.5693</v>
      </c>
      <c r="M1215">
        <v>-0.99419799999999903</v>
      </c>
      <c r="N1215">
        <v>0</v>
      </c>
      <c r="O1215">
        <v>-0.1060132</v>
      </c>
      <c r="P1215">
        <v>-0.99902250000000004</v>
      </c>
      <c r="Q1215">
        <v>3.016071E-2</v>
      </c>
      <c r="R1215">
        <v>-3.2320260000000003E-2</v>
      </c>
      <c r="S1215">
        <v>-3.0170140000000001</v>
      </c>
      <c r="T1215">
        <v>-0.18975929999999999</v>
      </c>
      <c r="U1215">
        <v>0.1954041</v>
      </c>
      <c r="V1215">
        <v>7.5014639999999994E-2</v>
      </c>
      <c r="W1215">
        <v>4.6383250000000001E-2</v>
      </c>
      <c r="X1215">
        <v>0.99610309999999902</v>
      </c>
      <c r="Y1215">
        <v>0.16953409999999999</v>
      </c>
      <c r="Z1215">
        <v>1.1972429999999999E-2</v>
      </c>
      <c r="AA1215">
        <v>0.98545159999999998</v>
      </c>
      <c r="AB1215">
        <v>30</v>
      </c>
      <c r="AC1215">
        <v>-17.087800000000001</v>
      </c>
      <c r="AD1215">
        <v>-1.0944279124339999</v>
      </c>
      <c r="AE1215">
        <v>1.1505999999999901</v>
      </c>
      <c r="AF1215">
        <v>2.9439249714455098</v>
      </c>
      <c r="AG1215">
        <v>-1.0944279124339999</v>
      </c>
      <c r="AH1215">
        <v>16.8008673597285</v>
      </c>
      <c r="AI1215">
        <v>93.671269371737296</v>
      </c>
      <c r="AJ1215">
        <v>80.061269692643194</v>
      </c>
      <c r="AK1215">
        <v>17.091916531864001</v>
      </c>
    </row>
    <row r="1216" spans="1:37" x14ac:dyDescent="0.2">
      <c r="A1216" t="str">
        <f>"20200111153425190"</f>
        <v>20200111153425190</v>
      </c>
      <c r="B1216" t="str">
        <f>"1578728065187781"</f>
        <v>1578728065187781</v>
      </c>
      <c r="C1216" t="s">
        <v>37</v>
      </c>
      <c r="D1216">
        <v>4.9024970000000003</v>
      </c>
      <c r="E1216">
        <v>0.53826399999999996</v>
      </c>
      <c r="F1216" t="s">
        <v>52</v>
      </c>
      <c r="G1216">
        <v>-227.09229999999999</v>
      </c>
      <c r="H1216" s="1">
        <v>2.23736899999999E-6</v>
      </c>
      <c r="I1216">
        <v>285.80779999999999</v>
      </c>
      <c r="J1216">
        <v>-210.02279999999999</v>
      </c>
      <c r="K1216">
        <v>1.095119</v>
      </c>
      <c r="L1216">
        <v>284.548</v>
      </c>
      <c r="M1216">
        <v>-0.99523569999999995</v>
      </c>
      <c r="N1216">
        <v>0</v>
      </c>
      <c r="O1216">
        <v>-9.5820989999999995E-2</v>
      </c>
      <c r="P1216">
        <v>-0.99916859999999996</v>
      </c>
      <c r="Q1216">
        <v>3.1012540000000002E-2</v>
      </c>
      <c r="R1216">
        <v>-2.647364E-2</v>
      </c>
      <c r="S1216">
        <v>-3.015625</v>
      </c>
      <c r="T1216">
        <v>-0.19001270000000001</v>
      </c>
      <c r="U1216">
        <v>0.21502689999999899</v>
      </c>
      <c r="V1216">
        <v>7.0573120000000003E-2</v>
      </c>
      <c r="W1216">
        <v>4.7268249999999998E-2</v>
      </c>
      <c r="X1216">
        <v>0.99638609999999905</v>
      </c>
      <c r="Y1216">
        <v>0.1658733</v>
      </c>
      <c r="Z1216">
        <v>1.1237189999999999E-2</v>
      </c>
      <c r="AA1216">
        <v>0.98608300000000004</v>
      </c>
      <c r="AB1216">
        <v>30</v>
      </c>
      <c r="AC1216">
        <v>-17.069500000000001</v>
      </c>
      <c r="AD1216">
        <v>-1.0951167626309899</v>
      </c>
      <c r="AE1216">
        <v>1.25979999999998</v>
      </c>
      <c r="AF1216">
        <v>2.8781006782673599</v>
      </c>
      <c r="AG1216">
        <v>-1.0951167626309899</v>
      </c>
      <c r="AH1216">
        <v>16.801415118000499</v>
      </c>
      <c r="AI1216">
        <v>93.675872926043695</v>
      </c>
      <c r="AJ1216">
        <v>80.279517371632394</v>
      </c>
      <c r="AK1216">
        <v>17.0812849108436</v>
      </c>
    </row>
    <row r="1217" spans="1:37" x14ac:dyDescent="0.2">
      <c r="A1217" t="str">
        <f>"20200111153425212"</f>
        <v>20200111153425212</v>
      </c>
      <c r="B1217" t="str">
        <f>"1578728065207301"</f>
        <v>1578728065207301</v>
      </c>
      <c r="C1217" t="s">
        <v>37</v>
      </c>
      <c r="D1217">
        <v>4.8540419999999997</v>
      </c>
      <c r="E1217">
        <v>0.53785309999999997</v>
      </c>
      <c r="F1217" t="s">
        <v>52</v>
      </c>
      <c r="G1217">
        <v>-227.3064</v>
      </c>
      <c r="H1217" s="1">
        <v>2.351283E-6</v>
      </c>
      <c r="I1217">
        <v>285.85890000000001</v>
      </c>
      <c r="J1217">
        <v>-210.32650000000001</v>
      </c>
      <c r="K1217">
        <v>1.095858</v>
      </c>
      <c r="L1217">
        <v>284.529</v>
      </c>
      <c r="M1217">
        <v>-0.99610909999999997</v>
      </c>
      <c r="N1217">
        <v>0</v>
      </c>
      <c r="O1217">
        <v>-8.6311879999999994E-2</v>
      </c>
      <c r="P1217">
        <v>-0.99925450000000005</v>
      </c>
      <c r="Q1217">
        <v>3.1547159999999998E-2</v>
      </c>
      <c r="R1217">
        <v>-2.2248469999999999E-2</v>
      </c>
      <c r="S1217">
        <v>-3.014465</v>
      </c>
      <c r="T1217">
        <v>-0.19100149999999999</v>
      </c>
      <c r="U1217">
        <v>0.2286377</v>
      </c>
      <c r="V1217">
        <v>6.51896E-2</v>
      </c>
      <c r="W1217">
        <v>4.7840750000000001E-2</v>
      </c>
      <c r="X1217">
        <v>0.99672539999999998</v>
      </c>
      <c r="Y1217">
        <v>0.16093209999999999</v>
      </c>
      <c r="Z1217">
        <v>1.054187E-2</v>
      </c>
      <c r="AA1217">
        <v>0.98690919999999904</v>
      </c>
      <c r="AB1217">
        <v>30</v>
      </c>
      <c r="AC1217">
        <v>-16.979899999999901</v>
      </c>
      <c r="AD1217">
        <v>-1.0958556487169999</v>
      </c>
      <c r="AE1217">
        <v>1.3299000000000001</v>
      </c>
      <c r="AF1217">
        <v>2.77922935538112</v>
      </c>
      <c r="AG1217">
        <v>-1.0958556487169999</v>
      </c>
      <c r="AH1217">
        <v>16.7324402163873</v>
      </c>
      <c r="AI1217">
        <v>93.696612041389898</v>
      </c>
      <c r="AJ1217">
        <v>80.569367315946295</v>
      </c>
      <c r="AK1217">
        <v>16.997045949446999</v>
      </c>
    </row>
    <row r="1218" spans="1:37" x14ac:dyDescent="0.2">
      <c r="A1218" t="str">
        <f>"20200111153425234"</f>
        <v>20200111153425234</v>
      </c>
      <c r="B1218" t="str">
        <f>"1578728065227799"</f>
        <v>1578728065227799</v>
      </c>
      <c r="C1218" t="s">
        <v>37</v>
      </c>
      <c r="D1218">
        <v>4.8747800000000003</v>
      </c>
      <c r="E1218">
        <v>0.53733660000000005</v>
      </c>
      <c r="F1218" t="s">
        <v>52</v>
      </c>
      <c r="G1218">
        <v>-227.5975</v>
      </c>
      <c r="H1218" s="1">
        <v>2.506208E-6</v>
      </c>
      <c r="I1218">
        <v>285.89569999999998</v>
      </c>
      <c r="J1218">
        <v>-210.62610000000001</v>
      </c>
      <c r="K1218">
        <v>1.096649</v>
      </c>
      <c r="L1218">
        <v>284.51249999999999</v>
      </c>
      <c r="M1218">
        <v>-0.99681620000000004</v>
      </c>
      <c r="N1218">
        <v>0</v>
      </c>
      <c r="O1218">
        <v>-7.7771889999999996E-2</v>
      </c>
      <c r="P1218">
        <v>-0.99931419999999904</v>
      </c>
      <c r="Q1218">
        <v>3.2395E-2</v>
      </c>
      <c r="R1218">
        <v>-1.793929E-2</v>
      </c>
      <c r="S1218">
        <v>-3.0135649999999998</v>
      </c>
      <c r="T1218">
        <v>-0.1912132</v>
      </c>
      <c r="U1218">
        <v>0.23846439999999899</v>
      </c>
      <c r="V1218">
        <v>6.0862520000000003E-2</v>
      </c>
      <c r="W1218">
        <v>4.8689490000000002E-2</v>
      </c>
      <c r="X1218">
        <v>0.99695789999999995</v>
      </c>
      <c r="Y1218">
        <v>0.1557191</v>
      </c>
      <c r="Z1218">
        <v>9.8504839999999996E-3</v>
      </c>
      <c r="AA1218">
        <v>0.98775230000000003</v>
      </c>
      <c r="AB1218">
        <v>30</v>
      </c>
      <c r="AC1218">
        <v>-16.9713999999999</v>
      </c>
      <c r="AD1218">
        <v>-1.096646493792</v>
      </c>
      <c r="AE1218">
        <v>1.38319999999998</v>
      </c>
      <c r="AF1218">
        <v>2.6879618087226498</v>
      </c>
      <c r="AG1218">
        <v>-1.096646493792</v>
      </c>
      <c r="AH1218">
        <v>16.742942905353701</v>
      </c>
      <c r="AI1218">
        <v>93.700217715058102</v>
      </c>
      <c r="AJ1218">
        <v>80.879392201796904</v>
      </c>
      <c r="AK1218">
        <v>16.9927604982072</v>
      </c>
    </row>
    <row r="1219" spans="1:37" x14ac:dyDescent="0.2">
      <c r="A1219" t="str">
        <f>"20200111153425257"</f>
        <v>20200111153425257</v>
      </c>
      <c r="B1219" t="str">
        <f>"1578728065247319"</f>
        <v>1578728065247319</v>
      </c>
      <c r="C1219" t="s">
        <v>37</v>
      </c>
      <c r="D1219">
        <v>4.8714120000000003</v>
      </c>
      <c r="E1219">
        <v>0.53680169999999905</v>
      </c>
      <c r="F1219" t="s">
        <v>52</v>
      </c>
      <c r="G1219">
        <v>-227.89930000000001</v>
      </c>
      <c r="H1219" s="1">
        <v>2.666839E-6</v>
      </c>
      <c r="I1219">
        <v>285.92790000000002</v>
      </c>
      <c r="J1219">
        <v>-210.9271</v>
      </c>
      <c r="K1219">
        <v>1.097523</v>
      </c>
      <c r="L1219">
        <v>284.49779999999998</v>
      </c>
      <c r="M1219">
        <v>-0.99739140000000004</v>
      </c>
      <c r="N1219">
        <v>0</v>
      </c>
      <c r="O1219">
        <v>-7.0062910000000006E-2</v>
      </c>
      <c r="P1219">
        <v>-0.99938090000000002</v>
      </c>
      <c r="Q1219">
        <v>3.2694059999999997E-2</v>
      </c>
      <c r="R1219">
        <v>-1.2991050000000001E-2</v>
      </c>
      <c r="S1219">
        <v>-3.01268</v>
      </c>
      <c r="T1219">
        <v>-0.19126969999999999</v>
      </c>
      <c r="U1219">
        <v>0.24685670000000001</v>
      </c>
      <c r="V1219">
        <v>5.7988020000000001E-2</v>
      </c>
      <c r="W1219">
        <v>4.8952379999999997E-2</v>
      </c>
      <c r="X1219">
        <v>0.99711640000000001</v>
      </c>
      <c r="Y1219">
        <v>0.15086189999999999</v>
      </c>
      <c r="Z1219">
        <v>9.2135840000000004E-3</v>
      </c>
      <c r="AA1219">
        <v>0.9885119</v>
      </c>
      <c r="AB1219">
        <v>30</v>
      </c>
      <c r="AC1219">
        <v>-16.972200000000001</v>
      </c>
      <c r="AD1219">
        <v>-1.097520333161</v>
      </c>
      <c r="AE1219">
        <v>1.4301000000000299</v>
      </c>
      <c r="AF1219">
        <v>2.6050689285042199</v>
      </c>
      <c r="AG1219">
        <v>-1.097520333161</v>
      </c>
      <c r="AH1219">
        <v>16.760674057588599</v>
      </c>
      <c r="AI1219">
        <v>93.702161122185501</v>
      </c>
      <c r="AJ1219">
        <v>81.165351743409701</v>
      </c>
      <c r="AK1219">
        <v>16.997385971633499</v>
      </c>
    </row>
    <row r="1220" spans="1:37" x14ac:dyDescent="0.2">
      <c r="A1220" t="str">
        <f>"20200111153425279"</f>
        <v>20200111153425279</v>
      </c>
      <c r="B1220" t="str">
        <f>"1578728065267812"</f>
        <v>1578728065267812</v>
      </c>
      <c r="C1220" t="s">
        <v>37</v>
      </c>
      <c r="D1220">
        <v>4.8807339999999897</v>
      </c>
      <c r="E1220">
        <v>0.53657480000000002</v>
      </c>
      <c r="F1220" t="s">
        <v>52</v>
      </c>
      <c r="G1220">
        <v>-228.0471</v>
      </c>
      <c r="H1220" s="1">
        <v>2.7454629999999998E-6</v>
      </c>
      <c r="I1220">
        <v>285.95960000000002</v>
      </c>
      <c r="J1220">
        <v>-211.2131</v>
      </c>
      <c r="K1220">
        <v>1.09842</v>
      </c>
      <c r="L1220">
        <v>284.48509999999999</v>
      </c>
      <c r="M1220">
        <v>-0.99782689999999996</v>
      </c>
      <c r="N1220">
        <v>0</v>
      </c>
      <c r="O1220">
        <v>-6.3613790000000003E-2</v>
      </c>
      <c r="P1220">
        <v>-0.99942799999999998</v>
      </c>
      <c r="Q1220">
        <v>3.2723349999999998E-2</v>
      </c>
      <c r="R1220">
        <v>-8.5348339999999998E-3</v>
      </c>
      <c r="S1220">
        <v>-3.01152</v>
      </c>
      <c r="T1220">
        <v>-0.19306139999999999</v>
      </c>
      <c r="U1220">
        <v>0.25714110000000001</v>
      </c>
      <c r="V1220">
        <v>5.5880050000000001E-2</v>
      </c>
      <c r="W1220">
        <v>4.8939530000000002E-2</v>
      </c>
      <c r="X1220">
        <v>0.99723739999999905</v>
      </c>
      <c r="Y1220">
        <v>0.14786489999999999</v>
      </c>
      <c r="Z1220">
        <v>8.7940640000000007E-3</v>
      </c>
      <c r="AA1220">
        <v>0.98896849999999903</v>
      </c>
      <c r="AB1220">
        <v>30</v>
      </c>
      <c r="AC1220">
        <v>-16.834</v>
      </c>
      <c r="AD1220">
        <v>-1.0984172545369999</v>
      </c>
      <c r="AE1220">
        <v>1.4745000000000299</v>
      </c>
      <c r="AF1220">
        <v>2.5318476535799701</v>
      </c>
      <c r="AG1220">
        <v>-1.0984172545369999</v>
      </c>
      <c r="AH1220">
        <v>16.635793345094701</v>
      </c>
      <c r="AI1220">
        <v>93.734723288083202</v>
      </c>
      <c r="AJ1220">
        <v>81.346401624015698</v>
      </c>
      <c r="AK1220">
        <v>16.863166761516101</v>
      </c>
    </row>
    <row r="1221" spans="1:37" x14ac:dyDescent="0.2">
      <c r="A1221" t="str">
        <f>"20200111153425300"</f>
        <v>20200111153425300</v>
      </c>
      <c r="B1221" t="str">
        <f>"1578728065297093"</f>
        <v>1578728065297093</v>
      </c>
      <c r="C1221" t="s">
        <v>37</v>
      </c>
      <c r="D1221">
        <v>4.8834400000000002</v>
      </c>
      <c r="E1221">
        <v>0.52455369999999901</v>
      </c>
      <c r="F1221" t="s">
        <v>52</v>
      </c>
      <c r="G1221">
        <v>-228.1918</v>
      </c>
      <c r="H1221" s="1">
        <v>2.8224849999999999E-6</v>
      </c>
      <c r="I1221">
        <v>285.99869999999999</v>
      </c>
      <c r="J1221">
        <v>-211.50210000000001</v>
      </c>
      <c r="K1221">
        <v>1.09934</v>
      </c>
      <c r="L1221">
        <v>284.47329999999999</v>
      </c>
      <c r="M1221">
        <v>-0.99816949999999904</v>
      </c>
      <c r="N1221">
        <v>0</v>
      </c>
      <c r="O1221">
        <v>-5.8048500000000003E-2</v>
      </c>
      <c r="P1221">
        <v>-0.99944999999999995</v>
      </c>
      <c r="Q1221">
        <v>3.2884169999999997E-2</v>
      </c>
      <c r="R1221">
        <v>-4.3177340000000002E-3</v>
      </c>
      <c r="S1221">
        <v>-3.0103909999999998</v>
      </c>
      <c r="T1221">
        <v>-0.19475329999999999</v>
      </c>
      <c r="U1221">
        <v>0.26837159999999999</v>
      </c>
      <c r="V1221">
        <v>5.4417809999999997E-2</v>
      </c>
      <c r="W1221">
        <v>4.9051930000000001E-2</v>
      </c>
      <c r="X1221">
        <v>0.99731270000000005</v>
      </c>
      <c r="Y1221">
        <v>0.14605019999999999</v>
      </c>
      <c r="Z1221">
        <v>8.4554450000000007E-3</v>
      </c>
      <c r="AA1221">
        <v>0.98924109999999998</v>
      </c>
      <c r="AB1221">
        <v>30</v>
      </c>
      <c r="AC1221">
        <v>-16.689699999999899</v>
      </c>
      <c r="AD1221">
        <v>-1.099337177515</v>
      </c>
      <c r="AE1221">
        <v>1.5253999999999901</v>
      </c>
      <c r="AF1221">
        <v>2.4811029646772602</v>
      </c>
      <c r="AG1221">
        <v>-1.099337177515</v>
      </c>
      <c r="AH1221">
        <v>16.501984311650698</v>
      </c>
      <c r="AI1221">
        <v>93.769087262605893</v>
      </c>
      <c r="AJ1221">
        <v>81.4495225700324</v>
      </c>
      <c r="AK1221">
        <v>16.7236329896695</v>
      </c>
    </row>
    <row r="1222" spans="1:37" x14ac:dyDescent="0.2">
      <c r="A1222" t="str">
        <f>"20200111153425323"</f>
        <v>20200111153425323</v>
      </c>
      <c r="B1222" t="str">
        <f>"1578728065317589"</f>
        <v>1578728065317589</v>
      </c>
      <c r="C1222" t="s">
        <v>37</v>
      </c>
      <c r="D1222">
        <v>4.9504260000000002</v>
      </c>
      <c r="E1222">
        <v>0.52415059999999902</v>
      </c>
      <c r="F1222" t="s">
        <v>40</v>
      </c>
      <c r="G1222">
        <v>-212.46680000000001</v>
      </c>
      <c r="H1222">
        <v>1.019749</v>
      </c>
      <c r="I1222">
        <v>284.5326</v>
      </c>
      <c r="J1222">
        <v>-211.79859999999999</v>
      </c>
      <c r="K1222">
        <v>1.100265</v>
      </c>
      <c r="L1222">
        <v>284.46179999999998</v>
      </c>
      <c r="M1222">
        <v>-0.99843749999999998</v>
      </c>
      <c r="N1222">
        <v>0</v>
      </c>
      <c r="O1222">
        <v>-5.3299939999999997E-2</v>
      </c>
      <c r="P1222">
        <v>-0.99948250000000005</v>
      </c>
      <c r="Q1222">
        <v>3.2160099999999997E-2</v>
      </c>
      <c r="R1222">
        <v>-1.0206389999999901E-3</v>
      </c>
      <c r="S1222">
        <v>-3.0106199999999999</v>
      </c>
      <c r="T1222">
        <v>-0.24839130000000001</v>
      </c>
      <c r="U1222">
        <v>0.18466189999999999</v>
      </c>
      <c r="V1222">
        <v>5.2845709999999997E-2</v>
      </c>
      <c r="W1222">
        <v>4.8283220000000002E-2</v>
      </c>
      <c r="X1222">
        <v>0.99743470000000001</v>
      </c>
      <c r="Y1222">
        <v>0.1137763</v>
      </c>
      <c r="Z1222">
        <v>9.0680220000000002E-3</v>
      </c>
      <c r="AA1222">
        <v>0.99346499999999904</v>
      </c>
      <c r="AB1222">
        <v>29</v>
      </c>
      <c r="AC1222">
        <v>-0.66820000000001301</v>
      </c>
      <c r="AD1222">
        <v>-8.0516000000000004E-2</v>
      </c>
      <c r="AE1222">
        <v>7.0800000000019694E-2</v>
      </c>
      <c r="AF1222">
        <v>0.104814413366895</v>
      </c>
      <c r="AG1222">
        <v>-8.0516000000000004E-2</v>
      </c>
      <c r="AH1222">
        <v>0.65408421595232102</v>
      </c>
      <c r="AI1222">
        <v>96.930113384132099</v>
      </c>
      <c r="AJ1222">
        <v>80.895977752357098</v>
      </c>
      <c r="AK1222">
        <v>0.667304315184166</v>
      </c>
    </row>
    <row r="1223" spans="1:37" x14ac:dyDescent="0.2">
      <c r="A1223" t="str">
        <f>"20200111153425345"</f>
        <v>20200111153425345</v>
      </c>
      <c r="B1223" t="str">
        <f>"1578728065337111"</f>
        <v>1578728065337111</v>
      </c>
      <c r="C1223" t="s">
        <v>37</v>
      </c>
      <c r="D1223">
        <v>4.9665650000000001</v>
      </c>
      <c r="E1223">
        <v>0.52376219999999996</v>
      </c>
      <c r="F1223" t="s">
        <v>40</v>
      </c>
      <c r="G1223">
        <v>-212.73060000000001</v>
      </c>
      <c r="H1223">
        <v>1.0207269999999999</v>
      </c>
      <c r="I1223">
        <v>284.5213</v>
      </c>
      <c r="J1223">
        <v>-212.10050000000001</v>
      </c>
      <c r="K1223">
        <v>1.1011010000000001</v>
      </c>
      <c r="L1223">
        <v>284.45069999999998</v>
      </c>
      <c r="M1223">
        <v>-0.99864609999999998</v>
      </c>
      <c r="N1223">
        <v>0</v>
      </c>
      <c r="O1223">
        <v>-4.9293980000000001E-2</v>
      </c>
      <c r="P1223">
        <v>-0.99945709999999999</v>
      </c>
      <c r="Q1223">
        <v>3.2937470000000003E-2</v>
      </c>
      <c r="R1223">
        <v>9.1417910000000002E-4</v>
      </c>
      <c r="S1223">
        <v>-3.0100250000000002</v>
      </c>
      <c r="T1223">
        <v>-0.25696149999999901</v>
      </c>
      <c r="U1223">
        <v>0.19168089999999999</v>
      </c>
      <c r="V1223">
        <v>5.068305E-2</v>
      </c>
      <c r="W1223">
        <v>4.9015250000000003E-2</v>
      </c>
      <c r="X1223">
        <v>0.99751129999999999</v>
      </c>
      <c r="Y1223">
        <v>0.11209089999999999</v>
      </c>
      <c r="Z1223">
        <v>8.9682619999999994E-3</v>
      </c>
      <c r="AA1223">
        <v>0.99365749999999997</v>
      </c>
      <c r="AB1223">
        <v>29</v>
      </c>
      <c r="AC1223">
        <v>-0.630099999999998</v>
      </c>
      <c r="AD1223">
        <v>-8.0374000000000098E-2</v>
      </c>
      <c r="AE1223">
        <v>7.0600000000013097E-2</v>
      </c>
      <c r="AF1223">
        <v>9.9972103408722202E-2</v>
      </c>
      <c r="AG1223">
        <v>-8.0374000000000098E-2</v>
      </c>
      <c r="AH1223">
        <v>0.61595524821205705</v>
      </c>
      <c r="AI1223">
        <v>97.339362591572396</v>
      </c>
      <c r="AJ1223">
        <v>80.781045838841706</v>
      </c>
      <c r="AK1223">
        <v>0.62917030217258396</v>
      </c>
    </row>
    <row r="1224" spans="1:37" x14ac:dyDescent="0.2">
      <c r="A1224" t="str">
        <f>"20200111153425369"</f>
        <v>20200111153425369</v>
      </c>
      <c r="B1224" t="str">
        <f>"1578728065357604"</f>
        <v>1578728065357604</v>
      </c>
      <c r="C1224" t="s">
        <v>37</v>
      </c>
      <c r="D1224">
        <v>5.0024670000000002</v>
      </c>
      <c r="E1224">
        <v>0.52321989999999996</v>
      </c>
      <c r="F1224" t="s">
        <v>40</v>
      </c>
      <c r="G1224">
        <v>-212.99520000000001</v>
      </c>
      <c r="H1224">
        <v>1.0247219999999999</v>
      </c>
      <c r="I1224">
        <v>284.50869999999998</v>
      </c>
      <c r="J1224">
        <v>-212.40090000000001</v>
      </c>
      <c r="K1224">
        <v>1.1018559999999999</v>
      </c>
      <c r="L1224">
        <v>284.43990000000002</v>
      </c>
      <c r="M1224">
        <v>-0.99879959999999901</v>
      </c>
      <c r="N1224">
        <v>0</v>
      </c>
      <c r="O1224">
        <v>-4.6138789999999999E-2</v>
      </c>
      <c r="P1224">
        <v>-0.99936930000000002</v>
      </c>
      <c r="Q1224">
        <v>3.540828E-2</v>
      </c>
      <c r="R1224">
        <v>2.764468E-3</v>
      </c>
      <c r="S1224">
        <v>-3.009903</v>
      </c>
      <c r="T1224">
        <v>-0.25694359999999999</v>
      </c>
      <c r="U1224">
        <v>0.19485469999999999</v>
      </c>
      <c r="V1224">
        <v>4.9306570000000001E-2</v>
      </c>
      <c r="W1224">
        <v>5.1420710000000001E-2</v>
      </c>
      <c r="X1224">
        <v>0.99745919999999899</v>
      </c>
      <c r="Y1224">
        <v>0.1100165</v>
      </c>
      <c r="Z1224">
        <v>8.6108350000000007E-3</v>
      </c>
      <c r="AA1224">
        <v>0.99389240000000001</v>
      </c>
      <c r="AB1224">
        <v>29</v>
      </c>
      <c r="AC1224">
        <v>-0.59430000000000405</v>
      </c>
      <c r="AD1224">
        <v>-7.7133999999999994E-2</v>
      </c>
      <c r="AE1224">
        <v>6.8799999999953301E-2</v>
      </c>
      <c r="AF1224">
        <v>9.4578563903230106E-2</v>
      </c>
      <c r="AG1224">
        <v>-7.7133999999999994E-2</v>
      </c>
      <c r="AH1224">
        <v>0.58083712981260904</v>
      </c>
      <c r="AI1224">
        <v>97.467288832281596</v>
      </c>
      <c r="AJ1224">
        <v>80.751611475143307</v>
      </c>
      <c r="AK1224">
        <v>0.59352045463905201</v>
      </c>
    </row>
    <row r="1225" spans="1:37" x14ac:dyDescent="0.2">
      <c r="A1225" t="str">
        <f>"20200111153425390"</f>
        <v>20200111153425390</v>
      </c>
      <c r="B1225" t="str">
        <f>"1578728065387861"</f>
        <v>1578728065387861</v>
      </c>
      <c r="C1225" t="s">
        <v>37</v>
      </c>
      <c r="D1225">
        <v>4.9822870000000004</v>
      </c>
      <c r="E1225">
        <v>0.52260399999999996</v>
      </c>
      <c r="F1225" t="s">
        <v>40</v>
      </c>
      <c r="G1225">
        <v>-213.25970000000001</v>
      </c>
      <c r="H1225">
        <v>1.0297639999999999</v>
      </c>
      <c r="I1225">
        <v>284.49599999999998</v>
      </c>
      <c r="J1225">
        <v>-212.68799999999999</v>
      </c>
      <c r="K1225">
        <v>1.1025510000000001</v>
      </c>
      <c r="L1225">
        <v>284.4298</v>
      </c>
      <c r="M1225">
        <v>-0.99890249999999903</v>
      </c>
      <c r="N1225">
        <v>0</v>
      </c>
      <c r="O1225">
        <v>-4.3910530000000003E-2</v>
      </c>
      <c r="P1225">
        <v>-0.99929679999999999</v>
      </c>
      <c r="Q1225">
        <v>3.7304570000000002E-2</v>
      </c>
      <c r="R1225">
        <v>3.821648E-3</v>
      </c>
      <c r="S1225">
        <v>-3.010284</v>
      </c>
      <c r="T1225">
        <v>-0.25287090000000001</v>
      </c>
      <c r="U1225">
        <v>0.19592290000000001</v>
      </c>
      <c r="V1225">
        <v>4.8061550000000001E-2</v>
      </c>
      <c r="W1225">
        <v>5.3247830000000003E-2</v>
      </c>
      <c r="X1225">
        <v>0.99742410000000004</v>
      </c>
      <c r="Y1225">
        <v>0.108174399999999</v>
      </c>
      <c r="Z1225">
        <v>8.209839E-3</v>
      </c>
      <c r="AA1225">
        <v>0.99409799999999904</v>
      </c>
      <c r="AB1225">
        <v>29</v>
      </c>
      <c r="AC1225">
        <v>-0.57170000000002097</v>
      </c>
      <c r="AD1225">
        <v>-7.2787000000000102E-2</v>
      </c>
      <c r="AE1225">
        <v>6.6199999999980705E-2</v>
      </c>
      <c r="AF1225">
        <v>8.9806650601659099E-2</v>
      </c>
      <c r="AG1225">
        <v>-7.2787000000000102E-2</v>
      </c>
      <c r="AH1225">
        <v>0.55929518933516997</v>
      </c>
      <c r="AI1225">
        <v>97.322077801901301</v>
      </c>
      <c r="AJ1225">
        <v>80.877820387768594</v>
      </c>
      <c r="AK1225">
        <v>0.57111670495158195</v>
      </c>
    </row>
    <row r="1226" spans="1:37" x14ac:dyDescent="0.2">
      <c r="A1226" t="str">
        <f>"20200111153425413"</f>
        <v>20200111153425413</v>
      </c>
      <c r="B1226" t="str">
        <f>"1578728065407381"</f>
        <v>1578728065407381</v>
      </c>
      <c r="C1226" t="s">
        <v>37</v>
      </c>
      <c r="D1226">
        <v>5.0301429999999998</v>
      </c>
      <c r="E1226">
        <v>0.52234380000000002</v>
      </c>
      <c r="F1226" t="s">
        <v>40</v>
      </c>
      <c r="G1226">
        <v>-213.52289999999999</v>
      </c>
      <c r="H1226">
        <v>1.033175</v>
      </c>
      <c r="I1226">
        <v>284.48379999999997</v>
      </c>
      <c r="J1226">
        <v>-212.98390000000001</v>
      </c>
      <c r="K1226">
        <v>1.1032660000000001</v>
      </c>
      <c r="L1226">
        <v>284.41930000000002</v>
      </c>
      <c r="M1226">
        <v>-0.99897099999999905</v>
      </c>
      <c r="N1226">
        <v>0</v>
      </c>
      <c r="O1226">
        <v>-4.2381259999999997E-2</v>
      </c>
      <c r="P1226">
        <v>-0.99924899999999905</v>
      </c>
      <c r="Q1226">
        <v>3.837952E-2</v>
      </c>
      <c r="R1226">
        <v>5.3411250000000004E-3</v>
      </c>
      <c r="S1226">
        <v>-3.0107119999999998</v>
      </c>
      <c r="T1226">
        <v>-0.25030619999999998</v>
      </c>
      <c r="U1226">
        <v>0.19415279999999999</v>
      </c>
      <c r="V1226">
        <v>4.7964680000000003E-2</v>
      </c>
      <c r="W1226">
        <v>5.4252979999999999E-2</v>
      </c>
      <c r="X1226">
        <v>0.99737450000000005</v>
      </c>
      <c r="Y1226">
        <v>0.1060844</v>
      </c>
      <c r="Z1226">
        <v>7.9123960000000004E-3</v>
      </c>
      <c r="AA1226">
        <v>0.99432559999999903</v>
      </c>
      <c r="AB1226">
        <v>29</v>
      </c>
      <c r="AC1226">
        <v>-0.53899999999998705</v>
      </c>
      <c r="AD1226">
        <v>-7.0091000000000098E-2</v>
      </c>
      <c r="AE1226">
        <v>6.4499999999952706E-2</v>
      </c>
      <c r="AF1226">
        <v>8.5857151779457894E-2</v>
      </c>
      <c r="AG1226">
        <v>-7.0091000000000098E-2</v>
      </c>
      <c r="AH1226">
        <v>0.52699588228149197</v>
      </c>
      <c r="AI1226">
        <v>97.478475962824604</v>
      </c>
      <c r="AJ1226">
        <v>80.746777936149698</v>
      </c>
      <c r="AK1226">
        <v>0.53852470577897305</v>
      </c>
    </row>
    <row r="1227" spans="1:37" x14ac:dyDescent="0.2">
      <c r="A1227" t="str">
        <f>"20200111153425434"</f>
        <v>20200111153425434</v>
      </c>
      <c r="B1227" t="str">
        <f>"1578728065427877"</f>
        <v>1578728065427877</v>
      </c>
      <c r="C1227" t="s">
        <v>37</v>
      </c>
      <c r="D1227">
        <v>4.9768089999999896</v>
      </c>
      <c r="E1227">
        <v>0.52224209999999904</v>
      </c>
      <c r="F1227" t="s">
        <v>40</v>
      </c>
      <c r="G1227">
        <v>-213.78540000000001</v>
      </c>
      <c r="H1227">
        <v>1.0366580000000001</v>
      </c>
      <c r="I1227">
        <v>284.47179999999997</v>
      </c>
      <c r="J1227">
        <v>-213.27010000000001</v>
      </c>
      <c r="K1227">
        <v>1.1039509999999999</v>
      </c>
      <c r="L1227">
        <v>284.40879999999999</v>
      </c>
      <c r="M1227">
        <v>-0.99900710000000004</v>
      </c>
      <c r="N1227">
        <v>0</v>
      </c>
      <c r="O1227">
        <v>-4.1576910000000002E-2</v>
      </c>
      <c r="P1227">
        <v>-0.9992065</v>
      </c>
      <c r="Q1227">
        <v>3.9234659999999998E-2</v>
      </c>
      <c r="R1227">
        <v>6.8887599999999998E-3</v>
      </c>
      <c r="S1227">
        <v>-3.010818</v>
      </c>
      <c r="T1227">
        <v>-0.25045309999999998</v>
      </c>
      <c r="U1227">
        <v>0.1961975</v>
      </c>
      <c r="V1227">
        <v>4.8620480000000001E-2</v>
      </c>
      <c r="W1227">
        <v>5.5042870000000001E-2</v>
      </c>
      <c r="X1227">
        <v>0.99729950000000001</v>
      </c>
      <c r="Y1227">
        <v>0.1059565</v>
      </c>
      <c r="Z1227">
        <v>7.844541E-3</v>
      </c>
      <c r="AA1227">
        <v>0.9943398</v>
      </c>
      <c r="AB1227">
        <v>29</v>
      </c>
      <c r="AC1227">
        <v>-0.51529999999999598</v>
      </c>
      <c r="AD1227">
        <v>-6.7293000000000006E-2</v>
      </c>
      <c r="AE1227">
        <v>6.2999999999988093E-2</v>
      </c>
      <c r="AF1227">
        <v>8.2978582349656702E-2</v>
      </c>
      <c r="AG1227">
        <v>-6.7293000000000006E-2</v>
      </c>
      <c r="AH1227">
        <v>0.50376999153820101</v>
      </c>
      <c r="AI1227">
        <v>97.508465146768202</v>
      </c>
      <c r="AJ1227">
        <v>80.6465001651748</v>
      </c>
      <c r="AK1227">
        <v>0.51497378316974396</v>
      </c>
    </row>
    <row r="1228" spans="1:37" x14ac:dyDescent="0.2">
      <c r="A1228" t="str">
        <f>"20200111153425458"</f>
        <v>20200111153425458</v>
      </c>
      <c r="B1228" t="str">
        <f>"1578728065447396"</f>
        <v>1578728065447396</v>
      </c>
      <c r="C1228" t="s">
        <v>37</v>
      </c>
      <c r="D1228">
        <v>5.0341519999999997</v>
      </c>
      <c r="E1228">
        <v>0.5184607</v>
      </c>
      <c r="F1228" t="s">
        <v>40</v>
      </c>
      <c r="G1228">
        <v>-214.0472</v>
      </c>
      <c r="H1228">
        <v>1.0396570000000001</v>
      </c>
      <c r="I1228">
        <v>284.46019999999999</v>
      </c>
      <c r="J1228">
        <v>-213.57060000000001</v>
      </c>
      <c r="K1228">
        <v>1.1046199999999999</v>
      </c>
      <c r="L1228">
        <v>284.39710000000002</v>
      </c>
      <c r="M1228">
        <v>-0.99901819999999897</v>
      </c>
      <c r="N1228">
        <v>0</v>
      </c>
      <c r="O1228">
        <v>-4.1362219999999998E-2</v>
      </c>
      <c r="P1228">
        <v>-0.99918899999999999</v>
      </c>
      <c r="Q1228">
        <v>3.914252E-2</v>
      </c>
      <c r="R1228">
        <v>9.4537259999999904E-3</v>
      </c>
      <c r="S1228">
        <v>-3.0107879999999998</v>
      </c>
      <c r="T1228">
        <v>-0.24911620000000001</v>
      </c>
      <c r="U1228">
        <v>0.199218799999999</v>
      </c>
      <c r="V1228">
        <v>5.0880559999999998E-2</v>
      </c>
      <c r="W1228">
        <v>5.4880999999999902E-2</v>
      </c>
      <c r="X1228">
        <v>0.99719570000000002</v>
      </c>
      <c r="Y1228">
        <v>0.1067404</v>
      </c>
      <c r="Z1228">
        <v>7.8172659999999998E-3</v>
      </c>
      <c r="AA1228">
        <v>0.99425620000000003</v>
      </c>
      <c r="AB1228">
        <v>29</v>
      </c>
      <c r="AC1228">
        <v>-0.47659999999998998</v>
      </c>
      <c r="AD1228">
        <v>-6.4963000000000104E-2</v>
      </c>
      <c r="AE1228">
        <v>6.3099999999963005E-2</v>
      </c>
      <c r="AF1228">
        <v>8.1277652923306007E-2</v>
      </c>
      <c r="AG1228">
        <v>-6.4963000000000104E-2</v>
      </c>
      <c r="AH1228">
        <v>0.465089666428318</v>
      </c>
      <c r="AI1228">
        <v>97.834317074555699</v>
      </c>
      <c r="AJ1228">
        <v>80.087266826523305</v>
      </c>
      <c r="AK1228">
        <v>0.476586451813441</v>
      </c>
    </row>
    <row r="1229" spans="1:37" x14ac:dyDescent="0.2">
      <c r="A1229" t="str">
        <f>"20200111153425481"</f>
        <v>20200111153425481</v>
      </c>
      <c r="B1229" t="str">
        <f>"1578728065477653"</f>
        <v>1578728065477653</v>
      </c>
      <c r="C1229" t="s">
        <v>37</v>
      </c>
      <c r="D1229">
        <v>5.0350159999999997</v>
      </c>
      <c r="E1229">
        <v>0.51766859999999904</v>
      </c>
      <c r="F1229" t="s">
        <v>40</v>
      </c>
      <c r="G1229">
        <v>-214.30520000000001</v>
      </c>
      <c r="H1229">
        <v>1.036969</v>
      </c>
      <c r="I1229">
        <v>284.44009999999997</v>
      </c>
      <c r="J1229">
        <v>-213.8553</v>
      </c>
      <c r="K1229">
        <v>1.1051610000000001</v>
      </c>
      <c r="L1229">
        <v>284.3854</v>
      </c>
      <c r="M1229">
        <v>-0.99900509999999998</v>
      </c>
      <c r="N1229">
        <v>0</v>
      </c>
      <c r="O1229">
        <v>-4.172331E-2</v>
      </c>
      <c r="P1229">
        <v>-0.99917330000000004</v>
      </c>
      <c r="Q1229">
        <v>3.9241369999999998E-2</v>
      </c>
      <c r="R1229">
        <v>1.0606279999999999E-2</v>
      </c>
      <c r="S1229">
        <v>-3.0116269999999998</v>
      </c>
      <c r="T1229">
        <v>-0.27753259999999902</v>
      </c>
      <c r="U1229">
        <v>0.1755371</v>
      </c>
      <c r="V1229">
        <v>5.232208E-2</v>
      </c>
      <c r="W1229">
        <v>5.4919080000000002E-2</v>
      </c>
      <c r="X1229">
        <v>0.99711899999999998</v>
      </c>
      <c r="Y1229">
        <v>9.9199410000000002E-2</v>
      </c>
      <c r="Z1229">
        <v>8.3916890000000008E-3</v>
      </c>
      <c r="AA1229">
        <v>0.99503220000000003</v>
      </c>
      <c r="AB1229">
        <v>29</v>
      </c>
      <c r="AC1229">
        <v>-0.44990000000001301</v>
      </c>
      <c r="AD1229">
        <v>-6.8192000000000003E-2</v>
      </c>
      <c r="AE1229">
        <v>5.4699999999968399E-2</v>
      </c>
      <c r="AF1229">
        <v>7.1800491571707994E-2</v>
      </c>
      <c r="AG1229">
        <v>-6.8192000000000003E-2</v>
      </c>
      <c r="AH1229">
        <v>0.43732487748733101</v>
      </c>
      <c r="AI1229">
        <v>98.747486850378493</v>
      </c>
      <c r="AJ1229">
        <v>80.676295340576303</v>
      </c>
      <c r="AK1229">
        <v>0.44839548160440701</v>
      </c>
    </row>
    <row r="1230" spans="1:37" x14ac:dyDescent="0.2">
      <c r="A1230" t="str">
        <f>"20200111153425503"</f>
        <v>20200111153425503</v>
      </c>
      <c r="B1230" t="str">
        <f>"1578728065497174"</f>
        <v>1578728065497174</v>
      </c>
      <c r="C1230" t="s">
        <v>37</v>
      </c>
      <c r="D1230">
        <v>5.0727169999999999</v>
      </c>
      <c r="E1230">
        <v>0.51752159999999903</v>
      </c>
      <c r="F1230" t="s">
        <v>40</v>
      </c>
      <c r="G1230">
        <v>-214.81479999999999</v>
      </c>
      <c r="H1230">
        <v>1.0180279999999999</v>
      </c>
      <c r="I1230">
        <v>284.44040000000001</v>
      </c>
      <c r="J1230">
        <v>-214.1378</v>
      </c>
      <c r="K1230">
        <v>1.105585</v>
      </c>
      <c r="L1230">
        <v>284.3732</v>
      </c>
      <c r="M1230">
        <v>-0.99897409999999998</v>
      </c>
      <c r="N1230">
        <v>0</v>
      </c>
      <c r="O1230">
        <v>-4.2507400000000001E-2</v>
      </c>
      <c r="P1230">
        <v>-0.99912999999999996</v>
      </c>
      <c r="Q1230">
        <v>4.0394619999999999E-2</v>
      </c>
      <c r="R1230">
        <v>1.0382840000000001E-2</v>
      </c>
      <c r="S1230">
        <v>-3.0113979999999998</v>
      </c>
      <c r="T1230">
        <v>-0.27374480000000001</v>
      </c>
      <c r="U1230">
        <v>0.17184449999999901</v>
      </c>
      <c r="V1230">
        <v>5.2825560000000001E-2</v>
      </c>
      <c r="W1230">
        <v>5.5998890000000003E-2</v>
      </c>
      <c r="X1230">
        <v>0.99703240000000004</v>
      </c>
      <c r="Y1230">
        <v>9.8783060000000006E-2</v>
      </c>
      <c r="Z1230">
        <v>8.3307199999999998E-3</v>
      </c>
      <c r="AA1230">
        <v>0.99507409999999996</v>
      </c>
      <c r="AB1230">
        <v>29</v>
      </c>
      <c r="AC1230">
        <v>-0.67699999999999205</v>
      </c>
      <c r="AD1230">
        <v>-8.7556999999999802E-2</v>
      </c>
      <c r="AE1230">
        <v>6.7200000000013901E-2</v>
      </c>
      <c r="AF1230">
        <v>9.4357398081311494E-2</v>
      </c>
      <c r="AG1230">
        <v>-8.7556999999999802E-2</v>
      </c>
      <c r="AH1230">
        <v>0.66255698371046001</v>
      </c>
      <c r="AI1230">
        <v>97.4536763263404</v>
      </c>
      <c r="AJ1230">
        <v>81.894780937828003</v>
      </c>
      <c r="AK1230">
        <v>0.67494540778138301</v>
      </c>
    </row>
    <row r="1231" spans="1:37" x14ac:dyDescent="0.2">
      <c r="A1231" t="str">
        <f>"20200111153425514"</f>
        <v>20200111153425514</v>
      </c>
      <c r="B1231" t="str">
        <f>"1578728065507910"</f>
        <v>1578728065507910</v>
      </c>
      <c r="C1231" t="s">
        <v>37</v>
      </c>
      <c r="D1231">
        <v>5.0888939999999998</v>
      </c>
      <c r="E1231">
        <v>0.51713580000000003</v>
      </c>
      <c r="F1231" t="s">
        <v>40</v>
      </c>
      <c r="G1231">
        <v>-215.0745</v>
      </c>
      <c r="H1231">
        <v>1.020948</v>
      </c>
      <c r="I1231">
        <v>284.42630000000003</v>
      </c>
      <c r="J1231">
        <v>-214.31450000000001</v>
      </c>
      <c r="K1231">
        <v>1.105785</v>
      </c>
      <c r="L1231">
        <v>284.36529999999999</v>
      </c>
      <c r="M1231">
        <v>-0.998947899999999</v>
      </c>
      <c r="N1231">
        <v>0</v>
      </c>
      <c r="O1231">
        <v>-4.3147449999999997E-2</v>
      </c>
      <c r="P1231">
        <v>-0.99908019999999997</v>
      </c>
      <c r="Q1231">
        <v>4.1819929999999998E-2</v>
      </c>
      <c r="R1231">
        <v>9.4946979999999993E-3</v>
      </c>
      <c r="S1231">
        <v>-3.011841</v>
      </c>
      <c r="T1231">
        <v>-0.27230260000000001</v>
      </c>
      <c r="U1231">
        <v>0.17001340000000001</v>
      </c>
      <c r="V1231">
        <v>5.2547419999999997E-2</v>
      </c>
      <c r="W1231">
        <v>5.7371400000000003E-2</v>
      </c>
      <c r="X1231">
        <v>0.99696899999999999</v>
      </c>
      <c r="Y1231">
        <v>9.8812720000000007E-2</v>
      </c>
      <c r="Z1231">
        <v>8.3449649999999993E-3</v>
      </c>
      <c r="AA1231">
        <v>0.99507109999999999</v>
      </c>
      <c r="AB1231">
        <v>29</v>
      </c>
      <c r="AC1231">
        <v>-0.75999999999999002</v>
      </c>
      <c r="AD1231">
        <v>-8.4836999999999996E-2</v>
      </c>
      <c r="AE1231">
        <v>6.1000000000035401E-2</v>
      </c>
      <c r="AF1231">
        <v>9.2592809870260001E-2</v>
      </c>
      <c r="AG1231">
        <v>-8.4836999999999996E-2</v>
      </c>
      <c r="AH1231">
        <v>0.747406129151722</v>
      </c>
      <c r="AI1231">
        <v>96.427127855322496</v>
      </c>
      <c r="AJ1231">
        <v>82.937863892151995</v>
      </c>
      <c r="AK1231">
        <v>0.75788301663398605</v>
      </c>
    </row>
    <row r="1232" spans="1:37" x14ac:dyDescent="0.2">
      <c r="A1232" t="str">
        <f>"20200111153425528"</f>
        <v>20200111153425528</v>
      </c>
      <c r="B1232" t="str">
        <f>"1578728065517669"</f>
        <v>1578728065517669</v>
      </c>
      <c r="C1232" t="s">
        <v>37</v>
      </c>
      <c r="D1232">
        <v>5.0883059999999896</v>
      </c>
      <c r="E1232">
        <v>0.51691309999999902</v>
      </c>
      <c r="F1232" t="s">
        <v>40</v>
      </c>
      <c r="G1232">
        <v>-215.08179999999999</v>
      </c>
      <c r="H1232">
        <v>1.037452</v>
      </c>
      <c r="I1232">
        <v>284.4074</v>
      </c>
      <c r="J1232">
        <v>-214.4736</v>
      </c>
      <c r="K1232">
        <v>1.1059289999999999</v>
      </c>
      <c r="L1232">
        <v>284.35789999999997</v>
      </c>
      <c r="M1232">
        <v>-0.99892069999999999</v>
      </c>
      <c r="N1232">
        <v>0</v>
      </c>
      <c r="O1232">
        <v>-4.3796040000000001E-2</v>
      </c>
      <c r="P1232">
        <v>-0.99905679999999997</v>
      </c>
      <c r="Q1232">
        <v>4.2632990000000003E-2</v>
      </c>
      <c r="R1232">
        <v>8.2808299999999994E-3</v>
      </c>
      <c r="S1232">
        <v>-3.0124360000000001</v>
      </c>
      <c r="T1232">
        <v>-0.26848909999999998</v>
      </c>
      <c r="U1232">
        <v>0.1646118</v>
      </c>
      <c r="V1232">
        <v>5.1961430000000003E-2</v>
      </c>
      <c r="W1232">
        <v>5.8135449999999998E-2</v>
      </c>
      <c r="X1232">
        <v>0.99695549999999999</v>
      </c>
      <c r="Y1232">
        <v>9.7686919999999997E-2</v>
      </c>
      <c r="Z1232">
        <v>8.2349260000000001E-3</v>
      </c>
      <c r="AA1232">
        <v>0.99518309999999999</v>
      </c>
      <c r="AB1232">
        <v>29</v>
      </c>
      <c r="AC1232">
        <v>-0.60819999999998198</v>
      </c>
      <c r="AD1232">
        <v>-6.8477000000000093E-2</v>
      </c>
      <c r="AE1232">
        <v>4.9500000000023102E-2</v>
      </c>
      <c r="AF1232">
        <v>7.5146117389391795E-2</v>
      </c>
      <c r="AG1232">
        <v>-6.8477000000000093E-2</v>
      </c>
      <c r="AH1232">
        <v>0.59791853391685201</v>
      </c>
      <c r="AI1232">
        <v>96.482811329853604</v>
      </c>
      <c r="AJ1232">
        <v>82.836651925900298</v>
      </c>
      <c r="AK1232">
        <v>0.60650029817715501</v>
      </c>
    </row>
    <row r="1233" spans="1:37" x14ac:dyDescent="0.2">
      <c r="A1233" t="str">
        <f>"20200111153425547"</f>
        <v>20200111153425547</v>
      </c>
      <c r="B1233" t="str">
        <f>"1578728065537188"</f>
        <v>1578728065537188</v>
      </c>
      <c r="C1233" t="s">
        <v>37</v>
      </c>
      <c r="D1233">
        <v>5.0858239999999997</v>
      </c>
      <c r="E1233">
        <v>0.51650989999999997</v>
      </c>
      <c r="F1233" t="s">
        <v>40</v>
      </c>
      <c r="G1233">
        <v>-215.33619999999999</v>
      </c>
      <c r="H1233">
        <v>1.0296099999999999</v>
      </c>
      <c r="I1233">
        <v>284.40379999999999</v>
      </c>
      <c r="J1233">
        <v>-214.7244</v>
      </c>
      <c r="K1233">
        <v>1.1060989999999999</v>
      </c>
      <c r="L1233">
        <v>284.346</v>
      </c>
      <c r="M1233">
        <v>-0.99887349999999997</v>
      </c>
      <c r="N1233">
        <v>0</v>
      </c>
      <c r="O1233">
        <v>-4.4891439999999998E-2</v>
      </c>
      <c r="P1233">
        <v>-0.999054</v>
      </c>
      <c r="Q1233">
        <v>4.3122689999999998E-2</v>
      </c>
      <c r="R1233">
        <v>5.6236659999999898E-3</v>
      </c>
      <c r="S1233">
        <v>-3.01289399999999</v>
      </c>
      <c r="T1233">
        <v>-0.26685300000000001</v>
      </c>
      <c r="U1233">
        <v>0.1595154</v>
      </c>
      <c r="V1233">
        <v>5.0376249999999997E-2</v>
      </c>
      <c r="W1233">
        <v>5.8546729999999998E-2</v>
      </c>
      <c r="X1233">
        <v>0.99701280000000003</v>
      </c>
      <c r="Y1233">
        <v>9.7096290000000002E-2</v>
      </c>
      <c r="Z1233">
        <v>8.2547030000000004E-3</v>
      </c>
      <c r="AA1233">
        <v>0.99524069999999998</v>
      </c>
      <c r="AB1233">
        <v>29</v>
      </c>
      <c r="AC1233">
        <v>-0.61179999999998802</v>
      </c>
      <c r="AD1233">
        <v>-7.6488999999999793E-2</v>
      </c>
      <c r="AE1233">
        <v>5.7799999999986001E-2</v>
      </c>
      <c r="AF1233">
        <v>8.3909583105842706E-2</v>
      </c>
      <c r="AG1233">
        <v>-7.6488999999999793E-2</v>
      </c>
      <c r="AH1233">
        <v>0.59930337577492399</v>
      </c>
      <c r="AI1233">
        <v>97.2038114344641</v>
      </c>
      <c r="AJ1233">
        <v>82.029722882807704</v>
      </c>
      <c r="AK1233">
        <v>0.60996386898997301</v>
      </c>
    </row>
    <row r="1234" spans="1:37" x14ac:dyDescent="0.2">
      <c r="A1234" t="str">
        <f>"20200111153425561"</f>
        <v>20200111153425561</v>
      </c>
      <c r="B1234" t="str">
        <f>"1578728065557685"</f>
        <v>1578728065557685</v>
      </c>
      <c r="C1234" t="s">
        <v>37</v>
      </c>
      <c r="D1234">
        <v>5.1310440000000002</v>
      </c>
      <c r="E1234">
        <v>0.51621819999999996</v>
      </c>
      <c r="F1234" t="s">
        <v>40</v>
      </c>
      <c r="G1234">
        <v>-215.5932</v>
      </c>
      <c r="H1234">
        <v>1.0286409999999999</v>
      </c>
      <c r="I1234">
        <v>284.38900000000001</v>
      </c>
      <c r="J1234">
        <v>-214.90020000000001</v>
      </c>
      <c r="K1234">
        <v>1.106185</v>
      </c>
      <c r="L1234">
        <v>284.33749999999998</v>
      </c>
      <c r="M1234">
        <v>-0.99883849999999996</v>
      </c>
      <c r="N1234">
        <v>0</v>
      </c>
      <c r="O1234">
        <v>-4.568908E-2</v>
      </c>
      <c r="P1234">
        <v>-0.99908580000000002</v>
      </c>
      <c r="Q1234">
        <v>4.2583349999999999E-2</v>
      </c>
      <c r="R1234">
        <v>3.8269020000000001E-3</v>
      </c>
      <c r="S1234">
        <v>-3.0135959999999899</v>
      </c>
      <c r="T1234">
        <v>-0.26861859999999999</v>
      </c>
      <c r="U1234">
        <v>0.1490784</v>
      </c>
      <c r="V1234">
        <v>4.9368080000000002E-2</v>
      </c>
      <c r="W1234">
        <v>5.7947409999999998E-2</v>
      </c>
      <c r="X1234">
        <v>0.99709820000000005</v>
      </c>
      <c r="Y1234">
        <v>9.4440750000000004E-2</v>
      </c>
      <c r="Z1234">
        <v>8.260692E-3</v>
      </c>
      <c r="AA1234">
        <v>0.99549619999999905</v>
      </c>
      <c r="AB1234">
        <v>29</v>
      </c>
      <c r="AC1234">
        <v>-0.69299999999998296</v>
      </c>
      <c r="AD1234">
        <v>-7.7544000000000002E-2</v>
      </c>
      <c r="AE1234">
        <v>5.15000000000327E-2</v>
      </c>
      <c r="AF1234">
        <v>8.2090261041058696E-2</v>
      </c>
      <c r="AG1234">
        <v>-7.7544000000000002E-2</v>
      </c>
      <c r="AH1234">
        <v>0.68143763235813803</v>
      </c>
      <c r="AI1234">
        <v>96.4458242394102</v>
      </c>
      <c r="AJ1234">
        <v>83.130891047007594</v>
      </c>
      <c r="AK1234">
        <v>0.69073086632034497</v>
      </c>
    </row>
    <row r="1235" spans="1:37" x14ac:dyDescent="0.2">
      <c r="A1235" t="str">
        <f>"20200111153425580"</f>
        <v>20200111153425580</v>
      </c>
      <c r="B1235" t="str">
        <f>"1578728065567445"</f>
        <v>1578728065567445</v>
      </c>
      <c r="C1235" t="s">
        <v>37</v>
      </c>
      <c r="D1235">
        <v>5.1205230000000004</v>
      </c>
      <c r="E1235">
        <v>0.50685369999999996</v>
      </c>
      <c r="F1235" t="s">
        <v>40</v>
      </c>
      <c r="G1235">
        <v>-215.84710000000001</v>
      </c>
      <c r="H1235">
        <v>1.0208979999999901</v>
      </c>
      <c r="I1235">
        <v>284.38229999999999</v>
      </c>
      <c r="J1235">
        <v>-215.13740000000001</v>
      </c>
      <c r="K1235">
        <v>1.106244</v>
      </c>
      <c r="L1235">
        <v>284.32560000000001</v>
      </c>
      <c r="M1235">
        <v>-0.99879030000000002</v>
      </c>
      <c r="N1235">
        <v>0</v>
      </c>
      <c r="O1235">
        <v>-4.6774379999999997E-2</v>
      </c>
      <c r="P1235">
        <v>-0.99915730000000003</v>
      </c>
      <c r="Q1235">
        <v>4.1023179999999999E-2</v>
      </c>
      <c r="R1235">
        <v>1.445507E-3</v>
      </c>
      <c r="S1235">
        <v>-3.0137939999999999</v>
      </c>
      <c r="T1235">
        <v>-0.2717542</v>
      </c>
      <c r="U1235">
        <v>0.14163210000000001</v>
      </c>
      <c r="V1235">
        <v>4.8069269999999997E-2</v>
      </c>
      <c r="W1235">
        <v>5.626739E-2</v>
      </c>
      <c r="X1235">
        <v>0.99725789999999903</v>
      </c>
      <c r="Y1235">
        <v>9.3053330000000004E-2</v>
      </c>
      <c r="Z1235">
        <v>8.3918180000000005E-3</v>
      </c>
      <c r="AA1235">
        <v>0.99562569999999995</v>
      </c>
      <c r="AB1235">
        <v>29</v>
      </c>
      <c r="AC1235">
        <v>-0.709699999999997</v>
      </c>
      <c r="AD1235">
        <v>-8.5346000000000102E-2</v>
      </c>
      <c r="AE1235">
        <v>5.66999999999779E-2</v>
      </c>
      <c r="AF1235">
        <v>8.8564856240956502E-2</v>
      </c>
      <c r="AG1235">
        <v>-8.5346000000000102E-2</v>
      </c>
      <c r="AH1235">
        <v>0.69626536964171104</v>
      </c>
      <c r="AI1235">
        <v>96.932962481861395</v>
      </c>
      <c r="AJ1235">
        <v>82.750913967360404</v>
      </c>
      <c r="AK1235">
        <v>0.70704535812017799</v>
      </c>
    </row>
    <row r="1236" spans="1:37" x14ac:dyDescent="0.2">
      <c r="A1236" t="str">
        <f>"20200111153425592"</f>
        <v>20200111153425592</v>
      </c>
      <c r="B1236" t="str">
        <f>"1578728065587941"</f>
        <v>1578728065587941</v>
      </c>
      <c r="C1236" t="s">
        <v>37</v>
      </c>
      <c r="D1236">
        <v>5.0592370000000004</v>
      </c>
      <c r="E1236">
        <v>0.50356210000000001</v>
      </c>
      <c r="F1236" t="s">
        <v>40</v>
      </c>
      <c r="G1236">
        <v>-216.10040000000001</v>
      </c>
      <c r="H1236">
        <v>1.0154379999999901</v>
      </c>
      <c r="I1236">
        <v>284.3451</v>
      </c>
      <c r="J1236">
        <v>-215.30699999999999</v>
      </c>
      <c r="K1236">
        <v>1.1062590000000001</v>
      </c>
      <c r="L1236">
        <v>284.31700000000001</v>
      </c>
      <c r="M1236">
        <v>-0.99875650000000005</v>
      </c>
      <c r="N1236">
        <v>0</v>
      </c>
      <c r="O1236">
        <v>-4.7522219999999997E-2</v>
      </c>
      <c r="P1236">
        <v>-0.99918119999999999</v>
      </c>
      <c r="Q1236">
        <v>4.0461860000000002E-2</v>
      </c>
      <c r="R1236">
        <v>2.0484609999999999E-4</v>
      </c>
      <c r="S1236">
        <v>-3.01412999999999</v>
      </c>
      <c r="T1236">
        <v>-0.2843271</v>
      </c>
      <c r="U1236">
        <v>6.0485839999999999E-2</v>
      </c>
      <c r="V1236">
        <v>4.7576210000000001E-2</v>
      </c>
      <c r="W1236">
        <v>5.5608009999999999E-2</v>
      </c>
      <c r="X1236">
        <v>0.9973185</v>
      </c>
      <c r="Y1236">
        <v>6.7050319999999997E-2</v>
      </c>
      <c r="Z1236">
        <v>7.6273909999999999E-3</v>
      </c>
      <c r="AA1236">
        <v>0.99772039999999995</v>
      </c>
      <c r="AB1236">
        <v>29</v>
      </c>
      <c r="AC1236">
        <v>-0.793399999999991</v>
      </c>
      <c r="AD1236">
        <v>-9.0821000000000193E-2</v>
      </c>
      <c r="AE1236">
        <v>2.80999999999949E-2</v>
      </c>
      <c r="AF1236">
        <v>6.4926949999262296E-2</v>
      </c>
      <c r="AG1236">
        <v>-9.0821000000000193E-2</v>
      </c>
      <c r="AH1236">
        <v>0.78094752604075901</v>
      </c>
      <c r="AI1236">
        <v>96.610861378409297</v>
      </c>
      <c r="AJ1236">
        <v>85.247434128499606</v>
      </c>
      <c r="AK1236">
        <v>0.78888719174948496</v>
      </c>
    </row>
    <row r="1237" spans="1:37" x14ac:dyDescent="0.2">
      <c r="A1237" t="str">
        <f>"20200111153425606"</f>
        <v>20200111153425606</v>
      </c>
      <c r="B1237" t="str">
        <f>"1578728065597701"</f>
        <v>1578728065597701</v>
      </c>
      <c r="C1237" t="s">
        <v>37</v>
      </c>
      <c r="D1237">
        <v>5.8362419999999897</v>
      </c>
      <c r="E1237">
        <v>0.50356210000000001</v>
      </c>
      <c r="F1237" t="s">
        <v>40</v>
      </c>
      <c r="G1237">
        <v>-216.11160000000001</v>
      </c>
      <c r="H1237">
        <v>1.0398369999999999</v>
      </c>
      <c r="I1237">
        <v>284.32530000000003</v>
      </c>
      <c r="J1237">
        <v>-215.4846</v>
      </c>
      <c r="K1237">
        <v>1.1062559999999999</v>
      </c>
      <c r="L1237">
        <v>284.30779999999999</v>
      </c>
      <c r="M1237">
        <v>-0.99872169999999905</v>
      </c>
      <c r="N1237">
        <v>0</v>
      </c>
      <c r="O1237">
        <v>-4.8279290000000002E-2</v>
      </c>
      <c r="P1237">
        <v>-0.99919639999999998</v>
      </c>
      <c r="Q1237">
        <v>4.0069189999999998E-2</v>
      </c>
      <c r="R1237">
        <v>-1.1730860000000001E-3</v>
      </c>
      <c r="S1237">
        <v>-3.012543</v>
      </c>
      <c r="T1237">
        <v>-0.248810799999999</v>
      </c>
      <c r="U1237">
        <v>3.0639650000000001E-2</v>
      </c>
      <c r="V1237">
        <v>4.6956350000000001E-2</v>
      </c>
      <c r="W1237">
        <v>5.5113809999999999E-2</v>
      </c>
      <c r="X1237">
        <v>0.99737540000000002</v>
      </c>
      <c r="Y1237">
        <v>5.8078449999999997E-2</v>
      </c>
      <c r="Z1237">
        <v>6.3743709999999898E-3</v>
      </c>
      <c r="AA1237">
        <v>0.998291699999999</v>
      </c>
      <c r="AB1237">
        <v>29</v>
      </c>
      <c r="AC1237">
        <v>-0.62700000000000899</v>
      </c>
      <c r="AD1237">
        <v>-6.6418999999999701E-2</v>
      </c>
      <c r="AE1237">
        <v>1.75000000000409E-2</v>
      </c>
      <c r="AF1237">
        <v>4.7224578666052397E-2</v>
      </c>
      <c r="AG1237">
        <v>-6.6418999999999701E-2</v>
      </c>
      <c r="AH1237">
        <v>0.61848874567131595</v>
      </c>
      <c r="AI1237">
        <v>96.1118014108865</v>
      </c>
      <c r="AJ1237">
        <v>85.633664924166695</v>
      </c>
      <c r="AK1237">
        <v>0.62383489234994205</v>
      </c>
    </row>
    <row r="1238" spans="1:37" x14ac:dyDescent="0.2">
      <c r="A1238" t="str">
        <f>"20200111153425626"</f>
        <v>20200111153425626</v>
      </c>
      <c r="B1238" t="str">
        <f>"1578728065617221"</f>
        <v>1578728065617221</v>
      </c>
      <c r="C1238" t="s">
        <v>37</v>
      </c>
      <c r="D1238">
        <v>5.0817319999999997</v>
      </c>
      <c r="E1238">
        <v>0.5003803</v>
      </c>
      <c r="F1238" t="s">
        <v>40</v>
      </c>
      <c r="G1238">
        <v>-216.3655</v>
      </c>
      <c r="H1238">
        <v>1.033261</v>
      </c>
      <c r="I1238">
        <v>284.3159</v>
      </c>
      <c r="J1238">
        <v>-215.73089999999999</v>
      </c>
      <c r="K1238">
        <v>1.1062350000000001</v>
      </c>
      <c r="L1238">
        <v>284.29480000000001</v>
      </c>
      <c r="M1238">
        <v>-0.998675599999999</v>
      </c>
      <c r="N1238">
        <v>0</v>
      </c>
      <c r="O1238">
        <v>-4.9263109999999999E-2</v>
      </c>
      <c r="P1238">
        <v>-0.99918280000000004</v>
      </c>
      <c r="Q1238">
        <v>4.0294450000000002E-2</v>
      </c>
      <c r="R1238">
        <v>-3.1987879999999902E-3</v>
      </c>
      <c r="S1238">
        <v>-3.0124659999999999</v>
      </c>
      <c r="T1238">
        <v>-0.24996179999999901</v>
      </c>
      <c r="U1238">
        <v>2.6885989999999999E-2</v>
      </c>
      <c r="V1238">
        <v>4.591717E-2</v>
      </c>
      <c r="W1238">
        <v>5.5200470000000001E-2</v>
      </c>
      <c r="X1238">
        <v>0.9974189</v>
      </c>
      <c r="Y1238">
        <v>5.78124E-2</v>
      </c>
      <c r="Z1238">
        <v>6.4743379999999996E-3</v>
      </c>
      <c r="AA1238">
        <v>0.99830649999999999</v>
      </c>
      <c r="AB1238">
        <v>29</v>
      </c>
      <c r="AC1238">
        <v>-0.63460000000000505</v>
      </c>
      <c r="AD1238">
        <v>-7.2974000000000094E-2</v>
      </c>
      <c r="AE1238">
        <v>2.1099999999989901E-2</v>
      </c>
      <c r="AF1238">
        <v>5.1657860258136297E-2</v>
      </c>
      <c r="AG1238">
        <v>-7.2974000000000094E-2</v>
      </c>
      <c r="AH1238">
        <v>0.62454045946081604</v>
      </c>
      <c r="AI1238">
        <v>96.6419882819945</v>
      </c>
      <c r="AJ1238">
        <v>85.271635133186194</v>
      </c>
      <c r="AK1238">
        <v>0.63090769903843802</v>
      </c>
    </row>
    <row r="1239" spans="1:37" x14ac:dyDescent="0.2">
      <c r="A1239" t="str">
        <f>"20200111153425639"</f>
        <v>20200111153425639</v>
      </c>
      <c r="B1239" t="str">
        <f>"1578728065627957"</f>
        <v>1578728065627957</v>
      </c>
      <c r="C1239" t="s">
        <v>37</v>
      </c>
      <c r="D1239">
        <v>5.0919860000000003</v>
      </c>
      <c r="E1239">
        <v>0.5000251</v>
      </c>
      <c r="F1239" t="s">
        <v>52</v>
      </c>
      <c r="G1239">
        <v>-245.43860000000001</v>
      </c>
      <c r="H1239" s="1">
        <v>1.3573849999999999E-6</v>
      </c>
      <c r="I1239">
        <v>284.2484</v>
      </c>
      <c r="J1239">
        <v>-215.9083</v>
      </c>
      <c r="K1239">
        <v>1.106203</v>
      </c>
      <c r="L1239">
        <v>284.28539999999998</v>
      </c>
      <c r="M1239">
        <v>-0.99864439999999999</v>
      </c>
      <c r="N1239">
        <v>0</v>
      </c>
      <c r="O1239">
        <v>-4.9922000000000001E-2</v>
      </c>
      <c r="P1239">
        <v>-0.99916050000000001</v>
      </c>
      <c r="Q1239">
        <v>4.0730349999999999E-2</v>
      </c>
      <c r="R1239">
        <v>-4.4237920000000002E-3</v>
      </c>
      <c r="S1239">
        <v>-3.0069889999999999</v>
      </c>
      <c r="T1239">
        <v>-0.11197169999999999</v>
      </c>
      <c r="U1239">
        <v>-4.699707E-3</v>
      </c>
      <c r="V1239">
        <v>4.535438E-2</v>
      </c>
      <c r="W1239">
        <v>5.5537549999999998E-2</v>
      </c>
      <c r="X1239">
        <v>0.99742600000000003</v>
      </c>
      <c r="Y1239">
        <v>4.8298340000000002E-2</v>
      </c>
      <c r="Z1239">
        <v>2.7568479999999901E-3</v>
      </c>
      <c r="AA1239">
        <v>0.99882909999999903</v>
      </c>
      <c r="AB1239">
        <v>29</v>
      </c>
      <c r="AC1239">
        <v>-29.5303</v>
      </c>
      <c r="AD1239">
        <v>-1.1062016426150001</v>
      </c>
      <c r="AE1239">
        <v>-3.6999999999977697E-2</v>
      </c>
      <c r="AF1239">
        <v>1.4354036574701601</v>
      </c>
      <c r="AG1239">
        <v>-1.1062016426150001</v>
      </c>
      <c r="AH1239">
        <v>29.453987523294501</v>
      </c>
      <c r="AI1239">
        <v>92.148296088798901</v>
      </c>
      <c r="AJ1239">
        <v>87.209968399651004</v>
      </c>
      <c r="AK1239">
        <v>29.509683948771698</v>
      </c>
    </row>
    <row r="1240" spans="1:37" x14ac:dyDescent="0.2">
      <c r="A1240" t="str">
        <f>"20200111153425658"</f>
        <v>20200111153425658</v>
      </c>
      <c r="B1240" t="str">
        <f>"1578728065647476"</f>
        <v>1578728065647476</v>
      </c>
      <c r="C1240" t="s">
        <v>37</v>
      </c>
      <c r="D1240">
        <v>5.1658799999999996</v>
      </c>
      <c r="E1240">
        <v>0.49981449999999999</v>
      </c>
      <c r="F1240" t="s">
        <v>52</v>
      </c>
      <c r="G1240">
        <v>-245.97470000000001</v>
      </c>
      <c r="H1240" s="1">
        <v>1.6426359999999899E-6</v>
      </c>
      <c r="I1240">
        <v>284.1755</v>
      </c>
      <c r="J1240">
        <v>-216.15</v>
      </c>
      <c r="K1240">
        <v>1.1061350000000001</v>
      </c>
      <c r="L1240">
        <v>284.2724</v>
      </c>
      <c r="M1240">
        <v>-0.99860629999999995</v>
      </c>
      <c r="N1240">
        <v>0</v>
      </c>
      <c r="O1240">
        <v>-5.0712029999999998E-2</v>
      </c>
      <c r="P1240">
        <v>-0.99910909999999997</v>
      </c>
      <c r="Q1240">
        <v>4.1761119999999999E-2</v>
      </c>
      <c r="R1240">
        <v>-6.1014959999999997E-3</v>
      </c>
      <c r="S1240">
        <v>-3.0069729999999999</v>
      </c>
      <c r="T1240">
        <v>-0.11063249999999999</v>
      </c>
      <c r="U1240">
        <v>-1.0986330000000001E-2</v>
      </c>
      <c r="V1240">
        <v>4.4473770000000003E-2</v>
      </c>
      <c r="W1240">
        <v>5.6435920000000001E-2</v>
      </c>
      <c r="X1240">
        <v>0.99741519999999995</v>
      </c>
      <c r="Y1240">
        <v>4.7002130000000003E-2</v>
      </c>
      <c r="Z1240">
        <v>2.72907099999999E-3</v>
      </c>
      <c r="AA1240">
        <v>0.99889110000000003</v>
      </c>
      <c r="AB1240">
        <v>29</v>
      </c>
      <c r="AC1240">
        <v>-29.8247</v>
      </c>
      <c r="AD1240">
        <v>-1.106133357364</v>
      </c>
      <c r="AE1240">
        <v>-9.6900000000005093E-2</v>
      </c>
      <c r="AF1240">
        <v>1.4139126306149801</v>
      </c>
      <c r="AG1240">
        <v>-1.106133357364</v>
      </c>
      <c r="AH1240">
        <v>29.750310055424801</v>
      </c>
      <c r="AI1240">
        <v>92.126910191450904</v>
      </c>
      <c r="AJ1240">
        <v>87.279009366527902</v>
      </c>
      <c r="AK1240">
        <v>29.804422965814901</v>
      </c>
    </row>
    <row r="1241" spans="1:37" x14ac:dyDescent="0.2">
      <c r="A1241" t="str">
        <f>"20200111153425671"</f>
        <v>20200111153425671</v>
      </c>
      <c r="B1241" t="str">
        <f>"1578728065667973"</f>
        <v>1578728065667973</v>
      </c>
      <c r="C1241" t="s">
        <v>37</v>
      </c>
      <c r="D1241">
        <v>5.0795190000000003</v>
      </c>
      <c r="E1241">
        <v>0.49981700000000001</v>
      </c>
      <c r="F1241" t="s">
        <v>52</v>
      </c>
      <c r="G1241">
        <v>-247.1173</v>
      </c>
      <c r="H1241" s="1">
        <v>2.250667E-6</v>
      </c>
      <c r="I1241">
        <v>284.09129999999999</v>
      </c>
      <c r="J1241">
        <v>-216.31790000000001</v>
      </c>
      <c r="K1241">
        <v>1.106077</v>
      </c>
      <c r="L1241">
        <v>284.26319999999998</v>
      </c>
      <c r="M1241">
        <v>-0.99858400000000003</v>
      </c>
      <c r="N1241">
        <v>0</v>
      </c>
      <c r="O1241">
        <v>-5.1173900000000001E-2</v>
      </c>
      <c r="P1241">
        <v>-0.9990696</v>
      </c>
      <c r="Q1241">
        <v>4.2614150000000003E-2</v>
      </c>
      <c r="R1241">
        <v>-6.6601840000000004E-3</v>
      </c>
      <c r="S1241">
        <v>-3.00707999999999</v>
      </c>
      <c r="T1241">
        <v>-0.1074111</v>
      </c>
      <c r="U1241">
        <v>-1.7578130000000001E-2</v>
      </c>
      <c r="V1241">
        <v>4.4383220000000001E-2</v>
      </c>
      <c r="W1241">
        <v>5.7201450000000001E-2</v>
      </c>
      <c r="X1241">
        <v>0.99737559999999903</v>
      </c>
      <c r="Y1241">
        <v>4.5279119999999999E-2</v>
      </c>
      <c r="Z1241">
        <v>2.63523599999999E-3</v>
      </c>
      <c r="AA1241">
        <v>0.99897089999999999</v>
      </c>
      <c r="AB1241">
        <v>29</v>
      </c>
      <c r="AC1241">
        <v>-30.799399999999899</v>
      </c>
      <c r="AD1241">
        <v>-1.1060747493330001</v>
      </c>
      <c r="AE1241">
        <v>-0.171899999999993</v>
      </c>
      <c r="AF1241">
        <v>1.40280805290356</v>
      </c>
      <c r="AG1241">
        <v>-1.1060747493330001</v>
      </c>
      <c r="AH1241">
        <v>30.728205967431901</v>
      </c>
      <c r="AI1241">
        <v>92.059352746049797</v>
      </c>
      <c r="AJ1241">
        <v>87.386140481217595</v>
      </c>
      <c r="AK1241">
        <v>30.7800895671426</v>
      </c>
    </row>
    <row r="1242" spans="1:37" x14ac:dyDescent="0.2">
      <c r="A1242" t="str">
        <f>"20200111153425686"</f>
        <v>20200111153425686</v>
      </c>
      <c r="B1242" t="str">
        <f>"1578728065677733"</f>
        <v>1578728065677733</v>
      </c>
      <c r="C1242" t="s">
        <v>37</v>
      </c>
      <c r="D1242">
        <v>5.1319589999999904</v>
      </c>
      <c r="E1242">
        <v>0.4998707</v>
      </c>
      <c r="F1242" t="s">
        <v>52</v>
      </c>
      <c r="G1242">
        <v>-248.5866</v>
      </c>
      <c r="H1242" s="1">
        <v>3.032593E-6</v>
      </c>
      <c r="I1242">
        <v>284.05560000000003</v>
      </c>
      <c r="J1242">
        <v>-216.5076</v>
      </c>
      <c r="K1242">
        <v>1.1059969999999999</v>
      </c>
      <c r="L1242">
        <v>284.25299999999999</v>
      </c>
      <c r="M1242">
        <v>-0.99856219999999996</v>
      </c>
      <c r="N1242">
        <v>0</v>
      </c>
      <c r="O1242">
        <v>-5.1621599999999997E-2</v>
      </c>
      <c r="P1242">
        <v>-0.99902309999999905</v>
      </c>
      <c r="Q1242">
        <v>4.3581830000000002E-2</v>
      </c>
      <c r="R1242">
        <v>-7.3236169999999897E-3</v>
      </c>
      <c r="S1242">
        <v>-3.00707999999999</v>
      </c>
      <c r="T1242">
        <v>-0.103073499999999</v>
      </c>
      <c r="U1242">
        <v>-1.934814E-2</v>
      </c>
      <c r="V1242">
        <v>4.4176529999999999E-2</v>
      </c>
      <c r="W1242">
        <v>5.8072609999999997E-2</v>
      </c>
      <c r="X1242">
        <v>0.99733449999999901</v>
      </c>
      <c r="Y1242">
        <v>4.5143629999999997E-2</v>
      </c>
      <c r="Z1242">
        <v>2.5418709999999998E-3</v>
      </c>
      <c r="AA1242">
        <v>0.99897719999999901</v>
      </c>
      <c r="AB1242">
        <v>29</v>
      </c>
      <c r="AC1242">
        <v>-32.079000000000001</v>
      </c>
      <c r="AD1242">
        <v>-1.1059939674069901</v>
      </c>
      <c r="AE1242">
        <v>-0.197399999999959</v>
      </c>
      <c r="AF1242">
        <v>1.4572732530941199</v>
      </c>
      <c r="AG1242">
        <v>-1.1059939674069901</v>
      </c>
      <c r="AH1242">
        <v>32.008365657999001</v>
      </c>
      <c r="AI1242">
        <v>91.9769234999237</v>
      </c>
      <c r="AJ1242">
        <v>87.393244317616507</v>
      </c>
      <c r="AK1242">
        <v>32.060604175316001</v>
      </c>
    </row>
    <row r="1243" spans="1:37" x14ac:dyDescent="0.2">
      <c r="A1243" t="str">
        <f>"20200111153425705"</f>
        <v>20200111153425705</v>
      </c>
      <c r="B1243" t="str">
        <f>"1578728065697253"</f>
        <v>1578728065697253</v>
      </c>
      <c r="C1243" t="s">
        <v>37</v>
      </c>
      <c r="D1243">
        <v>5.1013589999999898</v>
      </c>
      <c r="E1243">
        <v>0.49989869999999997</v>
      </c>
      <c r="F1243" t="s">
        <v>52</v>
      </c>
      <c r="G1243">
        <v>-249.054</v>
      </c>
      <c r="H1243" s="1">
        <v>3.2812939999999899E-6</v>
      </c>
      <c r="I1243">
        <v>284.0317</v>
      </c>
      <c r="J1243">
        <v>-216.74459999999999</v>
      </c>
      <c r="K1243">
        <v>1.105877</v>
      </c>
      <c r="L1243">
        <v>284.24009999999998</v>
      </c>
      <c r="M1243">
        <v>-0.99854200000000004</v>
      </c>
      <c r="N1243">
        <v>0</v>
      </c>
      <c r="O1243">
        <v>-5.203791E-2</v>
      </c>
      <c r="P1243">
        <v>-0.9988863</v>
      </c>
      <c r="Q1243">
        <v>4.6374529999999997E-2</v>
      </c>
      <c r="R1243">
        <v>-8.7054880000000008E-3</v>
      </c>
      <c r="S1243">
        <v>-3.0072480000000001</v>
      </c>
      <c r="T1243">
        <v>-0.10219249999999901</v>
      </c>
      <c r="U1243">
        <v>-2.0446780000000001E-2</v>
      </c>
      <c r="V1243">
        <v>4.3221089999999997E-2</v>
      </c>
      <c r="W1243">
        <v>6.0749600000000001E-2</v>
      </c>
      <c r="X1243">
        <v>0.99721680000000001</v>
      </c>
      <c r="Y1243">
        <v>4.5196170000000001E-2</v>
      </c>
      <c r="Z1243">
        <v>2.5350289999999998E-3</v>
      </c>
      <c r="AA1243">
        <v>0.9989749</v>
      </c>
      <c r="AB1243">
        <v>29</v>
      </c>
      <c r="AC1243">
        <v>-32.309399999999997</v>
      </c>
      <c r="AD1243">
        <v>-1.1058737187059999</v>
      </c>
      <c r="AE1243">
        <v>-0.20839999999998299</v>
      </c>
      <c r="AF1243">
        <v>1.4716452056618099</v>
      </c>
      <c r="AG1243">
        <v>-1.1058737187059999</v>
      </c>
      <c r="AH1243">
        <v>32.238694099682299</v>
      </c>
      <c r="AI1243">
        <v>91.962586521690596</v>
      </c>
      <c r="AJ1243">
        <v>87.386353036114599</v>
      </c>
      <c r="AK1243">
        <v>32.291207681750898</v>
      </c>
    </row>
    <row r="1244" spans="1:37" x14ac:dyDescent="0.2">
      <c r="A1244" t="str">
        <f>"20200111153425726"</f>
        <v>20200111153425726</v>
      </c>
      <c r="B1244" t="str">
        <f>"1578728065717749"</f>
        <v>1578728065717749</v>
      </c>
      <c r="C1244" t="s">
        <v>37</v>
      </c>
      <c r="D1244">
        <v>5.078284</v>
      </c>
      <c r="E1244">
        <v>0.50021510000000002</v>
      </c>
      <c r="F1244" t="s">
        <v>52</v>
      </c>
      <c r="G1244">
        <v>-250.80410000000001</v>
      </c>
      <c r="H1244" s="1">
        <v>-1.1089019999999999E-6</v>
      </c>
      <c r="I1244">
        <v>283.96949999999998</v>
      </c>
      <c r="J1244">
        <v>-217.02260000000001</v>
      </c>
      <c r="K1244">
        <v>1.105718</v>
      </c>
      <c r="L1244">
        <v>284.2251</v>
      </c>
      <c r="M1244">
        <v>-0.99852870000000005</v>
      </c>
      <c r="N1244">
        <v>0</v>
      </c>
      <c r="O1244">
        <v>-5.2320800000000001E-2</v>
      </c>
      <c r="P1244">
        <v>-0.99871189999999999</v>
      </c>
      <c r="Q1244">
        <v>4.9642319999999997E-2</v>
      </c>
      <c r="R1244">
        <v>-1.050163E-2</v>
      </c>
      <c r="S1244">
        <v>-3.0076749999999999</v>
      </c>
      <c r="T1244">
        <v>-9.765625E-2</v>
      </c>
      <c r="U1244">
        <v>-2.3895260000000001E-2</v>
      </c>
      <c r="V1244">
        <v>4.172377E-2</v>
      </c>
      <c r="W1244">
        <v>6.3892030000000002E-2</v>
      </c>
      <c r="X1244">
        <v>0.99708419999999898</v>
      </c>
      <c r="Y1244">
        <v>4.433993E-2</v>
      </c>
      <c r="Z1244">
        <v>2.4174679999999999E-3</v>
      </c>
      <c r="AA1244">
        <v>0.99901359999999995</v>
      </c>
      <c r="AB1244">
        <v>29</v>
      </c>
      <c r="AC1244">
        <v>-33.781499999999902</v>
      </c>
      <c r="AD1244">
        <v>-1.105719108902</v>
      </c>
      <c r="AE1244">
        <v>-0.25560000000001498</v>
      </c>
      <c r="AF1244">
        <v>1.5107861734335799</v>
      </c>
      <c r="AG1244">
        <v>-1.105719108902</v>
      </c>
      <c r="AH1244">
        <v>33.7124797808032</v>
      </c>
      <c r="AI1244">
        <v>91.876660649907606</v>
      </c>
      <c r="AJ1244">
        <v>87.4340720399655</v>
      </c>
      <c r="AK1244">
        <v>33.764424807490698</v>
      </c>
    </row>
    <row r="1245" spans="1:37" x14ac:dyDescent="0.2">
      <c r="A1245" t="str">
        <f>"20200111153425740"</f>
        <v>20200111153425740</v>
      </c>
      <c r="B1245" t="str">
        <f>"1578728065727509"</f>
        <v>1578728065727509</v>
      </c>
      <c r="C1245" t="s">
        <v>37</v>
      </c>
      <c r="D1245">
        <v>5.144431</v>
      </c>
      <c r="E1245">
        <v>0.50028399999999995</v>
      </c>
      <c r="F1245" t="s">
        <v>52</v>
      </c>
      <c r="G1245">
        <v>-254.25649999999999</v>
      </c>
      <c r="H1245" s="1">
        <v>7.2833200000000001E-7</v>
      </c>
      <c r="I1245">
        <v>283.90289999999999</v>
      </c>
      <c r="J1245">
        <v>-217.19900000000001</v>
      </c>
      <c r="K1245">
        <v>1.105613</v>
      </c>
      <c r="L1245">
        <v>284.21570000000003</v>
      </c>
      <c r="M1245">
        <v>-0.99852510000000005</v>
      </c>
      <c r="N1245">
        <v>0</v>
      </c>
      <c r="O1245">
        <v>-5.2406729999999999E-2</v>
      </c>
      <c r="P1245">
        <v>-0.99862619999999902</v>
      </c>
      <c r="Q1245">
        <v>5.1164729999999999E-2</v>
      </c>
      <c r="R1245">
        <v>-1.132594E-2</v>
      </c>
      <c r="S1245">
        <v>-3.008041</v>
      </c>
      <c r="T1245">
        <v>-8.9328169999999998E-2</v>
      </c>
      <c r="U1245">
        <v>-2.6031490000000001E-2</v>
      </c>
      <c r="V1245">
        <v>4.0998279999999998E-2</v>
      </c>
      <c r="W1245">
        <v>6.5340969999999998E-2</v>
      </c>
      <c r="X1245">
        <v>0.99702039999999903</v>
      </c>
      <c r="Y1245">
        <v>4.3725939999999998E-2</v>
      </c>
      <c r="Z1245">
        <v>2.2045529999999902E-3</v>
      </c>
      <c r="AA1245">
        <v>0.99904110000000002</v>
      </c>
      <c r="AB1245">
        <v>29</v>
      </c>
      <c r="AC1245">
        <v>-37.057499999999898</v>
      </c>
      <c r="AD1245">
        <v>-1.1056122716679999</v>
      </c>
      <c r="AE1245">
        <v>-0.31280000000003799</v>
      </c>
      <c r="AF1245">
        <v>1.62843826891008</v>
      </c>
      <c r="AG1245">
        <v>-1.1056122716679999</v>
      </c>
      <c r="AH1245">
        <v>36.990037064451897</v>
      </c>
      <c r="AI1245">
        <v>91.710374620791896</v>
      </c>
      <c r="AJ1245">
        <v>87.479255463956207</v>
      </c>
      <c r="AK1245">
        <v>37.042368063076601</v>
      </c>
    </row>
    <row r="1246" spans="1:37" x14ac:dyDescent="0.2">
      <c r="A1246" t="str">
        <f>"20200111153425758"</f>
        <v>20200111153425758</v>
      </c>
      <c r="B1246" t="str">
        <f>"1578728065748004"</f>
        <v>1578728065748004</v>
      </c>
      <c r="C1246" t="s">
        <v>37</v>
      </c>
      <c r="D1246">
        <v>5.1141719999999999</v>
      </c>
      <c r="E1246">
        <v>0.50056579999999995</v>
      </c>
      <c r="F1246" t="s">
        <v>52</v>
      </c>
      <c r="G1246">
        <v>-256.3449</v>
      </c>
      <c r="H1246" s="1">
        <v>1.83967899999999E-6</v>
      </c>
      <c r="I1246">
        <v>283.85509999999999</v>
      </c>
      <c r="J1246">
        <v>-217.4374</v>
      </c>
      <c r="K1246">
        <v>1.1054629999999901</v>
      </c>
      <c r="L1246">
        <v>284.20299999999997</v>
      </c>
      <c r="M1246">
        <v>-0.99852870000000005</v>
      </c>
      <c r="N1246">
        <v>0</v>
      </c>
      <c r="O1246">
        <v>-5.2357470000000003E-2</v>
      </c>
      <c r="P1246">
        <v>-0.99855059999999995</v>
      </c>
      <c r="Q1246">
        <v>5.2240999999999899E-2</v>
      </c>
      <c r="R1246">
        <v>-1.2951300000000001E-2</v>
      </c>
      <c r="S1246">
        <v>-3.0081630000000001</v>
      </c>
      <c r="T1246">
        <v>-8.4960460000000002E-2</v>
      </c>
      <c r="U1246">
        <v>-2.7709959999999999E-2</v>
      </c>
      <c r="V1246">
        <v>3.9345350000000001E-2</v>
      </c>
      <c r="W1246">
        <v>6.632731E-2</v>
      </c>
      <c r="X1246">
        <v>0.99702190000000002</v>
      </c>
      <c r="Y1246">
        <v>4.3123849999999998E-2</v>
      </c>
      <c r="Z1246">
        <v>2.0868179999999998E-3</v>
      </c>
      <c r="AA1246">
        <v>0.999067499999999</v>
      </c>
      <c r="AB1246">
        <v>29</v>
      </c>
      <c r="AC1246">
        <v>-38.907499999999999</v>
      </c>
      <c r="AD1246">
        <v>-1.1054611603209901</v>
      </c>
      <c r="AE1246">
        <v>-0.347899999999981</v>
      </c>
      <c r="AF1246">
        <v>1.6885154073305599</v>
      </c>
      <c r="AG1246">
        <v>-1.1054611603209901</v>
      </c>
      <c r="AH1246">
        <v>38.840988321312999</v>
      </c>
      <c r="AI1246">
        <v>91.628729097576894</v>
      </c>
      <c r="AJ1246">
        <v>87.510775730015496</v>
      </c>
      <c r="AK1246">
        <v>38.893386358533299</v>
      </c>
    </row>
    <row r="1247" spans="1:37" x14ac:dyDescent="0.2">
      <c r="A1247" t="str">
        <f>"20200111153425773"</f>
        <v>20200111153425773</v>
      </c>
      <c r="B1247" t="str">
        <f>"1578728065767525"</f>
        <v>1578728065767525</v>
      </c>
      <c r="C1247" t="s">
        <v>37</v>
      </c>
      <c r="D1247">
        <v>5.1020300000000001</v>
      </c>
      <c r="E1247">
        <v>0.50080649999999904</v>
      </c>
      <c r="F1247" t="s">
        <v>52</v>
      </c>
      <c r="G1247">
        <v>-256.96230000000003</v>
      </c>
      <c r="H1247" s="1">
        <v>2.1682170000000001E-6</v>
      </c>
      <c r="I1247">
        <v>283.81049999999999</v>
      </c>
      <c r="J1247">
        <v>-217.62710000000001</v>
      </c>
      <c r="K1247">
        <v>1.1053389999999901</v>
      </c>
      <c r="L1247">
        <v>284.19319999999999</v>
      </c>
      <c r="M1247">
        <v>-0.99853989999999904</v>
      </c>
      <c r="N1247">
        <v>0</v>
      </c>
      <c r="O1247">
        <v>-5.2158179999999998E-2</v>
      </c>
      <c r="P1247">
        <v>-0.9985697</v>
      </c>
      <c r="Q1247">
        <v>5.1610419999999997E-2</v>
      </c>
      <c r="R1247">
        <v>-1.396876E-2</v>
      </c>
      <c r="S1247">
        <v>-3.008362</v>
      </c>
      <c r="T1247">
        <v>-8.4139939999999996E-2</v>
      </c>
      <c r="U1247">
        <v>-2.9876710000000001E-2</v>
      </c>
      <c r="V1247">
        <v>3.8151030000000002E-2</v>
      </c>
      <c r="W1247">
        <v>6.5632650000000001E-2</v>
      </c>
      <c r="X1247">
        <v>0.99711419999999995</v>
      </c>
      <c r="Y1247">
        <v>4.2206670000000002E-2</v>
      </c>
      <c r="Z1247">
        <v>2.04813E-3</v>
      </c>
      <c r="AA1247">
        <v>0.99910679999999996</v>
      </c>
      <c r="AB1247">
        <v>29</v>
      </c>
      <c r="AC1247">
        <v>-39.3352</v>
      </c>
      <c r="AD1247">
        <v>-1.1053368317829999</v>
      </c>
      <c r="AE1247">
        <v>-0.38269999999999899</v>
      </c>
      <c r="AF1247">
        <v>1.6683589175756699</v>
      </c>
      <c r="AG1247">
        <v>-1.1053368317829999</v>
      </c>
      <c r="AH1247">
        <v>39.270604130420601</v>
      </c>
      <c r="AI1247">
        <v>91.610807645976806</v>
      </c>
      <c r="AJ1247">
        <v>87.567328536093797</v>
      </c>
      <c r="AK1247">
        <v>39.321565835527998</v>
      </c>
    </row>
    <row r="1248" spans="1:37" x14ac:dyDescent="0.2">
      <c r="A1248" t="str">
        <f>"20200111153425791"</f>
        <v>20200111153425791</v>
      </c>
      <c r="B1248" t="str">
        <f>"1578728065788021"</f>
        <v>1578728065788021</v>
      </c>
      <c r="C1248" t="s">
        <v>37</v>
      </c>
      <c r="D1248">
        <v>5.071161</v>
      </c>
      <c r="E1248">
        <v>0.50422140000000004</v>
      </c>
      <c r="F1248" t="s">
        <v>52</v>
      </c>
      <c r="G1248">
        <v>-254.57990000000001</v>
      </c>
      <c r="H1248" s="1">
        <v>9.0042330000000002E-7</v>
      </c>
      <c r="I1248">
        <v>283.8168</v>
      </c>
      <c r="J1248">
        <v>-217.8604</v>
      </c>
      <c r="K1248">
        <v>1.105173</v>
      </c>
      <c r="L1248">
        <v>284.18119999999999</v>
      </c>
      <c r="M1248">
        <v>-0.9985619</v>
      </c>
      <c r="N1248">
        <v>0</v>
      </c>
      <c r="O1248">
        <v>-5.1751970000000001E-2</v>
      </c>
      <c r="P1248">
        <v>-0.99855039999999995</v>
      </c>
      <c r="Q1248">
        <v>5.1203310000000002E-2</v>
      </c>
      <c r="R1248">
        <v>-1.66017E-2</v>
      </c>
      <c r="S1248">
        <v>-3.0085139999999999</v>
      </c>
      <c r="T1248">
        <v>-8.9991210000000002E-2</v>
      </c>
      <c r="U1248">
        <v>-3.0639650000000001E-2</v>
      </c>
      <c r="V1248">
        <v>3.5141329999999998E-2</v>
      </c>
      <c r="W1248">
        <v>6.5153970000000005E-2</v>
      </c>
      <c r="X1248">
        <v>0.99725629999999998</v>
      </c>
      <c r="Y1248">
        <v>4.1542519999999999E-2</v>
      </c>
      <c r="Z1248">
        <v>2.1683169999999999E-3</v>
      </c>
      <c r="AA1248">
        <v>0.99913439999999998</v>
      </c>
      <c r="AB1248">
        <v>29</v>
      </c>
      <c r="AC1248">
        <v>-36.719499999999996</v>
      </c>
      <c r="AD1248">
        <v>-1.10517209957669</v>
      </c>
      <c r="AE1248">
        <v>-0.36439999999998901</v>
      </c>
      <c r="AF1248">
        <v>1.53519044760162</v>
      </c>
      <c r="AG1248">
        <v>-1.10517209957669</v>
      </c>
      <c r="AH1248">
        <v>36.655943067069799</v>
      </c>
      <c r="AI1248">
        <v>91.725425802170804</v>
      </c>
      <c r="AJ1248">
        <v>87.601792448122296</v>
      </c>
      <c r="AK1248">
        <v>36.704718732287702</v>
      </c>
    </row>
    <row r="1249" spans="1:37" x14ac:dyDescent="0.2">
      <c r="A1249" t="str">
        <f>"20200111153425806"</f>
        <v>20200111153425806</v>
      </c>
      <c r="B1249" t="str">
        <f>"1578728065797781"</f>
        <v>1578728065797781</v>
      </c>
      <c r="C1249" t="s">
        <v>37</v>
      </c>
      <c r="D1249">
        <v>5.0579729999999996</v>
      </c>
      <c r="E1249">
        <v>0.50522029999999996</v>
      </c>
      <c r="F1249" t="s">
        <v>52</v>
      </c>
      <c r="G1249">
        <v>-243.53579999999999</v>
      </c>
      <c r="H1249" s="1">
        <v>3.4480270000000002E-7</v>
      </c>
      <c r="I1249">
        <v>284.0958</v>
      </c>
      <c r="J1249">
        <v>-218.04339999999999</v>
      </c>
      <c r="K1249">
        <v>1.10503</v>
      </c>
      <c r="L1249">
        <v>284.17200000000003</v>
      </c>
      <c r="M1249">
        <v>-0.99858590000000003</v>
      </c>
      <c r="N1249">
        <v>0</v>
      </c>
      <c r="O1249">
        <v>-5.129885E-2</v>
      </c>
      <c r="P1249">
        <v>-0.9985098</v>
      </c>
      <c r="Q1249">
        <v>5.1498620000000002E-2</v>
      </c>
      <c r="R1249">
        <v>-1.8072979999999999E-2</v>
      </c>
      <c r="S1249">
        <v>-3.0108029999999899</v>
      </c>
      <c r="T1249">
        <v>-0.12959709999999999</v>
      </c>
      <c r="U1249">
        <v>-1.0009769999999999E-2</v>
      </c>
      <c r="V1249">
        <v>3.3239739999999997E-2</v>
      </c>
      <c r="W1249">
        <v>6.5397109999999994E-2</v>
      </c>
      <c r="X1249">
        <v>0.99730549999999996</v>
      </c>
      <c r="Y1249">
        <v>4.789152E-2</v>
      </c>
      <c r="Z1249">
        <v>3.2367629999999902E-3</v>
      </c>
      <c r="AA1249">
        <v>0.99884729999999999</v>
      </c>
      <c r="AB1249">
        <v>29</v>
      </c>
      <c r="AC1249">
        <v>-25.4924</v>
      </c>
      <c r="AD1249">
        <v>-1.1050296551973</v>
      </c>
      <c r="AE1249">
        <v>-7.6200000000028398E-2</v>
      </c>
      <c r="AF1249">
        <v>1.22944832069805</v>
      </c>
      <c r="AG1249">
        <v>-1.1050296551973</v>
      </c>
      <c r="AH1249">
        <v>25.4149838867732</v>
      </c>
      <c r="AI1249">
        <v>92.486716957742104</v>
      </c>
      <c r="AJ1249">
        <v>87.230479107905396</v>
      </c>
      <c r="AK1249">
        <v>25.468687435301302</v>
      </c>
    </row>
    <row r="1250" spans="1:37" x14ac:dyDescent="0.2">
      <c r="A1250" t="str">
        <f>"20200111153425819"</f>
        <v>20200111153425819</v>
      </c>
      <c r="B1250" t="str">
        <f>"1578728065807541"</f>
        <v>1578728065807541</v>
      </c>
      <c r="C1250" t="s">
        <v>37</v>
      </c>
      <c r="D1250">
        <v>5.0328419999999996</v>
      </c>
      <c r="E1250">
        <v>0.50518699999999905</v>
      </c>
      <c r="F1250" t="s">
        <v>52</v>
      </c>
      <c r="G1250">
        <v>-244.83160000000001</v>
      </c>
      <c r="H1250" s="1">
        <v>1.034338E-6</v>
      </c>
      <c r="I1250">
        <v>284.11849999999998</v>
      </c>
      <c r="J1250">
        <v>-218.21010000000001</v>
      </c>
      <c r="K1250">
        <v>1.104897</v>
      </c>
      <c r="L1250">
        <v>284.16379999999998</v>
      </c>
      <c r="M1250">
        <v>-0.99861149999999999</v>
      </c>
      <c r="N1250">
        <v>0</v>
      </c>
      <c r="O1250">
        <v>-5.0808770000000003E-2</v>
      </c>
      <c r="P1250">
        <v>-0.99845360000000005</v>
      </c>
      <c r="Q1250">
        <v>5.197806E-2</v>
      </c>
      <c r="R1250">
        <v>-1.9723959999999999E-2</v>
      </c>
      <c r="S1250">
        <v>-3.0108029999999899</v>
      </c>
      <c r="T1250">
        <v>-0.1241973</v>
      </c>
      <c r="U1250">
        <v>-6.0119630000000004E-3</v>
      </c>
      <c r="V1250">
        <v>3.1119830000000001E-2</v>
      </c>
      <c r="W1250">
        <v>6.5833900000000001E-2</v>
      </c>
      <c r="X1250">
        <v>0.99734519999999904</v>
      </c>
      <c r="Y1250">
        <v>4.8734760000000002E-2</v>
      </c>
      <c r="Z1250">
        <v>3.09923599999999E-3</v>
      </c>
      <c r="AA1250">
        <v>0.998807</v>
      </c>
      <c r="AB1250">
        <v>29</v>
      </c>
      <c r="AC1250">
        <v>-26.621500000000001</v>
      </c>
      <c r="AD1250">
        <v>-1.1048959656620001</v>
      </c>
      <c r="AE1250">
        <v>-4.5299999999997398E-2</v>
      </c>
      <c r="AF1250">
        <v>1.30524672590424</v>
      </c>
      <c r="AG1250">
        <v>-1.1048959656620001</v>
      </c>
      <c r="AH1250">
        <v>26.543687561929399</v>
      </c>
      <c r="AI1250">
        <v>92.380719820015798</v>
      </c>
      <c r="AJ1250">
        <v>87.184832060705801</v>
      </c>
      <c r="AK1250">
        <v>26.598718267911799</v>
      </c>
    </row>
    <row r="1251" spans="1:37" x14ac:dyDescent="0.2">
      <c r="A1251" t="str">
        <f>"20200111153425836"</f>
        <v>20200111153425836</v>
      </c>
      <c r="B1251" t="str">
        <f>"1578728065828039"</f>
        <v>1578728065828039</v>
      </c>
      <c r="C1251" t="s">
        <v>37</v>
      </c>
      <c r="D1251">
        <v>5.0667339999999896</v>
      </c>
      <c r="E1251">
        <v>0.50576999999999905</v>
      </c>
      <c r="F1251" t="s">
        <v>52</v>
      </c>
      <c r="G1251">
        <v>-245.07830000000001</v>
      </c>
      <c r="H1251" s="1">
        <v>1.165628E-6</v>
      </c>
      <c r="I1251">
        <v>284.06599999999997</v>
      </c>
      <c r="J1251">
        <v>-218.4462</v>
      </c>
      <c r="K1251">
        <v>1.1047049999999901</v>
      </c>
      <c r="L1251">
        <v>284.15249999999997</v>
      </c>
      <c r="M1251">
        <v>-0.99865630000000005</v>
      </c>
      <c r="N1251">
        <v>0</v>
      </c>
      <c r="O1251">
        <v>-4.9928970000000003E-2</v>
      </c>
      <c r="P1251">
        <v>-0.99835769999999902</v>
      </c>
      <c r="Q1251">
        <v>5.2650759999999998E-2</v>
      </c>
      <c r="R1251">
        <v>-2.2571649999999999E-2</v>
      </c>
      <c r="S1251">
        <v>-3.01086399999999</v>
      </c>
      <c r="T1251">
        <v>-0.1238151</v>
      </c>
      <c r="U1251">
        <v>-1.095581E-2</v>
      </c>
      <c r="V1251">
        <v>2.74223E-2</v>
      </c>
      <c r="W1251">
        <v>6.6454819999999998E-2</v>
      </c>
      <c r="X1251">
        <v>0.99741259999999998</v>
      </c>
      <c r="Y1251">
        <v>4.621803E-2</v>
      </c>
      <c r="Z1251">
        <v>3.001756E-3</v>
      </c>
      <c r="AA1251">
        <v>0.99892689999999995</v>
      </c>
      <c r="AB1251">
        <v>29</v>
      </c>
      <c r="AC1251">
        <v>-26.632100000000001</v>
      </c>
      <c r="AD1251">
        <v>-1.1047038343719999</v>
      </c>
      <c r="AE1251">
        <v>-8.6500000000000896E-2</v>
      </c>
      <c r="AF1251">
        <v>1.2413135729799001</v>
      </c>
      <c r="AG1251">
        <v>-1.1047038343719999</v>
      </c>
      <c r="AH1251">
        <v>26.5575020848439</v>
      </c>
      <c r="AI1251">
        <v>92.379346201262393</v>
      </c>
      <c r="AJ1251">
        <v>87.323908577792807</v>
      </c>
      <c r="AK1251">
        <v>26.609437178088399</v>
      </c>
    </row>
    <row r="1252" spans="1:37" x14ac:dyDescent="0.2">
      <c r="A1252" t="str">
        <f>"20200111153425850"</f>
        <v>20200111153425850</v>
      </c>
      <c r="B1252" t="str">
        <f>"1578728065847557"</f>
        <v>1578728065847557</v>
      </c>
      <c r="C1252" t="s">
        <v>37</v>
      </c>
      <c r="D1252">
        <v>4.9914180000000004</v>
      </c>
      <c r="E1252">
        <v>0.50636380000000003</v>
      </c>
      <c r="F1252" t="s">
        <v>52</v>
      </c>
      <c r="G1252">
        <v>-245.98240000000001</v>
      </c>
      <c r="H1252" s="1">
        <v>1.6467689999999901E-6</v>
      </c>
      <c r="I1252">
        <v>284.02440000000001</v>
      </c>
      <c r="J1252">
        <v>-218.60740000000001</v>
      </c>
      <c r="K1252">
        <v>1.104589</v>
      </c>
      <c r="L1252">
        <v>284.14510000000001</v>
      </c>
      <c r="M1252">
        <v>-0.99869180000000002</v>
      </c>
      <c r="N1252">
        <v>0</v>
      </c>
      <c r="O1252">
        <v>-4.9224219999999999E-2</v>
      </c>
      <c r="P1252">
        <v>-0.99832480000000001</v>
      </c>
      <c r="Q1252">
        <v>5.2799720000000001E-2</v>
      </c>
      <c r="R1252">
        <v>-2.366855E-2</v>
      </c>
      <c r="S1252">
        <v>-3.0109859999999999</v>
      </c>
      <c r="T1252">
        <v>-0.12079520000000001</v>
      </c>
      <c r="U1252">
        <v>-1.400757E-2</v>
      </c>
      <c r="V1252">
        <v>2.5639439999999999E-2</v>
      </c>
      <c r="W1252">
        <v>6.6573289999999993E-2</v>
      </c>
      <c r="X1252">
        <v>0.99745209999999995</v>
      </c>
      <c r="Y1252">
        <v>4.4506579999999997E-2</v>
      </c>
      <c r="Z1252">
        <v>2.8659109999999901E-3</v>
      </c>
      <c r="AA1252">
        <v>0.99900499999999903</v>
      </c>
      <c r="AB1252">
        <v>29</v>
      </c>
      <c r="AC1252">
        <v>-27.375</v>
      </c>
      <c r="AD1252">
        <v>-1.104587353231</v>
      </c>
      <c r="AE1252">
        <v>-0.120699999999999</v>
      </c>
      <c r="AF1252">
        <v>1.2250939364311699</v>
      </c>
      <c r="AG1252">
        <v>-1.104587353231</v>
      </c>
      <c r="AH1252">
        <v>27.303297574027901</v>
      </c>
      <c r="AI1252">
        <v>92.314379424363196</v>
      </c>
      <c r="AJ1252">
        <v>87.430872137029795</v>
      </c>
      <c r="AK1252">
        <v>27.353080755006701</v>
      </c>
    </row>
    <row r="1253" spans="1:37" x14ac:dyDescent="0.2">
      <c r="A1253" t="str">
        <f>"20200111153425870"</f>
        <v>20200111153425870</v>
      </c>
      <c r="B1253" t="str">
        <f>"1578728065868054"</f>
        <v>1578728065868054</v>
      </c>
      <c r="C1253" t="s">
        <v>37</v>
      </c>
      <c r="D1253">
        <v>5.0803199999999897</v>
      </c>
      <c r="E1253">
        <v>0.51169699999999996</v>
      </c>
      <c r="F1253" t="s">
        <v>52</v>
      </c>
      <c r="G1253">
        <v>-246.84599999999901</v>
      </c>
      <c r="H1253" s="1">
        <v>2.106289E-6</v>
      </c>
      <c r="I1253">
        <v>284.02690000000001</v>
      </c>
      <c r="J1253">
        <v>-218.86359999999999</v>
      </c>
      <c r="K1253">
        <v>1.1044309999999999</v>
      </c>
      <c r="L1253">
        <v>284.13369999999998</v>
      </c>
      <c r="M1253">
        <v>-0.99875239999999998</v>
      </c>
      <c r="N1253">
        <v>0</v>
      </c>
      <c r="O1253">
        <v>-4.7990930000000001E-2</v>
      </c>
      <c r="P1253">
        <v>-0.99832289999999901</v>
      </c>
      <c r="Q1253">
        <v>5.1967560000000003E-2</v>
      </c>
      <c r="R1253">
        <v>-2.5514660000000002E-2</v>
      </c>
      <c r="S1253">
        <v>-3.0109710000000001</v>
      </c>
      <c r="T1253">
        <v>-0.1177778</v>
      </c>
      <c r="U1253">
        <v>-1.260376E-2</v>
      </c>
      <c r="V1253">
        <v>2.2586889999999998E-2</v>
      </c>
      <c r="W1253">
        <v>6.57002E-2</v>
      </c>
      <c r="X1253">
        <v>0.99758369999999996</v>
      </c>
      <c r="Y1253">
        <v>4.3743869999999997E-2</v>
      </c>
      <c r="Z1253">
        <v>2.7313059999999902E-3</v>
      </c>
      <c r="AA1253">
        <v>0.99903909999999996</v>
      </c>
      <c r="AB1253">
        <v>29</v>
      </c>
      <c r="AC1253">
        <v>-27.982399999999899</v>
      </c>
      <c r="AD1253">
        <v>-1.1044288937109901</v>
      </c>
      <c r="AE1253">
        <v>-0.10679999999996399</v>
      </c>
      <c r="AF1253">
        <v>1.2344294810032901</v>
      </c>
      <c r="AG1253">
        <v>-1.1044288937109901</v>
      </c>
      <c r="AH1253">
        <v>27.911797899016399</v>
      </c>
      <c r="AI1253">
        <v>92.263717398291007</v>
      </c>
      <c r="AJ1253">
        <v>87.467682284949504</v>
      </c>
      <c r="AK1253">
        <v>27.960902011207899</v>
      </c>
    </row>
    <row r="1254" spans="1:37" x14ac:dyDescent="0.2">
      <c r="A1254" t="str">
        <f>"20200111153425885"</f>
        <v>20200111153425885</v>
      </c>
      <c r="B1254" t="str">
        <f>"1578728065877813"</f>
        <v>1578728065877813</v>
      </c>
      <c r="C1254" t="s">
        <v>37</v>
      </c>
      <c r="D1254">
        <v>5.1118410000000001</v>
      </c>
      <c r="E1254">
        <v>0.512351</v>
      </c>
      <c r="F1254" t="s">
        <v>52</v>
      </c>
      <c r="G1254">
        <v>-243.27850000000001</v>
      </c>
      <c r="H1254" s="1">
        <v>2.07865499999999E-7</v>
      </c>
      <c r="I1254">
        <v>284.34050000000002</v>
      </c>
      <c r="J1254">
        <v>-219.06120000000001</v>
      </c>
      <c r="K1254">
        <v>1.1043259999999999</v>
      </c>
      <c r="L1254">
        <v>284.12520000000001</v>
      </c>
      <c r="M1254">
        <v>-0.99880270000000004</v>
      </c>
      <c r="N1254">
        <v>0</v>
      </c>
      <c r="O1254">
        <v>-4.694036E-2</v>
      </c>
      <c r="P1254">
        <v>-0.99833850000000002</v>
      </c>
      <c r="Q1254">
        <v>5.1679870000000003E-2</v>
      </c>
      <c r="R1254">
        <v>-2.549717E-2</v>
      </c>
      <c r="S1254">
        <v>-3.0127869999999999</v>
      </c>
      <c r="T1254">
        <v>-0.1362864</v>
      </c>
      <c r="U1254">
        <v>2.5512699999999999E-2</v>
      </c>
      <c r="V1254">
        <v>2.1571079999999999E-2</v>
      </c>
      <c r="W1254">
        <v>6.5381889999999998E-2</v>
      </c>
      <c r="X1254">
        <v>0.99762709999999999</v>
      </c>
      <c r="Y1254">
        <v>5.5297109999999997E-2</v>
      </c>
      <c r="Z1254">
        <v>3.3720409999999901E-3</v>
      </c>
      <c r="AA1254">
        <v>0.99846420000000002</v>
      </c>
      <c r="AB1254">
        <v>29</v>
      </c>
      <c r="AC1254">
        <v>-24.217299999999899</v>
      </c>
      <c r="AD1254">
        <v>-1.1043257921345</v>
      </c>
      <c r="AE1254">
        <v>0.21530000000001301</v>
      </c>
      <c r="AF1254">
        <v>1.3491340860969501</v>
      </c>
      <c r="AG1254">
        <v>-1.1043257921345</v>
      </c>
      <c r="AH1254">
        <v>24.130319638243201</v>
      </c>
      <c r="AI1254">
        <v>92.616236821376503</v>
      </c>
      <c r="AJ1254">
        <v>86.799905859002195</v>
      </c>
      <c r="AK1254">
        <v>24.193222689034801</v>
      </c>
    </row>
    <row r="1255" spans="1:37" x14ac:dyDescent="0.2">
      <c r="A1255" t="str">
        <f>"20200111153425899"</f>
        <v>20200111153425899</v>
      </c>
      <c r="B1255" t="str">
        <f>"1578728065887573"</f>
        <v>1578728065887573</v>
      </c>
      <c r="C1255" t="s">
        <v>37</v>
      </c>
      <c r="D1255">
        <v>5.0975679999999999</v>
      </c>
      <c r="E1255">
        <v>0.5126328</v>
      </c>
      <c r="F1255" t="s">
        <v>52</v>
      </c>
      <c r="G1255">
        <v>-243.26609999999999</v>
      </c>
      <c r="H1255" s="1">
        <v>2.012632E-7</v>
      </c>
      <c r="I1255">
        <v>284.37360000000001</v>
      </c>
      <c r="J1255">
        <v>-219.22739999999999</v>
      </c>
      <c r="K1255">
        <v>1.1042479999999999</v>
      </c>
      <c r="L1255">
        <v>284.1182</v>
      </c>
      <c r="M1255">
        <v>-0.99884619999999902</v>
      </c>
      <c r="N1255">
        <v>0</v>
      </c>
      <c r="O1255">
        <v>-4.60104E-2</v>
      </c>
      <c r="P1255">
        <v>-0.99833259999999902</v>
      </c>
      <c r="Q1255">
        <v>5.169675E-2</v>
      </c>
      <c r="R1255">
        <v>-2.5685050000000001E-2</v>
      </c>
      <c r="S1255">
        <v>-3.01287799999999</v>
      </c>
      <c r="T1255">
        <v>-0.13745969999999999</v>
      </c>
      <c r="U1255">
        <v>3.091431E-2</v>
      </c>
      <c r="V1255">
        <v>2.0465529999999999E-2</v>
      </c>
      <c r="W1255">
        <v>6.5376649999999994E-2</v>
      </c>
      <c r="X1255">
        <v>0.9976507</v>
      </c>
      <c r="Y1255">
        <v>5.6155389999999999E-2</v>
      </c>
      <c r="Z1255">
        <v>3.3781190000000002E-3</v>
      </c>
      <c r="AA1255">
        <v>0.99841630000000003</v>
      </c>
      <c r="AB1255">
        <v>29</v>
      </c>
      <c r="AC1255">
        <v>-24.038699999999999</v>
      </c>
      <c r="AD1255">
        <v>-1.10424779873679</v>
      </c>
      <c r="AE1255">
        <v>0.25540000000000801</v>
      </c>
      <c r="AF1255">
        <v>1.35839829366929</v>
      </c>
      <c r="AG1255">
        <v>-1.10424779873679</v>
      </c>
      <c r="AH1255">
        <v>23.950950943029898</v>
      </c>
      <c r="AI1255">
        <v>92.635497395284801</v>
      </c>
      <c r="AJ1255">
        <v>86.753899337417494</v>
      </c>
      <c r="AK1255">
        <v>24.0148424979363</v>
      </c>
    </row>
    <row r="1256" spans="1:37" x14ac:dyDescent="0.2">
      <c r="A1256" t="str">
        <f>"20200111153425914"</f>
        <v>20200111153425914</v>
      </c>
      <c r="B1256" t="str">
        <f>"1578728065908070"</f>
        <v>1578728065908070</v>
      </c>
      <c r="C1256" t="s">
        <v>37</v>
      </c>
      <c r="D1256">
        <v>5.1062529999999997</v>
      </c>
      <c r="E1256">
        <v>0.5128199</v>
      </c>
      <c r="F1256" t="s">
        <v>52</v>
      </c>
      <c r="G1256">
        <v>-243.55260000000001</v>
      </c>
      <c r="H1256" s="1">
        <v>3.5370969999999998E-7</v>
      </c>
      <c r="I1256">
        <v>284.38409999999999</v>
      </c>
      <c r="J1256">
        <v>-219.44139999999999</v>
      </c>
      <c r="K1256">
        <v>1.1041799999999999</v>
      </c>
      <c r="L1256">
        <v>284.10969999999998</v>
      </c>
      <c r="M1256">
        <v>-0.99890409999999996</v>
      </c>
      <c r="N1256">
        <v>0</v>
      </c>
      <c r="O1256">
        <v>-4.4743070000000003E-2</v>
      </c>
      <c r="P1256">
        <v>-0.99829020000000002</v>
      </c>
      <c r="Q1256">
        <v>5.2200839999999998E-2</v>
      </c>
      <c r="R1256">
        <v>-2.630308E-2</v>
      </c>
      <c r="S1256">
        <v>-3.0129239999999999</v>
      </c>
      <c r="T1256">
        <v>-0.1367727</v>
      </c>
      <c r="U1256">
        <v>3.2928470000000001E-2</v>
      </c>
      <c r="V1256">
        <v>1.8591590000000002E-2</v>
      </c>
      <c r="W1256">
        <v>6.5858169999999994E-2</v>
      </c>
      <c r="X1256">
        <v>0.99765579999999998</v>
      </c>
      <c r="Y1256">
        <v>5.5558820000000002E-2</v>
      </c>
      <c r="Z1256">
        <v>3.2901969999999999E-3</v>
      </c>
      <c r="AA1256">
        <v>0.99844999999999995</v>
      </c>
      <c r="AB1256">
        <v>28</v>
      </c>
      <c r="AC1256">
        <v>-24.1112</v>
      </c>
      <c r="AD1256">
        <v>-1.1041796462903</v>
      </c>
      <c r="AE1256">
        <v>0.27440000000001402</v>
      </c>
      <c r="AF1256">
        <v>1.35020473455291</v>
      </c>
      <c r="AG1256">
        <v>-1.1041796462903</v>
      </c>
      <c r="AH1256">
        <v>24.024392417793202</v>
      </c>
      <c r="AI1256">
        <v>92.627366131112396</v>
      </c>
      <c r="AJ1256">
        <v>86.783280316731094</v>
      </c>
      <c r="AK1256">
        <v>24.0876253823537</v>
      </c>
    </row>
    <row r="1257" spans="1:37" x14ac:dyDescent="0.2">
      <c r="A1257" t="str">
        <f>"20200111153425929"</f>
        <v>20200111153425929</v>
      </c>
      <c r="B1257" t="str">
        <f>"1578728065917828"</f>
        <v>1578728065917828</v>
      </c>
      <c r="C1257" t="s">
        <v>37</v>
      </c>
      <c r="D1257">
        <v>5.1059039999999998</v>
      </c>
      <c r="E1257">
        <v>0.51289859999999998</v>
      </c>
      <c r="F1257" t="s">
        <v>52</v>
      </c>
      <c r="G1257">
        <v>-243.7098</v>
      </c>
      <c r="H1257" s="1">
        <v>4.3736969999999998E-7</v>
      </c>
      <c r="I1257">
        <v>284.3707</v>
      </c>
      <c r="J1257">
        <v>-219.60939999999999</v>
      </c>
      <c r="K1257">
        <v>1.1041430000000001</v>
      </c>
      <c r="L1257">
        <v>284.10320000000002</v>
      </c>
      <c r="M1257">
        <v>-0.99894950000000005</v>
      </c>
      <c r="N1257">
        <v>0</v>
      </c>
      <c r="O1257">
        <v>-4.3725199999999902E-2</v>
      </c>
      <c r="P1257">
        <v>-0.99827469999999996</v>
      </c>
      <c r="Q1257">
        <v>5.2577069999999997E-2</v>
      </c>
      <c r="R1257">
        <v>-2.6147699999999999E-2</v>
      </c>
      <c r="S1257">
        <v>-3.0131839999999999</v>
      </c>
      <c r="T1257">
        <v>-0.137096</v>
      </c>
      <c r="U1257">
        <v>3.2409670000000002E-2</v>
      </c>
      <c r="V1257">
        <v>1.7736289999999998E-2</v>
      </c>
      <c r="W1257">
        <v>6.6217399999999996E-2</v>
      </c>
      <c r="X1257">
        <v>0.99764759999999997</v>
      </c>
      <c r="Y1257">
        <v>5.437036E-2</v>
      </c>
      <c r="Z1257">
        <v>3.2243979999999998E-3</v>
      </c>
      <c r="AA1257">
        <v>0.99851559999999995</v>
      </c>
      <c r="AB1257">
        <v>28</v>
      </c>
      <c r="AC1257">
        <v>-24.1004</v>
      </c>
      <c r="AD1257">
        <v>-1.1041425626303001</v>
      </c>
      <c r="AE1257">
        <v>0.26749999999998397</v>
      </c>
      <c r="AF1257">
        <v>1.31837114395539</v>
      </c>
      <c r="AG1257">
        <v>-1.1041425626303001</v>
      </c>
      <c r="AH1257">
        <v>24.0152477948929</v>
      </c>
      <c r="AI1257">
        <v>92.628466598584794</v>
      </c>
      <c r="AJ1257">
        <v>86.857773125014305</v>
      </c>
      <c r="AK1257">
        <v>24.076738980226001</v>
      </c>
    </row>
    <row r="1258" spans="1:37" x14ac:dyDescent="0.2">
      <c r="A1258" t="str">
        <f>"20200111153425943"</f>
        <v>20200111153425943</v>
      </c>
      <c r="B1258" t="str">
        <f>"1578728065937350"</f>
        <v>1578728065937350</v>
      </c>
      <c r="C1258" t="s">
        <v>37</v>
      </c>
      <c r="D1258">
        <v>5.0663369999999999</v>
      </c>
      <c r="E1258">
        <v>0.51338600000000001</v>
      </c>
      <c r="F1258" t="s">
        <v>52</v>
      </c>
      <c r="G1258">
        <v>-244.00290000000001</v>
      </c>
      <c r="H1258" s="1">
        <v>5.9338200000000004E-7</v>
      </c>
      <c r="I1258">
        <v>284.3732</v>
      </c>
      <c r="J1258">
        <v>-219.79310000000001</v>
      </c>
      <c r="K1258">
        <v>1.104109</v>
      </c>
      <c r="L1258">
        <v>284.09629999999999</v>
      </c>
      <c r="M1258">
        <v>-0.99899830000000001</v>
      </c>
      <c r="N1258">
        <v>0</v>
      </c>
      <c r="O1258">
        <v>-4.2600730000000003E-2</v>
      </c>
      <c r="P1258">
        <v>-0.99823470000000003</v>
      </c>
      <c r="Q1258">
        <v>5.3545549999999997E-2</v>
      </c>
      <c r="R1258">
        <v>-2.5699159999999999E-2</v>
      </c>
      <c r="S1258">
        <v>-3.0132289999999999</v>
      </c>
      <c r="T1258">
        <v>-0.13639000000000001</v>
      </c>
      <c r="U1258">
        <v>3.3355709999999997E-2</v>
      </c>
      <c r="V1258">
        <v>1.7066810000000002E-2</v>
      </c>
      <c r="W1258">
        <v>6.7167539999999998E-2</v>
      </c>
      <c r="X1258">
        <v>0.99759569999999997</v>
      </c>
      <c r="Y1258">
        <v>5.3562699999999998E-2</v>
      </c>
      <c r="Z1258">
        <v>3.1386439999999999E-3</v>
      </c>
      <c r="AA1258">
        <v>0.99855949999999905</v>
      </c>
      <c r="AB1258">
        <v>28</v>
      </c>
      <c r="AC1258">
        <v>-24.209800000000001</v>
      </c>
      <c r="AD1258">
        <v>-1.104108406618</v>
      </c>
      <c r="AE1258">
        <v>0.27690000000001103</v>
      </c>
      <c r="AF1258">
        <v>1.3053857634480099</v>
      </c>
      <c r="AG1258">
        <v>-1.104108406618</v>
      </c>
      <c r="AH1258">
        <v>24.125847786083401</v>
      </c>
      <c r="AI1258">
        <v>92.616465041736305</v>
      </c>
      <c r="AJ1258">
        <v>86.902897039872002</v>
      </c>
      <c r="AK1258">
        <v>24.186351910989799</v>
      </c>
    </row>
    <row r="1259" spans="1:37" x14ac:dyDescent="0.2">
      <c r="A1259" t="str">
        <f>"20200111153425959"</f>
        <v>20200111153425959</v>
      </c>
      <c r="B1259" t="str">
        <f>"1578728065947108"</f>
        <v>1578728065947108</v>
      </c>
      <c r="C1259" t="s">
        <v>37</v>
      </c>
      <c r="D1259">
        <v>5.0576800000000004</v>
      </c>
      <c r="E1259">
        <v>0.51362790000000003</v>
      </c>
      <c r="F1259" t="s">
        <v>52</v>
      </c>
      <c r="G1259">
        <v>-244.1979</v>
      </c>
      <c r="H1259" s="1">
        <v>6.9714159999999904E-7</v>
      </c>
      <c r="I1259">
        <v>284.40710000000001</v>
      </c>
      <c r="J1259">
        <v>-219.99700000000001</v>
      </c>
      <c r="K1259">
        <v>1.104074</v>
      </c>
      <c r="L1259">
        <v>284.08879999999999</v>
      </c>
      <c r="M1259">
        <v>-0.99905140000000003</v>
      </c>
      <c r="N1259">
        <v>0</v>
      </c>
      <c r="O1259">
        <v>-4.1343119999999997E-2</v>
      </c>
      <c r="P1259">
        <v>-0.99821309999999996</v>
      </c>
      <c r="Q1259">
        <v>5.3615940000000001E-2</v>
      </c>
      <c r="R1259">
        <v>-2.6393369999999999E-2</v>
      </c>
      <c r="S1259">
        <v>-3.0136259999999999</v>
      </c>
      <c r="T1259">
        <v>-0.1363404</v>
      </c>
      <c r="U1259">
        <v>3.8391109999999999E-2</v>
      </c>
      <c r="V1259">
        <v>1.511933E-2</v>
      </c>
      <c r="W1259">
        <v>6.7225110000000005E-2</v>
      </c>
      <c r="X1259">
        <v>0.99762329999999999</v>
      </c>
      <c r="Y1259">
        <v>5.3973409999999999E-2</v>
      </c>
      <c r="Z1259">
        <v>3.0895240000000002E-3</v>
      </c>
      <c r="AA1259">
        <v>0.99853760000000003</v>
      </c>
      <c r="AB1259">
        <v>28</v>
      </c>
      <c r="AC1259">
        <v>-24.200899999999901</v>
      </c>
      <c r="AD1259">
        <v>-1.1040733028584</v>
      </c>
      <c r="AE1259">
        <v>0.31830000000002101</v>
      </c>
      <c r="AF1259">
        <v>1.3159237583861401</v>
      </c>
      <c r="AG1259">
        <v>-1.1040733028584</v>
      </c>
      <c r="AH1259">
        <v>24.1168582823889</v>
      </c>
      <c r="AI1259">
        <v>92.617291136286198</v>
      </c>
      <c r="AJ1259">
        <v>86.876782867324806</v>
      </c>
      <c r="AK1259">
        <v>24.177954558001801</v>
      </c>
    </row>
    <row r="1260" spans="1:37" x14ac:dyDescent="0.2">
      <c r="A1260" t="str">
        <f>"20200111153425973"</f>
        <v>20200111153425973</v>
      </c>
      <c r="B1260" t="str">
        <f>"1578728065967606"</f>
        <v>1578728065967606</v>
      </c>
      <c r="C1260" t="s">
        <v>37</v>
      </c>
      <c r="D1260">
        <v>5.0946619999999996</v>
      </c>
      <c r="E1260">
        <v>0.51602349999999997</v>
      </c>
      <c r="F1260" t="s">
        <v>52</v>
      </c>
      <c r="G1260">
        <v>-244.4066</v>
      </c>
      <c r="H1260" s="1">
        <v>8.0821290000000005E-7</v>
      </c>
      <c r="I1260">
        <v>284.39729999999997</v>
      </c>
      <c r="J1260">
        <v>-220.18270000000001</v>
      </c>
      <c r="K1260">
        <v>1.1040589999999999</v>
      </c>
      <c r="L1260">
        <v>284.08229999999998</v>
      </c>
      <c r="M1260">
        <v>-0.99909829999999999</v>
      </c>
      <c r="N1260">
        <v>0</v>
      </c>
      <c r="O1260">
        <v>-4.0198940000000002E-2</v>
      </c>
      <c r="P1260">
        <v>-0.99823989999999996</v>
      </c>
      <c r="Q1260">
        <v>5.3246630000000003E-2</v>
      </c>
      <c r="R1260">
        <v>-2.611745E-2</v>
      </c>
      <c r="S1260">
        <v>-3.0137179999999999</v>
      </c>
      <c r="T1260">
        <v>-0.1363134</v>
      </c>
      <c r="U1260">
        <v>3.8085939999999999E-2</v>
      </c>
      <c r="V1260">
        <v>1.4252559999999999E-2</v>
      </c>
      <c r="W1260">
        <v>6.6843529999999998E-2</v>
      </c>
      <c r="X1260">
        <v>0.99766169999999998</v>
      </c>
      <c r="Y1260">
        <v>5.273079E-2</v>
      </c>
      <c r="Z1260">
        <v>3.009028E-3</v>
      </c>
      <c r="AA1260">
        <v>0.99860419999999905</v>
      </c>
      <c r="AB1260">
        <v>28</v>
      </c>
      <c r="AC1260">
        <v>-24.223899999999901</v>
      </c>
      <c r="AD1260">
        <v>-1.1040581917871</v>
      </c>
      <c r="AE1260">
        <v>0.314999999999997</v>
      </c>
      <c r="AF1260">
        <v>1.28594050938672</v>
      </c>
      <c r="AG1260">
        <v>-1.1040581917871</v>
      </c>
      <c r="AH1260">
        <v>24.141511929718</v>
      </c>
      <c r="AI1260">
        <v>92.614768453436497</v>
      </c>
      <c r="AJ1260">
        <v>86.950920133902699</v>
      </c>
      <c r="AK1260">
        <v>24.200933571605301</v>
      </c>
    </row>
    <row r="1261" spans="1:37" x14ac:dyDescent="0.2">
      <c r="A1261" t="str">
        <f>"20200111153425986"</f>
        <v>20200111153425986</v>
      </c>
      <c r="B1261" t="str">
        <f>"1578728065977365"</f>
        <v>1578728065977365</v>
      </c>
      <c r="C1261" t="s">
        <v>37</v>
      </c>
      <c r="D1261">
        <v>5.143389</v>
      </c>
      <c r="E1261">
        <v>0.51602349999999997</v>
      </c>
      <c r="F1261" t="s">
        <v>40</v>
      </c>
      <c r="G1261">
        <v>-220.97980000000001</v>
      </c>
      <c r="H1261">
        <v>1.0514079999999999</v>
      </c>
      <c r="I1261">
        <v>284.09829999999999</v>
      </c>
      <c r="J1261">
        <v>-220.33940000000001</v>
      </c>
      <c r="K1261">
        <v>1.104047</v>
      </c>
      <c r="L1261">
        <v>284.077</v>
      </c>
      <c r="M1261">
        <v>-0.99913649999999998</v>
      </c>
      <c r="N1261">
        <v>0</v>
      </c>
      <c r="O1261">
        <v>-3.9239009999999998E-2</v>
      </c>
      <c r="P1261">
        <v>-0.99825750000000002</v>
      </c>
      <c r="Q1261">
        <v>5.28888E-2</v>
      </c>
      <c r="R1261">
        <v>-2.6172560000000001E-2</v>
      </c>
      <c r="S1261">
        <v>-3.017487</v>
      </c>
      <c r="T1261">
        <v>-0.19944210000000001</v>
      </c>
      <c r="U1261">
        <v>5.9692380000000003E-2</v>
      </c>
      <c r="V1261">
        <v>1.323826E-2</v>
      </c>
      <c r="W1261">
        <v>6.6477190000000005E-2</v>
      </c>
      <c r="X1261">
        <v>0.99770009999999998</v>
      </c>
      <c r="Y1261">
        <v>5.878423E-2</v>
      </c>
      <c r="Z1261">
        <v>4.5308120000000004E-3</v>
      </c>
      <c r="AA1261">
        <v>0.99826039999999905</v>
      </c>
      <c r="AB1261">
        <v>28</v>
      </c>
      <c r="AC1261">
        <v>-0.64039999999999897</v>
      </c>
      <c r="AD1261">
        <v>-5.2639000000000102E-2</v>
      </c>
      <c r="AE1261">
        <v>2.1299999999996499E-2</v>
      </c>
      <c r="AF1261">
        <v>4.6103451892706399E-2</v>
      </c>
      <c r="AG1261">
        <v>-5.2639000000000102E-2</v>
      </c>
      <c r="AH1261">
        <v>0.63478673053935697</v>
      </c>
      <c r="AI1261">
        <v>94.727948097009801</v>
      </c>
      <c r="AJ1261">
        <v>85.846001252701299</v>
      </c>
      <c r="AK1261">
        <v>0.63863180774705297</v>
      </c>
    </row>
    <row r="1262" spans="1:37" x14ac:dyDescent="0.2">
      <c r="A1262" t="str">
        <f>"20200111153426005"</f>
        <v>20200111153426005</v>
      </c>
      <c r="B1262" t="str">
        <f>"1578728065997862"</f>
        <v>1578728065997862</v>
      </c>
      <c r="C1262" t="s">
        <v>37</v>
      </c>
      <c r="D1262">
        <v>5.077102</v>
      </c>
      <c r="E1262">
        <v>0.5376725</v>
      </c>
      <c r="F1262" t="s">
        <v>40</v>
      </c>
      <c r="G1262">
        <v>-221.22790000000001</v>
      </c>
      <c r="H1262">
        <v>1.0449520000000001</v>
      </c>
      <c r="I1262">
        <v>284.09449999999998</v>
      </c>
      <c r="J1262">
        <v>-220.58269999999999</v>
      </c>
      <c r="K1262">
        <v>1.1040289999999999</v>
      </c>
      <c r="L1262">
        <v>284.06900000000002</v>
      </c>
      <c r="M1262">
        <v>-0.99919380000000002</v>
      </c>
      <c r="N1262">
        <v>0</v>
      </c>
      <c r="O1262">
        <v>-3.7760200000000001E-2</v>
      </c>
      <c r="P1262">
        <v>-0.99830249999999998</v>
      </c>
      <c r="Q1262">
        <v>5.232328E-2</v>
      </c>
      <c r="R1262">
        <v>-2.5587169999999999E-2</v>
      </c>
      <c r="S1262">
        <v>-3.0174259999999999</v>
      </c>
      <c r="T1262">
        <v>-0.200614299999999</v>
      </c>
      <c r="U1262">
        <v>5.9356689999999997E-2</v>
      </c>
      <c r="V1262">
        <v>1.234509E-2</v>
      </c>
      <c r="W1262">
        <v>6.5898139999999994E-2</v>
      </c>
      <c r="X1262">
        <v>0.99775000000000003</v>
      </c>
      <c r="Y1262">
        <v>5.7200300000000003E-2</v>
      </c>
      <c r="Z1262">
        <v>4.4067120000000001E-3</v>
      </c>
      <c r="AA1262">
        <v>0.99835300000000005</v>
      </c>
      <c r="AB1262">
        <v>28</v>
      </c>
      <c r="AC1262">
        <v>-0.64520000000001598</v>
      </c>
      <c r="AD1262">
        <v>-5.9076999999999998E-2</v>
      </c>
      <c r="AE1262">
        <v>2.5499999999965401E-2</v>
      </c>
      <c r="AF1262">
        <v>4.9433158607046897E-2</v>
      </c>
      <c r="AG1262">
        <v>-5.9076999999999998E-2</v>
      </c>
      <c r="AH1262">
        <v>0.63843256976769602</v>
      </c>
      <c r="AI1262">
        <v>95.271089735510103</v>
      </c>
      <c r="AJ1262">
        <v>85.572482304729505</v>
      </c>
      <c r="AK1262">
        <v>0.64306288591323102</v>
      </c>
    </row>
    <row r="1263" spans="1:37" x14ac:dyDescent="0.2">
      <c r="A1263" t="str">
        <f>"20200111153426018"</f>
        <v>20200111153426018</v>
      </c>
      <c r="B1263" t="str">
        <f>"1578728066007621"</f>
        <v>1578728066007621</v>
      </c>
      <c r="C1263" t="s">
        <v>37</v>
      </c>
      <c r="D1263">
        <v>5.0135019999999999</v>
      </c>
      <c r="E1263">
        <v>0.54017199999999999</v>
      </c>
      <c r="F1263" t="s">
        <v>52</v>
      </c>
      <c r="G1263">
        <v>-239.71960000000001</v>
      </c>
      <c r="H1263" s="1">
        <v>3.5950170000000001E-6</v>
      </c>
      <c r="I1263">
        <v>285.54289999999997</v>
      </c>
      <c r="J1263">
        <v>-220.74700000000001</v>
      </c>
      <c r="K1263">
        <v>1.10402</v>
      </c>
      <c r="L1263">
        <v>284.06380000000001</v>
      </c>
      <c r="M1263">
        <v>-0.99923090000000003</v>
      </c>
      <c r="N1263">
        <v>0</v>
      </c>
      <c r="O1263">
        <v>-3.6768990000000001E-2</v>
      </c>
      <c r="P1263">
        <v>-0.99837929999999997</v>
      </c>
      <c r="Q1263">
        <v>5.1053349999999997E-2</v>
      </c>
      <c r="R1263">
        <v>-2.514918E-2</v>
      </c>
      <c r="S1263">
        <v>-3.0201720000000001</v>
      </c>
      <c r="T1263">
        <v>-0.1742359</v>
      </c>
      <c r="U1263">
        <v>0.23260500000000001</v>
      </c>
      <c r="V1263">
        <v>1.1790470000000001E-2</v>
      </c>
      <c r="W1263">
        <v>6.4620090000000005E-2</v>
      </c>
      <c r="X1263">
        <v>0.99784030000000001</v>
      </c>
      <c r="Y1263">
        <v>0.11315359999999999</v>
      </c>
      <c r="Z1263">
        <v>5.3733640000000003E-3</v>
      </c>
      <c r="AA1263">
        <v>0.99356299999999997</v>
      </c>
      <c r="AB1263">
        <v>28</v>
      </c>
      <c r="AC1263">
        <v>-18.9726</v>
      </c>
      <c r="AD1263">
        <v>-1.1040164049829999</v>
      </c>
      <c r="AE1263">
        <v>1.4790999999999599</v>
      </c>
      <c r="AF1263">
        <v>2.1684694820821599</v>
      </c>
      <c r="AG1263">
        <v>-1.1040164049829999</v>
      </c>
      <c r="AH1263">
        <v>18.8419631364937</v>
      </c>
      <c r="AI1263">
        <v>93.331386094400102</v>
      </c>
      <c r="AJ1263">
        <v>83.434870561097199</v>
      </c>
      <c r="AK1263">
        <v>18.998439066254399</v>
      </c>
    </row>
    <row r="1264" spans="1:37" x14ac:dyDescent="0.2">
      <c r="A1264" t="str">
        <f>"20200111153426031"</f>
        <v>20200111153426031</v>
      </c>
      <c r="B1264" t="str">
        <f>"1578728066027140"</f>
        <v>1578728066027140</v>
      </c>
      <c r="C1264" t="s">
        <v>37</v>
      </c>
      <c r="D1264">
        <v>5.020111</v>
      </c>
      <c r="E1264">
        <v>0.54092850000000003</v>
      </c>
      <c r="F1264" t="s">
        <v>52</v>
      </c>
      <c r="G1264">
        <v>-240.6651</v>
      </c>
      <c r="H1264" s="1">
        <v>-1.182833E-6</v>
      </c>
      <c r="I1264">
        <v>285.73750000000001</v>
      </c>
      <c r="J1264">
        <v>-220.90440000000001</v>
      </c>
      <c r="K1264">
        <v>1.1040129999999999</v>
      </c>
      <c r="L1264">
        <v>284.0591</v>
      </c>
      <c r="M1264">
        <v>-0.99926519999999996</v>
      </c>
      <c r="N1264">
        <v>0</v>
      </c>
      <c r="O1264">
        <v>-3.5829899999999998E-2</v>
      </c>
      <c r="P1264">
        <v>-0.99845490000000003</v>
      </c>
      <c r="Q1264">
        <v>4.9654040000000003E-2</v>
      </c>
      <c r="R1264">
        <v>-2.4947259999999999E-2</v>
      </c>
      <c r="S1264">
        <v>-3.0198209999999999</v>
      </c>
      <c r="T1264">
        <v>-0.16738239999999999</v>
      </c>
      <c r="U1264">
        <v>0.25375370000000003</v>
      </c>
      <c r="V1264">
        <v>1.1051299999999899E-2</v>
      </c>
      <c r="W1264">
        <v>6.3215809999999997E-2</v>
      </c>
      <c r="X1264">
        <v>0.99793869999999896</v>
      </c>
      <c r="Y1264">
        <v>0.11915149999999999</v>
      </c>
      <c r="Z1264">
        <v>5.2754179999999996E-3</v>
      </c>
      <c r="AA1264">
        <v>0.99286200000000002</v>
      </c>
      <c r="AB1264">
        <v>28</v>
      </c>
      <c r="AC1264">
        <v>-19.7606999999999</v>
      </c>
      <c r="AD1264">
        <v>-1.1040141828329999</v>
      </c>
      <c r="AE1264">
        <v>1.6784000000000101</v>
      </c>
      <c r="AF1264">
        <v>2.3780420358646599</v>
      </c>
      <c r="AG1264">
        <v>-1.1040141828329999</v>
      </c>
      <c r="AH1264">
        <v>19.627042505385699</v>
      </c>
      <c r="AI1264">
        <v>93.1961492011621</v>
      </c>
      <c r="AJ1264">
        <v>83.091630922961301</v>
      </c>
      <c r="AK1264">
        <v>19.801381990872599</v>
      </c>
    </row>
    <row r="1265" spans="1:37" x14ac:dyDescent="0.2">
      <c r="A1265" t="str">
        <f>"20200111153426049"</f>
        <v>20200111153426049</v>
      </c>
      <c r="B1265" t="str">
        <f>"1578728066037879"</f>
        <v>1578728066037879</v>
      </c>
      <c r="C1265" t="s">
        <v>37</v>
      </c>
      <c r="D1265">
        <v>5.0788169999999999</v>
      </c>
      <c r="E1265">
        <v>0.54159460000000004</v>
      </c>
      <c r="F1265" t="s">
        <v>52</v>
      </c>
      <c r="G1265">
        <v>-240.92590000000001</v>
      </c>
      <c r="H1265" s="1">
        <v>-1.044097E-6</v>
      </c>
      <c r="I1265">
        <v>285.78620000000001</v>
      </c>
      <c r="J1265">
        <v>-221.13339999999999</v>
      </c>
      <c r="K1265">
        <v>1.104001</v>
      </c>
      <c r="L1265">
        <v>284.0523</v>
      </c>
      <c r="M1265">
        <v>-0.99931309999999995</v>
      </c>
      <c r="N1265">
        <v>0</v>
      </c>
      <c r="O1265">
        <v>-3.4471340000000003E-2</v>
      </c>
      <c r="P1265">
        <v>-0.998542499999999</v>
      </c>
      <c r="Q1265">
        <v>4.7801509999999998E-2</v>
      </c>
      <c r="R1265">
        <v>-2.5057059999999999E-2</v>
      </c>
      <c r="S1265">
        <v>-3.0194239999999999</v>
      </c>
      <c r="T1265">
        <v>-0.16649600000000001</v>
      </c>
      <c r="U1265">
        <v>0.26046750000000002</v>
      </c>
      <c r="V1265">
        <v>9.5798989999999994E-3</v>
      </c>
      <c r="W1265">
        <v>6.1357389999999998E-2</v>
      </c>
      <c r="X1265">
        <v>0.99806989999999995</v>
      </c>
      <c r="Y1265">
        <v>0.12000760000000001</v>
      </c>
      <c r="Z1265">
        <v>5.1965279999999997E-3</v>
      </c>
      <c r="AA1265">
        <v>0.99275939999999996</v>
      </c>
      <c r="AB1265">
        <v>28</v>
      </c>
      <c r="AC1265">
        <v>-19.7925</v>
      </c>
      <c r="AD1265">
        <v>-1.104002044097</v>
      </c>
      <c r="AE1265">
        <v>1.7339</v>
      </c>
      <c r="AF1265">
        <v>2.4077722749897501</v>
      </c>
      <c r="AG1265">
        <v>-1.104002044097</v>
      </c>
      <c r="AH1265">
        <v>19.6602568758424</v>
      </c>
      <c r="AI1265">
        <v>93.190226032720702</v>
      </c>
      <c r="AJ1265">
        <v>83.017811664555794</v>
      </c>
      <c r="AK1265">
        <v>19.8378902170994</v>
      </c>
    </row>
    <row r="1266" spans="1:37" x14ac:dyDescent="0.2">
      <c r="A1266" t="str">
        <f>"20200111153426063"</f>
        <v>20200111153426063</v>
      </c>
      <c r="B1266" t="str">
        <f>"1578728066057397"</f>
        <v>1578728066057397</v>
      </c>
      <c r="C1266" t="s">
        <v>37</v>
      </c>
      <c r="D1266">
        <v>5.0320960000000001</v>
      </c>
      <c r="E1266">
        <v>0.54183780000000004</v>
      </c>
      <c r="F1266" t="s">
        <v>52</v>
      </c>
      <c r="G1266">
        <v>-240.9367</v>
      </c>
      <c r="H1266" s="1">
        <v>-1.0383019999999999E-6</v>
      </c>
      <c r="I1266">
        <v>285.79430000000002</v>
      </c>
      <c r="J1266">
        <v>-221.3065</v>
      </c>
      <c r="K1266">
        <v>1.103999</v>
      </c>
      <c r="L1266">
        <v>284.04750000000001</v>
      </c>
      <c r="M1266">
        <v>-0.99934789999999996</v>
      </c>
      <c r="N1266">
        <v>0</v>
      </c>
      <c r="O1266">
        <v>-3.3449420000000001E-2</v>
      </c>
      <c r="P1266">
        <v>-0.99859849999999994</v>
      </c>
      <c r="Q1266">
        <v>4.6790480000000002E-2</v>
      </c>
      <c r="R1266">
        <v>-2.4737519999999999E-2</v>
      </c>
      <c r="S1266">
        <v>-3.019104</v>
      </c>
      <c r="T1266">
        <v>-0.16830989999999901</v>
      </c>
      <c r="U1266">
        <v>0.26556399999999902</v>
      </c>
      <c r="V1266">
        <v>8.8759879999999996E-3</v>
      </c>
      <c r="W1266">
        <v>6.0340749999999999E-2</v>
      </c>
      <c r="X1266">
        <v>0.99813839999999998</v>
      </c>
      <c r="Y1266">
        <v>0.12066010000000001</v>
      </c>
      <c r="Z1266">
        <v>5.2145409999999996E-3</v>
      </c>
      <c r="AA1266">
        <v>0.99268020000000001</v>
      </c>
      <c r="AB1266">
        <v>28</v>
      </c>
      <c r="AC1266">
        <v>-19.630199999999999</v>
      </c>
      <c r="AD1266">
        <v>-1.1040000383020001</v>
      </c>
      <c r="AE1266">
        <v>1.7467999999999999</v>
      </c>
      <c r="AF1266">
        <v>2.39498620404457</v>
      </c>
      <c r="AG1266">
        <v>-1.1040000383020001</v>
      </c>
      <c r="AH1266">
        <v>19.499587113104798</v>
      </c>
      <c r="AI1266">
        <v>93.216314528021499</v>
      </c>
      <c r="AJ1266">
        <v>82.997863853739801</v>
      </c>
      <c r="AK1266">
        <v>19.677110371792399</v>
      </c>
    </row>
    <row r="1267" spans="1:37" x14ac:dyDescent="0.2">
      <c r="A1267" t="str">
        <f>"20200111153426076"</f>
        <v>20200111153426076</v>
      </c>
      <c r="B1267" t="str">
        <f>"1578728066067157"</f>
        <v>1578728066067157</v>
      </c>
      <c r="C1267" t="s">
        <v>37</v>
      </c>
      <c r="D1267">
        <v>5.0387940000000002</v>
      </c>
      <c r="E1267">
        <v>0.54198409999999997</v>
      </c>
      <c r="F1267" t="s">
        <v>52</v>
      </c>
      <c r="G1267">
        <v>-241.15430000000001</v>
      </c>
      <c r="H1267" s="1">
        <v>-9.2251490000000001E-7</v>
      </c>
      <c r="I1267">
        <v>285.81139999999999</v>
      </c>
      <c r="J1267">
        <v>-221.48769999999999</v>
      </c>
      <c r="K1267">
        <v>1.1039939999999999</v>
      </c>
      <c r="L1267">
        <v>284.04250000000002</v>
      </c>
      <c r="M1267">
        <v>-0.99938320000000003</v>
      </c>
      <c r="N1267">
        <v>0</v>
      </c>
      <c r="O1267">
        <v>-3.2384709999999997E-2</v>
      </c>
      <c r="P1267">
        <v>-0.99864830000000004</v>
      </c>
      <c r="Q1267">
        <v>4.6069060000000002E-2</v>
      </c>
      <c r="R1267">
        <v>-2.407229E-2</v>
      </c>
      <c r="S1267">
        <v>-3.0187379999999999</v>
      </c>
      <c r="T1267">
        <v>-0.16791239999999999</v>
      </c>
      <c r="U1267">
        <v>0.26828000000000002</v>
      </c>
      <c r="V1267">
        <v>8.4751989999999992E-3</v>
      </c>
      <c r="W1267">
        <v>5.9613449999999998E-2</v>
      </c>
      <c r="X1267">
        <v>0.99818560000000001</v>
      </c>
      <c r="Y1267">
        <v>0.120502199999999</v>
      </c>
      <c r="Z1267">
        <v>5.1392080000000001E-3</v>
      </c>
      <c r="AA1267">
        <v>0.99269969999999996</v>
      </c>
      <c r="AB1267">
        <v>28</v>
      </c>
      <c r="AC1267">
        <v>-19.666599999999999</v>
      </c>
      <c r="AD1267">
        <v>-1.1039949225148999</v>
      </c>
      <c r="AE1267">
        <v>1.7688999999999699</v>
      </c>
      <c r="AF1267">
        <v>2.3974337262232002</v>
      </c>
      <c r="AG1267">
        <v>-1.1039949225148999</v>
      </c>
      <c r="AH1267">
        <v>19.537918181984399</v>
      </c>
      <c r="AI1267">
        <v>93.210047687969606</v>
      </c>
      <c r="AJ1267">
        <v>83.004394130885004</v>
      </c>
      <c r="AK1267">
        <v>19.715393481908698</v>
      </c>
    </row>
    <row r="1268" spans="1:37" x14ac:dyDescent="0.2">
      <c r="A1268" t="str">
        <f>"20200111153426093"</f>
        <v>20200111153426093</v>
      </c>
      <c r="B1268" t="str">
        <f>"1578728066087654"</f>
        <v>1578728066087654</v>
      </c>
      <c r="C1268" t="s">
        <v>37</v>
      </c>
      <c r="D1268">
        <v>4.9947749999999997</v>
      </c>
      <c r="E1268">
        <v>0.5414639</v>
      </c>
      <c r="F1268" t="s">
        <v>52</v>
      </c>
      <c r="G1268">
        <v>-241.1671</v>
      </c>
      <c r="H1268" s="1">
        <v>-9.1572459999999995E-7</v>
      </c>
      <c r="I1268">
        <v>285.81079999999997</v>
      </c>
      <c r="J1268">
        <v>-221.6977</v>
      </c>
      <c r="K1268">
        <v>1.10399</v>
      </c>
      <c r="L1268">
        <v>284.03710000000001</v>
      </c>
      <c r="M1268">
        <v>-0.99942240000000004</v>
      </c>
      <c r="N1268">
        <v>0</v>
      </c>
      <c r="O1268">
        <v>-3.1153130000000001E-2</v>
      </c>
      <c r="P1268">
        <v>-0.99871849999999995</v>
      </c>
      <c r="Q1268">
        <v>4.4663389999999997E-2</v>
      </c>
      <c r="R1268">
        <v>-2.3811809999999999E-2</v>
      </c>
      <c r="S1268">
        <v>-3.0184169999999999</v>
      </c>
      <c r="T1268">
        <v>-0.1693307</v>
      </c>
      <c r="U1268">
        <v>0.2712097</v>
      </c>
      <c r="V1268">
        <v>7.5012239999999999E-3</v>
      </c>
      <c r="W1268">
        <v>5.820351E-2</v>
      </c>
      <c r="X1268">
        <v>0.99827649999999901</v>
      </c>
      <c r="Y1268">
        <v>0.1202424</v>
      </c>
      <c r="Z1268">
        <v>5.1066870000000004E-3</v>
      </c>
      <c r="AA1268">
        <v>0.99273149999999999</v>
      </c>
      <c r="AB1268">
        <v>28</v>
      </c>
      <c r="AC1268">
        <v>-19.4694</v>
      </c>
      <c r="AD1268">
        <v>-1.1039909157246</v>
      </c>
      <c r="AE1268">
        <v>1.7736999999999601</v>
      </c>
      <c r="AF1268">
        <v>2.3718640357598701</v>
      </c>
      <c r="AG1268">
        <v>-1.1039909157246</v>
      </c>
      <c r="AH1268">
        <v>19.343004614455602</v>
      </c>
      <c r="AI1268">
        <v>93.242347351317605</v>
      </c>
      <c r="AJ1268">
        <v>83.009216393763893</v>
      </c>
      <c r="AK1268">
        <v>19.519128117336201</v>
      </c>
    </row>
    <row r="1269" spans="1:37" x14ac:dyDescent="0.2">
      <c r="A1269" t="str">
        <f>"20200111153426107"</f>
        <v>20200111153426107</v>
      </c>
      <c r="B1269" t="str">
        <f>"1578728066097413"</f>
        <v>1578728066097413</v>
      </c>
      <c r="C1269" t="s">
        <v>37</v>
      </c>
      <c r="D1269">
        <v>5.0093120000000004</v>
      </c>
      <c r="E1269">
        <v>0.54158989999999996</v>
      </c>
      <c r="F1269" t="s">
        <v>52</v>
      </c>
      <c r="G1269">
        <v>-241.43719999999999</v>
      </c>
      <c r="H1269" s="1">
        <v>-7.720038E-7</v>
      </c>
      <c r="I1269">
        <v>285.78930000000003</v>
      </c>
      <c r="J1269">
        <v>-221.86779999999999</v>
      </c>
      <c r="K1269">
        <v>1.1039920000000001</v>
      </c>
      <c r="L1269">
        <v>284.03289999999998</v>
      </c>
      <c r="M1269">
        <v>-0.99945300000000004</v>
      </c>
      <c r="N1269">
        <v>0</v>
      </c>
      <c r="O1269">
        <v>-3.0156249999999999E-2</v>
      </c>
      <c r="P1269">
        <v>-0.99875119999999895</v>
      </c>
      <c r="Q1269">
        <v>4.4303799999999997E-2</v>
      </c>
      <c r="R1269">
        <v>-2.3098509999999999E-2</v>
      </c>
      <c r="S1269">
        <v>-3.0178219999999998</v>
      </c>
      <c r="T1269">
        <v>-0.1687813</v>
      </c>
      <c r="U1269">
        <v>0.26788329999999999</v>
      </c>
      <c r="V1269">
        <v>7.2171199999999996E-3</v>
      </c>
      <c r="W1269">
        <v>5.7838870000000001E-2</v>
      </c>
      <c r="X1269">
        <v>0.99829979999999996</v>
      </c>
      <c r="Y1269">
        <v>0.118189899999999</v>
      </c>
      <c r="Z1269">
        <v>4.9785229999999899E-3</v>
      </c>
      <c r="AA1269">
        <v>0.99297849999999999</v>
      </c>
      <c r="AB1269">
        <v>28</v>
      </c>
      <c r="AC1269">
        <v>-19.569400000000002</v>
      </c>
      <c r="AD1269">
        <v>-1.1039927720038001</v>
      </c>
      <c r="AE1269">
        <v>1.7564000000000399</v>
      </c>
      <c r="AF1269">
        <v>2.3384124632946701</v>
      </c>
      <c r="AG1269">
        <v>-1.1039927720038001</v>
      </c>
      <c r="AH1269">
        <v>19.446132770618298</v>
      </c>
      <c r="AI1269">
        <v>93.226107230641603</v>
      </c>
      <c r="AJ1269">
        <v>83.143062838220004</v>
      </c>
      <c r="AK1269">
        <v>19.617315122657502</v>
      </c>
    </row>
    <row r="1270" spans="1:37" x14ac:dyDescent="0.2">
      <c r="A1270" t="str">
        <f>"20200111153426121"</f>
        <v>20200111153426121</v>
      </c>
      <c r="B1270" t="str">
        <f>"1578728066117910"</f>
        <v>1578728066117910</v>
      </c>
      <c r="C1270" t="s">
        <v>37</v>
      </c>
      <c r="D1270">
        <v>4.9660209999999996</v>
      </c>
      <c r="E1270">
        <v>0.54131409999999902</v>
      </c>
      <c r="F1270" t="s">
        <v>52</v>
      </c>
      <c r="G1270">
        <v>-241.77199999999999</v>
      </c>
      <c r="H1270" s="1">
        <v>-5.9382589999999997E-7</v>
      </c>
      <c r="I1270">
        <v>285.82150000000001</v>
      </c>
      <c r="J1270">
        <v>-222.05420000000001</v>
      </c>
      <c r="K1270">
        <v>1.1039939999999999</v>
      </c>
      <c r="L1270">
        <v>284.02839999999998</v>
      </c>
      <c r="M1270">
        <v>-0.99948539999999997</v>
      </c>
      <c r="N1270">
        <v>0</v>
      </c>
      <c r="O1270">
        <v>-2.9065199999999999E-2</v>
      </c>
      <c r="P1270">
        <v>-0.99876559999999903</v>
      </c>
      <c r="Q1270">
        <v>4.4257770000000002E-2</v>
      </c>
      <c r="R1270">
        <v>-2.254915E-2</v>
      </c>
      <c r="S1270">
        <v>-3.0174560000000001</v>
      </c>
      <c r="T1270">
        <v>-0.1673645</v>
      </c>
      <c r="U1270">
        <v>0.27114870000000002</v>
      </c>
      <c r="V1270">
        <v>6.6753569999999998E-3</v>
      </c>
      <c r="W1270">
        <v>5.7788409999999998E-2</v>
      </c>
      <c r="X1270">
        <v>0.99830649999999999</v>
      </c>
      <c r="Y1270">
        <v>0.1181881</v>
      </c>
      <c r="Z1270">
        <v>4.8767380000000003E-3</v>
      </c>
      <c r="AA1270">
        <v>0.99297919999999995</v>
      </c>
      <c r="AB1270">
        <v>28</v>
      </c>
      <c r="AC1270">
        <v>-19.7178</v>
      </c>
      <c r="AD1270">
        <v>-1.1039945938258999</v>
      </c>
      <c r="AE1270">
        <v>1.7931000000000299</v>
      </c>
      <c r="AF1270">
        <v>2.3581650190650598</v>
      </c>
      <c r="AG1270">
        <v>-1.1039945938258999</v>
      </c>
      <c r="AH1270">
        <v>19.596418433426301</v>
      </c>
      <c r="AI1270">
        <v>93.201390539421695</v>
      </c>
      <c r="AJ1270">
        <v>83.138219241545499</v>
      </c>
      <c r="AK1270">
        <v>19.768645925765099</v>
      </c>
    </row>
    <row r="1271" spans="1:37" x14ac:dyDescent="0.2">
      <c r="A1271" t="str">
        <f>"20200111153426139"</f>
        <v>20200111153426139</v>
      </c>
      <c r="B1271" t="str">
        <f>"1578728066127668"</f>
        <v>1578728066127668</v>
      </c>
      <c r="C1271" t="s">
        <v>37</v>
      </c>
      <c r="D1271">
        <v>4.9313789999999997</v>
      </c>
      <c r="E1271">
        <v>0.54128679999999996</v>
      </c>
      <c r="F1271" t="s">
        <v>52</v>
      </c>
      <c r="G1271">
        <v>-243.03290000000001</v>
      </c>
      <c r="H1271" s="1">
        <v>7.7188729999999898E-8</v>
      </c>
      <c r="I1271">
        <v>285.90629999999999</v>
      </c>
      <c r="J1271">
        <v>-222.27619999999999</v>
      </c>
      <c r="K1271">
        <v>1.103993</v>
      </c>
      <c r="L1271">
        <v>284.02339999999998</v>
      </c>
      <c r="M1271">
        <v>-0.99952240000000003</v>
      </c>
      <c r="N1271">
        <v>0</v>
      </c>
      <c r="O1271">
        <v>-2.7764480000000001E-2</v>
      </c>
      <c r="P1271">
        <v>-0.99871900000000002</v>
      </c>
      <c r="Q1271">
        <v>4.520441E-2</v>
      </c>
      <c r="R1271">
        <v>-2.273416E-2</v>
      </c>
      <c r="S1271">
        <v>-3.0168300000000001</v>
      </c>
      <c r="T1271">
        <v>-0.15875889999999901</v>
      </c>
      <c r="U1271">
        <v>0.27005000000000001</v>
      </c>
      <c r="V1271">
        <v>5.191022E-3</v>
      </c>
      <c r="W1271">
        <v>5.8731899999999997E-2</v>
      </c>
      <c r="X1271">
        <v>0.99826029999999999</v>
      </c>
      <c r="Y1271">
        <v>0.1165818</v>
      </c>
      <c r="Z1271">
        <v>4.5169169999999996E-3</v>
      </c>
      <c r="AA1271">
        <v>0.99317080000000002</v>
      </c>
      <c r="AB1271">
        <v>28</v>
      </c>
      <c r="AC1271">
        <v>-20.756699999999999</v>
      </c>
      <c r="AD1271">
        <v>-1.1039929228112699</v>
      </c>
      <c r="AE1271">
        <v>1.8829</v>
      </c>
      <c r="AF1271">
        <v>2.45164719959392</v>
      </c>
      <c r="AG1271">
        <v>-1.1039929228112699</v>
      </c>
      <c r="AH1271">
        <v>20.6385065702225</v>
      </c>
      <c r="AI1271">
        <v>93.040604476185607</v>
      </c>
      <c r="AJ1271">
        <v>83.225582808549305</v>
      </c>
      <c r="AK1271">
        <v>20.812912525978</v>
      </c>
    </row>
    <row r="1272" spans="1:37" x14ac:dyDescent="0.2">
      <c r="A1272" t="str">
        <f>"20200111153426152"</f>
        <v>20200111153426152</v>
      </c>
      <c r="B1272" t="str">
        <f>"1578728066147190"</f>
        <v>1578728066147190</v>
      </c>
      <c r="C1272" t="s">
        <v>37</v>
      </c>
      <c r="D1272">
        <v>5.0346399999999996</v>
      </c>
      <c r="E1272">
        <v>0.54129399999999905</v>
      </c>
      <c r="F1272" t="s">
        <v>52</v>
      </c>
      <c r="G1272">
        <v>-243.71</v>
      </c>
      <c r="H1272" s="1">
        <v>4.3749240000000001E-7</v>
      </c>
      <c r="I1272">
        <v>285.93049999999999</v>
      </c>
      <c r="J1272">
        <v>-222.44649999999999</v>
      </c>
      <c r="K1272">
        <v>1.1039889999999899</v>
      </c>
      <c r="L1272">
        <v>284.01979999999998</v>
      </c>
      <c r="M1272">
        <v>-0.99954989999999999</v>
      </c>
      <c r="N1272">
        <v>0</v>
      </c>
      <c r="O1272">
        <v>-2.676628E-2</v>
      </c>
      <c r="P1272">
        <v>-0.99871710000000002</v>
      </c>
      <c r="Q1272">
        <v>4.5216190000000003E-2</v>
      </c>
      <c r="R1272">
        <v>-2.2804930000000001E-2</v>
      </c>
      <c r="S1272">
        <v>-3.0169679999999999</v>
      </c>
      <c r="T1272">
        <v>-0.15539500000000001</v>
      </c>
      <c r="U1272">
        <v>0.26843259999999902</v>
      </c>
      <c r="V1272">
        <v>4.1221959999999998E-3</v>
      </c>
      <c r="W1272">
        <v>5.8742370000000002E-2</v>
      </c>
      <c r="X1272">
        <v>0.99826469999999901</v>
      </c>
      <c r="Y1272">
        <v>0.1150692</v>
      </c>
      <c r="Z1272">
        <v>4.3310859999999996E-3</v>
      </c>
      <c r="AA1272">
        <v>0.99334809999999996</v>
      </c>
      <c r="AB1272">
        <v>28</v>
      </c>
      <c r="AC1272">
        <v>-21.263500000000001</v>
      </c>
      <c r="AD1272">
        <v>-1.10398856250759</v>
      </c>
      <c r="AE1272">
        <v>1.91070000000002</v>
      </c>
      <c r="AF1272">
        <v>2.4726005265264801</v>
      </c>
      <c r="AG1272">
        <v>-1.10398856250759</v>
      </c>
      <c r="AH1272">
        <v>21.1481822955583</v>
      </c>
      <c r="AI1272">
        <v>92.968090800958294</v>
      </c>
      <c r="AJ1272">
        <v>83.331375484265806</v>
      </c>
      <c r="AK1272">
        <v>21.320838597862299</v>
      </c>
    </row>
    <row r="1273" spans="1:37" x14ac:dyDescent="0.2">
      <c r="A1273" t="str">
        <f>"20200111153426165"</f>
        <v>20200111153426165</v>
      </c>
      <c r="B1273" t="str">
        <f>"1578728066157925"</f>
        <v>1578728066157925</v>
      </c>
      <c r="C1273" t="s">
        <v>37</v>
      </c>
      <c r="D1273">
        <v>5.0358890000000001</v>
      </c>
      <c r="E1273">
        <v>0.54129399999999905</v>
      </c>
      <c r="F1273" t="s">
        <v>52</v>
      </c>
      <c r="G1273">
        <v>-244.21639999999999</v>
      </c>
      <c r="H1273" s="1">
        <v>7.0697690000000003E-7</v>
      </c>
      <c r="I1273">
        <v>285.95370000000003</v>
      </c>
      <c r="J1273">
        <v>-222.6095</v>
      </c>
      <c r="K1273">
        <v>1.103988</v>
      </c>
      <c r="L1273">
        <v>284.01639999999998</v>
      </c>
      <c r="M1273">
        <v>-0.99957510000000005</v>
      </c>
      <c r="N1273">
        <v>0</v>
      </c>
      <c r="O1273">
        <v>-2.5810639999999999E-2</v>
      </c>
      <c r="P1273">
        <v>-0.9987161</v>
      </c>
      <c r="Q1273">
        <v>4.5130299999999998E-2</v>
      </c>
      <c r="R1273">
        <v>-2.3018770000000001E-2</v>
      </c>
      <c r="S1273">
        <v>-3.0169069999999998</v>
      </c>
      <c r="T1273">
        <v>-0.1529924</v>
      </c>
      <c r="U1273">
        <v>0.2680054</v>
      </c>
      <c r="V1273">
        <v>2.9526929999999902E-3</v>
      </c>
      <c r="W1273">
        <v>5.8656220000000002E-2</v>
      </c>
      <c r="X1273">
        <v>0.99827379999999999</v>
      </c>
      <c r="Y1273">
        <v>0.11398999999999999</v>
      </c>
      <c r="Z1273">
        <v>4.18866799999999E-3</v>
      </c>
      <c r="AA1273">
        <v>0.9934731</v>
      </c>
      <c r="AB1273">
        <v>28</v>
      </c>
      <c r="AC1273">
        <v>-21.6069</v>
      </c>
      <c r="AD1273">
        <v>-1.1039872930231001</v>
      </c>
      <c r="AE1273">
        <v>1.93730000000005</v>
      </c>
      <c r="AF1273">
        <v>2.48795025506343</v>
      </c>
      <c r="AG1273">
        <v>-1.1039872930231001</v>
      </c>
      <c r="AH1273">
        <v>21.494027616809699</v>
      </c>
      <c r="AI1273">
        <v>92.920803900528597</v>
      </c>
      <c r="AJ1273">
        <v>83.397352711685997</v>
      </c>
      <c r="AK1273">
        <v>21.665685025103802</v>
      </c>
    </row>
    <row r="1274" spans="1:37" x14ac:dyDescent="0.2">
      <c r="A1274" t="str">
        <f>"20200111153426185"</f>
        <v>20200111153426185</v>
      </c>
      <c r="B1274" t="str">
        <f>"1578728066177445"</f>
        <v>1578728066177445</v>
      </c>
      <c r="C1274" t="s">
        <v>37</v>
      </c>
      <c r="D1274">
        <v>5.0984850000000002</v>
      </c>
      <c r="E1274">
        <v>0.49162299999999998</v>
      </c>
      <c r="F1274" t="s">
        <v>52</v>
      </c>
      <c r="G1274">
        <v>-244.3152</v>
      </c>
      <c r="H1274" s="1">
        <v>7.5953109999999899E-7</v>
      </c>
      <c r="I1274">
        <v>285.93889999999999</v>
      </c>
      <c r="J1274">
        <v>-222.84559999999999</v>
      </c>
      <c r="K1274">
        <v>1.1039749999999999</v>
      </c>
      <c r="L1274">
        <v>284.01190000000003</v>
      </c>
      <c r="M1274">
        <v>-0.99960990000000005</v>
      </c>
      <c r="N1274">
        <v>0</v>
      </c>
      <c r="O1274">
        <v>-2.4426219999999998E-2</v>
      </c>
      <c r="P1274">
        <v>-0.99868590000000002</v>
      </c>
      <c r="Q1274">
        <v>4.4692849999999999E-2</v>
      </c>
      <c r="R1274">
        <v>-2.5087740000000001E-2</v>
      </c>
      <c r="S1274">
        <v>-3.0169679999999999</v>
      </c>
      <c r="T1274">
        <v>-0.1534478</v>
      </c>
      <c r="U1274">
        <v>0.2672119</v>
      </c>
      <c r="V1274">
        <v>-5.0203519999999905E-4</v>
      </c>
      <c r="W1274">
        <v>5.8223980000000002E-2</v>
      </c>
      <c r="X1274">
        <v>0.99830339999999995</v>
      </c>
      <c r="Y1274">
        <v>0.1123557</v>
      </c>
      <c r="Z1274">
        <v>4.0893709999999996E-3</v>
      </c>
      <c r="AA1274">
        <v>0.99365959999999998</v>
      </c>
      <c r="AB1274">
        <v>28</v>
      </c>
      <c r="AC1274">
        <v>-21.4696</v>
      </c>
      <c r="AD1274">
        <v>-1.1039742404688999</v>
      </c>
      <c r="AE1274">
        <v>1.9269999999999601</v>
      </c>
      <c r="AF1274">
        <v>2.4444825302620599</v>
      </c>
      <c r="AG1274">
        <v>-1.1039742404688999</v>
      </c>
      <c r="AH1274">
        <v>21.360093557202301</v>
      </c>
      <c r="AI1274">
        <v>92.939487845003001</v>
      </c>
      <c r="AJ1274">
        <v>83.471383956029996</v>
      </c>
      <c r="AK1274">
        <v>21.527838970431102</v>
      </c>
    </row>
    <row r="1275" spans="1:37" x14ac:dyDescent="0.2">
      <c r="A1275" t="str">
        <f>"20200111153426196"</f>
        <v>20200111153426196</v>
      </c>
      <c r="B1275" t="str">
        <f>"1578728066187205"</f>
        <v>1578728066187205</v>
      </c>
      <c r="C1275" t="s">
        <v>37</v>
      </c>
      <c r="D1275">
        <v>4.981941</v>
      </c>
      <c r="E1275">
        <v>0.48637439999999998</v>
      </c>
      <c r="F1275" t="s">
        <v>52</v>
      </c>
      <c r="G1275">
        <v>-245.93729999999999</v>
      </c>
      <c r="H1275" s="1">
        <v>1.622726E-6</v>
      </c>
      <c r="I1275">
        <v>282.96899999999999</v>
      </c>
      <c r="J1275">
        <v>-223.01830000000001</v>
      </c>
      <c r="K1275">
        <v>1.103966</v>
      </c>
      <c r="L1275">
        <v>284.00869999999998</v>
      </c>
      <c r="M1275">
        <v>-0.99963409999999997</v>
      </c>
      <c r="N1275">
        <v>0</v>
      </c>
      <c r="O1275">
        <v>-2.341528E-2</v>
      </c>
      <c r="P1275">
        <v>-0.99869039999999998</v>
      </c>
      <c r="Q1275">
        <v>4.4378649999999999E-2</v>
      </c>
      <c r="R1275">
        <v>-2.5458660000000001E-2</v>
      </c>
      <c r="S1275">
        <v>-3.0069729999999999</v>
      </c>
      <c r="T1275">
        <v>-0.1437581</v>
      </c>
      <c r="U1275">
        <v>-0.13580320000000001</v>
      </c>
      <c r="V1275">
        <v>-1.8844549999999999E-3</v>
      </c>
      <c r="W1275">
        <v>5.7909799999999997E-2</v>
      </c>
      <c r="X1275">
        <v>0.99831999999999999</v>
      </c>
      <c r="Y1275">
        <v>-2.1712769999999999E-2</v>
      </c>
      <c r="Z1275">
        <v>5.9964890000000002E-4</v>
      </c>
      <c r="AA1275">
        <v>0.99976409999999905</v>
      </c>
      <c r="AB1275">
        <v>28</v>
      </c>
      <c r="AC1275">
        <v>-22.918999999999901</v>
      </c>
      <c r="AD1275">
        <v>-1.103964377274</v>
      </c>
      <c r="AE1275">
        <v>-1.0396999999999801</v>
      </c>
      <c r="AF1275">
        <v>-0.50154958207973199</v>
      </c>
      <c r="AG1275">
        <v>-1.103964377274</v>
      </c>
      <c r="AH1275">
        <v>22.884076340260201</v>
      </c>
      <c r="AI1275">
        <v>92.761236581951493</v>
      </c>
      <c r="AJ1275">
        <v>91.255548789212796</v>
      </c>
      <c r="AK1275">
        <v>22.916178548711699</v>
      </c>
    </row>
    <row r="1276" spans="1:37" x14ac:dyDescent="0.2">
      <c r="A1276" t="str">
        <f>"20200111153426218"</f>
        <v>20200111153426218</v>
      </c>
      <c r="B1276" t="str">
        <f>"1578728066207703"</f>
        <v>1578728066207703</v>
      </c>
      <c r="C1276" t="s">
        <v>37</v>
      </c>
      <c r="D1276">
        <v>4.8314339999999998</v>
      </c>
      <c r="E1276">
        <v>0.48281400000000002</v>
      </c>
      <c r="F1276" t="s">
        <v>52</v>
      </c>
      <c r="G1276">
        <v>-245.1206</v>
      </c>
      <c r="H1276" s="1">
        <v>1.188156E-6</v>
      </c>
      <c r="I1276">
        <v>282.69220000000001</v>
      </c>
      <c r="J1276">
        <v>-223.27289999999999</v>
      </c>
      <c r="K1276">
        <v>1.103963</v>
      </c>
      <c r="L1276">
        <v>284.00439999999998</v>
      </c>
      <c r="M1276">
        <v>-0.9996678</v>
      </c>
      <c r="N1276">
        <v>0</v>
      </c>
      <c r="O1276">
        <v>-2.1933890000000001E-2</v>
      </c>
      <c r="P1276">
        <v>-0.99873349999999905</v>
      </c>
      <c r="Q1276">
        <v>4.2822659999999999E-2</v>
      </c>
      <c r="R1276">
        <v>-2.64204E-2</v>
      </c>
      <c r="S1276">
        <v>-3.006027</v>
      </c>
      <c r="T1276">
        <v>-0.15014459999999999</v>
      </c>
      <c r="U1276">
        <v>-0.1790466</v>
      </c>
      <c r="V1276">
        <v>-4.33165799999999E-3</v>
      </c>
      <c r="W1276">
        <v>5.6356910000000003E-2</v>
      </c>
      <c r="X1276">
        <v>0.99840130000000005</v>
      </c>
      <c r="Y1276">
        <v>-3.7526400000000001E-2</v>
      </c>
      <c r="Z1276">
        <v>1.5798679999999999E-4</v>
      </c>
      <c r="AA1276">
        <v>0.99929570000000001</v>
      </c>
      <c r="AB1276">
        <v>28</v>
      </c>
      <c r="AC1276">
        <v>-21.8477</v>
      </c>
      <c r="AD1276">
        <v>-1.103961811844</v>
      </c>
      <c r="AE1276">
        <v>-1.3121999999999601</v>
      </c>
      <c r="AF1276">
        <v>-0.83052238365737396</v>
      </c>
      <c r="AG1276">
        <v>-1.103961811844</v>
      </c>
      <c r="AH1276">
        <v>21.815726061272301</v>
      </c>
      <c r="AI1276">
        <v>92.894827984030101</v>
      </c>
      <c r="AJ1276">
        <v>92.180191409815805</v>
      </c>
      <c r="AK1276">
        <v>21.8594236587391</v>
      </c>
    </row>
    <row r="1277" spans="1:37" x14ac:dyDescent="0.2">
      <c r="A1277" t="str">
        <f>"20200111153426239"</f>
        <v>20200111153426239</v>
      </c>
      <c r="B1277" t="str">
        <f>"1578728066237957"</f>
        <v>1578728066237957</v>
      </c>
      <c r="C1277" t="s">
        <v>37</v>
      </c>
      <c r="D1277">
        <v>4.8268800000000001</v>
      </c>
      <c r="E1277">
        <v>0.4818481</v>
      </c>
      <c r="F1277" t="s">
        <v>52</v>
      </c>
      <c r="G1277">
        <v>-243.28280000000001</v>
      </c>
      <c r="H1277" s="1">
        <v>2.1013850000000001E-7</v>
      </c>
      <c r="I1277">
        <v>282.5992</v>
      </c>
      <c r="J1277">
        <v>-223.54060000000001</v>
      </c>
      <c r="K1277">
        <v>1.103979</v>
      </c>
      <c r="L1277">
        <v>284.00029999999998</v>
      </c>
      <c r="M1277">
        <v>-0.99970000000000003</v>
      </c>
      <c r="N1277">
        <v>0</v>
      </c>
      <c r="O1277">
        <v>-2.0418390000000002E-2</v>
      </c>
      <c r="P1277">
        <v>-0.99875309999999995</v>
      </c>
      <c r="Q1277">
        <v>4.1866470000000003E-2</v>
      </c>
      <c r="R1277">
        <v>-2.7193269999999999E-2</v>
      </c>
      <c r="S1277">
        <v>-3.005325</v>
      </c>
      <c r="T1277">
        <v>-0.16580639999999999</v>
      </c>
      <c r="U1277">
        <v>-0.21105960000000001</v>
      </c>
      <c r="V1277">
        <v>-6.6247750000000003E-3</v>
      </c>
      <c r="W1277">
        <v>5.540233E-2</v>
      </c>
      <c r="X1277">
        <v>0.9984421</v>
      </c>
      <c r="Y1277">
        <v>-4.9627099999999903E-2</v>
      </c>
      <c r="Z1277">
        <v>-2.4216020000000001E-4</v>
      </c>
      <c r="AA1277">
        <v>0.99876779999999998</v>
      </c>
      <c r="AB1277">
        <v>28</v>
      </c>
      <c r="AC1277">
        <v>-19.7422</v>
      </c>
      <c r="AD1277">
        <v>-1.1039787898615001</v>
      </c>
      <c r="AE1277">
        <v>-1.40109999999998</v>
      </c>
      <c r="AF1277">
        <v>-0.994572561051006</v>
      </c>
      <c r="AG1277">
        <v>-1.1039787898615001</v>
      </c>
      <c r="AH1277">
        <v>19.705383989274399</v>
      </c>
      <c r="AI1277">
        <v>93.202531334163197</v>
      </c>
      <c r="AJ1277">
        <v>92.889387776156099</v>
      </c>
      <c r="AK1277">
        <v>19.761328445031499</v>
      </c>
    </row>
    <row r="1278" spans="1:37" x14ac:dyDescent="0.2">
      <c r="A1278" t="str">
        <f>"20200111153426253"</f>
        <v>20200111153426253</v>
      </c>
      <c r="B1278" t="str">
        <f>"1578728066247717"</f>
        <v>1578728066247717</v>
      </c>
      <c r="C1278" t="s">
        <v>37</v>
      </c>
      <c r="D1278">
        <v>4.9884899999999996</v>
      </c>
      <c r="E1278">
        <v>0.48140529999999998</v>
      </c>
      <c r="F1278" t="s">
        <v>52</v>
      </c>
      <c r="G1278">
        <v>-242.55770000000001</v>
      </c>
      <c r="H1278" s="1">
        <v>-1.7571970000000001E-7</v>
      </c>
      <c r="I1278">
        <v>282.59840000000003</v>
      </c>
      <c r="J1278">
        <v>-223.7183</v>
      </c>
      <c r="K1278">
        <v>1.1040049999999999</v>
      </c>
      <c r="L1278">
        <v>283.99770000000001</v>
      </c>
      <c r="M1278">
        <v>-0.99971909999999897</v>
      </c>
      <c r="N1278">
        <v>0</v>
      </c>
      <c r="O1278">
        <v>-1.9458240000000002E-2</v>
      </c>
      <c r="P1278">
        <v>-0.99876369999999903</v>
      </c>
      <c r="Q1278">
        <v>4.1431790000000003E-2</v>
      </c>
      <c r="R1278">
        <v>-2.7461059999999999E-2</v>
      </c>
      <c r="S1278">
        <v>-3.00502</v>
      </c>
      <c r="T1278">
        <v>-0.17444699999999999</v>
      </c>
      <c r="U1278">
        <v>-0.2215271</v>
      </c>
      <c r="V1278">
        <v>-7.8575680000000005E-3</v>
      </c>
      <c r="W1278">
        <v>5.4967170000000003E-2</v>
      </c>
      <c r="X1278">
        <v>0.99845729999999999</v>
      </c>
      <c r="Y1278">
        <v>-5.4040350000000001E-2</v>
      </c>
      <c r="Z1278">
        <v>-4.3817429999999999E-4</v>
      </c>
      <c r="AA1278">
        <v>0.998538699999999</v>
      </c>
      <c r="AB1278">
        <v>28</v>
      </c>
      <c r="AC1278">
        <v>-18.839400000000001</v>
      </c>
      <c r="AD1278">
        <v>-1.10400517571969</v>
      </c>
      <c r="AE1278">
        <v>-1.39929999999998</v>
      </c>
      <c r="AF1278">
        <v>-1.02890595058527</v>
      </c>
      <c r="AG1278">
        <v>-1.10400517571969</v>
      </c>
      <c r="AH1278">
        <v>18.798860646582298</v>
      </c>
      <c r="AI1278">
        <v>93.355951272021699</v>
      </c>
      <c r="AJ1278">
        <v>93.132807304536001</v>
      </c>
      <c r="AK1278">
        <v>18.859338177486201</v>
      </c>
    </row>
    <row r="1279" spans="1:37" x14ac:dyDescent="0.2">
      <c r="A1279" t="str">
        <f>"20200111153426273"</f>
        <v>20200111153426273</v>
      </c>
      <c r="B1279" t="str">
        <f>"1578728066267237"</f>
        <v>1578728066267237</v>
      </c>
      <c r="C1279" t="s">
        <v>37</v>
      </c>
      <c r="D1279">
        <v>4.8549819999999997</v>
      </c>
      <c r="E1279">
        <v>0.48174399999999901</v>
      </c>
      <c r="F1279" t="s">
        <v>52</v>
      </c>
      <c r="G1279">
        <v>-242.57429999999999</v>
      </c>
      <c r="H1279" s="1">
        <v>-1.6686E-7</v>
      </c>
      <c r="I1279">
        <v>282.57960000000003</v>
      </c>
      <c r="J1279">
        <v>-223.9597</v>
      </c>
      <c r="K1279">
        <v>1.104052</v>
      </c>
      <c r="L1279">
        <v>283.99450000000002</v>
      </c>
      <c r="M1279">
        <v>-0.99974300000000005</v>
      </c>
      <c r="N1279">
        <v>0</v>
      </c>
      <c r="O1279">
        <v>-1.819496E-2</v>
      </c>
      <c r="P1279">
        <v>-0.99878899999999904</v>
      </c>
      <c r="Q1279">
        <v>4.087097E-2</v>
      </c>
      <c r="R1279">
        <v>-2.7399199999999999E-2</v>
      </c>
      <c r="S1279">
        <v>-3.0047759999999899</v>
      </c>
      <c r="T1279">
        <v>-0.175927</v>
      </c>
      <c r="U1279">
        <v>-0.22598270000000001</v>
      </c>
      <c r="V1279">
        <v>-9.06619E-3</v>
      </c>
      <c r="W1279">
        <v>5.440391E-2</v>
      </c>
      <c r="X1279">
        <v>0.99847790000000003</v>
      </c>
      <c r="Y1279">
        <v>-5.677256E-2</v>
      </c>
      <c r="Z1279">
        <v>-5.9547180000000003E-4</v>
      </c>
      <c r="AA1279">
        <v>0.99838700000000002</v>
      </c>
      <c r="AB1279">
        <v>28</v>
      </c>
      <c r="AC1279">
        <v>-18.614599999999999</v>
      </c>
      <c r="AD1279">
        <v>-1.1040521668600001</v>
      </c>
      <c r="AE1279">
        <v>-1.4148999999999801</v>
      </c>
      <c r="AF1279">
        <v>-1.0721927568580401</v>
      </c>
      <c r="AG1279">
        <v>-1.1040521668600001</v>
      </c>
      <c r="AH1279">
        <v>18.572305890598699</v>
      </c>
      <c r="AI1279">
        <v>93.396368350423003</v>
      </c>
      <c r="AJ1279">
        <v>93.304059741235406</v>
      </c>
      <c r="AK1279">
        <v>18.6359618637991</v>
      </c>
    </row>
    <row r="1280" spans="1:37" x14ac:dyDescent="0.2">
      <c r="A1280" t="str">
        <f>"20200111153426286"</f>
        <v>20200111153426286</v>
      </c>
      <c r="B1280" t="str">
        <f>"1578728066277973"</f>
        <v>1578728066277973</v>
      </c>
      <c r="C1280" t="s">
        <v>37</v>
      </c>
      <c r="D1280">
        <v>4.8522470000000002</v>
      </c>
      <c r="E1280">
        <v>0.48180400000000001</v>
      </c>
      <c r="F1280" t="s">
        <v>52</v>
      </c>
      <c r="G1280">
        <v>-242.64660000000001</v>
      </c>
      <c r="H1280" s="1">
        <v>-1.284059E-7</v>
      </c>
      <c r="I1280">
        <v>282.60840000000002</v>
      </c>
      <c r="J1280">
        <v>-224.13810000000001</v>
      </c>
      <c r="K1280">
        <v>1.104096</v>
      </c>
      <c r="L1280">
        <v>283.99220000000003</v>
      </c>
      <c r="M1280">
        <v>-0.99975879999999995</v>
      </c>
      <c r="N1280">
        <v>0</v>
      </c>
      <c r="O1280">
        <v>-1.731191E-2</v>
      </c>
      <c r="P1280">
        <v>-0.99880059999999904</v>
      </c>
      <c r="Q1280">
        <v>4.0624130000000001E-2</v>
      </c>
      <c r="R1280">
        <v>-2.733066E-2</v>
      </c>
      <c r="S1280">
        <v>-3.0047759999999899</v>
      </c>
      <c r="T1280">
        <v>-0.1775272</v>
      </c>
      <c r="U1280">
        <v>-0.22286990000000001</v>
      </c>
      <c r="V1280">
        <v>-9.8876109999999993E-3</v>
      </c>
      <c r="W1280">
        <v>5.4154420000000002E-2</v>
      </c>
      <c r="X1280">
        <v>0.99848359999999903</v>
      </c>
      <c r="Y1280">
        <v>-5.6623380000000001E-2</v>
      </c>
      <c r="Z1280">
        <v>-6.4853930000000005E-4</v>
      </c>
      <c r="AA1280">
        <v>0.99839539999999904</v>
      </c>
      <c r="AB1280">
        <v>28</v>
      </c>
      <c r="AC1280">
        <v>-18.508500000000002</v>
      </c>
      <c r="AD1280">
        <v>-1.1040961284058901</v>
      </c>
      <c r="AE1280">
        <v>-1.3837999999999999</v>
      </c>
      <c r="AF1280">
        <v>-1.05939688649458</v>
      </c>
      <c r="AG1280">
        <v>-1.1040961284058901</v>
      </c>
      <c r="AH1280">
        <v>18.464343398472899</v>
      </c>
      <c r="AI1280">
        <v>93.416385489733102</v>
      </c>
      <c r="AJ1280">
        <v>93.283761297219101</v>
      </c>
      <c r="AK1280">
        <v>18.527636847709498</v>
      </c>
    </row>
    <row r="1281" spans="1:37" x14ac:dyDescent="0.2">
      <c r="A1281" t="str">
        <f>"20200111153426300"</f>
        <v>20200111153426300</v>
      </c>
      <c r="B1281" t="str">
        <f>"1578728066297493"</f>
        <v>1578728066297493</v>
      </c>
      <c r="C1281" t="s">
        <v>37</v>
      </c>
      <c r="D1281">
        <v>4.865399</v>
      </c>
      <c r="E1281">
        <v>0.48186679999999998</v>
      </c>
      <c r="F1281" t="s">
        <v>52</v>
      </c>
      <c r="G1281">
        <v>-242.94200000000001</v>
      </c>
      <c r="H1281" s="1">
        <v>2.8776069999999899E-8</v>
      </c>
      <c r="I1281">
        <v>282.59969999999998</v>
      </c>
      <c r="J1281">
        <v>-224.3082</v>
      </c>
      <c r="K1281">
        <v>1.104149</v>
      </c>
      <c r="L1281">
        <v>283.99020000000002</v>
      </c>
      <c r="M1281">
        <v>-0.99977249999999995</v>
      </c>
      <c r="N1281">
        <v>0</v>
      </c>
      <c r="O1281">
        <v>-1.6507959999999999E-2</v>
      </c>
      <c r="P1281">
        <v>-0.99880539999999995</v>
      </c>
      <c r="Q1281">
        <v>4.0682080000000002E-2</v>
      </c>
      <c r="R1281">
        <v>-2.707321E-2</v>
      </c>
      <c r="S1281">
        <v>-3.0046689999999998</v>
      </c>
      <c r="T1281">
        <v>-0.17642339999999901</v>
      </c>
      <c r="U1281">
        <v>-0.2225037</v>
      </c>
      <c r="V1281">
        <v>-1.043987E-2</v>
      </c>
      <c r="W1281">
        <v>5.4209170000000001E-2</v>
      </c>
      <c r="X1281">
        <v>0.998475</v>
      </c>
      <c r="Y1281">
        <v>-5.730611E-2</v>
      </c>
      <c r="Z1281">
        <v>-7.1162369999999903E-4</v>
      </c>
      <c r="AA1281">
        <v>0.99835640000000003</v>
      </c>
      <c r="AB1281">
        <v>28</v>
      </c>
      <c r="AC1281">
        <v>-18.633800000000001</v>
      </c>
      <c r="AD1281">
        <v>-1.1041489712239301</v>
      </c>
      <c r="AE1281">
        <v>-1.39050000000003</v>
      </c>
      <c r="AF1281">
        <v>-1.0789091391722301</v>
      </c>
      <c r="AG1281">
        <v>-1.1041489712239301</v>
      </c>
      <c r="AH1281">
        <v>18.589307933330801</v>
      </c>
      <c r="AI1281">
        <v>93.393505818753397</v>
      </c>
      <c r="AJ1281">
        <v>93.321676585647495</v>
      </c>
      <c r="AK1281">
        <v>18.653298885758499</v>
      </c>
    </row>
    <row r="1282" spans="1:37" x14ac:dyDescent="0.2">
      <c r="A1282" t="str">
        <f>"20200111153426317"</f>
        <v>20200111153426317</v>
      </c>
      <c r="B1282" t="str">
        <f>"1578728066307256"</f>
        <v>1578728066307256</v>
      </c>
      <c r="C1282" t="s">
        <v>37</v>
      </c>
      <c r="D1282">
        <v>5.1656319999999996</v>
      </c>
      <c r="E1282">
        <v>0.4821626</v>
      </c>
      <c r="F1282" t="s">
        <v>52</v>
      </c>
      <c r="G1282">
        <v>-243.28229999999999</v>
      </c>
      <c r="H1282" s="1">
        <v>2.0991260000000001E-7</v>
      </c>
      <c r="I1282">
        <v>282.59190000000001</v>
      </c>
      <c r="J1282">
        <v>-224.52170000000001</v>
      </c>
      <c r="K1282">
        <v>1.104231</v>
      </c>
      <c r="L1282">
        <v>283.98770000000002</v>
      </c>
      <c r="M1282">
        <v>-0.99978729999999905</v>
      </c>
      <c r="N1282">
        <v>0</v>
      </c>
      <c r="O1282">
        <v>-1.5586940000000001E-2</v>
      </c>
      <c r="P1282">
        <v>-0.998776</v>
      </c>
      <c r="Q1282">
        <v>4.1772419999999998E-2</v>
      </c>
      <c r="R1282">
        <v>-2.64922E-2</v>
      </c>
      <c r="S1282">
        <v>-3.0047000000000001</v>
      </c>
      <c r="T1282">
        <v>-0.17485029999999999</v>
      </c>
      <c r="U1282">
        <v>-0.22143550000000001</v>
      </c>
      <c r="V1282">
        <v>-1.0787740000000001E-2</v>
      </c>
      <c r="W1282">
        <v>5.5293780000000001E-2</v>
      </c>
      <c r="X1282">
        <v>0.99841179999999996</v>
      </c>
      <c r="Y1282">
        <v>-5.7870829999999998E-2</v>
      </c>
      <c r="Z1282">
        <v>-7.7514819999999999E-4</v>
      </c>
      <c r="AA1282">
        <v>0.99832379999999998</v>
      </c>
      <c r="AB1282">
        <v>28</v>
      </c>
      <c r="AC1282">
        <v>-18.760599999999901</v>
      </c>
      <c r="AD1282">
        <v>-1.1042307900874</v>
      </c>
      <c r="AE1282">
        <v>-1.3957999999999999</v>
      </c>
      <c r="AF1282">
        <v>-1.09939561916058</v>
      </c>
      <c r="AG1282">
        <v>-1.1042307900874</v>
      </c>
      <c r="AH1282">
        <v>18.715597592160702</v>
      </c>
      <c r="AI1282">
        <v>93.370771613265404</v>
      </c>
      <c r="AJ1282">
        <v>93.3618176168129</v>
      </c>
      <c r="AK1282">
        <v>18.7803511574437</v>
      </c>
    </row>
    <row r="1283" spans="1:37" x14ac:dyDescent="0.2">
      <c r="A1283" t="str">
        <f>"20200111153426331"</f>
        <v>20200111153426331</v>
      </c>
      <c r="B1283" t="str">
        <f>"1578728066327748"</f>
        <v>1578728066327748</v>
      </c>
      <c r="C1283" t="s">
        <v>37</v>
      </c>
      <c r="D1283">
        <v>4.8668909999999999</v>
      </c>
      <c r="E1283">
        <v>0.48267320000000002</v>
      </c>
      <c r="F1283" t="s">
        <v>52</v>
      </c>
      <c r="G1283">
        <v>-244.1431</v>
      </c>
      <c r="H1283" s="1">
        <v>6.6793759999999895E-7</v>
      </c>
      <c r="I1283">
        <v>282.56670000000003</v>
      </c>
      <c r="J1283">
        <v>-224.68729999999999</v>
      </c>
      <c r="K1283">
        <v>1.1043019999999999</v>
      </c>
      <c r="L1283">
        <v>283.98590000000002</v>
      </c>
      <c r="M1283">
        <v>-0.99979699999999905</v>
      </c>
      <c r="N1283">
        <v>0</v>
      </c>
      <c r="O1283">
        <v>-1.4945780000000001E-2</v>
      </c>
      <c r="P1283">
        <v>-0.99877090000000002</v>
      </c>
      <c r="Q1283">
        <v>4.24299E-2</v>
      </c>
      <c r="R1283">
        <v>-2.5620049999999998E-2</v>
      </c>
      <c r="S1283">
        <v>-3.0049739999999998</v>
      </c>
      <c r="T1283">
        <v>-0.16911129999999999</v>
      </c>
      <c r="U1283">
        <v>-0.2176208</v>
      </c>
      <c r="V1283">
        <v>-1.0563599999999999E-2</v>
      </c>
      <c r="W1283">
        <v>5.594557E-2</v>
      </c>
      <c r="X1283">
        <v>0.99837790000000004</v>
      </c>
      <c r="Y1283">
        <v>-5.7248309999999997E-2</v>
      </c>
      <c r="Z1283">
        <v>-7.6822770000000004E-4</v>
      </c>
      <c r="AA1283">
        <v>0.99835969999999996</v>
      </c>
      <c r="AB1283">
        <v>28</v>
      </c>
      <c r="AC1283">
        <v>-19.4558</v>
      </c>
      <c r="AD1283">
        <v>-1.1043013320624</v>
      </c>
      <c r="AE1283">
        <v>-1.41919999999998</v>
      </c>
      <c r="AF1283">
        <v>-1.1246288257002801</v>
      </c>
      <c r="AG1283">
        <v>-1.1043013320624</v>
      </c>
      <c r="AH1283">
        <v>19.4126299953307</v>
      </c>
      <c r="AI1283">
        <v>93.250364309197707</v>
      </c>
      <c r="AJ1283">
        <v>93.315601364475896</v>
      </c>
      <c r="AK1283">
        <v>19.476510846740599</v>
      </c>
    </row>
    <row r="1284" spans="1:37" x14ac:dyDescent="0.2">
      <c r="A1284" t="str">
        <f>"20200111153426345"</f>
        <v>20200111153426345</v>
      </c>
      <c r="B1284" t="str">
        <f>"1578728066337509"</f>
        <v>1578728066337509</v>
      </c>
      <c r="C1284" t="s">
        <v>37</v>
      </c>
      <c r="D1284">
        <v>4.9016519999999897</v>
      </c>
      <c r="E1284">
        <v>0.48290929999999999</v>
      </c>
      <c r="F1284" t="s">
        <v>52</v>
      </c>
      <c r="G1284">
        <v>-245.14099999999999</v>
      </c>
      <c r="H1284" s="1">
        <v>1.1990009999999999E-6</v>
      </c>
      <c r="I1284">
        <v>282.54790000000003</v>
      </c>
      <c r="J1284">
        <v>-224.8699</v>
      </c>
      <c r="K1284">
        <v>1.1043799999999999</v>
      </c>
      <c r="L1284">
        <v>283.98390000000001</v>
      </c>
      <c r="M1284">
        <v>-0.99980659999999899</v>
      </c>
      <c r="N1284">
        <v>0</v>
      </c>
      <c r="O1284">
        <v>-1.429597E-2</v>
      </c>
      <c r="P1284">
        <v>-0.99874499999999999</v>
      </c>
      <c r="Q1284">
        <v>4.3439430000000001E-2</v>
      </c>
      <c r="R1284">
        <v>-2.492685E-2</v>
      </c>
      <c r="S1284">
        <v>-3.0051269999999999</v>
      </c>
      <c r="T1284">
        <v>-0.16224769999999999</v>
      </c>
      <c r="U1284">
        <v>-0.21127319999999999</v>
      </c>
      <c r="V1284">
        <v>-1.052872E-2</v>
      </c>
      <c r="W1284">
        <v>5.6949130000000001E-2</v>
      </c>
      <c r="X1284">
        <v>0.99832149999999997</v>
      </c>
      <c r="Y1284">
        <v>-5.5801780000000002E-2</v>
      </c>
      <c r="Z1284">
        <v>-7.3314210000000003E-4</v>
      </c>
      <c r="AA1284">
        <v>0.99844159999999904</v>
      </c>
      <c r="AB1284">
        <v>28</v>
      </c>
      <c r="AC1284">
        <v>-20.271099999999901</v>
      </c>
      <c r="AD1284">
        <v>-1.1043788009990001</v>
      </c>
      <c r="AE1284">
        <v>-1.43599999999997</v>
      </c>
      <c r="AF1284">
        <v>-1.1426571469247799</v>
      </c>
      <c r="AG1284">
        <v>-1.1043788009990001</v>
      </c>
      <c r="AH1284">
        <v>20.229814244982101</v>
      </c>
      <c r="AI1284">
        <v>93.119806080900204</v>
      </c>
      <c r="AJ1284">
        <v>93.232849254178106</v>
      </c>
      <c r="AK1284">
        <v>20.292134000099502</v>
      </c>
    </row>
    <row r="1285" spans="1:37" x14ac:dyDescent="0.2">
      <c r="A1285" t="str">
        <f>"20200111153426361"</f>
        <v>20200111153426361</v>
      </c>
      <c r="B1285" t="str">
        <f>"1578728066358004"</f>
        <v>1578728066358004</v>
      </c>
      <c r="C1285" t="s">
        <v>37</v>
      </c>
      <c r="D1285">
        <v>4.8530550000000003</v>
      </c>
      <c r="E1285">
        <v>0.48318539999999999</v>
      </c>
      <c r="F1285" t="s">
        <v>52</v>
      </c>
      <c r="G1285">
        <v>-245.9873</v>
      </c>
      <c r="H1285" s="1">
        <v>1.6493339999999999E-6</v>
      </c>
      <c r="I1285">
        <v>282.5265</v>
      </c>
      <c r="J1285">
        <v>-225.07589999999999</v>
      </c>
      <c r="K1285">
        <v>1.104481</v>
      </c>
      <c r="L1285">
        <v>283.98180000000002</v>
      </c>
      <c r="M1285">
        <v>-0.99981580000000003</v>
      </c>
      <c r="N1285">
        <v>0</v>
      </c>
      <c r="O1285">
        <v>-1.3650819999999999E-2</v>
      </c>
      <c r="P1285">
        <v>-0.99866100000000002</v>
      </c>
      <c r="Q1285">
        <v>4.5491400000000001E-2</v>
      </c>
      <c r="R1285">
        <v>-2.4643060000000001E-2</v>
      </c>
      <c r="S1285">
        <v>-3.0054319999999999</v>
      </c>
      <c r="T1285">
        <v>-0.15717539999999999</v>
      </c>
      <c r="U1285">
        <v>-0.207428</v>
      </c>
      <c r="V1285">
        <v>-1.089969E-2</v>
      </c>
      <c r="W1285">
        <v>5.899418E-2</v>
      </c>
      <c r="X1285">
        <v>0.99819880000000005</v>
      </c>
      <c r="Y1285">
        <v>-5.5171360000000003E-2</v>
      </c>
      <c r="Z1285">
        <v>-7.2742749999999995E-4</v>
      </c>
      <c r="AA1285">
        <v>0.99847659999999905</v>
      </c>
      <c r="AB1285">
        <v>28</v>
      </c>
      <c r="AC1285">
        <v>-20.9114</v>
      </c>
      <c r="AD1285">
        <v>-1.104479350666</v>
      </c>
      <c r="AE1285">
        <v>-1.45530000000002</v>
      </c>
      <c r="AF1285">
        <v>-1.1664423580065699</v>
      </c>
      <c r="AG1285">
        <v>-1.104479350666</v>
      </c>
      <c r="AH1285">
        <v>20.8713759338332</v>
      </c>
      <c r="AI1285">
        <v>93.024463406210103</v>
      </c>
      <c r="AJ1285">
        <v>93.198772027943306</v>
      </c>
      <c r="AK1285">
        <v>20.933102870381902</v>
      </c>
    </row>
    <row r="1286" spans="1:37" x14ac:dyDescent="0.2">
      <c r="A1286" t="str">
        <f>"20200111153426375"</f>
        <v>20200111153426375</v>
      </c>
      <c r="B1286" t="str">
        <f>"1578728066367766"</f>
        <v>1578728066367766</v>
      </c>
      <c r="C1286" t="s">
        <v>37</v>
      </c>
      <c r="D1286">
        <v>4.9150589999999896</v>
      </c>
      <c r="E1286">
        <v>0.48328379999999999</v>
      </c>
      <c r="F1286" t="s">
        <v>52</v>
      </c>
      <c r="G1286">
        <v>-247.64349999999999</v>
      </c>
      <c r="H1286" s="1">
        <v>2.530717E-6</v>
      </c>
      <c r="I1286">
        <v>282.44470000000001</v>
      </c>
      <c r="J1286">
        <v>-225.25190000000001</v>
      </c>
      <c r="K1286">
        <v>1.104565</v>
      </c>
      <c r="L1286">
        <v>283.98</v>
      </c>
      <c r="M1286">
        <v>-0.99982209999999905</v>
      </c>
      <c r="N1286">
        <v>0</v>
      </c>
      <c r="O1286">
        <v>-1.3182320000000001E-2</v>
      </c>
      <c r="P1286">
        <v>-0.99861869999999997</v>
      </c>
      <c r="Q1286">
        <v>4.6546940000000002E-2</v>
      </c>
      <c r="R1286">
        <v>-2.43752E-2</v>
      </c>
      <c r="S1286">
        <v>-3.0056919999999998</v>
      </c>
      <c r="T1286">
        <v>-0.14710129999999999</v>
      </c>
      <c r="U1286">
        <v>-0.2047119</v>
      </c>
      <c r="V1286">
        <v>-1.1111279999999999E-2</v>
      </c>
      <c r="W1286">
        <v>6.0044220000000002E-2</v>
      </c>
      <c r="X1286">
        <v>0.99813390000000002</v>
      </c>
      <c r="Y1286">
        <v>-5.4742220000000001E-2</v>
      </c>
      <c r="Z1286">
        <v>-6.9322310000000001E-4</v>
      </c>
      <c r="AA1286">
        <v>0.99850030000000001</v>
      </c>
      <c r="AB1286">
        <v>28</v>
      </c>
      <c r="AC1286">
        <v>-22.391599999999901</v>
      </c>
      <c r="AD1286">
        <v>-1.1045624692829901</v>
      </c>
      <c r="AE1286">
        <v>-1.5353000000000001</v>
      </c>
      <c r="AF1286">
        <v>-1.2369705352453599</v>
      </c>
      <c r="AG1286">
        <v>-1.1045624692829901</v>
      </c>
      <c r="AH1286">
        <v>22.355749158409498</v>
      </c>
      <c r="AI1286">
        <v>92.824281284097097</v>
      </c>
      <c r="AJ1286">
        <v>93.167015161536895</v>
      </c>
      <c r="AK1286">
        <v>22.417173657429299</v>
      </c>
    </row>
    <row r="1287" spans="1:37" x14ac:dyDescent="0.2">
      <c r="A1287" t="str">
        <f>"20200111153426389"</f>
        <v>20200111153426389</v>
      </c>
      <c r="B1287" t="str">
        <f>"1578728066377526"</f>
        <v>1578728066377526</v>
      </c>
      <c r="C1287" t="s">
        <v>37</v>
      </c>
      <c r="D1287">
        <v>4.8745919999999998</v>
      </c>
      <c r="E1287">
        <v>0.48329559999999999</v>
      </c>
      <c r="F1287" t="s">
        <v>52</v>
      </c>
      <c r="G1287">
        <v>-248.62649999999999</v>
      </c>
      <c r="H1287" s="1">
        <v>3.05379399999999E-6</v>
      </c>
      <c r="I1287">
        <v>282.39870000000002</v>
      </c>
      <c r="J1287">
        <v>-225.42019999999999</v>
      </c>
      <c r="K1287">
        <v>1.104643</v>
      </c>
      <c r="L1287">
        <v>283.97829999999999</v>
      </c>
      <c r="M1287">
        <v>-0.99982709999999997</v>
      </c>
      <c r="N1287">
        <v>0</v>
      </c>
      <c r="O1287">
        <v>-1.2802930000000001E-2</v>
      </c>
      <c r="P1287">
        <v>-0.99857169999999895</v>
      </c>
      <c r="Q1287">
        <v>4.7641370000000002E-2</v>
      </c>
      <c r="R1287">
        <v>-2.4190819999999998E-2</v>
      </c>
      <c r="S1287">
        <v>-3.0058289999999999</v>
      </c>
      <c r="T1287">
        <v>-0.14204</v>
      </c>
      <c r="U1287">
        <v>-0.20333860000000001</v>
      </c>
      <c r="V1287">
        <v>-1.1316140000000001E-2</v>
      </c>
      <c r="W1287">
        <v>6.1133220000000002E-2</v>
      </c>
      <c r="X1287">
        <v>0.99806550000000005</v>
      </c>
      <c r="Y1287">
        <v>-5.4666920000000001E-2</v>
      </c>
      <c r="Z1287">
        <v>-6.8549589999999895E-4</v>
      </c>
      <c r="AA1287">
        <v>0.99850439999999996</v>
      </c>
      <c r="AB1287">
        <v>28</v>
      </c>
      <c r="AC1287">
        <v>-23.206299999999999</v>
      </c>
      <c r="AD1287">
        <v>-1.1046399462059999</v>
      </c>
      <c r="AE1287">
        <v>-1.5795999999999699</v>
      </c>
      <c r="AF1287">
        <v>-1.2794491973101301</v>
      </c>
      <c r="AG1287">
        <v>-1.1046399462059999</v>
      </c>
      <c r="AH1287">
        <v>23.172360223134799</v>
      </c>
      <c r="AI1287">
        <v>92.725112621862195</v>
      </c>
      <c r="AJ1287">
        <v>93.160346157364401</v>
      </c>
      <c r="AK1287">
        <v>23.233929886482201</v>
      </c>
    </row>
    <row r="1288" spans="1:37" x14ac:dyDescent="0.2">
      <c r="A1288" t="str">
        <f>"20200111153426406"</f>
        <v>20200111153426406</v>
      </c>
      <c r="B1288" t="str">
        <f>"1578728066398020"</f>
        <v>1578728066398020</v>
      </c>
      <c r="C1288" t="s">
        <v>37</v>
      </c>
      <c r="D1288">
        <v>4.8831419999999897</v>
      </c>
      <c r="E1288">
        <v>0.48321039999999998</v>
      </c>
      <c r="F1288" t="s">
        <v>52</v>
      </c>
      <c r="G1288">
        <v>-249.62469999999999</v>
      </c>
      <c r="H1288" s="1">
        <v>3.58497599999999E-6</v>
      </c>
      <c r="I1288">
        <v>282.34410000000003</v>
      </c>
      <c r="J1288">
        <v>-225.63810000000001</v>
      </c>
      <c r="K1288">
        <v>1.1047370000000001</v>
      </c>
      <c r="L1288">
        <v>283.976</v>
      </c>
      <c r="M1288">
        <v>-0.99983250000000001</v>
      </c>
      <c r="N1288">
        <v>0</v>
      </c>
      <c r="O1288">
        <v>-1.239322E-2</v>
      </c>
      <c r="P1288">
        <v>-0.99850169999999905</v>
      </c>
      <c r="Q1288">
        <v>4.8906999999999999E-2</v>
      </c>
      <c r="R1288">
        <v>-2.4549209999999998E-2</v>
      </c>
      <c r="S1288">
        <v>-3.0059200000000001</v>
      </c>
      <c r="T1288">
        <v>-0.137184</v>
      </c>
      <c r="U1288">
        <v>-0.20294189999999901</v>
      </c>
      <c r="V1288">
        <v>-1.209761E-2</v>
      </c>
      <c r="W1288">
        <v>6.2371099999999999E-2</v>
      </c>
      <c r="X1288">
        <v>0.99797969999999903</v>
      </c>
      <c r="Y1288">
        <v>-5.4945269999999997E-2</v>
      </c>
      <c r="Z1288">
        <v>-6.8707329999999995E-4</v>
      </c>
      <c r="AA1288">
        <v>0.99848909999999902</v>
      </c>
      <c r="AB1288">
        <v>28</v>
      </c>
      <c r="AC1288">
        <v>-23.9865999999999</v>
      </c>
      <c r="AD1288">
        <v>-1.104733415024</v>
      </c>
      <c r="AE1288">
        <v>-1.6318999999999699</v>
      </c>
      <c r="AF1288">
        <v>-1.33166478808266</v>
      </c>
      <c r="AG1288">
        <v>-1.104733415024</v>
      </c>
      <c r="AH1288">
        <v>23.954406338553198</v>
      </c>
      <c r="AI1288">
        <v>92.6364406483208</v>
      </c>
      <c r="AJ1288">
        <v>93.181891370566206</v>
      </c>
      <c r="AK1288">
        <v>24.016813903151402</v>
      </c>
    </row>
    <row r="1289" spans="1:37" x14ac:dyDescent="0.2">
      <c r="A1289" t="str">
        <f>"20200111153426420"</f>
        <v>20200111153426420</v>
      </c>
      <c r="B1289" t="str">
        <f>"1578728066407781"</f>
        <v>1578728066407781</v>
      </c>
      <c r="C1289" t="s">
        <v>37</v>
      </c>
      <c r="D1289">
        <v>4.9185299999999996</v>
      </c>
      <c r="E1289">
        <v>0.48314970000000002</v>
      </c>
      <c r="F1289" t="s">
        <v>52</v>
      </c>
      <c r="G1289">
        <v>-250.6429</v>
      </c>
      <c r="H1289" s="1">
        <v>-1.194679E-6</v>
      </c>
      <c r="I1289">
        <v>282.26760000000002</v>
      </c>
      <c r="J1289">
        <v>-225.7987</v>
      </c>
      <c r="K1289">
        <v>1.104797</v>
      </c>
      <c r="L1289">
        <v>283.9744</v>
      </c>
      <c r="M1289">
        <v>-0.99983599999999995</v>
      </c>
      <c r="N1289">
        <v>0</v>
      </c>
      <c r="O1289">
        <v>-1.214516E-2</v>
      </c>
      <c r="P1289">
        <v>-0.99848459999999895</v>
      </c>
      <c r="Q1289">
        <v>4.9182910000000003E-2</v>
      </c>
      <c r="R1289">
        <v>-2.468998E-2</v>
      </c>
      <c r="S1289">
        <v>-3.0059360000000002</v>
      </c>
      <c r="T1289">
        <v>-0.13280529999999999</v>
      </c>
      <c r="U1289">
        <v>-0.20538329999999999</v>
      </c>
      <c r="V1289">
        <v>-1.249716E-2</v>
      </c>
      <c r="W1289">
        <v>6.2605729999999998E-2</v>
      </c>
      <c r="X1289">
        <v>0.99796010000000002</v>
      </c>
      <c r="Y1289">
        <v>-5.6001380000000003E-2</v>
      </c>
      <c r="Z1289">
        <v>-6.9937459999999999E-4</v>
      </c>
      <c r="AA1289">
        <v>0.99843040000000005</v>
      </c>
      <c r="AB1289">
        <v>28</v>
      </c>
      <c r="AC1289">
        <v>-24.844200000000001</v>
      </c>
      <c r="AD1289">
        <v>-1.104798194679</v>
      </c>
      <c r="AE1289">
        <v>-1.7067999999999801</v>
      </c>
      <c r="AF1289">
        <v>-1.40215035392464</v>
      </c>
      <c r="AG1289">
        <v>-1.104798194679</v>
      </c>
      <c r="AH1289">
        <v>24.8142588919338</v>
      </c>
      <c r="AI1289">
        <v>92.545225391182498</v>
      </c>
      <c r="AJ1289">
        <v>93.234106570445206</v>
      </c>
      <c r="AK1289">
        <v>24.878385177135002</v>
      </c>
    </row>
    <row r="1290" spans="1:37" x14ac:dyDescent="0.2">
      <c r="A1290" t="str">
        <f>"20200111153426433"</f>
        <v>20200111153426433</v>
      </c>
      <c r="B1290" t="str">
        <f>"1578728066427924"</f>
        <v>1578728066427924</v>
      </c>
      <c r="C1290" t="s">
        <v>37</v>
      </c>
      <c r="D1290">
        <v>4.8912839999999997</v>
      </c>
      <c r="E1290">
        <v>0.4829292</v>
      </c>
      <c r="F1290" t="s">
        <v>52</v>
      </c>
      <c r="G1290">
        <v>-250.9</v>
      </c>
      <c r="H1290" s="1">
        <v>-1.057875E-6</v>
      </c>
      <c r="I1290">
        <v>282.24889999999999</v>
      </c>
      <c r="J1290">
        <v>-225.97980000000001</v>
      </c>
      <c r="K1290">
        <v>1.104851</v>
      </c>
      <c r="L1290">
        <v>283.97250000000003</v>
      </c>
      <c r="M1290">
        <v>-0.99983949999999999</v>
      </c>
      <c r="N1290">
        <v>0</v>
      </c>
      <c r="O1290">
        <v>-1.1945610000000001E-2</v>
      </c>
      <c r="P1290">
        <v>-0.99845989999999996</v>
      </c>
      <c r="Q1290">
        <v>4.9448699999999998E-2</v>
      </c>
      <c r="R1290">
        <v>-2.514626E-2</v>
      </c>
      <c r="S1290">
        <v>-3.0059659999999999</v>
      </c>
      <c r="T1290">
        <v>-0.13230359999999999</v>
      </c>
      <c r="U1290">
        <v>-0.206634499999999</v>
      </c>
      <c r="V1290">
        <v>-1.3164169999999999E-2</v>
      </c>
      <c r="W1290">
        <v>6.2782279999999996E-2</v>
      </c>
      <c r="X1290">
        <v>0.99794039999999995</v>
      </c>
      <c r="Y1290">
        <v>-5.6613150000000001E-2</v>
      </c>
      <c r="Z1290">
        <v>-7.1892720000000002E-4</v>
      </c>
      <c r="AA1290">
        <v>0.9983959</v>
      </c>
      <c r="AB1290">
        <v>28</v>
      </c>
      <c r="AC1290">
        <v>-24.920199999999902</v>
      </c>
      <c r="AD1290">
        <v>-1.1048520578749901</v>
      </c>
      <c r="AE1290">
        <v>-1.72360000000003</v>
      </c>
      <c r="AF1290">
        <v>-1.42297971078772</v>
      </c>
      <c r="AG1290">
        <v>-1.1048520578749901</v>
      </c>
      <c r="AH1290">
        <v>24.890320268525699</v>
      </c>
      <c r="AI1290">
        <v>92.537485906179597</v>
      </c>
      <c r="AJ1290">
        <v>93.272038262183003</v>
      </c>
      <c r="AK1290">
        <v>24.955432522737102</v>
      </c>
    </row>
    <row r="1291" spans="1:37" x14ac:dyDescent="0.2">
      <c r="A1291" t="str">
        <f>"20200111153426452"</f>
        <v>20200111153426452</v>
      </c>
      <c r="B1291" t="str">
        <f>"1578728066447445"</f>
        <v>1578728066447445</v>
      </c>
      <c r="C1291" t="s">
        <v>37</v>
      </c>
      <c r="D1291">
        <v>4.9180250000000001</v>
      </c>
      <c r="E1291">
        <v>0.4828383</v>
      </c>
      <c r="F1291" t="s">
        <v>52</v>
      </c>
      <c r="G1291">
        <v>-251.13399999999999</v>
      </c>
      <c r="H1291" s="1">
        <v>-9.3332879999999999E-7</v>
      </c>
      <c r="I1291">
        <v>282.21519999999998</v>
      </c>
      <c r="J1291">
        <v>-226.1968</v>
      </c>
      <c r="K1291">
        <v>1.1048929999999999</v>
      </c>
      <c r="L1291">
        <v>283.97019999999998</v>
      </c>
      <c r="M1291">
        <v>-0.9998435</v>
      </c>
      <c r="N1291">
        <v>0</v>
      </c>
      <c r="O1291">
        <v>-1.176349E-2</v>
      </c>
      <c r="P1291">
        <v>-0.99839849999999997</v>
      </c>
      <c r="Q1291">
        <v>5.0489249999999999E-2</v>
      </c>
      <c r="R1291">
        <v>-2.5525389999999998E-2</v>
      </c>
      <c r="S1291">
        <v>-3.0058590000000001</v>
      </c>
      <c r="T1291">
        <v>-0.1320267</v>
      </c>
      <c r="U1291">
        <v>-0.2099915</v>
      </c>
      <c r="V1291">
        <v>-1.3736780000000001E-2</v>
      </c>
      <c r="W1291">
        <v>6.3687419999999995E-2</v>
      </c>
      <c r="X1291">
        <v>0.99787530000000002</v>
      </c>
      <c r="Y1291">
        <v>-5.7905850000000002E-2</v>
      </c>
      <c r="Z1291">
        <v>-7.5374960000000005E-4</v>
      </c>
      <c r="AA1291">
        <v>0.99832180000000004</v>
      </c>
      <c r="AB1291">
        <v>28</v>
      </c>
      <c r="AC1291">
        <v>-24.937200000000001</v>
      </c>
      <c r="AD1291">
        <v>-1.1048939333287999</v>
      </c>
      <c r="AE1291">
        <v>-1.7549999999999899</v>
      </c>
      <c r="AF1291">
        <v>-1.4586550362889701</v>
      </c>
      <c r="AG1291">
        <v>-1.1048939333287999</v>
      </c>
      <c r="AH1291">
        <v>24.907465723208698</v>
      </c>
      <c r="AI1291">
        <v>92.535634003699101</v>
      </c>
      <c r="AJ1291">
        <v>93.351582659295005</v>
      </c>
      <c r="AK1291">
        <v>24.974593367492801</v>
      </c>
    </row>
    <row r="1292" spans="1:37" x14ac:dyDescent="0.2">
      <c r="A1292" t="str">
        <f>"20200111153426475"</f>
        <v>20200111153426475</v>
      </c>
      <c r="B1292" t="str">
        <f>"1578728066467941"</f>
        <v>1578728066467941</v>
      </c>
      <c r="C1292" t="s">
        <v>37</v>
      </c>
      <c r="D1292">
        <v>4.9447910000000004</v>
      </c>
      <c r="E1292">
        <v>0.48273699999999897</v>
      </c>
      <c r="F1292" t="s">
        <v>52</v>
      </c>
      <c r="G1292">
        <v>-251.85890000000001</v>
      </c>
      <c r="H1292" s="1">
        <v>-5.475595E-7</v>
      </c>
      <c r="I1292">
        <v>282.15719999999999</v>
      </c>
      <c r="J1292">
        <v>-226.4915</v>
      </c>
      <c r="K1292">
        <v>1.1049069999999901</v>
      </c>
      <c r="L1292">
        <v>283.96710000000002</v>
      </c>
      <c r="M1292">
        <v>-0.99984910000000005</v>
      </c>
      <c r="N1292">
        <v>0</v>
      </c>
      <c r="O1292">
        <v>-1.1591250000000001E-2</v>
      </c>
      <c r="P1292">
        <v>-0.99842830000000005</v>
      </c>
      <c r="Q1292">
        <v>4.9693639999999997E-2</v>
      </c>
      <c r="R1292">
        <v>-2.592421E-2</v>
      </c>
      <c r="S1292">
        <v>-3.0059360000000002</v>
      </c>
      <c r="T1292">
        <v>-0.1294218</v>
      </c>
      <c r="U1292">
        <v>-0.212371799999999</v>
      </c>
      <c r="V1292">
        <v>-1.432158E-2</v>
      </c>
      <c r="W1292">
        <v>6.2623810000000002E-2</v>
      </c>
      <c r="X1292">
        <v>0.99793449999999995</v>
      </c>
      <c r="Y1292">
        <v>-5.8863459999999999E-2</v>
      </c>
      <c r="Z1292">
        <v>-7.6683669999999895E-4</v>
      </c>
      <c r="AA1292">
        <v>0.99826569999999903</v>
      </c>
      <c r="AB1292">
        <v>28</v>
      </c>
      <c r="AC1292">
        <v>-25.3674</v>
      </c>
      <c r="AD1292">
        <v>-1.1049075475594901</v>
      </c>
      <c r="AE1292">
        <v>-1.80990000000002</v>
      </c>
      <c r="AF1292">
        <v>-1.51285832494647</v>
      </c>
      <c r="AG1292">
        <v>-1.1049075475594901</v>
      </c>
      <c r="AH1292">
        <v>25.338848331097601</v>
      </c>
      <c r="AI1292">
        <v>92.492384010802795</v>
      </c>
      <c r="AJ1292">
        <v>93.416793815325306</v>
      </c>
      <c r="AK1292">
        <v>25.408006528383599</v>
      </c>
    </row>
    <row r="1293" spans="1:37" x14ac:dyDescent="0.2">
      <c r="A1293" t="str">
        <f>"20200111153426499"</f>
        <v>20200111153426499</v>
      </c>
      <c r="B1293" t="str">
        <f>"1578728066487461"</f>
        <v>1578728066487461</v>
      </c>
      <c r="C1293" t="s">
        <v>37</v>
      </c>
      <c r="D1293">
        <v>4.8673269999999897</v>
      </c>
      <c r="E1293">
        <v>0.4826607</v>
      </c>
      <c r="F1293" t="s">
        <v>52</v>
      </c>
      <c r="G1293">
        <v>-251.4716</v>
      </c>
      <c r="H1293" s="1">
        <v>-7.5370139999999998E-7</v>
      </c>
      <c r="I1293">
        <v>282.1823</v>
      </c>
      <c r="J1293">
        <v>-226.7739</v>
      </c>
      <c r="K1293">
        <v>1.104878</v>
      </c>
      <c r="L1293">
        <v>283.96409999999997</v>
      </c>
      <c r="M1293">
        <v>-0.99985489999999999</v>
      </c>
      <c r="N1293">
        <v>0</v>
      </c>
      <c r="O1293">
        <v>-1.1479069999999999E-2</v>
      </c>
      <c r="P1293">
        <v>-0.99853349999999996</v>
      </c>
      <c r="Q1293">
        <v>4.7757319999999999E-2</v>
      </c>
      <c r="R1293">
        <v>-2.5503540000000002E-2</v>
      </c>
      <c r="S1293">
        <v>-3.0057529999999999</v>
      </c>
      <c r="T1293">
        <v>-0.13294919999999999</v>
      </c>
      <c r="U1293">
        <v>-0.2147522</v>
      </c>
      <c r="V1293">
        <v>-1.4020919999999999E-2</v>
      </c>
      <c r="W1293">
        <v>6.0337420000000003E-2</v>
      </c>
      <c r="X1293">
        <v>0.99807950000000001</v>
      </c>
      <c r="Y1293">
        <v>-5.9762950000000002E-2</v>
      </c>
      <c r="Z1293">
        <v>-8.1255610000000001E-4</v>
      </c>
      <c r="AA1293">
        <v>0.99821229999999905</v>
      </c>
      <c r="AB1293">
        <v>28</v>
      </c>
      <c r="AC1293">
        <v>-24.697700000000001</v>
      </c>
      <c r="AD1293">
        <v>-1.10487875370139</v>
      </c>
      <c r="AE1293">
        <v>-1.7817999999999701</v>
      </c>
      <c r="AF1293">
        <v>-1.4951766685762899</v>
      </c>
      <c r="AG1293">
        <v>-1.10487875370139</v>
      </c>
      <c r="AH1293">
        <v>24.667415779769001</v>
      </c>
      <c r="AI1293">
        <v>92.559930339233901</v>
      </c>
      <c r="AJ1293">
        <v>93.468649923043998</v>
      </c>
      <c r="AK1293">
        <v>24.737374791651401</v>
      </c>
    </row>
    <row r="1294" spans="1:37" x14ac:dyDescent="0.2">
      <c r="A1294" t="str">
        <f>"20200111153426519"</f>
        <v>20200111153426519</v>
      </c>
      <c r="B1294" t="str">
        <f>"1578728066507956"</f>
        <v>1578728066507956</v>
      </c>
      <c r="C1294" t="s">
        <v>37</v>
      </c>
      <c r="D1294">
        <v>5.033074</v>
      </c>
      <c r="E1294">
        <v>0.4825004</v>
      </c>
      <c r="F1294" t="s">
        <v>52</v>
      </c>
      <c r="G1294">
        <v>-250.26949999999999</v>
      </c>
      <c r="H1294" s="1">
        <v>-1.39336E-6</v>
      </c>
      <c r="I1294">
        <v>282.28919999999999</v>
      </c>
      <c r="J1294">
        <v>-227.04519999999999</v>
      </c>
      <c r="K1294">
        <v>1.104824</v>
      </c>
      <c r="L1294">
        <v>283.96120000000002</v>
      </c>
      <c r="M1294">
        <v>-0.99986079999999999</v>
      </c>
      <c r="N1294">
        <v>0</v>
      </c>
      <c r="O1294">
        <v>-1.1396999999999999E-2</v>
      </c>
      <c r="P1294">
        <v>-0.99861250000000001</v>
      </c>
      <c r="Q1294">
        <v>4.659344E-2</v>
      </c>
      <c r="R1294">
        <v>-2.4547179999999998E-2</v>
      </c>
      <c r="S1294">
        <v>-3.0056919999999998</v>
      </c>
      <c r="T1294">
        <v>-0.14134249999999901</v>
      </c>
      <c r="U1294">
        <v>-0.21426390000000001</v>
      </c>
      <c r="V1294">
        <v>-1.314978E-2</v>
      </c>
      <c r="W1294">
        <v>5.8773789999999999E-2</v>
      </c>
      <c r="X1294">
        <v>0.99818469999999904</v>
      </c>
      <c r="Y1294">
        <v>-5.967894E-2</v>
      </c>
      <c r="Z1294">
        <v>-8.6570399999999904E-4</v>
      </c>
      <c r="AA1294">
        <v>0.99821719999999903</v>
      </c>
      <c r="AB1294">
        <v>28</v>
      </c>
      <c r="AC1294">
        <v>-23.224299999999999</v>
      </c>
      <c r="AD1294">
        <v>-1.1048253933600001</v>
      </c>
      <c r="AE1294">
        <v>-1.6720000000000199</v>
      </c>
      <c r="AF1294">
        <v>-1.40402334136061</v>
      </c>
      <c r="AG1294">
        <v>-1.1048253933600001</v>
      </c>
      <c r="AH1294">
        <v>23.189638946914599</v>
      </c>
      <c r="AI1294">
        <v>92.722705504618304</v>
      </c>
      <c r="AJ1294">
        <v>93.464759908116804</v>
      </c>
      <c r="AK1294">
        <v>23.258359253850202</v>
      </c>
    </row>
    <row r="1295" spans="1:37" x14ac:dyDescent="0.2">
      <c r="A1295" t="str">
        <f>"20200111153426533"</f>
        <v>20200111153426533</v>
      </c>
      <c r="B1295" t="str">
        <f>"1578728066527477"</f>
        <v>1578728066527477</v>
      </c>
      <c r="C1295" t="s">
        <v>37</v>
      </c>
      <c r="D1295">
        <v>4.9862029999999997</v>
      </c>
      <c r="E1295">
        <v>0.51474609999999998</v>
      </c>
      <c r="F1295" t="s">
        <v>52</v>
      </c>
      <c r="G1295">
        <v>-250.00120000000001</v>
      </c>
      <c r="H1295" s="1">
        <v>-1.536147E-6</v>
      </c>
      <c r="I1295">
        <v>282.33539999999999</v>
      </c>
      <c r="J1295">
        <v>-227.2278</v>
      </c>
      <c r="K1295">
        <v>1.1047819999999999</v>
      </c>
      <c r="L1295">
        <v>283.95909999999998</v>
      </c>
      <c r="M1295">
        <v>-0.999865</v>
      </c>
      <c r="N1295">
        <v>0</v>
      </c>
      <c r="O1295">
        <v>-1.134842E-2</v>
      </c>
      <c r="P1295">
        <v>-0.99863679999999999</v>
      </c>
      <c r="Q1295">
        <v>4.6482120000000002E-2</v>
      </c>
      <c r="R1295">
        <v>-2.3761729999999998E-2</v>
      </c>
      <c r="S1295">
        <v>-3.0056919999999998</v>
      </c>
      <c r="T1295">
        <v>-0.14465749999999999</v>
      </c>
      <c r="U1295">
        <v>-0.2128601</v>
      </c>
      <c r="V1295">
        <v>-1.241422E-2</v>
      </c>
      <c r="W1295">
        <v>5.8363459999999999E-2</v>
      </c>
      <c r="X1295">
        <v>0.99821819999999895</v>
      </c>
      <c r="Y1295">
        <v>-5.9261500000000002E-2</v>
      </c>
      <c r="Z1295">
        <v>-8.7830729999999896E-4</v>
      </c>
      <c r="AA1295">
        <v>0.99824210000000002</v>
      </c>
      <c r="AB1295">
        <v>28</v>
      </c>
      <c r="AC1295">
        <v>-22.773399999999999</v>
      </c>
      <c r="AD1295">
        <v>-1.104783536147</v>
      </c>
      <c r="AE1295">
        <v>-1.6236999999999799</v>
      </c>
      <c r="AF1295">
        <v>-1.3619460570080399</v>
      </c>
      <c r="AG1295">
        <v>-1.104783536147</v>
      </c>
      <c r="AH1295">
        <v>22.737121760498798</v>
      </c>
      <c r="AI1295">
        <v>92.776811528880998</v>
      </c>
      <c r="AJ1295">
        <v>93.427902379517406</v>
      </c>
      <c r="AK1295">
        <v>22.804651930597199</v>
      </c>
    </row>
    <row r="1296" spans="1:37" x14ac:dyDescent="0.2">
      <c r="A1296" t="str">
        <f>"20200111153426551"</f>
        <v>20200111153426551</v>
      </c>
      <c r="B1296" t="str">
        <f>"1578728066547973"</f>
        <v>1578728066547973</v>
      </c>
      <c r="C1296" t="s">
        <v>37</v>
      </c>
      <c r="D1296">
        <v>4.9002410000000003</v>
      </c>
      <c r="E1296">
        <v>0.52362940000000002</v>
      </c>
      <c r="F1296" t="s">
        <v>52</v>
      </c>
      <c r="G1296">
        <v>-247.03649999999999</v>
      </c>
      <c r="H1296" s="1">
        <v>2.20766699999999E-6</v>
      </c>
      <c r="I1296">
        <v>284.26549999999997</v>
      </c>
      <c r="J1296">
        <v>-227.45740000000001</v>
      </c>
      <c r="K1296">
        <v>1.1047169999999999</v>
      </c>
      <c r="L1296">
        <v>283.95659999999998</v>
      </c>
      <c r="M1296">
        <v>-0.99986989999999998</v>
      </c>
      <c r="N1296">
        <v>0</v>
      </c>
      <c r="O1296">
        <v>-1.1287149999999999E-2</v>
      </c>
      <c r="P1296">
        <v>-0.99869089999999905</v>
      </c>
      <c r="Q1296">
        <v>4.5887730000000002E-2</v>
      </c>
      <c r="R1296">
        <v>-2.2605099999999999E-2</v>
      </c>
      <c r="S1296">
        <v>-3.0130309999999998</v>
      </c>
      <c r="T1296">
        <v>-0.1680441</v>
      </c>
      <c r="U1296">
        <v>4.6600339999999997E-2</v>
      </c>
      <c r="V1296">
        <v>-1.13195999999999E-2</v>
      </c>
      <c r="W1296">
        <v>5.7397579999999997E-2</v>
      </c>
      <c r="X1296">
        <v>0.99828719999999904</v>
      </c>
      <c r="Y1296">
        <v>2.6690970000000001E-2</v>
      </c>
      <c r="Z1296">
        <v>1.3727189999999999E-3</v>
      </c>
      <c r="AA1296">
        <v>0.99964279999999905</v>
      </c>
      <c r="AB1296">
        <v>28</v>
      </c>
      <c r="AC1296">
        <v>-19.579099999999901</v>
      </c>
      <c r="AD1296">
        <v>-1.1047147923330001</v>
      </c>
      <c r="AE1296">
        <v>0.30889999999999401</v>
      </c>
      <c r="AF1296">
        <v>0.52820606752954602</v>
      </c>
      <c r="AG1296">
        <v>-1.1047147923330001</v>
      </c>
      <c r="AH1296">
        <v>19.512262511549199</v>
      </c>
      <c r="AI1296">
        <v>93.239239442942207</v>
      </c>
      <c r="AJ1296">
        <v>88.449355166816403</v>
      </c>
      <c r="AK1296">
        <v>19.550646657893001</v>
      </c>
    </row>
    <row r="1297" spans="1:37" x14ac:dyDescent="0.2">
      <c r="A1297" t="str">
        <f>"20200111153426566"</f>
        <v>20200111153426566</v>
      </c>
      <c r="B1297" t="str">
        <f>"1578728066557733"</f>
        <v>1578728066557733</v>
      </c>
      <c r="C1297" t="s">
        <v>37</v>
      </c>
      <c r="D1297">
        <v>4.9242109999999997</v>
      </c>
      <c r="E1297">
        <v>0.52480509999999903</v>
      </c>
      <c r="F1297" t="s">
        <v>52</v>
      </c>
      <c r="G1297">
        <v>-247.19130000000001</v>
      </c>
      <c r="H1297" s="1">
        <v>2.2900399999999999E-6</v>
      </c>
      <c r="I1297">
        <v>284.7484</v>
      </c>
      <c r="J1297">
        <v>-227.63489999999999</v>
      </c>
      <c r="K1297">
        <v>1.1046659999999999</v>
      </c>
      <c r="L1297">
        <v>283.9547</v>
      </c>
      <c r="M1297">
        <v>-0.99987389999999998</v>
      </c>
      <c r="N1297">
        <v>0</v>
      </c>
      <c r="O1297">
        <v>-1.123736E-2</v>
      </c>
      <c r="P1297">
        <v>-0.99872680000000003</v>
      </c>
      <c r="Q1297">
        <v>4.5516229999999998E-2</v>
      </c>
      <c r="R1297">
        <v>-2.1751759999999998E-2</v>
      </c>
      <c r="S1297">
        <v>-3.0144199999999999</v>
      </c>
      <c r="T1297">
        <v>-0.1687495</v>
      </c>
      <c r="U1297">
        <v>0.1209412</v>
      </c>
      <c r="V1297">
        <v>-1.0515999999999999E-2</v>
      </c>
      <c r="W1297">
        <v>5.6729660000000001E-2</v>
      </c>
      <c r="X1297">
        <v>0.99833419999999895</v>
      </c>
      <c r="Y1297">
        <v>5.1217489999999997E-2</v>
      </c>
      <c r="Z1297">
        <v>2.0602979999999999E-3</v>
      </c>
      <c r="AA1297">
        <v>0.99868539999999995</v>
      </c>
      <c r="AB1297">
        <v>28</v>
      </c>
      <c r="AC1297">
        <v>-19.5564</v>
      </c>
      <c r="AD1297">
        <v>-1.1046637099600001</v>
      </c>
      <c r="AE1297">
        <v>0.79370000000000096</v>
      </c>
      <c r="AF1297">
        <v>1.0102080780909399</v>
      </c>
      <c r="AG1297">
        <v>-1.1046637099600001</v>
      </c>
      <c r="AH1297">
        <v>19.484179954201299</v>
      </c>
      <c r="AI1297">
        <v>93.240590869922897</v>
      </c>
      <c r="AJ1297">
        <v>87.032008608993806</v>
      </c>
      <c r="AK1297">
        <v>19.541598469952302</v>
      </c>
    </row>
    <row r="1298" spans="1:37" x14ac:dyDescent="0.2">
      <c r="A1298" t="str">
        <f>"20200111153426579"</f>
        <v>20200111153426579</v>
      </c>
      <c r="B1298" t="str">
        <f>"1578728066567493"</f>
        <v>1578728066567493</v>
      </c>
      <c r="C1298" t="s">
        <v>37</v>
      </c>
      <c r="D1298">
        <v>4.886965</v>
      </c>
      <c r="E1298">
        <v>0.52517159999999996</v>
      </c>
      <c r="F1298" t="s">
        <v>52</v>
      </c>
      <c r="G1298">
        <v>-247.61599999999899</v>
      </c>
      <c r="H1298" s="1">
        <v>2.5160760000000001E-6</v>
      </c>
      <c r="I1298">
        <v>284.8349</v>
      </c>
      <c r="J1298">
        <v>-227.80410000000001</v>
      </c>
      <c r="K1298">
        <v>1.1046180000000001</v>
      </c>
      <c r="L1298">
        <v>283.9529</v>
      </c>
      <c r="M1298">
        <v>-0.99987780000000004</v>
      </c>
      <c r="N1298">
        <v>0</v>
      </c>
      <c r="O1298">
        <v>-1.1187259999999999E-2</v>
      </c>
      <c r="P1298">
        <v>-0.99874549999999995</v>
      </c>
      <c r="Q1298">
        <v>4.5418720000000003E-2</v>
      </c>
      <c r="R1298">
        <v>-2.109405E-2</v>
      </c>
      <c r="S1298">
        <v>-3.014313</v>
      </c>
      <c r="T1298">
        <v>-0.16664760000000001</v>
      </c>
      <c r="U1298">
        <v>0.13278199999999901</v>
      </c>
      <c r="V1298">
        <v>-9.9087889999999994E-3</v>
      </c>
      <c r="W1298">
        <v>5.6338810000000003E-2</v>
      </c>
      <c r="X1298">
        <v>0.99836250000000004</v>
      </c>
      <c r="Y1298">
        <v>5.5081150000000002E-2</v>
      </c>
      <c r="Z1298">
        <v>2.1384830000000001E-3</v>
      </c>
      <c r="AA1298">
        <v>0.99847960000000002</v>
      </c>
      <c r="AB1298">
        <v>28</v>
      </c>
      <c r="AC1298">
        <v>-19.811899999999898</v>
      </c>
      <c r="AD1298">
        <v>-1.1046154839240001</v>
      </c>
      <c r="AE1298">
        <v>0.882000000000005</v>
      </c>
      <c r="AF1298">
        <v>1.1001855765637301</v>
      </c>
      <c r="AG1298">
        <v>-1.1046154839240001</v>
      </c>
      <c r="AH1298">
        <v>19.739550565136401</v>
      </c>
      <c r="AI1298">
        <v>93.197950122866999</v>
      </c>
      <c r="AJ1298">
        <v>86.809915214073598</v>
      </c>
      <c r="AK1298">
        <v>19.801021190428099</v>
      </c>
    </row>
    <row r="1299" spans="1:37" x14ac:dyDescent="0.2">
      <c r="A1299" t="str">
        <f>"20200111153426596"</f>
        <v>20200111153426596</v>
      </c>
      <c r="B1299" t="str">
        <f>"1578728066587992"</f>
        <v>1578728066587992</v>
      </c>
      <c r="C1299" t="s">
        <v>37</v>
      </c>
      <c r="D1299">
        <v>4.9305510000000004</v>
      </c>
      <c r="E1299">
        <v>0.524833199999999</v>
      </c>
      <c r="F1299" t="s">
        <v>40</v>
      </c>
      <c r="G1299">
        <v>-228.78270000000001</v>
      </c>
      <c r="H1299">
        <v>1.050881</v>
      </c>
      <c r="I1299">
        <v>283.99779999999998</v>
      </c>
      <c r="J1299">
        <v>-228.02869999999999</v>
      </c>
      <c r="K1299">
        <v>1.104557</v>
      </c>
      <c r="L1299">
        <v>283.9504</v>
      </c>
      <c r="M1299">
        <v>-0.99988290000000002</v>
      </c>
      <c r="N1299">
        <v>0</v>
      </c>
      <c r="O1299">
        <v>-1.111323E-2</v>
      </c>
      <c r="P1299">
        <v>-0.99877800000000005</v>
      </c>
      <c r="Q1299">
        <v>4.539456E-2</v>
      </c>
      <c r="R1299">
        <v>-1.9544579999999999E-2</v>
      </c>
      <c r="S1299">
        <v>-3.0142060000000002</v>
      </c>
      <c r="T1299">
        <v>-0.1656435</v>
      </c>
      <c r="U1299">
        <v>0.13772579999999901</v>
      </c>
      <c r="V1299">
        <v>-8.4327329999999995E-3</v>
      </c>
      <c r="W1299">
        <v>5.5905570000000002E-2</v>
      </c>
      <c r="X1299">
        <v>0.99840039999999997</v>
      </c>
      <c r="Y1299">
        <v>5.6642030000000003E-2</v>
      </c>
      <c r="Z1299">
        <v>2.1643819999999999E-3</v>
      </c>
      <c r="AA1299">
        <v>0.99839219999999895</v>
      </c>
      <c r="AB1299">
        <v>28</v>
      </c>
      <c r="AC1299">
        <v>-0.75400000000001899</v>
      </c>
      <c r="AD1299">
        <v>-5.3676000000000001E-2</v>
      </c>
      <c r="AE1299">
        <v>4.7399999999981901E-2</v>
      </c>
      <c r="AF1299">
        <v>5.5496773488247601E-2</v>
      </c>
      <c r="AG1299">
        <v>-5.3676000000000001E-2</v>
      </c>
      <c r="AH1299">
        <v>0.74964256847632804</v>
      </c>
      <c r="AI1299">
        <v>94.084370902703398</v>
      </c>
      <c r="AJ1299">
        <v>85.766060881758506</v>
      </c>
      <c r="AK1299">
        <v>0.75360797853751005</v>
      </c>
    </row>
    <row r="1300" spans="1:37" x14ac:dyDescent="0.2">
      <c r="A1300" t="str">
        <f>"20200111153426620"</f>
        <v>20200111153426620</v>
      </c>
      <c r="B1300" t="str">
        <f>"1578728066607508"</f>
        <v>1578728066607508</v>
      </c>
      <c r="C1300" t="s">
        <v>37</v>
      </c>
      <c r="D1300">
        <v>4.9050729999999998</v>
      </c>
      <c r="E1300">
        <v>0.52440989999999998</v>
      </c>
      <c r="F1300" t="s">
        <v>52</v>
      </c>
      <c r="G1300">
        <v>-248.8732</v>
      </c>
      <c r="H1300" s="1">
        <v>3.1850660000000001E-6</v>
      </c>
      <c r="I1300">
        <v>284.91640000000001</v>
      </c>
      <c r="J1300">
        <v>-228.31819999999999</v>
      </c>
      <c r="K1300">
        <v>1.104484</v>
      </c>
      <c r="L1300">
        <v>283.94740000000002</v>
      </c>
      <c r="M1300">
        <v>-0.99988949999999999</v>
      </c>
      <c r="N1300">
        <v>0</v>
      </c>
      <c r="O1300">
        <v>-1.100927E-2</v>
      </c>
      <c r="P1300">
        <v>-0.9987819</v>
      </c>
      <c r="Q1300">
        <v>4.5947769999999999E-2</v>
      </c>
      <c r="R1300">
        <v>-1.798777E-2</v>
      </c>
      <c r="S1300">
        <v>-3.0136720000000001</v>
      </c>
      <c r="T1300">
        <v>-0.159695</v>
      </c>
      <c r="U1300">
        <v>0.13964840000000001</v>
      </c>
      <c r="V1300">
        <v>-6.9792550000000002E-3</v>
      </c>
      <c r="W1300">
        <v>5.59389E-2</v>
      </c>
      <c r="X1300">
        <v>0.99840980000000001</v>
      </c>
      <c r="Y1300">
        <v>5.7188360000000001E-2</v>
      </c>
      <c r="Z1300">
        <v>2.096058E-3</v>
      </c>
      <c r="AA1300">
        <v>0.99836119999999995</v>
      </c>
      <c r="AB1300">
        <v>28</v>
      </c>
      <c r="AC1300">
        <v>-20.555</v>
      </c>
      <c r="AD1300">
        <v>-1.104480814934</v>
      </c>
      <c r="AE1300">
        <v>0.96899999999999398</v>
      </c>
      <c r="AF1300">
        <v>1.1918146920572401</v>
      </c>
      <c r="AG1300">
        <v>-1.104480814934</v>
      </c>
      <c r="AH1300">
        <v>20.484074556165499</v>
      </c>
      <c r="AI1300">
        <v>93.081141841555805</v>
      </c>
      <c r="AJ1300">
        <v>86.670142270198298</v>
      </c>
      <c r="AK1300">
        <v>20.548421120692101</v>
      </c>
    </row>
    <row r="1301" spans="1:37" x14ac:dyDescent="0.2">
      <c r="A1301" t="str">
        <f>"20200111153426641"</f>
        <v>20200111153426641</v>
      </c>
      <c r="B1301" t="str">
        <f>"1578728066637764"</f>
        <v>1578728066637764</v>
      </c>
      <c r="C1301" t="s">
        <v>37</v>
      </c>
      <c r="D1301">
        <v>4.9420599999999997</v>
      </c>
      <c r="E1301">
        <v>0.5238564</v>
      </c>
      <c r="F1301" t="s">
        <v>40</v>
      </c>
      <c r="G1301">
        <v>-229.2978</v>
      </c>
      <c r="H1301">
        <v>1.0550459999999999</v>
      </c>
      <c r="I1301">
        <v>283.9932</v>
      </c>
      <c r="J1301">
        <v>-228.5959</v>
      </c>
      <c r="K1301">
        <v>1.1044160000000001</v>
      </c>
      <c r="L1301">
        <v>283.94439999999997</v>
      </c>
      <c r="M1301">
        <v>-0.99989539999999999</v>
      </c>
      <c r="N1301">
        <v>0</v>
      </c>
      <c r="O1301">
        <v>-1.090211E-2</v>
      </c>
      <c r="P1301">
        <v>-0.99875040000000004</v>
      </c>
      <c r="Q1301">
        <v>4.7173729999999997E-2</v>
      </c>
      <c r="R1301">
        <v>-1.6510609999999998E-2</v>
      </c>
      <c r="S1301">
        <v>-3.0131839999999999</v>
      </c>
      <c r="T1301">
        <v>-0.15209690000000001</v>
      </c>
      <c r="U1301">
        <v>0.1407166</v>
      </c>
      <c r="V1301">
        <v>-5.6093389999999996E-3</v>
      </c>
      <c r="W1301">
        <v>5.6672060000000003E-2</v>
      </c>
      <c r="X1301">
        <v>0.99837710000000002</v>
      </c>
      <c r="Y1301">
        <v>5.7450569999999999E-2</v>
      </c>
      <c r="Z1301">
        <v>1.99797E-3</v>
      </c>
      <c r="AA1301">
        <v>0.99834630000000002</v>
      </c>
      <c r="AB1301">
        <v>29</v>
      </c>
      <c r="AC1301">
        <v>-0.70189999999999397</v>
      </c>
      <c r="AD1301">
        <v>-4.9370000000000101E-2</v>
      </c>
      <c r="AE1301">
        <v>4.88000000000283E-2</v>
      </c>
      <c r="AF1301">
        <v>5.6173063310057801E-2</v>
      </c>
      <c r="AG1301">
        <v>-4.9370000000000101E-2</v>
      </c>
      <c r="AH1301">
        <v>0.69789011345477803</v>
      </c>
      <c r="AI1301">
        <v>94.033464008977802</v>
      </c>
      <c r="AJ1301">
        <v>85.398192563294899</v>
      </c>
      <c r="AK1301">
        <v>0.70188561774662295</v>
      </c>
    </row>
    <row r="1302" spans="1:37" x14ac:dyDescent="0.2">
      <c r="A1302" t="str">
        <f>"20200111153426655"</f>
        <v>20200111153426655</v>
      </c>
      <c r="B1302" t="str">
        <f>"1578728066647525"</f>
        <v>1578728066647525</v>
      </c>
      <c r="C1302" t="s">
        <v>37</v>
      </c>
      <c r="D1302">
        <v>4.8864609999999997</v>
      </c>
      <c r="E1302">
        <v>0.52361029999999997</v>
      </c>
      <c r="F1302" t="s">
        <v>52</v>
      </c>
      <c r="G1302">
        <v>-251.7782</v>
      </c>
      <c r="H1302" s="1">
        <v>-5.9050730000000001E-7</v>
      </c>
      <c r="I1302">
        <v>285.02460000000002</v>
      </c>
      <c r="J1302">
        <v>-228.77889999999999</v>
      </c>
      <c r="K1302">
        <v>1.1043810000000001</v>
      </c>
      <c r="L1302">
        <v>283.9425</v>
      </c>
      <c r="M1302">
        <v>-0.99989919999999999</v>
      </c>
      <c r="N1302">
        <v>0</v>
      </c>
      <c r="O1302">
        <v>-1.082927E-2</v>
      </c>
      <c r="P1302">
        <v>-0.99871089999999996</v>
      </c>
      <c r="Q1302">
        <v>4.8050410000000002E-2</v>
      </c>
      <c r="R1302">
        <v>-1.6377360000000001E-2</v>
      </c>
      <c r="S1302">
        <v>-3.012848</v>
      </c>
      <c r="T1302">
        <v>-0.14353339999999901</v>
      </c>
      <c r="U1302">
        <v>0.1403809</v>
      </c>
      <c r="V1302">
        <v>-5.5482229999999997E-3</v>
      </c>
      <c r="W1302">
        <v>5.7236189999999999E-2</v>
      </c>
      <c r="X1302">
        <v>0.99834529999999999</v>
      </c>
      <c r="Y1302">
        <v>5.7281739999999998E-2</v>
      </c>
      <c r="Z1302">
        <v>1.8783389999999999E-3</v>
      </c>
      <c r="AA1302">
        <v>0.99835629999999997</v>
      </c>
      <c r="AB1302">
        <v>29</v>
      </c>
      <c r="AC1302">
        <v>-22.999300000000002</v>
      </c>
      <c r="AD1302">
        <v>-1.1043815905073</v>
      </c>
      <c r="AE1302">
        <v>1.08210000000002</v>
      </c>
      <c r="AF1302">
        <v>1.32805729007475</v>
      </c>
      <c r="AG1302">
        <v>-1.1043815905073</v>
      </c>
      <c r="AH1302">
        <v>22.933470726864101</v>
      </c>
      <c r="AI1302">
        <v>92.752395101818493</v>
      </c>
      <c r="AJ1302">
        <v>86.685752807094701</v>
      </c>
      <c r="AK1302">
        <v>22.998423303415901</v>
      </c>
    </row>
    <row r="1303" spans="1:37" x14ac:dyDescent="0.2">
      <c r="A1303" t="str">
        <f>"20200111153426668"</f>
        <v>20200111153426668</v>
      </c>
      <c r="B1303" t="str">
        <f>"1578728066657285"</f>
        <v>1578728066657285</v>
      </c>
      <c r="C1303" t="s">
        <v>37</v>
      </c>
      <c r="D1303">
        <v>4.8732709999999999</v>
      </c>
      <c r="E1303">
        <v>0.52342390000000005</v>
      </c>
      <c r="F1303" t="s">
        <v>52</v>
      </c>
      <c r="G1303">
        <v>-252.67850000000001</v>
      </c>
      <c r="H1303" s="1">
        <v>-1.11451899999999E-7</v>
      </c>
      <c r="I1303">
        <v>285.04349999999999</v>
      </c>
      <c r="J1303">
        <v>-228.94710000000001</v>
      </c>
      <c r="K1303">
        <v>1.104349</v>
      </c>
      <c r="L1303">
        <v>283.94069999999999</v>
      </c>
      <c r="M1303">
        <v>-0.99990239999999997</v>
      </c>
      <c r="N1303">
        <v>0</v>
      </c>
      <c r="O1303">
        <v>-1.0761140000000001E-2</v>
      </c>
      <c r="P1303">
        <v>-0.99867479999999997</v>
      </c>
      <c r="Q1303">
        <v>4.8920599999999898E-2</v>
      </c>
      <c r="R1303">
        <v>-1.5980500000000002E-2</v>
      </c>
      <c r="S1303">
        <v>-3.012848</v>
      </c>
      <c r="T1303">
        <v>-0.13922129999999999</v>
      </c>
      <c r="U1303">
        <v>0.1387939</v>
      </c>
      <c r="V1303">
        <v>-5.220049E-3</v>
      </c>
      <c r="W1303">
        <v>5.7825540000000002E-2</v>
      </c>
      <c r="X1303">
        <v>0.99831309999999995</v>
      </c>
      <c r="Y1303">
        <v>5.6694210000000002E-2</v>
      </c>
      <c r="Z1303">
        <v>1.805285E-3</v>
      </c>
      <c r="AA1303">
        <v>0.99839</v>
      </c>
      <c r="AB1303">
        <v>29</v>
      </c>
      <c r="AC1303">
        <v>-23.731400000000001</v>
      </c>
      <c r="AD1303">
        <v>-1.1043491114519</v>
      </c>
      <c r="AE1303">
        <v>1.1028</v>
      </c>
      <c r="AF1303">
        <v>1.35519479148559</v>
      </c>
      <c r="AG1303">
        <v>-1.1043491114519</v>
      </c>
      <c r="AH1303">
        <v>23.667016507302101</v>
      </c>
      <c r="AI1303">
        <v>92.667232092195704</v>
      </c>
      <c r="AJ1303">
        <v>86.722770473262798</v>
      </c>
      <c r="AK1303">
        <v>23.731494058313</v>
      </c>
    </row>
    <row r="1304" spans="1:37" x14ac:dyDescent="0.2">
      <c r="A1304" t="str">
        <f>"20200111153426687"</f>
        <v>20200111153426687</v>
      </c>
      <c r="B1304" t="str">
        <f>"1578728066677783"</f>
        <v>1578728066677783</v>
      </c>
      <c r="C1304" t="s">
        <v>37</v>
      </c>
      <c r="D1304">
        <v>4.8779750000000002</v>
      </c>
      <c r="E1304">
        <v>0.52286699999999997</v>
      </c>
      <c r="F1304" t="s">
        <v>52</v>
      </c>
      <c r="G1304">
        <v>-253.33959999999999</v>
      </c>
      <c r="H1304" s="1">
        <v>2.4035759999999999E-7</v>
      </c>
      <c r="I1304">
        <v>285.06270000000001</v>
      </c>
      <c r="J1304">
        <v>-229.18459999999999</v>
      </c>
      <c r="K1304">
        <v>1.1042969999999901</v>
      </c>
      <c r="L1304">
        <v>283.93830000000003</v>
      </c>
      <c r="M1304">
        <v>-0.99990689999999904</v>
      </c>
      <c r="N1304">
        <v>0</v>
      </c>
      <c r="O1304">
        <v>-1.0664669999999999E-2</v>
      </c>
      <c r="P1304">
        <v>-0.99862379999999995</v>
      </c>
      <c r="Q1304">
        <v>5.0102769999999998E-2</v>
      </c>
      <c r="R1304">
        <v>-1.549769E-2</v>
      </c>
      <c r="S1304">
        <v>-3.012848</v>
      </c>
      <c r="T1304">
        <v>-0.13640450000000001</v>
      </c>
      <c r="U1304">
        <v>0.13858029999999999</v>
      </c>
      <c r="V1304">
        <v>-4.8332879999999998E-3</v>
      </c>
      <c r="W1304">
        <v>5.8611940000000001E-2</v>
      </c>
      <c r="X1304">
        <v>0.99826909999999902</v>
      </c>
      <c r="Y1304">
        <v>5.653035E-2</v>
      </c>
      <c r="Z1304">
        <v>1.7607289999999999E-3</v>
      </c>
      <c r="AA1304">
        <v>0.99839929999999999</v>
      </c>
      <c r="AB1304">
        <v>29</v>
      </c>
      <c r="AC1304">
        <v>-24.155000000000001</v>
      </c>
      <c r="AD1304">
        <v>-1.10429675964239</v>
      </c>
      <c r="AE1304">
        <v>1.1243999999999801</v>
      </c>
      <c r="AF1304">
        <v>1.3790743806377499</v>
      </c>
      <c r="AG1304">
        <v>-1.10429675964239</v>
      </c>
      <c r="AH1304">
        <v>24.091390996274999</v>
      </c>
      <c r="AI1304">
        <v>92.620192918386707</v>
      </c>
      <c r="AJ1304">
        <v>86.723767216086998</v>
      </c>
      <c r="AK1304">
        <v>24.156084898345799</v>
      </c>
    </row>
    <row r="1305" spans="1:37" x14ac:dyDescent="0.2">
      <c r="A1305" t="str">
        <f>"20200111153426701"</f>
        <v>20200111153426701</v>
      </c>
      <c r="B1305" t="str">
        <f>"1578728066697301"</f>
        <v>1578728066697301</v>
      </c>
      <c r="C1305" t="s">
        <v>37</v>
      </c>
      <c r="D1305">
        <v>4.8822779999999897</v>
      </c>
      <c r="E1305">
        <v>0.52251400000000003</v>
      </c>
      <c r="F1305" t="s">
        <v>52</v>
      </c>
      <c r="G1305">
        <v>-254.77109999999999</v>
      </c>
      <c r="H1305" s="1">
        <v>1.002151E-6</v>
      </c>
      <c r="I1305">
        <v>285.08949999999999</v>
      </c>
      <c r="J1305">
        <v>-229.3673</v>
      </c>
      <c r="K1305">
        <v>1.1042620000000001</v>
      </c>
      <c r="L1305">
        <v>283.93630000000002</v>
      </c>
      <c r="M1305">
        <v>-0.99991019999999897</v>
      </c>
      <c r="N1305">
        <v>0</v>
      </c>
      <c r="O1305">
        <v>-1.059033E-2</v>
      </c>
      <c r="P1305">
        <v>-0.99860139999999997</v>
      </c>
      <c r="Q1305">
        <v>5.0690939999999997E-2</v>
      </c>
      <c r="R1305">
        <v>-1.5027230000000001E-2</v>
      </c>
      <c r="S1305">
        <v>-3.012756</v>
      </c>
      <c r="T1305">
        <v>-0.13002839999999999</v>
      </c>
      <c r="U1305">
        <v>0.13555909999999999</v>
      </c>
      <c r="V1305">
        <v>-4.436695E-3</v>
      </c>
      <c r="W1305">
        <v>5.889374E-2</v>
      </c>
      <c r="X1305">
        <v>0.99825439999999999</v>
      </c>
      <c r="Y1305">
        <v>5.5465649999999998E-2</v>
      </c>
      <c r="Z1305">
        <v>1.652431E-3</v>
      </c>
      <c r="AA1305">
        <v>0.99845919999999899</v>
      </c>
      <c r="AB1305">
        <v>29</v>
      </c>
      <c r="AC1305">
        <v>-25.403799999999901</v>
      </c>
      <c r="AD1305">
        <v>-1.1042609978489999</v>
      </c>
      <c r="AE1305">
        <v>1.15319999999996</v>
      </c>
      <c r="AF1305">
        <v>1.4195023931958901</v>
      </c>
      <c r="AG1305">
        <v>-1.1042609978489999</v>
      </c>
      <c r="AH1305">
        <v>25.342376240791399</v>
      </c>
      <c r="AI1305">
        <v>92.491110728055801</v>
      </c>
      <c r="AJ1305">
        <v>86.794041839560705</v>
      </c>
      <c r="AK1305">
        <v>25.406109755834098</v>
      </c>
    </row>
    <row r="1306" spans="1:37" x14ac:dyDescent="0.2">
      <c r="A1306" t="str">
        <f>"20200111153426719"</f>
        <v>20200111153426719</v>
      </c>
      <c r="B1306" t="str">
        <f>"1578728066708039"</f>
        <v>1578728066708039</v>
      </c>
      <c r="C1306" t="s">
        <v>37</v>
      </c>
      <c r="D1306">
        <v>4.8661479999999999</v>
      </c>
      <c r="E1306">
        <v>0.52232829999999997</v>
      </c>
      <c r="F1306" t="s">
        <v>52</v>
      </c>
      <c r="G1306">
        <v>-255.59299999999999</v>
      </c>
      <c r="H1306" s="1">
        <v>1.4395060000000001E-6</v>
      </c>
      <c r="I1306">
        <v>285.10390000000001</v>
      </c>
      <c r="J1306">
        <v>-229.60939999999999</v>
      </c>
      <c r="K1306">
        <v>1.1042069999999999</v>
      </c>
      <c r="L1306">
        <v>283.93389999999999</v>
      </c>
      <c r="M1306">
        <v>-0.99991450000000004</v>
      </c>
      <c r="N1306">
        <v>0</v>
      </c>
      <c r="O1306">
        <v>-1.049196E-2</v>
      </c>
      <c r="P1306">
        <v>-0.99857619999999903</v>
      </c>
      <c r="Q1306">
        <v>5.1219809999999998E-2</v>
      </c>
      <c r="R1306">
        <v>-1.491395E-2</v>
      </c>
      <c r="S1306">
        <v>-3.01268</v>
      </c>
      <c r="T1306">
        <v>-0.12685199999999999</v>
      </c>
      <c r="U1306">
        <v>0.13412479999999999</v>
      </c>
      <c r="V1306">
        <v>-4.4219070000000001E-3</v>
      </c>
      <c r="W1306">
        <v>5.9022270000000002E-2</v>
      </c>
      <c r="X1306">
        <v>0.99824679999999999</v>
      </c>
      <c r="Y1306">
        <v>5.4897649999999999E-2</v>
      </c>
      <c r="Z1306">
        <v>1.5960729999999999E-3</v>
      </c>
      <c r="AA1306">
        <v>0.99849069999999995</v>
      </c>
      <c r="AB1306">
        <v>29</v>
      </c>
      <c r="AC1306">
        <v>-25.983599999999999</v>
      </c>
      <c r="AD1306">
        <v>-1.104205560494</v>
      </c>
      <c r="AE1306">
        <v>1.1700000000000099</v>
      </c>
      <c r="AF1306">
        <v>1.4399675713376301</v>
      </c>
      <c r="AG1306">
        <v>-1.104205560494</v>
      </c>
      <c r="AH1306">
        <v>25.9231730136236</v>
      </c>
      <c r="AI1306">
        <v>92.4353073497726</v>
      </c>
      <c r="AJ1306">
        <v>86.820629748720407</v>
      </c>
      <c r="AK1306">
        <v>25.986605696408098</v>
      </c>
    </row>
    <row r="1307" spans="1:37" x14ac:dyDescent="0.2">
      <c r="A1307" t="str">
        <f>"20200111153426733"</f>
        <v>20200111153426733</v>
      </c>
      <c r="B1307" t="str">
        <f>"1578728066727558"</f>
        <v>1578728066727558</v>
      </c>
      <c r="C1307" t="s">
        <v>37</v>
      </c>
      <c r="D1307">
        <v>4.8057299999999996</v>
      </c>
      <c r="E1307">
        <v>0.52192150000000004</v>
      </c>
      <c r="F1307" t="s">
        <v>52</v>
      </c>
      <c r="G1307">
        <v>-256.45319999999998</v>
      </c>
      <c r="H1307" s="1">
        <v>1.8972649999999999E-6</v>
      </c>
      <c r="I1307">
        <v>285.12049999999999</v>
      </c>
      <c r="J1307">
        <v>-229.79169999999999</v>
      </c>
      <c r="K1307">
        <v>1.104169</v>
      </c>
      <c r="L1307">
        <v>283.93200000000002</v>
      </c>
      <c r="M1307">
        <v>-0.99991739999999996</v>
      </c>
      <c r="N1307">
        <v>0</v>
      </c>
      <c r="O1307">
        <v>-1.041804E-2</v>
      </c>
      <c r="P1307">
        <v>-0.99856719999999899</v>
      </c>
      <c r="Q1307">
        <v>5.1339349999999999E-2</v>
      </c>
      <c r="R1307">
        <v>-1.509565E-2</v>
      </c>
      <c r="S1307">
        <v>-3.0126189999999999</v>
      </c>
      <c r="T1307">
        <v>-0.12392249999999901</v>
      </c>
      <c r="U1307">
        <v>0.13317870000000001</v>
      </c>
      <c r="V1307">
        <v>-4.6770900000000001E-3</v>
      </c>
      <c r="W1307">
        <v>5.8851849999999997E-2</v>
      </c>
      <c r="X1307">
        <v>0.99825580000000003</v>
      </c>
      <c r="Y1307">
        <v>5.451479E-2</v>
      </c>
      <c r="Z1307">
        <v>1.54838E-3</v>
      </c>
      <c r="AA1307">
        <v>0.99851179999999995</v>
      </c>
      <c r="AB1307">
        <v>29</v>
      </c>
      <c r="AC1307">
        <v>-26.661499999999901</v>
      </c>
      <c r="AD1307">
        <v>-1.104167102735</v>
      </c>
      <c r="AE1307">
        <v>1.1884999999999699</v>
      </c>
      <c r="AF1307">
        <v>1.46369846566565</v>
      </c>
      <c r="AG1307">
        <v>-1.104167102735</v>
      </c>
      <c r="AH1307">
        <v>26.602134836358601</v>
      </c>
      <c r="AI1307">
        <v>92.373209523060694</v>
      </c>
      <c r="AJ1307">
        <v>86.850656209214705</v>
      </c>
      <c r="AK1307">
        <v>26.665242846090099</v>
      </c>
    </row>
    <row r="1308" spans="1:37" x14ac:dyDescent="0.2">
      <c r="A1308" t="str">
        <f>"20200111153426753"</f>
        <v>20200111153426753</v>
      </c>
      <c r="B1308" t="str">
        <f>"1578728066748053"</f>
        <v>1578728066748053</v>
      </c>
      <c r="C1308" t="s">
        <v>37</v>
      </c>
      <c r="D1308">
        <v>4.8215050000000002</v>
      </c>
      <c r="E1308">
        <v>0.5216826</v>
      </c>
      <c r="F1308" t="s">
        <v>52</v>
      </c>
      <c r="G1308">
        <v>-256.98500000000001</v>
      </c>
      <c r="H1308" s="1">
        <v>2.1803110000000002E-6</v>
      </c>
      <c r="I1308">
        <v>285.10250000000002</v>
      </c>
      <c r="J1308">
        <v>-230.0498</v>
      </c>
      <c r="K1308">
        <v>1.104114</v>
      </c>
      <c r="L1308">
        <v>283.92939999999999</v>
      </c>
      <c r="M1308">
        <v>-0.99992159999999997</v>
      </c>
      <c r="N1308">
        <v>0</v>
      </c>
      <c r="O1308">
        <v>-1.031434E-2</v>
      </c>
      <c r="P1308">
        <v>-0.99859240000000005</v>
      </c>
      <c r="Q1308">
        <v>5.0678840000000003E-2</v>
      </c>
      <c r="R1308">
        <v>-1.5656819999999998E-2</v>
      </c>
      <c r="S1308">
        <v>-3.0125579999999998</v>
      </c>
      <c r="T1308">
        <v>-0.12232269999999899</v>
      </c>
      <c r="U1308">
        <v>0.12966920000000001</v>
      </c>
      <c r="V1308">
        <v>-5.3414469999999896E-3</v>
      </c>
      <c r="W1308">
        <v>5.7793650000000002E-2</v>
      </c>
      <c r="X1308">
        <v>0.99831429999999999</v>
      </c>
      <c r="Y1308">
        <v>5.3253549999999997E-2</v>
      </c>
      <c r="Z1308">
        <v>1.4986839999999999E-3</v>
      </c>
      <c r="AA1308">
        <v>0.99857989999999996</v>
      </c>
      <c r="AB1308">
        <v>29</v>
      </c>
      <c r="AC1308">
        <v>-26.935199999999998</v>
      </c>
      <c r="AD1308">
        <v>-1.1041118196890001</v>
      </c>
      <c r="AE1308">
        <v>1.17310000000003</v>
      </c>
      <c r="AF1308">
        <v>1.4484342179522001</v>
      </c>
      <c r="AG1308">
        <v>-1.1041118196890001</v>
      </c>
      <c r="AH1308">
        <v>26.876591952530401</v>
      </c>
      <c r="AI1308">
        <v>92.349028636084398</v>
      </c>
      <c r="AJ1308">
        <v>86.915198019883206</v>
      </c>
      <c r="AK1308">
        <v>26.9382297038416</v>
      </c>
    </row>
    <row r="1309" spans="1:37" x14ac:dyDescent="0.2">
      <c r="A1309" t="str">
        <f>"20200111153426766"</f>
        <v>20200111153426766</v>
      </c>
      <c r="B1309" t="str">
        <f>"1578728066757813"</f>
        <v>1578728066757813</v>
      </c>
      <c r="C1309" t="s">
        <v>37</v>
      </c>
      <c r="D1309">
        <v>4.8106809999999998</v>
      </c>
      <c r="E1309">
        <v>0.52166480000000004</v>
      </c>
      <c r="F1309" t="s">
        <v>52</v>
      </c>
      <c r="G1309">
        <v>-256.96960000000001</v>
      </c>
      <c r="H1309" s="1">
        <v>2.1720819999999998E-6</v>
      </c>
      <c r="I1309">
        <v>285.05869999999999</v>
      </c>
      <c r="J1309">
        <v>-230.2303</v>
      </c>
      <c r="K1309">
        <v>1.1040760000000001</v>
      </c>
      <c r="L1309">
        <v>283.92759999999998</v>
      </c>
      <c r="M1309">
        <v>-0.99992420000000004</v>
      </c>
      <c r="N1309">
        <v>0</v>
      </c>
      <c r="O1309">
        <v>-1.0242009999999999E-2</v>
      </c>
      <c r="P1309">
        <v>-0.99859799999999999</v>
      </c>
      <c r="Q1309">
        <v>5.0395450000000001E-2</v>
      </c>
      <c r="R1309">
        <v>-1.6199580000000002E-2</v>
      </c>
      <c r="S1309">
        <v>-3.0124819999999999</v>
      </c>
      <c r="T1309">
        <v>-0.123556399999999</v>
      </c>
      <c r="U1309">
        <v>0.12637329999999999</v>
      </c>
      <c r="V1309">
        <v>-5.9561969999999999E-3</v>
      </c>
      <c r="W1309">
        <v>5.72381E-2</v>
      </c>
      <c r="X1309">
        <v>0.99834279999999997</v>
      </c>
      <c r="Y1309">
        <v>5.2091760000000001E-2</v>
      </c>
      <c r="Z1309">
        <v>1.487089E-3</v>
      </c>
      <c r="AA1309">
        <v>0.99864120000000001</v>
      </c>
      <c r="AB1309">
        <v>29</v>
      </c>
      <c r="AC1309">
        <v>-26.7393</v>
      </c>
      <c r="AD1309">
        <v>-1.104073827918</v>
      </c>
      <c r="AE1309">
        <v>1.1311</v>
      </c>
      <c r="AF1309">
        <v>1.40252436486901</v>
      </c>
      <c r="AG1309">
        <v>-1.104073827918</v>
      </c>
      <c r="AH1309">
        <v>26.680905691434599</v>
      </c>
      <c r="AI1309">
        <v>92.366322602805795</v>
      </c>
      <c r="AJ1309">
        <v>86.990925526548807</v>
      </c>
      <c r="AK1309">
        <v>26.740545658732799</v>
      </c>
    </row>
    <row r="1310" spans="1:37" x14ac:dyDescent="0.2">
      <c r="A1310" t="str">
        <f>"20200111153426787"</f>
        <v>20200111153426787</v>
      </c>
      <c r="B1310" t="str">
        <f>"1578728066777335"</f>
        <v>1578728066777335</v>
      </c>
      <c r="C1310" t="s">
        <v>37</v>
      </c>
      <c r="D1310">
        <v>4.7927499999999998</v>
      </c>
      <c r="E1310">
        <v>0.5216693</v>
      </c>
      <c r="F1310" t="s">
        <v>52</v>
      </c>
      <c r="G1310">
        <v>-257.42259999999999</v>
      </c>
      <c r="H1310" s="1">
        <v>2.413175E-6</v>
      </c>
      <c r="I1310">
        <v>285.05349999999999</v>
      </c>
      <c r="J1310">
        <v>-230.49760000000001</v>
      </c>
      <c r="K1310">
        <v>1.1040219999999901</v>
      </c>
      <c r="L1310">
        <v>283.92500000000001</v>
      </c>
      <c r="M1310">
        <v>-0.99992780000000003</v>
      </c>
      <c r="N1310">
        <v>0</v>
      </c>
      <c r="O1310">
        <v>-1.013524E-2</v>
      </c>
      <c r="P1310">
        <v>-0.99862689999999998</v>
      </c>
      <c r="Q1310">
        <v>4.9548969999999998E-2</v>
      </c>
      <c r="R1310">
        <v>-1.7005070000000001E-2</v>
      </c>
      <c r="S1310">
        <v>-3.0124209999999998</v>
      </c>
      <c r="T1310">
        <v>-0.12231119999999999</v>
      </c>
      <c r="U1310">
        <v>0.1247253</v>
      </c>
      <c r="V1310">
        <v>-6.8683069999999997E-3</v>
      </c>
      <c r="W1310">
        <v>5.5995549999999998E-2</v>
      </c>
      <c r="X1310">
        <v>0.99840739999999994</v>
      </c>
      <c r="Y1310">
        <v>5.1442250000000002E-2</v>
      </c>
      <c r="Z1310">
        <v>1.4546539999999899E-3</v>
      </c>
      <c r="AA1310">
        <v>0.99867490000000003</v>
      </c>
      <c r="AB1310">
        <v>29</v>
      </c>
      <c r="AC1310">
        <v>-26.924999999999901</v>
      </c>
      <c r="AD1310">
        <v>-1.10401958682499</v>
      </c>
      <c r="AE1310">
        <v>1.1284999999999701</v>
      </c>
      <c r="AF1310">
        <v>1.3989910753236201</v>
      </c>
      <c r="AG1310">
        <v>-1.10401958682499</v>
      </c>
      <c r="AH1310">
        <v>26.867087039728599</v>
      </c>
      <c r="AI1310">
        <v>92.349888499403406</v>
      </c>
      <c r="AJ1310">
        <v>87.019254180293302</v>
      </c>
      <c r="AK1310">
        <v>26.926128598023201</v>
      </c>
    </row>
    <row r="1311" spans="1:37" x14ac:dyDescent="0.2">
      <c r="A1311" t="str">
        <f>"20200111153426799"</f>
        <v>20200111153426799</v>
      </c>
      <c r="B1311" t="str">
        <f>"1578728066797828"</f>
        <v>1578728066797828</v>
      </c>
      <c r="C1311" t="s">
        <v>37</v>
      </c>
      <c r="D1311">
        <v>3.4778470000000001</v>
      </c>
      <c r="E1311">
        <v>0.53186299999999997</v>
      </c>
      <c r="F1311" t="s">
        <v>52</v>
      </c>
      <c r="G1311">
        <v>-257.46550000000002</v>
      </c>
      <c r="H1311" s="1">
        <v>2.43596699999999E-6</v>
      </c>
      <c r="I1311">
        <v>285.022999999999</v>
      </c>
      <c r="J1311">
        <v>-230.67080000000001</v>
      </c>
      <c r="K1311">
        <v>1.1039809999999901</v>
      </c>
      <c r="L1311">
        <v>283.92329999999998</v>
      </c>
      <c r="M1311">
        <v>-0.99993009999999904</v>
      </c>
      <c r="N1311">
        <v>0</v>
      </c>
      <c r="O1311">
        <v>-1.006629E-2</v>
      </c>
      <c r="P1311">
        <v>-0.99864200000000003</v>
      </c>
      <c r="Q1311">
        <v>4.9039010000000001E-2</v>
      </c>
      <c r="R1311">
        <v>-1.758943E-2</v>
      </c>
      <c r="S1311">
        <v>-3.0123289999999998</v>
      </c>
      <c r="T1311">
        <v>-0.1233194</v>
      </c>
      <c r="U1311">
        <v>0.1226501</v>
      </c>
      <c r="V1311">
        <v>-7.5213279999999999E-3</v>
      </c>
      <c r="W1311">
        <v>5.52338E-2</v>
      </c>
      <c r="X1311">
        <v>0.99844509999999898</v>
      </c>
      <c r="Y1311">
        <v>5.0687620000000003E-2</v>
      </c>
      <c r="Z1311">
        <v>1.448445E-3</v>
      </c>
      <c r="AA1311">
        <v>0.99871350000000003</v>
      </c>
      <c r="AB1311">
        <v>30</v>
      </c>
      <c r="AC1311">
        <v>-26.794699999999999</v>
      </c>
      <c r="AD1311">
        <v>-1.103978564033</v>
      </c>
      <c r="AE1311">
        <v>1.0996999999999799</v>
      </c>
      <c r="AF1311">
        <v>1.3670559400042399</v>
      </c>
      <c r="AG1311">
        <v>-1.103978564033</v>
      </c>
      <c r="AH1311">
        <v>26.736961144894199</v>
      </c>
      <c r="AI1311">
        <v>92.361338816194205</v>
      </c>
      <c r="AJ1311">
        <v>87.0730261043621</v>
      </c>
      <c r="AK1311">
        <v>26.7946394242678</v>
      </c>
    </row>
    <row r="1312" spans="1:37" x14ac:dyDescent="0.2">
      <c r="A1312" t="str">
        <f>"20200111153426819"</f>
        <v>20200111153426819</v>
      </c>
      <c r="B1312" t="str">
        <f>"1578728066807588"</f>
        <v>1578728066807588</v>
      </c>
      <c r="C1312" t="s">
        <v>37</v>
      </c>
      <c r="D1312">
        <v>3.892239</v>
      </c>
      <c r="E1312">
        <v>0.52704419999999996</v>
      </c>
      <c r="F1312" t="s">
        <v>40</v>
      </c>
      <c r="G1312">
        <v>-231.57830000000001</v>
      </c>
      <c r="H1312">
        <v>0.89444279999999998</v>
      </c>
      <c r="I1312">
        <v>283.98439999999999</v>
      </c>
      <c r="J1312">
        <v>-230.93450000000001</v>
      </c>
      <c r="K1312">
        <v>1.10392</v>
      </c>
      <c r="L1312">
        <v>283.92070000000001</v>
      </c>
      <c r="M1312">
        <v>-0.99993339999999997</v>
      </c>
      <c r="N1312">
        <v>0</v>
      </c>
      <c r="O1312">
        <v>-9.9618840000000007E-3</v>
      </c>
      <c r="P1312">
        <v>-0.99870249999999905</v>
      </c>
      <c r="Q1312">
        <v>4.7557559999999999E-2</v>
      </c>
      <c r="R1312">
        <v>-1.8213739999999999E-2</v>
      </c>
      <c r="S1312">
        <v>-3.04216</v>
      </c>
      <c r="T1312">
        <v>-0.70251359999999996</v>
      </c>
      <c r="U1312">
        <v>0.20437620000000001</v>
      </c>
      <c r="V1312">
        <v>-8.2491539999999999E-3</v>
      </c>
      <c r="W1312">
        <v>5.3388779999999997E-2</v>
      </c>
      <c r="X1312">
        <v>0.99853969999999903</v>
      </c>
      <c r="Y1312">
        <v>7.4746740000000006E-2</v>
      </c>
      <c r="Z1312">
        <v>1.0777480000000001E-2</v>
      </c>
      <c r="AA1312">
        <v>0.99714429999999998</v>
      </c>
      <c r="AB1312">
        <v>30</v>
      </c>
      <c r="AC1312">
        <v>-0.64379999999999804</v>
      </c>
      <c r="AD1312">
        <v>-0.2094772</v>
      </c>
      <c r="AE1312">
        <v>6.3699999999982895E-2</v>
      </c>
      <c r="AF1312">
        <v>6.3457334298611501E-2</v>
      </c>
      <c r="AG1312">
        <v>-0.2094772</v>
      </c>
      <c r="AH1312">
        <v>0.58210380291853403</v>
      </c>
      <c r="AI1312">
        <v>109.684306342592</v>
      </c>
      <c r="AJ1312">
        <v>83.778538326600497</v>
      </c>
      <c r="AK1312">
        <v>0.62189417746779496</v>
      </c>
    </row>
    <row r="1313" spans="1:37" x14ac:dyDescent="0.2">
      <c r="A1313" t="str">
        <f>"20200111153426841"</f>
        <v>20200111153426841</v>
      </c>
      <c r="B1313" t="str">
        <f>"1578728066837416"</f>
        <v>1578728066837416</v>
      </c>
      <c r="C1313" t="s">
        <v>37</v>
      </c>
      <c r="D1313">
        <v>5.1721490000000001</v>
      </c>
      <c r="E1313">
        <v>0.53370479999999998</v>
      </c>
      <c r="F1313" t="s">
        <v>40</v>
      </c>
      <c r="G1313">
        <v>-231.80690000000001</v>
      </c>
      <c r="H1313">
        <v>0.79067149999999997</v>
      </c>
      <c r="I1313">
        <v>283.96789999999999</v>
      </c>
      <c r="J1313">
        <v>-231.23</v>
      </c>
      <c r="K1313">
        <v>1.1038680000000001</v>
      </c>
      <c r="L1313">
        <v>283.91789999999997</v>
      </c>
      <c r="M1313">
        <v>-0.99993659999999995</v>
      </c>
      <c r="N1313">
        <v>0</v>
      </c>
      <c r="O1313">
        <v>-9.8457170000000004E-3</v>
      </c>
      <c r="P1313">
        <v>-0.99878369999999905</v>
      </c>
      <c r="Q1313">
        <v>4.5697479999999999E-2</v>
      </c>
      <c r="R1313">
        <v>-1.8513769999999999E-2</v>
      </c>
      <c r="S1313">
        <v>-3.0591889999999999</v>
      </c>
      <c r="T1313">
        <v>-1.0984080000000001</v>
      </c>
      <c r="U1313">
        <v>0.16482539999999901</v>
      </c>
      <c r="V1313">
        <v>-8.6653630000000006E-3</v>
      </c>
      <c r="W1313">
        <v>5.1153089999999998E-2</v>
      </c>
      <c r="X1313">
        <v>0.99865319999999902</v>
      </c>
      <c r="Y1313">
        <v>5.9318200000000001E-2</v>
      </c>
      <c r="Z1313">
        <v>1.374555E-2</v>
      </c>
      <c r="AA1313">
        <v>0.99814449999999999</v>
      </c>
      <c r="AB1313">
        <v>30</v>
      </c>
      <c r="AC1313">
        <v>-0.57690000000002295</v>
      </c>
      <c r="AD1313">
        <v>-0.31319649999999999</v>
      </c>
      <c r="AE1313">
        <v>5.0000000000011299E-2</v>
      </c>
      <c r="AF1313">
        <v>4.3076215744009501E-2</v>
      </c>
      <c r="AG1313">
        <v>-0.31319649999999999</v>
      </c>
      <c r="AH1313">
        <v>0.44592858704729099</v>
      </c>
      <c r="AI1313">
        <v>124.95711253485599</v>
      </c>
      <c r="AJ1313">
        <v>84.482409802596493</v>
      </c>
      <c r="AK1313">
        <v>0.54662593491442302</v>
      </c>
    </row>
    <row r="1314" spans="1:37" x14ac:dyDescent="0.2">
      <c r="A1314" t="str">
        <f>"20200111153426854"</f>
        <v>20200111153426854</v>
      </c>
      <c r="B1314" t="str">
        <f>"1578728066847176"</f>
        <v>1578728066847176</v>
      </c>
      <c r="C1314" t="s">
        <v>37</v>
      </c>
      <c r="D1314">
        <v>4.7601500000000003</v>
      </c>
      <c r="E1314">
        <v>0.53370479999999998</v>
      </c>
      <c r="F1314" t="s">
        <v>40</v>
      </c>
      <c r="G1314">
        <v>-232.09229999999999</v>
      </c>
      <c r="H1314">
        <v>0.82843899999999904</v>
      </c>
      <c r="I1314">
        <v>283.97910000000002</v>
      </c>
      <c r="J1314">
        <v>-231.41139999999999</v>
      </c>
      <c r="K1314">
        <v>1.1038379999999901</v>
      </c>
      <c r="L1314">
        <v>283.91609999999997</v>
      </c>
      <c r="M1314">
        <v>-0.99993849999999995</v>
      </c>
      <c r="N1314">
        <v>0</v>
      </c>
      <c r="O1314">
        <v>-9.7747159999999993E-3</v>
      </c>
      <c r="P1314">
        <v>-0.99881690000000001</v>
      </c>
      <c r="Q1314">
        <v>4.4936990000000003E-2</v>
      </c>
      <c r="R1314">
        <v>-1.8591340000000001E-2</v>
      </c>
      <c r="S1314">
        <v>-3.0522459999999998</v>
      </c>
      <c r="T1314">
        <v>-0.97484559999999998</v>
      </c>
      <c r="U1314">
        <v>0.21600340000000001</v>
      </c>
      <c r="V1314">
        <v>-8.8134210000000001E-3</v>
      </c>
      <c r="W1314">
        <v>5.0176819999999997E-2</v>
      </c>
      <c r="X1314">
        <v>0.99870149999999902</v>
      </c>
      <c r="Y1314">
        <v>7.6086340000000002E-2</v>
      </c>
      <c r="Z1314">
        <v>1.488455E-2</v>
      </c>
      <c r="AA1314">
        <v>0.99699009999999999</v>
      </c>
      <c r="AB1314">
        <v>30</v>
      </c>
      <c r="AC1314">
        <v>-0.68090000000000805</v>
      </c>
      <c r="AD1314">
        <v>-0.27539899999999901</v>
      </c>
      <c r="AE1314">
        <v>6.3000000000045006E-2</v>
      </c>
      <c r="AF1314">
        <v>5.9931656487530502E-2</v>
      </c>
      <c r="AG1314">
        <v>-0.27539899999999901</v>
      </c>
      <c r="AH1314">
        <v>0.58531280017059595</v>
      </c>
      <c r="AI1314">
        <v>115.082821238554</v>
      </c>
      <c r="AJ1314">
        <v>84.153714824673798</v>
      </c>
      <c r="AK1314">
        <v>0.64963642654478904</v>
      </c>
    </row>
    <row r="1315" spans="1:37" x14ac:dyDescent="0.2">
      <c r="A1315" t="str">
        <f>"20200111153426866"</f>
        <v>20200111153426866</v>
      </c>
      <c r="B1315" t="str">
        <f>"1578728066857911"</f>
        <v>1578728066857911</v>
      </c>
      <c r="C1315" t="s">
        <v>37</v>
      </c>
      <c r="D1315">
        <v>4.7242470000000001</v>
      </c>
      <c r="E1315">
        <v>0.52859679999999998</v>
      </c>
      <c r="F1315" t="s">
        <v>40</v>
      </c>
      <c r="G1315">
        <v>-232.11199999999999</v>
      </c>
      <c r="H1315">
        <v>0.87945680000000004</v>
      </c>
      <c r="I1315">
        <v>283.96570000000003</v>
      </c>
      <c r="J1315">
        <v>-231.5763</v>
      </c>
      <c r="K1315">
        <v>1.1038110000000001</v>
      </c>
      <c r="L1315">
        <v>283.91460000000001</v>
      </c>
      <c r="M1315">
        <v>-0.9999401</v>
      </c>
      <c r="N1315">
        <v>0</v>
      </c>
      <c r="O1315">
        <v>-9.7101289999999996E-3</v>
      </c>
      <c r="P1315">
        <v>-0.99883489999999997</v>
      </c>
      <c r="Q1315">
        <v>4.4582719999999999E-2</v>
      </c>
      <c r="R1315">
        <v>-1.8473779999999999E-2</v>
      </c>
      <c r="S1315">
        <v>-3.0515140000000001</v>
      </c>
      <c r="T1315">
        <v>-0.9773288</v>
      </c>
      <c r="U1315">
        <v>0.21511839999999999</v>
      </c>
      <c r="V1315">
        <v>-8.7603200000000003E-3</v>
      </c>
      <c r="W1315">
        <v>4.9637239999999999E-2</v>
      </c>
      <c r="X1315">
        <v>0.99872890000000003</v>
      </c>
      <c r="Y1315">
        <v>7.5747880000000004E-2</v>
      </c>
      <c r="Z1315">
        <v>1.485123E-2</v>
      </c>
      <c r="AA1315">
        <v>0.99701640000000002</v>
      </c>
      <c r="AB1315">
        <v>30</v>
      </c>
      <c r="AC1315">
        <v>-0.53569999999999096</v>
      </c>
      <c r="AD1315">
        <v>-0.224354199999999</v>
      </c>
      <c r="AE1315">
        <v>5.1100000000019401E-2</v>
      </c>
      <c r="AF1315">
        <v>4.7962665069901801E-2</v>
      </c>
      <c r="AG1315">
        <v>-0.224354199999999</v>
      </c>
      <c r="AH1315">
        <v>0.45593028916716499</v>
      </c>
      <c r="AI1315">
        <v>116.076185010093</v>
      </c>
      <c r="AJ1315">
        <v>83.994722408728705</v>
      </c>
      <c r="AK1315">
        <v>0.51039950321126204</v>
      </c>
    </row>
    <row r="1316" spans="1:37" x14ac:dyDescent="0.2">
      <c r="A1316" t="str">
        <f>"20200111153426879"</f>
        <v>20200111153426879</v>
      </c>
      <c r="B1316" t="str">
        <f>"1578728066867673"</f>
        <v>1578728066867673</v>
      </c>
      <c r="C1316" t="s">
        <v>37</v>
      </c>
      <c r="D1316">
        <v>5.0289229999999998</v>
      </c>
      <c r="E1316">
        <v>0.52899830000000003</v>
      </c>
      <c r="F1316" t="s">
        <v>40</v>
      </c>
      <c r="G1316">
        <v>-232.43219999999999</v>
      </c>
      <c r="H1316">
        <v>0.98530099999999998</v>
      </c>
      <c r="I1316">
        <v>283.96350000000001</v>
      </c>
      <c r="J1316">
        <v>-231.7457</v>
      </c>
      <c r="K1316">
        <v>1.103785</v>
      </c>
      <c r="L1316">
        <v>283.91300000000001</v>
      </c>
      <c r="M1316">
        <v>-0.99994159999999899</v>
      </c>
      <c r="N1316">
        <v>0</v>
      </c>
      <c r="O1316">
        <v>-9.6436569999999999E-3</v>
      </c>
      <c r="P1316">
        <v>-0.99886379999999997</v>
      </c>
      <c r="Q1316">
        <v>4.3987419999999999E-2</v>
      </c>
      <c r="R1316">
        <v>-1.83397E-2</v>
      </c>
      <c r="S1316">
        <v>-3.0254059999999998</v>
      </c>
      <c r="T1316">
        <v>-0.41893760000000002</v>
      </c>
      <c r="U1316">
        <v>0.17312620000000001</v>
      </c>
      <c r="V1316">
        <v>-8.6925530000000004E-3</v>
      </c>
      <c r="W1316">
        <v>4.8858560000000002E-2</v>
      </c>
      <c r="X1316">
        <v>0.99876790000000004</v>
      </c>
      <c r="Y1316">
        <v>6.6036159999999997E-2</v>
      </c>
      <c r="Z1316">
        <v>5.8748109999999997E-3</v>
      </c>
      <c r="AA1316">
        <v>0.99779989999999996</v>
      </c>
      <c r="AB1316">
        <v>30</v>
      </c>
      <c r="AC1316">
        <v>-0.686499999999995</v>
      </c>
      <c r="AD1316">
        <v>-0.11848400000000001</v>
      </c>
      <c r="AE1316">
        <v>5.0499999999999497E-2</v>
      </c>
      <c r="AF1316">
        <v>5.5474530929194701E-2</v>
      </c>
      <c r="AG1316">
        <v>-0.11848400000000001</v>
      </c>
      <c r="AH1316">
        <v>0.66624200073555395</v>
      </c>
      <c r="AI1316">
        <v>100.049948423911</v>
      </c>
      <c r="AJ1316">
        <v>85.240255873067397</v>
      </c>
      <c r="AK1316">
        <v>0.67896559955709701</v>
      </c>
    </row>
    <row r="1317" spans="1:37" x14ac:dyDescent="0.2">
      <c r="A1317" t="str">
        <f>"20200111153426898"</f>
        <v>20200111153426898</v>
      </c>
      <c r="B1317" t="str">
        <f>"1578728066887193"</f>
        <v>1578728066887193</v>
      </c>
      <c r="C1317" t="s">
        <v>37</v>
      </c>
      <c r="D1317">
        <v>4.6757710000000001</v>
      </c>
      <c r="E1317">
        <v>0.52111960000000002</v>
      </c>
      <c r="F1317" t="s">
        <v>40</v>
      </c>
      <c r="G1317">
        <v>-232.71690000000001</v>
      </c>
      <c r="H1317">
        <v>1.008626</v>
      </c>
      <c r="I1317">
        <v>283.9699</v>
      </c>
      <c r="J1317">
        <v>-232.00909999999999</v>
      </c>
      <c r="K1317">
        <v>1.1037429999999999</v>
      </c>
      <c r="L1317">
        <v>283.91059999999999</v>
      </c>
      <c r="M1317">
        <v>-0.9999439</v>
      </c>
      <c r="N1317">
        <v>0</v>
      </c>
      <c r="O1317">
        <v>-9.5409169999999995E-3</v>
      </c>
      <c r="P1317">
        <v>-0.99892009999999898</v>
      </c>
      <c r="Q1317">
        <v>4.2827610000000002E-2</v>
      </c>
      <c r="R1317">
        <v>-1.802399E-2</v>
      </c>
      <c r="S1317">
        <v>-3.0196689999999999</v>
      </c>
      <c r="T1317">
        <v>-0.29597620000000002</v>
      </c>
      <c r="U1317">
        <v>0.17639160000000001</v>
      </c>
      <c r="V1317">
        <v>-8.4788209999999992E-3</v>
      </c>
      <c r="W1317">
        <v>4.7439710000000003E-2</v>
      </c>
      <c r="X1317">
        <v>0.99883809999999995</v>
      </c>
      <c r="Y1317">
        <v>6.7469109999999999E-2</v>
      </c>
      <c r="Z1317">
        <v>4.2280420000000004E-3</v>
      </c>
      <c r="AA1317">
        <v>0.99771239999999894</v>
      </c>
      <c r="AB1317">
        <v>30</v>
      </c>
      <c r="AC1317">
        <v>-0.70780000000001997</v>
      </c>
      <c r="AD1317">
        <v>-9.5116999999999896E-2</v>
      </c>
      <c r="AE1317">
        <v>5.9300000000007402E-2</v>
      </c>
      <c r="AF1317">
        <v>6.4886806327771607E-2</v>
      </c>
      <c r="AG1317">
        <v>-9.5116999999999896E-2</v>
      </c>
      <c r="AH1317">
        <v>0.69474304581370205</v>
      </c>
      <c r="AI1317">
        <v>97.762506711848502</v>
      </c>
      <c r="AJ1317">
        <v>84.664233797529704</v>
      </c>
      <c r="AK1317">
        <v>0.70421973916592095</v>
      </c>
    </row>
    <row r="1318" spans="1:37" x14ac:dyDescent="0.2">
      <c r="A1318" t="str">
        <f>"20200111153426912"</f>
        <v>20200111153426912</v>
      </c>
      <c r="B1318" t="str">
        <f>"1578728066907687"</f>
        <v>1578728066907687</v>
      </c>
      <c r="C1318" t="s">
        <v>37</v>
      </c>
      <c r="D1318">
        <v>4.7443609999999996</v>
      </c>
      <c r="E1318">
        <v>0.51818980000000003</v>
      </c>
      <c r="F1318" t="s">
        <v>40</v>
      </c>
      <c r="G1318">
        <v>-232.7363</v>
      </c>
      <c r="H1318">
        <v>1.048098</v>
      </c>
      <c r="I1318">
        <v>283.93819999999999</v>
      </c>
      <c r="J1318">
        <v>-232.1952</v>
      </c>
      <c r="K1318">
        <v>1.103715</v>
      </c>
      <c r="L1318">
        <v>283.90879999999999</v>
      </c>
      <c r="M1318">
        <v>-0.99994539999999998</v>
      </c>
      <c r="N1318">
        <v>0</v>
      </c>
      <c r="O1318">
        <v>-9.4683270000000003E-3</v>
      </c>
      <c r="P1318">
        <v>-0.99895970000000001</v>
      </c>
      <c r="Q1318">
        <v>4.1786579999999997E-2</v>
      </c>
      <c r="R1318">
        <v>-1.8263700000000001E-2</v>
      </c>
      <c r="S1318">
        <v>-3.0151819999999998</v>
      </c>
      <c r="T1318">
        <v>-0.23090769999999999</v>
      </c>
      <c r="U1318">
        <v>0.11398319999999899</v>
      </c>
      <c r="V1318">
        <v>-8.7917610000000004E-3</v>
      </c>
      <c r="W1318">
        <v>4.6235110000000003E-2</v>
      </c>
      <c r="X1318">
        <v>0.99889189999999894</v>
      </c>
      <c r="Y1318">
        <v>4.7070729999999998E-2</v>
      </c>
      <c r="Z1318">
        <v>2.522917E-3</v>
      </c>
      <c r="AA1318">
        <v>0.99888840000000001</v>
      </c>
      <c r="AB1318">
        <v>30</v>
      </c>
      <c r="AC1318">
        <v>-0.54110000000000003</v>
      </c>
      <c r="AD1318">
        <v>-5.5617E-2</v>
      </c>
      <c r="AE1318">
        <v>2.9400000000009599E-2</v>
      </c>
      <c r="AF1318">
        <v>3.4162190571116101E-2</v>
      </c>
      <c r="AG1318">
        <v>-5.5617E-2</v>
      </c>
      <c r="AH1318">
        <v>0.53516017059910603</v>
      </c>
      <c r="AI1318">
        <v>95.921249342215901</v>
      </c>
      <c r="AJ1318">
        <v>86.347454056154405</v>
      </c>
      <c r="AK1318">
        <v>0.53912587968792702</v>
      </c>
    </row>
    <row r="1319" spans="1:37" x14ac:dyDescent="0.2">
      <c r="A1319" t="str">
        <f>"20200111153426931"</f>
        <v>20200111153426931</v>
      </c>
      <c r="B1319" t="str">
        <f>"1578728066927263"</f>
        <v>1578728066927263</v>
      </c>
      <c r="C1319" t="s">
        <v>37</v>
      </c>
      <c r="D1319">
        <v>4.7866559999999998</v>
      </c>
      <c r="E1319">
        <v>0.5167119</v>
      </c>
      <c r="F1319" t="s">
        <v>40</v>
      </c>
      <c r="G1319">
        <v>-233.00970000000001</v>
      </c>
      <c r="H1319">
        <v>1.0458829999999999</v>
      </c>
      <c r="I1319">
        <v>283.93310000000002</v>
      </c>
      <c r="J1319">
        <v>-232.453</v>
      </c>
      <c r="K1319">
        <v>1.1036709999999901</v>
      </c>
      <c r="L1319">
        <v>283.90649999999999</v>
      </c>
      <c r="M1319">
        <v>-0.99994719999999904</v>
      </c>
      <c r="N1319">
        <v>0</v>
      </c>
      <c r="O1319">
        <v>-9.3658509999999997E-3</v>
      </c>
      <c r="P1319">
        <v>-0.99902400000000002</v>
      </c>
      <c r="Q1319">
        <v>3.9816879999999999E-2</v>
      </c>
      <c r="R1319">
        <v>-1.9136739999999999E-2</v>
      </c>
      <c r="S1319">
        <v>-3.0137179999999999</v>
      </c>
      <c r="T1319">
        <v>-0.21408449999999901</v>
      </c>
      <c r="U1319">
        <v>8.9477539999999994E-2</v>
      </c>
      <c r="V1319">
        <v>-9.7662930000000005E-3</v>
      </c>
      <c r="W1319">
        <v>4.405485E-2</v>
      </c>
      <c r="X1319">
        <v>0.99898140000000002</v>
      </c>
      <c r="Y1319">
        <v>3.8915949999999998E-2</v>
      </c>
      <c r="Z1319">
        <v>2.044546E-3</v>
      </c>
      <c r="AA1319">
        <v>0.99924040000000003</v>
      </c>
      <c r="AB1319">
        <v>31</v>
      </c>
      <c r="AC1319">
        <v>-0.55670000000000597</v>
      </c>
      <c r="AD1319">
        <v>-5.7787999999999902E-2</v>
      </c>
      <c r="AE1319">
        <v>2.6600000000030301E-2</v>
      </c>
      <c r="AF1319">
        <v>3.1474472066270402E-2</v>
      </c>
      <c r="AG1319">
        <v>-5.7787999999999902E-2</v>
      </c>
      <c r="AH1319">
        <v>0.55050802364229801</v>
      </c>
      <c r="AI1319">
        <v>95.982814218683103</v>
      </c>
      <c r="AJ1319">
        <v>86.727761924194397</v>
      </c>
      <c r="AK1319">
        <v>0.55442689277342905</v>
      </c>
    </row>
    <row r="1320" spans="1:37" x14ac:dyDescent="0.2">
      <c r="A1320" t="str">
        <f>"20200111153426943"</f>
        <v>20200111153426943</v>
      </c>
      <c r="B1320" t="str">
        <f>"1578728066937999"</f>
        <v>1578728066937999</v>
      </c>
      <c r="C1320" t="s">
        <v>37</v>
      </c>
      <c r="D1320">
        <v>4.7883870000000002</v>
      </c>
      <c r="E1320">
        <v>0.51602199999999998</v>
      </c>
      <c r="F1320" t="s">
        <v>40</v>
      </c>
      <c r="G1320">
        <v>-233.28649999999999</v>
      </c>
      <c r="H1320">
        <v>1.0461879999999999</v>
      </c>
      <c r="I1320">
        <v>283.9273</v>
      </c>
      <c r="J1320">
        <v>-232.6309</v>
      </c>
      <c r="K1320">
        <v>1.103637</v>
      </c>
      <c r="L1320">
        <v>283.9049</v>
      </c>
      <c r="M1320">
        <v>-0.99994839999999996</v>
      </c>
      <c r="N1320">
        <v>0</v>
      </c>
      <c r="O1320">
        <v>-9.2931049999999994E-3</v>
      </c>
      <c r="P1320">
        <v>-0.99907749999999995</v>
      </c>
      <c r="Q1320">
        <v>3.8249650000000003E-2</v>
      </c>
      <c r="R1320">
        <v>-1.9524799999999998E-2</v>
      </c>
      <c r="S1320">
        <v>-3.0126339999999998</v>
      </c>
      <c r="T1320">
        <v>-0.2078971</v>
      </c>
      <c r="U1320">
        <v>7.4676510000000001E-2</v>
      </c>
      <c r="V1320">
        <v>-1.0227200000000001E-2</v>
      </c>
      <c r="W1320">
        <v>4.2354139999999998E-2</v>
      </c>
      <c r="X1320">
        <v>0.99905029999999995</v>
      </c>
      <c r="Y1320">
        <v>3.39666E-2</v>
      </c>
      <c r="Z1320">
        <v>1.810879E-3</v>
      </c>
      <c r="AA1320">
        <v>0.99942129999999996</v>
      </c>
      <c r="AB1320">
        <v>31</v>
      </c>
      <c r="AC1320">
        <v>-0.65559999999999197</v>
      </c>
      <c r="AD1320">
        <v>-5.7449E-2</v>
      </c>
      <c r="AE1320">
        <v>2.24000000000046E-2</v>
      </c>
      <c r="AF1320">
        <v>2.8274783537919599E-2</v>
      </c>
      <c r="AG1320">
        <v>-5.7449E-2</v>
      </c>
      <c r="AH1320">
        <v>0.65037531588083797</v>
      </c>
      <c r="AI1320">
        <v>95.043214136126906</v>
      </c>
      <c r="AJ1320">
        <v>87.510658471984101</v>
      </c>
      <c r="AK1320">
        <v>0.653519626707734</v>
      </c>
    </row>
    <row r="1321" spans="1:37" x14ac:dyDescent="0.2">
      <c r="A1321" t="str">
        <f>"20200111153426957"</f>
        <v>20200111153426957</v>
      </c>
      <c r="B1321" t="str">
        <f>"1578728066947759"</f>
        <v>1578728066947759</v>
      </c>
      <c r="C1321" t="s">
        <v>37</v>
      </c>
      <c r="D1321">
        <v>4.7621099999999998</v>
      </c>
      <c r="E1321">
        <v>0.51557600000000003</v>
      </c>
      <c r="F1321" t="s">
        <v>40</v>
      </c>
      <c r="G1321">
        <v>-233.5607</v>
      </c>
      <c r="H1321">
        <v>1.0395779999999999</v>
      </c>
      <c r="I1321">
        <v>283.92599999999999</v>
      </c>
      <c r="J1321">
        <v>-232.8254</v>
      </c>
      <c r="K1321">
        <v>1.1036010000000001</v>
      </c>
      <c r="L1321">
        <v>283.90309999999999</v>
      </c>
      <c r="M1321">
        <v>-0.9999498</v>
      </c>
      <c r="N1321">
        <v>0</v>
      </c>
      <c r="O1321">
        <v>-9.2115410000000002E-3</v>
      </c>
      <c r="P1321">
        <v>-0.99911970000000005</v>
      </c>
      <c r="Q1321">
        <v>3.682991E-2</v>
      </c>
      <c r="R1321">
        <v>-2.0090960000000001E-2</v>
      </c>
      <c r="S1321">
        <v>-3.012054</v>
      </c>
      <c r="T1321">
        <v>-0.207583399999999</v>
      </c>
      <c r="U1321">
        <v>6.8115229999999999E-2</v>
      </c>
      <c r="V1321">
        <v>-1.087436E-2</v>
      </c>
      <c r="W1321">
        <v>4.0799090000000003E-2</v>
      </c>
      <c r="X1321">
        <v>0.9991082</v>
      </c>
      <c r="Y1321">
        <v>3.171968E-2</v>
      </c>
      <c r="Z1321">
        <v>1.7256070000000001E-3</v>
      </c>
      <c r="AA1321">
        <v>0.99949529999999998</v>
      </c>
      <c r="AB1321">
        <v>31</v>
      </c>
      <c r="AC1321">
        <v>-0.73529999999999496</v>
      </c>
      <c r="AD1321">
        <v>-6.4022999999999899E-2</v>
      </c>
      <c r="AE1321">
        <v>2.2899999999992801E-2</v>
      </c>
      <c r="AF1321">
        <v>2.9449280057689299E-2</v>
      </c>
      <c r="AG1321">
        <v>-6.4022999999999899E-2</v>
      </c>
      <c r="AH1321">
        <v>0.72953242190926304</v>
      </c>
      <c r="AI1321">
        <v>95.011307781685403</v>
      </c>
      <c r="AJ1321">
        <v>87.688377111880598</v>
      </c>
      <c r="AK1321">
        <v>0.732928208791087</v>
      </c>
    </row>
    <row r="1322" spans="1:37" x14ac:dyDescent="0.2">
      <c r="A1322" t="str">
        <f>"20200111153426978"</f>
        <v>20200111153426978</v>
      </c>
      <c r="B1322" t="str">
        <f>"1578728066967279"</f>
        <v>1578728066967279</v>
      </c>
      <c r="C1322" t="s">
        <v>37</v>
      </c>
      <c r="D1322">
        <v>4.7987609999999998</v>
      </c>
      <c r="E1322">
        <v>0.51500859999999904</v>
      </c>
      <c r="F1322" t="s">
        <v>40</v>
      </c>
      <c r="G1322">
        <v>-233.5703</v>
      </c>
      <c r="H1322">
        <v>1.0524169999999999</v>
      </c>
      <c r="I1322">
        <v>283.91879999999998</v>
      </c>
      <c r="J1322">
        <v>-233.10210000000001</v>
      </c>
      <c r="K1322">
        <v>1.1035360000000001</v>
      </c>
      <c r="L1322">
        <v>283.9008</v>
      </c>
      <c r="M1322">
        <v>-0.99995149999999999</v>
      </c>
      <c r="N1322">
        <v>0</v>
      </c>
      <c r="O1322">
        <v>-9.0896199999999996E-3</v>
      </c>
      <c r="P1322">
        <v>-0.99923629999999997</v>
      </c>
      <c r="Q1322">
        <v>3.2960059999999999E-2</v>
      </c>
      <c r="R1322">
        <v>-2.0989819999999999E-2</v>
      </c>
      <c r="S1322">
        <v>-3.011536</v>
      </c>
      <c r="T1322">
        <v>-0.2069957</v>
      </c>
      <c r="U1322">
        <v>6.2896729999999998E-2</v>
      </c>
      <c r="V1322">
        <v>-1.1894790000000001E-2</v>
      </c>
      <c r="W1322">
        <v>3.6758079999999999E-2</v>
      </c>
      <c r="X1322">
        <v>0.99925339999999996</v>
      </c>
      <c r="Y1322">
        <v>2.987565E-2</v>
      </c>
      <c r="Z1322">
        <v>1.6493969999999999E-3</v>
      </c>
      <c r="AA1322">
        <v>0.999552199999999</v>
      </c>
      <c r="AB1322">
        <v>31</v>
      </c>
      <c r="AC1322">
        <v>-0.46819999999999601</v>
      </c>
      <c r="AD1322">
        <v>-5.1119000000000102E-2</v>
      </c>
      <c r="AE1322">
        <v>1.7999999999972201E-2</v>
      </c>
      <c r="AF1322">
        <v>2.1993258874211899E-2</v>
      </c>
      <c r="AG1322">
        <v>-5.1119000000000102E-2</v>
      </c>
      <c r="AH1322">
        <v>0.46251171543401498</v>
      </c>
      <c r="AI1322">
        <v>96.299943044155597</v>
      </c>
      <c r="AJ1322">
        <v>87.277534012388102</v>
      </c>
      <c r="AK1322">
        <v>0.46584755286533702</v>
      </c>
    </row>
    <row r="1323" spans="1:37" x14ac:dyDescent="0.2">
      <c r="A1323" t="str">
        <f>"20200111153426992"</f>
        <v>20200111153426992</v>
      </c>
      <c r="B1323" t="str">
        <f>"1578728066987777"</f>
        <v>1578728066987777</v>
      </c>
      <c r="C1323" t="s">
        <v>37</v>
      </c>
      <c r="D1323">
        <v>4.8396669999999897</v>
      </c>
      <c r="E1323">
        <v>0.51396940000000002</v>
      </c>
      <c r="F1323" t="s">
        <v>40</v>
      </c>
      <c r="G1323">
        <v>-233.84899999999999</v>
      </c>
      <c r="H1323">
        <v>1.0516589999999999</v>
      </c>
      <c r="I1323">
        <v>283.91480000000001</v>
      </c>
      <c r="J1323">
        <v>-233.30500000000001</v>
      </c>
      <c r="K1323">
        <v>1.1034999999999999</v>
      </c>
      <c r="L1323">
        <v>283.899</v>
      </c>
      <c r="M1323">
        <v>-0.99995279999999998</v>
      </c>
      <c r="N1323">
        <v>0</v>
      </c>
      <c r="O1323">
        <v>-8.9935599999999994E-3</v>
      </c>
      <c r="P1323">
        <v>-0.99928899999999998</v>
      </c>
      <c r="Q1323">
        <v>3.1272950000000001E-2</v>
      </c>
      <c r="R1323">
        <v>-2.1056760000000001E-2</v>
      </c>
      <c r="S1323">
        <v>-3.010345</v>
      </c>
      <c r="T1323">
        <v>-0.20931050000000001</v>
      </c>
      <c r="U1323">
        <v>5.569458E-2</v>
      </c>
      <c r="V1323">
        <v>-1.205757E-2</v>
      </c>
      <c r="W1323">
        <v>3.4957259999999997E-2</v>
      </c>
      <c r="X1323">
        <v>0.99931610000000004</v>
      </c>
      <c r="Y1323">
        <v>2.7401390000000001E-2</v>
      </c>
      <c r="Z1323">
        <v>1.575915E-3</v>
      </c>
      <c r="AA1323">
        <v>0.99962329999999999</v>
      </c>
      <c r="AB1323">
        <v>31</v>
      </c>
      <c r="AC1323">
        <v>-0.54400000000001103</v>
      </c>
      <c r="AD1323">
        <v>-5.1840999999999797E-2</v>
      </c>
      <c r="AE1323">
        <v>1.5800000000012901E-2</v>
      </c>
      <c r="AF1323">
        <v>2.0505827680651199E-2</v>
      </c>
      <c r="AG1323">
        <v>-5.1840999999999797E-2</v>
      </c>
      <c r="AH1323">
        <v>0.53894568694150502</v>
      </c>
      <c r="AI1323">
        <v>95.490409116715796</v>
      </c>
      <c r="AJ1323">
        <v>87.821058867640403</v>
      </c>
      <c r="AK1323">
        <v>0.54182140205303697</v>
      </c>
    </row>
    <row r="1324" spans="1:37" x14ac:dyDescent="0.2">
      <c r="A1324" t="str">
        <f>"20200111153427011"</f>
        <v>20200111153427011</v>
      </c>
      <c r="B1324" t="str">
        <f>"1578728067007295"</f>
        <v>1578728067007295</v>
      </c>
      <c r="C1324" t="s">
        <v>37</v>
      </c>
      <c r="D1324">
        <v>4.7990129999999898</v>
      </c>
      <c r="E1324">
        <v>0.51300449999999997</v>
      </c>
      <c r="F1324" t="s">
        <v>40</v>
      </c>
      <c r="G1324">
        <v>-234.12459999999999</v>
      </c>
      <c r="H1324">
        <v>1.0457860000000001</v>
      </c>
      <c r="I1324">
        <v>283.91180000000003</v>
      </c>
      <c r="J1324">
        <v>-233.56120000000001</v>
      </c>
      <c r="K1324">
        <v>1.10345</v>
      </c>
      <c r="L1324">
        <v>283.89679999999998</v>
      </c>
      <c r="M1324">
        <v>-0.99995449999999997</v>
      </c>
      <c r="N1324">
        <v>0</v>
      </c>
      <c r="O1324">
        <v>-8.8639659999999992E-3</v>
      </c>
      <c r="P1324">
        <v>-0.99938609999999894</v>
      </c>
      <c r="Q1324">
        <v>2.8346449999999999E-2</v>
      </c>
      <c r="R1324">
        <v>-2.0588829999999999E-2</v>
      </c>
      <c r="S1324">
        <v>-3.0097499999999999</v>
      </c>
      <c r="T1324">
        <v>-0.2119702</v>
      </c>
      <c r="U1324">
        <v>4.6997070000000002E-2</v>
      </c>
      <c r="V1324">
        <v>-1.171854E-2</v>
      </c>
      <c r="W1324">
        <v>3.1897679999999998E-2</v>
      </c>
      <c r="X1324">
        <v>0.99942240000000004</v>
      </c>
      <c r="Y1324">
        <v>2.439301E-2</v>
      </c>
      <c r="Z1324">
        <v>1.4813269999999999E-3</v>
      </c>
      <c r="AA1324">
        <v>0.99970130000000001</v>
      </c>
      <c r="AB1324">
        <v>31</v>
      </c>
      <c r="AC1324">
        <v>-0.56339999999997303</v>
      </c>
      <c r="AD1324">
        <v>-5.7663999999999903E-2</v>
      </c>
      <c r="AE1324">
        <v>1.5000000000043199E-2</v>
      </c>
      <c r="AF1324">
        <v>1.9786275358157399E-2</v>
      </c>
      <c r="AG1324">
        <v>-5.7663999999999903E-2</v>
      </c>
      <c r="AH1324">
        <v>0.55740988017370796</v>
      </c>
      <c r="AI1324">
        <v>95.902542324209804</v>
      </c>
      <c r="AJ1324">
        <v>87.967035892589493</v>
      </c>
      <c r="AK1324">
        <v>0.56073381216386098</v>
      </c>
    </row>
    <row r="1325" spans="1:37" x14ac:dyDescent="0.2">
      <c r="A1325" t="str">
        <f>"20200111153427025"</f>
        <v>20200111153427025</v>
      </c>
      <c r="B1325" t="str">
        <f>"1578728067018031"</f>
        <v>1578728067018031</v>
      </c>
      <c r="C1325" t="s">
        <v>37</v>
      </c>
      <c r="D1325">
        <v>4.827826</v>
      </c>
      <c r="E1325">
        <v>0.51260419999999995</v>
      </c>
      <c r="F1325" t="s">
        <v>40</v>
      </c>
      <c r="G1325">
        <v>-234.40459999999999</v>
      </c>
      <c r="H1325">
        <v>1.0431779999999999</v>
      </c>
      <c r="I1325">
        <v>283.9083</v>
      </c>
      <c r="J1325">
        <v>-233.77440000000001</v>
      </c>
      <c r="K1325">
        <v>1.1034189999999999</v>
      </c>
      <c r="L1325">
        <v>283.89499999999998</v>
      </c>
      <c r="M1325">
        <v>-0.99995579999999995</v>
      </c>
      <c r="N1325">
        <v>0</v>
      </c>
      <c r="O1325">
        <v>-8.7479050000000003E-3</v>
      </c>
      <c r="P1325">
        <v>-0.99942609999999998</v>
      </c>
      <c r="Q1325">
        <v>2.7235280000000001E-2</v>
      </c>
      <c r="R1325">
        <v>-2.014405E-2</v>
      </c>
      <c r="S1325">
        <v>-3.0087739999999998</v>
      </c>
      <c r="T1325">
        <v>-0.2151933</v>
      </c>
      <c r="U1325">
        <v>4.0283199999999998E-2</v>
      </c>
      <c r="V1325">
        <v>-1.138919E-2</v>
      </c>
      <c r="W1325">
        <v>3.0686149999999999E-2</v>
      </c>
      <c r="X1325">
        <v>0.99946420000000002</v>
      </c>
      <c r="Y1325">
        <v>2.205536E-2</v>
      </c>
      <c r="Z1325">
        <v>1.4125279999999999E-3</v>
      </c>
      <c r="AA1325">
        <v>0.99975569999999903</v>
      </c>
      <c r="AB1325">
        <v>31</v>
      </c>
      <c r="AC1325">
        <v>-0.630199999999973</v>
      </c>
      <c r="AD1325">
        <v>-6.0240999999999899E-2</v>
      </c>
      <c r="AE1325">
        <v>1.33000000000151E-2</v>
      </c>
      <c r="AF1325">
        <v>1.8642186340915801E-2</v>
      </c>
      <c r="AG1325">
        <v>-6.0240999999999899E-2</v>
      </c>
      <c r="AH1325">
        <v>0.62435701373389596</v>
      </c>
      <c r="AI1325">
        <v>95.508676133126897</v>
      </c>
      <c r="AJ1325">
        <v>88.2897583745589</v>
      </c>
      <c r="AK1325">
        <v>0.62753341727056899</v>
      </c>
    </row>
    <row r="1326" spans="1:37" x14ac:dyDescent="0.2">
      <c r="A1326" t="str">
        <f>"20200111153427044"</f>
        <v>20200111153427044</v>
      </c>
      <c r="B1326" t="str">
        <f>"1578728067037552"</f>
        <v>1578728067037552</v>
      </c>
      <c r="C1326" t="s">
        <v>37</v>
      </c>
      <c r="D1326">
        <v>4.828284</v>
      </c>
      <c r="E1326">
        <v>0.51164109999999996</v>
      </c>
      <c r="F1326" t="s">
        <v>40</v>
      </c>
      <c r="G1326">
        <v>-234.68549999999999</v>
      </c>
      <c r="H1326">
        <v>1.037712</v>
      </c>
      <c r="I1326">
        <v>283.90649999999999</v>
      </c>
      <c r="J1326">
        <v>-234.03989999999999</v>
      </c>
      <c r="K1326">
        <v>1.1033790000000001</v>
      </c>
      <c r="L1326">
        <v>283.8929</v>
      </c>
      <c r="M1326">
        <v>-0.999957599999999</v>
      </c>
      <c r="N1326">
        <v>0</v>
      </c>
      <c r="O1326">
        <v>-8.5928380000000002E-3</v>
      </c>
      <c r="P1326">
        <v>-0.99948199999999998</v>
      </c>
      <c r="Q1326">
        <v>2.5927909999999998E-2</v>
      </c>
      <c r="R1326">
        <v>-1.90757999999999E-2</v>
      </c>
      <c r="S1326">
        <v>-3.0084230000000001</v>
      </c>
      <c r="T1326">
        <v>-0.2169932</v>
      </c>
      <c r="U1326">
        <v>3.80249E-2</v>
      </c>
      <c r="V1326">
        <v>-1.047555E-2</v>
      </c>
      <c r="W1326">
        <v>2.9263440000000002E-2</v>
      </c>
      <c r="X1326">
        <v>0.99951679999999998</v>
      </c>
      <c r="Y1326">
        <v>2.1152939999999999E-2</v>
      </c>
      <c r="Z1326">
        <v>1.3808119999999999E-3</v>
      </c>
      <c r="AA1326">
        <v>0.99977530000000003</v>
      </c>
      <c r="AB1326">
        <v>32</v>
      </c>
      <c r="AC1326">
        <v>-0.64560000000000095</v>
      </c>
      <c r="AD1326">
        <v>-6.5666999999999906E-2</v>
      </c>
      <c r="AE1326">
        <v>1.35999999999967E-2</v>
      </c>
      <c r="AF1326">
        <v>1.8951085877357499E-2</v>
      </c>
      <c r="AG1326">
        <v>-6.5666999999999906E-2</v>
      </c>
      <c r="AH1326">
        <v>0.63885274141806503</v>
      </c>
      <c r="AI1326">
        <v>95.866199315594201</v>
      </c>
      <c r="AJ1326">
        <v>88.300862090769996</v>
      </c>
      <c r="AK1326">
        <v>0.64249834533818695</v>
      </c>
    </row>
    <row r="1327" spans="1:37" x14ac:dyDescent="0.2">
      <c r="A1327" t="str">
        <f>"20200111153427059"</f>
        <v>20200111153427059</v>
      </c>
      <c r="B1327" t="str">
        <f>"1578728067047311"</f>
        <v>1578728067047311</v>
      </c>
      <c r="C1327" t="s">
        <v>37</v>
      </c>
      <c r="D1327">
        <v>4.7835939999999999</v>
      </c>
      <c r="E1327">
        <v>0.51119759999999903</v>
      </c>
      <c r="F1327" t="s">
        <v>40</v>
      </c>
      <c r="G1327">
        <v>-234.97030000000001</v>
      </c>
      <c r="H1327">
        <v>1.0371299999999899</v>
      </c>
      <c r="I1327">
        <v>283.90309999999999</v>
      </c>
      <c r="J1327">
        <v>-234.25120000000001</v>
      </c>
      <c r="K1327">
        <v>1.1033569999999999</v>
      </c>
      <c r="L1327">
        <v>283.89120000000003</v>
      </c>
      <c r="M1327">
        <v>-0.99995900000000004</v>
      </c>
      <c r="N1327">
        <v>0</v>
      </c>
      <c r="O1327">
        <v>-8.4619090000000001E-3</v>
      </c>
      <c r="P1327">
        <v>-0.99950649999999996</v>
      </c>
      <c r="Q1327">
        <v>2.545882E-2</v>
      </c>
      <c r="R1327">
        <v>-1.8402539999999998E-2</v>
      </c>
      <c r="S1327">
        <v>-3.0077509999999998</v>
      </c>
      <c r="T1327">
        <v>-0.21427570000000001</v>
      </c>
      <c r="U1327">
        <v>3.277588E-2</v>
      </c>
      <c r="V1327">
        <v>-9.9319000000000005E-3</v>
      </c>
      <c r="W1327">
        <v>2.8707679999999999E-2</v>
      </c>
      <c r="X1327">
        <v>0.9995385</v>
      </c>
      <c r="Y1327">
        <v>1.9287229999999999E-2</v>
      </c>
      <c r="Z1327">
        <v>1.288193E-3</v>
      </c>
      <c r="AA1327">
        <v>0.99981309999999901</v>
      </c>
      <c r="AB1327">
        <v>32</v>
      </c>
      <c r="AC1327">
        <v>-0.71909999999999696</v>
      </c>
      <c r="AD1327">
        <v>-6.6226999999999994E-2</v>
      </c>
      <c r="AE1327">
        <v>1.18999999999687E-2</v>
      </c>
      <c r="AF1327">
        <v>1.7833345632272301E-2</v>
      </c>
      <c r="AG1327">
        <v>-6.6226999999999994E-2</v>
      </c>
      <c r="AH1327">
        <v>0.71292824798527599</v>
      </c>
      <c r="AI1327">
        <v>95.305572549950597</v>
      </c>
      <c r="AJ1327">
        <v>88.567089451097502</v>
      </c>
      <c r="AK1327">
        <v>0.71621975016107697</v>
      </c>
    </row>
    <row r="1328" spans="1:37" x14ac:dyDescent="0.2">
      <c r="A1328" t="str">
        <f>"20200111153427078"</f>
        <v>20200111153427078</v>
      </c>
      <c r="B1328" t="str">
        <f>"1578728067067808"</f>
        <v>1578728067067808</v>
      </c>
      <c r="C1328" t="s">
        <v>37</v>
      </c>
      <c r="D1328">
        <v>4.888287</v>
      </c>
      <c r="E1328">
        <v>0.51052319999999995</v>
      </c>
      <c r="F1328" t="s">
        <v>40</v>
      </c>
      <c r="G1328">
        <v>-235.25450000000001</v>
      </c>
      <c r="H1328">
        <v>1.032324</v>
      </c>
      <c r="I1328">
        <v>283.90170000000001</v>
      </c>
      <c r="J1328">
        <v>-234.52930000000001</v>
      </c>
      <c r="K1328">
        <v>1.1033329999999999</v>
      </c>
      <c r="L1328">
        <v>283.88889999999998</v>
      </c>
      <c r="M1328">
        <v>-0.99996090000000004</v>
      </c>
      <c r="N1328">
        <v>0</v>
      </c>
      <c r="O1328">
        <v>-8.2802919999999999E-3</v>
      </c>
      <c r="P1328">
        <v>-0.99952799999999997</v>
      </c>
      <c r="Q1328">
        <v>2.5525349999999999E-2</v>
      </c>
      <c r="R1328">
        <v>-1.7103380000000001E-2</v>
      </c>
      <c r="S1328">
        <v>-3.0074619999999999</v>
      </c>
      <c r="T1328">
        <v>-0.21301869999999901</v>
      </c>
      <c r="U1328">
        <v>3.1036379999999999E-2</v>
      </c>
      <c r="V1328">
        <v>-8.81328199999999E-3</v>
      </c>
      <c r="W1328">
        <v>2.8668119999999998E-2</v>
      </c>
      <c r="X1328">
        <v>0.9995501</v>
      </c>
      <c r="Y1328">
        <v>1.8531619999999999E-2</v>
      </c>
      <c r="Z1328">
        <v>1.2412079999999999E-3</v>
      </c>
      <c r="AA1328">
        <v>0.99982749999999998</v>
      </c>
      <c r="AB1328">
        <v>32</v>
      </c>
      <c r="AC1328">
        <v>-0.72520000000000095</v>
      </c>
      <c r="AD1328">
        <v>-7.1008999999999795E-2</v>
      </c>
      <c r="AE1328">
        <v>1.2800000000027E-2</v>
      </c>
      <c r="AF1328">
        <v>1.8625934940537499E-2</v>
      </c>
      <c r="AG1328">
        <v>-7.1008999999999795E-2</v>
      </c>
      <c r="AH1328">
        <v>0.71818559773189805</v>
      </c>
      <c r="AI1328">
        <v>95.644754237588799</v>
      </c>
      <c r="AJ1328">
        <v>88.514383615081798</v>
      </c>
      <c r="AK1328">
        <v>0.72192780547845203</v>
      </c>
    </row>
    <row r="1329" spans="1:37" x14ac:dyDescent="0.2">
      <c r="A1329" t="str">
        <f>"20200111153427100"</f>
        <v>20200111153427100</v>
      </c>
      <c r="B1329" t="str">
        <f>"1578728067087328"</f>
        <v>1578728067087328</v>
      </c>
      <c r="C1329" t="s">
        <v>37</v>
      </c>
      <c r="D1329">
        <v>4.8587989999999897</v>
      </c>
      <c r="E1329">
        <v>0.51006260000000003</v>
      </c>
      <c r="F1329" t="s">
        <v>40</v>
      </c>
      <c r="G1329">
        <v>-235.27599999999899</v>
      </c>
      <c r="H1329">
        <v>1.0518080000000001</v>
      </c>
      <c r="I1329">
        <v>283.89620000000002</v>
      </c>
      <c r="J1329">
        <v>-234.83519999999999</v>
      </c>
      <c r="K1329">
        <v>1.1033109999999999</v>
      </c>
      <c r="L1329">
        <v>283.88659999999999</v>
      </c>
      <c r="M1329">
        <v>-0.99996289999999999</v>
      </c>
      <c r="N1329">
        <v>0</v>
      </c>
      <c r="O1329">
        <v>-8.0717480000000001E-3</v>
      </c>
      <c r="P1329">
        <v>-0.99952629999999998</v>
      </c>
      <c r="Q1329">
        <v>2.6326970000000002E-2</v>
      </c>
      <c r="R1329">
        <v>-1.5955E-2</v>
      </c>
      <c r="S1329">
        <v>-3.0071870000000001</v>
      </c>
      <c r="T1329">
        <v>-0.20763499999999999</v>
      </c>
      <c r="U1329">
        <v>2.886963E-2</v>
      </c>
      <c r="V1329">
        <v>-7.8732200000000002E-3</v>
      </c>
      <c r="W1329">
        <v>2.9364959999999999E-2</v>
      </c>
      <c r="X1329">
        <v>0.99953780000000003</v>
      </c>
      <c r="Y1329">
        <v>1.7609730000000001E-2</v>
      </c>
      <c r="Z1329">
        <v>1.163858E-3</v>
      </c>
      <c r="AA1329">
        <v>0.99984430000000002</v>
      </c>
      <c r="AB1329">
        <v>32</v>
      </c>
      <c r="AC1329">
        <v>-0.44079999999999497</v>
      </c>
      <c r="AD1329">
        <v>-5.1503E-2</v>
      </c>
      <c r="AE1329">
        <v>9.6000000000344698E-3</v>
      </c>
      <c r="AF1329">
        <v>1.29806084851911E-2</v>
      </c>
      <c r="AG1329">
        <v>-5.1503E-2</v>
      </c>
      <c r="AH1329">
        <v>0.43477560481382399</v>
      </c>
      <c r="AI1329">
        <v>96.752726220564597</v>
      </c>
      <c r="AJ1329">
        <v>88.289892050173407</v>
      </c>
      <c r="AK1329">
        <v>0.43800785580497498</v>
      </c>
    </row>
    <row r="1330" spans="1:37" x14ac:dyDescent="0.2">
      <c r="A1330" t="str">
        <f>"20200111153427113"</f>
        <v>20200111153427113</v>
      </c>
      <c r="B1330" t="str">
        <f>"1578728067107823"</f>
        <v>1578728067107823</v>
      </c>
      <c r="C1330" t="s">
        <v>37</v>
      </c>
      <c r="D1330">
        <v>4.843858</v>
      </c>
      <c r="E1330">
        <v>0.50962099999999999</v>
      </c>
      <c r="F1330" t="s">
        <v>40</v>
      </c>
      <c r="G1330">
        <v>-235.834</v>
      </c>
      <c r="H1330">
        <v>1.036473</v>
      </c>
      <c r="I1330">
        <v>283.89609999999999</v>
      </c>
      <c r="J1330">
        <v>-235.04499999999999</v>
      </c>
      <c r="K1330">
        <v>1.103297</v>
      </c>
      <c r="L1330">
        <v>283.88510000000002</v>
      </c>
      <c r="M1330">
        <v>-0.99996419999999997</v>
      </c>
      <c r="N1330">
        <v>0</v>
      </c>
      <c r="O1330">
        <v>-7.9245489999999995E-3</v>
      </c>
      <c r="P1330">
        <v>-0.99952240000000003</v>
      </c>
      <c r="Q1330">
        <v>2.6771659999999999E-2</v>
      </c>
      <c r="R1330">
        <v>-1.543814E-2</v>
      </c>
      <c r="S1330">
        <v>-3.0071720000000002</v>
      </c>
      <c r="T1330">
        <v>-0.20129229999999901</v>
      </c>
      <c r="U1330">
        <v>2.8320310000000001E-2</v>
      </c>
      <c r="V1330">
        <v>-7.5023269999999996E-3</v>
      </c>
      <c r="W1330">
        <v>2.974721E-2</v>
      </c>
      <c r="X1330">
        <v>0.99952929999999995</v>
      </c>
      <c r="Y1330">
        <v>1.72847E-2</v>
      </c>
      <c r="Z1330">
        <v>1.107685E-3</v>
      </c>
      <c r="AA1330">
        <v>0.99985000000000002</v>
      </c>
      <c r="AB1330">
        <v>32</v>
      </c>
      <c r="AC1330">
        <v>-0.78900000000001502</v>
      </c>
      <c r="AD1330">
        <v>-6.6823999999999995E-2</v>
      </c>
      <c r="AE1330">
        <v>1.0999999999967199E-2</v>
      </c>
      <c r="AF1330">
        <v>1.7129303797180299E-2</v>
      </c>
      <c r="AG1330">
        <v>-6.6823999999999995E-2</v>
      </c>
      <c r="AH1330">
        <v>0.78327061605165904</v>
      </c>
      <c r="AI1330">
        <v>94.875167930060499</v>
      </c>
      <c r="AJ1330">
        <v>88.747201311166606</v>
      </c>
      <c r="AK1330">
        <v>0.78630256135569199</v>
      </c>
    </row>
    <row r="1331" spans="1:37" x14ac:dyDescent="0.2">
      <c r="A1331" t="str">
        <f>"20200111153427134"</f>
        <v>20200111153427134</v>
      </c>
      <c r="B1331" t="str">
        <f>"1578728067127343"</f>
        <v>1578728067127343</v>
      </c>
      <c r="C1331" t="s">
        <v>37</v>
      </c>
      <c r="D1331">
        <v>4.8727549999999997</v>
      </c>
      <c r="E1331">
        <v>0.50915059999999901</v>
      </c>
      <c r="F1331" t="s">
        <v>40</v>
      </c>
      <c r="G1331">
        <v>-235.84479999999999</v>
      </c>
      <c r="H1331">
        <v>1.0511839999999999</v>
      </c>
      <c r="I1331">
        <v>283.89210000000003</v>
      </c>
      <c r="J1331">
        <v>-235.3263</v>
      </c>
      <c r="K1331">
        <v>1.1032869999999999</v>
      </c>
      <c r="L1331">
        <v>283.88299999999998</v>
      </c>
      <c r="M1331">
        <v>-0.99996609999999997</v>
      </c>
      <c r="N1331">
        <v>0</v>
      </c>
      <c r="O1331">
        <v>-7.7247640000000003E-3</v>
      </c>
      <c r="P1331">
        <v>-0.99951979999999996</v>
      </c>
      <c r="Q1331">
        <v>2.7508069999999999E-2</v>
      </c>
      <c r="R1331">
        <v>-1.4271870000000001E-2</v>
      </c>
      <c r="S1331">
        <v>-3.0070950000000001</v>
      </c>
      <c r="T1331">
        <v>-0.19600919999999999</v>
      </c>
      <c r="U1331">
        <v>2.6153559999999999E-2</v>
      </c>
      <c r="V1331">
        <v>-6.5356240000000003E-3</v>
      </c>
      <c r="W1331">
        <v>3.040638E-2</v>
      </c>
      <c r="X1331">
        <v>0.99951619999999997</v>
      </c>
      <c r="Y1331">
        <v>1.637007E-2</v>
      </c>
      <c r="Z1331">
        <v>1.0359200000000001E-3</v>
      </c>
      <c r="AA1331">
        <v>0.99986549999999996</v>
      </c>
      <c r="AB1331">
        <v>32</v>
      </c>
      <c r="AC1331">
        <v>-0.51849999999998797</v>
      </c>
      <c r="AD1331">
        <v>-5.2102999999999997E-2</v>
      </c>
      <c r="AE1331">
        <v>9.1000000000462898E-3</v>
      </c>
      <c r="AF1331">
        <v>1.29740653661204E-2</v>
      </c>
      <c r="AG1331">
        <v>-5.2102999999999997E-2</v>
      </c>
      <c r="AH1331">
        <v>0.51323328879281405</v>
      </c>
      <c r="AI1331">
        <v>95.794919737419704</v>
      </c>
      <c r="AJ1331">
        <v>88.551923809092997</v>
      </c>
      <c r="AK1331">
        <v>0.51603435709864498</v>
      </c>
    </row>
    <row r="1332" spans="1:37" x14ac:dyDescent="0.2">
      <c r="A1332" t="str">
        <f>"20200111153427146"</f>
        <v>20200111153427146</v>
      </c>
      <c r="B1332" t="str">
        <f>"1578728067137104"</f>
        <v>1578728067137104</v>
      </c>
      <c r="C1332" t="s">
        <v>37</v>
      </c>
      <c r="D1332">
        <v>4.8792150000000003</v>
      </c>
      <c r="E1332">
        <v>0.50898390000000004</v>
      </c>
      <c r="F1332" t="s">
        <v>40</v>
      </c>
      <c r="G1332">
        <v>-236.14250000000001</v>
      </c>
      <c r="H1332">
        <v>1.0517669999999999</v>
      </c>
      <c r="I1332">
        <v>283.89010000000002</v>
      </c>
      <c r="J1332">
        <v>-235.5256</v>
      </c>
      <c r="K1332">
        <v>1.1032759999999999</v>
      </c>
      <c r="L1332">
        <v>283.88159999999999</v>
      </c>
      <c r="M1332">
        <v>-0.9999673</v>
      </c>
      <c r="N1332">
        <v>0</v>
      </c>
      <c r="O1332">
        <v>-7.581646E-3</v>
      </c>
      <c r="P1332">
        <v>-0.99951489999999998</v>
      </c>
      <c r="Q1332">
        <v>2.801874E-2</v>
      </c>
      <c r="R1332">
        <v>-1.361244E-2</v>
      </c>
      <c r="S1332">
        <v>-3.00705</v>
      </c>
      <c r="T1332">
        <v>-0.18998280000000001</v>
      </c>
      <c r="U1332">
        <v>2.5421139999999998E-2</v>
      </c>
      <c r="V1332">
        <v>-6.0184189999999997E-3</v>
      </c>
      <c r="W1332">
        <v>3.0868699999999999E-2</v>
      </c>
      <c r="X1332">
        <v>0.99950530000000004</v>
      </c>
      <c r="Y1332">
        <v>1.598772E-2</v>
      </c>
      <c r="Z1332">
        <v>9.8305149999999993E-4</v>
      </c>
      <c r="AA1332">
        <v>0.99987169999999903</v>
      </c>
      <c r="AB1332">
        <v>32</v>
      </c>
      <c r="AC1332">
        <v>-0.61690000000001499</v>
      </c>
      <c r="AD1332">
        <v>-5.1508999999999999E-2</v>
      </c>
      <c r="AE1332">
        <v>8.5000000000263701E-3</v>
      </c>
      <c r="AF1332">
        <v>1.3085679932589E-2</v>
      </c>
      <c r="AG1332">
        <v>-5.1508999999999999E-2</v>
      </c>
      <c r="AH1332">
        <v>0.61254815347396796</v>
      </c>
      <c r="AI1332">
        <v>94.8055863307886</v>
      </c>
      <c r="AJ1332">
        <v>88.776193830056798</v>
      </c>
      <c r="AK1332">
        <v>0.61484929244869901</v>
      </c>
    </row>
    <row r="1333" spans="1:37" x14ac:dyDescent="0.2">
      <c r="A1333" t="str">
        <f>"20200111153427167"</f>
        <v>20200111153427167</v>
      </c>
      <c r="B1333" t="str">
        <f>"1578728067157599"</f>
        <v>1578728067157599</v>
      </c>
      <c r="C1333" t="s">
        <v>37</v>
      </c>
      <c r="D1333">
        <v>4.8860789999999996</v>
      </c>
      <c r="E1333">
        <v>0.50859920000000003</v>
      </c>
      <c r="F1333" t="s">
        <v>40</v>
      </c>
      <c r="G1333">
        <v>-236.4248</v>
      </c>
      <c r="H1333">
        <v>1.047504</v>
      </c>
      <c r="I1333">
        <v>283.8895</v>
      </c>
      <c r="J1333">
        <v>-235.81780000000001</v>
      </c>
      <c r="K1333">
        <v>1.103259</v>
      </c>
      <c r="L1333">
        <v>283.87959999999998</v>
      </c>
      <c r="M1333">
        <v>-0.999969</v>
      </c>
      <c r="N1333">
        <v>0</v>
      </c>
      <c r="O1333">
        <v>-7.370443E-3</v>
      </c>
      <c r="P1333">
        <v>-0.99950899999999998</v>
      </c>
      <c r="Q1333">
        <v>2.865562E-2</v>
      </c>
      <c r="R1333">
        <v>-1.267779E-2</v>
      </c>
      <c r="S1333">
        <v>-3.007034</v>
      </c>
      <c r="T1333">
        <v>-0.1865695</v>
      </c>
      <c r="U1333">
        <v>2.6214600000000001E-2</v>
      </c>
      <c r="V1333">
        <v>-5.2948429999999996E-3</v>
      </c>
      <c r="W1333">
        <v>3.14411E-2</v>
      </c>
      <c r="X1333">
        <v>0.99949159999999904</v>
      </c>
      <c r="Y1333">
        <v>1.604237E-2</v>
      </c>
      <c r="Z1333">
        <v>9.5403030000000002E-4</v>
      </c>
      <c r="AA1333">
        <v>0.99987079999999995</v>
      </c>
      <c r="AB1333">
        <v>33</v>
      </c>
      <c r="AC1333">
        <v>-0.60699999999999898</v>
      </c>
      <c r="AD1333">
        <v>-5.5754999999999902E-2</v>
      </c>
      <c r="AE1333">
        <v>9.9000000000160002E-3</v>
      </c>
      <c r="AF1333">
        <v>1.4253382742863399E-2</v>
      </c>
      <c r="AG1333">
        <v>-5.5754999999999902E-2</v>
      </c>
      <c r="AH1333">
        <v>0.60183419424283202</v>
      </c>
      <c r="AI1333">
        <v>95.291400986386094</v>
      </c>
      <c r="AJ1333">
        <v>88.6433040074443</v>
      </c>
      <c r="AK1333">
        <v>0.60457933830435595</v>
      </c>
    </row>
    <row r="1334" spans="1:37" x14ac:dyDescent="0.2">
      <c r="A1334" t="str">
        <f>"20200111153427181"</f>
        <v>20200111153427181</v>
      </c>
      <c r="B1334" t="str">
        <f>"1578728067178096"</f>
        <v>1578728067178096</v>
      </c>
      <c r="C1334" t="s">
        <v>37</v>
      </c>
      <c r="D1334">
        <v>4.9176519999999897</v>
      </c>
      <c r="E1334">
        <v>0.50825880000000001</v>
      </c>
      <c r="F1334" t="s">
        <v>40</v>
      </c>
      <c r="G1334">
        <v>-236.71969999999999</v>
      </c>
      <c r="H1334">
        <v>1.0485789999999999</v>
      </c>
      <c r="I1334">
        <v>283.88749999999999</v>
      </c>
      <c r="J1334">
        <v>-236.0145</v>
      </c>
      <c r="K1334">
        <v>1.1032469999999901</v>
      </c>
      <c r="L1334">
        <v>283.87819999999999</v>
      </c>
      <c r="M1334">
        <v>-0.99997019999999903</v>
      </c>
      <c r="N1334">
        <v>0</v>
      </c>
      <c r="O1334">
        <v>-7.22805699999999E-3</v>
      </c>
      <c r="P1334">
        <v>-0.99952890000000005</v>
      </c>
      <c r="Q1334">
        <v>2.8203579999999999E-2</v>
      </c>
      <c r="R1334">
        <v>-1.213147E-2</v>
      </c>
      <c r="S1334">
        <v>-3.00705</v>
      </c>
      <c r="T1334">
        <v>-0.18252889999999999</v>
      </c>
      <c r="U1334">
        <v>2.5604249999999999E-2</v>
      </c>
      <c r="V1334">
        <v>-4.8902879999999996E-3</v>
      </c>
      <c r="W1334">
        <v>3.0950200000000001E-2</v>
      </c>
      <c r="X1334">
        <v>0.99950899999999998</v>
      </c>
      <c r="Y1334">
        <v>1.569984E-2</v>
      </c>
      <c r="Z1334">
        <v>9.1438229999999895E-4</v>
      </c>
      <c r="AA1334">
        <v>0.99987630000000005</v>
      </c>
      <c r="AB1334">
        <v>33</v>
      </c>
      <c r="AC1334">
        <v>-0.70519999999998995</v>
      </c>
      <c r="AD1334">
        <v>-5.4667999999999703E-2</v>
      </c>
      <c r="AE1334">
        <v>9.2999999999960892E-3</v>
      </c>
      <c r="AF1334">
        <v>1.4311013835329201E-2</v>
      </c>
      <c r="AG1334">
        <v>-5.4667999999999703E-2</v>
      </c>
      <c r="AH1334">
        <v>0.70090297968431403</v>
      </c>
      <c r="AI1334">
        <v>94.458917230162996</v>
      </c>
      <c r="AJ1334">
        <v>88.830299199487598</v>
      </c>
      <c r="AK1334">
        <v>0.70317734766653595</v>
      </c>
    </row>
    <row r="1335" spans="1:37" x14ac:dyDescent="0.2">
      <c r="A1335" t="str">
        <f>"20200111153427198"</f>
        <v>20200111153427198</v>
      </c>
      <c r="B1335" t="str">
        <f>"1578728067187858"</f>
        <v>1578728067187858</v>
      </c>
      <c r="C1335" t="s">
        <v>37</v>
      </c>
      <c r="D1335">
        <v>4.9003189999999996</v>
      </c>
      <c r="E1335">
        <v>0.50805599999999995</v>
      </c>
      <c r="F1335" t="s">
        <v>40</v>
      </c>
      <c r="G1335">
        <v>-237.01009999999999</v>
      </c>
      <c r="H1335">
        <v>1.0429520000000001</v>
      </c>
      <c r="I1335">
        <v>283.88639999999998</v>
      </c>
      <c r="J1335">
        <v>-236.28309999999999</v>
      </c>
      <c r="K1335">
        <v>1.1032219999999999</v>
      </c>
      <c r="L1335">
        <v>283.87650000000002</v>
      </c>
      <c r="M1335">
        <v>-0.99997169999999902</v>
      </c>
      <c r="N1335">
        <v>0</v>
      </c>
      <c r="O1335">
        <v>-7.03440199999999E-3</v>
      </c>
      <c r="P1335">
        <v>-0.99957189999999996</v>
      </c>
      <c r="Q1335">
        <v>2.6961550000000001E-2</v>
      </c>
      <c r="R1335">
        <v>-1.136845E-2</v>
      </c>
      <c r="S1335">
        <v>-3.0068509999999899</v>
      </c>
      <c r="T1335">
        <v>-0.1821237</v>
      </c>
      <c r="U1335">
        <v>2.4414060000000001E-2</v>
      </c>
      <c r="V1335">
        <v>-4.3209160000000002E-3</v>
      </c>
      <c r="W1335">
        <v>2.9660949999999998E-2</v>
      </c>
      <c r="X1335">
        <v>0.99955070000000001</v>
      </c>
      <c r="Y1335">
        <v>1.511262E-2</v>
      </c>
      <c r="Z1335">
        <v>8.8293179999999897E-4</v>
      </c>
      <c r="AA1335">
        <v>0.99988539999999904</v>
      </c>
      <c r="AB1335">
        <v>33</v>
      </c>
      <c r="AC1335">
        <v>-0.72700000000000298</v>
      </c>
      <c r="AD1335">
        <v>-6.0269999999999803E-2</v>
      </c>
      <c r="AE1335">
        <v>9.8999999999591602E-3</v>
      </c>
      <c r="AF1335">
        <v>1.49113200206866E-2</v>
      </c>
      <c r="AG1335">
        <v>-6.0269999999999803E-2</v>
      </c>
      <c r="AH1335">
        <v>0.72195146538959698</v>
      </c>
      <c r="AI1335">
        <v>94.7710917235745</v>
      </c>
      <c r="AJ1335">
        <v>88.816770533590002</v>
      </c>
      <c r="AK1335">
        <v>0.72461626999602102</v>
      </c>
    </row>
    <row r="1336" spans="1:37" x14ac:dyDescent="0.2">
      <c r="A1336" t="str">
        <f>"20200111153427212"</f>
        <v>20200111153427212</v>
      </c>
      <c r="B1336" t="str">
        <f>"1578728067207375"</f>
        <v>1578728067207375</v>
      </c>
      <c r="C1336" t="s">
        <v>37</v>
      </c>
      <c r="D1336">
        <v>4.9406569999999999</v>
      </c>
      <c r="E1336">
        <v>0.507606</v>
      </c>
      <c r="F1336" t="s">
        <v>52</v>
      </c>
      <c r="G1336">
        <v>-254.21639999999999</v>
      </c>
      <c r="H1336" s="1">
        <v>7.0694990000000002E-7</v>
      </c>
      <c r="I1336">
        <v>284.02589999999998</v>
      </c>
      <c r="J1336">
        <v>-236.4795</v>
      </c>
      <c r="K1336">
        <v>1.103207</v>
      </c>
      <c r="L1336">
        <v>283.87520000000001</v>
      </c>
      <c r="M1336">
        <v>-0.99997269999999905</v>
      </c>
      <c r="N1336">
        <v>0</v>
      </c>
      <c r="O1336">
        <v>-6.89214699999999E-3</v>
      </c>
      <c r="P1336">
        <v>-0.99960720000000003</v>
      </c>
      <c r="Q1336">
        <v>2.5865199999999901E-2</v>
      </c>
      <c r="R1336">
        <v>-1.07943E-2</v>
      </c>
      <c r="S1336">
        <v>-3.0065770000000001</v>
      </c>
      <c r="T1336">
        <v>-0.18495919999999999</v>
      </c>
      <c r="U1336">
        <v>2.505493E-2</v>
      </c>
      <c r="V1336">
        <v>-3.8896989999999999E-3</v>
      </c>
      <c r="W1336">
        <v>2.8535129999999999E-2</v>
      </c>
      <c r="X1336">
        <v>0.99958519999999895</v>
      </c>
      <c r="Y1336">
        <v>1.518309E-2</v>
      </c>
      <c r="Z1336">
        <v>8.9015640000000005E-4</v>
      </c>
      <c r="AA1336">
        <v>0.99988429999999995</v>
      </c>
      <c r="AB1336">
        <v>33</v>
      </c>
      <c r="AC1336">
        <v>-17.736899999999899</v>
      </c>
      <c r="AD1336">
        <v>-1.1032062930501001</v>
      </c>
      <c r="AE1336">
        <v>0.150699999999972</v>
      </c>
      <c r="AF1336">
        <v>0.27189040715660201</v>
      </c>
      <c r="AG1336">
        <v>-1.1032062930501001</v>
      </c>
      <c r="AH1336">
        <v>17.6670974151757</v>
      </c>
      <c r="AI1336">
        <v>93.572722983246507</v>
      </c>
      <c r="AJ1336">
        <v>89.118307734570706</v>
      </c>
      <c r="AK1336">
        <v>17.703596233416501</v>
      </c>
    </row>
    <row r="1337" spans="1:37" x14ac:dyDescent="0.2">
      <c r="A1337" t="str">
        <f>"20200111153427225"</f>
        <v>20200111153427225</v>
      </c>
      <c r="B1337" t="str">
        <f>"1578728067217135"</f>
        <v>1578728067217135</v>
      </c>
      <c r="C1337" t="s">
        <v>37</v>
      </c>
      <c r="D1337">
        <v>4.9418280000000001</v>
      </c>
      <c r="E1337">
        <v>0.50742109999999996</v>
      </c>
      <c r="F1337" t="s">
        <v>40</v>
      </c>
      <c r="G1337">
        <v>-237.3152</v>
      </c>
      <c r="H1337">
        <v>1.0511839999999999</v>
      </c>
      <c r="I1337">
        <v>283.88170000000002</v>
      </c>
      <c r="J1337">
        <v>-236.69200000000001</v>
      </c>
      <c r="K1337">
        <v>1.103189</v>
      </c>
      <c r="L1337">
        <v>283.87389999999999</v>
      </c>
      <c r="M1337">
        <v>-0.99997389999999997</v>
      </c>
      <c r="N1337">
        <v>0</v>
      </c>
      <c r="O1337">
        <v>-6.7376149999999998E-3</v>
      </c>
      <c r="P1337">
        <v>-0.99963400000000002</v>
      </c>
      <c r="Q1337">
        <v>2.4936980000000001E-2</v>
      </c>
      <c r="R1337">
        <v>-1.0502620000000001E-2</v>
      </c>
      <c r="S1337">
        <v>-3.0062709999999999</v>
      </c>
      <c r="T1337">
        <v>-0.1872857</v>
      </c>
      <c r="U1337">
        <v>2.2796629999999998E-2</v>
      </c>
      <c r="V1337">
        <v>-3.7525279999999898E-3</v>
      </c>
      <c r="W1337">
        <v>2.7577549999999999E-2</v>
      </c>
      <c r="X1337">
        <v>0.99961259999999996</v>
      </c>
      <c r="Y1337">
        <v>1.427934E-2</v>
      </c>
      <c r="Z1337">
        <v>8.6368399999999998E-4</v>
      </c>
      <c r="AA1337">
        <v>0.999897699999999</v>
      </c>
      <c r="AB1337">
        <v>33</v>
      </c>
      <c r="AC1337">
        <v>-0.62319999999999698</v>
      </c>
      <c r="AD1337">
        <v>-5.2004999999999801E-2</v>
      </c>
      <c r="AE1337">
        <v>7.8000000000315499E-3</v>
      </c>
      <c r="AF1337">
        <v>1.19157550656198E-2</v>
      </c>
      <c r="AG1337">
        <v>-5.2004999999999801E-2</v>
      </c>
      <c r="AH1337">
        <v>0.61882471327752198</v>
      </c>
      <c r="AI1337">
        <v>94.802868381524704</v>
      </c>
      <c r="AJ1337">
        <v>88.896879680482897</v>
      </c>
      <c r="AK1337">
        <v>0.62112038366712097</v>
      </c>
    </row>
    <row r="1338" spans="1:37" x14ac:dyDescent="0.2">
      <c r="A1338" t="str">
        <f>"20200111153427244"</f>
        <v>20200111153427244</v>
      </c>
      <c r="B1338" t="str">
        <f>"1578728067237632"</f>
        <v>1578728067237632</v>
      </c>
      <c r="C1338" t="s">
        <v>37</v>
      </c>
      <c r="D1338">
        <v>4.9293500000000003</v>
      </c>
      <c r="E1338">
        <v>0.50701339999999995</v>
      </c>
      <c r="F1338" t="s">
        <v>40</v>
      </c>
      <c r="G1338">
        <v>-237.60769999999999</v>
      </c>
      <c r="H1338">
        <v>1.0454760000000001</v>
      </c>
      <c r="I1338">
        <v>283.88060000000002</v>
      </c>
      <c r="J1338">
        <v>-236.9682</v>
      </c>
      <c r="K1338">
        <v>1.1031580000000001</v>
      </c>
      <c r="L1338">
        <v>283.87220000000002</v>
      </c>
      <c r="M1338">
        <v>-0.99997530000000001</v>
      </c>
      <c r="N1338">
        <v>0</v>
      </c>
      <c r="O1338">
        <v>-6.535033E-3</v>
      </c>
      <c r="P1338">
        <v>-0.99968690000000004</v>
      </c>
      <c r="Q1338">
        <v>2.3068580000000002E-2</v>
      </c>
      <c r="R1338">
        <v>-9.6946819999999996E-3</v>
      </c>
      <c r="S1338">
        <v>-3.00607299999999</v>
      </c>
      <c r="T1338">
        <v>-0.189467</v>
      </c>
      <c r="U1338">
        <v>2.2033690000000002E-2</v>
      </c>
      <c r="V1338">
        <v>-3.147338E-3</v>
      </c>
      <c r="W1338">
        <v>2.567564E-2</v>
      </c>
      <c r="X1338">
        <v>0.99966540000000004</v>
      </c>
      <c r="Y1338">
        <v>1.382386E-2</v>
      </c>
      <c r="Z1338">
        <v>8.4668639999999995E-4</v>
      </c>
      <c r="AA1338">
        <v>0.99990409999999996</v>
      </c>
      <c r="AB1338">
        <v>33</v>
      </c>
      <c r="AC1338">
        <v>-0.63949999999999796</v>
      </c>
      <c r="AD1338">
        <v>-5.7681999999999997E-2</v>
      </c>
      <c r="AE1338">
        <v>8.3999999999946305E-3</v>
      </c>
      <c r="AF1338">
        <v>1.2477491526887201E-2</v>
      </c>
      <c r="AG1338">
        <v>-5.7681999999999997E-2</v>
      </c>
      <c r="AH1338">
        <v>0.63427203838441604</v>
      </c>
      <c r="AI1338">
        <v>95.195302217278496</v>
      </c>
      <c r="AJ1338">
        <v>88.873014479485306</v>
      </c>
      <c r="AK1338">
        <v>0.63701171072055296</v>
      </c>
    </row>
    <row r="1339" spans="1:37" x14ac:dyDescent="0.2">
      <c r="A1339" t="str">
        <f>"20200111153427258"</f>
        <v>20200111153427258</v>
      </c>
      <c r="B1339" t="str">
        <f>"1578728067247391"</f>
        <v>1578728067247391</v>
      </c>
      <c r="C1339" t="s">
        <v>37</v>
      </c>
      <c r="D1339">
        <v>4.9765769999999998</v>
      </c>
      <c r="E1339">
        <v>0.50674620000000004</v>
      </c>
      <c r="F1339" t="s">
        <v>40</v>
      </c>
      <c r="G1339">
        <v>-237.90520000000001</v>
      </c>
      <c r="H1339">
        <v>1.042864</v>
      </c>
      <c r="I1339">
        <v>283.87900000000002</v>
      </c>
      <c r="J1339">
        <v>-237.17009999999999</v>
      </c>
      <c r="K1339">
        <v>1.10314</v>
      </c>
      <c r="L1339">
        <v>283.87099999999998</v>
      </c>
      <c r="M1339">
        <v>-0.99997630000000004</v>
      </c>
      <c r="N1339">
        <v>0</v>
      </c>
      <c r="O1339">
        <v>-6.3856340000000003E-3</v>
      </c>
      <c r="P1339">
        <v>-0.99970780000000004</v>
      </c>
      <c r="Q1339">
        <v>2.219844E-2</v>
      </c>
      <c r="R1339">
        <v>-9.5800650000000005E-3</v>
      </c>
      <c r="S1339">
        <v>-3.0056150000000001</v>
      </c>
      <c r="T1339">
        <v>-0.19357579999999999</v>
      </c>
      <c r="U1339">
        <v>2.1087649999999999E-2</v>
      </c>
      <c r="V1339">
        <v>-3.1826839999999999E-3</v>
      </c>
      <c r="W1339">
        <v>2.4783759999999998E-2</v>
      </c>
      <c r="X1339">
        <v>0.99968780000000002</v>
      </c>
      <c r="Y1339">
        <v>1.336036E-2</v>
      </c>
      <c r="Z1339">
        <v>8.4062030000000003E-4</v>
      </c>
      <c r="AA1339">
        <v>0.99991039999999998</v>
      </c>
      <c r="AB1339">
        <v>33</v>
      </c>
      <c r="AC1339">
        <v>-0.73510000000001696</v>
      </c>
      <c r="AD1339">
        <v>-6.0275999999999899E-2</v>
      </c>
      <c r="AE1339">
        <v>8.0000000000381901E-3</v>
      </c>
      <c r="AF1339">
        <v>1.26091641984573E-2</v>
      </c>
      <c r="AG1339">
        <v>-6.0275999999999899E-2</v>
      </c>
      <c r="AH1339">
        <v>0.73012550297833501</v>
      </c>
      <c r="AI1339">
        <v>94.718688867301793</v>
      </c>
      <c r="AJ1339">
        <v>89.010608342838097</v>
      </c>
      <c r="AK1339">
        <v>0.73271784289530595</v>
      </c>
    </row>
    <row r="1340" spans="1:37" x14ac:dyDescent="0.2">
      <c r="A1340" t="str">
        <f>"20200111153427278"</f>
        <v>20200111153427278</v>
      </c>
      <c r="B1340" t="str">
        <f>"1578728067267887"</f>
        <v>1578728067267887</v>
      </c>
      <c r="C1340" t="s">
        <v>37</v>
      </c>
      <c r="D1340">
        <v>5.0169009999999998</v>
      </c>
      <c r="E1340">
        <v>0.50653800000000004</v>
      </c>
      <c r="F1340" t="s">
        <v>52</v>
      </c>
      <c r="G1340">
        <v>-254.1481</v>
      </c>
      <c r="H1340" s="1">
        <v>6.7064420000000002E-7</v>
      </c>
      <c r="I1340">
        <v>283.98149999999998</v>
      </c>
      <c r="J1340">
        <v>-237.4785</v>
      </c>
      <c r="K1340">
        <v>1.103111</v>
      </c>
      <c r="L1340">
        <v>283.86930000000001</v>
      </c>
      <c r="M1340">
        <v>-0.99997789999999998</v>
      </c>
      <c r="N1340">
        <v>0</v>
      </c>
      <c r="O1340">
        <v>-6.1555200000000003E-3</v>
      </c>
      <c r="P1340">
        <v>-0.99974640000000004</v>
      </c>
      <c r="Q1340">
        <v>2.0575130000000001E-2</v>
      </c>
      <c r="R1340">
        <v>-9.1704249999999994E-3</v>
      </c>
      <c r="S1340">
        <v>-3.0054020000000001</v>
      </c>
      <c r="T1340">
        <v>-0.19527420000000001</v>
      </c>
      <c r="U1340">
        <v>1.9561769999999999E-2</v>
      </c>
      <c r="V1340">
        <v>-3.0030909999999998E-3</v>
      </c>
      <c r="W1340">
        <v>2.3132469999999999E-2</v>
      </c>
      <c r="X1340">
        <v>0.9997279</v>
      </c>
      <c r="Y1340">
        <v>1.2624420000000001E-2</v>
      </c>
      <c r="Z1340">
        <v>8.0922320000000004E-4</v>
      </c>
      <c r="AA1340">
        <v>0.99992000000000003</v>
      </c>
      <c r="AB1340">
        <v>33</v>
      </c>
      <c r="AC1340">
        <v>-16.669599999999999</v>
      </c>
      <c r="AD1340">
        <v>-1.1031103293558</v>
      </c>
      <c r="AE1340">
        <v>0.112199999999973</v>
      </c>
      <c r="AF1340">
        <v>0.21387172516693501</v>
      </c>
      <c r="AG1340">
        <v>-1.1031103293558</v>
      </c>
      <c r="AH1340">
        <v>16.595921179398299</v>
      </c>
      <c r="AI1340">
        <v>93.802470929455296</v>
      </c>
      <c r="AJ1340">
        <v>89.261669853293199</v>
      </c>
      <c r="AK1340">
        <v>16.633916956217998</v>
      </c>
    </row>
    <row r="1341" spans="1:37" x14ac:dyDescent="0.2">
      <c r="A1341" t="str">
        <f>"20200111153427294"</f>
        <v>20200111153427294</v>
      </c>
      <c r="B1341" t="str">
        <f>"1578728067287407"</f>
        <v>1578728067287407</v>
      </c>
      <c r="C1341" t="s">
        <v>37</v>
      </c>
      <c r="D1341">
        <v>4.9325330000000003</v>
      </c>
      <c r="E1341">
        <v>0.49662790000000001</v>
      </c>
      <c r="F1341" t="s">
        <v>52</v>
      </c>
      <c r="G1341">
        <v>-254.0778</v>
      </c>
      <c r="H1341" s="1">
        <v>6.3320689999999997E-7</v>
      </c>
      <c r="I1341">
        <v>283.97230000000002</v>
      </c>
      <c r="J1341">
        <v>-237.71039999999999</v>
      </c>
      <c r="K1341">
        <v>1.1030930000000001</v>
      </c>
      <c r="L1341">
        <v>283.86799999999999</v>
      </c>
      <c r="M1341">
        <v>-0.99997899999999995</v>
      </c>
      <c r="N1341">
        <v>0</v>
      </c>
      <c r="O1341">
        <v>-5.9783479999999996E-3</v>
      </c>
      <c r="P1341">
        <v>-0.9997587</v>
      </c>
      <c r="Q1341">
        <v>2.010315E-2</v>
      </c>
      <c r="R1341">
        <v>-8.8772199999999999E-3</v>
      </c>
      <c r="S1341">
        <v>-3.0050509999999999</v>
      </c>
      <c r="T1341">
        <v>-0.19970199999999999</v>
      </c>
      <c r="U1341">
        <v>1.8646240000000001E-2</v>
      </c>
      <c r="V1341">
        <v>-2.8872839999999999E-3</v>
      </c>
      <c r="W1341">
        <v>2.264242E-2</v>
      </c>
      <c r="X1341">
        <v>0.9997395</v>
      </c>
      <c r="Y1341">
        <v>1.2143019999999999E-2</v>
      </c>
      <c r="Z1341">
        <v>7.9989030000000003E-4</v>
      </c>
      <c r="AA1341">
        <v>0.99992599999999998</v>
      </c>
      <c r="AB1341">
        <v>34</v>
      </c>
      <c r="AC1341">
        <v>-16.3674</v>
      </c>
      <c r="AD1341">
        <v>-1.1030923667931001</v>
      </c>
      <c r="AE1341">
        <v>0.104300000000023</v>
      </c>
      <c r="AF1341">
        <v>0.20123444934179299</v>
      </c>
      <c r="AG1341">
        <v>-1.1030923667931001</v>
      </c>
      <c r="AH1341">
        <v>16.292483568797699</v>
      </c>
      <c r="AI1341">
        <v>93.873039282241194</v>
      </c>
      <c r="AJ1341">
        <v>89.292354764321104</v>
      </c>
      <c r="AK1341">
        <v>16.331023510877099</v>
      </c>
    </row>
    <row r="1342" spans="1:37" x14ac:dyDescent="0.2">
      <c r="A1342" t="str">
        <f>"20200111153427310"</f>
        <v>20200111153427310</v>
      </c>
      <c r="B1342" t="str">
        <f>"1578728067307903"</f>
        <v>1578728067307903</v>
      </c>
      <c r="C1342" t="s">
        <v>37</v>
      </c>
      <c r="D1342">
        <v>4.9883179999999996</v>
      </c>
      <c r="E1342">
        <v>0.49817739999999999</v>
      </c>
      <c r="F1342" t="s">
        <v>52</v>
      </c>
      <c r="G1342">
        <v>-257.37430000000001</v>
      </c>
      <c r="H1342" s="1">
        <v>2.38745299999999E-6</v>
      </c>
      <c r="I1342">
        <v>283.48320000000001</v>
      </c>
      <c r="J1342">
        <v>-237.96530000000001</v>
      </c>
      <c r="K1342">
        <v>1.1030690000000001</v>
      </c>
      <c r="L1342">
        <v>283.86669999999998</v>
      </c>
      <c r="M1342">
        <v>-0.99998029999999904</v>
      </c>
      <c r="N1342">
        <v>0</v>
      </c>
      <c r="O1342">
        <v>-5.7806699999999999E-3</v>
      </c>
      <c r="P1342">
        <v>-0.99978330000000004</v>
      </c>
      <c r="Q1342">
        <v>1.9154520000000001E-2</v>
      </c>
      <c r="R1342">
        <v>-8.187293E-3</v>
      </c>
      <c r="S1342">
        <v>-3.0035859999999999</v>
      </c>
      <c r="T1342">
        <v>-0.16849249999999999</v>
      </c>
      <c r="U1342">
        <v>-5.877686E-2</v>
      </c>
      <c r="V1342">
        <v>-2.3948900000000002E-3</v>
      </c>
      <c r="W1342">
        <v>2.167705E-2</v>
      </c>
      <c r="X1342">
        <v>0.99976219999999905</v>
      </c>
      <c r="Y1342">
        <v>-1.3772680000000001E-2</v>
      </c>
      <c r="Z1342" s="1">
        <v>-6.1975269999999994E-5</v>
      </c>
      <c r="AA1342">
        <v>0.99990519999999905</v>
      </c>
      <c r="AB1342">
        <v>34</v>
      </c>
      <c r="AC1342">
        <v>-19.408999999999899</v>
      </c>
      <c r="AD1342">
        <v>-1.1030666125469999</v>
      </c>
      <c r="AE1342">
        <v>-0.38349999999996898</v>
      </c>
      <c r="AF1342">
        <v>-0.270423117659083</v>
      </c>
      <c r="AG1342">
        <v>-1.1030666125469999</v>
      </c>
      <c r="AH1342">
        <v>19.348422358683301</v>
      </c>
      <c r="AI1342">
        <v>93.262621058036302</v>
      </c>
      <c r="AJ1342">
        <v>90.800742007309793</v>
      </c>
      <c r="AK1342">
        <v>19.381726764771901</v>
      </c>
    </row>
    <row r="1343" spans="1:37" x14ac:dyDescent="0.2">
      <c r="A1343" t="str">
        <f>"20200111153427334"</f>
        <v>20200111153427334</v>
      </c>
      <c r="B1343" t="str">
        <f>"1578728067327423"</f>
        <v>1578728067327423</v>
      </c>
      <c r="C1343" t="s">
        <v>37</v>
      </c>
      <c r="D1343">
        <v>5.0205169999999999</v>
      </c>
      <c r="E1343">
        <v>0.49862529999999999</v>
      </c>
      <c r="F1343" t="s">
        <v>52</v>
      </c>
      <c r="G1343">
        <v>-257.85879999999997</v>
      </c>
      <c r="H1343" s="1">
        <v>2.645274E-6</v>
      </c>
      <c r="I1343">
        <v>283.57170000000002</v>
      </c>
      <c r="J1343">
        <v>-238.328</v>
      </c>
      <c r="K1343">
        <v>1.103046</v>
      </c>
      <c r="L1343">
        <v>283.8648</v>
      </c>
      <c r="M1343">
        <v>-0.99998180000000003</v>
      </c>
      <c r="N1343">
        <v>0</v>
      </c>
      <c r="O1343">
        <v>-5.49322E-3</v>
      </c>
      <c r="P1343">
        <v>-0.99979119999999999</v>
      </c>
      <c r="Q1343">
        <v>1.892508E-2</v>
      </c>
      <c r="R1343">
        <v>-7.7171200000000001E-3</v>
      </c>
      <c r="S1343">
        <v>-3.0034480000000001</v>
      </c>
      <c r="T1343">
        <v>-0.16653670000000001</v>
      </c>
      <c r="U1343">
        <v>-4.4525149999999999E-2</v>
      </c>
      <c r="V1343">
        <v>-2.211363E-3</v>
      </c>
      <c r="W1343">
        <v>2.1428200000000001E-2</v>
      </c>
      <c r="X1343">
        <v>0.99976799999999999</v>
      </c>
      <c r="Y1343">
        <v>-9.3243049999999997E-3</v>
      </c>
      <c r="Z1343" s="1">
        <v>4.6040279999999999E-5</v>
      </c>
      <c r="AA1343">
        <v>0.99995650000000003</v>
      </c>
      <c r="AB1343">
        <v>34</v>
      </c>
      <c r="AC1343">
        <v>-19.5307999999999</v>
      </c>
      <c r="AD1343">
        <v>-1.1030433547259999</v>
      </c>
      <c r="AE1343">
        <v>-0.29309999999998099</v>
      </c>
      <c r="AF1343">
        <v>-0.18521761350486701</v>
      </c>
      <c r="AG1343">
        <v>-1.1030433547259999</v>
      </c>
      <c r="AH1343">
        <v>19.470026505495799</v>
      </c>
      <c r="AI1343">
        <v>93.242388650241395</v>
      </c>
      <c r="AJ1343">
        <v>90.545036106549603</v>
      </c>
      <c r="AK1343">
        <v>19.502126610487</v>
      </c>
    </row>
    <row r="1344" spans="1:37" x14ac:dyDescent="0.2">
      <c r="A1344" t="str">
        <f>"20200111153427347"</f>
        <v>20200111153427347</v>
      </c>
      <c r="B1344" t="str">
        <f>"1578728067337183"</f>
        <v>1578728067337183</v>
      </c>
      <c r="C1344" t="s">
        <v>37</v>
      </c>
      <c r="D1344">
        <v>4.9457649999999997</v>
      </c>
      <c r="E1344">
        <v>0.49873679999999898</v>
      </c>
      <c r="F1344" t="s">
        <v>52</v>
      </c>
      <c r="G1344">
        <v>-258.30259999999998</v>
      </c>
      <c r="H1344" s="1">
        <v>2.8814319999999899E-6</v>
      </c>
      <c r="I1344">
        <v>283.601</v>
      </c>
      <c r="J1344">
        <v>-238.53120000000001</v>
      </c>
      <c r="K1344">
        <v>1.103032</v>
      </c>
      <c r="L1344">
        <v>283.86380000000003</v>
      </c>
      <c r="M1344">
        <v>-0.99998279999999995</v>
      </c>
      <c r="N1344">
        <v>0</v>
      </c>
      <c r="O1344">
        <v>-5.3291689999999999E-3</v>
      </c>
      <c r="P1344">
        <v>-0.99979079999999998</v>
      </c>
      <c r="Q1344">
        <v>1.902154E-2</v>
      </c>
      <c r="R1344">
        <v>-7.5458080000000002E-3</v>
      </c>
      <c r="S1344">
        <v>-3.0034640000000001</v>
      </c>
      <c r="T1344">
        <v>-0.16585800000000001</v>
      </c>
      <c r="U1344">
        <v>-3.9672850000000003E-2</v>
      </c>
      <c r="V1344">
        <v>-2.204208E-3</v>
      </c>
      <c r="W1344">
        <v>2.1516400000000001E-2</v>
      </c>
      <c r="X1344">
        <v>0.99976609999999999</v>
      </c>
      <c r="Y1344">
        <v>-7.8750959999999998E-3</v>
      </c>
      <c r="Z1344" s="1">
        <v>7.6783889999999994E-5</v>
      </c>
      <c r="AA1344">
        <v>0.999969</v>
      </c>
      <c r="AB1344">
        <v>34</v>
      </c>
      <c r="AC1344">
        <v>-19.7713999999999</v>
      </c>
      <c r="AD1344">
        <v>-1.1030291185679999</v>
      </c>
      <c r="AE1344">
        <v>-0.26280000000002601</v>
      </c>
      <c r="AF1344">
        <v>-0.15694243462701299</v>
      </c>
      <c r="AG1344">
        <v>-1.1030291185679999</v>
      </c>
      <c r="AH1344">
        <v>19.711180986067799</v>
      </c>
      <c r="AI1344">
        <v>93.202805119877695</v>
      </c>
      <c r="AJ1344">
        <v>90.456185203977597</v>
      </c>
      <c r="AK1344">
        <v>19.7426431875197</v>
      </c>
    </row>
    <row r="1345" spans="1:37" x14ac:dyDescent="0.2">
      <c r="A1345" t="str">
        <f>"20200111153427360"</f>
        <v>20200111153427360</v>
      </c>
      <c r="B1345" t="str">
        <f>"1578728067357679"</f>
        <v>1578728067357679</v>
      </c>
      <c r="C1345" t="s">
        <v>37</v>
      </c>
      <c r="D1345">
        <v>4.9638679999999997</v>
      </c>
      <c r="E1345">
        <v>0.49920119999999901</v>
      </c>
      <c r="F1345" t="s">
        <v>52</v>
      </c>
      <c r="G1345">
        <v>-258.42970000000003</v>
      </c>
      <c r="H1345" s="1">
        <v>2.949106E-6</v>
      </c>
      <c r="I1345">
        <v>283.61009999999999</v>
      </c>
      <c r="J1345">
        <v>-238.7311</v>
      </c>
      <c r="K1345">
        <v>1.1030199999999999</v>
      </c>
      <c r="L1345">
        <v>283.86290000000002</v>
      </c>
      <c r="M1345">
        <v>-0.99998369999999903</v>
      </c>
      <c r="N1345">
        <v>0</v>
      </c>
      <c r="O1345">
        <v>-5.1660730000000002E-3</v>
      </c>
      <c r="P1345">
        <v>-0.9997895</v>
      </c>
      <c r="Q1345">
        <v>1.908967E-2</v>
      </c>
      <c r="R1345">
        <v>-7.5525749999999997E-3</v>
      </c>
      <c r="S1345">
        <v>-3.0035099999999999</v>
      </c>
      <c r="T1345">
        <v>-0.16649249999999999</v>
      </c>
      <c r="U1345">
        <v>-3.8299560000000003E-2</v>
      </c>
      <c r="V1345">
        <v>-2.3739199999999998E-3</v>
      </c>
      <c r="W1345">
        <v>2.1576939999999999E-2</v>
      </c>
      <c r="X1345">
        <v>0.9997644</v>
      </c>
      <c r="Y1345">
        <v>-7.5810199999999999E-3</v>
      </c>
      <c r="Z1345" s="1">
        <v>7.618708E-5</v>
      </c>
      <c r="AA1345">
        <v>0.99997130000000001</v>
      </c>
      <c r="AB1345">
        <v>34</v>
      </c>
      <c r="AC1345">
        <v>-19.698599999999999</v>
      </c>
      <c r="AD1345">
        <v>-1.103017050894</v>
      </c>
      <c r="AE1345">
        <v>-0.252800000000036</v>
      </c>
      <c r="AF1345">
        <v>-0.150559931453007</v>
      </c>
      <c r="AG1345">
        <v>-1.103017050894</v>
      </c>
      <c r="AH1345">
        <v>19.638079916209399</v>
      </c>
      <c r="AI1345">
        <v>93.214674635956001</v>
      </c>
      <c r="AJ1345">
        <v>90.439262884220199</v>
      </c>
      <c r="AK1345">
        <v>19.669608478638999</v>
      </c>
    </row>
    <row r="1346" spans="1:37" x14ac:dyDescent="0.2">
      <c r="A1346" t="str">
        <f>"20200111153427377"</f>
        <v>20200111153427377</v>
      </c>
      <c r="B1346" t="str">
        <f>"1578728067367439"</f>
        <v>1578728067367439</v>
      </c>
      <c r="C1346" t="s">
        <v>37</v>
      </c>
      <c r="D1346">
        <v>4.9652599999999998</v>
      </c>
      <c r="E1346">
        <v>0.4992645</v>
      </c>
      <c r="F1346" t="s">
        <v>52</v>
      </c>
      <c r="G1346">
        <v>-258.52050000000003</v>
      </c>
      <c r="H1346" s="1">
        <v>2.9973780000000001E-6</v>
      </c>
      <c r="I1346">
        <v>283.63510000000002</v>
      </c>
      <c r="J1346">
        <v>-238.9966</v>
      </c>
      <c r="K1346">
        <v>1.103003</v>
      </c>
      <c r="L1346">
        <v>283.86169999999998</v>
      </c>
      <c r="M1346">
        <v>-0.99998469999999995</v>
      </c>
      <c r="N1346">
        <v>0</v>
      </c>
      <c r="O1346">
        <v>-4.9439649999999998E-3</v>
      </c>
      <c r="P1346">
        <v>-0.99978449999999996</v>
      </c>
      <c r="Q1346">
        <v>1.9245149999999999E-2</v>
      </c>
      <c r="R1346">
        <v>-7.8066280000000004E-3</v>
      </c>
      <c r="S1346">
        <v>-3.003555</v>
      </c>
      <c r="T1346">
        <v>-0.1674119</v>
      </c>
      <c r="U1346">
        <v>-3.4576419999999997E-2</v>
      </c>
      <c r="V1346">
        <v>-2.8496809999999902E-3</v>
      </c>
      <c r="W1346">
        <v>2.1724730000000001E-2</v>
      </c>
      <c r="X1346">
        <v>0.99975990000000003</v>
      </c>
      <c r="Y1346">
        <v>-6.5647589999999999E-3</v>
      </c>
      <c r="Z1346" s="1">
        <v>9.2536460000000001E-5</v>
      </c>
      <c r="AA1346">
        <v>0.99997839999999905</v>
      </c>
      <c r="AB1346">
        <v>34</v>
      </c>
      <c r="AC1346">
        <v>-19.523900000000001</v>
      </c>
      <c r="AD1346">
        <v>-1.1030000026219999</v>
      </c>
      <c r="AE1346">
        <v>-0.226599999999962</v>
      </c>
      <c r="AF1346">
        <v>-0.129657686468204</v>
      </c>
      <c r="AG1346">
        <v>-1.1030000026219999</v>
      </c>
      <c r="AH1346">
        <v>19.462671649892201</v>
      </c>
      <c r="AI1346">
        <v>93.243558733793094</v>
      </c>
      <c r="AJ1346">
        <v>90.381691088163194</v>
      </c>
      <c r="AK1346">
        <v>19.494332711661698</v>
      </c>
    </row>
    <row r="1347" spans="1:37" x14ac:dyDescent="0.2">
      <c r="A1347" t="str">
        <f>"20200111153427391"</f>
        <v>20200111153427391</v>
      </c>
      <c r="B1347" t="str">
        <f>"1578728067387935"</f>
        <v>1578728067387935</v>
      </c>
      <c r="C1347" t="s">
        <v>37</v>
      </c>
      <c r="D1347">
        <v>4.9933100000000001</v>
      </c>
      <c r="E1347">
        <v>0.49887609999999899</v>
      </c>
      <c r="F1347" t="s">
        <v>52</v>
      </c>
      <c r="G1347">
        <v>-258.59030000000001</v>
      </c>
      <c r="H1347" s="1">
        <v>3.0345189999999998E-6</v>
      </c>
      <c r="I1347">
        <v>283.63440000000003</v>
      </c>
      <c r="J1347">
        <v>-239.2105</v>
      </c>
      <c r="K1347">
        <v>1.1029910000000001</v>
      </c>
      <c r="L1347">
        <v>283.86079999999998</v>
      </c>
      <c r="M1347">
        <v>-0.99998569999999998</v>
      </c>
      <c r="N1347">
        <v>0</v>
      </c>
      <c r="O1347">
        <v>-4.7597680000000002E-3</v>
      </c>
      <c r="P1347">
        <v>-0.99978159999999905</v>
      </c>
      <c r="Q1347">
        <v>1.9470729999999999E-2</v>
      </c>
      <c r="R1347">
        <v>-7.5995849999999998E-3</v>
      </c>
      <c r="S1347">
        <v>-3.003647</v>
      </c>
      <c r="T1347">
        <v>-0.16908679999999901</v>
      </c>
      <c r="U1347">
        <v>-3.4851069999999998E-2</v>
      </c>
      <c r="V1347">
        <v>-2.8267850000000001E-3</v>
      </c>
      <c r="W1347">
        <v>2.1945929999999999E-2</v>
      </c>
      <c r="X1347">
        <v>0.99975509999999901</v>
      </c>
      <c r="Y1347">
        <v>-6.8392540000000003E-3</v>
      </c>
      <c r="Z1347" s="1">
        <v>7.5377710000000002E-5</v>
      </c>
      <c r="AA1347">
        <v>0.99997659999999999</v>
      </c>
      <c r="AB1347">
        <v>34</v>
      </c>
      <c r="AC1347">
        <v>-19.379799999999999</v>
      </c>
      <c r="AD1347">
        <v>-1.102987965481</v>
      </c>
      <c r="AE1347">
        <v>-0.226399999999955</v>
      </c>
      <c r="AF1347">
        <v>-0.13372071510387901</v>
      </c>
      <c r="AG1347">
        <v>-1.102987965481</v>
      </c>
      <c r="AH1347">
        <v>19.318090713509601</v>
      </c>
      <c r="AI1347">
        <v>93.267740497136501</v>
      </c>
      <c r="AJ1347">
        <v>90.3965976947581</v>
      </c>
      <c r="AK1347">
        <v>19.350015309994699</v>
      </c>
    </row>
    <row r="1348" spans="1:37" x14ac:dyDescent="0.2">
      <c r="A1348" t="str">
        <f>"20200111153427406"</f>
        <v>20200111153427406</v>
      </c>
      <c r="B1348" t="str">
        <f>"1578728067397696"</f>
        <v>1578728067397696</v>
      </c>
      <c r="C1348" t="s">
        <v>37</v>
      </c>
      <c r="D1348">
        <v>5.0025170000000001</v>
      </c>
      <c r="E1348">
        <v>0.49876239999999999</v>
      </c>
      <c r="F1348" t="s">
        <v>52</v>
      </c>
      <c r="G1348">
        <v>-258.39960000000002</v>
      </c>
      <c r="H1348" s="1">
        <v>2.933065E-6</v>
      </c>
      <c r="I1348">
        <v>283.62099999999998</v>
      </c>
      <c r="J1348">
        <v>-239.4365</v>
      </c>
      <c r="K1348">
        <v>1.102981</v>
      </c>
      <c r="L1348">
        <v>283.85989999999998</v>
      </c>
      <c r="M1348">
        <v>-0.99998659999999995</v>
      </c>
      <c r="N1348">
        <v>0</v>
      </c>
      <c r="O1348">
        <v>-4.5598349999999999E-3</v>
      </c>
      <c r="P1348">
        <v>-0.99977830000000001</v>
      </c>
      <c r="Q1348">
        <v>1.9713709999999999E-2</v>
      </c>
      <c r="R1348">
        <v>-7.4100549999999996E-3</v>
      </c>
      <c r="S1348">
        <v>-3.0037229999999999</v>
      </c>
      <c r="T1348">
        <v>-0.1726541</v>
      </c>
      <c r="U1348">
        <v>-3.753662E-2</v>
      </c>
      <c r="V1348">
        <v>-2.836304E-3</v>
      </c>
      <c r="W1348">
        <v>2.2185239999999998E-2</v>
      </c>
      <c r="X1348">
        <v>0.99974979999999902</v>
      </c>
      <c r="Y1348">
        <v>-7.9305369999999997E-3</v>
      </c>
      <c r="Z1348" s="1">
        <v>3.4144470000000003E-5</v>
      </c>
      <c r="AA1348">
        <v>0.99996849999999904</v>
      </c>
      <c r="AB1348">
        <v>34</v>
      </c>
      <c r="AC1348">
        <v>-18.963100000000001</v>
      </c>
      <c r="AD1348">
        <v>-1.102978066935</v>
      </c>
      <c r="AE1348">
        <v>-0.238900000000001</v>
      </c>
      <c r="AF1348">
        <v>-0.15191478787224499</v>
      </c>
      <c r="AG1348">
        <v>-1.102978066935</v>
      </c>
      <c r="AH1348">
        <v>18.9000615164985</v>
      </c>
      <c r="AI1348">
        <v>93.339796411666995</v>
      </c>
      <c r="AJ1348">
        <v>90.460521715489605</v>
      </c>
      <c r="AK1348">
        <v>18.932827682265</v>
      </c>
    </row>
    <row r="1349" spans="1:37" x14ac:dyDescent="0.2">
      <c r="A1349" t="str">
        <f>"20200111153427423"</f>
        <v>20200111153427423</v>
      </c>
      <c r="B1349" t="str">
        <f>"1578728067417215"</f>
        <v>1578728067417215</v>
      </c>
      <c r="C1349" t="s">
        <v>37</v>
      </c>
      <c r="D1349">
        <v>4.9810689999999997</v>
      </c>
      <c r="E1349">
        <v>0.49862000000000001</v>
      </c>
      <c r="F1349" t="s">
        <v>52</v>
      </c>
      <c r="G1349">
        <v>-258.79669999999999</v>
      </c>
      <c r="H1349" s="1">
        <v>3.144356E-6</v>
      </c>
      <c r="I1349">
        <v>283.6146</v>
      </c>
      <c r="J1349">
        <v>-239.69210000000001</v>
      </c>
      <c r="K1349">
        <v>1.10297</v>
      </c>
      <c r="L1349">
        <v>283.85890000000001</v>
      </c>
      <c r="M1349">
        <v>-0.99998770000000003</v>
      </c>
      <c r="N1349">
        <v>0</v>
      </c>
      <c r="O1349">
        <v>-4.3255639999999996E-3</v>
      </c>
      <c r="P1349">
        <v>-0.99976810000000005</v>
      </c>
      <c r="Q1349">
        <v>2.0403770000000002E-2</v>
      </c>
      <c r="R1349">
        <v>-6.9156E-3</v>
      </c>
      <c r="S1349">
        <v>-3.0037689999999899</v>
      </c>
      <c r="T1349">
        <v>-0.17112920000000001</v>
      </c>
      <c r="U1349">
        <v>-3.805542E-2</v>
      </c>
      <c r="V1349">
        <v>-2.574546E-3</v>
      </c>
      <c r="W1349">
        <v>2.287171E-2</v>
      </c>
      <c r="X1349">
        <v>0.99973509999999999</v>
      </c>
      <c r="Y1349">
        <v>-8.3363569999999904E-3</v>
      </c>
      <c r="Z1349" s="1">
        <v>8.9574169999999998E-6</v>
      </c>
      <c r="AA1349">
        <v>0.99996529999999995</v>
      </c>
      <c r="AB1349">
        <v>35</v>
      </c>
      <c r="AC1349">
        <v>-19.104599999999898</v>
      </c>
      <c r="AD1349">
        <v>-1.102966855644</v>
      </c>
      <c r="AE1349">
        <v>-0.24430000000000901</v>
      </c>
      <c r="AF1349">
        <v>-0.16112235119978099</v>
      </c>
      <c r="AG1349">
        <v>-1.102966855644</v>
      </c>
      <c r="AH1349">
        <v>19.0420193306079</v>
      </c>
      <c r="AI1349">
        <v>93.314908862211695</v>
      </c>
      <c r="AJ1349">
        <v>90.484791567733893</v>
      </c>
      <c r="AK1349">
        <v>19.074616548805199</v>
      </c>
    </row>
    <row r="1350" spans="1:37" x14ac:dyDescent="0.2">
      <c r="A1350" t="str">
        <f>"20200111153427436"</f>
        <v>20200111153427436</v>
      </c>
      <c r="B1350" t="str">
        <f>"1578728067427951"</f>
        <v>1578728067427951</v>
      </c>
      <c r="C1350" t="s">
        <v>37</v>
      </c>
      <c r="D1350">
        <v>4.9698459999999898</v>
      </c>
      <c r="E1350">
        <v>0.49855699999999997</v>
      </c>
      <c r="F1350" t="s">
        <v>52</v>
      </c>
      <c r="G1350">
        <v>-259.60270000000003</v>
      </c>
      <c r="H1350" s="1">
        <v>3.573278E-6</v>
      </c>
      <c r="I1350">
        <v>283.60930000000002</v>
      </c>
      <c r="J1350">
        <v>-239.91739999999999</v>
      </c>
      <c r="K1350">
        <v>1.1029549999999999</v>
      </c>
      <c r="L1350">
        <v>283.85809999999998</v>
      </c>
      <c r="M1350">
        <v>-0.99998860000000001</v>
      </c>
      <c r="N1350">
        <v>0</v>
      </c>
      <c r="O1350">
        <v>-4.1107259999999899E-3</v>
      </c>
      <c r="P1350">
        <v>-0.99976889999999996</v>
      </c>
      <c r="Q1350">
        <v>2.0476479999999998E-2</v>
      </c>
      <c r="R1350">
        <v>-6.5815300000000004E-3</v>
      </c>
      <c r="S1350">
        <v>-3.0038299999999998</v>
      </c>
      <c r="T1350">
        <v>-0.1664002</v>
      </c>
      <c r="U1350">
        <v>-3.7658690000000002E-2</v>
      </c>
      <c r="V1350">
        <v>-2.4548879999999901E-3</v>
      </c>
      <c r="W1350">
        <v>2.294322E-2</v>
      </c>
      <c r="X1350">
        <v>0.99973369999999995</v>
      </c>
      <c r="Y1350">
        <v>-8.4187810000000002E-3</v>
      </c>
      <c r="Z1350" s="1">
        <v>-5.4625270000000003E-6</v>
      </c>
      <c r="AA1350">
        <v>0.99996450000000003</v>
      </c>
      <c r="AB1350">
        <v>35</v>
      </c>
      <c r="AC1350">
        <v>-19.685300000000002</v>
      </c>
      <c r="AD1350">
        <v>-1.102951426722</v>
      </c>
      <c r="AE1350">
        <v>-0.24879999999996</v>
      </c>
      <c r="AF1350">
        <v>-0.16735150684986499</v>
      </c>
      <c r="AG1350">
        <v>-1.102951426722</v>
      </c>
      <c r="AH1350">
        <v>19.624559472916999</v>
      </c>
      <c r="AI1350">
        <v>93.2166713907949</v>
      </c>
      <c r="AJ1350">
        <v>90.4885868970442</v>
      </c>
      <c r="AK1350">
        <v>19.656241830080599</v>
      </c>
    </row>
    <row r="1351" spans="1:37" x14ac:dyDescent="0.2">
      <c r="A1351" t="str">
        <f>"20200111153427450"</f>
        <v>20200111153427450</v>
      </c>
      <c r="B1351" t="str">
        <f>"1578728067437711"</f>
        <v>1578728067437711</v>
      </c>
      <c r="C1351" t="s">
        <v>37</v>
      </c>
      <c r="D1351">
        <v>4.9766760000000003</v>
      </c>
      <c r="E1351">
        <v>0.49857029999999902</v>
      </c>
      <c r="F1351" t="s">
        <v>52</v>
      </c>
      <c r="G1351">
        <v>-260.03160000000003</v>
      </c>
      <c r="H1351" s="1">
        <v>-1.5199869999999999E-6</v>
      </c>
      <c r="I1351">
        <v>283.60879999999997</v>
      </c>
      <c r="J1351">
        <v>-240.1172</v>
      </c>
      <c r="K1351">
        <v>1.1029409999999999</v>
      </c>
      <c r="L1351">
        <v>283.85739999999998</v>
      </c>
      <c r="M1351">
        <v>-0.99998940000000003</v>
      </c>
      <c r="N1351">
        <v>0</v>
      </c>
      <c r="O1351">
        <v>-3.9115059999999899E-3</v>
      </c>
      <c r="P1351">
        <v>-0.999776</v>
      </c>
      <c r="Q1351">
        <v>2.028319E-2</v>
      </c>
      <c r="R1351">
        <v>-6.0854409999999996E-3</v>
      </c>
      <c r="S1351">
        <v>-3.0038299999999998</v>
      </c>
      <c r="T1351">
        <v>-0.16471449999999899</v>
      </c>
      <c r="U1351">
        <v>-3.7231449999999999E-2</v>
      </c>
      <c r="V1351">
        <v>-2.156954E-3</v>
      </c>
      <c r="W1351">
        <v>2.2749680000000001E-2</v>
      </c>
      <c r="X1351">
        <v>0.99973889999999999</v>
      </c>
      <c r="Y1351">
        <v>-8.4755409999999996E-3</v>
      </c>
      <c r="Z1351" s="1">
        <v>-1.787761E-5</v>
      </c>
      <c r="AA1351">
        <v>0.99996409999999902</v>
      </c>
      <c r="AB1351">
        <v>35</v>
      </c>
      <c r="AC1351">
        <v>-19.914400000000001</v>
      </c>
      <c r="AD1351">
        <v>-1.102942519987</v>
      </c>
      <c r="AE1351">
        <v>-0.24860000000001001</v>
      </c>
      <c r="AF1351">
        <v>-0.17018064148920101</v>
      </c>
      <c r="AG1351">
        <v>-1.102942519987</v>
      </c>
      <c r="AH1351">
        <v>19.8543282551055</v>
      </c>
      <c r="AI1351">
        <v>93.179495732165705</v>
      </c>
      <c r="AJ1351">
        <v>90.491096631650294</v>
      </c>
      <c r="AK1351">
        <v>19.8856680580415</v>
      </c>
    </row>
    <row r="1352" spans="1:37" x14ac:dyDescent="0.2">
      <c r="A1352" t="str">
        <f>"20200111153427468"</f>
        <v>20200111153427468</v>
      </c>
      <c r="B1352" t="str">
        <f>"1578728067457231"</f>
        <v>1578728067457231</v>
      </c>
      <c r="C1352" t="s">
        <v>37</v>
      </c>
      <c r="D1352">
        <v>4.9806049999999997</v>
      </c>
      <c r="E1352">
        <v>0.49844250000000001</v>
      </c>
      <c r="F1352" t="s">
        <v>52</v>
      </c>
      <c r="G1352">
        <v>-260.29689999999999</v>
      </c>
      <c r="H1352" s="1">
        <v>-1.3788090000000001E-6</v>
      </c>
      <c r="I1352">
        <v>283.6182</v>
      </c>
      <c r="J1352">
        <v>-240.41229999999999</v>
      </c>
      <c r="K1352">
        <v>1.1029119999999999</v>
      </c>
      <c r="L1352">
        <v>283.85649999999998</v>
      </c>
      <c r="M1352">
        <v>-0.9999905</v>
      </c>
      <c r="N1352">
        <v>0</v>
      </c>
      <c r="O1352">
        <v>-3.6080879999999902E-3</v>
      </c>
      <c r="P1352">
        <v>-0.99978599999999995</v>
      </c>
      <c r="Q1352">
        <v>1.994216E-2</v>
      </c>
      <c r="R1352">
        <v>-5.5013409999999999E-3</v>
      </c>
      <c r="S1352">
        <v>-3.0037689999999899</v>
      </c>
      <c r="T1352">
        <v>-0.1641743</v>
      </c>
      <c r="U1352">
        <v>-3.5614010000000001E-2</v>
      </c>
      <c r="V1352">
        <v>-1.8761839999999999E-3</v>
      </c>
      <c r="W1352">
        <v>2.2408819999999999E-2</v>
      </c>
      <c r="X1352">
        <v>0.99974719999999995</v>
      </c>
      <c r="Y1352">
        <v>-8.2407729999999998E-3</v>
      </c>
      <c r="Z1352" s="1">
        <v>-2.7979169999999999E-5</v>
      </c>
      <c r="AA1352">
        <v>0.99996600000000002</v>
      </c>
      <c r="AB1352">
        <v>35</v>
      </c>
      <c r="AC1352">
        <v>-19.884599999999999</v>
      </c>
      <c r="AD1352">
        <v>-1.102913378809</v>
      </c>
      <c r="AE1352">
        <v>-0.238299999999981</v>
      </c>
      <c r="AF1352">
        <v>-0.1660421016677</v>
      </c>
      <c r="AG1352">
        <v>-1.102913378809</v>
      </c>
      <c r="AH1352">
        <v>19.824350619408602</v>
      </c>
      <c r="AI1352">
        <v>93.184215070725898</v>
      </c>
      <c r="AJ1352">
        <v>90.479878981959203</v>
      </c>
      <c r="AK1352">
        <v>19.855701080091102</v>
      </c>
    </row>
    <row r="1353" spans="1:37" x14ac:dyDescent="0.2">
      <c r="A1353" t="str">
        <f>"20200111153427484"</f>
        <v>20200111153427484</v>
      </c>
      <c r="B1353" t="str">
        <f>"1578728067477728"</f>
        <v>1578728067477728</v>
      </c>
      <c r="C1353" t="s">
        <v>37</v>
      </c>
      <c r="D1353">
        <v>4.9809910000000004</v>
      </c>
      <c r="E1353">
        <v>0.49818760000000001</v>
      </c>
      <c r="F1353" t="s">
        <v>52</v>
      </c>
      <c r="G1353">
        <v>-260.74509999999998</v>
      </c>
      <c r="H1353" s="1">
        <v>-1.140288E-6</v>
      </c>
      <c r="I1353">
        <v>283.61959999999999</v>
      </c>
      <c r="J1353">
        <v>-240.6525</v>
      </c>
      <c r="K1353">
        <v>1.102894</v>
      </c>
      <c r="L1353">
        <v>283.85579999999999</v>
      </c>
      <c r="M1353">
        <v>-0.99999139999999997</v>
      </c>
      <c r="N1353">
        <v>0</v>
      </c>
      <c r="O1353">
        <v>-3.3533149999999999E-3</v>
      </c>
      <c r="P1353">
        <v>-0.9997954</v>
      </c>
      <c r="Q1353">
        <v>1.949445E-2</v>
      </c>
      <c r="R1353">
        <v>-5.4172389999999999E-3</v>
      </c>
      <c r="S1353">
        <v>-3.0036930000000002</v>
      </c>
      <c r="T1353">
        <v>-0.16292979999999899</v>
      </c>
      <c r="U1353">
        <v>-3.5003659999999999E-2</v>
      </c>
      <c r="V1353">
        <v>-2.0463920000000002E-3</v>
      </c>
      <c r="W1353">
        <v>2.196261E-2</v>
      </c>
      <c r="X1353">
        <v>0.99975669999999905</v>
      </c>
      <c r="Y1353">
        <v>-8.292331E-3</v>
      </c>
      <c r="Z1353" s="1">
        <v>-4.2974289999999999E-5</v>
      </c>
      <c r="AA1353">
        <v>0.99996559999999901</v>
      </c>
      <c r="AB1353">
        <v>35</v>
      </c>
      <c r="AC1353">
        <v>-20.092599999999901</v>
      </c>
      <c r="AD1353">
        <v>-1.1028951402880001</v>
      </c>
      <c r="AE1353">
        <v>-0.236199999999996</v>
      </c>
      <c r="AF1353">
        <v>-0.16831459604901799</v>
      </c>
      <c r="AG1353">
        <v>-1.1028951402880001</v>
      </c>
      <c r="AH1353">
        <v>20.032928624345601</v>
      </c>
      <c r="AI1353">
        <v>93.151076260931404</v>
      </c>
      <c r="AJ1353">
        <v>90.481381891378007</v>
      </c>
      <c r="AK1353">
        <v>20.063971111468401</v>
      </c>
    </row>
    <row r="1354" spans="1:37" x14ac:dyDescent="0.2">
      <c r="A1354" t="str">
        <f>"20200111153427502"</f>
        <v>20200111153427502</v>
      </c>
      <c r="B1354" t="str">
        <f>"1578728067497247"</f>
        <v>1578728067497247</v>
      </c>
      <c r="C1354" t="s">
        <v>37</v>
      </c>
      <c r="D1354">
        <v>4.9451609999999997</v>
      </c>
      <c r="E1354">
        <v>0.49784399999999901</v>
      </c>
      <c r="F1354" t="s">
        <v>52</v>
      </c>
      <c r="G1354">
        <v>-260.72809999999998</v>
      </c>
      <c r="H1354" s="1">
        <v>-1.1493139999999999E-6</v>
      </c>
      <c r="I1354">
        <v>283.61</v>
      </c>
      <c r="J1354">
        <v>-240.93950000000001</v>
      </c>
      <c r="K1354">
        <v>1.1028739999999999</v>
      </c>
      <c r="L1354">
        <v>283.85509999999999</v>
      </c>
      <c r="M1354">
        <v>-0.99999249999999995</v>
      </c>
      <c r="N1354">
        <v>0</v>
      </c>
      <c r="O1354">
        <v>-3.03965099999999E-3</v>
      </c>
      <c r="P1354">
        <v>-0.99980480000000005</v>
      </c>
      <c r="Q1354">
        <v>1.9087710000000001E-2</v>
      </c>
      <c r="R1354">
        <v>-5.13569E-3</v>
      </c>
      <c r="S1354">
        <v>-3.0036320000000001</v>
      </c>
      <c r="T1354">
        <v>-0.165010299999999</v>
      </c>
      <c r="U1354">
        <v>-3.6773680000000003E-2</v>
      </c>
      <c r="V1354">
        <v>-2.077874E-3</v>
      </c>
      <c r="W1354">
        <v>2.1558830000000001E-2</v>
      </c>
      <c r="X1354">
        <v>0.99976540000000003</v>
      </c>
      <c r="Y1354">
        <v>-9.1933899999999992E-3</v>
      </c>
      <c r="Z1354" s="1">
        <v>-8.5472099999999896E-5</v>
      </c>
      <c r="AA1354">
        <v>0.99995769999999995</v>
      </c>
      <c r="AB1354">
        <v>35</v>
      </c>
      <c r="AC1354">
        <v>-19.788599999999899</v>
      </c>
      <c r="AD1354">
        <v>-1.1028751493140001</v>
      </c>
      <c r="AE1354">
        <v>-0.245099999999979</v>
      </c>
      <c r="AF1354">
        <v>-0.18437564591681399</v>
      </c>
      <c r="AG1354">
        <v>-1.1028751493140001</v>
      </c>
      <c r="AH1354">
        <v>19.727984901260999</v>
      </c>
      <c r="AI1354">
        <v>93.199598706971997</v>
      </c>
      <c r="AJ1354">
        <v>90.535464663683001</v>
      </c>
      <c r="AK1354">
        <v>19.759648687113899</v>
      </c>
    </row>
    <row r="1355" spans="1:37" x14ac:dyDescent="0.2">
      <c r="A1355" t="str">
        <f>"20200111153427523"</f>
        <v>20200111153427523</v>
      </c>
      <c r="B1355" t="str">
        <f>"1578728067517744"</f>
        <v>1578728067517744</v>
      </c>
      <c r="C1355" t="s">
        <v>37</v>
      </c>
      <c r="D1355">
        <v>4.9468329999999998</v>
      </c>
      <c r="E1355">
        <v>0.49765509999999902</v>
      </c>
      <c r="F1355" t="s">
        <v>52</v>
      </c>
      <c r="G1355">
        <v>-260.83390000000003</v>
      </c>
      <c r="H1355" s="1">
        <v>-1.0930119999999899E-6</v>
      </c>
      <c r="I1355">
        <v>283.60019999999997</v>
      </c>
      <c r="J1355">
        <v>-241.28149999999999</v>
      </c>
      <c r="K1355">
        <v>1.102851</v>
      </c>
      <c r="L1355">
        <v>283.8544</v>
      </c>
      <c r="M1355">
        <v>-0.99999340000000003</v>
      </c>
      <c r="N1355">
        <v>0</v>
      </c>
      <c r="O1355">
        <v>-2.6550580000000001E-3</v>
      </c>
      <c r="P1355">
        <v>-0.99980340000000001</v>
      </c>
      <c r="Q1355">
        <v>1.9263120000000002E-2</v>
      </c>
      <c r="R1355">
        <v>-4.7240269999999996E-3</v>
      </c>
      <c r="S1355">
        <v>-3.003571</v>
      </c>
      <c r="T1355">
        <v>-0.16650689999999899</v>
      </c>
      <c r="U1355">
        <v>-3.8482669999999997E-2</v>
      </c>
      <c r="V1355">
        <v>-2.0502160000000001E-3</v>
      </c>
      <c r="W1355">
        <v>2.1738070000000002E-2</v>
      </c>
      <c r="X1355">
        <v>0.99976160000000003</v>
      </c>
      <c r="Y1355">
        <v>-1.014486E-2</v>
      </c>
      <c r="Z1355">
        <v>-1.339023E-4</v>
      </c>
      <c r="AA1355">
        <v>0.99994850000000002</v>
      </c>
      <c r="AB1355">
        <v>35</v>
      </c>
      <c r="AC1355">
        <v>-19.552399999999999</v>
      </c>
      <c r="AD1355">
        <v>-1.102852093012</v>
      </c>
      <c r="AE1355">
        <v>-0.25420000000002502</v>
      </c>
      <c r="AF1355">
        <v>-0.201644760299972</v>
      </c>
      <c r="AG1355">
        <v>-1.102852093012</v>
      </c>
      <c r="AH1355">
        <v>19.4910054946833</v>
      </c>
      <c r="AI1355">
        <v>93.238319040832494</v>
      </c>
      <c r="AJ1355">
        <v>90.5927339956515</v>
      </c>
      <c r="AK1355">
        <v>19.523223057225799</v>
      </c>
    </row>
    <row r="1356" spans="1:37" x14ac:dyDescent="0.2">
      <c r="A1356" t="str">
        <f>"20200111153427536"</f>
        <v>20200111153427536</v>
      </c>
      <c r="B1356" t="str">
        <f>"1578728067527503"</f>
        <v>1578728067527503</v>
      </c>
      <c r="C1356" t="s">
        <v>37</v>
      </c>
      <c r="D1356">
        <v>4.9169619999999998</v>
      </c>
      <c r="E1356">
        <v>0.49751980000000001</v>
      </c>
      <c r="F1356" t="s">
        <v>52</v>
      </c>
      <c r="G1356">
        <v>-261.42219999999998</v>
      </c>
      <c r="H1356" s="1">
        <v>-7.7994830000000002E-7</v>
      </c>
      <c r="I1356">
        <v>283.59429999999998</v>
      </c>
      <c r="J1356">
        <v>-241.49639999999999</v>
      </c>
      <c r="K1356">
        <v>1.1028450000000001</v>
      </c>
      <c r="L1356">
        <v>283.85399999999998</v>
      </c>
      <c r="M1356">
        <v>-0.99999419999999895</v>
      </c>
      <c r="N1356">
        <v>0</v>
      </c>
      <c r="O1356">
        <v>-2.4094749999999999E-3</v>
      </c>
      <c r="P1356">
        <v>-0.99980519999999995</v>
      </c>
      <c r="Q1356">
        <v>1.9160759999999999E-2</v>
      </c>
      <c r="R1356">
        <v>-4.7718839999999997E-3</v>
      </c>
      <c r="S1356">
        <v>-3.00360099999999</v>
      </c>
      <c r="T1356">
        <v>-0.164469</v>
      </c>
      <c r="U1356">
        <v>-3.8787839999999997E-2</v>
      </c>
      <c r="V1356">
        <v>-2.3434060000000001E-3</v>
      </c>
      <c r="W1356">
        <v>2.1639869999999999E-2</v>
      </c>
      <c r="X1356">
        <v>0.99976309999999902</v>
      </c>
      <c r="Y1356">
        <v>-1.049128E-2</v>
      </c>
      <c r="Z1356">
        <v>-1.5517809999999999E-4</v>
      </c>
      <c r="AA1356">
        <v>0.99994490000000003</v>
      </c>
      <c r="AB1356">
        <v>36</v>
      </c>
      <c r="AC1356">
        <v>-19.925799999999899</v>
      </c>
      <c r="AD1356">
        <v>-1.1028457799483</v>
      </c>
      <c r="AE1356">
        <v>-0.25970000000006599</v>
      </c>
      <c r="AF1356">
        <v>-0.211042002261387</v>
      </c>
      <c r="AG1356">
        <v>-1.1028457799483</v>
      </c>
      <c r="AH1356">
        <v>19.865522988805999</v>
      </c>
      <c r="AI1356">
        <v>93.177367085160697</v>
      </c>
      <c r="AJ1356">
        <v>90.608660601355595</v>
      </c>
      <c r="AK1356">
        <v>19.897231243563699</v>
      </c>
    </row>
    <row r="1357" spans="1:37" x14ac:dyDescent="0.2">
      <c r="A1357" t="str">
        <f>"20200111153427557"</f>
        <v>20200111153427557</v>
      </c>
      <c r="B1357" t="str">
        <f>"1578728067547999"</f>
        <v>1578728067547999</v>
      </c>
      <c r="C1357" t="s">
        <v>37</v>
      </c>
      <c r="D1357">
        <v>4.9246080000000001</v>
      </c>
      <c r="E1357">
        <v>0.49726189999999998</v>
      </c>
      <c r="F1357" t="s">
        <v>52</v>
      </c>
      <c r="G1357">
        <v>-261.68419999999998</v>
      </c>
      <c r="H1357" s="1">
        <v>-6.4055130000000001E-7</v>
      </c>
      <c r="I1357">
        <v>283.58350000000002</v>
      </c>
      <c r="J1357">
        <v>-241.83160000000001</v>
      </c>
      <c r="K1357">
        <v>1.10283</v>
      </c>
      <c r="L1357">
        <v>283.8535</v>
      </c>
      <c r="M1357">
        <v>-0.99999490000000002</v>
      </c>
      <c r="N1357">
        <v>0</v>
      </c>
      <c r="O1357">
        <v>-2.0209569999999999E-3</v>
      </c>
      <c r="P1357">
        <v>-0.99979490000000004</v>
      </c>
      <c r="Q1357">
        <v>1.9732349999999999E-2</v>
      </c>
      <c r="R1357">
        <v>-4.5990110000000001E-3</v>
      </c>
      <c r="S1357">
        <v>-3.0035400000000001</v>
      </c>
      <c r="T1357">
        <v>-0.1640817</v>
      </c>
      <c r="U1357">
        <v>-4.0252690000000001E-2</v>
      </c>
      <c r="V1357">
        <v>-2.5574230000000001E-3</v>
      </c>
      <c r="W1357">
        <v>2.221766E-2</v>
      </c>
      <c r="X1357">
        <v>0.99974989999999997</v>
      </c>
      <c r="Y1357">
        <v>-1.13657999999999E-2</v>
      </c>
      <c r="Z1357">
        <v>-1.998921E-4</v>
      </c>
      <c r="AA1357">
        <v>0.99993539999999903</v>
      </c>
      <c r="AB1357">
        <v>36</v>
      </c>
      <c r="AC1357">
        <v>-19.852599999999899</v>
      </c>
      <c r="AD1357">
        <v>-1.1028306405513</v>
      </c>
      <c r="AE1357">
        <v>-0.26999999999998098</v>
      </c>
      <c r="AF1357">
        <v>-0.22917100532283</v>
      </c>
      <c r="AG1357">
        <v>-1.1028306405513</v>
      </c>
      <c r="AH1357">
        <v>19.792040014123199</v>
      </c>
      <c r="AI1357">
        <v>93.189062122726099</v>
      </c>
      <c r="AJ1357">
        <v>90.6633952142993</v>
      </c>
      <c r="AK1357">
        <v>19.824066250193798</v>
      </c>
    </row>
    <row r="1358" spans="1:37" x14ac:dyDescent="0.2">
      <c r="A1358" t="str">
        <f>"20200111153427572"</f>
        <v>20200111153427572</v>
      </c>
      <c r="B1358" t="str">
        <f>"1578728067567519"</f>
        <v>1578728067567519</v>
      </c>
      <c r="C1358" t="s">
        <v>37</v>
      </c>
      <c r="D1358">
        <v>4.9021530000000002</v>
      </c>
      <c r="E1358">
        <v>0.49702479999999899</v>
      </c>
      <c r="F1358" t="s">
        <v>52</v>
      </c>
      <c r="G1358">
        <v>-262.35930000000002</v>
      </c>
      <c r="H1358" s="1">
        <v>-2.81260799999999E-7</v>
      </c>
      <c r="I1358">
        <v>283.56880000000001</v>
      </c>
      <c r="J1358">
        <v>-242.06630000000001</v>
      </c>
      <c r="K1358">
        <v>1.102822</v>
      </c>
      <c r="L1358">
        <v>283.85329999999999</v>
      </c>
      <c r="M1358">
        <v>-0.99999550000000004</v>
      </c>
      <c r="N1358">
        <v>0</v>
      </c>
      <c r="O1358">
        <v>-1.746172E-3</v>
      </c>
      <c r="P1358">
        <v>-0.99978919999999905</v>
      </c>
      <c r="Q1358">
        <v>2.006838E-2</v>
      </c>
      <c r="R1358">
        <v>-4.3915100000000004E-3</v>
      </c>
      <c r="S1358">
        <v>-3.0036160000000001</v>
      </c>
      <c r="T1358">
        <v>-0.16136619999999999</v>
      </c>
      <c r="U1358">
        <v>-4.1656489999999997E-2</v>
      </c>
      <c r="V1358">
        <v>-2.6241429999999998E-3</v>
      </c>
      <c r="W1358">
        <v>2.255851E-2</v>
      </c>
      <c r="X1358">
        <v>0.99974209999999997</v>
      </c>
      <c r="Y1358">
        <v>-1.2106479999999999E-2</v>
      </c>
      <c r="Z1358">
        <v>-2.3121509999999901E-4</v>
      </c>
      <c r="AA1358">
        <v>0.99992669999999995</v>
      </c>
      <c r="AB1358">
        <v>36</v>
      </c>
      <c r="AC1358">
        <v>-20.292999999999999</v>
      </c>
      <c r="AD1358">
        <v>-1.1028222812608</v>
      </c>
      <c r="AE1358">
        <v>-0.28449999999997999</v>
      </c>
      <c r="AF1358">
        <v>-0.24833112169611499</v>
      </c>
      <c r="AG1358">
        <v>-1.1028222812608</v>
      </c>
      <c r="AH1358">
        <v>20.233719835736402</v>
      </c>
      <c r="AI1358">
        <v>93.119538064414101</v>
      </c>
      <c r="AJ1358">
        <v>90.703163381318205</v>
      </c>
      <c r="AK1358">
        <v>20.265273344347399</v>
      </c>
    </row>
    <row r="1359" spans="1:37" x14ac:dyDescent="0.2">
      <c r="A1359" t="str">
        <f>"20200111153427590"</f>
        <v>20200111153427590</v>
      </c>
      <c r="B1359" t="str">
        <f>"1578728067577279"</f>
        <v>1578728067577279</v>
      </c>
      <c r="C1359" t="s">
        <v>37</v>
      </c>
      <c r="D1359">
        <v>4.9194360000000001</v>
      </c>
      <c r="E1359">
        <v>0.4969229</v>
      </c>
      <c r="F1359" t="s">
        <v>52</v>
      </c>
      <c r="G1359">
        <v>-262.90089999999998</v>
      </c>
      <c r="H1359" s="1">
        <v>6.9337599999999998E-9</v>
      </c>
      <c r="I1359">
        <v>283.55590000000001</v>
      </c>
      <c r="J1359">
        <v>-242.35839999999999</v>
      </c>
      <c r="K1359">
        <v>1.102814</v>
      </c>
      <c r="L1359">
        <v>283.85300000000001</v>
      </c>
      <c r="M1359">
        <v>-0.99999590000000005</v>
      </c>
      <c r="N1359">
        <v>0</v>
      </c>
      <c r="O1359">
        <v>-1.4027219999999999E-3</v>
      </c>
      <c r="P1359">
        <v>-0.99978099999999903</v>
      </c>
      <c r="Q1359">
        <v>2.045837E-2</v>
      </c>
      <c r="R1359">
        <v>-4.4588559999999998E-3</v>
      </c>
      <c r="S1359">
        <v>-3.003647</v>
      </c>
      <c r="T1359">
        <v>-0.158989299999999</v>
      </c>
      <c r="U1359">
        <v>-4.2877199999999997E-2</v>
      </c>
      <c r="V1359">
        <v>-3.0340889999999998E-3</v>
      </c>
      <c r="W1359">
        <v>2.2955610000000001E-2</v>
      </c>
      <c r="X1359">
        <v>0.99973189999999901</v>
      </c>
      <c r="Y1359">
        <v>-1.285497E-2</v>
      </c>
      <c r="Z1359">
        <v>-2.6577159999999997E-4</v>
      </c>
      <c r="AA1359">
        <v>0.99991730000000001</v>
      </c>
      <c r="AB1359">
        <v>36</v>
      </c>
      <c r="AC1359">
        <v>-20.542499999999901</v>
      </c>
      <c r="AD1359">
        <v>-1.10281399306624</v>
      </c>
      <c r="AE1359">
        <v>-0.29709999999999998</v>
      </c>
      <c r="AF1359">
        <v>-0.26751338184830398</v>
      </c>
      <c r="AG1359">
        <v>-1.10281399306624</v>
      </c>
      <c r="AH1359">
        <v>20.483873821850299</v>
      </c>
      <c r="AI1359">
        <v>93.081461639728303</v>
      </c>
      <c r="AJ1359">
        <v>90.748223532975999</v>
      </c>
      <c r="AK1359">
        <v>20.515283299585501</v>
      </c>
    </row>
    <row r="1360" spans="1:37" x14ac:dyDescent="0.2">
      <c r="A1360" t="str">
        <f>"20200111153427605"</f>
        <v>20200111153427605</v>
      </c>
      <c r="B1360" t="str">
        <f>"1578728067597775"</f>
        <v>1578728067597775</v>
      </c>
      <c r="C1360" t="s">
        <v>37</v>
      </c>
      <c r="D1360">
        <v>4.9298919999999997</v>
      </c>
      <c r="E1360">
        <v>0.49671409999999899</v>
      </c>
      <c r="F1360" t="s">
        <v>52</v>
      </c>
      <c r="G1360">
        <v>-263.38249999999999</v>
      </c>
      <c r="H1360" s="1">
        <v>2.6320739999999998E-7</v>
      </c>
      <c r="I1360">
        <v>283.54570000000001</v>
      </c>
      <c r="J1360">
        <v>-242.61340000000001</v>
      </c>
      <c r="K1360">
        <v>1.102806</v>
      </c>
      <c r="L1360">
        <v>283.85289999999998</v>
      </c>
      <c r="M1360">
        <v>-0.99999629999999995</v>
      </c>
      <c r="N1360">
        <v>0</v>
      </c>
      <c r="O1360">
        <v>-1.1018320000000001E-3</v>
      </c>
      <c r="P1360">
        <v>-0.99977899999999997</v>
      </c>
      <c r="Q1360">
        <v>2.058581E-2</v>
      </c>
      <c r="R1360">
        <v>-4.2693679999999999E-3</v>
      </c>
      <c r="S1360">
        <v>-3.0036770000000002</v>
      </c>
      <c r="T1360">
        <v>-0.15755720000000001</v>
      </c>
      <c r="U1360">
        <v>-4.3914790000000002E-2</v>
      </c>
      <c r="V1360">
        <v>-3.1451529999999999E-3</v>
      </c>
      <c r="W1360">
        <v>2.308909E-2</v>
      </c>
      <c r="X1360">
        <v>0.99972839999999996</v>
      </c>
      <c r="Y1360">
        <v>-1.350002E-2</v>
      </c>
      <c r="Z1360">
        <v>-2.9605460000000001E-4</v>
      </c>
      <c r="AA1360">
        <v>0.99990879999999904</v>
      </c>
      <c r="AB1360">
        <v>36</v>
      </c>
      <c r="AC1360">
        <v>-20.769099999999899</v>
      </c>
      <c r="AD1360">
        <v>-1.1028057367926001</v>
      </c>
      <c r="AE1360">
        <v>-0.307199999999966</v>
      </c>
      <c r="AF1360">
        <v>-0.28351650116105698</v>
      </c>
      <c r="AG1360">
        <v>-1.1028057367926001</v>
      </c>
      <c r="AH1360">
        <v>20.711045124008098</v>
      </c>
      <c r="AI1360">
        <v>93.047677994816993</v>
      </c>
      <c r="AJ1360">
        <v>90.784281250319296</v>
      </c>
      <c r="AK1360">
        <v>20.7423227298254</v>
      </c>
    </row>
    <row r="1361" spans="1:37" x14ac:dyDescent="0.2">
      <c r="A1361" t="str">
        <f>"20200111153427620"</f>
        <v>20200111153427620</v>
      </c>
      <c r="B1361" t="str">
        <f>"1578728067607536"</f>
        <v>1578728067607536</v>
      </c>
      <c r="C1361" t="s">
        <v>37</v>
      </c>
      <c r="D1361">
        <v>4.8917469999999996</v>
      </c>
      <c r="E1361">
        <v>0.49663469999999998</v>
      </c>
      <c r="F1361" t="s">
        <v>52</v>
      </c>
      <c r="G1361">
        <v>-263.79689999999999</v>
      </c>
      <c r="H1361" s="1">
        <v>4.8375669999999998E-7</v>
      </c>
      <c r="I1361">
        <v>283.53609999999998</v>
      </c>
      <c r="J1361">
        <v>-242.84399999999999</v>
      </c>
      <c r="K1361">
        <v>1.1028</v>
      </c>
      <c r="L1361">
        <v>283.85289999999998</v>
      </c>
      <c r="M1361">
        <v>-0.99999649999999995</v>
      </c>
      <c r="N1361">
        <v>0</v>
      </c>
      <c r="O1361">
        <v>-8.2919619999999999E-4</v>
      </c>
      <c r="P1361">
        <v>-0.9997627</v>
      </c>
      <c r="Q1361">
        <v>2.1324300000000001E-2</v>
      </c>
      <c r="R1361">
        <v>-4.4769609999999998E-3</v>
      </c>
      <c r="S1361">
        <v>-3.0036930000000002</v>
      </c>
      <c r="T1361">
        <v>-0.15637119999999999</v>
      </c>
      <c r="U1361">
        <v>-4.4921879999999997E-2</v>
      </c>
      <c r="V1361">
        <v>-3.6241809999999902E-3</v>
      </c>
      <c r="W1361">
        <v>2.383418E-2</v>
      </c>
      <c r="X1361">
        <v>0.99970939999999997</v>
      </c>
      <c r="Y1361">
        <v>-1.4106789999999999E-2</v>
      </c>
      <c r="Z1361">
        <v>-3.2379220000000001E-4</v>
      </c>
      <c r="AA1361">
        <v>0.99990049999999997</v>
      </c>
      <c r="AB1361">
        <v>36</v>
      </c>
      <c r="AC1361">
        <v>-20.9528999999999</v>
      </c>
      <c r="AD1361">
        <v>-1.1027995162433</v>
      </c>
      <c r="AE1361">
        <v>-0.31680000000000003</v>
      </c>
      <c r="AF1361">
        <v>-0.29859879380948101</v>
      </c>
      <c r="AG1361">
        <v>-1.1027995162433</v>
      </c>
      <c r="AH1361">
        <v>20.8952854323494</v>
      </c>
      <c r="AI1361">
        <v>93.020813292801705</v>
      </c>
      <c r="AJ1361">
        <v>90.818715124622699</v>
      </c>
      <c r="AK1361">
        <v>20.926497110411098</v>
      </c>
    </row>
    <row r="1362" spans="1:37" x14ac:dyDescent="0.2">
      <c r="A1362" t="str">
        <f>"20200111153427634"</f>
        <v>20200111153427634</v>
      </c>
      <c r="B1362" t="str">
        <f>"1578728067628031"</f>
        <v>1578728067628031</v>
      </c>
      <c r="C1362" t="s">
        <v>37</v>
      </c>
      <c r="D1362">
        <v>4.9108330000000002</v>
      </c>
      <c r="E1362">
        <v>0.49649599999999999</v>
      </c>
      <c r="F1362" t="s">
        <v>52</v>
      </c>
      <c r="G1362">
        <v>-264.31569999999999</v>
      </c>
      <c r="H1362" s="1">
        <v>7.5980570000000004E-7</v>
      </c>
      <c r="I1362">
        <v>283.52190000000002</v>
      </c>
      <c r="J1362">
        <v>-243.09569999999999</v>
      </c>
      <c r="K1362">
        <v>1.1027910000000001</v>
      </c>
      <c r="L1362">
        <v>283.85289999999998</v>
      </c>
      <c r="M1362">
        <v>-0.99999680000000002</v>
      </c>
      <c r="N1362">
        <v>0</v>
      </c>
      <c r="O1362">
        <v>-5.317659E-4</v>
      </c>
      <c r="P1362">
        <v>-0.99973020000000001</v>
      </c>
      <c r="Q1362">
        <v>2.2692730000000001E-2</v>
      </c>
      <c r="R1362">
        <v>-4.9820089999999999E-3</v>
      </c>
      <c r="S1362">
        <v>-3.0037989999999999</v>
      </c>
      <c r="T1362">
        <v>-0.1542772</v>
      </c>
      <c r="U1362">
        <v>-4.6295169999999997E-2</v>
      </c>
      <c r="V1362">
        <v>-4.4248839999999996E-3</v>
      </c>
      <c r="W1362">
        <v>2.520992E-2</v>
      </c>
      <c r="X1362">
        <v>0.99967240000000002</v>
      </c>
      <c r="Y1362">
        <v>-1.4859789999999999E-2</v>
      </c>
      <c r="Z1362">
        <v>-3.540382E-4</v>
      </c>
      <c r="AA1362">
        <v>0.99988960000000005</v>
      </c>
      <c r="AB1362">
        <v>36</v>
      </c>
      <c r="AC1362">
        <v>-21.22</v>
      </c>
      <c r="AD1362">
        <v>-1.1027902401942999</v>
      </c>
      <c r="AE1362">
        <v>-0.33099999999995999</v>
      </c>
      <c r="AF1362">
        <v>-0.31885488724944699</v>
      </c>
      <c r="AG1362">
        <v>-1.1027902401942999</v>
      </c>
      <c r="AH1362">
        <v>21.163029460650399</v>
      </c>
      <c r="AI1362">
        <v>92.982605965203007</v>
      </c>
      <c r="AJ1362">
        <v>90.863187246735905</v>
      </c>
      <c r="AK1362">
        <v>21.1941414241141</v>
      </c>
    </row>
    <row r="1363" spans="1:37" x14ac:dyDescent="0.2">
      <c r="A1363" t="str">
        <f>"20200111153427657"</f>
        <v>20200111153427657</v>
      </c>
      <c r="B1363" t="str">
        <f>"1578728067647551"</f>
        <v>1578728067647551</v>
      </c>
      <c r="C1363" t="s">
        <v>37</v>
      </c>
      <c r="D1363">
        <v>4.8897079999999997</v>
      </c>
      <c r="E1363">
        <v>0.49638979999999999</v>
      </c>
      <c r="F1363" t="s">
        <v>52</v>
      </c>
      <c r="G1363">
        <v>-265.14569999999998</v>
      </c>
      <c r="H1363" s="1">
        <v>1.2014929999999899E-6</v>
      </c>
      <c r="I1363">
        <v>283.49509999999998</v>
      </c>
      <c r="J1363">
        <v>-243.46010000000001</v>
      </c>
      <c r="K1363">
        <v>1.1027819999999999</v>
      </c>
      <c r="L1363">
        <v>283.85300000000001</v>
      </c>
      <c r="M1363">
        <v>-0.99999709999999997</v>
      </c>
      <c r="N1363">
        <v>0</v>
      </c>
      <c r="O1363">
        <v>-1.012978E-4</v>
      </c>
      <c r="P1363">
        <v>-0.99970360000000003</v>
      </c>
      <c r="Q1363">
        <v>2.3764170000000001E-2</v>
      </c>
      <c r="R1363">
        <v>-5.3372659999999898E-3</v>
      </c>
      <c r="S1363">
        <v>-3.0039829999999998</v>
      </c>
      <c r="T1363">
        <v>-0.15023839999999999</v>
      </c>
      <c r="U1363">
        <v>-4.873657E-2</v>
      </c>
      <c r="V1363">
        <v>-5.2088769999999998E-3</v>
      </c>
      <c r="W1363">
        <v>2.6292940000000001E-2</v>
      </c>
      <c r="X1363">
        <v>0.99964069999999905</v>
      </c>
      <c r="Y1363">
        <v>-1.610058E-2</v>
      </c>
      <c r="Z1363">
        <v>-3.97279E-4</v>
      </c>
      <c r="AA1363">
        <v>0.99987029999999999</v>
      </c>
      <c r="AB1363">
        <v>36</v>
      </c>
      <c r="AC1363">
        <v>-21.685599999999901</v>
      </c>
      <c r="AD1363">
        <v>-1.1027807985069999</v>
      </c>
      <c r="AE1363">
        <v>-0.35790000000002897</v>
      </c>
      <c r="AF1363">
        <v>-0.35478604660099</v>
      </c>
      <c r="AG1363">
        <v>-1.1027807985069999</v>
      </c>
      <c r="AH1363">
        <v>21.629716029728399</v>
      </c>
      <c r="AI1363">
        <v>92.918279028639205</v>
      </c>
      <c r="AJ1363">
        <v>90.939722015466998</v>
      </c>
      <c r="AK1363">
        <v>21.660715919726801</v>
      </c>
    </row>
    <row r="1364" spans="1:37" x14ac:dyDescent="0.2">
      <c r="A1364" t="str">
        <f>"20200111153427679"</f>
        <v>20200111153427679</v>
      </c>
      <c r="B1364" t="str">
        <f>"1578728067668050"</f>
        <v>1578728067668050</v>
      </c>
      <c r="C1364" t="s">
        <v>37</v>
      </c>
      <c r="D1364">
        <v>4.8900839999999999</v>
      </c>
      <c r="E1364">
        <v>0.49626169999999997</v>
      </c>
      <c r="F1364" t="s">
        <v>52</v>
      </c>
      <c r="G1364">
        <v>-265.97829999999999</v>
      </c>
      <c r="H1364" s="1">
        <v>1.6445609999999899E-6</v>
      </c>
      <c r="I1364">
        <v>283.47280000000001</v>
      </c>
      <c r="J1364">
        <v>-243.8194</v>
      </c>
      <c r="K1364">
        <v>1.1027709999999999</v>
      </c>
      <c r="L1364">
        <v>283.85329999999999</v>
      </c>
      <c r="M1364">
        <v>-0.99999680000000002</v>
      </c>
      <c r="N1364">
        <v>0</v>
      </c>
      <c r="O1364">
        <v>3.2261280000000001E-4</v>
      </c>
      <c r="P1364">
        <v>-0.99969529999999995</v>
      </c>
      <c r="Q1364">
        <v>2.4095040000000002E-2</v>
      </c>
      <c r="R1364">
        <v>-5.3537699999999999E-3</v>
      </c>
      <c r="S1364">
        <v>-3.00413499999999</v>
      </c>
      <c r="T1364">
        <v>-0.1471208</v>
      </c>
      <c r="U1364">
        <v>-5.0720210000000002E-2</v>
      </c>
      <c r="V1364">
        <v>-5.6487869999999997E-3</v>
      </c>
      <c r="W1364">
        <v>2.66346999999999E-2</v>
      </c>
      <c r="X1364">
        <v>0.99962929999999905</v>
      </c>
      <c r="Y1364">
        <v>-1.7182650000000001E-2</v>
      </c>
      <c r="Z1364">
        <v>-4.3624769999999998E-4</v>
      </c>
      <c r="AA1364">
        <v>0.99985230000000003</v>
      </c>
      <c r="AB1364">
        <v>37</v>
      </c>
      <c r="AC1364">
        <v>-22.1588999999999</v>
      </c>
      <c r="AD1364">
        <v>-1.1027693554389999</v>
      </c>
      <c r="AE1364">
        <v>-0.38049999999998302</v>
      </c>
      <c r="AF1364">
        <v>-0.38669131233953902</v>
      </c>
      <c r="AG1364">
        <v>-1.1027693554389999</v>
      </c>
      <c r="AH1364">
        <v>22.104047188961399</v>
      </c>
      <c r="AI1364">
        <v>92.855678116285802</v>
      </c>
      <c r="AJ1364">
        <v>91.002238195357293</v>
      </c>
      <c r="AK1364">
        <v>22.134916592437499</v>
      </c>
    </row>
    <row r="1365" spans="1:37" x14ac:dyDescent="0.2">
      <c r="A1365" t="str">
        <f>"20200111153427693"</f>
        <v>20200111153427693</v>
      </c>
      <c r="B1365" t="str">
        <f>"1578728067687569"</f>
        <v>1578728067687569</v>
      </c>
      <c r="C1365" t="s">
        <v>37</v>
      </c>
      <c r="D1365">
        <v>4.9092640000000003</v>
      </c>
      <c r="E1365">
        <v>0.49614439999999999</v>
      </c>
      <c r="F1365" t="s">
        <v>52</v>
      </c>
      <c r="G1365">
        <v>-266.47660000000002</v>
      </c>
      <c r="H1365" s="1">
        <v>1.9097090000000002E-6</v>
      </c>
      <c r="I1365">
        <v>283.46409999999997</v>
      </c>
      <c r="J1365">
        <v>-244.0532</v>
      </c>
      <c r="K1365">
        <v>1.1027629999999999</v>
      </c>
      <c r="L1365">
        <v>283.85359999999997</v>
      </c>
      <c r="M1365">
        <v>-0.99999649999999995</v>
      </c>
      <c r="N1365">
        <v>0</v>
      </c>
      <c r="O1365">
        <v>5.9768899999999999E-4</v>
      </c>
      <c r="P1365">
        <v>-0.99969419999999898</v>
      </c>
      <c r="Q1365">
        <v>2.4181919999999999E-2</v>
      </c>
      <c r="R1365">
        <v>-5.1873370000000002E-3</v>
      </c>
      <c r="S1365">
        <v>-3.004181</v>
      </c>
      <c r="T1365">
        <v>-0.1462195</v>
      </c>
      <c r="U1365">
        <v>-5.160522E-2</v>
      </c>
      <c r="V1365">
        <v>-5.7569750000000001E-3</v>
      </c>
      <c r="W1365">
        <v>2.6729570000000001E-2</v>
      </c>
      <c r="X1365">
        <v>0.99962609999999996</v>
      </c>
      <c r="Y1365">
        <v>-1.775115E-2</v>
      </c>
      <c r="Z1365">
        <v>-4.6077619999999999E-4</v>
      </c>
      <c r="AA1365">
        <v>0.99984229999999996</v>
      </c>
      <c r="AB1365">
        <v>37</v>
      </c>
      <c r="AC1365">
        <v>-22.423400000000001</v>
      </c>
      <c r="AD1365">
        <v>-1.1027610902909999</v>
      </c>
      <c r="AE1365">
        <v>-0.38949999999999801</v>
      </c>
      <c r="AF1365">
        <v>-0.40193038804407799</v>
      </c>
      <c r="AG1365">
        <v>-1.1027610902909999</v>
      </c>
      <c r="AH1365">
        <v>22.369078172345699</v>
      </c>
      <c r="AI1365">
        <v>92.821853997656504</v>
      </c>
      <c r="AJ1365">
        <v>91.029386945387301</v>
      </c>
      <c r="AK1365">
        <v>22.399850185650902</v>
      </c>
    </row>
    <row r="1366" spans="1:37" x14ac:dyDescent="0.2">
      <c r="A1366" t="str">
        <f>"20200111153427706"</f>
        <v>20200111153427706</v>
      </c>
      <c r="B1366" t="str">
        <f>"1578728067698303"</f>
        <v>1578728067698303</v>
      </c>
      <c r="C1366" t="s">
        <v>37</v>
      </c>
      <c r="D1366">
        <v>4.8912230000000001</v>
      </c>
      <c r="E1366">
        <v>0.49610659999999901</v>
      </c>
      <c r="F1366" t="s">
        <v>52</v>
      </c>
      <c r="G1366">
        <v>-266.76429999999999</v>
      </c>
      <c r="H1366" s="1">
        <v>2.0628500000000001E-6</v>
      </c>
      <c r="I1366">
        <v>283.46089999999998</v>
      </c>
      <c r="J1366">
        <v>-244.26599999999999</v>
      </c>
      <c r="K1366">
        <v>1.1027579999999999</v>
      </c>
      <c r="L1366">
        <v>283.85390000000001</v>
      </c>
      <c r="M1366">
        <v>-0.99999649999999995</v>
      </c>
      <c r="N1366">
        <v>0</v>
      </c>
      <c r="O1366">
        <v>8.4796929999999995E-4</v>
      </c>
      <c r="P1366">
        <v>-0.9996969</v>
      </c>
      <c r="Q1366">
        <v>2.4122009999999999E-2</v>
      </c>
      <c r="R1366">
        <v>-4.9656989999999996E-3</v>
      </c>
      <c r="S1366">
        <v>-3.004181</v>
      </c>
      <c r="T1366">
        <v>-0.14587069999999999</v>
      </c>
      <c r="U1366">
        <v>-5.1940920000000002E-2</v>
      </c>
      <c r="V1366">
        <v>-5.7855830000000004E-3</v>
      </c>
      <c r="W1366">
        <v>2.667665E-2</v>
      </c>
      <c r="X1366">
        <v>0.99962739999999894</v>
      </c>
      <c r="Y1366">
        <v>-1.8112469999999999E-2</v>
      </c>
      <c r="Z1366">
        <v>-4.8058889999999998E-4</v>
      </c>
      <c r="AA1366">
        <v>0.99983580000000005</v>
      </c>
      <c r="AB1366">
        <v>37</v>
      </c>
      <c r="AC1366">
        <v>-22.4983</v>
      </c>
      <c r="AD1366">
        <v>-1.10275593715</v>
      </c>
      <c r="AE1366">
        <v>-0.39300000000002899</v>
      </c>
      <c r="AF1366">
        <v>-0.411090451859568</v>
      </c>
      <c r="AG1366">
        <v>-1.10275593715</v>
      </c>
      <c r="AH1366">
        <v>22.444053763003598</v>
      </c>
      <c r="AI1366">
        <v>92.812411751416803</v>
      </c>
      <c r="AJ1366">
        <v>91.049325344596397</v>
      </c>
      <c r="AK1366">
        <v>22.474888549959999</v>
      </c>
    </row>
    <row r="1367" spans="1:37" x14ac:dyDescent="0.2">
      <c r="A1367" t="str">
        <f>"20200111153427725"</f>
        <v>20200111153427725</v>
      </c>
      <c r="B1367" t="str">
        <f>"1578728067717824"</f>
        <v>1578728067717824</v>
      </c>
      <c r="C1367" t="s">
        <v>37</v>
      </c>
      <c r="D1367">
        <v>4.8950319999999996</v>
      </c>
      <c r="E1367">
        <v>0.49602790000000002</v>
      </c>
      <c r="F1367" t="s">
        <v>52</v>
      </c>
      <c r="G1367">
        <v>-266.9717</v>
      </c>
      <c r="H1367" s="1">
        <v>2.1732229999999998E-6</v>
      </c>
      <c r="I1367">
        <v>283.46449999999999</v>
      </c>
      <c r="J1367">
        <v>-244.58330000000001</v>
      </c>
      <c r="K1367">
        <v>1.102749</v>
      </c>
      <c r="L1367">
        <v>283.8544</v>
      </c>
      <c r="M1367">
        <v>-0.99999590000000005</v>
      </c>
      <c r="N1367">
        <v>0</v>
      </c>
      <c r="O1367">
        <v>1.2206769999999899E-3</v>
      </c>
      <c r="P1367">
        <v>-0.99968250000000003</v>
      </c>
      <c r="Q1367">
        <v>2.4712669999999999E-2</v>
      </c>
      <c r="R1367">
        <v>-4.9095340000000001E-3</v>
      </c>
      <c r="S1367">
        <v>-3.004181</v>
      </c>
      <c r="T1367">
        <v>-0.14590510000000001</v>
      </c>
      <c r="U1367">
        <v>-5.1513669999999998E-2</v>
      </c>
      <c r="V1367">
        <v>-6.1010319999999897E-3</v>
      </c>
      <c r="W1367">
        <v>2.7278199999999999E-2</v>
      </c>
      <c r="X1367">
        <v>0.99960930000000003</v>
      </c>
      <c r="Y1367">
        <v>-1.8342250000000001E-2</v>
      </c>
      <c r="Z1367">
        <v>-5.0436820000000001E-4</v>
      </c>
      <c r="AA1367">
        <v>0.99983159999999904</v>
      </c>
      <c r="AB1367">
        <v>37</v>
      </c>
      <c r="AC1367">
        <v>-22.388399999999901</v>
      </c>
      <c r="AD1367">
        <v>-1.102746826777</v>
      </c>
      <c r="AE1367">
        <v>-0.38990000000001102</v>
      </c>
      <c r="AF1367">
        <v>-0.41621932998923999</v>
      </c>
      <c r="AG1367">
        <v>-1.102746826777</v>
      </c>
      <c r="AH1367">
        <v>22.333740314100101</v>
      </c>
      <c r="AI1367">
        <v>92.826240685319206</v>
      </c>
      <c r="AJ1367">
        <v>91.067660424758998</v>
      </c>
      <c r="AK1367">
        <v>22.364821606985501</v>
      </c>
    </row>
    <row r="1368" spans="1:37" x14ac:dyDescent="0.2">
      <c r="A1368" t="str">
        <f>"20200111153427738"</f>
        <v>20200111153427738</v>
      </c>
      <c r="B1368" t="str">
        <f>"1578728067727583"</f>
        <v>1578728067727583</v>
      </c>
      <c r="C1368" t="s">
        <v>37</v>
      </c>
      <c r="D1368">
        <v>4.8638440000000003</v>
      </c>
      <c r="E1368">
        <v>0.49597849999999999</v>
      </c>
      <c r="F1368" t="s">
        <v>52</v>
      </c>
      <c r="G1368">
        <v>-267.58539999999999</v>
      </c>
      <c r="H1368" s="1">
        <v>2.4998030000000001E-6</v>
      </c>
      <c r="I1368">
        <v>283.45650000000001</v>
      </c>
      <c r="J1368">
        <v>-244.80359999999999</v>
      </c>
      <c r="K1368">
        <v>1.1027439999999999</v>
      </c>
      <c r="L1368">
        <v>283.85489999999999</v>
      </c>
      <c r="M1368">
        <v>-0.99999559999999998</v>
      </c>
      <c r="N1368">
        <v>0</v>
      </c>
      <c r="O1368">
        <v>1.4787649999999999E-3</v>
      </c>
      <c r="P1368">
        <v>-0.99968279999999998</v>
      </c>
      <c r="Q1368">
        <v>2.4685289999999999E-2</v>
      </c>
      <c r="R1368">
        <v>-4.9731940000000002E-3</v>
      </c>
      <c r="S1368">
        <v>-3.004257</v>
      </c>
      <c r="T1368">
        <v>-0.1440275</v>
      </c>
      <c r="U1368">
        <v>-5.1971440000000001E-2</v>
      </c>
      <c r="V1368">
        <v>-6.4227750000000004E-3</v>
      </c>
      <c r="W1368">
        <v>2.725818E-2</v>
      </c>
      <c r="X1368">
        <v>0.99960780000000005</v>
      </c>
      <c r="Y1368">
        <v>-1.8751980000000001E-2</v>
      </c>
      <c r="Z1368">
        <v>-5.2005209999999896E-4</v>
      </c>
      <c r="AA1368">
        <v>0.99982399999999905</v>
      </c>
      <c r="AB1368">
        <v>37</v>
      </c>
      <c r="AC1368">
        <v>-22.7818</v>
      </c>
      <c r="AD1368">
        <v>-1.102741500197</v>
      </c>
      <c r="AE1368">
        <v>-0.39839999999998099</v>
      </c>
      <c r="AF1368">
        <v>-0.43107889734141402</v>
      </c>
      <c r="AG1368">
        <v>-1.102741500197</v>
      </c>
      <c r="AH1368">
        <v>22.727950753403601</v>
      </c>
      <c r="AI1368">
        <v>92.777267074368197</v>
      </c>
      <c r="AJ1368">
        <v>91.086593357817407</v>
      </c>
      <c r="AK1368">
        <v>22.758770030059399</v>
      </c>
    </row>
    <row r="1369" spans="1:37" x14ac:dyDescent="0.2">
      <c r="A1369" t="str">
        <f>"20200111153427751"</f>
        <v>20200111153427751</v>
      </c>
      <c r="B1369" t="str">
        <f>"1578728067748081"</f>
        <v>1578728067748081</v>
      </c>
      <c r="C1369" t="s">
        <v>37</v>
      </c>
      <c r="D1369">
        <v>4.882225</v>
      </c>
      <c r="E1369">
        <v>0.49590010000000001</v>
      </c>
      <c r="F1369" t="s">
        <v>52</v>
      </c>
      <c r="G1369">
        <v>-267.82209999999998</v>
      </c>
      <c r="H1369" s="1">
        <v>2.62571599999999E-6</v>
      </c>
      <c r="I1369">
        <v>283.45359999999999</v>
      </c>
      <c r="J1369">
        <v>-245.00980000000001</v>
      </c>
      <c r="K1369">
        <v>1.102738</v>
      </c>
      <c r="L1369">
        <v>283.8553</v>
      </c>
      <c r="M1369">
        <v>-0.99999519999999997</v>
      </c>
      <c r="N1369">
        <v>0</v>
      </c>
      <c r="O1369">
        <v>1.7208779999999999E-3</v>
      </c>
      <c r="P1369">
        <v>-0.99966860000000002</v>
      </c>
      <c r="Q1369">
        <v>2.5207420000000001E-2</v>
      </c>
      <c r="R1369">
        <v>-5.2181240000000002E-3</v>
      </c>
      <c r="S1369">
        <v>-3.0042419999999899</v>
      </c>
      <c r="T1369">
        <v>-0.14392379999999999</v>
      </c>
      <c r="U1369">
        <v>-5.2368159999999997E-2</v>
      </c>
      <c r="V1369">
        <v>-6.9088559999999997E-3</v>
      </c>
      <c r="W1369">
        <v>2.7788230000000001E-2</v>
      </c>
      <c r="X1369">
        <v>0.99958999999999998</v>
      </c>
      <c r="Y1369">
        <v>-1.912546E-2</v>
      </c>
      <c r="Z1369">
        <v>-5.4021199999999998E-4</v>
      </c>
      <c r="AA1369">
        <v>0.99981699999999996</v>
      </c>
      <c r="AB1369">
        <v>37</v>
      </c>
      <c r="AC1369">
        <v>-22.812299999999901</v>
      </c>
      <c r="AD1369">
        <v>-1.102735374284</v>
      </c>
      <c r="AE1369">
        <v>-0.401700000000005</v>
      </c>
      <c r="AF1369">
        <v>-0.43992905356928802</v>
      </c>
      <c r="AG1369">
        <v>-1.102735374284</v>
      </c>
      <c r="AH1369">
        <v>22.7584116620061</v>
      </c>
      <c r="AI1369">
        <v>92.773521009231501</v>
      </c>
      <c r="AJ1369">
        <v>91.107412046020002</v>
      </c>
      <c r="AK1369">
        <v>22.789358574896401</v>
      </c>
    </row>
    <row r="1370" spans="1:37" x14ac:dyDescent="0.2">
      <c r="A1370" t="str">
        <f>"20200111153427768"</f>
        <v>20200111153427768</v>
      </c>
      <c r="B1370" t="str">
        <f>"1578728067757841"</f>
        <v>1578728067757841</v>
      </c>
      <c r="C1370" t="s">
        <v>37</v>
      </c>
      <c r="D1370">
        <v>4.9179740000000001</v>
      </c>
      <c r="E1370">
        <v>0.49588090000000001</v>
      </c>
      <c r="F1370" t="s">
        <v>52</v>
      </c>
      <c r="G1370">
        <v>-268.37670000000003</v>
      </c>
      <c r="H1370" s="1">
        <v>2.9208649999999999E-6</v>
      </c>
      <c r="I1370">
        <v>283.43799999999999</v>
      </c>
      <c r="J1370">
        <v>-245.31049999999999</v>
      </c>
      <c r="K1370">
        <v>1.1027389999999999</v>
      </c>
      <c r="L1370">
        <v>283.85610000000003</v>
      </c>
      <c r="M1370">
        <v>-0.99999459999999996</v>
      </c>
      <c r="N1370">
        <v>0</v>
      </c>
      <c r="O1370">
        <v>2.0730200000000001E-3</v>
      </c>
      <c r="P1370">
        <v>-0.99964900000000001</v>
      </c>
      <c r="Q1370">
        <v>2.576846E-2</v>
      </c>
      <c r="R1370">
        <v>-6.1872979999999999E-3</v>
      </c>
      <c r="S1370">
        <v>-3.0042879999999998</v>
      </c>
      <c r="T1370">
        <v>-0.14177919999999999</v>
      </c>
      <c r="U1370">
        <v>-5.36499E-2</v>
      </c>
      <c r="V1370">
        <v>-8.228539E-3</v>
      </c>
      <c r="W1370">
        <v>2.836116E-2</v>
      </c>
      <c r="X1370">
        <v>0.99956389999999995</v>
      </c>
      <c r="Y1370">
        <v>-1.990314E-2</v>
      </c>
      <c r="Z1370">
        <v>-5.6710780000000002E-4</v>
      </c>
      <c r="AA1370">
        <v>0.99980179999999996</v>
      </c>
      <c r="AB1370">
        <v>37</v>
      </c>
      <c r="AC1370">
        <v>-23.066199999999998</v>
      </c>
      <c r="AD1370">
        <v>-1.1027360791349901</v>
      </c>
      <c r="AE1370">
        <v>-0.418100000000038</v>
      </c>
      <c r="AF1370">
        <v>-0.464853852426237</v>
      </c>
      <c r="AG1370">
        <v>-1.1027360791349901</v>
      </c>
      <c r="AH1370">
        <v>23.0127042531733</v>
      </c>
      <c r="AI1370">
        <v>92.742875104068304</v>
      </c>
      <c r="AJ1370">
        <v>91.157210463832897</v>
      </c>
      <c r="AK1370">
        <v>23.043799014232899</v>
      </c>
    </row>
    <row r="1371" spans="1:37" x14ac:dyDescent="0.2">
      <c r="A1371" t="str">
        <f>"20200111153427782"</f>
        <v>20200111153427782</v>
      </c>
      <c r="B1371" t="str">
        <f>"1578728067777359"</f>
        <v>1578728067777359</v>
      </c>
      <c r="C1371" t="s">
        <v>37</v>
      </c>
      <c r="D1371">
        <v>5.0226239999999898</v>
      </c>
      <c r="E1371">
        <v>0.49582139999999902</v>
      </c>
      <c r="F1371" t="s">
        <v>52</v>
      </c>
      <c r="G1371">
        <v>-268.94970000000001</v>
      </c>
      <c r="H1371" s="1">
        <v>3.22579499999999E-6</v>
      </c>
      <c r="I1371">
        <v>283.41230000000002</v>
      </c>
      <c r="J1371">
        <v>-245.52549999999999</v>
      </c>
      <c r="K1371">
        <v>1.102733</v>
      </c>
      <c r="L1371">
        <v>283.85669999999999</v>
      </c>
      <c r="M1371">
        <v>-0.99999400000000005</v>
      </c>
      <c r="N1371">
        <v>0</v>
      </c>
      <c r="O1371">
        <v>2.32461E-3</v>
      </c>
      <c r="P1371">
        <v>-0.99964169999999997</v>
      </c>
      <c r="Q1371">
        <v>2.595983E-2</v>
      </c>
      <c r="R1371">
        <v>-6.5273019999999996E-3</v>
      </c>
      <c r="S1371">
        <v>-3.004318</v>
      </c>
      <c r="T1371">
        <v>-0.1401472</v>
      </c>
      <c r="U1371">
        <v>-5.6396479999999999E-2</v>
      </c>
      <c r="V1371">
        <v>-8.8199819999999901E-3</v>
      </c>
      <c r="W1371">
        <v>2.8560869999999999E-2</v>
      </c>
      <c r="X1371">
        <v>0.99955309999999897</v>
      </c>
      <c r="Y1371">
        <v>-2.1067229999999999E-2</v>
      </c>
      <c r="Z1371">
        <v>-5.9944040000000005E-4</v>
      </c>
      <c r="AA1371">
        <v>0.9997779</v>
      </c>
      <c r="AB1371">
        <v>38</v>
      </c>
      <c r="AC1371">
        <v>-23.424199999999999</v>
      </c>
      <c r="AD1371">
        <v>-1.102729774205</v>
      </c>
      <c r="AE1371">
        <v>-0.44439999999997298</v>
      </c>
      <c r="AF1371">
        <v>-0.49774839603876597</v>
      </c>
      <c r="AG1371">
        <v>-1.102729774205</v>
      </c>
      <c r="AH1371">
        <v>23.371326784910998</v>
      </c>
      <c r="AI1371">
        <v>92.700772915853094</v>
      </c>
      <c r="AJ1371">
        <v>91.220066448598303</v>
      </c>
      <c r="AK1371">
        <v>23.402621265742301</v>
      </c>
    </row>
    <row r="1372" spans="1:37" x14ac:dyDescent="0.2">
      <c r="A1372" t="str">
        <f>"20200111153427794"</f>
        <v>20200111153427794</v>
      </c>
      <c r="B1372" t="str">
        <f>"1578728067788095"</f>
        <v>1578728067788095</v>
      </c>
      <c r="C1372" t="s">
        <v>37</v>
      </c>
      <c r="D1372">
        <v>4.8683680000000003</v>
      </c>
      <c r="E1372">
        <v>0.49586039999999998</v>
      </c>
      <c r="F1372" t="s">
        <v>52</v>
      </c>
      <c r="G1372">
        <v>-269.26429999999999</v>
      </c>
      <c r="H1372" s="1">
        <v>3.3932080000000002E-6</v>
      </c>
      <c r="I1372">
        <v>283.399</v>
      </c>
      <c r="J1372">
        <v>-245.7559</v>
      </c>
      <c r="K1372">
        <v>1.102727</v>
      </c>
      <c r="L1372">
        <v>283.85739999999998</v>
      </c>
      <c r="M1372">
        <v>-0.99999340000000003</v>
      </c>
      <c r="N1372">
        <v>0</v>
      </c>
      <c r="O1372">
        <v>2.5945569999999999E-3</v>
      </c>
      <c r="P1372">
        <v>-0.99963340000000001</v>
      </c>
      <c r="Q1372">
        <v>2.6188199999999998E-2</v>
      </c>
      <c r="R1372">
        <v>-6.8672999999999998E-3</v>
      </c>
      <c r="S1372">
        <v>-3.004318</v>
      </c>
      <c r="T1372">
        <v>-0.139558399999999</v>
      </c>
      <c r="U1372">
        <v>-5.7922359999999999E-2</v>
      </c>
      <c r="V1372">
        <v>-9.4295179999999996E-3</v>
      </c>
      <c r="W1372">
        <v>2.8798239999999999E-2</v>
      </c>
      <c r="X1372">
        <v>0.99954069999999995</v>
      </c>
      <c r="Y1372">
        <v>-2.1843789999999998E-2</v>
      </c>
      <c r="Z1372">
        <v>-6.2747910000000005E-4</v>
      </c>
      <c r="AA1372">
        <v>0.99976119999999902</v>
      </c>
      <c r="AB1372">
        <v>38</v>
      </c>
      <c r="AC1372">
        <v>-23.508399999999899</v>
      </c>
      <c r="AD1372">
        <v>-1.1027236067920001</v>
      </c>
      <c r="AE1372">
        <v>-0.45839999999998299</v>
      </c>
      <c r="AF1372">
        <v>-0.51825264631638301</v>
      </c>
      <c r="AG1372">
        <v>-1.1027236067920001</v>
      </c>
      <c r="AH1372">
        <v>23.455541283022701</v>
      </c>
      <c r="AI1372">
        <v>92.691028859768906</v>
      </c>
      <c r="AJ1372">
        <v>91.265750311270097</v>
      </c>
      <c r="AK1372">
        <v>23.4871667520366</v>
      </c>
    </row>
    <row r="1373" spans="1:37" x14ac:dyDescent="0.2">
      <c r="A1373" t="str">
        <f>"20200111153427814"</f>
        <v>20200111153427814</v>
      </c>
      <c r="B1373" t="str">
        <f>"1578728067807615"</f>
        <v>1578728067807615</v>
      </c>
      <c r="C1373" t="s">
        <v>37</v>
      </c>
      <c r="D1373">
        <v>4.8457759999999999</v>
      </c>
      <c r="E1373">
        <v>0.49589650000000002</v>
      </c>
      <c r="F1373" t="s">
        <v>52</v>
      </c>
      <c r="G1373">
        <v>-269.69490000000002</v>
      </c>
      <c r="H1373" s="1">
        <v>3.6223750000000002E-6</v>
      </c>
      <c r="I1373">
        <v>283.390999999999</v>
      </c>
      <c r="J1373">
        <v>-246.07689999999999</v>
      </c>
      <c r="K1373">
        <v>1.102722</v>
      </c>
      <c r="L1373">
        <v>283.85849999999999</v>
      </c>
      <c r="M1373">
        <v>-0.99999210000000005</v>
      </c>
      <c r="N1373">
        <v>0</v>
      </c>
      <c r="O1373">
        <v>2.9705980000000001E-3</v>
      </c>
      <c r="P1373">
        <v>-0.9996176</v>
      </c>
      <c r="Q1373">
        <v>2.65629E-2</v>
      </c>
      <c r="R1373">
        <v>-7.696385E-3</v>
      </c>
      <c r="S1373">
        <v>-3.00430299999999</v>
      </c>
      <c r="T1373">
        <v>-0.1383895</v>
      </c>
      <c r="U1373">
        <v>-5.8532710000000002E-2</v>
      </c>
      <c r="V1373">
        <v>-1.06337999999999E-2</v>
      </c>
      <c r="W1373">
        <v>2.9186219999999999E-2</v>
      </c>
      <c r="X1373">
        <v>0.9995174</v>
      </c>
      <c r="Y1373">
        <v>-2.2422299999999999E-2</v>
      </c>
      <c r="Z1373">
        <v>-6.5285790000000005E-4</v>
      </c>
      <c r="AA1373">
        <v>0.99974830000000003</v>
      </c>
      <c r="AB1373">
        <v>38</v>
      </c>
      <c r="AC1373">
        <v>-23.617999999999999</v>
      </c>
      <c r="AD1373">
        <v>-1.102718377625</v>
      </c>
      <c r="AE1373">
        <v>-0.467500000000029</v>
      </c>
      <c r="AF1373">
        <v>-0.53648871454748104</v>
      </c>
      <c r="AG1373">
        <v>-1.102718377625</v>
      </c>
      <c r="AH1373">
        <v>23.565156707176101</v>
      </c>
      <c r="AI1373">
        <v>92.678476648950905</v>
      </c>
      <c r="AJ1373">
        <v>91.304181022271905</v>
      </c>
      <c r="AK1373">
        <v>23.597042581538801</v>
      </c>
    </row>
    <row r="1374" spans="1:37" x14ac:dyDescent="0.2">
      <c r="A1374" t="str">
        <f>"20200111153427826"</f>
        <v>20200111153427826</v>
      </c>
      <c r="B1374" t="str">
        <f>"1578728067817375"</f>
        <v>1578728067817375</v>
      </c>
      <c r="C1374" t="s">
        <v>37</v>
      </c>
      <c r="D1374">
        <v>4.831569</v>
      </c>
      <c r="E1374">
        <v>0.49588310000000002</v>
      </c>
      <c r="F1374" t="s">
        <v>52</v>
      </c>
      <c r="G1374">
        <v>-270.48079999999999</v>
      </c>
      <c r="H1374" s="1">
        <v>-1.2262809999999999E-6</v>
      </c>
      <c r="I1374">
        <v>283.36649999999997</v>
      </c>
      <c r="J1374">
        <v>-246.29589999999999</v>
      </c>
      <c r="K1374">
        <v>1.1027180000000001</v>
      </c>
      <c r="L1374">
        <v>283.85930000000002</v>
      </c>
      <c r="M1374">
        <v>-0.99999150000000003</v>
      </c>
      <c r="N1374">
        <v>0</v>
      </c>
      <c r="O1374">
        <v>3.2263000000000001E-3</v>
      </c>
      <c r="P1374">
        <v>-0.99960759999999904</v>
      </c>
      <c r="Q1374">
        <v>2.6852060000000001E-2</v>
      </c>
      <c r="R1374">
        <v>-7.9711829999999997E-3</v>
      </c>
      <c r="S1374">
        <v>-3.0042879999999998</v>
      </c>
      <c r="T1374">
        <v>-0.1357526</v>
      </c>
      <c r="U1374">
        <v>-6.0577390000000002E-2</v>
      </c>
      <c r="V1374">
        <v>-1.116369E-2</v>
      </c>
      <c r="W1374">
        <v>2.9484119999999999E-2</v>
      </c>
      <c r="X1374">
        <v>0.99950289999999997</v>
      </c>
      <c r="Y1374">
        <v>-2.335798E-2</v>
      </c>
      <c r="Z1374">
        <v>-6.7310449999999995E-4</v>
      </c>
      <c r="AA1374">
        <v>0.99972700000000003</v>
      </c>
      <c r="AB1374">
        <v>38</v>
      </c>
      <c r="AC1374">
        <v>-24.184899999999999</v>
      </c>
      <c r="AD1374">
        <v>-1.1027192262809999</v>
      </c>
      <c r="AE1374">
        <v>-0.49280000000004498</v>
      </c>
      <c r="AF1374">
        <v>-0.56964167760947904</v>
      </c>
      <c r="AG1374">
        <v>-1.1027192262809999</v>
      </c>
      <c r="AH1374">
        <v>24.133033970575902</v>
      </c>
      <c r="AI1374">
        <v>92.615488965257398</v>
      </c>
      <c r="AJ1374">
        <v>91.3521716535747</v>
      </c>
      <c r="AK1374">
        <v>24.164929338979</v>
      </c>
    </row>
    <row r="1375" spans="1:37" x14ac:dyDescent="0.2">
      <c r="A1375" t="str">
        <f>"20200111153427839"</f>
        <v>20200111153427839</v>
      </c>
      <c r="B1375" t="str">
        <f>"1578728067837871"</f>
        <v>1578728067837871</v>
      </c>
      <c r="C1375" t="s">
        <v>37</v>
      </c>
      <c r="D1375">
        <v>4.8250869999999999</v>
      </c>
      <c r="E1375">
        <v>0.4958553</v>
      </c>
      <c r="F1375" t="s">
        <v>52</v>
      </c>
      <c r="G1375">
        <v>-271.00229999999999</v>
      </c>
      <c r="H1375" s="1">
        <v>-9.4824569999999995E-7</v>
      </c>
      <c r="I1375">
        <v>283.35390000000001</v>
      </c>
      <c r="J1375">
        <v>-246.51900000000001</v>
      </c>
      <c r="K1375">
        <v>1.102714</v>
      </c>
      <c r="L1375">
        <v>283.86020000000002</v>
      </c>
      <c r="M1375">
        <v>-0.9999905</v>
      </c>
      <c r="N1375">
        <v>0</v>
      </c>
      <c r="O1375">
        <v>3.48665E-3</v>
      </c>
      <c r="P1375">
        <v>-0.99959929999999997</v>
      </c>
      <c r="Q1375">
        <v>2.716961E-2</v>
      </c>
      <c r="R1375">
        <v>-7.9433919999999901E-3</v>
      </c>
      <c r="S1375">
        <v>-3.00430299999999</v>
      </c>
      <c r="T1375">
        <v>-0.13409109999999999</v>
      </c>
      <c r="U1375">
        <v>-6.14624E-2</v>
      </c>
      <c r="V1375">
        <v>-1.139569E-2</v>
      </c>
      <c r="W1375">
        <v>2.9810130000000001E-2</v>
      </c>
      <c r="X1375">
        <v>0.99949059999999901</v>
      </c>
      <c r="Y1375">
        <v>-2.391238E-2</v>
      </c>
      <c r="Z1375">
        <v>-6.8884749999999998E-4</v>
      </c>
      <c r="AA1375">
        <v>0.99971379999999999</v>
      </c>
      <c r="AB1375">
        <v>38</v>
      </c>
      <c r="AC1375">
        <v>-24.4832999999999</v>
      </c>
      <c r="AD1375">
        <v>-1.1027149482456999</v>
      </c>
      <c r="AE1375">
        <v>-0.50630000000000996</v>
      </c>
      <c r="AF1375">
        <v>-0.59046463501035096</v>
      </c>
      <c r="AG1375">
        <v>-1.1027149482456999</v>
      </c>
      <c r="AH1375">
        <v>24.431845745164001</v>
      </c>
      <c r="AI1375">
        <v>92.583499320561003</v>
      </c>
      <c r="AJ1375">
        <v>91.384445017309204</v>
      </c>
      <c r="AK1375">
        <v>24.463845062822202</v>
      </c>
    </row>
    <row r="1376" spans="1:37" x14ac:dyDescent="0.2">
      <c r="A1376" t="str">
        <f>"20200111153427858"</f>
        <v>20200111153427858</v>
      </c>
      <c r="B1376" t="str">
        <f>"1578728067847631"</f>
        <v>1578728067847631</v>
      </c>
      <c r="C1376" t="s">
        <v>37</v>
      </c>
      <c r="D1376">
        <v>4.8436009999999996</v>
      </c>
      <c r="E1376">
        <v>0.49584299999999998</v>
      </c>
      <c r="F1376" t="s">
        <v>52</v>
      </c>
      <c r="G1376">
        <v>-271.67630000000003</v>
      </c>
      <c r="H1376" s="1">
        <v>-5.8915809999999995E-7</v>
      </c>
      <c r="I1376">
        <v>283.34449999999998</v>
      </c>
      <c r="J1376">
        <v>-246.84559999999999</v>
      </c>
      <c r="K1376">
        <v>1.1027089999999999</v>
      </c>
      <c r="L1376">
        <v>283.86169999999998</v>
      </c>
      <c r="M1376">
        <v>-0.99998909999999996</v>
      </c>
      <c r="N1376">
        <v>0</v>
      </c>
      <c r="O1376">
        <v>3.8679959999999998E-3</v>
      </c>
      <c r="P1376">
        <v>-0.99957589999999996</v>
      </c>
      <c r="Q1376">
        <v>2.795541E-2</v>
      </c>
      <c r="R1376">
        <v>-8.1742729999999993E-3</v>
      </c>
      <c r="S1376">
        <v>-3.0042719999999998</v>
      </c>
      <c r="T1376">
        <v>-0.13168540000000001</v>
      </c>
      <c r="U1376">
        <v>-6.1584470000000002E-2</v>
      </c>
      <c r="V1376">
        <v>-1.200639E-2</v>
      </c>
      <c r="W1376">
        <v>3.0609419999999998E-2</v>
      </c>
      <c r="X1376">
        <v>0.99945930000000005</v>
      </c>
      <c r="Y1376">
        <v>-2.4334629999999999E-2</v>
      </c>
      <c r="Z1376">
        <v>-7.0246199999999897E-4</v>
      </c>
      <c r="AA1376">
        <v>0.99970360000000003</v>
      </c>
      <c r="AB1376">
        <v>38</v>
      </c>
      <c r="AC1376">
        <v>-24.8307</v>
      </c>
      <c r="AD1376">
        <v>-1.1027095891581</v>
      </c>
      <c r="AE1376">
        <v>-0.51720000000000199</v>
      </c>
      <c r="AF1376">
        <v>-0.61203499393536798</v>
      </c>
      <c r="AG1376">
        <v>-1.1027095891581</v>
      </c>
      <c r="AH1376">
        <v>24.779665190135599</v>
      </c>
      <c r="AI1376">
        <v>92.547238806582598</v>
      </c>
      <c r="AJ1376">
        <v>91.414865519369997</v>
      </c>
      <c r="AK1376">
        <v>24.8117383955063</v>
      </c>
    </row>
    <row r="1377" spans="1:37" x14ac:dyDescent="0.2">
      <c r="A1377" t="str">
        <f>"20200111153427881"</f>
        <v>20200111153427881</v>
      </c>
      <c r="B1377" t="str">
        <f>"1578728067877887"</f>
        <v>1578728067877887</v>
      </c>
      <c r="C1377" t="s">
        <v>37</v>
      </c>
      <c r="D1377">
        <v>4.8414960000000002</v>
      </c>
      <c r="E1377">
        <v>0.49580999999999997</v>
      </c>
      <c r="F1377" t="s">
        <v>52</v>
      </c>
      <c r="G1377">
        <v>-272.53870000000001</v>
      </c>
      <c r="H1377" s="1">
        <v>-1.295955E-7</v>
      </c>
      <c r="I1377">
        <v>283.3295</v>
      </c>
      <c r="J1377">
        <v>-247.21860000000001</v>
      </c>
      <c r="K1377">
        <v>1.1027039999999999</v>
      </c>
      <c r="L1377">
        <v>283.86340000000001</v>
      </c>
      <c r="M1377">
        <v>-0.99998719999999996</v>
      </c>
      <c r="N1377">
        <v>0</v>
      </c>
      <c r="O1377">
        <v>4.302569E-3</v>
      </c>
      <c r="P1377">
        <v>-0.99955759999999905</v>
      </c>
      <c r="Q1377">
        <v>2.8722549999999999E-2</v>
      </c>
      <c r="R1377">
        <v>-7.73041099999999E-3</v>
      </c>
      <c r="S1377">
        <v>-3.0043639999999998</v>
      </c>
      <c r="T1377">
        <v>-0.1289431</v>
      </c>
      <c r="U1377">
        <v>-6.2225339999999997E-2</v>
      </c>
      <c r="V1377">
        <v>-1.199561E-2</v>
      </c>
      <c r="W1377">
        <v>3.1391059999999998E-2</v>
      </c>
      <c r="X1377">
        <v>0.99943519999999897</v>
      </c>
      <c r="Y1377">
        <v>-2.4981730000000001E-2</v>
      </c>
      <c r="Z1377">
        <v>-7.203442E-4</v>
      </c>
      <c r="AA1377">
        <v>0.99968769999999996</v>
      </c>
      <c r="AB1377">
        <v>38</v>
      </c>
      <c r="AC1377">
        <v>-25.3201</v>
      </c>
      <c r="AD1377">
        <v>-1.1027041295955</v>
      </c>
      <c r="AE1377">
        <v>-0.53390000000001603</v>
      </c>
      <c r="AF1377">
        <v>-0.64162053287152798</v>
      </c>
      <c r="AG1377">
        <v>-1.1027041295955</v>
      </c>
      <c r="AH1377">
        <v>25.269662081894101</v>
      </c>
      <c r="AI1377">
        <v>92.497853645167297</v>
      </c>
      <c r="AJ1377">
        <v>91.454481319645197</v>
      </c>
      <c r="AK1377">
        <v>25.301846870115</v>
      </c>
    </row>
    <row r="1378" spans="1:37" x14ac:dyDescent="0.2">
      <c r="A1378" t="str">
        <f>"20200111153427895"</f>
        <v>20200111153427895</v>
      </c>
      <c r="B1378" t="str">
        <f>"1578728067887648"</f>
        <v>1578728067887648</v>
      </c>
      <c r="C1378" t="s">
        <v>37</v>
      </c>
      <c r="D1378">
        <v>4.8258679999999998</v>
      </c>
      <c r="E1378">
        <v>0.49580999999999997</v>
      </c>
      <c r="F1378" t="s">
        <v>52</v>
      </c>
      <c r="G1378">
        <v>-273.79329999999999</v>
      </c>
      <c r="H1378" s="1">
        <v>5.3840839999999998E-7</v>
      </c>
      <c r="I1378">
        <v>283.32220000000001</v>
      </c>
      <c r="J1378">
        <v>-247.47669999999999</v>
      </c>
      <c r="K1378">
        <v>1.1026989999999901</v>
      </c>
      <c r="L1378">
        <v>283.86470000000003</v>
      </c>
      <c r="M1378">
        <v>-0.99998589999999998</v>
      </c>
      <c r="N1378">
        <v>0</v>
      </c>
      <c r="O1378">
        <v>4.6024960000000002E-3</v>
      </c>
      <c r="P1378">
        <v>-0.99954050000000005</v>
      </c>
      <c r="Q1378">
        <v>2.949193E-2</v>
      </c>
      <c r="R1378">
        <v>-7.0090459999999997E-3</v>
      </c>
      <c r="S1378">
        <v>-3.0044559999999998</v>
      </c>
      <c r="T1378">
        <v>-0.12466820000000001</v>
      </c>
      <c r="U1378">
        <v>-6.1187739999999997E-2</v>
      </c>
      <c r="V1378">
        <v>-1.1572610000000001E-2</v>
      </c>
      <c r="W1378">
        <v>3.2169820000000002E-2</v>
      </c>
      <c r="X1378">
        <v>0.99941539999999995</v>
      </c>
      <c r="Y1378">
        <v>-2.4937379999999999E-2</v>
      </c>
      <c r="Z1378">
        <v>-7.079842E-4</v>
      </c>
      <c r="AA1378">
        <v>0.99968869999999899</v>
      </c>
      <c r="AB1378">
        <v>39</v>
      </c>
      <c r="AC1378">
        <v>-26.316599999999902</v>
      </c>
      <c r="AD1378">
        <v>-1.10269846159159</v>
      </c>
      <c r="AE1378">
        <v>-0.54250000000001797</v>
      </c>
      <c r="AF1378">
        <v>-0.66245413871658698</v>
      </c>
      <c r="AG1378">
        <v>-1.10269846159159</v>
      </c>
      <c r="AH1378">
        <v>26.267725356684601</v>
      </c>
      <c r="AI1378">
        <v>92.403057227946206</v>
      </c>
      <c r="AJ1378">
        <v>91.444654305262503</v>
      </c>
      <c r="AK1378">
        <v>26.2992050221544</v>
      </c>
    </row>
    <row r="1379" spans="1:37" x14ac:dyDescent="0.2">
      <c r="A1379" t="str">
        <f>"20200111153427914"</f>
        <v>20200111153427914</v>
      </c>
      <c r="B1379" t="str">
        <f>"1578728067908143"</f>
        <v>1578728067908143</v>
      </c>
      <c r="C1379" t="s">
        <v>37</v>
      </c>
      <c r="D1379">
        <v>4.7883180000000003</v>
      </c>
      <c r="E1379">
        <v>0.49578499999999998</v>
      </c>
      <c r="F1379" t="s">
        <v>52</v>
      </c>
      <c r="G1379">
        <v>-274.5539</v>
      </c>
      <c r="H1379" s="1">
        <v>9.4264639999999995E-7</v>
      </c>
      <c r="I1379">
        <v>283.33339999999998</v>
      </c>
      <c r="J1379">
        <v>-247.81569999999999</v>
      </c>
      <c r="K1379">
        <v>1.1027009999999999</v>
      </c>
      <c r="L1379">
        <v>283.86660000000001</v>
      </c>
      <c r="M1379">
        <v>-0.99998390000000004</v>
      </c>
      <c r="N1379">
        <v>0</v>
      </c>
      <c r="O1379">
        <v>4.9966569999999998E-3</v>
      </c>
      <c r="P1379">
        <v>-0.99952999999999903</v>
      </c>
      <c r="Q1379">
        <v>3.00536E-2</v>
      </c>
      <c r="R1379">
        <v>-6.0406829999999998E-3</v>
      </c>
      <c r="S1379">
        <v>-3.0045929999999998</v>
      </c>
      <c r="T1379">
        <v>-0.1223597</v>
      </c>
      <c r="U1379">
        <v>-5.8959959999999999E-2</v>
      </c>
      <c r="V1379">
        <v>-1.0997679999999999E-2</v>
      </c>
      <c r="W1379">
        <v>3.274411E-2</v>
      </c>
      <c r="X1379">
        <v>0.99940319999999905</v>
      </c>
      <c r="Y1379">
        <v>-2.4590460000000001E-2</v>
      </c>
      <c r="Z1379">
        <v>-7.0384179999999905E-4</v>
      </c>
      <c r="AA1379">
        <v>0.99969739999999996</v>
      </c>
      <c r="AB1379">
        <v>39</v>
      </c>
      <c r="AC1379">
        <v>-26.738199999999999</v>
      </c>
      <c r="AD1379">
        <v>-1.1027000573536001</v>
      </c>
      <c r="AE1379">
        <v>-0.53320000000002199</v>
      </c>
      <c r="AF1379">
        <v>-0.66566373762060704</v>
      </c>
      <c r="AG1379">
        <v>-1.1027000573536001</v>
      </c>
      <c r="AH1379">
        <v>26.689826266783701</v>
      </c>
      <c r="AI1379">
        <v>92.3651161775785</v>
      </c>
      <c r="AJ1379">
        <v>91.428702351426907</v>
      </c>
      <c r="AK1379">
        <v>26.720888491574701</v>
      </c>
    </row>
    <row r="1380" spans="1:37" x14ac:dyDescent="0.2">
      <c r="A1380" t="str">
        <f>"20200111153427929"</f>
        <v>20200111153427929</v>
      </c>
      <c r="B1380" t="str">
        <f>"1578728067917904"</f>
        <v>1578728067917904</v>
      </c>
      <c r="C1380" t="s">
        <v>37</v>
      </c>
      <c r="D1380">
        <v>4.7776399999999999</v>
      </c>
      <c r="E1380">
        <v>0.49576520000000002</v>
      </c>
      <c r="F1380" t="s">
        <v>52</v>
      </c>
      <c r="G1380">
        <v>-275.47430000000003</v>
      </c>
      <c r="H1380" s="1">
        <v>1.4317739999999999E-6</v>
      </c>
      <c r="I1380">
        <v>283.34879999999998</v>
      </c>
      <c r="J1380">
        <v>-248.07</v>
      </c>
      <c r="K1380">
        <v>1.102697</v>
      </c>
      <c r="L1380">
        <v>283.86799999999999</v>
      </c>
      <c r="M1380">
        <v>-0.9999825</v>
      </c>
      <c r="N1380">
        <v>0</v>
      </c>
      <c r="O1380">
        <v>5.2919350000000002E-3</v>
      </c>
      <c r="P1380">
        <v>-0.99952319999999995</v>
      </c>
      <c r="Q1380">
        <v>3.0365929999999999E-2</v>
      </c>
      <c r="R1380">
        <v>-5.6177249999999996E-3</v>
      </c>
      <c r="S1380">
        <v>-3.0046539999999999</v>
      </c>
      <c r="T1380">
        <v>-0.1197901</v>
      </c>
      <c r="U1380">
        <v>-5.6243899999999999E-2</v>
      </c>
      <c r="V1380">
        <v>-1.086937E-2</v>
      </c>
      <c r="W1380">
        <v>3.3066749999999999E-2</v>
      </c>
      <c r="X1380">
        <v>0.99939409999999895</v>
      </c>
      <c r="Y1380">
        <v>-2.398316E-2</v>
      </c>
      <c r="Z1380">
        <v>-6.8873109999999997E-4</v>
      </c>
      <c r="AA1380">
        <v>0.99971209999999899</v>
      </c>
      <c r="AB1380">
        <v>39</v>
      </c>
      <c r="AC1380">
        <v>-27.404299999999999</v>
      </c>
      <c r="AD1380">
        <v>-1.102695568226</v>
      </c>
      <c r="AE1380">
        <v>-0.51920000000001199</v>
      </c>
      <c r="AF1380">
        <v>-0.66314170359204605</v>
      </c>
      <c r="AG1380">
        <v>-1.102695568226</v>
      </c>
      <c r="AH1380">
        <v>27.356891024372899</v>
      </c>
      <c r="AI1380">
        <v>92.307539081051502</v>
      </c>
      <c r="AJ1380">
        <v>91.388600096070306</v>
      </c>
      <c r="AK1380">
        <v>27.387135318514801</v>
      </c>
    </row>
    <row r="1381" spans="1:37" x14ac:dyDescent="0.2">
      <c r="A1381" t="str">
        <f>"20200111153427948"</f>
        <v>20200111153427948</v>
      </c>
      <c r="B1381" t="str">
        <f>"1578728067937433"</f>
        <v>1578728067937433</v>
      </c>
      <c r="C1381" t="s">
        <v>37</v>
      </c>
      <c r="D1381">
        <v>4.7733639999999999</v>
      </c>
      <c r="E1381">
        <v>0.49574119999999999</v>
      </c>
      <c r="F1381" t="s">
        <v>52</v>
      </c>
      <c r="G1381">
        <v>-276.05</v>
      </c>
      <c r="H1381" s="1">
        <v>1.737818E-6</v>
      </c>
      <c r="I1381">
        <v>283.35539999999997</v>
      </c>
      <c r="J1381">
        <v>-248.39269999999999</v>
      </c>
      <c r="K1381">
        <v>1.102692</v>
      </c>
      <c r="L1381">
        <v>283.87</v>
      </c>
      <c r="M1381">
        <v>-0.99998039999999999</v>
      </c>
      <c r="N1381">
        <v>0</v>
      </c>
      <c r="O1381">
        <v>5.6667230000000002E-3</v>
      </c>
      <c r="P1381">
        <v>-0.9995269</v>
      </c>
      <c r="Q1381">
        <v>3.0345299999999999E-2</v>
      </c>
      <c r="R1381">
        <v>-5.0592079999999999E-3</v>
      </c>
      <c r="S1381">
        <v>-3.004715</v>
      </c>
      <c r="T1381">
        <v>-0.1184164</v>
      </c>
      <c r="U1381">
        <v>-5.5053709999999999E-2</v>
      </c>
      <c r="V1381">
        <v>-1.068495E-2</v>
      </c>
      <c r="W1381">
        <v>3.3058650000000002E-2</v>
      </c>
      <c r="X1381">
        <v>0.99939630000000002</v>
      </c>
      <c r="Y1381">
        <v>-2.396187E-2</v>
      </c>
      <c r="Z1381">
        <v>-6.9517220000000005E-4</v>
      </c>
      <c r="AA1381">
        <v>0.99971259999999995</v>
      </c>
      <c r="AB1381">
        <v>39</v>
      </c>
      <c r="AC1381">
        <v>-27.657299999999999</v>
      </c>
      <c r="AD1381">
        <v>-1.1026902621820001</v>
      </c>
      <c r="AE1381">
        <v>-0.51460000000002903</v>
      </c>
      <c r="AF1381">
        <v>-0.67025348558459696</v>
      </c>
      <c r="AG1381">
        <v>-1.1026902621820001</v>
      </c>
      <c r="AH1381">
        <v>27.610066086943402</v>
      </c>
      <c r="AI1381">
        <v>92.286389334945397</v>
      </c>
      <c r="AJ1381">
        <v>91.390621622746295</v>
      </c>
      <c r="AK1381">
        <v>27.640204682213099</v>
      </c>
    </row>
    <row r="1382" spans="1:37" x14ac:dyDescent="0.2">
      <c r="A1382" t="str">
        <f>"20200111153427961"</f>
        <v>20200111153427961</v>
      </c>
      <c r="B1382" t="str">
        <f>"1578728067957919"</f>
        <v>1578728067957919</v>
      </c>
      <c r="C1382" t="s">
        <v>37</v>
      </c>
      <c r="D1382">
        <v>4.7738940000000003</v>
      </c>
      <c r="E1382">
        <v>0.4957106</v>
      </c>
      <c r="F1382" t="s">
        <v>52</v>
      </c>
      <c r="G1382">
        <v>-276.48149999999998</v>
      </c>
      <c r="H1382" s="1">
        <v>1.9668049999999999E-6</v>
      </c>
      <c r="I1382">
        <v>283.37079999999997</v>
      </c>
      <c r="J1382">
        <v>-248.6283</v>
      </c>
      <c r="K1382">
        <v>1.102689</v>
      </c>
      <c r="L1382">
        <v>283.87150000000003</v>
      </c>
      <c r="M1382">
        <v>-0.9999787</v>
      </c>
      <c r="N1382">
        <v>0</v>
      </c>
      <c r="O1382">
        <v>5.9401849999999997E-3</v>
      </c>
      <c r="P1382">
        <v>-0.9995269</v>
      </c>
      <c r="Q1382">
        <v>3.040634E-2</v>
      </c>
      <c r="R1382">
        <v>-4.6545450000000004E-3</v>
      </c>
      <c r="S1382">
        <v>-3.0047299999999999</v>
      </c>
      <c r="T1382">
        <v>-0.117957399999999</v>
      </c>
      <c r="U1382">
        <v>-5.3405759999999997E-2</v>
      </c>
      <c r="V1382">
        <v>-1.0553389999999999E-2</v>
      </c>
      <c r="W1382">
        <v>3.3129649999999997E-2</v>
      </c>
      <c r="X1382">
        <v>0.99939539999999905</v>
      </c>
      <c r="Y1382">
        <v>-2.368723E-2</v>
      </c>
      <c r="Z1382">
        <v>-6.9782209999999999E-4</v>
      </c>
      <c r="AA1382">
        <v>0.99971919999999903</v>
      </c>
      <c r="AB1382">
        <v>39</v>
      </c>
      <c r="AC1382">
        <v>-27.853199999999902</v>
      </c>
      <c r="AD1382">
        <v>-1.1026870331950001</v>
      </c>
      <c r="AE1382">
        <v>-0.50070000000005099</v>
      </c>
      <c r="AF1382">
        <v>-0.66510284770580796</v>
      </c>
      <c r="AG1382">
        <v>-1.1026870331950001</v>
      </c>
      <c r="AH1382">
        <v>27.806167570154699</v>
      </c>
      <c r="AI1382">
        <v>92.270294458025106</v>
      </c>
      <c r="AJ1382">
        <v>91.370211159274007</v>
      </c>
      <c r="AK1382">
        <v>27.835970172256001</v>
      </c>
    </row>
    <row r="1383" spans="1:37" x14ac:dyDescent="0.2">
      <c r="A1383" t="str">
        <f>"20200111153427975"</f>
        <v>20200111153427975</v>
      </c>
      <c r="B1383" t="str">
        <f>"1578728067967680"</f>
        <v>1578728067967680</v>
      </c>
      <c r="C1383" t="s">
        <v>37</v>
      </c>
      <c r="D1383">
        <v>4.7578990000000001</v>
      </c>
      <c r="E1383">
        <v>0.49570959999999997</v>
      </c>
      <c r="F1383" t="s">
        <v>52</v>
      </c>
      <c r="G1383">
        <v>-276.85210000000001</v>
      </c>
      <c r="H1383" s="1">
        <v>2.1637429999999998E-6</v>
      </c>
      <c r="I1383">
        <v>283.37700000000001</v>
      </c>
      <c r="J1383">
        <v>-248.87790000000001</v>
      </c>
      <c r="K1383">
        <v>1.102687</v>
      </c>
      <c r="L1383">
        <v>283.8732</v>
      </c>
      <c r="M1383">
        <v>-0.99997689999999995</v>
      </c>
      <c r="N1383">
        <v>0</v>
      </c>
      <c r="O1383">
        <v>6.2290849999999997E-3</v>
      </c>
      <c r="P1383">
        <v>-0.99952580000000002</v>
      </c>
      <c r="Q1383">
        <v>3.048938E-2</v>
      </c>
      <c r="R1383">
        <v>-4.3438249999999999E-3</v>
      </c>
      <c r="S1383">
        <v>-3.0047609999999998</v>
      </c>
      <c r="T1383">
        <v>-0.1173942</v>
      </c>
      <c r="U1383">
        <v>-5.264282E-2</v>
      </c>
      <c r="V1383">
        <v>-1.0530960000000001E-2</v>
      </c>
      <c r="W1383">
        <v>3.3222590000000003E-2</v>
      </c>
      <c r="X1383">
        <v>0.99939249999999902</v>
      </c>
      <c r="Y1383">
        <v>-2.3722090000000001E-2</v>
      </c>
      <c r="Z1383">
        <v>-7.0644999999999996E-4</v>
      </c>
      <c r="AA1383">
        <v>0.99971840000000001</v>
      </c>
      <c r="AB1383">
        <v>39</v>
      </c>
      <c r="AC1383">
        <v>-27.9742</v>
      </c>
      <c r="AD1383">
        <v>-1.1026848362569901</v>
      </c>
      <c r="AE1383">
        <v>-0.49619999999998698</v>
      </c>
      <c r="AF1383">
        <v>-0.66940491150051196</v>
      </c>
      <c r="AG1383">
        <v>-1.1026848362569901</v>
      </c>
      <c r="AH1383">
        <v>27.9271875367821</v>
      </c>
      <c r="AI1383">
        <v>92.260459345828806</v>
      </c>
      <c r="AJ1383">
        <v>91.373096854999105</v>
      </c>
      <c r="AK1383">
        <v>27.956963721016798</v>
      </c>
    </row>
    <row r="1384" spans="1:37" x14ac:dyDescent="0.2">
      <c r="A1384" t="str">
        <f>"20200111153427992"</f>
        <v>20200111153427992</v>
      </c>
      <c r="B1384" t="str">
        <f>"1578728067988177"</f>
        <v>1578728067988177</v>
      </c>
      <c r="C1384" t="s">
        <v>37</v>
      </c>
      <c r="D1384">
        <v>4.7431859999999997</v>
      </c>
      <c r="E1384">
        <v>0.49572690000000003</v>
      </c>
      <c r="F1384" t="s">
        <v>52</v>
      </c>
      <c r="G1384">
        <v>-277.17079999999999</v>
      </c>
      <c r="H1384" s="1">
        <v>2.3328430000000001E-6</v>
      </c>
      <c r="I1384">
        <v>283.38839999999999</v>
      </c>
      <c r="J1384">
        <v>-249.16050000000001</v>
      </c>
      <c r="K1384">
        <v>1.102678</v>
      </c>
      <c r="L1384">
        <v>283.87520000000001</v>
      </c>
      <c r="M1384">
        <v>-0.99997479999999905</v>
      </c>
      <c r="N1384">
        <v>0</v>
      </c>
      <c r="O1384">
        <v>6.55631099999999E-3</v>
      </c>
      <c r="P1384">
        <v>-0.9995349</v>
      </c>
      <c r="Q1384">
        <v>3.02095E-2</v>
      </c>
      <c r="R1384">
        <v>-4.1775320000000003E-3</v>
      </c>
      <c r="S1384">
        <v>-3.0047759999999899</v>
      </c>
      <c r="T1384">
        <v>-0.1171077</v>
      </c>
      <c r="U1384">
        <v>-5.1483149999999998E-2</v>
      </c>
      <c r="V1384">
        <v>-1.0692129999999999E-2</v>
      </c>
      <c r="W1384">
        <v>3.2954270000000001E-2</v>
      </c>
      <c r="X1384">
        <v>0.999399699999999</v>
      </c>
      <c r="Y1384">
        <v>-2.366333E-2</v>
      </c>
      <c r="Z1384">
        <v>-7.1632899999999895E-4</v>
      </c>
      <c r="AA1384">
        <v>0.99971969999999999</v>
      </c>
      <c r="AB1384">
        <v>39</v>
      </c>
      <c r="AC1384">
        <v>-28.010299999999901</v>
      </c>
      <c r="AD1384">
        <v>-1.1026756671569999</v>
      </c>
      <c r="AE1384">
        <v>-0.486800000000016</v>
      </c>
      <c r="AF1384">
        <v>-0.66939737444143499</v>
      </c>
      <c r="AG1384">
        <v>-1.1026756671569999</v>
      </c>
      <c r="AH1384">
        <v>27.963183650040001</v>
      </c>
      <c r="AI1384">
        <v>92.257535469110096</v>
      </c>
      <c r="AJ1384">
        <v>91.371314552270803</v>
      </c>
      <c r="AK1384">
        <v>27.992921003669998</v>
      </c>
    </row>
    <row r="1385" spans="1:37" x14ac:dyDescent="0.2">
      <c r="A1385" t="str">
        <f>"20200111153428005"</f>
        <v>20200111153428005</v>
      </c>
      <c r="B1385" t="str">
        <f>"1578728067997935"</f>
        <v>1578728067997935</v>
      </c>
      <c r="C1385" t="s">
        <v>37</v>
      </c>
      <c r="D1385">
        <v>4.7445659999999998</v>
      </c>
      <c r="E1385">
        <v>0.49574790000000002</v>
      </c>
      <c r="F1385" t="s">
        <v>52</v>
      </c>
      <c r="G1385">
        <v>-277.45760000000001</v>
      </c>
      <c r="H1385" s="1">
        <v>2.4850219999999899E-6</v>
      </c>
      <c r="I1385">
        <v>283.39870000000002</v>
      </c>
      <c r="J1385">
        <v>-249.40479999999999</v>
      </c>
      <c r="K1385">
        <v>1.1026750000000001</v>
      </c>
      <c r="L1385">
        <v>283.87700000000001</v>
      </c>
      <c r="M1385">
        <v>-0.99997289999999905</v>
      </c>
      <c r="N1385">
        <v>0</v>
      </c>
      <c r="O1385">
        <v>6.8387129999999997E-3</v>
      </c>
      <c r="P1385">
        <v>-0.99953780000000003</v>
      </c>
      <c r="Q1385">
        <v>3.012716E-2</v>
      </c>
      <c r="R1385">
        <v>-4.0386060000000001E-3</v>
      </c>
      <c r="S1385">
        <v>-3.004715</v>
      </c>
      <c r="T1385">
        <v>-0.117086999999999</v>
      </c>
      <c r="U1385">
        <v>-5.059814E-2</v>
      </c>
      <c r="V1385">
        <v>-1.0835600000000001E-2</v>
      </c>
      <c r="W1385">
        <v>3.288278E-2</v>
      </c>
      <c r="X1385">
        <v>0.99940049999999903</v>
      </c>
      <c r="Y1385">
        <v>-2.3651439999999999E-2</v>
      </c>
      <c r="Z1385">
        <v>-7.2698700000000001E-4</v>
      </c>
      <c r="AA1385">
        <v>0.99972000000000005</v>
      </c>
      <c r="AB1385">
        <v>39</v>
      </c>
      <c r="AC1385">
        <v>-28.052800000000001</v>
      </c>
      <c r="AD1385">
        <v>-1.1026725149779999</v>
      </c>
      <c r="AE1385">
        <v>-0.47829999999999001</v>
      </c>
      <c r="AF1385">
        <v>-0.66910108635256704</v>
      </c>
      <c r="AG1385">
        <v>-1.1026725149779999</v>
      </c>
      <c r="AH1385">
        <v>28.005615717025499</v>
      </c>
      <c r="AI1385">
        <v>92.254114631312106</v>
      </c>
      <c r="AJ1385">
        <v>91.368631807797897</v>
      </c>
      <c r="AK1385">
        <v>28.035300865672099</v>
      </c>
    </row>
    <row r="1386" spans="1:37" x14ac:dyDescent="0.2">
      <c r="A1386" t="str">
        <f>"20200111153428018"</f>
        <v>20200111153428018</v>
      </c>
      <c r="B1386" t="str">
        <f>"1578728068007696"</f>
        <v>1578728068007696</v>
      </c>
      <c r="C1386" t="s">
        <v>37</v>
      </c>
      <c r="D1386">
        <v>4.7340770000000001</v>
      </c>
      <c r="E1386">
        <v>0.49576140000000002</v>
      </c>
      <c r="F1386" t="s">
        <v>52</v>
      </c>
      <c r="G1386">
        <v>-277.70979999999997</v>
      </c>
      <c r="H1386" s="1">
        <v>2.6188639999999999E-6</v>
      </c>
      <c r="I1386">
        <v>283.40629999999999</v>
      </c>
      <c r="J1386">
        <v>-249.63480000000001</v>
      </c>
      <c r="K1386">
        <v>1.102673</v>
      </c>
      <c r="L1386">
        <v>283.87869999999998</v>
      </c>
      <c r="M1386">
        <v>-0.99997099999999906</v>
      </c>
      <c r="N1386">
        <v>0</v>
      </c>
      <c r="O1386">
        <v>7.1048439999999999E-3</v>
      </c>
      <c r="P1386">
        <v>-0.99953029999999998</v>
      </c>
      <c r="Q1386">
        <v>3.037101E-2</v>
      </c>
      <c r="R1386">
        <v>-4.0800319999999999E-3</v>
      </c>
      <c r="S1386">
        <v>-3.0047299999999999</v>
      </c>
      <c r="T1386">
        <v>-0.1170547</v>
      </c>
      <c r="U1386">
        <v>-4.995728E-2</v>
      </c>
      <c r="V1386">
        <v>-1.11423999999999E-2</v>
      </c>
      <c r="W1386">
        <v>3.3136329999999999E-2</v>
      </c>
      <c r="X1386">
        <v>0.99938879999999997</v>
      </c>
      <c r="Y1386">
        <v>-2.3704019999999999E-2</v>
      </c>
      <c r="Z1386">
        <v>-7.3817119999999999E-4</v>
      </c>
      <c r="AA1386">
        <v>0.99971869999999996</v>
      </c>
      <c r="AB1386">
        <v>39</v>
      </c>
      <c r="AC1386">
        <v>-28.0749999999999</v>
      </c>
      <c r="AD1386">
        <v>-1.1026703811359999</v>
      </c>
      <c r="AE1386">
        <v>-0.47239999999999299</v>
      </c>
      <c r="AF1386">
        <v>-0.67082280707018804</v>
      </c>
      <c r="AG1386">
        <v>-1.1026703811359999</v>
      </c>
      <c r="AH1386">
        <v>28.027711881020299</v>
      </c>
      <c r="AI1386">
        <v>92.252332744807106</v>
      </c>
      <c r="AJ1386">
        <v>91.371070857191398</v>
      </c>
      <c r="AK1386">
        <v>28.057414679428401</v>
      </c>
    </row>
    <row r="1387" spans="1:37" x14ac:dyDescent="0.2">
      <c r="A1387" t="str">
        <f>"20200111153428037"</f>
        <v>20200111153428037</v>
      </c>
      <c r="B1387" t="str">
        <f>"1578728068027218"</f>
        <v>1578728068027218</v>
      </c>
      <c r="C1387" t="s">
        <v>37</v>
      </c>
      <c r="D1387">
        <v>4.882339</v>
      </c>
      <c r="E1387">
        <v>0.49573199999999901</v>
      </c>
      <c r="F1387" t="s">
        <v>52</v>
      </c>
      <c r="G1387">
        <v>-278.21719999999999</v>
      </c>
      <c r="H1387" s="1">
        <v>2.8890859999999899E-6</v>
      </c>
      <c r="I1387">
        <v>283.40140000000002</v>
      </c>
      <c r="J1387">
        <v>-249.9787</v>
      </c>
      <c r="K1387">
        <v>1.1026659999999999</v>
      </c>
      <c r="L1387">
        <v>283.88139999999999</v>
      </c>
      <c r="M1387">
        <v>-0.99996819999999897</v>
      </c>
      <c r="N1387">
        <v>0</v>
      </c>
      <c r="O1387">
        <v>7.5013880000000003E-3</v>
      </c>
      <c r="P1387">
        <v>-0.99951710000000005</v>
      </c>
      <c r="Q1387">
        <v>3.0807060000000001E-2</v>
      </c>
      <c r="R1387">
        <v>-4.0959000000000004E-3</v>
      </c>
      <c r="S1387">
        <v>-3.004715</v>
      </c>
      <c r="T1387">
        <v>-0.1159178</v>
      </c>
      <c r="U1387">
        <v>-5.0170899999999997E-2</v>
      </c>
      <c r="V1387">
        <v>-1.155348E-2</v>
      </c>
      <c r="W1387">
        <v>3.3588119999999999E-2</v>
      </c>
      <c r="X1387">
        <v>0.99936899999999995</v>
      </c>
      <c r="Y1387">
        <v>-2.4171410000000001E-2</v>
      </c>
      <c r="Z1387">
        <v>-7.5531359999999996E-4</v>
      </c>
      <c r="AA1387">
        <v>0.99970749999999997</v>
      </c>
      <c r="AB1387">
        <v>39</v>
      </c>
      <c r="AC1387">
        <v>-28.238499999999899</v>
      </c>
      <c r="AD1387">
        <v>-1.1026631109139999</v>
      </c>
      <c r="AE1387">
        <v>-0.47999999999996101</v>
      </c>
      <c r="AF1387">
        <v>-0.69076227114989996</v>
      </c>
      <c r="AG1387">
        <v>-1.1026631109139999</v>
      </c>
      <c r="AH1387">
        <v>28.191132412521</v>
      </c>
      <c r="AI1387">
        <v>92.239244045609794</v>
      </c>
      <c r="AJ1387">
        <v>91.403627367017194</v>
      </c>
      <c r="AK1387">
        <v>28.221143937688002</v>
      </c>
    </row>
    <row r="1388" spans="1:37" x14ac:dyDescent="0.2">
      <c r="A1388" t="str">
        <f>"20200111153428058"</f>
        <v>20200111153428058</v>
      </c>
      <c r="B1388" t="str">
        <f>"1578728068047714"</f>
        <v>1578728068047714</v>
      </c>
      <c r="C1388" t="s">
        <v>37</v>
      </c>
      <c r="D1388">
        <v>4.761209</v>
      </c>
      <c r="E1388">
        <v>0.4965562</v>
      </c>
      <c r="F1388" t="s">
        <v>52</v>
      </c>
      <c r="G1388">
        <v>-278.89580000000001</v>
      </c>
      <c r="H1388" s="1">
        <v>3.250351E-6</v>
      </c>
      <c r="I1388">
        <v>283.39769999999999</v>
      </c>
      <c r="J1388">
        <v>-250.34610000000001</v>
      </c>
      <c r="K1388">
        <v>1.1026549999999999</v>
      </c>
      <c r="L1388">
        <v>283.88440000000003</v>
      </c>
      <c r="M1388">
        <v>-0.99996479999999999</v>
      </c>
      <c r="N1388">
        <v>0</v>
      </c>
      <c r="O1388">
        <v>7.9247539999999991E-3</v>
      </c>
      <c r="P1388">
        <v>-0.99951480000000004</v>
      </c>
      <c r="Q1388">
        <v>3.0916679999999998E-2</v>
      </c>
      <c r="R1388">
        <v>-3.8149149999999999E-3</v>
      </c>
      <c r="S1388">
        <v>-3.0047759999999899</v>
      </c>
      <c r="T1388">
        <v>-0.11457779999999999</v>
      </c>
      <c r="U1388">
        <v>-5.026245E-2</v>
      </c>
      <c r="V1388">
        <v>-1.1694970000000001E-2</v>
      </c>
      <c r="W1388">
        <v>3.3712979999999997E-2</v>
      </c>
      <c r="X1388">
        <v>0.99936309999999995</v>
      </c>
      <c r="Y1388">
        <v>-2.4624679999999999E-2</v>
      </c>
      <c r="Z1388">
        <v>-7.713485E-4</v>
      </c>
      <c r="AA1388">
        <v>0.99969649999999999</v>
      </c>
      <c r="AB1388">
        <v>40</v>
      </c>
      <c r="AC1388">
        <v>-28.549700000000001</v>
      </c>
      <c r="AD1388">
        <v>-1.102651749649</v>
      </c>
      <c r="AE1388">
        <v>-0.48670000000004099</v>
      </c>
      <c r="AF1388">
        <v>-0.71187335175046895</v>
      </c>
      <c r="AG1388">
        <v>-1.102651749649</v>
      </c>
      <c r="AH1388">
        <v>28.502442528396202</v>
      </c>
      <c r="AI1388">
        <v>92.214762332015894</v>
      </c>
      <c r="AJ1388">
        <v>91.430714605151906</v>
      </c>
      <c r="AK1388">
        <v>28.5326450690164</v>
      </c>
    </row>
    <row r="1389" spans="1:37" x14ac:dyDescent="0.2">
      <c r="A1389" t="str">
        <f>"20200111153428072"</f>
        <v>20200111153428072</v>
      </c>
      <c r="B1389" t="str">
        <f>"1578728068068208"</f>
        <v>1578728068068208</v>
      </c>
      <c r="C1389" t="s">
        <v>37</v>
      </c>
      <c r="D1389">
        <v>4.6300980000000003</v>
      </c>
      <c r="E1389">
        <v>0.56198119999999996</v>
      </c>
      <c r="F1389" t="s">
        <v>52</v>
      </c>
      <c r="G1389">
        <v>-279.80189999999999</v>
      </c>
      <c r="H1389" s="1">
        <v>3.729652E-6</v>
      </c>
      <c r="I1389">
        <v>283.46499999999997</v>
      </c>
      <c r="J1389">
        <v>-250.5806</v>
      </c>
      <c r="K1389">
        <v>1.1026499999999999</v>
      </c>
      <c r="L1389">
        <v>283.88639999999998</v>
      </c>
      <c r="M1389">
        <v>-0.99996249999999998</v>
      </c>
      <c r="N1389">
        <v>0</v>
      </c>
      <c r="O1389">
        <v>8.1951160000000006E-3</v>
      </c>
      <c r="P1389">
        <v>-0.99952160000000001</v>
      </c>
      <c r="Q1389">
        <v>3.0692540000000001E-2</v>
      </c>
      <c r="R1389">
        <v>-3.8583509999999999E-3</v>
      </c>
      <c r="S1389">
        <v>-3.004791</v>
      </c>
      <c r="T1389">
        <v>-0.1124815</v>
      </c>
      <c r="U1389">
        <v>-4.278564E-2</v>
      </c>
      <c r="V1389">
        <v>-1.2008609999999999E-2</v>
      </c>
      <c r="W1389">
        <v>3.3499479999999998E-2</v>
      </c>
      <c r="X1389">
        <v>0.99936659999999899</v>
      </c>
      <c r="Y1389">
        <v>-2.2410099999999999E-2</v>
      </c>
      <c r="Z1389">
        <v>-7.2593880000000003E-4</v>
      </c>
      <c r="AA1389">
        <v>0.99974859999999899</v>
      </c>
      <c r="AB1389">
        <v>40</v>
      </c>
      <c r="AC1389">
        <v>-29.2212999999999</v>
      </c>
      <c r="AD1389">
        <v>-1.102646270348</v>
      </c>
      <c r="AE1389">
        <v>-0.42140000000000499</v>
      </c>
      <c r="AF1389">
        <v>-0.65991928037486403</v>
      </c>
      <c r="AG1389">
        <v>-1.102646270348</v>
      </c>
      <c r="AH1389">
        <v>29.175331759255499</v>
      </c>
      <c r="AI1389">
        <v>92.163841414385701</v>
      </c>
      <c r="AJ1389">
        <v>91.295757101245002</v>
      </c>
      <c r="AK1389">
        <v>29.203618021004601</v>
      </c>
    </row>
    <row r="1390" spans="1:37" x14ac:dyDescent="0.2">
      <c r="A1390" t="str">
        <f>"20200111153428085"</f>
        <v>20200111153428085</v>
      </c>
      <c r="B1390" t="str">
        <f>"1578728068077967"</f>
        <v>1578728068077967</v>
      </c>
      <c r="C1390" t="s">
        <v>37</v>
      </c>
      <c r="D1390">
        <v>4.7396089999999997</v>
      </c>
      <c r="E1390">
        <v>0.55994679999999997</v>
      </c>
      <c r="F1390" t="s">
        <v>38</v>
      </c>
      <c r="G1390">
        <v>-340.41059999999999</v>
      </c>
      <c r="H1390">
        <v>-0.05</v>
      </c>
      <c r="I1390">
        <v>298.24919999999997</v>
      </c>
      <c r="J1390">
        <v>-250.84299999999999</v>
      </c>
      <c r="K1390">
        <v>1.102643</v>
      </c>
      <c r="L1390">
        <v>283.8888</v>
      </c>
      <c r="M1390">
        <v>-0.99996010000000002</v>
      </c>
      <c r="N1390">
        <v>0</v>
      </c>
      <c r="O1390">
        <v>8.4971270000000002E-3</v>
      </c>
      <c r="P1390">
        <v>-0.99952319999999995</v>
      </c>
      <c r="Q1390">
        <v>3.0648359999999999E-2</v>
      </c>
      <c r="R1390">
        <v>-3.7910409999999898E-3</v>
      </c>
      <c r="S1390">
        <v>-3.0044559999999998</v>
      </c>
      <c r="T1390">
        <v>-3.855157E-2</v>
      </c>
      <c r="U1390">
        <v>0.4803772</v>
      </c>
      <c r="V1390">
        <v>-1.2243560000000001E-2</v>
      </c>
      <c r="W1390">
        <v>3.3467070000000002E-2</v>
      </c>
      <c r="X1390">
        <v>0.999364899999999</v>
      </c>
      <c r="Y1390">
        <v>0.14947530000000001</v>
      </c>
      <c r="Z1390">
        <v>8.4458410000000004E-4</v>
      </c>
      <c r="AA1390">
        <v>0.98876509999999995</v>
      </c>
      <c r="AB1390">
        <v>40</v>
      </c>
      <c r="AC1390">
        <v>-89.567599999999999</v>
      </c>
      <c r="AD1390">
        <v>-1.1526430000000001</v>
      </c>
      <c r="AE1390">
        <v>14.360399999999901</v>
      </c>
      <c r="AF1390">
        <v>13.5966160949482</v>
      </c>
      <c r="AG1390">
        <v>-1.1526430000000001</v>
      </c>
      <c r="AH1390">
        <v>89.6719106538809</v>
      </c>
      <c r="AI1390">
        <v>90.728118124197394</v>
      </c>
      <c r="AJ1390">
        <v>81.378128950842395</v>
      </c>
      <c r="AK1390">
        <v>90.704179150888393</v>
      </c>
    </row>
    <row r="1391" spans="1:37" x14ac:dyDescent="0.2">
      <c r="A1391" t="str">
        <f>"20200111153428098"</f>
        <v>20200111153428098</v>
      </c>
      <c r="B1391" t="str">
        <f>"1578728068087727"</f>
        <v>1578728068087727</v>
      </c>
      <c r="C1391" t="s">
        <v>37</v>
      </c>
      <c r="D1391">
        <v>4.6915319999999996</v>
      </c>
      <c r="E1391">
        <v>0.55912410000000001</v>
      </c>
      <c r="F1391" t="s">
        <v>56</v>
      </c>
      <c r="G1391">
        <v>-302.29500000000002</v>
      </c>
      <c r="H1391" s="1">
        <v>2.3372389999999998E-6</v>
      </c>
      <c r="I1391">
        <v>291.83179999999999</v>
      </c>
      <c r="J1391">
        <v>-251.0719</v>
      </c>
      <c r="K1391">
        <v>1.1026400000000001</v>
      </c>
      <c r="L1391">
        <v>283.89089999999999</v>
      </c>
      <c r="M1391">
        <v>-0.99995789999999996</v>
      </c>
      <c r="N1391">
        <v>0</v>
      </c>
      <c r="O1391">
        <v>8.7604569999999993E-3</v>
      </c>
      <c r="P1391">
        <v>-0.99952439999999998</v>
      </c>
      <c r="Q1391">
        <v>3.061038E-2</v>
      </c>
      <c r="R1391">
        <v>-3.8258859999999902E-3</v>
      </c>
      <c r="S1391">
        <v>-3.0051570000000001</v>
      </c>
      <c r="T1391">
        <v>-6.4402099999999907E-2</v>
      </c>
      <c r="U1391">
        <v>0.46392820000000001</v>
      </c>
      <c r="V1391">
        <v>-1.2541399999999999E-2</v>
      </c>
      <c r="W1391">
        <v>3.3439429999999999E-2</v>
      </c>
      <c r="X1391">
        <v>0.99936209999999903</v>
      </c>
      <c r="Y1391">
        <v>0.1438759</v>
      </c>
      <c r="Z1391">
        <v>1.345836E-3</v>
      </c>
      <c r="AA1391">
        <v>0.9895948</v>
      </c>
      <c r="AB1391">
        <v>40</v>
      </c>
      <c r="AC1391">
        <v>-51.223100000000002</v>
      </c>
      <c r="AD1391">
        <v>-1.1026376627609999</v>
      </c>
      <c r="AE1391">
        <v>7.9408999999999903</v>
      </c>
      <c r="AF1391">
        <v>7.4884672978196098</v>
      </c>
      <c r="AG1391">
        <v>-1.1026376627609999</v>
      </c>
      <c r="AH1391">
        <v>51.267501926568698</v>
      </c>
      <c r="AI1391">
        <v>91.219167972545407</v>
      </c>
      <c r="AJ1391">
        <v>81.689771219207003</v>
      </c>
      <c r="AK1391">
        <v>51.823254491363002</v>
      </c>
    </row>
    <row r="1392" spans="1:37" x14ac:dyDescent="0.2">
      <c r="A1392" t="str">
        <f>"20200111153428116"</f>
        <v>20200111153428116</v>
      </c>
      <c r="B1392" t="str">
        <f>"1578728068107250"</f>
        <v>1578728068107250</v>
      </c>
      <c r="C1392" t="s">
        <v>37</v>
      </c>
      <c r="D1392">
        <v>4.6948919999999896</v>
      </c>
      <c r="E1392">
        <v>0.55772809999999995</v>
      </c>
      <c r="F1392" t="s">
        <v>56</v>
      </c>
      <c r="G1392">
        <v>-303.9015</v>
      </c>
      <c r="H1392" s="1">
        <v>2.016505E-6</v>
      </c>
      <c r="I1392">
        <v>291.93299999999999</v>
      </c>
      <c r="J1392">
        <v>-251.38099999999901</v>
      </c>
      <c r="K1392">
        <v>1.10263</v>
      </c>
      <c r="L1392">
        <v>283.8938</v>
      </c>
      <c r="M1392">
        <v>-0.99995449999999997</v>
      </c>
      <c r="N1392">
        <v>0</v>
      </c>
      <c r="O1392">
        <v>9.1159329999999997E-3</v>
      </c>
      <c r="P1392">
        <v>-0.99953340000000002</v>
      </c>
      <c r="Q1392">
        <v>3.027639E-2</v>
      </c>
      <c r="R1392">
        <v>-4.0348559999999999E-3</v>
      </c>
      <c r="S1392">
        <v>-3.005112</v>
      </c>
      <c r="T1392">
        <v>-6.2721490000000005E-2</v>
      </c>
      <c r="U1392">
        <v>0.45745849999999999</v>
      </c>
      <c r="V1392">
        <v>-1.3105749999999999E-2</v>
      </c>
      <c r="W1392">
        <v>3.3119639999999999E-2</v>
      </c>
      <c r="X1392">
        <v>0.99936539999999996</v>
      </c>
      <c r="Y1392">
        <v>0.1414465</v>
      </c>
      <c r="Z1392">
        <v>1.278377E-3</v>
      </c>
      <c r="AA1392">
        <v>0.98994509999999902</v>
      </c>
      <c r="AB1392">
        <v>40</v>
      </c>
      <c r="AC1392">
        <v>-52.520499999999998</v>
      </c>
      <c r="AD1392">
        <v>-1.1026279834949999</v>
      </c>
      <c r="AE1392">
        <v>8.0391999999999904</v>
      </c>
      <c r="AF1392">
        <v>7.5568362259182003</v>
      </c>
      <c r="AG1392">
        <v>-1.1026279834949999</v>
      </c>
      <c r="AH1392">
        <v>52.568963049555599</v>
      </c>
      <c r="AI1392">
        <v>91.189373826737196</v>
      </c>
      <c r="AJ1392">
        <v>81.819719087562305</v>
      </c>
      <c r="AK1392">
        <v>53.1207816049507</v>
      </c>
    </row>
    <row r="1393" spans="1:37" x14ac:dyDescent="0.2">
      <c r="A1393" t="str">
        <f>"20200111153428131"</f>
        <v>20200111153428131</v>
      </c>
      <c r="B1393" t="str">
        <f>"1578728068117983"</f>
        <v>1578728068117983</v>
      </c>
      <c r="C1393" t="s">
        <v>37</v>
      </c>
      <c r="D1393">
        <v>4.6758280000000001</v>
      </c>
      <c r="E1393">
        <v>0.55717930000000004</v>
      </c>
      <c r="F1393" t="s">
        <v>56</v>
      </c>
      <c r="G1393">
        <v>-306.57389999999998</v>
      </c>
      <c r="H1393" s="1">
        <v>1.626762E-6</v>
      </c>
      <c r="I1393">
        <v>292.08350000000002</v>
      </c>
      <c r="J1393">
        <v>-251.64959999999999</v>
      </c>
      <c r="K1393">
        <v>1.1026260000000001</v>
      </c>
      <c r="L1393">
        <v>283.8965</v>
      </c>
      <c r="M1393">
        <v>-0.99995149999999999</v>
      </c>
      <c r="N1393">
        <v>0</v>
      </c>
      <c r="O1393">
        <v>9.4250369999999903E-3</v>
      </c>
      <c r="P1393">
        <v>-0.99953689999999995</v>
      </c>
      <c r="Q1393">
        <v>3.0171320000000001E-2</v>
      </c>
      <c r="R1393">
        <v>-3.9776429999999899E-3</v>
      </c>
      <c r="S1393">
        <v>-3.0050050000000001</v>
      </c>
      <c r="T1393">
        <v>-6.0033200000000002E-2</v>
      </c>
      <c r="U1393">
        <v>0.44589229999999902</v>
      </c>
      <c r="V1393">
        <v>-1.3357880000000001E-2</v>
      </c>
      <c r="W1393">
        <v>3.3026710000000001E-2</v>
      </c>
      <c r="X1393">
        <v>0.99936519999999995</v>
      </c>
      <c r="Y1393">
        <v>0.13742170000000001</v>
      </c>
      <c r="Z1393">
        <v>1.1778660000000001E-3</v>
      </c>
      <c r="AA1393">
        <v>0.99051199999999995</v>
      </c>
      <c r="AB1393">
        <v>40</v>
      </c>
      <c r="AC1393">
        <v>-54.924299999999903</v>
      </c>
      <c r="AD1393">
        <v>-1.1026243732380001</v>
      </c>
      <c r="AE1393">
        <v>8.18700000000001</v>
      </c>
      <c r="AF1393">
        <v>7.6659483109717002</v>
      </c>
      <c r="AG1393">
        <v>-1.1026243732380001</v>
      </c>
      <c r="AH1393">
        <v>54.977348173682998</v>
      </c>
      <c r="AI1393">
        <v>91.137962209224398</v>
      </c>
      <c r="AJ1393">
        <v>82.061956063894399</v>
      </c>
      <c r="AK1393">
        <v>55.520188726492201</v>
      </c>
    </row>
    <row r="1394" spans="1:37" x14ac:dyDescent="0.2">
      <c r="A1394" t="str">
        <f>"20200111153428149"</f>
        <v>20200111153428149</v>
      </c>
      <c r="B1394" t="str">
        <f>"1578728068137503"</f>
        <v>1578728068137503</v>
      </c>
      <c r="C1394" t="s">
        <v>37</v>
      </c>
      <c r="D1394">
        <v>4.7800409999999998</v>
      </c>
      <c r="E1394">
        <v>0.55607629999999997</v>
      </c>
      <c r="F1394" t="s">
        <v>56</v>
      </c>
      <c r="G1394">
        <v>-307.04750000000001</v>
      </c>
      <c r="H1394" s="1">
        <v>1.5926819999999999E-6</v>
      </c>
      <c r="I1394">
        <v>292.0385</v>
      </c>
      <c r="J1394">
        <v>-251.97200000000001</v>
      </c>
      <c r="K1394">
        <v>1.1026199999999999</v>
      </c>
      <c r="L1394">
        <v>283.8997</v>
      </c>
      <c r="M1394">
        <v>-0.999947899999999</v>
      </c>
      <c r="N1394">
        <v>0</v>
      </c>
      <c r="O1394">
        <v>9.7952939999999995E-3</v>
      </c>
      <c r="P1394">
        <v>-0.99953649999999905</v>
      </c>
      <c r="Q1394">
        <v>3.0218800000000001E-2</v>
      </c>
      <c r="R1394">
        <v>-3.6500079999999902E-3</v>
      </c>
      <c r="S1394">
        <v>-3.0049589999999999</v>
      </c>
      <c r="T1394">
        <v>-5.9809920000000003E-2</v>
      </c>
      <c r="U1394">
        <v>0.4416504</v>
      </c>
      <c r="V1394">
        <v>-1.339979E-2</v>
      </c>
      <c r="W1394">
        <v>3.3088190000000003E-2</v>
      </c>
      <c r="X1394">
        <v>0.99936259999999999</v>
      </c>
      <c r="Y1394">
        <v>0.13568910000000001</v>
      </c>
      <c r="Z1394">
        <v>1.1491489999999999E-3</v>
      </c>
      <c r="AA1394">
        <v>0.99075079999999904</v>
      </c>
      <c r="AB1394">
        <v>40</v>
      </c>
      <c r="AC1394">
        <v>-55.075499999999998</v>
      </c>
      <c r="AD1394">
        <v>-1.1026184073180001</v>
      </c>
      <c r="AE1394">
        <v>8.1387999999999998</v>
      </c>
      <c r="AF1394">
        <v>7.5959471643270797</v>
      </c>
      <c r="AG1394">
        <v>-1.1026184073180001</v>
      </c>
      <c r="AH1394">
        <v>55.130955438227701</v>
      </c>
      <c r="AI1394">
        <v>91.135042153281205</v>
      </c>
      <c r="AJ1394">
        <v>82.155174742342098</v>
      </c>
      <c r="AK1394">
        <v>55.662702307804402</v>
      </c>
    </row>
    <row r="1395" spans="1:37" x14ac:dyDescent="0.2">
      <c r="A1395" t="str">
        <f>"20200111153428161"</f>
        <v>20200111153428161</v>
      </c>
      <c r="B1395" t="str">
        <f>"1578728068157999"</f>
        <v>1578728068157999</v>
      </c>
      <c r="C1395" t="s">
        <v>37</v>
      </c>
      <c r="D1395">
        <v>4.7393879999999999</v>
      </c>
      <c r="E1395">
        <v>0.55530970000000002</v>
      </c>
      <c r="F1395" t="s">
        <v>56</v>
      </c>
      <c r="G1395">
        <v>-296.36470000000003</v>
      </c>
      <c r="H1395" s="1">
        <v>2.7767239999999998E-6</v>
      </c>
      <c r="I1395">
        <v>290.30290000000002</v>
      </c>
      <c r="J1395">
        <v>-252.21369999999999</v>
      </c>
      <c r="K1395">
        <v>1.102617</v>
      </c>
      <c r="L1395">
        <v>283.90230000000003</v>
      </c>
      <c r="M1395">
        <v>-0.99994509999999903</v>
      </c>
      <c r="N1395">
        <v>0</v>
      </c>
      <c r="O1395">
        <v>1.0072569999999999E-2</v>
      </c>
      <c r="P1395">
        <v>-0.999533</v>
      </c>
      <c r="Q1395">
        <v>3.038414E-2</v>
      </c>
      <c r="R1395">
        <v>-3.2035009999999901E-3</v>
      </c>
      <c r="S1395">
        <v>-3.0052189999999999</v>
      </c>
      <c r="T1395">
        <v>-7.4643020000000004E-2</v>
      </c>
      <c r="U1395">
        <v>0.43347170000000002</v>
      </c>
      <c r="V1395">
        <v>-1.3230540000000001E-2</v>
      </c>
      <c r="W1395">
        <v>3.3263569999999999E-2</v>
      </c>
      <c r="X1395">
        <v>0.999359</v>
      </c>
      <c r="Y1395">
        <v>0.13274849999999999</v>
      </c>
      <c r="Z1395">
        <v>1.3910470000000001E-3</v>
      </c>
      <c r="AA1395">
        <v>0.99114880000000005</v>
      </c>
      <c r="AB1395">
        <v>41</v>
      </c>
      <c r="AC1395">
        <v>-44.151000000000003</v>
      </c>
      <c r="AD1395">
        <v>-1.1026142232759999</v>
      </c>
      <c r="AE1395">
        <v>6.4005999999999901</v>
      </c>
      <c r="AF1395">
        <v>5.9519236825164699</v>
      </c>
      <c r="AG1395">
        <v>-1.1026142232759999</v>
      </c>
      <c r="AH1395">
        <v>44.186239890997001</v>
      </c>
      <c r="AI1395">
        <v>91.416661176128599</v>
      </c>
      <c r="AJ1395">
        <v>82.328386639365704</v>
      </c>
      <c r="AK1395">
        <v>44.598934397052702</v>
      </c>
    </row>
    <row r="1396" spans="1:37" x14ac:dyDescent="0.2">
      <c r="A1396" t="str">
        <f>"20200111153428174"</f>
        <v>20200111153428174</v>
      </c>
      <c r="B1396" t="str">
        <f>"1578728068167760"</f>
        <v>1578728068167760</v>
      </c>
      <c r="C1396" t="s">
        <v>37</v>
      </c>
      <c r="D1396">
        <v>4.7468500000000002</v>
      </c>
      <c r="E1396">
        <v>0.55496849999999998</v>
      </c>
      <c r="F1396" t="s">
        <v>56</v>
      </c>
      <c r="G1396">
        <v>-292.13900000000001</v>
      </c>
      <c r="H1396" s="1">
        <v>2.1500409999999998E-6</v>
      </c>
      <c r="I1396">
        <v>289.59370000000001</v>
      </c>
      <c r="J1396">
        <v>-252.46520000000001</v>
      </c>
      <c r="K1396">
        <v>1.1026119999999999</v>
      </c>
      <c r="L1396">
        <v>283.90499999999997</v>
      </c>
      <c r="M1396">
        <v>-0.99994240000000001</v>
      </c>
      <c r="N1396">
        <v>0</v>
      </c>
      <c r="O1396">
        <v>1.036075E-2</v>
      </c>
      <c r="P1396">
        <v>-0.99953440000000005</v>
      </c>
      <c r="Q1396">
        <v>3.03749E-2</v>
      </c>
      <c r="R1396">
        <v>-2.9777659999999902E-3</v>
      </c>
      <c r="S1396">
        <v>-3.00528</v>
      </c>
      <c r="T1396">
        <v>-8.2996609999999998E-2</v>
      </c>
      <c r="U1396">
        <v>0.4284058</v>
      </c>
      <c r="V1396">
        <v>-1.329202E-2</v>
      </c>
      <c r="W1396">
        <v>3.3265959999999997E-2</v>
      </c>
      <c r="X1396">
        <v>0.99935810000000003</v>
      </c>
      <c r="Y1396">
        <v>0.13081470000000001</v>
      </c>
      <c r="Z1396">
        <v>1.5123439999999899E-3</v>
      </c>
      <c r="AA1396">
        <v>0.99140569999999895</v>
      </c>
      <c r="AB1396">
        <v>41</v>
      </c>
      <c r="AC1396">
        <v>-39.6738</v>
      </c>
      <c r="AD1396">
        <v>-1.102609849959</v>
      </c>
      <c r="AE1396">
        <v>5.6887000000000398</v>
      </c>
      <c r="AF1396">
        <v>5.2733517004265202</v>
      </c>
      <c r="AG1396">
        <v>-1.102609849959</v>
      </c>
      <c r="AH1396">
        <v>39.7005634288601</v>
      </c>
      <c r="AI1396">
        <v>91.577031420939306</v>
      </c>
      <c r="AJ1396">
        <v>82.433798780836995</v>
      </c>
      <c r="AK1396">
        <v>40.0644321463135</v>
      </c>
    </row>
    <row r="1397" spans="1:37" x14ac:dyDescent="0.2">
      <c r="A1397" t="str">
        <f>"20200111153428193"</f>
        <v>20200111153428193</v>
      </c>
      <c r="B1397" t="str">
        <f>"1578728068188256"</f>
        <v>1578728068188256</v>
      </c>
      <c r="C1397" t="s">
        <v>37</v>
      </c>
      <c r="D1397">
        <v>4.7058160000000004</v>
      </c>
      <c r="E1397">
        <v>0.55491969999999902</v>
      </c>
      <c r="F1397" t="s">
        <v>56</v>
      </c>
      <c r="G1397">
        <v>-291.26780000000002</v>
      </c>
      <c r="H1397" s="1">
        <v>2.0113219999999999E-6</v>
      </c>
      <c r="I1397">
        <v>289.41269999999997</v>
      </c>
      <c r="J1397">
        <v>-252.7826</v>
      </c>
      <c r="K1397">
        <v>1.102603</v>
      </c>
      <c r="L1397">
        <v>283.9085</v>
      </c>
      <c r="M1397">
        <v>-0.99993840000000001</v>
      </c>
      <c r="N1397">
        <v>0</v>
      </c>
      <c r="O1397">
        <v>1.0724279999999999E-2</v>
      </c>
      <c r="P1397">
        <v>-0.99953009999999998</v>
      </c>
      <c r="Q1397">
        <v>3.0564379999999999E-2</v>
      </c>
      <c r="R1397">
        <v>-2.3371249999999998E-3</v>
      </c>
      <c r="S1397">
        <v>-3.0052639999999999</v>
      </c>
      <c r="T1397">
        <v>-8.5397239999999999E-2</v>
      </c>
      <c r="U1397">
        <v>0.42657469999999997</v>
      </c>
      <c r="V1397">
        <v>-1.3014110000000001E-2</v>
      </c>
      <c r="W1397">
        <v>3.3468499999999998E-2</v>
      </c>
      <c r="X1397">
        <v>0.99935499999999899</v>
      </c>
      <c r="Y1397">
        <v>0.1298607</v>
      </c>
      <c r="Z1397">
        <v>1.5323889999999899E-3</v>
      </c>
      <c r="AA1397">
        <v>0.9915311</v>
      </c>
      <c r="AB1397">
        <v>41</v>
      </c>
      <c r="AC1397">
        <v>-38.485199999999999</v>
      </c>
      <c r="AD1397">
        <v>-1.1026009886779999</v>
      </c>
      <c r="AE1397">
        <v>5.50419999999996</v>
      </c>
      <c r="AF1397">
        <v>5.0870638419199699</v>
      </c>
      <c r="AG1397">
        <v>-1.1026009886779999</v>
      </c>
      <c r="AH1397">
        <v>38.511038557911</v>
      </c>
      <c r="AI1397">
        <v>91.625859153363905</v>
      </c>
      <c r="AJ1397">
        <v>82.475155597884694</v>
      </c>
      <c r="AK1397">
        <v>38.861215090124396</v>
      </c>
    </row>
    <row r="1398" spans="1:37" x14ac:dyDescent="0.2">
      <c r="A1398" t="str">
        <f>"20200111153428205"</f>
        <v>20200111153428205</v>
      </c>
      <c r="B1398" t="str">
        <f>"1578728068198017"</f>
        <v>1578728068198017</v>
      </c>
      <c r="C1398" t="s">
        <v>37</v>
      </c>
      <c r="D1398">
        <v>4.7650160000000001</v>
      </c>
      <c r="E1398">
        <v>0.55463839999999998</v>
      </c>
      <c r="F1398" t="s">
        <v>56</v>
      </c>
      <c r="G1398">
        <v>-292.68369999999999</v>
      </c>
      <c r="H1398" s="1">
        <v>2.2466400000000001E-6</v>
      </c>
      <c r="I1398">
        <v>289.59390000000002</v>
      </c>
      <c r="J1398">
        <v>-253.01329999999999</v>
      </c>
      <c r="K1398">
        <v>1.1026</v>
      </c>
      <c r="L1398">
        <v>283.91109999999998</v>
      </c>
      <c r="M1398">
        <v>-0.99993539999999903</v>
      </c>
      <c r="N1398">
        <v>0</v>
      </c>
      <c r="O1398">
        <v>1.0988380000000001E-2</v>
      </c>
      <c r="P1398">
        <v>-0.99953969999999903</v>
      </c>
      <c r="Q1398">
        <v>3.0266850000000001E-2</v>
      </c>
      <c r="R1398">
        <v>-2.0245630000000001E-3</v>
      </c>
      <c r="S1398">
        <v>-3.0049290000000002</v>
      </c>
      <c r="T1398">
        <v>-8.3036299999999993E-2</v>
      </c>
      <c r="U1398">
        <v>0.42816159999999998</v>
      </c>
      <c r="V1398">
        <v>-1.2965630000000001E-2</v>
      </c>
      <c r="W1398">
        <v>3.3181130000000003E-2</v>
      </c>
      <c r="X1398">
        <v>0.99936530000000001</v>
      </c>
      <c r="Y1398">
        <v>0.1301301</v>
      </c>
      <c r="Z1398">
        <v>1.4865950000000001E-3</v>
      </c>
      <c r="AA1398">
        <v>0.99149580000000004</v>
      </c>
      <c r="AB1398">
        <v>41</v>
      </c>
      <c r="AC1398">
        <v>-39.670400000000001</v>
      </c>
      <c r="AD1398">
        <v>-1.10259775336</v>
      </c>
      <c r="AE1398">
        <v>5.6828000000000403</v>
      </c>
      <c r="AF1398">
        <v>5.2425731555101898</v>
      </c>
      <c r="AG1398">
        <v>-1.10259775336</v>
      </c>
      <c r="AH1398">
        <v>39.700397896146001</v>
      </c>
      <c r="AI1398">
        <v>91.577179647496195</v>
      </c>
      <c r="AJ1398">
        <v>82.477421601994095</v>
      </c>
      <c r="AK1398">
        <v>40.0602282595707</v>
      </c>
    </row>
    <row r="1399" spans="1:37" x14ac:dyDescent="0.2">
      <c r="A1399" t="str">
        <f>"20200111153428220"</f>
        <v>20200111153428220</v>
      </c>
      <c r="B1399" t="str">
        <f>"1578728068207775"</f>
        <v>1578728068207775</v>
      </c>
      <c r="C1399" t="s">
        <v>37</v>
      </c>
      <c r="D1399">
        <v>4.8099559999999997</v>
      </c>
      <c r="E1399">
        <v>0.55436219999999903</v>
      </c>
      <c r="F1399" t="s">
        <v>56</v>
      </c>
      <c r="G1399">
        <v>-291.58710000000002</v>
      </c>
      <c r="H1399" s="1">
        <v>2.0701650000000002E-6</v>
      </c>
      <c r="I1399">
        <v>289.38749999999999</v>
      </c>
      <c r="J1399">
        <v>-253.28440000000001</v>
      </c>
      <c r="K1399">
        <v>1.102595</v>
      </c>
      <c r="L1399">
        <v>283.91430000000003</v>
      </c>
      <c r="M1399">
        <v>-0.99993189999999998</v>
      </c>
      <c r="N1399">
        <v>0</v>
      </c>
      <c r="O1399">
        <v>1.1298320000000001E-2</v>
      </c>
      <c r="P1399">
        <v>-0.99953099999999995</v>
      </c>
      <c r="Q1399">
        <v>3.0587079999999999E-2</v>
      </c>
      <c r="R1399">
        <v>-1.5075429999999901E-3</v>
      </c>
      <c r="S1399">
        <v>-3.0048520000000001</v>
      </c>
      <c r="T1399">
        <v>-8.5891010000000004E-2</v>
      </c>
      <c r="U1399">
        <v>0.42660519999999902</v>
      </c>
      <c r="V1399">
        <v>-1.2758190000000001E-2</v>
      </c>
      <c r="W1399">
        <v>3.3513290000000001E-2</v>
      </c>
      <c r="X1399">
        <v>0.99935689999999999</v>
      </c>
      <c r="Y1399">
        <v>0.1293202</v>
      </c>
      <c r="Z1399">
        <v>1.517451E-3</v>
      </c>
      <c r="AA1399">
        <v>0.99160170000000003</v>
      </c>
      <c r="AB1399">
        <v>41</v>
      </c>
      <c r="AC1399">
        <v>-38.302700000000002</v>
      </c>
      <c r="AD1399">
        <v>-1.1025929298349999</v>
      </c>
      <c r="AE1399">
        <v>5.4731999999999603</v>
      </c>
      <c r="AF1399">
        <v>5.0360030577677399</v>
      </c>
      <c r="AG1399">
        <v>-1.1025929298349999</v>
      </c>
      <c r="AH1399">
        <v>38.3309660055329</v>
      </c>
      <c r="AI1399">
        <v>91.633631542621202</v>
      </c>
      <c r="AJ1399">
        <v>82.515228857847106</v>
      </c>
      <c r="AK1399">
        <v>38.676090713567397</v>
      </c>
    </row>
    <row r="1400" spans="1:37" x14ac:dyDescent="0.2">
      <c r="A1400" t="str">
        <f>"20200111153428238"</f>
        <v>20200111153428238</v>
      </c>
      <c r="B1400" t="str">
        <f>"1578728068227296"</f>
        <v>1578728068227296</v>
      </c>
      <c r="C1400" t="s">
        <v>37</v>
      </c>
      <c r="D1400">
        <v>4.723312</v>
      </c>
      <c r="E1400">
        <v>0.5543091</v>
      </c>
      <c r="F1400" t="s">
        <v>56</v>
      </c>
      <c r="G1400">
        <v>-290.45650000000001</v>
      </c>
      <c r="H1400" s="1">
        <v>1.8872530000000001E-6</v>
      </c>
      <c r="I1400">
        <v>289.18579999999997</v>
      </c>
      <c r="J1400">
        <v>-253.6232</v>
      </c>
      <c r="K1400">
        <v>1.1025959999999999</v>
      </c>
      <c r="L1400">
        <v>283.91840000000002</v>
      </c>
      <c r="M1400">
        <v>-0.99992749999999997</v>
      </c>
      <c r="N1400">
        <v>0</v>
      </c>
      <c r="O1400">
        <v>1.168365E-2</v>
      </c>
      <c r="P1400">
        <v>-0.99951540000000005</v>
      </c>
      <c r="Q1400">
        <v>3.111765E-2</v>
      </c>
      <c r="R1400">
        <v>-9.4585039999999995E-4</v>
      </c>
      <c r="S1400">
        <v>-3.0047609999999998</v>
      </c>
      <c r="T1400">
        <v>-8.9126709999999998E-2</v>
      </c>
      <c r="U1400">
        <v>0.42611689999999902</v>
      </c>
      <c r="V1400">
        <v>-1.258069E-2</v>
      </c>
      <c r="W1400">
        <v>3.4058959999999999E-2</v>
      </c>
      <c r="X1400">
        <v>0.99934069999999997</v>
      </c>
      <c r="Y1400">
        <v>0.12878110000000001</v>
      </c>
      <c r="Z1400">
        <v>1.5553379999999901E-3</v>
      </c>
      <c r="AA1400">
        <v>0.99167190000000005</v>
      </c>
      <c r="AB1400">
        <v>41</v>
      </c>
      <c r="AC1400">
        <v>-36.833300000000001</v>
      </c>
      <c r="AD1400">
        <v>-1.10259411274699</v>
      </c>
      <c r="AE1400">
        <v>5.2673999999999497</v>
      </c>
      <c r="AF1400">
        <v>4.8324477434094302</v>
      </c>
      <c r="AG1400">
        <v>-1.10259411274699</v>
      </c>
      <c r="AH1400">
        <v>36.859960822208102</v>
      </c>
      <c r="AI1400">
        <v>91.698851929424606</v>
      </c>
      <c r="AJ1400">
        <v>82.530955351193597</v>
      </c>
      <c r="AK1400">
        <v>37.191732640265201</v>
      </c>
    </row>
    <row r="1401" spans="1:37" x14ac:dyDescent="0.2">
      <c r="A1401" t="str">
        <f>"20200111153428251"</f>
        <v>20200111153428251</v>
      </c>
      <c r="B1401" t="str">
        <f>"1578728068247791"</f>
        <v>1578728068247791</v>
      </c>
      <c r="C1401" t="s">
        <v>37</v>
      </c>
      <c r="D1401">
        <v>4.8170909999999996</v>
      </c>
      <c r="E1401">
        <v>0.5542589</v>
      </c>
      <c r="F1401" t="s">
        <v>56</v>
      </c>
      <c r="G1401">
        <v>-290.10180000000003</v>
      </c>
      <c r="H1401" s="1">
        <v>1.8311679999999999E-6</v>
      </c>
      <c r="I1401">
        <v>289.10770000000002</v>
      </c>
      <c r="J1401">
        <v>-253.8655</v>
      </c>
      <c r="K1401">
        <v>1.1025989999999899</v>
      </c>
      <c r="L1401">
        <v>283.92140000000001</v>
      </c>
      <c r="M1401">
        <v>-0.99992420000000004</v>
      </c>
      <c r="N1401">
        <v>0</v>
      </c>
      <c r="O1401">
        <v>1.1956990000000001E-2</v>
      </c>
      <c r="P1401">
        <v>-0.99951369999999895</v>
      </c>
      <c r="Q1401">
        <v>3.1178460000000002E-2</v>
      </c>
      <c r="R1401">
        <v>-6.0854859999999998E-4</v>
      </c>
      <c r="S1401">
        <v>-3.0046689999999998</v>
      </c>
      <c r="T1401">
        <v>-9.081852E-2</v>
      </c>
      <c r="U1401">
        <v>0.42742920000000001</v>
      </c>
      <c r="V1401">
        <v>-1.2516330000000001E-2</v>
      </c>
      <c r="W1401">
        <v>3.4130439999999998E-2</v>
      </c>
      <c r="X1401">
        <v>0.99933899999999998</v>
      </c>
      <c r="Y1401">
        <v>0.12893689999999999</v>
      </c>
      <c r="Z1401">
        <v>1.5789759999999999E-3</v>
      </c>
      <c r="AA1401">
        <v>0.99165149999999902</v>
      </c>
      <c r="AB1401">
        <v>41</v>
      </c>
      <c r="AC1401">
        <v>-36.2363</v>
      </c>
      <c r="AD1401">
        <v>-1.102597168832</v>
      </c>
      <c r="AE1401">
        <v>5.1863000000000099</v>
      </c>
      <c r="AF1401">
        <v>4.7483422380560603</v>
      </c>
      <c r="AG1401">
        <v>-1.102597168832</v>
      </c>
      <c r="AH1401">
        <v>36.262821943720397</v>
      </c>
      <c r="AI1401">
        <v>91.726850531201805</v>
      </c>
      <c r="AJ1401">
        <v>82.539994077210395</v>
      </c>
      <c r="AK1401">
        <v>36.5889973878541</v>
      </c>
    </row>
    <row r="1402" spans="1:37" x14ac:dyDescent="0.2">
      <c r="A1402" t="str">
        <f>"20200111153428266"</f>
        <v>20200111153428266</v>
      </c>
      <c r="B1402" t="str">
        <f>"1578728068257551"</f>
        <v>1578728068257551</v>
      </c>
      <c r="C1402" t="s">
        <v>37</v>
      </c>
      <c r="D1402">
        <v>4.6933179999999997</v>
      </c>
      <c r="E1402">
        <v>0.55427579999999999</v>
      </c>
      <c r="F1402" t="s">
        <v>56</v>
      </c>
      <c r="G1402">
        <v>-289.9837</v>
      </c>
      <c r="H1402" s="1">
        <v>1.8137469999999999E-6</v>
      </c>
      <c r="I1402">
        <v>289.06720000000001</v>
      </c>
      <c r="J1402">
        <v>-254.13480000000001</v>
      </c>
      <c r="K1402">
        <v>1.1025969999999901</v>
      </c>
      <c r="L1402">
        <v>283.9248</v>
      </c>
      <c r="M1402">
        <v>-0.9999207</v>
      </c>
      <c r="N1402">
        <v>0</v>
      </c>
      <c r="O1402">
        <v>1.225679E-2</v>
      </c>
      <c r="P1402">
        <v>-0.99950439999999996</v>
      </c>
      <c r="Q1402">
        <v>3.147863E-2</v>
      </c>
      <c r="R1402">
        <v>-3.9400330000000002E-4</v>
      </c>
      <c r="S1402">
        <v>-3.004578</v>
      </c>
      <c r="T1402">
        <v>-9.1722129999999999E-2</v>
      </c>
      <c r="U1402">
        <v>0.42807010000000001</v>
      </c>
      <c r="V1402">
        <v>-1.2601009999999999E-2</v>
      </c>
      <c r="W1402">
        <v>3.444212E-2</v>
      </c>
      <c r="X1402">
        <v>0.99932719999999897</v>
      </c>
      <c r="Y1402">
        <v>0.1288502</v>
      </c>
      <c r="Z1402">
        <v>1.5842879999999899E-3</v>
      </c>
      <c r="AA1402">
        <v>0.99166279999999996</v>
      </c>
      <c r="AB1402">
        <v>41</v>
      </c>
      <c r="AC1402">
        <v>-35.848899999999901</v>
      </c>
      <c r="AD1402">
        <v>-1.1025951862529999</v>
      </c>
      <c r="AE1402">
        <v>5.1424000000000003</v>
      </c>
      <c r="AF1402">
        <v>4.6982645964677197</v>
      </c>
      <c r="AG1402">
        <v>-1.1025951862529999</v>
      </c>
      <c r="AH1402">
        <v>35.875983092392502</v>
      </c>
      <c r="AI1402">
        <v>91.745452390060194</v>
      </c>
      <c r="AJ1402">
        <v>82.539089715856704</v>
      </c>
      <c r="AK1402">
        <v>36.199110061005698</v>
      </c>
    </row>
    <row r="1403" spans="1:37" x14ac:dyDescent="0.2">
      <c r="A1403" t="str">
        <f>"20200111153428283"</f>
        <v>20200111153428283</v>
      </c>
      <c r="B1403" t="str">
        <f>"1578728068278047"</f>
        <v>1578728068278047</v>
      </c>
      <c r="C1403" t="s">
        <v>37</v>
      </c>
      <c r="D1403">
        <v>4.8043610000000001</v>
      </c>
      <c r="E1403">
        <v>0.55401679999999998</v>
      </c>
      <c r="F1403" t="s">
        <v>56</v>
      </c>
      <c r="G1403">
        <v>-291.12060000000002</v>
      </c>
      <c r="H1403" s="1">
        <v>2.003479E-6</v>
      </c>
      <c r="I1403">
        <v>289.2038</v>
      </c>
      <c r="J1403">
        <v>-254.4494</v>
      </c>
      <c r="K1403">
        <v>1.102603</v>
      </c>
      <c r="L1403">
        <v>283.9289</v>
      </c>
      <c r="M1403">
        <v>-0.99991629999999998</v>
      </c>
      <c r="N1403">
        <v>0</v>
      </c>
      <c r="O1403">
        <v>1.259819E-2</v>
      </c>
      <c r="P1403">
        <v>-0.99947900000000001</v>
      </c>
      <c r="Q1403">
        <v>3.2281160000000003E-2</v>
      </c>
      <c r="R1403">
        <v>-1.4046640000000001E-4</v>
      </c>
      <c r="S1403">
        <v>-3.004486</v>
      </c>
      <c r="T1403">
        <v>-8.9567659999999993E-2</v>
      </c>
      <c r="U1403">
        <v>0.42883300000000002</v>
      </c>
      <c r="V1403">
        <v>-1.268786E-2</v>
      </c>
      <c r="W1403">
        <v>3.5258919999999999E-2</v>
      </c>
      <c r="X1403">
        <v>0.99929769999999896</v>
      </c>
      <c r="Y1403">
        <v>0.1287653</v>
      </c>
      <c r="Z1403">
        <v>1.5357319999999999E-3</v>
      </c>
      <c r="AA1403">
        <v>0.9916739</v>
      </c>
      <c r="AB1403">
        <v>41</v>
      </c>
      <c r="AC1403">
        <v>-36.671199999999999</v>
      </c>
      <c r="AD1403">
        <v>-1.102600996521</v>
      </c>
      <c r="AE1403">
        <v>5.2748999999999997</v>
      </c>
      <c r="AF1403">
        <v>4.80822992394019</v>
      </c>
      <c r="AG1403">
        <v>-1.102600996521</v>
      </c>
      <c r="AH1403">
        <v>36.702236622286001</v>
      </c>
      <c r="AI1403">
        <v>91.706180104339296</v>
      </c>
      <c r="AJ1403">
        <v>82.536387893714604</v>
      </c>
      <c r="AK1403">
        <v>37.032269401661999</v>
      </c>
    </row>
    <row r="1404" spans="1:37" x14ac:dyDescent="0.2">
      <c r="A1404" t="str">
        <f>"20200111153428296"</f>
        <v>20200111153428296</v>
      </c>
      <c r="B1404" t="str">
        <f>"1578728068287807"</f>
        <v>1578728068287807</v>
      </c>
      <c r="C1404" t="s">
        <v>37</v>
      </c>
      <c r="D1404">
        <v>4.8352250000000003</v>
      </c>
      <c r="E1404">
        <v>0.5539075</v>
      </c>
      <c r="F1404" t="s">
        <v>56</v>
      </c>
      <c r="G1404">
        <v>-290.40179999999998</v>
      </c>
      <c r="H1404" s="1">
        <v>1.8899689999999999E-6</v>
      </c>
      <c r="I1404">
        <v>289.0437</v>
      </c>
      <c r="J1404">
        <v>-254.71629999999999</v>
      </c>
      <c r="K1404">
        <v>1.1026100000000001</v>
      </c>
      <c r="L1404">
        <v>283.93239999999997</v>
      </c>
      <c r="M1404">
        <v>-0.99991269999999999</v>
      </c>
      <c r="N1404">
        <v>0</v>
      </c>
      <c r="O1404">
        <v>1.287687E-2</v>
      </c>
      <c r="P1404">
        <v>-0.99946440000000003</v>
      </c>
      <c r="Q1404">
        <v>3.2726529999999997E-2</v>
      </c>
      <c r="R1404">
        <v>-1.5033549999999901E-4</v>
      </c>
      <c r="S1404">
        <v>-3.0046080000000002</v>
      </c>
      <c r="T1404">
        <v>-9.2146399999999906E-2</v>
      </c>
      <c r="U1404">
        <v>0.4274597</v>
      </c>
      <c r="V1404">
        <v>-1.297593E-2</v>
      </c>
      <c r="W1404">
        <v>3.5715919999999998E-2</v>
      </c>
      <c r="X1404">
        <v>0.99927770000000005</v>
      </c>
      <c r="Y1404">
        <v>0.1280365</v>
      </c>
      <c r="Z1404">
        <v>1.5602999999999999E-3</v>
      </c>
      <c r="AA1404">
        <v>0.99176819999999899</v>
      </c>
      <c r="AB1404">
        <v>42</v>
      </c>
      <c r="AC1404">
        <v>-35.685499999999898</v>
      </c>
      <c r="AD1404">
        <v>-1.1026081100309999</v>
      </c>
      <c r="AE1404">
        <v>5.1113000000000204</v>
      </c>
      <c r="AF1404">
        <v>4.64700942354823</v>
      </c>
      <c r="AG1404">
        <v>-1.1026081100309999</v>
      </c>
      <c r="AH1404">
        <v>35.714948127774797</v>
      </c>
      <c r="AI1404">
        <v>91.753528058183406</v>
      </c>
      <c r="AJ1404">
        <v>82.586673217394903</v>
      </c>
      <c r="AK1404">
        <v>36.032873338057499</v>
      </c>
    </row>
    <row r="1405" spans="1:37" x14ac:dyDescent="0.2">
      <c r="A1405" t="str">
        <f>"20200111153428310"</f>
        <v>20200111153428310</v>
      </c>
      <c r="B1405" t="str">
        <f>"1578728068297569"</f>
        <v>1578728068297569</v>
      </c>
      <c r="C1405" t="s">
        <v>37</v>
      </c>
      <c r="D1405">
        <v>4.8089810000000002</v>
      </c>
      <c r="E1405">
        <v>0.55378930000000004</v>
      </c>
      <c r="F1405" t="s">
        <v>56</v>
      </c>
      <c r="G1405">
        <v>-290.16030000000001</v>
      </c>
      <c r="H1405" s="1">
        <v>1.85435399999999E-6</v>
      </c>
      <c r="I1405">
        <v>288.96109999999999</v>
      </c>
      <c r="J1405">
        <v>-254.9589</v>
      </c>
      <c r="K1405">
        <v>1.102617</v>
      </c>
      <c r="L1405">
        <v>283.93560000000002</v>
      </c>
      <c r="M1405">
        <v>-0.99990959999999995</v>
      </c>
      <c r="N1405">
        <v>0</v>
      </c>
      <c r="O1405">
        <v>1.3114010000000001E-2</v>
      </c>
      <c r="P1405">
        <v>-0.99944650000000002</v>
      </c>
      <c r="Q1405">
        <v>3.3265589999999998E-2</v>
      </c>
      <c r="R1405">
        <v>2.3164639999999901E-4</v>
      </c>
      <c r="S1405">
        <v>-3.004715</v>
      </c>
      <c r="T1405">
        <v>-9.3472120000000006E-2</v>
      </c>
      <c r="U1405">
        <v>0.42630000000000001</v>
      </c>
      <c r="V1405">
        <v>-1.283082E-2</v>
      </c>
      <c r="W1405">
        <v>3.6265350000000002E-2</v>
      </c>
      <c r="X1405">
        <v>0.99925980000000003</v>
      </c>
      <c r="Y1405">
        <v>0.12742000000000001</v>
      </c>
      <c r="Z1405">
        <v>1.565851E-3</v>
      </c>
      <c r="AA1405">
        <v>0.99184760000000005</v>
      </c>
      <c r="AB1405">
        <v>42</v>
      </c>
      <c r="AC1405">
        <v>-35.2014</v>
      </c>
      <c r="AD1405">
        <v>-1.102615145646</v>
      </c>
      <c r="AE1405">
        <v>5.0254999999999601</v>
      </c>
      <c r="AF1405">
        <v>4.5590506057215903</v>
      </c>
      <c r="AG1405">
        <v>-1.102615145646</v>
      </c>
      <c r="AH1405">
        <v>35.230402381540699</v>
      </c>
      <c r="AI1405">
        <v>91.777801709019499</v>
      </c>
      <c r="AJ1405">
        <v>82.626518255372901</v>
      </c>
      <c r="AK1405">
        <v>35.5412711442656</v>
      </c>
    </row>
    <row r="1406" spans="1:37" x14ac:dyDescent="0.2">
      <c r="A1406" t="str">
        <f>"20200111153428328"</f>
        <v>20200111153428328</v>
      </c>
      <c r="B1406" t="str">
        <f>"1578728068318063"</f>
        <v>1578728068318063</v>
      </c>
      <c r="C1406" t="s">
        <v>37</v>
      </c>
      <c r="D1406">
        <v>4.8203620000000003</v>
      </c>
      <c r="E1406">
        <v>0.55352349999999995</v>
      </c>
      <c r="F1406" t="s">
        <v>56</v>
      </c>
      <c r="G1406">
        <v>-290.21249999999998</v>
      </c>
      <c r="H1406" s="1">
        <v>1.8655129999999999E-6</v>
      </c>
      <c r="I1406">
        <v>288.93950000000001</v>
      </c>
      <c r="J1406">
        <v>-255.30439999999999</v>
      </c>
      <c r="K1406">
        <v>1.10263</v>
      </c>
      <c r="L1406">
        <v>283.94029999999998</v>
      </c>
      <c r="M1406">
        <v>-0.99990540000000006</v>
      </c>
      <c r="N1406">
        <v>0</v>
      </c>
      <c r="O1406">
        <v>1.34246E-2</v>
      </c>
      <c r="P1406">
        <v>-0.99944959999999905</v>
      </c>
      <c r="Q1406">
        <v>3.3167740000000001E-2</v>
      </c>
      <c r="R1406">
        <v>5.4477729999999997E-4</v>
      </c>
      <c r="S1406">
        <v>-3.004715</v>
      </c>
      <c r="T1406">
        <v>-9.3977329999999998E-2</v>
      </c>
      <c r="U1406">
        <v>0.42648320000000001</v>
      </c>
      <c r="V1406">
        <v>-1.2830380000000001E-2</v>
      </c>
      <c r="W1406">
        <v>3.6182430000000002E-2</v>
      </c>
      <c r="X1406">
        <v>0.99926280000000001</v>
      </c>
      <c r="Y1406">
        <v>0.1271708</v>
      </c>
      <c r="Z1406">
        <v>1.5607679999999999E-3</v>
      </c>
      <c r="AA1406">
        <v>0.99187959999999997</v>
      </c>
      <c r="AB1406">
        <v>42</v>
      </c>
      <c r="AC1406">
        <v>-34.908099999999898</v>
      </c>
      <c r="AD1406">
        <v>-1.1026281344869999</v>
      </c>
      <c r="AE1406">
        <v>4.9992000000000303</v>
      </c>
      <c r="AF1406">
        <v>4.5256955155602201</v>
      </c>
      <c r="AG1406">
        <v>-1.1026281344869999</v>
      </c>
      <c r="AH1406">
        <v>34.937909353507301</v>
      </c>
      <c r="AI1406">
        <v>91.792667181065895</v>
      </c>
      <c r="AJ1406">
        <v>82.619267532010895</v>
      </c>
      <c r="AK1406">
        <v>35.247059717037601</v>
      </c>
    </row>
    <row r="1407" spans="1:37" x14ac:dyDescent="0.2">
      <c r="A1407" t="str">
        <f>"20200111153428350"</f>
        <v>20200111153428350</v>
      </c>
      <c r="B1407" t="str">
        <f>"1578728068337583"</f>
        <v>1578728068337583</v>
      </c>
      <c r="C1407" t="s">
        <v>37</v>
      </c>
      <c r="D1407">
        <v>4.8114559999999997</v>
      </c>
      <c r="E1407">
        <v>0.55326239999999904</v>
      </c>
      <c r="F1407" t="s">
        <v>56</v>
      </c>
      <c r="G1407">
        <v>-288.8175</v>
      </c>
      <c r="H1407" s="1">
        <v>3.65165399999999E-6</v>
      </c>
      <c r="I1407">
        <v>288.68349999999998</v>
      </c>
      <c r="J1407">
        <v>-255.7012</v>
      </c>
      <c r="K1407">
        <v>1.102654</v>
      </c>
      <c r="L1407">
        <v>283.94589999999999</v>
      </c>
      <c r="M1407">
        <v>-0.99990140000000005</v>
      </c>
      <c r="N1407">
        <v>0</v>
      </c>
      <c r="O1407">
        <v>1.3724719999999999E-2</v>
      </c>
      <c r="P1407">
        <v>-0.999475</v>
      </c>
      <c r="Q1407">
        <v>3.2397599999999999E-2</v>
      </c>
      <c r="R1407">
        <v>7.6839289999999902E-4</v>
      </c>
      <c r="S1407">
        <v>-3.0047000000000001</v>
      </c>
      <c r="T1407">
        <v>-9.8858589999999996E-2</v>
      </c>
      <c r="U1407">
        <v>0.42526249999999999</v>
      </c>
      <c r="V1407">
        <v>-1.2911260000000001E-2</v>
      </c>
      <c r="W1407">
        <v>3.5428559999999998E-2</v>
      </c>
      <c r="X1407">
        <v>0.99928879999999998</v>
      </c>
      <c r="Y1407">
        <v>0.12647349999999999</v>
      </c>
      <c r="Z1407">
        <v>1.620619E-3</v>
      </c>
      <c r="AA1407">
        <v>0.99196870000000004</v>
      </c>
      <c r="AB1407">
        <v>42</v>
      </c>
      <c r="AC1407">
        <v>-33.116299999999903</v>
      </c>
      <c r="AD1407">
        <v>-1.102650348346</v>
      </c>
      <c r="AE1407">
        <v>4.73759999999998</v>
      </c>
      <c r="AF1407">
        <v>4.2779921686793303</v>
      </c>
      <c r="AG1407">
        <v>-1.102650348346</v>
      </c>
      <c r="AH1407">
        <v>33.142197329589102</v>
      </c>
      <c r="AI1407">
        <v>91.889876372993001</v>
      </c>
      <c r="AJ1407">
        <v>82.644934569585203</v>
      </c>
      <c r="AK1407">
        <v>33.435345050102498</v>
      </c>
    </row>
    <row r="1408" spans="1:37" x14ac:dyDescent="0.2">
      <c r="A1408" t="str">
        <f>"20200111153428362"</f>
        <v>20200111153428362</v>
      </c>
      <c r="B1408" t="str">
        <f>"1578728068358079"</f>
        <v>1578728068358079</v>
      </c>
      <c r="C1408" t="s">
        <v>37</v>
      </c>
      <c r="D1408">
        <v>4.7925719999999998</v>
      </c>
      <c r="E1408">
        <v>0.55318929999999999</v>
      </c>
      <c r="F1408" t="s">
        <v>56</v>
      </c>
      <c r="G1408">
        <v>-287.325999999999</v>
      </c>
      <c r="H1408" s="1">
        <v>4.3699159999999999E-6</v>
      </c>
      <c r="I1408">
        <v>288.40839999999997</v>
      </c>
      <c r="J1408">
        <v>-255.95599999999999</v>
      </c>
      <c r="K1408">
        <v>1.102679</v>
      </c>
      <c r="L1408">
        <v>283.9495</v>
      </c>
      <c r="M1408">
        <v>-0.99989910000000004</v>
      </c>
      <c r="N1408">
        <v>0</v>
      </c>
      <c r="O1408">
        <v>1.3884850000000001E-2</v>
      </c>
      <c r="P1408">
        <v>-0.99949239999999995</v>
      </c>
      <c r="Q1408">
        <v>3.18593E-2</v>
      </c>
      <c r="R1408">
        <v>5.9749710000000004E-4</v>
      </c>
      <c r="S1408">
        <v>-3.0046390000000001</v>
      </c>
      <c r="T1408">
        <v>-0.10476149999999999</v>
      </c>
      <c r="U1408">
        <v>0.42398069999999999</v>
      </c>
      <c r="V1408">
        <v>-1.324553E-2</v>
      </c>
      <c r="W1408">
        <v>3.490103E-2</v>
      </c>
      <c r="X1408">
        <v>0.99930300000000005</v>
      </c>
      <c r="Y1408">
        <v>0.1258956</v>
      </c>
      <c r="Z1408">
        <v>1.701843E-3</v>
      </c>
      <c r="AA1408">
        <v>0.99204199999999998</v>
      </c>
      <c r="AB1408">
        <v>42</v>
      </c>
      <c r="AC1408">
        <v>-31.369999999999902</v>
      </c>
      <c r="AD1408">
        <v>-1.102674630084</v>
      </c>
      <c r="AE1408">
        <v>4.4588999999999697</v>
      </c>
      <c r="AF1408">
        <v>4.0180342279786103</v>
      </c>
      <c r="AG1408">
        <v>-1.102674630084</v>
      </c>
      <c r="AH1408">
        <v>31.390869978980302</v>
      </c>
      <c r="AI1408">
        <v>91.995547598973104</v>
      </c>
      <c r="AJ1408">
        <v>82.705798536270095</v>
      </c>
      <c r="AK1408">
        <v>31.666183989143502</v>
      </c>
    </row>
    <row r="1409" spans="1:37" x14ac:dyDescent="0.2">
      <c r="A1409" t="str">
        <f>"20200111153428378"</f>
        <v>20200111153428378</v>
      </c>
      <c r="B1409" t="str">
        <f>"1578728068367839"</f>
        <v>1578728068367839</v>
      </c>
      <c r="C1409" t="s">
        <v>37</v>
      </c>
      <c r="D1409">
        <v>4.7773339999999997</v>
      </c>
      <c r="E1409">
        <v>0.55315249999999905</v>
      </c>
      <c r="F1409" t="s">
        <v>56</v>
      </c>
      <c r="G1409">
        <v>-286.22469999999998</v>
      </c>
      <c r="H1409" s="1">
        <v>4.8997480000000003E-6</v>
      </c>
      <c r="I1409">
        <v>288.2079</v>
      </c>
      <c r="J1409">
        <v>-256.2527</v>
      </c>
      <c r="K1409">
        <v>1.1027100000000001</v>
      </c>
      <c r="L1409">
        <v>283.95359999999999</v>
      </c>
      <c r="M1409">
        <v>-0.99989689999999998</v>
      </c>
      <c r="N1409">
        <v>0</v>
      </c>
      <c r="O1409">
        <v>1.403739E-2</v>
      </c>
      <c r="P1409">
        <v>-0.99951800000000002</v>
      </c>
      <c r="Q1409">
        <v>3.103786E-2</v>
      </c>
      <c r="R1409">
        <v>6.8799309999999995E-4</v>
      </c>
      <c r="S1409">
        <v>-3.0047609999999998</v>
      </c>
      <c r="T1409">
        <v>-0.10946210000000001</v>
      </c>
      <c r="U1409">
        <v>0.42272949999999998</v>
      </c>
      <c r="V1409">
        <v>-1.331214E-2</v>
      </c>
      <c r="W1409">
        <v>3.409185E-2</v>
      </c>
      <c r="X1409">
        <v>0.99932999999999905</v>
      </c>
      <c r="Y1409">
        <v>0.12532799999999999</v>
      </c>
      <c r="Z1409">
        <v>1.762326E-3</v>
      </c>
      <c r="AA1409">
        <v>0.99211380000000005</v>
      </c>
      <c r="AB1409">
        <v>42</v>
      </c>
      <c r="AC1409">
        <v>-29.971999999999898</v>
      </c>
      <c r="AD1409">
        <v>-1.1027051002520001</v>
      </c>
      <c r="AE1409">
        <v>4.2542999999999997</v>
      </c>
      <c r="AF1409">
        <v>3.82807094356972</v>
      </c>
      <c r="AG1409">
        <v>-1.1027051002520001</v>
      </c>
      <c r="AH1409">
        <v>29.988975306384798</v>
      </c>
      <c r="AI1409">
        <v>92.088902428530801</v>
      </c>
      <c r="AJ1409">
        <v>82.725575719120499</v>
      </c>
      <c r="AK1409">
        <v>30.252416855750202</v>
      </c>
    </row>
    <row r="1410" spans="1:37" x14ac:dyDescent="0.2">
      <c r="A1410" t="str">
        <f>"20200111153428395"</f>
        <v>20200111153428395</v>
      </c>
      <c r="B1410" t="str">
        <f>"1578728068387359"</f>
        <v>1578728068387359</v>
      </c>
      <c r="C1410" t="s">
        <v>37</v>
      </c>
      <c r="D1410">
        <v>4.8083780000000003</v>
      </c>
      <c r="E1410">
        <v>0.55314529999999995</v>
      </c>
      <c r="F1410" t="s">
        <v>56</v>
      </c>
      <c r="G1410">
        <v>-285.45080000000002</v>
      </c>
      <c r="H1410" s="1">
        <v>5.2737649999999902E-6</v>
      </c>
      <c r="I1410">
        <v>288.05860000000001</v>
      </c>
      <c r="J1410">
        <v>-256.56259999999997</v>
      </c>
      <c r="K1410">
        <v>1.1027359999999999</v>
      </c>
      <c r="L1410">
        <v>283.9581</v>
      </c>
      <c r="M1410">
        <v>-0.99989519999999998</v>
      </c>
      <c r="N1410">
        <v>0</v>
      </c>
      <c r="O1410">
        <v>1.415247E-2</v>
      </c>
      <c r="P1410">
        <v>-0.99957790000000002</v>
      </c>
      <c r="Q1410">
        <v>2.9031919999999999E-2</v>
      </c>
      <c r="R1410">
        <v>1.140238E-3</v>
      </c>
      <c r="S1410">
        <v>-3.0046390000000001</v>
      </c>
      <c r="T1410">
        <v>-0.11347409999999999</v>
      </c>
      <c r="U1410">
        <v>0.42242429999999997</v>
      </c>
      <c r="V1410">
        <v>-1.298086E-2</v>
      </c>
      <c r="W1410">
        <v>3.2098330000000001E-2</v>
      </c>
      <c r="X1410">
        <v>0.99940039999999997</v>
      </c>
      <c r="Y1410">
        <v>0.12511539999999999</v>
      </c>
      <c r="Z1410">
        <v>1.8186439999999999E-3</v>
      </c>
      <c r="AA1410">
        <v>0.99214049999999998</v>
      </c>
      <c r="AB1410">
        <v>42</v>
      </c>
      <c r="AC1410">
        <v>-28.888200000000001</v>
      </c>
      <c r="AD1410">
        <v>-1.1027307262349999</v>
      </c>
      <c r="AE1410">
        <v>4.10050000000001</v>
      </c>
      <c r="AF1410">
        <v>3.6859831659417801</v>
      </c>
      <c r="AG1410">
        <v>-1.1027307262349999</v>
      </c>
      <c r="AH1410">
        <v>28.902056990159998</v>
      </c>
      <c r="AI1410">
        <v>92.167467890295697</v>
      </c>
      <c r="AJ1410">
        <v>82.732097626225695</v>
      </c>
      <c r="AK1410">
        <v>29.157012625038401</v>
      </c>
    </row>
    <row r="1411" spans="1:37" x14ac:dyDescent="0.2">
      <c r="A1411" t="str">
        <f>"20200111153428407"</f>
        <v>20200111153428407</v>
      </c>
      <c r="B1411" t="str">
        <f>"1578728068398095"</f>
        <v>1578728068398095</v>
      </c>
      <c r="C1411" t="s">
        <v>37</v>
      </c>
      <c r="D1411">
        <v>4.7957769999999904</v>
      </c>
      <c r="E1411">
        <v>0.55309830000000004</v>
      </c>
      <c r="F1411" t="s">
        <v>56</v>
      </c>
      <c r="G1411">
        <v>-283.83150000000001</v>
      </c>
      <c r="H1411" s="1">
        <v>6.0440110000000002E-6</v>
      </c>
      <c r="I1411">
        <v>287.80610000000001</v>
      </c>
      <c r="J1411">
        <v>-256.80770000000001</v>
      </c>
      <c r="K1411">
        <v>1.10276</v>
      </c>
      <c r="L1411">
        <v>283.9615</v>
      </c>
      <c r="M1411">
        <v>-0.99989430000000001</v>
      </c>
      <c r="N1411">
        <v>0</v>
      </c>
      <c r="O1411">
        <v>1.4216619999999999E-2</v>
      </c>
      <c r="P1411">
        <v>-0.99961299999999997</v>
      </c>
      <c r="Q1411">
        <v>2.777255E-2</v>
      </c>
      <c r="R1411">
        <v>1.57831799999999E-3</v>
      </c>
      <c r="S1411">
        <v>-3.00430299999999</v>
      </c>
      <c r="T1411">
        <v>-0.121491</v>
      </c>
      <c r="U1411">
        <v>0.4239502</v>
      </c>
      <c r="V1411">
        <v>-1.26106E-2</v>
      </c>
      <c r="W1411">
        <v>3.084916E-2</v>
      </c>
      <c r="X1411">
        <v>0.99944449999999996</v>
      </c>
      <c r="Y1411">
        <v>0.12554949999999901</v>
      </c>
      <c r="Z1411">
        <v>1.9533289999999902E-3</v>
      </c>
      <c r="AA1411">
        <v>0.99208549999999995</v>
      </c>
      <c r="AB1411">
        <v>42</v>
      </c>
      <c r="AC1411">
        <v>-27.023799999999898</v>
      </c>
      <c r="AD1411">
        <v>-1.1027539559890001</v>
      </c>
      <c r="AE1411">
        <v>3.84460000000001</v>
      </c>
      <c r="AF1411">
        <v>3.4543844789743501</v>
      </c>
      <c r="AG1411">
        <v>-1.1027539559890001</v>
      </c>
      <c r="AH1411">
        <v>27.031606544936</v>
      </c>
      <c r="AI1411">
        <v>92.317261530520298</v>
      </c>
      <c r="AJ1411">
        <v>82.717609880670807</v>
      </c>
      <c r="AK1411">
        <v>27.273734449397601</v>
      </c>
    </row>
    <row r="1412" spans="1:37" x14ac:dyDescent="0.2">
      <c r="A1412" t="str">
        <f>"20200111153428421"</f>
        <v>20200111153428421</v>
      </c>
      <c r="B1412" t="str">
        <f>"1578728068417616"</f>
        <v>1578728068417616</v>
      </c>
      <c r="C1412" t="s">
        <v>37</v>
      </c>
      <c r="D1412">
        <v>4.7942</v>
      </c>
      <c r="E1412">
        <v>0.55291389999999996</v>
      </c>
      <c r="F1412" t="s">
        <v>56</v>
      </c>
      <c r="G1412">
        <v>-282.97070000000002</v>
      </c>
      <c r="H1412" s="1">
        <v>6.4558979999999998E-6</v>
      </c>
      <c r="I1412">
        <v>287.66030000000001</v>
      </c>
      <c r="J1412">
        <v>-257.06270000000001</v>
      </c>
      <c r="K1412">
        <v>1.102789</v>
      </c>
      <c r="L1412">
        <v>283.96510000000001</v>
      </c>
      <c r="M1412">
        <v>-0.9998937</v>
      </c>
      <c r="N1412">
        <v>0</v>
      </c>
      <c r="O1412">
        <v>1.42649E-2</v>
      </c>
      <c r="P1412">
        <v>-0.99965360000000003</v>
      </c>
      <c r="Q1412">
        <v>2.6262049999999999E-2</v>
      </c>
      <c r="R1412">
        <v>1.8590829999999899E-3</v>
      </c>
      <c r="S1412">
        <v>-3.0039980000000002</v>
      </c>
      <c r="T1412">
        <v>-0.1266168</v>
      </c>
      <c r="U1412">
        <v>0.42468260000000002</v>
      </c>
      <c r="V1412">
        <v>-1.23824E-2</v>
      </c>
      <c r="W1412">
        <v>2.934923E-2</v>
      </c>
      <c r="X1412">
        <v>0.99949249999999901</v>
      </c>
      <c r="Y1412">
        <v>0.12574479999999999</v>
      </c>
      <c r="Z1412">
        <v>2.037914E-3</v>
      </c>
      <c r="AA1412">
        <v>0.99206050000000001</v>
      </c>
      <c r="AB1412">
        <v>43</v>
      </c>
      <c r="AC1412">
        <v>-25.908000000000001</v>
      </c>
      <c r="AD1412">
        <v>-1.1027825441020001</v>
      </c>
      <c r="AE1412">
        <v>3.6951999999999998</v>
      </c>
      <c r="AF1412">
        <v>3.3193531773611902</v>
      </c>
      <c r="AG1412">
        <v>-1.1027825441020001</v>
      </c>
      <c r="AH1412">
        <v>25.912064100119501</v>
      </c>
      <c r="AI1412">
        <v>92.417231893755897</v>
      </c>
      <c r="AJ1412">
        <v>82.700127895112303</v>
      </c>
      <c r="AK1412">
        <v>26.147070596614402</v>
      </c>
    </row>
    <row r="1413" spans="1:37" x14ac:dyDescent="0.2">
      <c r="A1413" t="str">
        <f>"20200111153428437"</f>
        <v>20200111153428437</v>
      </c>
      <c r="B1413" t="str">
        <f>"1578728068427847"</f>
        <v>1578728068427847</v>
      </c>
      <c r="C1413" t="s">
        <v>37</v>
      </c>
      <c r="D1413">
        <v>4.7398829999999998</v>
      </c>
      <c r="E1413">
        <v>0.55296069999999997</v>
      </c>
      <c r="F1413" t="s">
        <v>56</v>
      </c>
      <c r="G1413">
        <v>-281.74590000000001</v>
      </c>
      <c r="H1413" s="1">
        <v>7.0425989999999999E-6</v>
      </c>
      <c r="I1413">
        <v>287.44940000000003</v>
      </c>
      <c r="J1413">
        <v>-257.39249999999998</v>
      </c>
      <c r="K1413">
        <v>1.1028209999999901</v>
      </c>
      <c r="L1413">
        <v>283.96980000000002</v>
      </c>
      <c r="M1413">
        <v>-0.99989329999999998</v>
      </c>
      <c r="N1413">
        <v>0</v>
      </c>
      <c r="O1413">
        <v>1.4287630000000001E-2</v>
      </c>
      <c r="P1413">
        <v>-0.99971889999999997</v>
      </c>
      <c r="Q1413">
        <v>2.356051E-2</v>
      </c>
      <c r="R1413">
        <v>2.6824000000000001E-3</v>
      </c>
      <c r="S1413">
        <v>-3.003784</v>
      </c>
      <c r="T1413">
        <v>-0.13420090000000001</v>
      </c>
      <c r="U1413">
        <v>0.42401119999999998</v>
      </c>
      <c r="V1413">
        <v>-1.158783E-2</v>
      </c>
      <c r="W1413">
        <v>2.6660920000000001E-2</v>
      </c>
      <c r="X1413">
        <v>0.9995773</v>
      </c>
      <c r="Y1413">
        <v>0.1255029</v>
      </c>
      <c r="Z1413">
        <v>2.1536670000000002E-3</v>
      </c>
      <c r="AA1413">
        <v>0.9920909</v>
      </c>
      <c r="AB1413">
        <v>43</v>
      </c>
      <c r="AC1413">
        <v>-24.353400000000001</v>
      </c>
      <c r="AD1413">
        <v>-1.1028139574009901</v>
      </c>
      <c r="AE1413">
        <v>3.4796</v>
      </c>
      <c r="AF1413">
        <v>3.12501083601388</v>
      </c>
      <c r="AG1413">
        <v>-1.1028139574009901</v>
      </c>
      <c r="AH1413">
        <v>24.351692556177198</v>
      </c>
      <c r="AI1413">
        <v>92.571917379562507</v>
      </c>
      <c r="AJ1413">
        <v>82.687298563473703</v>
      </c>
      <c r="AK1413">
        <v>24.576143344723899</v>
      </c>
    </row>
    <row r="1414" spans="1:37" x14ac:dyDescent="0.2">
      <c r="A1414" t="str">
        <f>"20200111153428452"</f>
        <v>20200111153428452</v>
      </c>
      <c r="B1414" t="str">
        <f>"1578728068447364"</f>
        <v>1578728068447364</v>
      </c>
      <c r="C1414" t="s">
        <v>37</v>
      </c>
      <c r="D1414">
        <v>4.8132299999999999</v>
      </c>
      <c r="E1414">
        <v>0.55301559999999905</v>
      </c>
      <c r="F1414" t="s">
        <v>56</v>
      </c>
      <c r="G1414">
        <v>-280.28100000000001</v>
      </c>
      <c r="H1414" s="1">
        <v>7.7392509999999999E-6</v>
      </c>
      <c r="I1414">
        <v>287.22199999999998</v>
      </c>
      <c r="J1414">
        <v>-257.6524</v>
      </c>
      <c r="K1414">
        <v>1.1028519999999999</v>
      </c>
      <c r="L1414">
        <v>283.97359999999998</v>
      </c>
      <c r="M1414">
        <v>-0.99989340000000004</v>
      </c>
      <c r="N1414">
        <v>0</v>
      </c>
      <c r="O1414">
        <v>1.427612E-2</v>
      </c>
      <c r="P1414">
        <v>-0.99973239999999997</v>
      </c>
      <c r="Q1414">
        <v>2.296668E-2</v>
      </c>
      <c r="R1414">
        <v>2.8620339999999998E-3</v>
      </c>
      <c r="S1414">
        <v>-3.0031129999999999</v>
      </c>
      <c r="T1414">
        <v>-0.14469579999999899</v>
      </c>
      <c r="U1414">
        <v>0.42669679999999999</v>
      </c>
      <c r="V1414">
        <v>-1.139926E-2</v>
      </c>
      <c r="W1414">
        <v>2.607843E-2</v>
      </c>
      <c r="X1414">
        <v>0.99959489999999995</v>
      </c>
      <c r="Y1414">
        <v>0.12639600000000001</v>
      </c>
      <c r="Z1414">
        <v>2.3442200000000002E-3</v>
      </c>
      <c r="AA1414">
        <v>0.99197709999999995</v>
      </c>
      <c r="AB1414">
        <v>43</v>
      </c>
      <c r="AC1414">
        <v>-22.628599999999999</v>
      </c>
      <c r="AD1414">
        <v>-1.1028442607490001</v>
      </c>
      <c r="AE1414">
        <v>3.2484000000000002</v>
      </c>
      <c r="AF1414">
        <v>2.9182272113126499</v>
      </c>
      <c r="AG1414">
        <v>-1.1028442607490001</v>
      </c>
      <c r="AH1414">
        <v>22.620024870519298</v>
      </c>
      <c r="AI1414">
        <v>92.768351276015906</v>
      </c>
      <c r="AJ1414">
        <v>82.648830696178095</v>
      </c>
      <c r="AK1414">
        <v>22.834137615929901</v>
      </c>
    </row>
    <row r="1415" spans="1:37" x14ac:dyDescent="0.2">
      <c r="A1415" t="str">
        <f>"20200111153428466"</f>
        <v>20200111153428466</v>
      </c>
      <c r="B1415" t="str">
        <f>"1578728068458101"</f>
        <v>1578728068458101</v>
      </c>
      <c r="C1415" t="s">
        <v>37</v>
      </c>
      <c r="D1415">
        <v>4.8021719999999997</v>
      </c>
      <c r="E1415">
        <v>0.55294469999999996</v>
      </c>
      <c r="F1415" t="s">
        <v>56</v>
      </c>
      <c r="G1415">
        <v>-280.43770000000001</v>
      </c>
      <c r="H1415" s="1">
        <v>7.6702039999999906E-6</v>
      </c>
      <c r="I1415">
        <v>287.21980000000002</v>
      </c>
      <c r="J1415">
        <v>-257.94990000000001</v>
      </c>
      <c r="K1415">
        <v>1.102886</v>
      </c>
      <c r="L1415">
        <v>283.9778</v>
      </c>
      <c r="M1415">
        <v>-0.9998937</v>
      </c>
      <c r="N1415">
        <v>0</v>
      </c>
      <c r="O1415">
        <v>1.424451E-2</v>
      </c>
      <c r="P1415">
        <v>-0.99974079999999999</v>
      </c>
      <c r="Q1415">
        <v>2.257437E-2</v>
      </c>
      <c r="R1415">
        <v>2.9689600000000001E-3</v>
      </c>
      <c r="S1415">
        <v>-3.0029599999999999</v>
      </c>
      <c r="T1415">
        <v>-0.14534820000000001</v>
      </c>
      <c r="U1415">
        <v>0.42782589999999998</v>
      </c>
      <c r="V1415">
        <v>-1.1263530000000001E-2</v>
      </c>
      <c r="W1415">
        <v>2.5698519999999999E-2</v>
      </c>
      <c r="X1415">
        <v>0.99960629999999995</v>
      </c>
      <c r="Y1415">
        <v>0.1267983</v>
      </c>
      <c r="Z1415">
        <v>2.3660360000000002E-3</v>
      </c>
      <c r="AA1415">
        <v>0.99192569999999902</v>
      </c>
      <c r="AB1415">
        <v>43</v>
      </c>
      <c r="AC1415">
        <v>-22.4878</v>
      </c>
      <c r="AD1415">
        <v>-1.1028783297960001</v>
      </c>
      <c r="AE1415">
        <v>3.2420000000000102</v>
      </c>
      <c r="AF1415">
        <v>2.91447450141969</v>
      </c>
      <c r="AG1415">
        <v>-1.1028783297960001</v>
      </c>
      <c r="AH1415">
        <v>22.478733086911301</v>
      </c>
      <c r="AI1415">
        <v>92.785582723575104</v>
      </c>
      <c r="AJ1415">
        <v>82.612541391307502</v>
      </c>
      <c r="AK1415">
        <v>22.6936983196296</v>
      </c>
    </row>
    <row r="1416" spans="1:37" x14ac:dyDescent="0.2">
      <c r="A1416" t="str">
        <f>"20200111153428484"</f>
        <v>20200111153428484</v>
      </c>
      <c r="B1416" t="str">
        <f>"1578728068477623"</f>
        <v>1578728068477623</v>
      </c>
      <c r="C1416" t="s">
        <v>37</v>
      </c>
      <c r="D1416">
        <v>4.8449349999999898</v>
      </c>
      <c r="E1416">
        <v>0.55293110000000001</v>
      </c>
      <c r="F1416" t="s">
        <v>56</v>
      </c>
      <c r="G1416">
        <v>-280.54329999999999</v>
      </c>
      <c r="H1416" s="1">
        <v>7.6286019999999997E-6</v>
      </c>
      <c r="I1416">
        <v>287.19450000000001</v>
      </c>
      <c r="J1416">
        <v>-258.26929999999999</v>
      </c>
      <c r="K1416">
        <v>1.1029370000000001</v>
      </c>
      <c r="L1416">
        <v>283.98230000000001</v>
      </c>
      <c r="M1416">
        <v>-0.99989450000000002</v>
      </c>
      <c r="N1416">
        <v>0</v>
      </c>
      <c r="O1416">
        <v>1.418732E-2</v>
      </c>
      <c r="P1416">
        <v>-0.99968709999999905</v>
      </c>
      <c r="Q1416">
        <v>2.4809330000000001E-2</v>
      </c>
      <c r="R1416">
        <v>3.2214929999999902E-3</v>
      </c>
      <c r="S1416">
        <v>-3.0028079999999999</v>
      </c>
      <c r="T1416">
        <v>-0.1465796</v>
      </c>
      <c r="U1416">
        <v>0.42752079999999998</v>
      </c>
      <c r="V1416">
        <v>-1.0954469999999999E-2</v>
      </c>
      <c r="W1416">
        <v>2.7946950000000002E-2</v>
      </c>
      <c r="X1416">
        <v>0.99954940000000003</v>
      </c>
      <c r="Y1416">
        <v>0.12676099999999901</v>
      </c>
      <c r="Z1416">
        <v>2.388065E-3</v>
      </c>
      <c r="AA1416">
        <v>0.99193039999999999</v>
      </c>
      <c r="AB1416">
        <v>43</v>
      </c>
      <c r="AC1416">
        <v>-22.274000000000001</v>
      </c>
      <c r="AD1416">
        <v>-1.102929371398</v>
      </c>
      <c r="AE1416">
        <v>3.21219999999999</v>
      </c>
      <c r="AF1416">
        <v>2.8889278173078501</v>
      </c>
      <c r="AG1416">
        <v>-1.102929371398</v>
      </c>
      <c r="AH1416">
        <v>22.263854832653699</v>
      </c>
      <c r="AI1416">
        <v>92.812517382411102</v>
      </c>
      <c r="AJ1416">
        <v>82.606686633964998</v>
      </c>
      <c r="AK1416">
        <v>22.4775796993668</v>
      </c>
    </row>
    <row r="1417" spans="1:37" x14ac:dyDescent="0.2">
      <c r="A1417" t="str">
        <f>"20200111153428500"</f>
        <v>20200111153428500</v>
      </c>
      <c r="B1417" t="str">
        <f>"1578728068487380"</f>
        <v>1578728068487380</v>
      </c>
      <c r="C1417" t="s">
        <v>37</v>
      </c>
      <c r="D1417">
        <v>4.833367</v>
      </c>
      <c r="E1417">
        <v>0.56995340000000005</v>
      </c>
      <c r="F1417" t="s">
        <v>56</v>
      </c>
      <c r="G1417">
        <v>-281.93259999999998</v>
      </c>
      <c r="H1417" s="1">
        <v>6.9793570000000003E-6</v>
      </c>
      <c r="I1417">
        <v>287.35489999999999</v>
      </c>
      <c r="J1417">
        <v>-258.56470000000002</v>
      </c>
      <c r="K1417">
        <v>1.1029739999999999</v>
      </c>
      <c r="L1417">
        <v>283.98649999999998</v>
      </c>
      <c r="M1417">
        <v>-0.99989539999999999</v>
      </c>
      <c r="N1417">
        <v>0</v>
      </c>
      <c r="O1417">
        <v>1.4117019999999999E-2</v>
      </c>
      <c r="P1417">
        <v>-0.99965000000000004</v>
      </c>
      <c r="Q1417">
        <v>2.6262810000000001E-2</v>
      </c>
      <c r="R1417">
        <v>3.1774239999999999E-3</v>
      </c>
      <c r="S1417">
        <v>-3.0029910000000002</v>
      </c>
      <c r="T1417">
        <v>-0.139967799999999</v>
      </c>
      <c r="U1417">
        <v>0.42800899999999997</v>
      </c>
      <c r="V1417">
        <v>-1.0930179999999999E-2</v>
      </c>
      <c r="W1417">
        <v>2.94130999999999E-2</v>
      </c>
      <c r="X1417">
        <v>0.99950759999999905</v>
      </c>
      <c r="Y1417">
        <v>0.12699169999999901</v>
      </c>
      <c r="Z1417">
        <v>2.2889029999999901E-3</v>
      </c>
      <c r="AA1417">
        <v>0.99190119999999904</v>
      </c>
      <c r="AB1417">
        <v>43</v>
      </c>
      <c r="AC1417">
        <v>-23.367899999999899</v>
      </c>
      <c r="AD1417">
        <v>-1.102967020643</v>
      </c>
      <c r="AE1417">
        <v>3.3683999999999998</v>
      </c>
      <c r="AF1417">
        <v>3.0315612079029099</v>
      </c>
      <c r="AG1417">
        <v>-1.102967020643</v>
      </c>
      <c r="AH1417">
        <v>23.362135503234601</v>
      </c>
      <c r="AI1417">
        <v>92.680584897846103</v>
      </c>
      <c r="AJ1417">
        <v>82.606392455211406</v>
      </c>
      <c r="AK1417">
        <v>23.583813832316899</v>
      </c>
    </row>
    <row r="1418" spans="1:37" x14ac:dyDescent="0.2">
      <c r="A1418" t="str">
        <f>"20200111153428516"</f>
        <v>20200111153428516</v>
      </c>
      <c r="B1418" t="str">
        <f>"1578728068507876"</f>
        <v>1578728068507876</v>
      </c>
      <c r="C1418" t="s">
        <v>37</v>
      </c>
      <c r="D1418">
        <v>4.7636560000000001</v>
      </c>
      <c r="E1418">
        <v>0.57036149999999997</v>
      </c>
      <c r="F1418" t="s">
        <v>56</v>
      </c>
      <c r="G1418">
        <v>-284.5745</v>
      </c>
      <c r="H1418" s="1">
        <v>5.4948829999999999E-6</v>
      </c>
      <c r="I1418">
        <v>288.8691</v>
      </c>
      <c r="J1418">
        <v>-258.92149999999998</v>
      </c>
      <c r="K1418">
        <v>1.1030139999999999</v>
      </c>
      <c r="L1418">
        <v>283.9914</v>
      </c>
      <c r="M1418">
        <v>-0.99989689999999998</v>
      </c>
      <c r="N1418">
        <v>0</v>
      </c>
      <c r="O1418">
        <v>1.4009580000000001E-2</v>
      </c>
      <c r="P1418">
        <v>-0.99959379999999998</v>
      </c>
      <c r="Q1418">
        <v>2.831258E-2</v>
      </c>
      <c r="R1418">
        <v>3.251304E-3</v>
      </c>
      <c r="S1418">
        <v>-3.00259399999999</v>
      </c>
      <c r="T1418">
        <v>-0.12732760000000001</v>
      </c>
      <c r="U1418">
        <v>0.56365969999999999</v>
      </c>
      <c r="V1418">
        <v>-1.07502999999999E-2</v>
      </c>
      <c r="W1418">
        <v>3.1478279999999997E-2</v>
      </c>
      <c r="X1418">
        <v>0.99944659999999996</v>
      </c>
      <c r="Y1418">
        <v>0.17057839999999999</v>
      </c>
      <c r="Z1418">
        <v>2.9953950000000001E-3</v>
      </c>
      <c r="AA1418">
        <v>0.98533959999999998</v>
      </c>
      <c r="AB1418">
        <v>43</v>
      </c>
      <c r="AC1418">
        <v>-25.652999999999999</v>
      </c>
      <c r="AD1418">
        <v>-1.103008505117</v>
      </c>
      <c r="AE1418">
        <v>4.8776999999999999</v>
      </c>
      <c r="AF1418">
        <v>4.5097851527644703</v>
      </c>
      <c r="AG1418">
        <v>-1.103008505117</v>
      </c>
      <c r="AH1418">
        <v>25.673010059382399</v>
      </c>
      <c r="AI1418">
        <v>92.423072480018405</v>
      </c>
      <c r="AJ1418">
        <v>80.036928071588505</v>
      </c>
      <c r="AK1418">
        <v>26.0894276555773</v>
      </c>
    </row>
    <row r="1419" spans="1:37" x14ac:dyDescent="0.2">
      <c r="A1419" t="str">
        <f>"20200111153428540"</f>
        <v>20200111153428540</v>
      </c>
      <c r="B1419" t="str">
        <f>"1578728068528017"</f>
        <v>1578728068528017</v>
      </c>
      <c r="C1419" t="s">
        <v>37</v>
      </c>
      <c r="D1419">
        <v>4.7586339999999998</v>
      </c>
      <c r="E1419">
        <v>0.57022349999999999</v>
      </c>
      <c r="F1419" t="s">
        <v>56</v>
      </c>
      <c r="G1419">
        <v>-285.18900000000002</v>
      </c>
      <c r="H1419" s="1">
        <v>5.2052760000000001E-6</v>
      </c>
      <c r="I1419">
        <v>288.952</v>
      </c>
      <c r="J1419">
        <v>-259.35539999999997</v>
      </c>
      <c r="K1419">
        <v>1.1030439999999999</v>
      </c>
      <c r="L1419">
        <v>283.99740000000003</v>
      </c>
      <c r="M1419">
        <v>-0.99989889999999904</v>
      </c>
      <c r="N1419">
        <v>0</v>
      </c>
      <c r="O1419">
        <v>1.3858229999999999E-2</v>
      </c>
      <c r="P1419">
        <v>-0.99961219999999995</v>
      </c>
      <c r="Q1419">
        <v>2.765714E-2</v>
      </c>
      <c r="R1419">
        <v>3.269793E-3</v>
      </c>
      <c r="S1419">
        <v>-3.0029910000000002</v>
      </c>
      <c r="T1419">
        <v>-0.12609980000000001</v>
      </c>
      <c r="U1419">
        <v>0.56710819999999995</v>
      </c>
      <c r="V1419">
        <v>-1.058371E-2</v>
      </c>
      <c r="W1419">
        <v>3.084201E-2</v>
      </c>
      <c r="X1419">
        <v>0.99946819999999903</v>
      </c>
      <c r="Y1419">
        <v>0.17179810000000001</v>
      </c>
      <c r="Z1419">
        <v>2.9975029999999999E-3</v>
      </c>
      <c r="AA1419">
        <v>0.98512759999999999</v>
      </c>
      <c r="AB1419">
        <v>43</v>
      </c>
      <c r="AC1419">
        <v>-25.833600000000001</v>
      </c>
      <c r="AD1419">
        <v>-1.1030387947239999</v>
      </c>
      <c r="AE1419">
        <v>4.9545999999999699</v>
      </c>
      <c r="AF1419">
        <v>4.5880466842388996</v>
      </c>
      <c r="AG1419">
        <v>-1.1030387947239999</v>
      </c>
      <c r="AH1419">
        <v>25.854318632694799</v>
      </c>
      <c r="AI1419">
        <v>92.405427636208799</v>
      </c>
      <c r="AJ1419">
        <v>79.937182903364601</v>
      </c>
      <c r="AK1419">
        <v>26.281412802974099</v>
      </c>
    </row>
    <row r="1420" spans="1:37" x14ac:dyDescent="0.2">
      <c r="A1420" t="str">
        <f>"20200111153428554"</f>
        <v>20200111153428554</v>
      </c>
      <c r="B1420" t="str">
        <f>"1578728068547533"</f>
        <v>1578728068547533</v>
      </c>
      <c r="C1420" t="s">
        <v>37</v>
      </c>
      <c r="D1420">
        <v>4.7711870000000003</v>
      </c>
      <c r="E1420">
        <v>0.57046209999999997</v>
      </c>
      <c r="F1420" t="s">
        <v>56</v>
      </c>
      <c r="G1420">
        <v>-285.11410000000001</v>
      </c>
      <c r="H1420" s="1">
        <v>5.2590979999999997E-6</v>
      </c>
      <c r="I1420">
        <v>288.85219999999998</v>
      </c>
      <c r="J1420">
        <v>-259.64690000000002</v>
      </c>
      <c r="K1420">
        <v>1.1030580000000001</v>
      </c>
      <c r="L1420">
        <v>284.00139999999999</v>
      </c>
      <c r="M1420">
        <v>-0.99990049999999997</v>
      </c>
      <c r="N1420">
        <v>0</v>
      </c>
      <c r="O1420">
        <v>1.374474E-2</v>
      </c>
      <c r="P1420">
        <v>-0.99963639999999998</v>
      </c>
      <c r="Q1420">
        <v>2.6788010000000001E-2</v>
      </c>
      <c r="R1420">
        <v>3.1428200000000002E-3</v>
      </c>
      <c r="S1420">
        <v>-3.0028380000000001</v>
      </c>
      <c r="T1420">
        <v>-0.1285877</v>
      </c>
      <c r="U1420">
        <v>0.56594849999999997</v>
      </c>
      <c r="V1420">
        <v>-1.0599239999999999E-2</v>
      </c>
      <c r="W1420">
        <v>2.998601E-2</v>
      </c>
      <c r="X1420">
        <v>0.99949409999999905</v>
      </c>
      <c r="Y1420">
        <v>0.17154639999999999</v>
      </c>
      <c r="Z1420">
        <v>3.0563249999999999E-3</v>
      </c>
      <c r="AA1420">
        <v>0.98517129999999997</v>
      </c>
      <c r="AB1420">
        <v>44</v>
      </c>
      <c r="AC1420">
        <v>-25.467199999999899</v>
      </c>
      <c r="AD1420">
        <v>-1.1030527409019999</v>
      </c>
      <c r="AE1420">
        <v>4.8507999999999898</v>
      </c>
      <c r="AF1420">
        <v>4.49216774710563</v>
      </c>
      <c r="AG1420">
        <v>-1.1030527409019999</v>
      </c>
      <c r="AH1420">
        <v>25.485331207435401</v>
      </c>
      <c r="AI1420">
        <v>92.440742086095597</v>
      </c>
      <c r="AJ1420">
        <v>80.003453253384194</v>
      </c>
      <c r="AK1420">
        <v>25.901706568680499</v>
      </c>
    </row>
    <row r="1421" spans="1:37" x14ac:dyDescent="0.2">
      <c r="A1421" t="str">
        <f>"20200111153428566"</f>
        <v>20200111153428566</v>
      </c>
      <c r="B1421" t="str">
        <f>"1578728068557293"</f>
        <v>1578728068557293</v>
      </c>
      <c r="C1421" t="s">
        <v>37</v>
      </c>
      <c r="D1421">
        <v>4.8012309999999996</v>
      </c>
      <c r="E1421">
        <v>0.5702526</v>
      </c>
      <c r="F1421" t="s">
        <v>56</v>
      </c>
      <c r="G1421">
        <v>-285.26089999999999</v>
      </c>
      <c r="H1421" s="1">
        <v>5.1960989999999999E-6</v>
      </c>
      <c r="I1421">
        <v>288.84199999999998</v>
      </c>
      <c r="J1421">
        <v>-259.87689999999998</v>
      </c>
      <c r="K1421">
        <v>1.1030659999999901</v>
      </c>
      <c r="L1421">
        <v>284.00459999999998</v>
      </c>
      <c r="M1421">
        <v>-0.99990159999999995</v>
      </c>
      <c r="N1421">
        <v>0</v>
      </c>
      <c r="O1421">
        <v>1.365125E-2</v>
      </c>
      <c r="P1421">
        <v>-0.99966599999999906</v>
      </c>
      <c r="Q1421">
        <v>2.5676499999999901E-2</v>
      </c>
      <c r="R1421">
        <v>2.8810820000000001E-3</v>
      </c>
      <c r="S1421">
        <v>-3.002777</v>
      </c>
      <c r="T1421">
        <v>-0.12931309999999999</v>
      </c>
      <c r="U1421">
        <v>0.56747440000000005</v>
      </c>
      <c r="V1421">
        <v>-1.0769259999999999E-2</v>
      </c>
      <c r="W1421">
        <v>2.8884509999999999E-2</v>
      </c>
      <c r="X1421">
        <v>0.99952469999999904</v>
      </c>
      <c r="Y1421">
        <v>0.17212330000000001</v>
      </c>
      <c r="Z1421">
        <v>3.0897629999999902E-3</v>
      </c>
      <c r="AA1421">
        <v>0.98507060000000002</v>
      </c>
      <c r="AB1421">
        <v>44</v>
      </c>
      <c r="AC1421">
        <v>-25.384</v>
      </c>
      <c r="AD1421">
        <v>-1.1030608039009999</v>
      </c>
      <c r="AE1421">
        <v>4.8373999999999997</v>
      </c>
      <c r="AF1421">
        <v>4.4822567093263297</v>
      </c>
      <c r="AG1421">
        <v>-1.1030608039009999</v>
      </c>
      <c r="AH1421">
        <v>25.401386152228</v>
      </c>
      <c r="AI1421">
        <v>92.448735727997203</v>
      </c>
      <c r="AJ1421">
        <v>79.992765800796505</v>
      </c>
      <c r="AK1421">
        <v>25.8173931061988</v>
      </c>
    </row>
    <row r="1422" spans="1:37" x14ac:dyDescent="0.2">
      <c r="A1422" t="str">
        <f>"20200111153428583"</f>
        <v>20200111153428583</v>
      </c>
      <c r="B1422" t="str">
        <f>"1578728068577789"</f>
        <v>1578728068577789</v>
      </c>
      <c r="C1422" t="s">
        <v>37</v>
      </c>
      <c r="D1422">
        <v>4.7536909999999999</v>
      </c>
      <c r="E1422">
        <v>0.57024189999999997</v>
      </c>
      <c r="F1422" t="s">
        <v>56</v>
      </c>
      <c r="G1422">
        <v>-284.71350000000001</v>
      </c>
      <c r="H1422" s="1">
        <v>5.4724289999999996E-6</v>
      </c>
      <c r="I1422">
        <v>288.67959999999999</v>
      </c>
      <c r="J1422">
        <v>-260.2199</v>
      </c>
      <c r="K1422">
        <v>1.103078</v>
      </c>
      <c r="L1422">
        <v>284.00920000000002</v>
      </c>
      <c r="M1422">
        <v>-0.9999036</v>
      </c>
      <c r="N1422">
        <v>0</v>
      </c>
      <c r="O1422">
        <v>1.35061E-2</v>
      </c>
      <c r="P1422">
        <v>-0.99972459999999996</v>
      </c>
      <c r="Q1422">
        <v>2.336508E-2</v>
      </c>
      <c r="R1422">
        <v>2.2099899999999998E-3</v>
      </c>
      <c r="S1422">
        <v>-3.002777</v>
      </c>
      <c r="T1422">
        <v>-0.1333618</v>
      </c>
      <c r="U1422">
        <v>0.5652161</v>
      </c>
      <c r="V1422">
        <v>-1.129758E-2</v>
      </c>
      <c r="W1422">
        <v>2.659038E-2</v>
      </c>
      <c r="X1422">
        <v>0.99958259999999899</v>
      </c>
      <c r="Y1422">
        <v>0.17154229999999901</v>
      </c>
      <c r="Z1422">
        <v>3.18023E-3</v>
      </c>
      <c r="AA1422">
        <v>0.98517160000000004</v>
      </c>
      <c r="AB1422">
        <v>44</v>
      </c>
      <c r="AC1422">
        <v>-24.493600000000001</v>
      </c>
      <c r="AD1422">
        <v>-1.103072527571</v>
      </c>
      <c r="AE1422">
        <v>4.6703999999999697</v>
      </c>
      <c r="AF1422">
        <v>4.3306840830905404</v>
      </c>
      <c r="AG1422">
        <v>-1.103072527571</v>
      </c>
      <c r="AH1422">
        <v>24.506485663632098</v>
      </c>
      <c r="AI1422">
        <v>92.537955715685101</v>
      </c>
      <c r="AJ1422">
        <v>79.978393529622906</v>
      </c>
      <c r="AK1422">
        <v>24.910628920411099</v>
      </c>
    </row>
    <row r="1423" spans="1:37" x14ac:dyDescent="0.2">
      <c r="A1423" t="str">
        <f>"20200111153428596"</f>
        <v>20200111153428596</v>
      </c>
      <c r="B1423" t="str">
        <f>"1578728068587550"</f>
        <v>1578728068587550</v>
      </c>
      <c r="C1423" t="s">
        <v>37</v>
      </c>
      <c r="D1423">
        <v>4.7235649999999998</v>
      </c>
      <c r="E1423">
        <v>0.57037230000000005</v>
      </c>
      <c r="F1423" t="s">
        <v>56</v>
      </c>
      <c r="G1423">
        <v>-283.6302</v>
      </c>
      <c r="H1423" s="1">
        <v>6.0105859999999997E-6</v>
      </c>
      <c r="I1423">
        <v>288.3999</v>
      </c>
      <c r="J1423">
        <v>-260.47829999999999</v>
      </c>
      <c r="K1423">
        <v>1.103089</v>
      </c>
      <c r="L1423">
        <v>284.0127</v>
      </c>
      <c r="M1423">
        <v>-0.99990499999999904</v>
      </c>
      <c r="N1423">
        <v>0</v>
      </c>
      <c r="O1423">
        <v>1.3392980000000001E-2</v>
      </c>
      <c r="P1423">
        <v>-0.99973619999999996</v>
      </c>
      <c r="Q1423">
        <v>2.2901810000000002E-2</v>
      </c>
      <c r="R1423">
        <v>1.681606E-3</v>
      </c>
      <c r="S1423">
        <v>-3.002869</v>
      </c>
      <c r="T1423">
        <v>-0.14149200000000001</v>
      </c>
      <c r="U1423">
        <v>0.56320190000000003</v>
      </c>
      <c r="V1423">
        <v>-1.17142999999999E-2</v>
      </c>
      <c r="W1423">
        <v>2.6142309999999998E-2</v>
      </c>
      <c r="X1423">
        <v>0.99958959999999997</v>
      </c>
      <c r="Y1423">
        <v>0.17099159999999999</v>
      </c>
      <c r="Z1423">
        <v>3.36643099999999E-3</v>
      </c>
      <c r="AA1423">
        <v>0.98526669999999905</v>
      </c>
      <c r="AB1423">
        <v>44</v>
      </c>
      <c r="AC1423">
        <v>-23.151900000000001</v>
      </c>
      <c r="AD1423">
        <v>-1.103082989414</v>
      </c>
      <c r="AE1423">
        <v>4.3872</v>
      </c>
      <c r="AF1423">
        <v>4.0678177143446401</v>
      </c>
      <c r="AG1423">
        <v>-1.103082989414</v>
      </c>
      <c r="AH1423">
        <v>23.1578334144831</v>
      </c>
      <c r="AI1423">
        <v>92.686060275285399</v>
      </c>
      <c r="AJ1423">
        <v>80.037276608952894</v>
      </c>
      <c r="AK1423">
        <v>23.5382493293707</v>
      </c>
    </row>
    <row r="1424" spans="1:37" x14ac:dyDescent="0.2">
      <c r="A1424" t="str">
        <f>"20200111153428609"</f>
        <v>20200111153428609</v>
      </c>
      <c r="B1424" t="str">
        <f>"1578728068597310"</f>
        <v>1578728068597310</v>
      </c>
      <c r="C1424" t="s">
        <v>37</v>
      </c>
      <c r="D1424">
        <v>4.7610519999999896</v>
      </c>
      <c r="E1424">
        <v>0.57023440000000003</v>
      </c>
      <c r="F1424" t="s">
        <v>56</v>
      </c>
      <c r="G1424">
        <v>-284.40499999999997</v>
      </c>
      <c r="H1424" s="1">
        <v>5.647105E-6</v>
      </c>
      <c r="I1424">
        <v>288.49630000000002</v>
      </c>
      <c r="J1424">
        <v>-260.71949999999998</v>
      </c>
      <c r="K1424">
        <v>1.1031029999999999</v>
      </c>
      <c r="L1424">
        <v>284.01580000000001</v>
      </c>
      <c r="M1424">
        <v>-0.99990659999999898</v>
      </c>
      <c r="N1424">
        <v>0</v>
      </c>
      <c r="O1424">
        <v>1.3285E-2</v>
      </c>
      <c r="P1424">
        <v>-0.99974810000000003</v>
      </c>
      <c r="Q1424">
        <v>2.2422270000000001E-2</v>
      </c>
      <c r="R1424">
        <v>1.24504E-3</v>
      </c>
      <c r="S1424">
        <v>-3.0030209999999999</v>
      </c>
      <c r="T1424">
        <v>-0.1384476</v>
      </c>
      <c r="U1424">
        <v>0.56274409999999997</v>
      </c>
      <c r="V1424">
        <v>-1.204333E-2</v>
      </c>
      <c r="W1424">
        <v>2.5678980000000001E-2</v>
      </c>
      <c r="X1424">
        <v>0.99959769999999903</v>
      </c>
      <c r="Y1424">
        <v>0.17095089999999999</v>
      </c>
      <c r="Z1424">
        <v>3.2979540000000001E-3</v>
      </c>
      <c r="AA1424">
        <v>0.98527399999999998</v>
      </c>
      <c r="AB1424">
        <v>44</v>
      </c>
      <c r="AC1424">
        <v>-23.685499999999902</v>
      </c>
      <c r="AD1424">
        <v>-1.1030973528950001</v>
      </c>
      <c r="AE1424">
        <v>4.4805000000000001</v>
      </c>
      <c r="AF1424">
        <v>4.1567365642865699</v>
      </c>
      <c r="AG1424">
        <v>-1.1030973528950001</v>
      </c>
      <c r="AH1424">
        <v>23.693317775026799</v>
      </c>
      <c r="AI1424">
        <v>92.625570536570095</v>
      </c>
      <c r="AJ1424">
        <v>80.0493401214936</v>
      </c>
      <c r="AK1424">
        <v>24.0804607477357</v>
      </c>
    </row>
    <row r="1425" spans="1:37" x14ac:dyDescent="0.2">
      <c r="A1425" t="str">
        <f>"20200111153428622"</f>
        <v>20200111153428622</v>
      </c>
      <c r="B1425" t="str">
        <f>"1578728068617806"</f>
        <v>1578728068617806</v>
      </c>
      <c r="C1425" t="s">
        <v>37</v>
      </c>
      <c r="D1425">
        <v>4.7660169999999997</v>
      </c>
      <c r="E1425">
        <v>0.57044300000000003</v>
      </c>
      <c r="F1425" t="s">
        <v>56</v>
      </c>
      <c r="G1425">
        <v>-284.11090000000002</v>
      </c>
      <c r="H1425" s="1">
        <v>5.8013849999999999E-6</v>
      </c>
      <c r="I1425">
        <v>288.38080000000002</v>
      </c>
      <c r="J1425">
        <v>-260.98070000000001</v>
      </c>
      <c r="K1425">
        <v>1.1031200000000001</v>
      </c>
      <c r="L1425">
        <v>284.01920000000001</v>
      </c>
      <c r="M1425">
        <v>-0.99990789999999996</v>
      </c>
      <c r="N1425">
        <v>0</v>
      </c>
      <c r="O1425">
        <v>1.3167359999999999E-2</v>
      </c>
      <c r="P1425">
        <v>-0.99974599999999902</v>
      </c>
      <c r="Q1425">
        <v>2.2526850000000001E-2</v>
      </c>
      <c r="R1425">
        <v>7.6262439999999997E-4</v>
      </c>
      <c r="S1425">
        <v>-3.0032349999999899</v>
      </c>
      <c r="T1425">
        <v>-0.14162729999999901</v>
      </c>
      <c r="U1425">
        <v>0.56042479999999995</v>
      </c>
      <c r="V1425">
        <v>-1.240935E-2</v>
      </c>
      <c r="W1425">
        <v>2.5803389999999999E-2</v>
      </c>
      <c r="X1425">
        <v>0.99958999999999998</v>
      </c>
      <c r="Y1425">
        <v>0.17031189999999999</v>
      </c>
      <c r="Z1425">
        <v>3.3641809999999999E-3</v>
      </c>
      <c r="AA1425">
        <v>0.985384499999999</v>
      </c>
      <c r="AB1425">
        <v>44</v>
      </c>
      <c r="AC1425">
        <v>-23.130199999999999</v>
      </c>
      <c r="AD1425">
        <v>-1.1031141986149999</v>
      </c>
      <c r="AE1425">
        <v>4.3616000000000099</v>
      </c>
      <c r="AF1425">
        <v>4.0477661159366001</v>
      </c>
      <c r="AG1425">
        <v>-1.1031141986149999</v>
      </c>
      <c r="AH1425">
        <v>23.1348129203231</v>
      </c>
      <c r="AI1425">
        <v>92.689121094274697</v>
      </c>
      <c r="AJ1425">
        <v>80.075739742149807</v>
      </c>
      <c r="AK1425">
        <v>23.5121424018072</v>
      </c>
    </row>
    <row r="1426" spans="1:37" x14ac:dyDescent="0.2">
      <c r="A1426" t="str">
        <f>"20200111153428639"</f>
        <v>20200111153428639</v>
      </c>
      <c r="B1426" t="str">
        <f>"1578728068627565"</f>
        <v>1578728068627565</v>
      </c>
      <c r="C1426" t="s">
        <v>37</v>
      </c>
      <c r="D1426">
        <v>4.7385970000000004</v>
      </c>
      <c r="E1426">
        <v>0.57063219999999903</v>
      </c>
      <c r="F1426" t="s">
        <v>56</v>
      </c>
      <c r="G1426">
        <v>-284.70389999999998</v>
      </c>
      <c r="H1426" s="1">
        <v>5.5246529999999903E-6</v>
      </c>
      <c r="I1426">
        <v>288.44720000000001</v>
      </c>
      <c r="J1426">
        <v>-261.3143</v>
      </c>
      <c r="K1426">
        <v>1.1031500000000001</v>
      </c>
      <c r="L1426">
        <v>284.02359999999999</v>
      </c>
      <c r="M1426">
        <v>-0.99990979999999996</v>
      </c>
      <c r="N1426">
        <v>0</v>
      </c>
      <c r="O1426">
        <v>1.301363E-2</v>
      </c>
      <c r="P1426">
        <v>-0.99973349999999905</v>
      </c>
      <c r="Q1426">
        <v>2.309261E-2</v>
      </c>
      <c r="R1426" s="1">
        <v>-6.0257209999999997E-5</v>
      </c>
      <c r="S1426">
        <v>-3.003479</v>
      </c>
      <c r="T1426">
        <v>-0.13965929999999999</v>
      </c>
      <c r="U1426">
        <v>0.56060790000000005</v>
      </c>
      <c r="V1426">
        <v>-1.307931E-2</v>
      </c>
      <c r="W1426">
        <v>2.6396849999999999E-2</v>
      </c>
      <c r="X1426">
        <v>0.99956599999999995</v>
      </c>
      <c r="Y1426">
        <v>0.17051129999999901</v>
      </c>
      <c r="Z1426">
        <v>3.328873E-3</v>
      </c>
      <c r="AA1426">
        <v>0.98535010000000001</v>
      </c>
      <c r="AB1426">
        <v>44</v>
      </c>
      <c r="AC1426">
        <v>-23.389599999999898</v>
      </c>
      <c r="AD1426">
        <v>-1.1031444753470001</v>
      </c>
      <c r="AE1426">
        <v>4.42360000000002</v>
      </c>
      <c r="AF1426">
        <v>4.1100133974283297</v>
      </c>
      <c r="AG1426">
        <v>-1.1031444753470001</v>
      </c>
      <c r="AH1426">
        <v>23.394943419673101</v>
      </c>
      <c r="AI1426">
        <v>92.659013499285905</v>
      </c>
      <c r="AJ1426">
        <v>80.035979843501593</v>
      </c>
      <c r="AK1426">
        <v>23.778824938802899</v>
      </c>
    </row>
    <row r="1427" spans="1:37" x14ac:dyDescent="0.2">
      <c r="A1427" t="str">
        <f>"20200111153428652"</f>
        <v>20200111153428652</v>
      </c>
      <c r="B1427" t="str">
        <f>"1578728068648061"</f>
        <v>1578728068648061</v>
      </c>
      <c r="C1427" t="s">
        <v>37</v>
      </c>
      <c r="D1427">
        <v>4.7471959999999997</v>
      </c>
      <c r="E1427">
        <v>0.57090959999999902</v>
      </c>
      <c r="F1427" t="s">
        <v>56</v>
      </c>
      <c r="G1427">
        <v>-285.3338</v>
      </c>
      <c r="H1427" s="1">
        <v>5.2350010000000001E-6</v>
      </c>
      <c r="I1427">
        <v>288.4973</v>
      </c>
      <c r="J1427">
        <v>-261.5856</v>
      </c>
      <c r="K1427">
        <v>1.1031660000000001</v>
      </c>
      <c r="L1427">
        <v>284.02699999999999</v>
      </c>
      <c r="M1427">
        <v>-0.99991140000000001</v>
      </c>
      <c r="N1427">
        <v>0</v>
      </c>
      <c r="O1427">
        <v>1.2887279999999999E-2</v>
      </c>
      <c r="P1427">
        <v>-0.99972050000000001</v>
      </c>
      <c r="Q1427">
        <v>2.3644720000000001E-2</v>
      </c>
      <c r="R1427">
        <v>-3.8589549999999999E-4</v>
      </c>
      <c r="S1427">
        <v>-3.0039980000000002</v>
      </c>
      <c r="T1427">
        <v>-0.13796449999999999</v>
      </c>
      <c r="U1427">
        <v>0.55950929999999999</v>
      </c>
      <c r="V1427">
        <v>-1.327976E-2</v>
      </c>
      <c r="W1427">
        <v>2.6975519999999999E-2</v>
      </c>
      <c r="X1427">
        <v>0.99954789999999905</v>
      </c>
      <c r="Y1427">
        <v>0.170261</v>
      </c>
      <c r="Z1427">
        <v>3.2881209999999902E-3</v>
      </c>
      <c r="AA1427">
        <v>0.98539349999999903</v>
      </c>
      <c r="AB1427">
        <v>44</v>
      </c>
      <c r="AC1427">
        <v>-23.748200000000001</v>
      </c>
      <c r="AD1427">
        <v>-1.1031607649990001</v>
      </c>
      <c r="AE1427">
        <v>4.4702999999999999</v>
      </c>
      <c r="AF1427">
        <v>4.1552179575275403</v>
      </c>
      <c r="AG1427">
        <v>-1.1031607649990001</v>
      </c>
      <c r="AH1427">
        <v>23.754334531106</v>
      </c>
      <c r="AI1427">
        <v>92.619214828253007</v>
      </c>
      <c r="AJ1427">
        <v>80.077945126959804</v>
      </c>
      <c r="AK1427">
        <v>24.1402404495831</v>
      </c>
    </row>
    <row r="1428" spans="1:37" x14ac:dyDescent="0.2">
      <c r="A1428" t="str">
        <f>"20200111153428672"</f>
        <v>20200111153428672</v>
      </c>
      <c r="B1428" t="str">
        <f>"1578728068667583"</f>
        <v>1578728068667583</v>
      </c>
      <c r="C1428" t="s">
        <v>37</v>
      </c>
      <c r="D1428">
        <v>4.7480859999999998</v>
      </c>
      <c r="E1428">
        <v>0.57136509999999996</v>
      </c>
      <c r="F1428" t="s">
        <v>56</v>
      </c>
      <c r="G1428">
        <v>-285.95650000000001</v>
      </c>
      <c r="H1428" s="1">
        <v>4.9431210000000001E-6</v>
      </c>
      <c r="I1428">
        <v>288.5736</v>
      </c>
      <c r="J1428">
        <v>-261.9812</v>
      </c>
      <c r="K1428">
        <v>1.103194</v>
      </c>
      <c r="L1428">
        <v>284.03210000000001</v>
      </c>
      <c r="M1428">
        <v>-0.99991379999999996</v>
      </c>
      <c r="N1428">
        <v>0</v>
      </c>
      <c r="O1428">
        <v>1.2701809999999999E-2</v>
      </c>
      <c r="P1428">
        <v>-0.99970919999999897</v>
      </c>
      <c r="Q1428">
        <v>2.4085829999999999E-2</v>
      </c>
      <c r="R1428">
        <v>-1.229939E-3</v>
      </c>
      <c r="S1428">
        <v>-3.0042110000000002</v>
      </c>
      <c r="T1428">
        <v>-0.13598759999999999</v>
      </c>
      <c r="U1428">
        <v>0.56045529999999999</v>
      </c>
      <c r="V1428">
        <v>-1.3939699999999999E-2</v>
      </c>
      <c r="W1428">
        <v>2.7459330000000001E-2</v>
      </c>
      <c r="X1428">
        <v>0.99952569999999996</v>
      </c>
      <c r="Y1428">
        <v>0.1707349</v>
      </c>
      <c r="Z1428">
        <v>3.2596769999999999E-3</v>
      </c>
      <c r="AA1428">
        <v>0.98531159999999995</v>
      </c>
      <c r="AB1428">
        <v>44</v>
      </c>
      <c r="AC1428">
        <v>-23.975300000000001</v>
      </c>
      <c r="AD1428">
        <v>-1.1031890568789999</v>
      </c>
      <c r="AE1428">
        <v>4.5414999999999797</v>
      </c>
      <c r="AF1428">
        <v>4.2279606686388398</v>
      </c>
      <c r="AG1428">
        <v>-1.1031890568789999</v>
      </c>
      <c r="AH1428">
        <v>23.9820343366342</v>
      </c>
      <c r="AI1428">
        <v>92.593841351429305</v>
      </c>
      <c r="AJ1428">
        <v>80.001666069476897</v>
      </c>
      <c r="AK1428">
        <v>24.376846564604602</v>
      </c>
    </row>
    <row r="1429" spans="1:37" x14ac:dyDescent="0.2">
      <c r="A1429" t="str">
        <f>"20200111153428687"</f>
        <v>20200111153428687</v>
      </c>
      <c r="B1429" t="str">
        <f>"1578728068677341"</f>
        <v>1578728068677341</v>
      </c>
      <c r="C1429" t="s">
        <v>37</v>
      </c>
      <c r="D1429">
        <v>4.756875</v>
      </c>
      <c r="E1429">
        <v>0.57136509999999996</v>
      </c>
      <c r="F1429" t="s">
        <v>56</v>
      </c>
      <c r="G1429">
        <v>-286.87389999999999</v>
      </c>
      <c r="H1429" s="1">
        <v>4.5132070000000002E-6</v>
      </c>
      <c r="I1429">
        <v>288.68529999999998</v>
      </c>
      <c r="J1429">
        <v>-262.26389999999998</v>
      </c>
      <c r="K1429">
        <v>1.1032090000000001</v>
      </c>
      <c r="L1429">
        <v>284.03559999999999</v>
      </c>
      <c r="M1429">
        <v>-0.9999152</v>
      </c>
      <c r="N1429">
        <v>0</v>
      </c>
      <c r="O1429">
        <v>1.2568889999999999E-2</v>
      </c>
      <c r="P1429">
        <v>-0.99970020000000004</v>
      </c>
      <c r="Q1429">
        <v>2.441159E-2</v>
      </c>
      <c r="R1429">
        <v>-1.885889E-3</v>
      </c>
      <c r="S1429">
        <v>-3.0047609999999998</v>
      </c>
      <c r="T1429">
        <v>-0.13316439999999999</v>
      </c>
      <c r="U1429">
        <v>0.56167599999999995</v>
      </c>
      <c r="V1429">
        <v>-1.446334E-2</v>
      </c>
      <c r="W1429">
        <v>2.782397E-2</v>
      </c>
      <c r="X1429">
        <v>0.99950819999999996</v>
      </c>
      <c r="Y1429">
        <v>0.1712262</v>
      </c>
      <c r="Z1429">
        <v>3.2079970000000002E-3</v>
      </c>
      <c r="AA1429">
        <v>0.98522649999999901</v>
      </c>
      <c r="AB1429">
        <v>45</v>
      </c>
      <c r="AC1429">
        <v>-24.61</v>
      </c>
      <c r="AD1429">
        <v>-1.103204486793</v>
      </c>
      <c r="AE1429">
        <v>4.6496999999999904</v>
      </c>
      <c r="AF1429">
        <v>4.3316061576931304</v>
      </c>
      <c r="AG1429">
        <v>-1.103204486793</v>
      </c>
      <c r="AH1429">
        <v>24.618731563638502</v>
      </c>
      <c r="AI1429">
        <v>92.527032660479705</v>
      </c>
      <c r="AJ1429">
        <v>80.021084132367207</v>
      </c>
      <c r="AK1429">
        <v>25.021227304981199</v>
      </c>
    </row>
    <row r="1430" spans="1:37" x14ac:dyDescent="0.2">
      <c r="A1430" t="str">
        <f>"20200111153428699"</f>
        <v>20200111153428699</v>
      </c>
      <c r="B1430" t="str">
        <f>"1578728068688078"</f>
        <v>1578728068688078</v>
      </c>
      <c r="C1430" t="s">
        <v>37</v>
      </c>
      <c r="D1430">
        <v>4.7814309999999898</v>
      </c>
      <c r="E1430">
        <v>0.55140880000000003</v>
      </c>
      <c r="F1430" t="s">
        <v>56</v>
      </c>
      <c r="G1430">
        <v>-287.38529999999997</v>
      </c>
      <c r="H1430" s="1">
        <v>4.2805059999999997E-6</v>
      </c>
      <c r="I1430">
        <v>288.71370000000002</v>
      </c>
      <c r="J1430">
        <v>-262.517</v>
      </c>
      <c r="K1430">
        <v>1.1032189999999999</v>
      </c>
      <c r="L1430">
        <v>284.03879999999998</v>
      </c>
      <c r="M1430">
        <v>-0.99991669999999999</v>
      </c>
      <c r="N1430">
        <v>0</v>
      </c>
      <c r="O1430">
        <v>1.244932E-2</v>
      </c>
      <c r="P1430">
        <v>-0.99969540000000001</v>
      </c>
      <c r="Q1430">
        <v>2.45807E-2</v>
      </c>
      <c r="R1430">
        <v>-2.3333669999999998E-3</v>
      </c>
      <c r="S1430">
        <v>-3.0052189999999999</v>
      </c>
      <c r="T1430">
        <v>-0.1319737</v>
      </c>
      <c r="U1430">
        <v>0.55963130000000005</v>
      </c>
      <c r="V1430">
        <v>-1.479163E-2</v>
      </c>
      <c r="W1430">
        <v>2.8034650000000001E-2</v>
      </c>
      <c r="X1430">
        <v>0.99949750000000004</v>
      </c>
      <c r="Y1430">
        <v>0.17067209999999999</v>
      </c>
      <c r="Z1430">
        <v>3.1722059999999999E-3</v>
      </c>
      <c r="AA1430">
        <v>0.98532280000000005</v>
      </c>
      <c r="AB1430">
        <v>45</v>
      </c>
      <c r="AC1430">
        <v>-24.868299999999898</v>
      </c>
      <c r="AD1430">
        <v>-1.1032147194939901</v>
      </c>
      <c r="AE1430">
        <v>4.6749000000000303</v>
      </c>
      <c r="AF1430">
        <v>4.35666117686986</v>
      </c>
      <c r="AG1430">
        <v>-1.1032147194939901</v>
      </c>
      <c r="AH1430">
        <v>24.877284734121901</v>
      </c>
      <c r="AI1430">
        <v>92.501174964102702</v>
      </c>
      <c r="AJ1430">
        <v>80.066745849630195</v>
      </c>
      <c r="AK1430">
        <v>25.279969839181501</v>
      </c>
    </row>
    <row r="1431" spans="1:37" x14ac:dyDescent="0.2">
      <c r="A1431" t="str">
        <f>"20200111153428718"</f>
        <v>20200111153428718</v>
      </c>
      <c r="B1431" t="str">
        <f>"1578728068707597"</f>
        <v>1578728068707597</v>
      </c>
      <c r="C1431" t="s">
        <v>37</v>
      </c>
      <c r="D1431">
        <v>4.688682</v>
      </c>
      <c r="E1431">
        <v>0.4982142</v>
      </c>
      <c r="F1431" t="s">
        <v>56</v>
      </c>
      <c r="G1431">
        <v>-294.34649999999999</v>
      </c>
      <c r="H1431" s="1">
        <v>2.6569419999999998E-6</v>
      </c>
      <c r="I1431">
        <v>288.27449999999999</v>
      </c>
      <c r="J1431">
        <v>-262.90219999999999</v>
      </c>
      <c r="K1431">
        <v>1.1032459999999999</v>
      </c>
      <c r="L1431">
        <v>284.04349999999999</v>
      </c>
      <c r="M1431">
        <v>-0.99991849999999904</v>
      </c>
      <c r="N1431">
        <v>0</v>
      </c>
      <c r="O1431">
        <v>1.226609E-2</v>
      </c>
      <c r="P1431">
        <v>-0.99968899999999905</v>
      </c>
      <c r="Q1431">
        <v>2.4716060000000002E-2</v>
      </c>
      <c r="R1431">
        <v>-3.3469329999999999E-3</v>
      </c>
      <c r="S1431">
        <v>-3.0043639999999998</v>
      </c>
      <c r="T1431">
        <v>-0.1041319</v>
      </c>
      <c r="U1431">
        <v>0.39981079999999902</v>
      </c>
      <c r="V1431">
        <v>-1.562272E-2</v>
      </c>
      <c r="W1431">
        <v>2.8262969999999998E-2</v>
      </c>
      <c r="X1431">
        <v>0.99947849999999905</v>
      </c>
      <c r="Y1431">
        <v>0.1196815</v>
      </c>
      <c r="Z1431">
        <v>1.6413160000000001E-3</v>
      </c>
      <c r="AA1431">
        <v>0.992811</v>
      </c>
      <c r="AB1431">
        <v>45</v>
      </c>
      <c r="AC1431">
        <v>-31.444299999999998</v>
      </c>
      <c r="AD1431">
        <v>-1.103243343058</v>
      </c>
      <c r="AE1431">
        <v>4.2309999999999901</v>
      </c>
      <c r="AF1431">
        <v>3.8403372672633198</v>
      </c>
      <c r="AG1431">
        <v>-1.103243343058</v>
      </c>
      <c r="AH1431">
        <v>31.4557989773235</v>
      </c>
      <c r="AI1431">
        <v>91.993908037601898</v>
      </c>
      <c r="AJ1431">
        <v>83.039389328508506</v>
      </c>
      <c r="AK1431">
        <v>31.7085576067742</v>
      </c>
    </row>
    <row r="1432" spans="1:37" x14ac:dyDescent="0.2">
      <c r="A1432" t="str">
        <f>"20200111153428731"</f>
        <v>20200111153428731</v>
      </c>
      <c r="B1432" t="str">
        <f>"1578728068728093"</f>
        <v>1578728068728093</v>
      </c>
      <c r="C1432" t="s">
        <v>37</v>
      </c>
      <c r="D1432">
        <v>4.7330389999999998</v>
      </c>
      <c r="E1432">
        <v>0.47755599999999998</v>
      </c>
      <c r="F1432" t="s">
        <v>52</v>
      </c>
      <c r="G1432">
        <v>-320.96480000000003</v>
      </c>
      <c r="H1432" s="1">
        <v>-9.7596900000000005E-7</v>
      </c>
      <c r="I1432">
        <v>283.53230000000002</v>
      </c>
      <c r="J1432">
        <v>-263.1515</v>
      </c>
      <c r="K1432">
        <v>1.1032690000000001</v>
      </c>
      <c r="L1432">
        <v>284.04649999999998</v>
      </c>
      <c r="M1432">
        <v>-0.99991969999999997</v>
      </c>
      <c r="N1432">
        <v>0</v>
      </c>
      <c r="O1432">
        <v>1.2147440000000001E-2</v>
      </c>
      <c r="P1432">
        <v>-0.99968349999999995</v>
      </c>
      <c r="Q1432">
        <v>2.4852869999999999E-2</v>
      </c>
      <c r="R1432">
        <v>-3.9469850000000001E-3</v>
      </c>
      <c r="S1432">
        <v>-3.00228899999999</v>
      </c>
      <c r="T1432">
        <v>-5.7046409999999999E-2</v>
      </c>
      <c r="U1432">
        <v>-2.6428219999999999E-2</v>
      </c>
      <c r="V1432">
        <v>-1.6104440000000001E-2</v>
      </c>
      <c r="W1432">
        <v>2.8487950000000001E-2</v>
      </c>
      <c r="X1432">
        <v>0.99946440000000003</v>
      </c>
      <c r="Y1432">
        <v>-2.0942780000000001E-2</v>
      </c>
      <c r="Z1432">
        <v>-4.2973309999999999E-4</v>
      </c>
      <c r="AA1432">
        <v>0.99978060000000002</v>
      </c>
      <c r="AB1432">
        <v>45</v>
      </c>
      <c r="AC1432">
        <v>-57.813299999999998</v>
      </c>
      <c r="AD1432">
        <v>-1.1032699759689999</v>
      </c>
      <c r="AE1432">
        <v>-0.51419999999995902</v>
      </c>
      <c r="AF1432">
        <v>-1.21600742748267</v>
      </c>
      <c r="AG1432">
        <v>-1.1032699759689999</v>
      </c>
      <c r="AH1432">
        <v>57.781747154757099</v>
      </c>
      <c r="AI1432">
        <v>91.093616029203105</v>
      </c>
      <c r="AJ1432">
        <v>91.205602357758593</v>
      </c>
      <c r="AK1432">
        <v>57.805070564439603</v>
      </c>
    </row>
    <row r="1433" spans="1:37" x14ac:dyDescent="0.2">
      <c r="A1433" t="str">
        <f>"20200111153428745"</f>
        <v>20200111153428745</v>
      </c>
      <c r="B1433" t="str">
        <f>"1578728068737853"</f>
        <v>1578728068737853</v>
      </c>
      <c r="C1433" t="s">
        <v>37</v>
      </c>
      <c r="D1433">
        <v>4.6629079999999998</v>
      </c>
      <c r="E1433">
        <v>0.47353269999999997</v>
      </c>
      <c r="F1433" t="s">
        <v>56</v>
      </c>
      <c r="G1433">
        <v>-296.65859999999998</v>
      </c>
      <c r="H1433" s="1">
        <v>3.6257829999999998E-6</v>
      </c>
      <c r="I1433">
        <v>281.8836</v>
      </c>
      <c r="J1433">
        <v>-263.44920000000002</v>
      </c>
      <c r="K1433">
        <v>1.103307</v>
      </c>
      <c r="L1433">
        <v>284.05</v>
      </c>
      <c r="M1433">
        <v>-0.99992080000000005</v>
      </c>
      <c r="N1433">
        <v>0</v>
      </c>
      <c r="O1433">
        <v>1.200566E-2</v>
      </c>
      <c r="P1433">
        <v>-0.99968429999999997</v>
      </c>
      <c r="Q1433">
        <v>2.473026E-2</v>
      </c>
      <c r="R1433">
        <v>-4.4979809999999999E-3</v>
      </c>
      <c r="S1433">
        <v>-3.0026549999999999</v>
      </c>
      <c r="T1433">
        <v>-9.8866220000000005E-2</v>
      </c>
      <c r="U1433">
        <v>-0.19381709999999999</v>
      </c>
      <c r="V1433">
        <v>-1.6514290000000001E-2</v>
      </c>
      <c r="W1433">
        <v>2.850463E-2</v>
      </c>
      <c r="X1433">
        <v>0.99945720000000005</v>
      </c>
      <c r="Y1433">
        <v>-7.6343010000000003E-2</v>
      </c>
      <c r="Z1433">
        <v>-1.6500179999999901E-3</v>
      </c>
      <c r="AA1433">
        <v>0.99708030000000003</v>
      </c>
      <c r="AB1433">
        <v>45</v>
      </c>
      <c r="AC1433">
        <v>-33.209399999999903</v>
      </c>
      <c r="AD1433">
        <v>-1.103303374217</v>
      </c>
      <c r="AE1433">
        <v>-2.1664000000000101</v>
      </c>
      <c r="AF1433">
        <v>-2.56213152122081</v>
      </c>
      <c r="AG1433">
        <v>-1.103303374217</v>
      </c>
      <c r="AH1433">
        <v>33.144569245192301</v>
      </c>
      <c r="AI1433">
        <v>91.900868642276293</v>
      </c>
      <c r="AJ1433">
        <v>94.420270578330602</v>
      </c>
      <c r="AK1433">
        <v>33.261753813004802</v>
      </c>
    </row>
    <row r="1434" spans="1:37" x14ac:dyDescent="0.2">
      <c r="A1434" t="str">
        <f>"20200111153428762"</f>
        <v>20200111153428762</v>
      </c>
      <c r="B1434" t="str">
        <f>"1578728068757373"</f>
        <v>1578728068757373</v>
      </c>
      <c r="C1434" t="s">
        <v>37</v>
      </c>
      <c r="D1434">
        <v>4.5936120000000003</v>
      </c>
      <c r="E1434">
        <v>0.47058440000000001</v>
      </c>
      <c r="F1434" t="s">
        <v>56</v>
      </c>
      <c r="G1434">
        <v>-295.25209999999998</v>
      </c>
      <c r="H1434" s="1">
        <v>3.3977690000000001E-6</v>
      </c>
      <c r="I1434">
        <v>281.63799999999998</v>
      </c>
      <c r="J1434">
        <v>-263.77379999999999</v>
      </c>
      <c r="K1434">
        <v>1.103359</v>
      </c>
      <c r="L1434">
        <v>284.05380000000002</v>
      </c>
      <c r="M1434">
        <v>-0.99992190000000003</v>
      </c>
      <c r="N1434">
        <v>0</v>
      </c>
      <c r="O1434">
        <v>1.185114E-2</v>
      </c>
      <c r="P1434">
        <v>-0.99966469999999896</v>
      </c>
      <c r="Q1434">
        <v>2.531185E-2</v>
      </c>
      <c r="R1434">
        <v>-5.5060069999999899E-3</v>
      </c>
      <c r="S1434">
        <v>-3.0025019999999998</v>
      </c>
      <c r="T1434">
        <v>-0.10416259999999999</v>
      </c>
      <c r="U1434">
        <v>-0.22772220000000001</v>
      </c>
      <c r="V1434">
        <v>-1.7368390000000001E-2</v>
      </c>
      <c r="W1434">
        <v>2.9295370000000001E-2</v>
      </c>
      <c r="X1434">
        <v>0.99941990000000003</v>
      </c>
      <c r="Y1434">
        <v>-8.7379540000000006E-2</v>
      </c>
      <c r="Z1434">
        <v>-1.9235229999999999E-3</v>
      </c>
      <c r="AA1434">
        <v>0.99617330000000004</v>
      </c>
      <c r="AB1434">
        <v>45</v>
      </c>
      <c r="AC1434">
        <v>-31.478299999999901</v>
      </c>
      <c r="AD1434">
        <v>-1.103355602231</v>
      </c>
      <c r="AE1434">
        <v>-2.4158000000000399</v>
      </c>
      <c r="AF1434">
        <v>-2.7852850710402199</v>
      </c>
      <c r="AG1434">
        <v>-1.103355602231</v>
      </c>
      <c r="AH1434">
        <v>31.4090960384856</v>
      </c>
      <c r="AI1434">
        <v>92.004031934261207</v>
      </c>
      <c r="AJ1434">
        <v>95.067599864160499</v>
      </c>
      <c r="AK1434">
        <v>31.5516484587849</v>
      </c>
    </row>
    <row r="1435" spans="1:37" x14ac:dyDescent="0.2">
      <c r="A1435" t="str">
        <f>"20200111153428773"</f>
        <v>20200111153428773</v>
      </c>
      <c r="B1435" t="str">
        <f>"1578728068768109"</f>
        <v>1578728068768109</v>
      </c>
      <c r="C1435" t="s">
        <v>37</v>
      </c>
      <c r="D1435">
        <v>4.6017199999999896</v>
      </c>
      <c r="E1435">
        <v>0.4701745</v>
      </c>
      <c r="F1435" t="s">
        <v>56</v>
      </c>
      <c r="G1435">
        <v>-292.7835</v>
      </c>
      <c r="H1435" s="1">
        <v>2.9636759999999999E-6</v>
      </c>
      <c r="I1435">
        <v>281.59449999999998</v>
      </c>
      <c r="J1435">
        <v>-264.03539999999998</v>
      </c>
      <c r="K1435">
        <v>1.1034090000000001</v>
      </c>
      <c r="L1435">
        <v>284.05689999999998</v>
      </c>
      <c r="M1435">
        <v>-0.99992239999999999</v>
      </c>
      <c r="N1435">
        <v>0</v>
      </c>
      <c r="O1435">
        <v>1.1726729999999999E-2</v>
      </c>
      <c r="P1435">
        <v>-0.99966730000000004</v>
      </c>
      <c r="Q1435">
        <v>2.5128009999999999E-2</v>
      </c>
      <c r="R1435">
        <v>-5.8549500000000003E-3</v>
      </c>
      <c r="S1435">
        <v>-3.0025019999999998</v>
      </c>
      <c r="T1435">
        <v>-0.11419739999999901</v>
      </c>
      <c r="U1435">
        <v>-0.25454710000000003</v>
      </c>
      <c r="V1435">
        <v>-1.7593310000000001E-2</v>
      </c>
      <c r="W1435">
        <v>2.9332549999999999E-2</v>
      </c>
      <c r="X1435">
        <v>0.99941489999999999</v>
      </c>
      <c r="Y1435">
        <v>-9.6076999999999996E-2</v>
      </c>
      <c r="Z1435">
        <v>-2.268281E-3</v>
      </c>
      <c r="AA1435">
        <v>0.99537129999999996</v>
      </c>
      <c r="AB1435">
        <v>45</v>
      </c>
      <c r="AC1435">
        <v>-28.748100000000001</v>
      </c>
      <c r="AD1435">
        <v>-1.1034060363239999</v>
      </c>
      <c r="AE1435">
        <v>-2.4624000000000001</v>
      </c>
      <c r="AF1435">
        <v>-2.7952669602272802</v>
      </c>
      <c r="AG1435">
        <v>-1.1034060363239999</v>
      </c>
      <c r="AH1435">
        <v>28.675311182486901</v>
      </c>
      <c r="AI1435">
        <v>92.193229052136601</v>
      </c>
      <c r="AJ1435">
        <v>95.567597252477796</v>
      </c>
      <c r="AK1435">
        <v>28.832351511321299</v>
      </c>
    </row>
    <row r="1436" spans="1:37" x14ac:dyDescent="0.2">
      <c r="A1436" t="str">
        <f>"20200111153428786"</f>
        <v>20200111153428786</v>
      </c>
      <c r="B1436" t="str">
        <f>"1578728068777869"</f>
        <v>1578728068777869</v>
      </c>
      <c r="C1436" t="s">
        <v>37</v>
      </c>
      <c r="D1436">
        <v>4.5827359999999997</v>
      </c>
      <c r="E1436">
        <v>0.46993499999999999</v>
      </c>
      <c r="F1436" t="s">
        <v>56</v>
      </c>
      <c r="G1436">
        <v>-292.4828</v>
      </c>
      <c r="H1436" s="1">
        <v>2.9093499999999999E-6</v>
      </c>
      <c r="I1436">
        <v>281.60570000000001</v>
      </c>
      <c r="J1436">
        <v>-264.27910000000003</v>
      </c>
      <c r="K1436">
        <v>1.103459</v>
      </c>
      <c r="L1436">
        <v>284.05959999999999</v>
      </c>
      <c r="M1436">
        <v>-0.9999228</v>
      </c>
      <c r="N1436">
        <v>0</v>
      </c>
      <c r="O1436">
        <v>1.160983E-2</v>
      </c>
      <c r="P1436">
        <v>-0.99966939999999904</v>
      </c>
      <c r="Q1436">
        <v>2.4960119999999999E-2</v>
      </c>
      <c r="R1436">
        <v>-6.1918919999999896E-3</v>
      </c>
      <c r="S1436">
        <v>-3.0024109999999999</v>
      </c>
      <c r="T1436">
        <v>-0.1164563</v>
      </c>
      <c r="U1436">
        <v>-0.25869749999999903</v>
      </c>
      <c r="V1436">
        <v>-1.7814400000000001E-2</v>
      </c>
      <c r="W1436">
        <v>2.9400229999999999E-2</v>
      </c>
      <c r="X1436">
        <v>0.99940899999999999</v>
      </c>
      <c r="Y1436">
        <v>-9.7325159999999994E-2</v>
      </c>
      <c r="Z1436">
        <v>-2.3326789999999998E-3</v>
      </c>
      <c r="AA1436">
        <v>0.99524990000000002</v>
      </c>
      <c r="AB1436">
        <v>45</v>
      </c>
      <c r="AC1436">
        <v>-28.203699999999898</v>
      </c>
      <c r="AD1436">
        <v>-1.1034560906499999</v>
      </c>
      <c r="AE1436">
        <v>-2.4538999999999702</v>
      </c>
      <c r="AF1436">
        <v>-2.7769591538460499</v>
      </c>
      <c r="AG1436">
        <v>-1.1034560906499999</v>
      </c>
      <c r="AH1436">
        <v>28.130572769714799</v>
      </c>
      <c r="AI1436">
        <v>92.235490373843405</v>
      </c>
      <c r="AJ1436">
        <v>95.637787961894702</v>
      </c>
      <c r="AK1436">
        <v>28.288835992990901</v>
      </c>
    </row>
    <row r="1437" spans="1:37" x14ac:dyDescent="0.2">
      <c r="A1437" t="str">
        <f>"20200111153428799"</f>
        <v>20200111153428799</v>
      </c>
      <c r="B1437" t="str">
        <f>"1578728068787628"</f>
        <v>1578728068787628</v>
      </c>
      <c r="C1437" t="s">
        <v>37</v>
      </c>
      <c r="D1437">
        <v>4.5718389999999998</v>
      </c>
      <c r="E1437">
        <v>0.46963339999999998</v>
      </c>
      <c r="F1437" t="s">
        <v>56</v>
      </c>
      <c r="G1437">
        <v>-291.8467</v>
      </c>
      <c r="H1437" s="1">
        <v>2.792125E-6</v>
      </c>
      <c r="I1437">
        <v>281.65600000000001</v>
      </c>
      <c r="J1437">
        <v>-264.52699999999999</v>
      </c>
      <c r="K1437">
        <v>1.1035139999999899</v>
      </c>
      <c r="L1437">
        <v>284.0625</v>
      </c>
      <c r="M1437">
        <v>-0.99992289999999995</v>
      </c>
      <c r="N1437">
        <v>0</v>
      </c>
      <c r="O1437">
        <v>1.149093E-2</v>
      </c>
      <c r="P1437">
        <v>-0.99967450000000002</v>
      </c>
      <c r="Q1437">
        <v>2.467987E-2</v>
      </c>
      <c r="R1437">
        <v>-6.4652160000000002E-3</v>
      </c>
      <c r="S1437">
        <v>-3.0023499999999999</v>
      </c>
      <c r="T1437">
        <v>-0.1201759</v>
      </c>
      <c r="U1437">
        <v>-0.26177979999999901</v>
      </c>
      <c r="V1437">
        <v>-1.7968810000000002E-2</v>
      </c>
      <c r="W1437">
        <v>2.937735E-2</v>
      </c>
      <c r="X1437">
        <v>0.99940689999999999</v>
      </c>
      <c r="Y1437">
        <v>-9.8216780000000004E-2</v>
      </c>
      <c r="Z1437">
        <v>-2.420125E-3</v>
      </c>
      <c r="AA1437">
        <v>0.99516209999999905</v>
      </c>
      <c r="AB1437">
        <v>45</v>
      </c>
      <c r="AC1437">
        <v>-27.319700000000001</v>
      </c>
      <c r="AD1437">
        <v>-1.10351120787499</v>
      </c>
      <c r="AE1437">
        <v>-2.4064999999999901</v>
      </c>
      <c r="AF1437">
        <v>-2.71587636627092</v>
      </c>
      <c r="AG1437">
        <v>-1.10351120787499</v>
      </c>
      <c r="AH1437">
        <v>27.246131720136201</v>
      </c>
      <c r="AI1437">
        <v>92.307876906072806</v>
      </c>
      <c r="AJ1437">
        <v>95.692401874184</v>
      </c>
      <c r="AK1437">
        <v>27.403383278963702</v>
      </c>
    </row>
    <row r="1438" spans="1:37" x14ac:dyDescent="0.2">
      <c r="A1438" t="str">
        <f>"20200111153428812"</f>
        <v>20200111153428812</v>
      </c>
      <c r="B1438" t="str">
        <f>"1578728068808125"</f>
        <v>1578728068808125</v>
      </c>
      <c r="C1438" t="s">
        <v>37</v>
      </c>
      <c r="D1438">
        <v>4.6188370000000001</v>
      </c>
      <c r="E1438">
        <v>0.46935879999999902</v>
      </c>
      <c r="F1438" t="s">
        <v>56</v>
      </c>
      <c r="G1438">
        <v>-291.320999999999</v>
      </c>
      <c r="H1438" s="1">
        <v>2.6951229999999998E-6</v>
      </c>
      <c r="I1438">
        <v>281.69900000000001</v>
      </c>
      <c r="J1438">
        <v>-264.7903</v>
      </c>
      <c r="K1438">
        <v>1.1035759999999999</v>
      </c>
      <c r="L1438">
        <v>284.06540000000001</v>
      </c>
      <c r="M1438">
        <v>-0.99992269999999905</v>
      </c>
      <c r="N1438">
        <v>0</v>
      </c>
      <c r="O1438">
        <v>1.136447E-2</v>
      </c>
      <c r="P1438">
        <v>-0.999687199999999</v>
      </c>
      <c r="Q1438">
        <v>2.4088849999999998E-2</v>
      </c>
      <c r="R1438">
        <v>-6.7311869999999996E-3</v>
      </c>
      <c r="S1438">
        <v>-3.002319</v>
      </c>
      <c r="T1438">
        <v>-0.1236506</v>
      </c>
      <c r="U1438">
        <v>-0.2648315</v>
      </c>
      <c r="V1438">
        <v>-1.810906E-2</v>
      </c>
      <c r="W1438">
        <v>2.9117110000000002E-2</v>
      </c>
      <c r="X1438">
        <v>0.99941190000000002</v>
      </c>
      <c r="Y1438">
        <v>-9.9089839999999998E-2</v>
      </c>
      <c r="Z1438">
        <v>-2.5026950000000001E-3</v>
      </c>
      <c r="AA1438">
        <v>0.9950753</v>
      </c>
      <c r="AB1438">
        <v>45</v>
      </c>
      <c r="AC1438">
        <v>-26.5306999999999</v>
      </c>
      <c r="AD1438">
        <v>-1.103573304877</v>
      </c>
      <c r="AE1438">
        <v>-2.3663999999999898</v>
      </c>
      <c r="AF1438">
        <v>-2.6631867919289798</v>
      </c>
      <c r="AG1438">
        <v>-1.103573304877</v>
      </c>
      <c r="AH1438">
        <v>26.456678493073198</v>
      </c>
      <c r="AI1438">
        <v>92.376567089110594</v>
      </c>
      <c r="AJ1438">
        <v>95.748154842254706</v>
      </c>
      <c r="AK1438">
        <v>26.613272531084601</v>
      </c>
    </row>
    <row r="1439" spans="1:37" x14ac:dyDescent="0.2">
      <c r="A1439" t="str">
        <f>"20200111153428828"</f>
        <v>20200111153428828</v>
      </c>
      <c r="B1439" t="str">
        <f>"1578728068817885"</f>
        <v>1578728068817885</v>
      </c>
      <c r="C1439" t="s">
        <v>37</v>
      </c>
      <c r="D1439">
        <v>4.5925190000000002</v>
      </c>
      <c r="E1439">
        <v>0.46923169999999997</v>
      </c>
      <c r="F1439" t="s">
        <v>56</v>
      </c>
      <c r="G1439">
        <v>-290.36689999999999</v>
      </c>
      <c r="H1439" s="1">
        <v>2.5185839999999999E-6</v>
      </c>
      <c r="I1439">
        <v>281.78230000000002</v>
      </c>
      <c r="J1439">
        <v>-265.12279999999998</v>
      </c>
      <c r="K1439">
        <v>1.1036589999999999</v>
      </c>
      <c r="L1439">
        <v>284.06909999999999</v>
      </c>
      <c r="M1439">
        <v>-0.99992230000000004</v>
      </c>
      <c r="N1439">
        <v>0</v>
      </c>
      <c r="O1439">
        <v>1.120383E-2</v>
      </c>
      <c r="P1439">
        <v>-0.99970409999999899</v>
      </c>
      <c r="Q1439">
        <v>2.3264380000000001E-2</v>
      </c>
      <c r="R1439">
        <v>-7.0936810000000001E-3</v>
      </c>
      <c r="S1439">
        <v>-3.0022579999999999</v>
      </c>
      <c r="T1439">
        <v>-0.1295412</v>
      </c>
      <c r="U1439">
        <v>-0.2680054</v>
      </c>
      <c r="V1439">
        <v>-1.8311319999999999E-2</v>
      </c>
      <c r="W1439">
        <v>2.874295E-2</v>
      </c>
      <c r="X1439">
        <v>0.99941909999999901</v>
      </c>
      <c r="Y1439">
        <v>-9.9965769999999995E-2</v>
      </c>
      <c r="Z1439">
        <v>-2.6336829999999999E-3</v>
      </c>
      <c r="AA1439">
        <v>0.99498739999999997</v>
      </c>
      <c r="AB1439">
        <v>45</v>
      </c>
      <c r="AC1439">
        <v>-25.2441</v>
      </c>
      <c r="AD1439">
        <v>-1.1036564814159999</v>
      </c>
      <c r="AE1439">
        <v>-2.2867999999999702</v>
      </c>
      <c r="AF1439">
        <v>-2.5646292002013098</v>
      </c>
      <c r="AG1439">
        <v>-1.1036564814159999</v>
      </c>
      <c r="AH1439">
        <v>25.169177798796799</v>
      </c>
      <c r="AI1439">
        <v>92.497866958065401</v>
      </c>
      <c r="AJ1439">
        <v>95.818109004673801</v>
      </c>
      <c r="AK1439">
        <v>25.323563959895999</v>
      </c>
    </row>
    <row r="1440" spans="1:37" x14ac:dyDescent="0.2">
      <c r="A1440" t="str">
        <f>"20200111153428842"</f>
        <v>20200111153428842</v>
      </c>
      <c r="B1440" t="str">
        <f>"1578728068837405"</f>
        <v>1578728068837405</v>
      </c>
      <c r="C1440" t="s">
        <v>37</v>
      </c>
      <c r="D1440">
        <v>4.635942</v>
      </c>
      <c r="E1440">
        <v>0.46918080000000001</v>
      </c>
      <c r="F1440" t="s">
        <v>56</v>
      </c>
      <c r="G1440">
        <v>-289.971</v>
      </c>
      <c r="H1440" s="1">
        <v>2.4437879999999999E-6</v>
      </c>
      <c r="I1440">
        <v>281.8347</v>
      </c>
      <c r="J1440">
        <v>-265.36579999999998</v>
      </c>
      <c r="K1440">
        <v>1.103723</v>
      </c>
      <c r="L1440">
        <v>284.07170000000002</v>
      </c>
      <c r="M1440">
        <v>-0.99992159999999997</v>
      </c>
      <c r="N1440">
        <v>0</v>
      </c>
      <c r="O1440">
        <v>1.1086210000000001E-2</v>
      </c>
      <c r="P1440">
        <v>-0.99972000000000005</v>
      </c>
      <c r="Q1440">
        <v>2.2646969999999999E-2</v>
      </c>
      <c r="R1440">
        <v>-6.866703E-3</v>
      </c>
      <c r="S1440">
        <v>-3.0021360000000001</v>
      </c>
      <c r="T1440">
        <v>-0.13334270000000001</v>
      </c>
      <c r="U1440">
        <v>-0.26995849999999999</v>
      </c>
      <c r="V1440">
        <v>-1.7966900000000001E-2</v>
      </c>
      <c r="W1440">
        <v>2.847794E-2</v>
      </c>
      <c r="X1440">
        <v>0.99943289999999996</v>
      </c>
      <c r="Y1440">
        <v>-0.10048799999999999</v>
      </c>
      <c r="Z1440">
        <v>-2.7172849999999998E-3</v>
      </c>
      <c r="AA1440">
        <v>0.9949346</v>
      </c>
      <c r="AB1440">
        <v>45</v>
      </c>
      <c r="AC1440">
        <v>-24.6052</v>
      </c>
      <c r="AD1440">
        <v>-1.103720556212</v>
      </c>
      <c r="AE1440">
        <v>-2.2370000000000201</v>
      </c>
      <c r="AF1440">
        <v>-2.5046471017958498</v>
      </c>
      <c r="AG1440">
        <v>-1.103720556212</v>
      </c>
      <c r="AH1440">
        <v>24.529933852887702</v>
      </c>
      <c r="AI1440">
        <v>92.562969356471001</v>
      </c>
      <c r="AJ1440">
        <v>95.830023648600204</v>
      </c>
      <c r="AK1440">
        <v>24.682161797496299</v>
      </c>
    </row>
    <row r="1441" spans="1:37" x14ac:dyDescent="0.2">
      <c r="A1441" t="str">
        <f>"20200111153428853"</f>
        <v>20200111153428853</v>
      </c>
      <c r="B1441" t="str">
        <f>"1578728068848141"</f>
        <v>1578728068848141</v>
      </c>
      <c r="C1441" t="s">
        <v>37</v>
      </c>
      <c r="D1441">
        <v>4.621651</v>
      </c>
      <c r="E1441">
        <v>0.46913250000000001</v>
      </c>
      <c r="F1441" t="s">
        <v>56</v>
      </c>
      <c r="G1441">
        <v>-289.61939999999998</v>
      </c>
      <c r="H1441" s="1">
        <v>4.6992029999999997E-6</v>
      </c>
      <c r="I1441">
        <v>281.89269999999999</v>
      </c>
      <c r="J1441">
        <v>-265.63819999999998</v>
      </c>
      <c r="K1441">
        <v>1.1037980000000001</v>
      </c>
      <c r="L1441">
        <v>284.07470000000001</v>
      </c>
      <c r="M1441">
        <v>-0.99992019999999904</v>
      </c>
      <c r="N1441">
        <v>0</v>
      </c>
      <c r="O1441">
        <v>1.095606E-2</v>
      </c>
      <c r="P1441">
        <v>-0.9997298</v>
      </c>
      <c r="Q1441">
        <v>2.2208539999999999E-2</v>
      </c>
      <c r="R1441">
        <v>-6.8742480000000003E-3</v>
      </c>
      <c r="S1441">
        <v>-3.002075</v>
      </c>
      <c r="T1441">
        <v>-0.1366165</v>
      </c>
      <c r="U1441">
        <v>-0.26971440000000002</v>
      </c>
      <c r="V1441">
        <v>-1.784442E-2</v>
      </c>
      <c r="W1441">
        <v>2.847746E-2</v>
      </c>
      <c r="X1441">
        <v>0.99943510000000002</v>
      </c>
      <c r="Y1441">
        <v>-0.100275</v>
      </c>
      <c r="Z1441">
        <v>-2.7732550000000001E-3</v>
      </c>
      <c r="AA1441">
        <v>0.9949559</v>
      </c>
      <c r="AB1441">
        <v>45</v>
      </c>
      <c r="AC1441">
        <v>-23.981200000000001</v>
      </c>
      <c r="AD1441">
        <v>-1.103793300797</v>
      </c>
      <c r="AE1441">
        <v>-2.1820000000000102</v>
      </c>
      <c r="AF1441">
        <v>-2.4394880125207701</v>
      </c>
      <c r="AG1441">
        <v>-1.103793300797</v>
      </c>
      <c r="AH1441">
        <v>23.905625168871399</v>
      </c>
      <c r="AI1441">
        <v>92.629998724483599</v>
      </c>
      <c r="AJ1441">
        <v>95.826670571356999</v>
      </c>
      <c r="AK1441">
        <v>24.055111226695601</v>
      </c>
    </row>
    <row r="1442" spans="1:37" x14ac:dyDescent="0.2">
      <c r="A1442" t="str">
        <f>"20200111153428865"</f>
        <v>20200111153428865</v>
      </c>
      <c r="B1442" t="str">
        <f>"1578728068857901"</f>
        <v>1578728068857901</v>
      </c>
      <c r="C1442" t="s">
        <v>37</v>
      </c>
      <c r="D1442">
        <v>4.8397410000000001</v>
      </c>
      <c r="E1442">
        <v>0.4692924</v>
      </c>
      <c r="F1442" t="s">
        <v>56</v>
      </c>
      <c r="G1442">
        <v>-289.57749999999999</v>
      </c>
      <c r="H1442" s="1">
        <v>4.7121429999999901E-6</v>
      </c>
      <c r="I1442">
        <v>281.92020000000002</v>
      </c>
      <c r="J1442">
        <v>-265.88220000000001</v>
      </c>
      <c r="K1442">
        <v>1.1038709999999901</v>
      </c>
      <c r="L1442">
        <v>284.07729999999998</v>
      </c>
      <c r="M1442">
        <v>-0.9999188</v>
      </c>
      <c r="N1442">
        <v>0</v>
      </c>
      <c r="O1442">
        <v>1.0841709999999999E-2</v>
      </c>
      <c r="P1442">
        <v>-0.99974039999999997</v>
      </c>
      <c r="Q1442">
        <v>2.177745E-2</v>
      </c>
      <c r="R1442">
        <v>-6.6935049999999998E-3</v>
      </c>
      <c r="S1442">
        <v>-3.002014</v>
      </c>
      <c r="T1442">
        <v>-0.13841709999999999</v>
      </c>
      <c r="U1442">
        <v>-0.27017209999999903</v>
      </c>
      <c r="V1442">
        <v>-1.7550389999999999E-2</v>
      </c>
      <c r="W1442">
        <v>2.8461259999999999E-2</v>
      </c>
      <c r="X1442">
        <v>0.99944080000000002</v>
      </c>
      <c r="Y1442">
        <v>-0.1003106</v>
      </c>
      <c r="Z1442">
        <v>-2.8053650000000002E-3</v>
      </c>
      <c r="AA1442">
        <v>0.99495219999999995</v>
      </c>
      <c r="AB1442">
        <v>45</v>
      </c>
      <c r="AC1442">
        <v>-23.6952999999999</v>
      </c>
      <c r="AD1442">
        <v>-1.10386628785699</v>
      </c>
      <c r="AE1442">
        <v>-2.1570999999999501</v>
      </c>
      <c r="AF1442">
        <v>-2.4086920638521399</v>
      </c>
      <c r="AG1442">
        <v>-1.10386628785699</v>
      </c>
      <c r="AH1442">
        <v>23.6196809718639</v>
      </c>
      <c r="AI1442">
        <v>92.661986573342503</v>
      </c>
      <c r="AJ1442">
        <v>95.822790159371493</v>
      </c>
      <c r="AK1442">
        <v>23.767827991900401</v>
      </c>
    </row>
    <row r="1443" spans="1:37" x14ac:dyDescent="0.2">
      <c r="A1443" t="str">
        <f>"20200111153428879"</f>
        <v>20200111153428879</v>
      </c>
      <c r="B1443" t="str">
        <f>"1578728068867660"</f>
        <v>1578728068867660</v>
      </c>
      <c r="C1443" t="s">
        <v>37</v>
      </c>
      <c r="D1443">
        <v>4.6218149999999998</v>
      </c>
      <c r="E1443">
        <v>0.46941119999999997</v>
      </c>
      <c r="F1443" t="s">
        <v>56</v>
      </c>
      <c r="G1443">
        <v>-289.79399999999998</v>
      </c>
      <c r="H1443" s="1">
        <v>4.6124269999999998E-6</v>
      </c>
      <c r="I1443">
        <v>281.93819999999999</v>
      </c>
      <c r="J1443">
        <v>-266.13929999999999</v>
      </c>
      <c r="K1443">
        <v>1.1039459999999901</v>
      </c>
      <c r="L1443">
        <v>284.08</v>
      </c>
      <c r="M1443">
        <v>-0.9999171</v>
      </c>
      <c r="N1443">
        <v>0</v>
      </c>
      <c r="O1443">
        <v>1.072277E-2</v>
      </c>
      <c r="P1443">
        <v>-0.99975590000000003</v>
      </c>
      <c r="Q1443">
        <v>2.1089489999999999E-2</v>
      </c>
      <c r="R1443">
        <v>-6.6156269999999998E-3</v>
      </c>
      <c r="S1443">
        <v>-3.002014</v>
      </c>
      <c r="T1443">
        <v>-0.1385854</v>
      </c>
      <c r="U1443">
        <v>-0.26855469999999998</v>
      </c>
      <c r="V1443">
        <v>-1.7353199999999999E-2</v>
      </c>
      <c r="W1443">
        <v>2.8224840000000001E-2</v>
      </c>
      <c r="X1443">
        <v>0.99945099999999998</v>
      </c>
      <c r="Y1443">
        <v>-9.9660960000000007E-2</v>
      </c>
      <c r="Z1443">
        <v>-2.7884070000000001E-3</v>
      </c>
      <c r="AA1443">
        <v>0.995017499999999</v>
      </c>
      <c r="AB1443">
        <v>45</v>
      </c>
      <c r="AC1443">
        <v>-23.654699999999998</v>
      </c>
      <c r="AD1443">
        <v>-1.103941387573</v>
      </c>
      <c r="AE1443">
        <v>-2.1417999999999799</v>
      </c>
      <c r="AF1443">
        <v>-2.3901637761453398</v>
      </c>
      <c r="AG1443">
        <v>-1.103941387573</v>
      </c>
      <c r="AH1443">
        <v>23.5794350806806</v>
      </c>
      <c r="AI1443">
        <v>92.666868635746297</v>
      </c>
      <c r="AJ1443">
        <v>95.788099614055497</v>
      </c>
      <c r="AK1443">
        <v>23.725963166708802</v>
      </c>
    </row>
    <row r="1444" spans="1:37" x14ac:dyDescent="0.2">
      <c r="A1444" t="str">
        <f>"20200111153428896"</f>
        <v>20200111153428896</v>
      </c>
      <c r="B1444" t="str">
        <f>"1578728068888156"</f>
        <v>1578728068888156</v>
      </c>
      <c r="C1444" t="s">
        <v>37</v>
      </c>
      <c r="D1444">
        <v>4.6586480000000003</v>
      </c>
      <c r="E1444">
        <v>0.46963549999999998</v>
      </c>
      <c r="F1444" t="s">
        <v>56</v>
      </c>
      <c r="G1444">
        <v>-289.92630000000003</v>
      </c>
      <c r="H1444" s="1">
        <v>4.5484189999999998E-6</v>
      </c>
      <c r="I1444">
        <v>281.964</v>
      </c>
      <c r="J1444">
        <v>-266.5068</v>
      </c>
      <c r="K1444">
        <v>1.1040379999999901</v>
      </c>
      <c r="L1444">
        <v>284.08370000000002</v>
      </c>
      <c r="M1444">
        <v>-0.99991379999999996</v>
      </c>
      <c r="N1444">
        <v>0</v>
      </c>
      <c r="O1444">
        <v>1.0550840000000001E-2</v>
      </c>
      <c r="P1444">
        <v>-0.99976200000000004</v>
      </c>
      <c r="Q1444">
        <v>2.0809230000000001E-2</v>
      </c>
      <c r="R1444">
        <v>-6.5675669999999998E-3</v>
      </c>
      <c r="S1444">
        <v>-3.0018919999999998</v>
      </c>
      <c r="T1444">
        <v>-0.1393161</v>
      </c>
      <c r="U1444">
        <v>-0.26702880000000001</v>
      </c>
      <c r="V1444">
        <v>-1.713427E-2</v>
      </c>
      <c r="W1444">
        <v>2.8603770000000001E-2</v>
      </c>
      <c r="X1444">
        <v>0.99944390000000005</v>
      </c>
      <c r="Y1444">
        <v>-9.8991369999999995E-2</v>
      </c>
      <c r="Z1444">
        <v>-2.779812E-3</v>
      </c>
      <c r="AA1444">
        <v>0.99508439999999998</v>
      </c>
      <c r="AB1444">
        <v>45</v>
      </c>
      <c r="AC1444">
        <v>-23.419499999999999</v>
      </c>
      <c r="AD1444">
        <v>-1.10403345158099</v>
      </c>
      <c r="AE1444">
        <v>-2.1197000000000199</v>
      </c>
      <c r="AF1444">
        <v>-2.36147959729526</v>
      </c>
      <c r="AG1444">
        <v>-1.10403345158099</v>
      </c>
      <c r="AH1444">
        <v>23.3443736135997</v>
      </c>
      <c r="AI1444">
        <v>92.693963184382696</v>
      </c>
      <c r="AJ1444">
        <v>95.776300136542503</v>
      </c>
      <c r="AK1444">
        <v>23.489471155434401</v>
      </c>
    </row>
    <row r="1445" spans="1:37" x14ac:dyDescent="0.2">
      <c r="A1445" t="str">
        <f>"20200111153428909"</f>
        <v>20200111153428909</v>
      </c>
      <c r="B1445" t="str">
        <f>"1578728068897917"</f>
        <v>1578728068897917</v>
      </c>
      <c r="C1445" t="s">
        <v>37</v>
      </c>
      <c r="D1445">
        <v>4.6432640000000003</v>
      </c>
      <c r="E1445">
        <v>0.46957149999999998</v>
      </c>
      <c r="F1445" t="s">
        <v>56</v>
      </c>
      <c r="G1445">
        <v>-290.517</v>
      </c>
      <c r="H1445" s="1">
        <v>2.5293760000000001E-6</v>
      </c>
      <c r="I1445">
        <v>281.96350000000001</v>
      </c>
      <c r="J1445">
        <v>-266.74160000000001</v>
      </c>
      <c r="K1445">
        <v>1.1040889999999901</v>
      </c>
      <c r="L1445">
        <v>284.08609999999999</v>
      </c>
      <c r="M1445">
        <v>-0.99991180000000002</v>
      </c>
      <c r="N1445">
        <v>0</v>
      </c>
      <c r="O1445">
        <v>1.0438040000000001E-2</v>
      </c>
      <c r="P1445">
        <v>-0.999770099999999</v>
      </c>
      <c r="Q1445">
        <v>2.0358790000000002E-2</v>
      </c>
      <c r="R1445">
        <v>-6.7478719999999898E-3</v>
      </c>
      <c r="S1445">
        <v>-3.001862</v>
      </c>
      <c r="T1445">
        <v>-0.13803109999999999</v>
      </c>
      <c r="U1445">
        <v>-0.26507570000000003</v>
      </c>
      <c r="V1445">
        <v>-1.720149E-2</v>
      </c>
      <c r="W1445">
        <v>2.8558969999999999E-2</v>
      </c>
      <c r="X1445">
        <v>0.99944409999999895</v>
      </c>
      <c r="Y1445">
        <v>-9.8240649999999999E-2</v>
      </c>
      <c r="Z1445">
        <v>-2.7319150000000001E-3</v>
      </c>
      <c r="AA1445">
        <v>0.99515889999999996</v>
      </c>
      <c r="AB1445">
        <v>45</v>
      </c>
      <c r="AC1445">
        <v>-23.775399999999902</v>
      </c>
      <c r="AD1445">
        <v>-1.1040864706239999</v>
      </c>
      <c r="AE1445">
        <v>-2.1225999999999701</v>
      </c>
      <c r="AF1445">
        <v>-2.3656002121817101</v>
      </c>
      <c r="AG1445">
        <v>-1.1040864706239999</v>
      </c>
      <c r="AH1445">
        <v>23.701240462290698</v>
      </c>
      <c r="AI1445">
        <v>92.653941843150207</v>
      </c>
      <c r="AJ1445">
        <v>95.699765217230805</v>
      </c>
      <c r="AK1445">
        <v>23.844577386689298</v>
      </c>
    </row>
    <row r="1446" spans="1:37" x14ac:dyDescent="0.2">
      <c r="A1446" t="str">
        <f>"20200111153428923"</f>
        <v>20200111153428923</v>
      </c>
      <c r="B1446" t="str">
        <f>"1578728068917437"</f>
        <v>1578728068917437</v>
      </c>
      <c r="C1446" t="s">
        <v>37</v>
      </c>
      <c r="D1446">
        <v>4.6728860000000001</v>
      </c>
      <c r="E1446">
        <v>0.46935919999999998</v>
      </c>
      <c r="F1446" t="s">
        <v>56</v>
      </c>
      <c r="G1446">
        <v>-290.43630000000002</v>
      </c>
      <c r="H1446" s="1">
        <v>2.5129999999999999E-6</v>
      </c>
      <c r="I1446">
        <v>281.98719999999997</v>
      </c>
      <c r="J1446">
        <v>-267.0367</v>
      </c>
      <c r="K1446">
        <v>1.1041459999999901</v>
      </c>
      <c r="L1446">
        <v>284.08909999999997</v>
      </c>
      <c r="M1446">
        <v>-0.99990900000000005</v>
      </c>
      <c r="N1446">
        <v>0</v>
      </c>
      <c r="O1446">
        <v>1.029512E-2</v>
      </c>
      <c r="P1446">
        <v>-0.99977450000000001</v>
      </c>
      <c r="Q1446">
        <v>2.0072039999999999E-2</v>
      </c>
      <c r="R1446">
        <v>-6.9547019999999897E-3</v>
      </c>
      <c r="S1446">
        <v>-3.001709</v>
      </c>
      <c r="T1446">
        <v>-0.13986860000000001</v>
      </c>
      <c r="U1446">
        <v>-0.26589970000000002</v>
      </c>
      <c r="V1446">
        <v>-1.7265719999999998E-2</v>
      </c>
      <c r="W1446">
        <v>2.876774E-2</v>
      </c>
      <c r="X1446">
        <v>0.99943700000000002</v>
      </c>
      <c r="Y1446">
        <v>-9.8370890000000002E-2</v>
      </c>
      <c r="Z1446">
        <v>-2.7647359999999998E-3</v>
      </c>
      <c r="AA1446">
        <v>0.99514599999999898</v>
      </c>
      <c r="AB1446">
        <v>45</v>
      </c>
      <c r="AC1446">
        <v>-23.3996</v>
      </c>
      <c r="AD1446">
        <v>-1.10414348699999</v>
      </c>
      <c r="AE1446">
        <v>-2.1019000000000001</v>
      </c>
      <c r="AF1446">
        <v>-2.33753644073707</v>
      </c>
      <c r="AG1446">
        <v>-1.10414348699999</v>
      </c>
      <c r="AH1446">
        <v>23.325200448979899</v>
      </c>
      <c r="AI1446">
        <v>92.696695841539494</v>
      </c>
      <c r="AJ1446">
        <v>95.722793097840295</v>
      </c>
      <c r="AK1446">
        <v>23.468024745102699</v>
      </c>
    </row>
    <row r="1447" spans="1:37" x14ac:dyDescent="0.2">
      <c r="A1447" t="str">
        <f>"20200111153428941"</f>
        <v>20200111153428941</v>
      </c>
      <c r="B1447" t="str">
        <f>"1578728068938165"</f>
        <v>1578728068938165</v>
      </c>
      <c r="C1447" t="s">
        <v>37</v>
      </c>
      <c r="D1447">
        <v>4.6181209999999897</v>
      </c>
      <c r="E1447">
        <v>0.46913630000000001</v>
      </c>
      <c r="F1447" t="s">
        <v>56</v>
      </c>
      <c r="G1447">
        <v>-290.49860000000001</v>
      </c>
      <c r="H1447" s="1">
        <v>2.5237990000000001E-6</v>
      </c>
      <c r="I1447">
        <v>281.99</v>
      </c>
      <c r="J1447">
        <v>-267.38529999999997</v>
      </c>
      <c r="K1447">
        <v>1.104198</v>
      </c>
      <c r="L1447">
        <v>284.0926</v>
      </c>
      <c r="M1447">
        <v>-0.99990590000000001</v>
      </c>
      <c r="N1447">
        <v>0</v>
      </c>
      <c r="O1447">
        <v>1.0123399999999999E-2</v>
      </c>
      <c r="P1447">
        <v>-0.99977399999999905</v>
      </c>
      <c r="Q1447">
        <v>1.998929E-2</v>
      </c>
      <c r="R1447">
        <v>-7.2215859999999899E-3</v>
      </c>
      <c r="S1447">
        <v>-3.001617</v>
      </c>
      <c r="T1447">
        <v>-0.14125969999999999</v>
      </c>
      <c r="U1447">
        <v>-0.26855469999999998</v>
      </c>
      <c r="V1447">
        <v>-1.736128E-2</v>
      </c>
      <c r="W1447">
        <v>2.9233889999999998E-2</v>
      </c>
      <c r="X1447">
        <v>0.99942180000000003</v>
      </c>
      <c r="Y1447">
        <v>-9.9073079999999994E-2</v>
      </c>
      <c r="Z1447">
        <v>-2.800599E-3</v>
      </c>
      <c r="AA1447">
        <v>0.99507619999999897</v>
      </c>
      <c r="AB1447">
        <v>45</v>
      </c>
      <c r="AC1447">
        <v>-23.113299999999999</v>
      </c>
      <c r="AD1447">
        <v>-1.104195476201</v>
      </c>
      <c r="AE1447">
        <v>-2.10259999999999</v>
      </c>
      <c r="AF1447">
        <v>-2.3312106597704898</v>
      </c>
      <c r="AG1447">
        <v>-1.104195476201</v>
      </c>
      <c r="AH1447">
        <v>23.038680078364798</v>
      </c>
      <c r="AI1447">
        <v>92.7300471211542</v>
      </c>
      <c r="AJ1447">
        <v>95.777911426527496</v>
      </c>
      <c r="AK1447">
        <v>23.182635107837299</v>
      </c>
    </row>
    <row r="1448" spans="1:37" x14ac:dyDescent="0.2">
      <c r="A1448" t="str">
        <f>"20200111153428953"</f>
        <v>20200111153428953</v>
      </c>
      <c r="B1448" t="str">
        <f>"1578728068947925"</f>
        <v>1578728068947925</v>
      </c>
      <c r="C1448" t="s">
        <v>37</v>
      </c>
      <c r="D1448">
        <v>4.7296339999999999</v>
      </c>
      <c r="E1448">
        <v>0.46888180000000002</v>
      </c>
      <c r="F1448" t="s">
        <v>56</v>
      </c>
      <c r="G1448">
        <v>-290.63819999999998</v>
      </c>
      <c r="H1448" s="1">
        <v>2.548292E-6</v>
      </c>
      <c r="I1448">
        <v>281.99299999999999</v>
      </c>
      <c r="J1448">
        <v>-267.66090000000003</v>
      </c>
      <c r="K1448">
        <v>1.104231</v>
      </c>
      <c r="L1448">
        <v>284.09530000000001</v>
      </c>
      <c r="M1448">
        <v>-0.99990349999999995</v>
      </c>
      <c r="N1448">
        <v>0</v>
      </c>
      <c r="O1448">
        <v>9.9868509999999997E-3</v>
      </c>
      <c r="P1448">
        <v>-0.99977320000000003</v>
      </c>
      <c r="Q1448">
        <v>1.989935E-2</v>
      </c>
      <c r="R1448">
        <v>-7.6068189999999999E-3</v>
      </c>
      <c r="S1448">
        <v>-3.0015869999999998</v>
      </c>
      <c r="T1448">
        <v>-0.14253440000000001</v>
      </c>
      <c r="U1448">
        <v>-0.27102659999999901</v>
      </c>
      <c r="V1448">
        <v>-1.7609880000000001E-2</v>
      </c>
      <c r="W1448">
        <v>2.9544170000000002E-2</v>
      </c>
      <c r="X1448">
        <v>0.99940839999999997</v>
      </c>
      <c r="Y1448">
        <v>-9.974827E-2</v>
      </c>
      <c r="Z1448">
        <v>-2.8352909999999898E-3</v>
      </c>
      <c r="AA1448">
        <v>0.99500859999999902</v>
      </c>
      <c r="AB1448">
        <v>45</v>
      </c>
      <c r="AC1448">
        <v>-22.9772999999999</v>
      </c>
      <c r="AD1448">
        <v>-1.1042284517080001</v>
      </c>
      <c r="AE1448">
        <v>-2.1023000000000098</v>
      </c>
      <c r="AF1448">
        <v>-2.3263485980054401</v>
      </c>
      <c r="AG1448">
        <v>-1.1042284517080001</v>
      </c>
      <c r="AH1448">
        <v>22.9027027725297</v>
      </c>
      <c r="AI1448">
        <v>92.746206136374397</v>
      </c>
      <c r="AJ1448">
        <v>95.799942766548398</v>
      </c>
      <c r="AK1448">
        <v>23.047017433061601</v>
      </c>
    </row>
    <row r="1449" spans="1:37" x14ac:dyDescent="0.2">
      <c r="A1449" t="str">
        <f>"20200111153428966"</f>
        <v>20200111153428966</v>
      </c>
      <c r="B1449" t="str">
        <f>"1578728068957684"</f>
        <v>1578728068957684</v>
      </c>
      <c r="C1449" t="s">
        <v>37</v>
      </c>
      <c r="D1449">
        <v>4.7123739999999996</v>
      </c>
      <c r="E1449">
        <v>0.46865469999999998</v>
      </c>
      <c r="F1449" t="s">
        <v>56</v>
      </c>
      <c r="G1449">
        <v>-290.86219999999997</v>
      </c>
      <c r="H1449" s="1">
        <v>2.58961599999999E-6</v>
      </c>
      <c r="I1449">
        <v>281.97500000000002</v>
      </c>
      <c r="J1449">
        <v>-267.91039999999998</v>
      </c>
      <c r="K1449">
        <v>1.104255</v>
      </c>
      <c r="L1449">
        <v>284.09769999999997</v>
      </c>
      <c r="M1449">
        <v>-0.99990140000000005</v>
      </c>
      <c r="N1449">
        <v>0</v>
      </c>
      <c r="O1449">
        <v>9.8641219999999995E-3</v>
      </c>
      <c r="P1449">
        <v>-0.99977709999999997</v>
      </c>
      <c r="Q1449">
        <v>1.965014E-2</v>
      </c>
      <c r="R1449">
        <v>-7.7520640000000004E-3</v>
      </c>
      <c r="S1449">
        <v>-3.0014340000000002</v>
      </c>
      <c r="T1449">
        <v>-0.142848</v>
      </c>
      <c r="U1449">
        <v>-0.27429199999999998</v>
      </c>
      <c r="V1449">
        <v>-1.7632700000000001E-2</v>
      </c>
      <c r="W1449">
        <v>2.9637589999999998E-2</v>
      </c>
      <c r="X1449">
        <v>0.99940509999999905</v>
      </c>
      <c r="Y1449">
        <v>-0.1007028</v>
      </c>
      <c r="Z1449">
        <v>-2.8583570000000002E-3</v>
      </c>
      <c r="AA1449">
        <v>0.99491240000000003</v>
      </c>
      <c r="AB1449">
        <v>45</v>
      </c>
      <c r="AC1449">
        <v>-22.951799999999899</v>
      </c>
      <c r="AD1449">
        <v>-1.1042524103839999</v>
      </c>
      <c r="AE1449">
        <v>-2.1226999999999498</v>
      </c>
      <c r="AF1449">
        <v>-2.34362848581946</v>
      </c>
      <c r="AG1449">
        <v>-1.1042524103839999</v>
      </c>
      <c r="AH1449">
        <v>22.8772377585843</v>
      </c>
      <c r="AI1449">
        <v>92.749077195359007</v>
      </c>
      <c r="AJ1449">
        <v>95.849185775150303</v>
      </c>
      <c r="AK1449">
        <v>23.0234657540557</v>
      </c>
    </row>
    <row r="1450" spans="1:37" x14ac:dyDescent="0.2">
      <c r="A1450" t="str">
        <f>"20200111153428979"</f>
        <v>20200111153428979</v>
      </c>
      <c r="B1450" t="str">
        <f>"1578728068967445"</f>
        <v>1578728068967445</v>
      </c>
      <c r="C1450" t="s">
        <v>37</v>
      </c>
      <c r="D1450">
        <v>4.6922009999999998</v>
      </c>
      <c r="E1450">
        <v>0.46847299999999997</v>
      </c>
      <c r="F1450" t="s">
        <v>56</v>
      </c>
      <c r="G1450">
        <v>-290.89999999999998</v>
      </c>
      <c r="H1450" s="1">
        <v>2.5958670000000001E-6</v>
      </c>
      <c r="I1450">
        <v>281.98009999999999</v>
      </c>
      <c r="J1450">
        <v>-268.15960000000001</v>
      </c>
      <c r="K1450">
        <v>1.1042780000000001</v>
      </c>
      <c r="L1450">
        <v>284.10000000000002</v>
      </c>
      <c r="M1450">
        <v>-0.99989910000000004</v>
      </c>
      <c r="N1450">
        <v>0</v>
      </c>
      <c r="O1450">
        <v>9.742232E-3</v>
      </c>
      <c r="P1450">
        <v>-0.99977819999999995</v>
      </c>
      <c r="Q1450">
        <v>1.944773E-2</v>
      </c>
      <c r="R1450">
        <v>-8.0877420000000002E-3</v>
      </c>
      <c r="S1450">
        <v>-3.0013730000000001</v>
      </c>
      <c r="T1450">
        <v>-0.14416379999999901</v>
      </c>
      <c r="U1450">
        <v>-0.2764587</v>
      </c>
      <c r="V1450">
        <v>-1.7846609999999999E-2</v>
      </c>
      <c r="W1450">
        <v>2.9764849999999999E-2</v>
      </c>
      <c r="X1450">
        <v>0.9993976</v>
      </c>
      <c r="Y1450">
        <v>-0.1012928</v>
      </c>
      <c r="Z1450">
        <v>-2.8929139999999999E-3</v>
      </c>
      <c r="AA1450">
        <v>0.99485239999999997</v>
      </c>
      <c r="AB1450">
        <v>45</v>
      </c>
      <c r="AC1450">
        <v>-22.740399999999902</v>
      </c>
      <c r="AD1450">
        <v>-1.1042754041329901</v>
      </c>
      <c r="AE1450">
        <v>-2.1199000000000199</v>
      </c>
      <c r="AF1450">
        <v>-2.3358927114357901</v>
      </c>
      <c r="AG1450">
        <v>-1.1042754041329901</v>
      </c>
      <c r="AH1450">
        <v>22.6656800179085</v>
      </c>
      <c r="AI1450">
        <v>92.774581199958504</v>
      </c>
      <c r="AJ1450">
        <v>95.884048503871398</v>
      </c>
      <c r="AK1450">
        <v>22.812471799472501</v>
      </c>
    </row>
    <row r="1451" spans="1:37" x14ac:dyDescent="0.2">
      <c r="A1451" t="str">
        <f>"20200111153428996"</f>
        <v>20200111153428996</v>
      </c>
      <c r="B1451" t="str">
        <f>"1578728068987940"</f>
        <v>1578728068987940</v>
      </c>
      <c r="C1451" t="s">
        <v>37</v>
      </c>
      <c r="D1451">
        <v>4.7098899999999997</v>
      </c>
      <c r="E1451">
        <v>0.46809200000000001</v>
      </c>
      <c r="F1451" t="s">
        <v>56</v>
      </c>
      <c r="G1451">
        <v>-290.92619999999999</v>
      </c>
      <c r="H1451" s="1">
        <v>2.6001229999999999E-6</v>
      </c>
      <c r="I1451">
        <v>281.9846</v>
      </c>
      <c r="J1451">
        <v>-268.51510000000002</v>
      </c>
      <c r="K1451">
        <v>1.1043049999999901</v>
      </c>
      <c r="L1451">
        <v>284.10329999999999</v>
      </c>
      <c r="M1451">
        <v>-0.99989629999999996</v>
      </c>
      <c r="N1451">
        <v>0</v>
      </c>
      <c r="O1451">
        <v>9.5701929999999994E-3</v>
      </c>
      <c r="P1451">
        <v>-0.99978579999999995</v>
      </c>
      <c r="Q1451">
        <v>1.892841E-2</v>
      </c>
      <c r="R1451">
        <v>-8.3967609999999904E-3</v>
      </c>
      <c r="S1451">
        <v>-3.0012509999999999</v>
      </c>
      <c r="T1451">
        <v>-0.14557339999999999</v>
      </c>
      <c r="U1451">
        <v>-0.2788696</v>
      </c>
      <c r="V1451">
        <v>-1.7983430000000002E-2</v>
      </c>
      <c r="W1451">
        <v>2.967382E-2</v>
      </c>
      <c r="X1451">
        <v>0.99939789999999995</v>
      </c>
      <c r="Y1451">
        <v>-0.1019147</v>
      </c>
      <c r="Z1451">
        <v>-2.9278949999999998E-3</v>
      </c>
      <c r="AA1451">
        <v>0.99478880000000003</v>
      </c>
      <c r="AB1451">
        <v>45</v>
      </c>
      <c r="AC1451">
        <v>-22.411099999999902</v>
      </c>
      <c r="AD1451">
        <v>-1.1043023998770001</v>
      </c>
      <c r="AE1451">
        <v>-2.1186999999999898</v>
      </c>
      <c r="AF1451">
        <v>-2.3274928278167399</v>
      </c>
      <c r="AG1451">
        <v>-1.1043023998770001</v>
      </c>
      <c r="AH1451">
        <v>22.3360443755383</v>
      </c>
      <c r="AI1451">
        <v>92.815201872288995</v>
      </c>
      <c r="AJ1451">
        <v>95.948947812381604</v>
      </c>
      <c r="AK1451">
        <v>22.484118506179598</v>
      </c>
    </row>
    <row r="1452" spans="1:37" x14ac:dyDescent="0.2">
      <c r="A1452" t="str">
        <f>"20200111153429010"</f>
        <v>20200111153429010</v>
      </c>
      <c r="B1452" t="str">
        <f>"1578728069007461"</f>
        <v>1578728069007461</v>
      </c>
      <c r="C1452" t="s">
        <v>37</v>
      </c>
      <c r="D1452">
        <v>4.7968080000000004</v>
      </c>
      <c r="E1452">
        <v>0.46817429999999899</v>
      </c>
      <c r="F1452" t="s">
        <v>56</v>
      </c>
      <c r="G1452">
        <v>-290.89550000000003</v>
      </c>
      <c r="H1452" s="1">
        <v>2.5937650000000001E-6</v>
      </c>
      <c r="I1452">
        <v>281.99489999999997</v>
      </c>
      <c r="J1452">
        <v>-268.77809999999999</v>
      </c>
      <c r="K1452">
        <v>1.104322</v>
      </c>
      <c r="L1452">
        <v>284.10579999999999</v>
      </c>
      <c r="M1452">
        <v>-0.99989439999999996</v>
      </c>
      <c r="N1452">
        <v>0</v>
      </c>
      <c r="O1452">
        <v>9.444236E-3</v>
      </c>
      <c r="P1452">
        <v>-0.99979079999999998</v>
      </c>
      <c r="Q1452">
        <v>1.8604760000000001E-2</v>
      </c>
      <c r="R1452">
        <v>-8.5186859999999993E-3</v>
      </c>
      <c r="S1452">
        <v>-3.001007</v>
      </c>
      <c r="T1452">
        <v>-0.14807699999999999</v>
      </c>
      <c r="U1452">
        <v>-0.28271479999999999</v>
      </c>
      <c r="V1452">
        <v>-1.7979160000000001E-2</v>
      </c>
      <c r="W1452">
        <v>2.9640449999999999E-2</v>
      </c>
      <c r="X1452">
        <v>0.99939889999999998</v>
      </c>
      <c r="Y1452">
        <v>-0.1030547</v>
      </c>
      <c r="Z1452">
        <v>-3.0001030000000001E-3</v>
      </c>
      <c r="AA1452">
        <v>0.99467119999999998</v>
      </c>
      <c r="AB1452">
        <v>45</v>
      </c>
      <c r="AC1452">
        <v>-22.1174</v>
      </c>
      <c r="AD1452">
        <v>-1.1043194062349999</v>
      </c>
      <c r="AE1452">
        <v>-2.1109000000000102</v>
      </c>
      <c r="AF1452">
        <v>-2.3139838593068802</v>
      </c>
      <c r="AG1452">
        <v>-1.1043194062349999</v>
      </c>
      <c r="AH1452">
        <v>22.042021829549501</v>
      </c>
      <c r="AI1452">
        <v>92.852507626714996</v>
      </c>
      <c r="AJ1452">
        <v>95.992991427822005</v>
      </c>
      <c r="AK1452">
        <v>22.1906459794765</v>
      </c>
    </row>
    <row r="1453" spans="1:37" x14ac:dyDescent="0.2">
      <c r="A1453" t="str">
        <f>"20200111153429023"</f>
        <v>20200111153429023</v>
      </c>
      <c r="B1453" t="str">
        <f>"1578728069018196"</f>
        <v>1578728069018196</v>
      </c>
      <c r="C1453" t="s">
        <v>37</v>
      </c>
      <c r="D1453">
        <v>4.6699070000000003</v>
      </c>
      <c r="E1453">
        <v>0.46817429999999899</v>
      </c>
      <c r="F1453" t="s">
        <v>56</v>
      </c>
      <c r="G1453">
        <v>-290.78899999999999</v>
      </c>
      <c r="H1453" s="1">
        <v>2.571435E-6</v>
      </c>
      <c r="I1453">
        <v>282.0342</v>
      </c>
      <c r="J1453">
        <v>-269.04300000000001</v>
      </c>
      <c r="K1453">
        <v>1.1043369999999999</v>
      </c>
      <c r="L1453">
        <v>284.10820000000001</v>
      </c>
      <c r="M1453">
        <v>-0.99989240000000001</v>
      </c>
      <c r="N1453">
        <v>0</v>
      </c>
      <c r="O1453">
        <v>9.3178949999999997E-3</v>
      </c>
      <c r="P1453">
        <v>-0.99978670000000003</v>
      </c>
      <c r="Q1453">
        <v>1.873091E-2</v>
      </c>
      <c r="R1453">
        <v>-8.7129600000000005E-3</v>
      </c>
      <c r="S1453">
        <v>-3.001007</v>
      </c>
      <c r="T1453">
        <v>-0.150565</v>
      </c>
      <c r="U1453">
        <v>-0.28244019999999997</v>
      </c>
      <c r="V1453">
        <v>-1.8047560000000001E-2</v>
      </c>
      <c r="W1453">
        <v>3.0044149999999999E-2</v>
      </c>
      <c r="X1453">
        <v>0.99938570000000004</v>
      </c>
      <c r="Y1453">
        <v>-0.1028347</v>
      </c>
      <c r="Z1453">
        <v>-3.0386369999999998E-3</v>
      </c>
      <c r="AA1453">
        <v>0.99469379999999996</v>
      </c>
      <c r="AB1453">
        <v>45</v>
      </c>
      <c r="AC1453">
        <v>-21.745999999999899</v>
      </c>
      <c r="AD1453">
        <v>-1.1043344285650001</v>
      </c>
      <c r="AE1453">
        <v>-2.0740000000000101</v>
      </c>
      <c r="AF1453">
        <v>-2.2707465546225398</v>
      </c>
      <c r="AG1453">
        <v>-1.1043344285650001</v>
      </c>
      <c r="AH1453">
        <v>21.6703463680299</v>
      </c>
      <c r="AI1453">
        <v>92.901446959569398</v>
      </c>
      <c r="AJ1453">
        <v>95.981958917877193</v>
      </c>
      <c r="AK1453">
        <v>21.816960286800501</v>
      </c>
    </row>
    <row r="1454" spans="1:37" x14ac:dyDescent="0.2">
      <c r="A1454" t="str">
        <f>"20200111153429041"</f>
        <v>20200111153429041</v>
      </c>
      <c r="B1454" t="str">
        <f>"1578728069037718"</f>
        <v>1578728069037718</v>
      </c>
      <c r="C1454" t="s">
        <v>37</v>
      </c>
      <c r="D1454">
        <v>4.7431229999999998</v>
      </c>
      <c r="E1454">
        <v>0.49745249999999902</v>
      </c>
      <c r="F1454" t="s">
        <v>56</v>
      </c>
      <c r="G1454">
        <v>-291.10640000000001</v>
      </c>
      <c r="H1454" s="1">
        <v>2.6283439999999998E-6</v>
      </c>
      <c r="I1454">
        <v>282.0274</v>
      </c>
      <c r="J1454">
        <v>-269.40699999999998</v>
      </c>
      <c r="K1454">
        <v>1.104358</v>
      </c>
      <c r="L1454">
        <v>284.11149999999998</v>
      </c>
      <c r="M1454">
        <v>-0.99988999999999995</v>
      </c>
      <c r="N1454">
        <v>0</v>
      </c>
      <c r="O1454">
        <v>9.1442940000000007E-3</v>
      </c>
      <c r="P1454">
        <v>-0.99977739999999904</v>
      </c>
      <c r="Q1454">
        <v>1.918311E-2</v>
      </c>
      <c r="R1454">
        <v>-8.7980309999999996E-3</v>
      </c>
      <c r="S1454">
        <v>-3.0009769999999998</v>
      </c>
      <c r="T1454">
        <v>-0.15020729999999999</v>
      </c>
      <c r="U1454">
        <v>-0.28301999999999999</v>
      </c>
      <c r="V1454">
        <v>-1.795944E-2</v>
      </c>
      <c r="W1454">
        <v>3.0845339999999999E-2</v>
      </c>
      <c r="X1454">
        <v>0.9993628</v>
      </c>
      <c r="Y1454">
        <v>-0.1028543</v>
      </c>
      <c r="Z1454">
        <v>-3.0232549999999999E-3</v>
      </c>
      <c r="AA1454">
        <v>0.99469180000000001</v>
      </c>
      <c r="AB1454">
        <v>45</v>
      </c>
      <c r="AC1454">
        <v>-21.699400000000001</v>
      </c>
      <c r="AD1454">
        <v>-1.104355371656</v>
      </c>
      <c r="AE1454">
        <v>-2.0840999999999701</v>
      </c>
      <c r="AF1454">
        <v>-2.2766092500986899</v>
      </c>
      <c r="AG1454">
        <v>-1.104355371656</v>
      </c>
      <c r="AH1454">
        <v>21.623936738206101</v>
      </c>
      <c r="AI1454">
        <v>92.907568890109701</v>
      </c>
      <c r="AJ1454">
        <v>96.0100683054971</v>
      </c>
      <c r="AK1454">
        <v>21.7714765351935</v>
      </c>
    </row>
    <row r="1455" spans="1:37" x14ac:dyDescent="0.2">
      <c r="A1455" t="str">
        <f>"20200111153429053"</f>
        <v>20200111153429053</v>
      </c>
      <c r="B1455" t="str">
        <f>"1578728069047477"</f>
        <v>1578728069047477</v>
      </c>
      <c r="C1455" t="s">
        <v>37</v>
      </c>
      <c r="D1455">
        <v>4.6650219999999996</v>
      </c>
      <c r="E1455">
        <v>0.49765529999999902</v>
      </c>
      <c r="F1455" t="s">
        <v>56</v>
      </c>
      <c r="G1455">
        <v>-300.7679</v>
      </c>
      <c r="H1455" s="1">
        <v>3.917301E-6</v>
      </c>
      <c r="I1455">
        <v>283.5992</v>
      </c>
      <c r="J1455">
        <v>-269.65159999999997</v>
      </c>
      <c r="K1455">
        <v>1.1043700000000001</v>
      </c>
      <c r="L1455">
        <v>284.11360000000002</v>
      </c>
      <c r="M1455">
        <v>-0.99988849999999996</v>
      </c>
      <c r="N1455">
        <v>0</v>
      </c>
      <c r="O1455">
        <v>9.0271669999999991E-3</v>
      </c>
      <c r="P1455">
        <v>-0.99976679999999996</v>
      </c>
      <c r="Q1455">
        <v>1.968866E-2</v>
      </c>
      <c r="R1455">
        <v>-8.8787620000000001E-3</v>
      </c>
      <c r="S1455">
        <v>-3.0022579999999999</v>
      </c>
      <c r="T1455">
        <v>-0.10572239999999999</v>
      </c>
      <c r="U1455">
        <v>-4.9041750000000002E-2</v>
      </c>
      <c r="V1455">
        <v>-1.79233E-2</v>
      </c>
      <c r="W1455">
        <v>3.1562630000000001E-2</v>
      </c>
      <c r="X1455">
        <v>0.99934109999999998</v>
      </c>
      <c r="Y1455">
        <v>-2.5337410000000001E-2</v>
      </c>
      <c r="Z1455">
        <v>-7.6374250000000004E-4</v>
      </c>
      <c r="AA1455">
        <v>0.99967870000000003</v>
      </c>
      <c r="AB1455">
        <v>45</v>
      </c>
      <c r="AC1455">
        <v>-31.116299999999999</v>
      </c>
      <c r="AD1455">
        <v>-1.1043660826990001</v>
      </c>
      <c r="AE1455">
        <v>-0.51440000000002295</v>
      </c>
      <c r="AF1455">
        <v>-0.79429069321290402</v>
      </c>
      <c r="AG1455">
        <v>-1.1043660826990001</v>
      </c>
      <c r="AH1455">
        <v>31.071259813130801</v>
      </c>
      <c r="AI1455">
        <v>92.034943282779594</v>
      </c>
      <c r="AJ1455">
        <v>91.464362732606702</v>
      </c>
      <c r="AK1455">
        <v>31.1010242359479</v>
      </c>
    </row>
    <row r="1456" spans="1:37" x14ac:dyDescent="0.2">
      <c r="A1456" t="str">
        <f>"20200111153429066"</f>
        <v>20200111153429066</v>
      </c>
      <c r="B1456" t="str">
        <f>"1578728069058212"</f>
        <v>1578728069058212</v>
      </c>
      <c r="C1456" t="s">
        <v>37</v>
      </c>
      <c r="D1456">
        <v>4.6503050000000004</v>
      </c>
      <c r="E1456">
        <v>0.49711869999999903</v>
      </c>
      <c r="F1456" t="s">
        <v>56</v>
      </c>
      <c r="G1456">
        <v>-302.1454</v>
      </c>
      <c r="H1456" s="1">
        <v>3.6731809999999999E-6</v>
      </c>
      <c r="I1456">
        <v>283.5967</v>
      </c>
      <c r="J1456">
        <v>-269.89260000000002</v>
      </c>
      <c r="K1456">
        <v>1.104376</v>
      </c>
      <c r="L1456">
        <v>284.11559999999997</v>
      </c>
      <c r="M1456">
        <v>-0.99988729999999904</v>
      </c>
      <c r="N1456">
        <v>0</v>
      </c>
      <c r="O1456">
        <v>8.9114929999999995E-3</v>
      </c>
      <c r="P1456">
        <v>-0.99976160000000003</v>
      </c>
      <c r="Q1456">
        <v>1.9923429999999999E-2</v>
      </c>
      <c r="R1456">
        <v>-8.9425319999999996E-3</v>
      </c>
      <c r="S1456">
        <v>-3.00228899999999</v>
      </c>
      <c r="T1456">
        <v>-0.102038899999999</v>
      </c>
      <c r="U1456">
        <v>-4.7760009999999999E-2</v>
      </c>
      <c r="V1456">
        <v>-1.787207E-2</v>
      </c>
      <c r="W1456">
        <v>3.199395E-2</v>
      </c>
      <c r="X1456">
        <v>0.99932829999999995</v>
      </c>
      <c r="Y1456">
        <v>-2.4796780000000001E-2</v>
      </c>
      <c r="Z1456">
        <v>-7.2402909999999998E-4</v>
      </c>
      <c r="AA1456">
        <v>0.99969229999999998</v>
      </c>
      <c r="AB1456">
        <v>45</v>
      </c>
      <c r="AC1456">
        <v>-32.252799999999901</v>
      </c>
      <c r="AD1456">
        <v>-1.104372326819</v>
      </c>
      <c r="AE1456">
        <v>-0.51889999999997305</v>
      </c>
      <c r="AF1456">
        <v>-0.80537695004641197</v>
      </c>
      <c r="AG1456">
        <v>-1.104372326819</v>
      </c>
      <c r="AH1456">
        <v>32.209140607218202</v>
      </c>
      <c r="AI1456">
        <v>91.963149113682903</v>
      </c>
      <c r="AJ1456">
        <v>91.432360065103396</v>
      </c>
      <c r="AK1456">
        <v>32.238129736749002</v>
      </c>
    </row>
    <row r="1457" spans="1:37" x14ac:dyDescent="0.2">
      <c r="A1457" t="str">
        <f>"20200111153429077"</f>
        <v>20200111153429077</v>
      </c>
      <c r="B1457" t="str">
        <f>"1578728069067973"</f>
        <v>1578728069067973</v>
      </c>
      <c r="C1457" t="s">
        <v>37</v>
      </c>
      <c r="D1457">
        <v>4.6952600000000002</v>
      </c>
      <c r="E1457">
        <v>0.49688880000000002</v>
      </c>
      <c r="F1457" t="s">
        <v>56</v>
      </c>
      <c r="G1457">
        <v>-303.762</v>
      </c>
      <c r="H1457" s="1">
        <v>3.3924419999999998E-6</v>
      </c>
      <c r="I1457">
        <v>283.52789999999999</v>
      </c>
      <c r="J1457">
        <v>-270.14159999999998</v>
      </c>
      <c r="K1457">
        <v>1.104384</v>
      </c>
      <c r="L1457">
        <v>284.11779999999999</v>
      </c>
      <c r="M1457">
        <v>-0.999886099999999</v>
      </c>
      <c r="N1457">
        <v>0</v>
      </c>
      <c r="O1457">
        <v>8.7915979999999994E-3</v>
      </c>
      <c r="P1457">
        <v>-0.99976239999999905</v>
      </c>
      <c r="Q1457">
        <v>1.979359E-2</v>
      </c>
      <c r="R1457">
        <v>-9.1406290000000008E-3</v>
      </c>
      <c r="S1457">
        <v>-3.002167</v>
      </c>
      <c r="T1457">
        <v>-9.789109E-2</v>
      </c>
      <c r="U1457">
        <v>-5.2093510000000003E-2</v>
      </c>
      <c r="V1457">
        <v>-1.795018E-2</v>
      </c>
      <c r="W1457">
        <v>3.2056380000000002E-2</v>
      </c>
      <c r="X1457">
        <v>0.99932489999999996</v>
      </c>
      <c r="Y1457">
        <v>-2.612107E-2</v>
      </c>
      <c r="Z1457">
        <v>-7.123098E-4</v>
      </c>
      <c r="AA1457">
        <v>0.99965849999999901</v>
      </c>
      <c r="AB1457">
        <v>45</v>
      </c>
      <c r="AC1457">
        <v>-33.620399999999997</v>
      </c>
      <c r="AD1457">
        <v>-1.104380607558</v>
      </c>
      <c r="AE1457">
        <v>-0.58989999999999998</v>
      </c>
      <c r="AF1457">
        <v>-0.88452235548959701</v>
      </c>
      <c r="AG1457">
        <v>-1.104380607558</v>
      </c>
      <c r="AH1457">
        <v>33.577693883857798</v>
      </c>
      <c r="AI1457">
        <v>91.883143803001502</v>
      </c>
      <c r="AJ1457">
        <v>91.508968431553697</v>
      </c>
      <c r="AK1457">
        <v>33.607492659848504</v>
      </c>
    </row>
    <row r="1458" spans="1:37" x14ac:dyDescent="0.2">
      <c r="A1458" t="str">
        <f>"20200111153429090"</f>
        <v>20200111153429090</v>
      </c>
      <c r="B1458" t="str">
        <f>"1578728069077733"</f>
        <v>1578728069077733</v>
      </c>
      <c r="C1458" t="s">
        <v>37</v>
      </c>
      <c r="D1458">
        <v>5.8337459999999997</v>
      </c>
      <c r="E1458">
        <v>0.4969229</v>
      </c>
      <c r="F1458" t="s">
        <v>56</v>
      </c>
      <c r="G1458">
        <v>-304.74520000000001</v>
      </c>
      <c r="H1458" s="1">
        <v>3.2213279999999999E-6</v>
      </c>
      <c r="I1458">
        <v>283.49020000000002</v>
      </c>
      <c r="J1458">
        <v>-270.37959999999998</v>
      </c>
      <c r="K1458">
        <v>1.1043879999999999</v>
      </c>
      <c r="L1458">
        <v>284.1198</v>
      </c>
      <c r="M1458">
        <v>-0.99988489999999997</v>
      </c>
      <c r="N1458">
        <v>0</v>
      </c>
      <c r="O1458">
        <v>8.6770489999999992E-3</v>
      </c>
      <c r="P1458">
        <v>-0.99975859999999905</v>
      </c>
      <c r="Q1458">
        <v>1.9892389999999999E-2</v>
      </c>
      <c r="R1458">
        <v>-9.3337200000000002E-3</v>
      </c>
      <c r="S1458">
        <v>-3.0021059999999999</v>
      </c>
      <c r="T1458">
        <v>-9.5812800000000004E-2</v>
      </c>
      <c r="U1458">
        <v>-5.4443360000000003E-2</v>
      </c>
      <c r="V1458">
        <v>-1.802865E-2</v>
      </c>
      <c r="W1458">
        <v>3.2319939999999998E-2</v>
      </c>
      <c r="X1458">
        <v>0.99931499999999995</v>
      </c>
      <c r="Y1458">
        <v>-2.6789629999999998E-2</v>
      </c>
      <c r="Z1458">
        <v>-7.0421489999999997E-4</v>
      </c>
      <c r="AA1458">
        <v>0.9996408</v>
      </c>
      <c r="AB1458">
        <v>45</v>
      </c>
      <c r="AC1458">
        <v>-34.365600000000001</v>
      </c>
      <c r="AD1458">
        <v>-1.104384778672</v>
      </c>
      <c r="AE1458">
        <v>-0.62959999999998195</v>
      </c>
      <c r="AF1458">
        <v>-0.92683452407691402</v>
      </c>
      <c r="AG1458">
        <v>-1.104384778672</v>
      </c>
      <c r="AH1458">
        <v>34.323407146654503</v>
      </c>
      <c r="AI1458">
        <v>91.842233512725301</v>
      </c>
      <c r="AJ1458">
        <v>91.546781323235706</v>
      </c>
      <c r="AK1458">
        <v>34.3536747107118</v>
      </c>
    </row>
    <row r="1459" spans="1:37" x14ac:dyDescent="0.2">
      <c r="A1459" t="str">
        <f>"20200111153429107"</f>
        <v>20200111153429107</v>
      </c>
      <c r="B1459" t="str">
        <f>"1578728069097255"</f>
        <v>1578728069097255</v>
      </c>
      <c r="C1459" t="s">
        <v>37</v>
      </c>
      <c r="D1459">
        <v>4.661937</v>
      </c>
      <c r="E1459">
        <v>0.49601149999999999</v>
      </c>
      <c r="F1459" t="s">
        <v>56</v>
      </c>
      <c r="G1459">
        <v>-306.137</v>
      </c>
      <c r="H1459" s="1">
        <v>2.9765869999999999E-6</v>
      </c>
      <c r="I1459">
        <v>283.46589999999998</v>
      </c>
      <c r="J1459">
        <v>-270.74110000000002</v>
      </c>
      <c r="K1459">
        <v>1.104401</v>
      </c>
      <c r="L1459">
        <v>284.12279999999998</v>
      </c>
      <c r="M1459">
        <v>-0.99988349999999904</v>
      </c>
      <c r="N1459">
        <v>0</v>
      </c>
      <c r="O1459">
        <v>8.5029690000000008E-3</v>
      </c>
      <c r="P1459">
        <v>-0.99975429999999998</v>
      </c>
      <c r="Q1459">
        <v>1.9869040000000001E-2</v>
      </c>
      <c r="R1459">
        <v>-9.8345969999999901E-3</v>
      </c>
      <c r="S1459">
        <v>-3.002014</v>
      </c>
      <c r="T1459">
        <v>-9.2718960000000003E-2</v>
      </c>
      <c r="U1459">
        <v>-5.4901119999999998E-2</v>
      </c>
      <c r="V1459">
        <v>-1.8355409999999999E-2</v>
      </c>
      <c r="W1459">
        <v>3.2529639999999999E-2</v>
      </c>
      <c r="X1459">
        <v>0.99930219999999903</v>
      </c>
      <c r="Y1459">
        <v>-2.6769790000000002E-2</v>
      </c>
      <c r="Z1459">
        <v>-6.758256E-4</v>
      </c>
      <c r="AA1459">
        <v>0.99964140000000001</v>
      </c>
      <c r="AB1459">
        <v>45</v>
      </c>
      <c r="AC1459">
        <v>-35.395899999999898</v>
      </c>
      <c r="AD1459">
        <v>-1.104398023413</v>
      </c>
      <c r="AE1459">
        <v>-0.65690000000000703</v>
      </c>
      <c r="AF1459">
        <v>-0.95693939300993203</v>
      </c>
      <c r="AG1459">
        <v>-1.104398023413</v>
      </c>
      <c r="AH1459">
        <v>35.354627529991099</v>
      </c>
      <c r="AI1459">
        <v>91.788553196603104</v>
      </c>
      <c r="AJ1459">
        <v>91.550439327174104</v>
      </c>
      <c r="AK1459">
        <v>35.384814762556303</v>
      </c>
    </row>
    <row r="1460" spans="1:37" x14ac:dyDescent="0.2">
      <c r="A1460" t="str">
        <f>"20200111153429122"</f>
        <v>20200111153429122</v>
      </c>
      <c r="B1460" t="str">
        <f>"1578728069117749"</f>
        <v>1578728069117749</v>
      </c>
      <c r="C1460" t="s">
        <v>37</v>
      </c>
      <c r="D1460">
        <v>4.6651590000000001</v>
      </c>
      <c r="E1460">
        <v>0.49568269999999998</v>
      </c>
      <c r="F1460" t="s">
        <v>56</v>
      </c>
      <c r="G1460">
        <v>-304.7996</v>
      </c>
      <c r="H1460" s="1">
        <v>3.2195869999999999E-6</v>
      </c>
      <c r="I1460">
        <v>283.39980000000003</v>
      </c>
      <c r="J1460">
        <v>-271.01979999999998</v>
      </c>
      <c r="K1460">
        <v>1.1044069999999999</v>
      </c>
      <c r="L1460">
        <v>284.12509999999997</v>
      </c>
      <c r="M1460">
        <v>-0.99988250000000001</v>
      </c>
      <c r="N1460">
        <v>0</v>
      </c>
      <c r="O1460">
        <v>8.3683049999999995E-3</v>
      </c>
      <c r="P1460">
        <v>-0.99975059999999905</v>
      </c>
      <c r="Q1460">
        <v>1.9979520000000001E-2</v>
      </c>
      <c r="R1460">
        <v>-9.9754809999999996E-3</v>
      </c>
      <c r="S1460">
        <v>-3.0020449999999999</v>
      </c>
      <c r="T1460">
        <v>-9.7345829999999994E-2</v>
      </c>
      <c r="U1460">
        <v>-6.3720700000000005E-2</v>
      </c>
      <c r="V1460">
        <v>-1.8361909999999999E-2</v>
      </c>
      <c r="W1460">
        <v>3.2804630000000001E-2</v>
      </c>
      <c r="X1460">
        <v>0.99929310000000005</v>
      </c>
      <c r="Y1460">
        <v>-2.9567420000000001E-2</v>
      </c>
      <c r="Z1460">
        <v>-7.5048349999999998E-4</v>
      </c>
      <c r="AA1460">
        <v>0.99956250000000002</v>
      </c>
      <c r="AB1460">
        <v>45</v>
      </c>
      <c r="AC1460">
        <v>-33.779800000000002</v>
      </c>
      <c r="AD1460">
        <v>-1.104403780413</v>
      </c>
      <c r="AE1460">
        <v>-0.72529999999994699</v>
      </c>
      <c r="AF1460">
        <v>-1.0069017941065099</v>
      </c>
      <c r="AG1460">
        <v>-1.104403780413</v>
      </c>
      <c r="AH1460">
        <v>33.736502269798002</v>
      </c>
      <c r="AI1460">
        <v>91.8741406860604</v>
      </c>
      <c r="AJ1460">
        <v>91.709545988730596</v>
      </c>
      <c r="AK1460">
        <v>33.7695890459634</v>
      </c>
    </row>
    <row r="1461" spans="1:37" x14ac:dyDescent="0.2">
      <c r="A1461" t="str">
        <f>"20200111153429141"</f>
        <v>20200111153429141</v>
      </c>
      <c r="B1461" t="str">
        <f>"1578728069137777"</f>
        <v>1578728069137777</v>
      </c>
      <c r="C1461" t="s">
        <v>37</v>
      </c>
      <c r="D1461">
        <v>4.6132720000000003</v>
      </c>
      <c r="E1461">
        <v>0.49576329999999902</v>
      </c>
      <c r="F1461" t="s">
        <v>56</v>
      </c>
      <c r="G1461">
        <v>-306.21429999999998</v>
      </c>
      <c r="H1461" s="1">
        <v>2.973668E-6</v>
      </c>
      <c r="I1461">
        <v>283.34219999999999</v>
      </c>
      <c r="J1461">
        <v>-271.41730000000001</v>
      </c>
      <c r="K1461">
        <v>1.104419</v>
      </c>
      <c r="L1461">
        <v>284.12819999999999</v>
      </c>
      <c r="M1461">
        <v>-0.99988140000000003</v>
      </c>
      <c r="N1461">
        <v>0</v>
      </c>
      <c r="O1461">
        <v>8.1759940000000007E-3</v>
      </c>
      <c r="P1461">
        <v>-0.99974719999999995</v>
      </c>
      <c r="Q1461">
        <v>2.0033680000000002E-2</v>
      </c>
      <c r="R1461">
        <v>-1.0202950000000001E-2</v>
      </c>
      <c r="S1461">
        <v>-3.0019529999999999</v>
      </c>
      <c r="T1461">
        <v>-9.420133E-2</v>
      </c>
      <c r="U1461">
        <v>-6.6772460000000006E-2</v>
      </c>
      <c r="V1461">
        <v>-1.839702E-2</v>
      </c>
      <c r="W1461">
        <v>3.3068180000000003E-2</v>
      </c>
      <c r="X1461">
        <v>0.99928379999999895</v>
      </c>
      <c r="Y1461">
        <v>-3.0392450000000001E-2</v>
      </c>
      <c r="Z1461">
        <v>-7.3317509999999903E-4</v>
      </c>
      <c r="AA1461">
        <v>0.99953780000000003</v>
      </c>
      <c r="AB1461">
        <v>45</v>
      </c>
      <c r="AC1461">
        <v>-34.796999999999898</v>
      </c>
      <c r="AD1461">
        <v>-1.104416026332</v>
      </c>
      <c r="AE1461">
        <v>-0.78600000000000103</v>
      </c>
      <c r="AF1461">
        <v>-1.0694212856766301</v>
      </c>
      <c r="AG1461">
        <v>-1.104416026332</v>
      </c>
      <c r="AH1461">
        <v>34.7544177463407</v>
      </c>
      <c r="AI1461">
        <v>91.819256033109696</v>
      </c>
      <c r="AJ1461">
        <v>91.762480928116304</v>
      </c>
      <c r="AK1461">
        <v>34.788402514812901</v>
      </c>
    </row>
    <row r="1462" spans="1:37" x14ac:dyDescent="0.2">
      <c r="A1462" t="str">
        <f>"20200111153429155"</f>
        <v>20200111153429155</v>
      </c>
      <c r="B1462" t="str">
        <f>"1578728069147537"</f>
        <v>1578728069147537</v>
      </c>
      <c r="C1462" t="s">
        <v>37</v>
      </c>
      <c r="D1462">
        <v>4.6251030000000002</v>
      </c>
      <c r="E1462">
        <v>0.49571609999999999</v>
      </c>
      <c r="F1462" t="s">
        <v>56</v>
      </c>
      <c r="G1462">
        <v>-307.00790000000001</v>
      </c>
      <c r="H1462" s="1">
        <v>2.833466E-6</v>
      </c>
      <c r="I1462">
        <v>283.33580000000001</v>
      </c>
      <c r="J1462">
        <v>-271.68610000000001</v>
      </c>
      <c r="K1462">
        <v>1.104425</v>
      </c>
      <c r="L1462">
        <v>284.13029999999998</v>
      </c>
      <c r="M1462">
        <v>-0.99988089999999996</v>
      </c>
      <c r="N1462">
        <v>0</v>
      </c>
      <c r="O1462">
        <v>8.0462109999999993E-3</v>
      </c>
      <c r="P1462">
        <v>-0.99974779999999996</v>
      </c>
      <c r="Q1462">
        <v>1.9936579999999999E-2</v>
      </c>
      <c r="R1462">
        <v>-1.035029E-2</v>
      </c>
      <c r="S1462">
        <v>-3.0019529999999999</v>
      </c>
      <c r="T1462">
        <v>-9.3153949999999999E-2</v>
      </c>
      <c r="U1462">
        <v>-6.6833500000000004E-2</v>
      </c>
      <c r="V1462">
        <v>-1.8414630000000001E-2</v>
      </c>
      <c r="W1462">
        <v>3.3097719999999997E-2</v>
      </c>
      <c r="X1462">
        <v>0.99928249999999996</v>
      </c>
      <c r="Y1462">
        <v>-3.0283569999999999E-2</v>
      </c>
      <c r="Z1462">
        <v>-7.1931229999999896E-4</v>
      </c>
      <c r="AA1462">
        <v>0.99954109999999996</v>
      </c>
      <c r="AB1462">
        <v>45</v>
      </c>
      <c r="AC1462">
        <v>-35.321800000000003</v>
      </c>
      <c r="AD1462">
        <v>-1.1044221665339999</v>
      </c>
      <c r="AE1462">
        <v>-0.79449999999997001</v>
      </c>
      <c r="AF1462">
        <v>-1.0776525454028001</v>
      </c>
      <c r="AG1462">
        <v>-1.1044221665339999</v>
      </c>
      <c r="AH1462">
        <v>35.279789183694902</v>
      </c>
      <c r="AI1462">
        <v>91.792204551962399</v>
      </c>
      <c r="AJ1462">
        <v>91.7496065331041</v>
      </c>
      <c r="AK1462">
        <v>35.313518773643899</v>
      </c>
    </row>
    <row r="1463" spans="1:37" x14ac:dyDescent="0.2">
      <c r="A1463" t="str">
        <f>"20200111153429168"</f>
        <v>20200111153429168</v>
      </c>
      <c r="B1463" t="str">
        <f>"1578728069157297"</f>
        <v>1578728069157297</v>
      </c>
      <c r="C1463" t="s">
        <v>37</v>
      </c>
      <c r="D1463">
        <v>4.6254029999999897</v>
      </c>
      <c r="E1463">
        <v>0.4957665</v>
      </c>
      <c r="F1463" t="s">
        <v>56</v>
      </c>
      <c r="G1463">
        <v>-307.39449999999999</v>
      </c>
      <c r="H1463" s="1">
        <v>2.7659469999999999E-6</v>
      </c>
      <c r="I1463">
        <v>283.32369999999997</v>
      </c>
      <c r="J1463">
        <v>-271.94049999999999</v>
      </c>
      <c r="K1463">
        <v>1.1044309999999999</v>
      </c>
      <c r="L1463">
        <v>284.13229999999999</v>
      </c>
      <c r="M1463">
        <v>-0.99988029999999894</v>
      </c>
      <c r="N1463">
        <v>0</v>
      </c>
      <c r="O1463">
        <v>7.9236910000000001E-3</v>
      </c>
      <c r="P1463">
        <v>-0.99974479999999999</v>
      </c>
      <c r="Q1463">
        <v>1.9964630000000001E-2</v>
      </c>
      <c r="R1463">
        <v>-1.0556340000000001E-2</v>
      </c>
      <c r="S1463">
        <v>-3.0018919999999998</v>
      </c>
      <c r="T1463">
        <v>-9.2845200000000003E-2</v>
      </c>
      <c r="U1463">
        <v>-6.7810060000000005E-2</v>
      </c>
      <c r="V1463">
        <v>-1.849841E-2</v>
      </c>
      <c r="W1463">
        <v>3.3234979999999997E-2</v>
      </c>
      <c r="X1463">
        <v>0.99927630000000001</v>
      </c>
      <c r="Y1463">
        <v>-3.0486650000000001E-2</v>
      </c>
      <c r="Z1463">
        <v>-7.1629279999999896E-4</v>
      </c>
      <c r="AA1463">
        <v>0.9995349</v>
      </c>
      <c r="AB1463">
        <v>45</v>
      </c>
      <c r="AC1463">
        <v>-35.454000000000001</v>
      </c>
      <c r="AD1463">
        <v>-1.1044282340529901</v>
      </c>
      <c r="AE1463">
        <v>-0.80860000000001198</v>
      </c>
      <c r="AF1463">
        <v>-1.0884702739315399</v>
      </c>
      <c r="AG1463">
        <v>-1.1044282340529901</v>
      </c>
      <c r="AH1463">
        <v>35.412133562712697</v>
      </c>
      <c r="AI1463">
        <v>91.785510311897497</v>
      </c>
      <c r="AJ1463">
        <v>91.760558244586093</v>
      </c>
      <c r="AK1463">
        <v>35.446067944481598</v>
      </c>
    </row>
    <row r="1464" spans="1:37" x14ac:dyDescent="0.2">
      <c r="A1464" t="str">
        <f>"20200111153429187"</f>
        <v>20200111153429187</v>
      </c>
      <c r="B1464" t="str">
        <f>"1578728069177796"</f>
        <v>1578728069177796</v>
      </c>
      <c r="C1464" t="s">
        <v>37</v>
      </c>
      <c r="D1464">
        <v>4.5988899999999999</v>
      </c>
      <c r="E1464">
        <v>0.49561430000000001</v>
      </c>
      <c r="F1464" t="s">
        <v>56</v>
      </c>
      <c r="G1464">
        <v>-307.90809999999999</v>
      </c>
      <c r="H1464" s="1">
        <v>2.6751149999999998E-6</v>
      </c>
      <c r="I1464">
        <v>283.32049999999998</v>
      </c>
      <c r="J1464">
        <v>-272.32580000000002</v>
      </c>
      <c r="K1464">
        <v>1.1044430000000001</v>
      </c>
      <c r="L1464">
        <v>284.13510000000002</v>
      </c>
      <c r="M1464">
        <v>-0.99987979999999999</v>
      </c>
      <c r="N1464">
        <v>0</v>
      </c>
      <c r="O1464">
        <v>7.7386529999999999E-3</v>
      </c>
      <c r="P1464">
        <v>-0.99974789999999902</v>
      </c>
      <c r="Q1464">
        <v>1.9633279999999999E-2</v>
      </c>
      <c r="R1464">
        <v>-1.090288E-2</v>
      </c>
      <c r="S1464">
        <v>-3.001862</v>
      </c>
      <c r="T1464">
        <v>-9.2175599999999996E-2</v>
      </c>
      <c r="U1464">
        <v>-6.7749019999999993E-2</v>
      </c>
      <c r="V1464">
        <v>-1.865957E-2</v>
      </c>
      <c r="W1464">
        <v>3.305483E-2</v>
      </c>
      <c r="X1464">
        <v>0.99927929999999998</v>
      </c>
      <c r="Y1464">
        <v>-3.0282050000000001E-2</v>
      </c>
      <c r="Z1464">
        <v>-7.0231669999999897E-4</v>
      </c>
      <c r="AA1464">
        <v>0.99954120000000002</v>
      </c>
      <c r="AB1464">
        <v>45</v>
      </c>
      <c r="AC1464">
        <v>-35.582299999999897</v>
      </c>
      <c r="AD1464">
        <v>-1.1044403248850001</v>
      </c>
      <c r="AE1464">
        <v>-0.81460000000004096</v>
      </c>
      <c r="AF1464">
        <v>-1.08891099928738</v>
      </c>
      <c r="AG1464">
        <v>-1.1044403248850001</v>
      </c>
      <c r="AH1464">
        <v>35.5407071056581</v>
      </c>
      <c r="AI1464">
        <v>91.779079983027501</v>
      </c>
      <c r="AJ1464">
        <v>91.754902997088806</v>
      </c>
      <c r="AK1464">
        <v>35.574532704812597</v>
      </c>
    </row>
    <row r="1465" spans="1:37" x14ac:dyDescent="0.2">
      <c r="A1465" t="str">
        <f>"20200111153429200"</f>
        <v>20200111153429200</v>
      </c>
      <c r="B1465" t="str">
        <f>"1578728069187553"</f>
        <v>1578728069187553</v>
      </c>
      <c r="C1465" t="s">
        <v>37</v>
      </c>
      <c r="D1465">
        <v>4.6031579999999996</v>
      </c>
      <c r="E1465">
        <v>0.4956103</v>
      </c>
      <c r="F1465" t="s">
        <v>56</v>
      </c>
      <c r="G1465">
        <v>-308.03210000000001</v>
      </c>
      <c r="H1465" s="1">
        <v>2.6550189999999999E-6</v>
      </c>
      <c r="I1465">
        <v>283.29880000000003</v>
      </c>
      <c r="J1465">
        <v>-272.59289999999999</v>
      </c>
      <c r="K1465">
        <v>1.104449</v>
      </c>
      <c r="L1465">
        <v>284.13709999999998</v>
      </c>
      <c r="M1465">
        <v>-0.99987950000000003</v>
      </c>
      <c r="N1465">
        <v>0</v>
      </c>
      <c r="O1465">
        <v>7.6113359999999998E-3</v>
      </c>
      <c r="P1465">
        <v>-0.99974569999999996</v>
      </c>
      <c r="Q1465">
        <v>1.9599599999999998E-2</v>
      </c>
      <c r="R1465">
        <v>-1.116907E-2</v>
      </c>
      <c r="S1465">
        <v>-3.0018009999999999</v>
      </c>
      <c r="T1465">
        <v>-9.2849370000000001E-2</v>
      </c>
      <c r="U1465">
        <v>-7.03125E-2</v>
      </c>
      <c r="V1465">
        <v>-1.879867E-2</v>
      </c>
      <c r="W1465">
        <v>3.311679E-2</v>
      </c>
      <c r="X1465">
        <v>0.99927469999999996</v>
      </c>
      <c r="Y1465">
        <v>-3.100783E-2</v>
      </c>
      <c r="Z1465">
        <v>-7.1473929999999895E-4</v>
      </c>
      <c r="AA1465">
        <v>0.99951889999999999</v>
      </c>
      <c r="AB1465">
        <v>45</v>
      </c>
      <c r="AC1465">
        <v>-35.4392</v>
      </c>
      <c r="AD1465">
        <v>-1.104446344981</v>
      </c>
      <c r="AE1465">
        <v>-0.83829999999994698</v>
      </c>
      <c r="AF1465">
        <v>-1.1069655480431</v>
      </c>
      <c r="AG1465">
        <v>-1.104446344981</v>
      </c>
      <c r="AH1465">
        <v>35.3974323205357</v>
      </c>
      <c r="AI1465">
        <v>91.786251064466597</v>
      </c>
      <c r="AJ1465">
        <v>91.791197446785404</v>
      </c>
      <c r="AK1465">
        <v>35.431954353950097</v>
      </c>
    </row>
    <row r="1466" spans="1:37" x14ac:dyDescent="0.2">
      <c r="A1466" t="str">
        <f>"20200111153429212"</f>
        <v>20200111153429212</v>
      </c>
      <c r="B1466" t="str">
        <f>"1578728069208049"</f>
        <v>1578728069208049</v>
      </c>
      <c r="C1466" t="s">
        <v>37</v>
      </c>
      <c r="D1466">
        <v>4.6180680000000001</v>
      </c>
      <c r="E1466">
        <v>0.49556650000000002</v>
      </c>
      <c r="F1466" t="s">
        <v>56</v>
      </c>
      <c r="G1466">
        <v>-308.15719999999999</v>
      </c>
      <c r="H1466" s="1">
        <v>2.63309799999999E-6</v>
      </c>
      <c r="I1466">
        <v>283.29579999999999</v>
      </c>
      <c r="J1466">
        <v>-272.8372</v>
      </c>
      <c r="K1466">
        <v>1.1044529999999999</v>
      </c>
      <c r="L1466">
        <v>284.13889999999998</v>
      </c>
      <c r="M1466">
        <v>-0.99987919999999997</v>
      </c>
      <c r="N1466">
        <v>0</v>
      </c>
      <c r="O1466">
        <v>7.4967799999999998E-3</v>
      </c>
      <c r="P1466">
        <v>-0.99974099999999999</v>
      </c>
      <c r="Q1466">
        <v>1.9696189999999999E-2</v>
      </c>
      <c r="R1466">
        <v>-1.1389450000000001E-2</v>
      </c>
      <c r="S1466">
        <v>-3.0018009999999999</v>
      </c>
      <c r="T1466">
        <v>-9.3220709999999998E-2</v>
      </c>
      <c r="U1466">
        <v>-7.1014399999999894E-2</v>
      </c>
      <c r="V1466">
        <v>-1.8904339999999999E-2</v>
      </c>
      <c r="W1466">
        <v>3.3291210000000002E-2</v>
      </c>
      <c r="X1466">
        <v>0.99926689999999996</v>
      </c>
      <c r="Y1466">
        <v>-3.112676E-2</v>
      </c>
      <c r="Z1466">
        <v>-7.158841E-4</v>
      </c>
      <c r="AA1466">
        <v>0.99951520000000005</v>
      </c>
      <c r="AB1466">
        <v>45</v>
      </c>
      <c r="AC1466">
        <v>-35.319999999999901</v>
      </c>
      <c r="AD1466">
        <v>-1.104450366902</v>
      </c>
      <c r="AE1466">
        <v>-0.84309999999999197</v>
      </c>
      <c r="AF1466">
        <v>-1.1068054994126699</v>
      </c>
      <c r="AG1466">
        <v>-1.104450366902</v>
      </c>
      <c r="AH1466">
        <v>35.278210689878101</v>
      </c>
      <c r="AI1466">
        <v>91.792284567918401</v>
      </c>
      <c r="AJ1466">
        <v>91.796987099003204</v>
      </c>
      <c r="AK1466">
        <v>35.312844384245103</v>
      </c>
    </row>
    <row r="1467" spans="1:37" x14ac:dyDescent="0.2">
      <c r="A1467" t="str">
        <f>"20200111153429225"</f>
        <v>20200111153429225</v>
      </c>
      <c r="B1467" t="str">
        <f>"1578728069217809"</f>
        <v>1578728069217809</v>
      </c>
      <c r="C1467" t="s">
        <v>37</v>
      </c>
      <c r="D1467">
        <v>4.5816439999999998</v>
      </c>
      <c r="E1467">
        <v>0.49565169999999997</v>
      </c>
      <c r="F1467" t="s">
        <v>56</v>
      </c>
      <c r="G1467">
        <v>-308.21769999999998</v>
      </c>
      <c r="H1467" s="1">
        <v>2.622957E-6</v>
      </c>
      <c r="I1467">
        <v>283.28899999999999</v>
      </c>
      <c r="J1467">
        <v>-273.08510000000001</v>
      </c>
      <c r="K1467">
        <v>1.104454</v>
      </c>
      <c r="L1467">
        <v>284.14069999999998</v>
      </c>
      <c r="M1467">
        <v>-0.99987909999999902</v>
      </c>
      <c r="N1467">
        <v>0</v>
      </c>
      <c r="O1467">
        <v>7.3812440000000003E-3</v>
      </c>
      <c r="P1467">
        <v>-0.99973579999999995</v>
      </c>
      <c r="Q1467">
        <v>1.99072E-2</v>
      </c>
      <c r="R1467">
        <v>-1.148418E-2</v>
      </c>
      <c r="S1467">
        <v>-3.0018009999999999</v>
      </c>
      <c r="T1467">
        <v>-9.3705419999999998E-2</v>
      </c>
      <c r="U1467">
        <v>-7.2113040000000003E-2</v>
      </c>
      <c r="V1467">
        <v>-1.8883199999999999E-2</v>
      </c>
      <c r="W1467">
        <v>3.3576199999999903E-2</v>
      </c>
      <c r="X1467">
        <v>0.99925769999999903</v>
      </c>
      <c r="Y1467">
        <v>-3.1376620000000001E-2</v>
      </c>
      <c r="Z1467">
        <v>-7.1989449999999996E-4</v>
      </c>
      <c r="AA1467">
        <v>0.99950740000000005</v>
      </c>
      <c r="AB1467">
        <v>45</v>
      </c>
      <c r="AC1467">
        <v>-35.132599999999897</v>
      </c>
      <c r="AD1467">
        <v>-1.104451377043</v>
      </c>
      <c r="AE1467">
        <v>-0.85169999999999302</v>
      </c>
      <c r="AF1467">
        <v>-1.10992712023929</v>
      </c>
      <c r="AG1467">
        <v>-1.104451377043</v>
      </c>
      <c r="AH1467">
        <v>35.090697077139602</v>
      </c>
      <c r="AI1467">
        <v>91.801842779785602</v>
      </c>
      <c r="AJ1467">
        <v>91.811675159572403</v>
      </c>
      <c r="AK1467">
        <v>35.125614192723702</v>
      </c>
    </row>
    <row r="1468" spans="1:37" x14ac:dyDescent="0.2">
      <c r="A1468" t="str">
        <f>"20200111153429242"</f>
        <v>20200111153429242</v>
      </c>
      <c r="B1468" t="str">
        <f>"1578728069237839"</f>
        <v>1578728069237839</v>
      </c>
      <c r="C1468" t="s">
        <v>37</v>
      </c>
      <c r="D1468">
        <v>4.6071739999999997</v>
      </c>
      <c r="E1468">
        <v>0.47561740000000002</v>
      </c>
      <c r="F1468" t="s">
        <v>56</v>
      </c>
      <c r="G1468">
        <v>-308.80439999999999</v>
      </c>
      <c r="H1468" s="1">
        <v>2.5188820000000001E-6</v>
      </c>
      <c r="I1468">
        <v>283.28919999999999</v>
      </c>
      <c r="J1468">
        <v>-273.41570000000002</v>
      </c>
      <c r="K1468">
        <v>1.1044590000000001</v>
      </c>
      <c r="L1468">
        <v>284.14299999999997</v>
      </c>
      <c r="M1468">
        <v>-0.99987909999999902</v>
      </c>
      <c r="N1468">
        <v>0</v>
      </c>
      <c r="O1468">
        <v>7.2284749999999998E-3</v>
      </c>
      <c r="P1468">
        <v>-0.99973539999999905</v>
      </c>
      <c r="Q1468">
        <v>1.9921629999999999E-2</v>
      </c>
      <c r="R1468">
        <v>-1.151859E-2</v>
      </c>
      <c r="S1468">
        <v>-3.001862</v>
      </c>
      <c r="T1468">
        <v>-9.2818499999999998E-2</v>
      </c>
      <c r="U1468">
        <v>-7.1563719999999997E-2</v>
      </c>
      <c r="V1468">
        <v>-1.8764960000000001E-2</v>
      </c>
      <c r="W1468">
        <v>3.3681530000000001E-2</v>
      </c>
      <c r="X1468">
        <v>0.99925640000000004</v>
      </c>
      <c r="Y1468">
        <v>-3.104121E-2</v>
      </c>
      <c r="Z1468">
        <v>-7.0316529999999995E-4</v>
      </c>
      <c r="AA1468">
        <v>0.99951789999999996</v>
      </c>
      <c r="AB1468">
        <v>45</v>
      </c>
      <c r="AC1468">
        <v>-35.388699999999901</v>
      </c>
      <c r="AD1468">
        <v>-1.104456481118</v>
      </c>
      <c r="AE1468">
        <v>-0.85379999999997802</v>
      </c>
      <c r="AF1468">
        <v>-1.1085291665766599</v>
      </c>
      <c r="AG1468">
        <v>-1.104456481118</v>
      </c>
      <c r="AH1468">
        <v>35.347194155804402</v>
      </c>
      <c r="AI1468">
        <v>91.788799620540999</v>
      </c>
      <c r="AJ1468">
        <v>91.796273622502</v>
      </c>
      <c r="AK1468">
        <v>35.381814477496299</v>
      </c>
    </row>
    <row r="1469" spans="1:37" x14ac:dyDescent="0.2">
      <c r="A1469" t="str">
        <f>"20200111153429254"</f>
        <v>20200111153429254</v>
      </c>
      <c r="B1469" t="str">
        <f>"1578728069247599"</f>
        <v>1578728069247599</v>
      </c>
      <c r="C1469" t="s">
        <v>37</v>
      </c>
      <c r="D1469">
        <v>4.4967990000000002</v>
      </c>
      <c r="E1469">
        <v>0.46588479999999999</v>
      </c>
      <c r="F1469" t="s">
        <v>56</v>
      </c>
      <c r="G1469">
        <v>-292.93900000000002</v>
      </c>
      <c r="H1469" s="1">
        <v>2.90078199999999E-6</v>
      </c>
      <c r="I1469">
        <v>282.62939999999998</v>
      </c>
      <c r="J1469">
        <v>-273.67520000000002</v>
      </c>
      <c r="K1469">
        <v>1.104463</v>
      </c>
      <c r="L1469">
        <v>284.14479999999998</v>
      </c>
      <c r="M1469">
        <v>-0.99987899999999996</v>
      </c>
      <c r="N1469">
        <v>0</v>
      </c>
      <c r="O1469">
        <v>7.1102819999999999E-3</v>
      </c>
      <c r="P1469">
        <v>-0.99974010000000002</v>
      </c>
      <c r="Q1469">
        <v>1.9587830000000001E-2</v>
      </c>
      <c r="R1469">
        <v>-1.166908E-2</v>
      </c>
      <c r="S1469">
        <v>-3.0014949999999998</v>
      </c>
      <c r="T1469">
        <v>-0.16979839999999999</v>
      </c>
      <c r="U1469">
        <v>-0.2326965</v>
      </c>
      <c r="V1469">
        <v>-1.8797060000000001E-2</v>
      </c>
      <c r="W1469">
        <v>3.341131E-2</v>
      </c>
      <c r="X1469">
        <v>0.99926489999999901</v>
      </c>
      <c r="Y1469">
        <v>-8.423746E-2</v>
      </c>
      <c r="Z1469">
        <v>-2.7786270000000001E-3</v>
      </c>
      <c r="AA1469">
        <v>0.99644179999999904</v>
      </c>
      <c r="AB1469">
        <v>45</v>
      </c>
      <c r="AC1469">
        <v>-19.2638</v>
      </c>
      <c r="AD1469">
        <v>-1.104460099218</v>
      </c>
      <c r="AE1469">
        <v>-1.5153999999999901</v>
      </c>
      <c r="AF1469">
        <v>-1.64696536418302</v>
      </c>
      <c r="AG1469">
        <v>-1.104460099218</v>
      </c>
      <c r="AH1469">
        <v>19.1898455397939</v>
      </c>
      <c r="AI1469">
        <v>93.281951880379296</v>
      </c>
      <c r="AJ1469">
        <v>94.905380315777705</v>
      </c>
      <c r="AK1469">
        <v>19.292032004502001</v>
      </c>
    </row>
    <row r="1470" spans="1:37" x14ac:dyDescent="0.2">
      <c r="A1470" t="str">
        <f>"20200111153429267"</f>
        <v>20200111153429267</v>
      </c>
      <c r="B1470" t="str">
        <f>"1578728069257359"</f>
        <v>1578728069257359</v>
      </c>
      <c r="C1470" t="s">
        <v>37</v>
      </c>
      <c r="D1470">
        <v>4.6578429999999997</v>
      </c>
      <c r="E1470">
        <v>0.45864759999999999</v>
      </c>
      <c r="F1470" t="s">
        <v>56</v>
      </c>
      <c r="G1470">
        <v>-294.77440000000001</v>
      </c>
      <c r="H1470" s="1">
        <v>3.284903E-6</v>
      </c>
      <c r="I1470">
        <v>281.95960000000002</v>
      </c>
      <c r="J1470">
        <v>-273.91160000000002</v>
      </c>
      <c r="K1470">
        <v>1.10446</v>
      </c>
      <c r="L1470">
        <v>284.14640000000003</v>
      </c>
      <c r="M1470">
        <v>-0.99987890000000001</v>
      </c>
      <c r="N1470">
        <v>0</v>
      </c>
      <c r="O1470">
        <v>7.0037830000000004E-3</v>
      </c>
      <c r="P1470">
        <v>-0.99974339999999995</v>
      </c>
      <c r="Q1470">
        <v>1.938316E-2</v>
      </c>
      <c r="R1470">
        <v>-1.1726149999999999E-2</v>
      </c>
      <c r="S1470">
        <v>-3.0002439999999999</v>
      </c>
      <c r="T1470">
        <v>-0.15705150000000001</v>
      </c>
      <c r="U1470">
        <v>-0.31073000000000001</v>
      </c>
      <c r="V1470">
        <v>-1.8747119999999999E-2</v>
      </c>
      <c r="W1470">
        <v>3.3259759999999999E-2</v>
      </c>
      <c r="X1470">
        <v>0.99927089999999996</v>
      </c>
      <c r="Y1470">
        <v>-0.10982359999999999</v>
      </c>
      <c r="Z1470">
        <v>-3.2302749999999999E-3</v>
      </c>
      <c r="AA1470">
        <v>0.99394579999999999</v>
      </c>
      <c r="AB1470">
        <v>45</v>
      </c>
      <c r="AC1470">
        <v>-20.8628</v>
      </c>
      <c r="AD1470">
        <v>-1.1044567150969999</v>
      </c>
      <c r="AE1470">
        <v>-2.1867999999999999</v>
      </c>
      <c r="AF1470">
        <v>-2.32642992664542</v>
      </c>
      <c r="AG1470">
        <v>-1.1044567150969999</v>
      </c>
      <c r="AH1470">
        <v>20.789341009676701</v>
      </c>
      <c r="AI1470">
        <v>93.022213769308195</v>
      </c>
      <c r="AJ1470">
        <v>96.385116110017407</v>
      </c>
      <c r="AK1470">
        <v>20.948240987150701</v>
      </c>
    </row>
    <row r="1471" spans="1:37" x14ac:dyDescent="0.2">
      <c r="A1471" t="str">
        <f>"20200111153429279"</f>
        <v>20200111153429279</v>
      </c>
      <c r="B1471" t="str">
        <f>"1578728069268095"</f>
        <v>1578728069268095</v>
      </c>
      <c r="C1471" t="s">
        <v>37</v>
      </c>
      <c r="D1471">
        <v>4.536791</v>
      </c>
      <c r="E1471">
        <v>0.45428970000000002</v>
      </c>
      <c r="F1471" t="s">
        <v>56</v>
      </c>
      <c r="G1471">
        <v>-294.68849999999998</v>
      </c>
      <c r="H1471" s="1">
        <v>3.3016549999999999E-6</v>
      </c>
      <c r="I1471">
        <v>281.59370000000001</v>
      </c>
      <c r="J1471">
        <v>-274.16359999999997</v>
      </c>
      <c r="K1471">
        <v>1.104465</v>
      </c>
      <c r="L1471">
        <v>284.1481</v>
      </c>
      <c r="M1471">
        <v>-0.99987909999999902</v>
      </c>
      <c r="N1471">
        <v>0</v>
      </c>
      <c r="O1471">
        <v>6.8903669999999997E-3</v>
      </c>
      <c r="P1471">
        <v>-0.99974529999999995</v>
      </c>
      <c r="Q1471">
        <v>1.9119580000000001E-2</v>
      </c>
      <c r="R1471">
        <v>-1.2011620000000001E-2</v>
      </c>
      <c r="S1471">
        <v>-2.9995419999999999</v>
      </c>
      <c r="T1471">
        <v>-0.15944929999999999</v>
      </c>
      <c r="U1471">
        <v>-0.36853029999999998</v>
      </c>
      <c r="V1471">
        <v>-1.8919269999999998E-2</v>
      </c>
      <c r="W1471">
        <v>3.3049589999999997E-2</v>
      </c>
      <c r="X1471">
        <v>0.99927459999999901</v>
      </c>
      <c r="Y1471">
        <v>-0.1285935</v>
      </c>
      <c r="Z1471">
        <v>-3.7674240000000001E-3</v>
      </c>
      <c r="AA1471">
        <v>0.99169019999999997</v>
      </c>
      <c r="AB1471">
        <v>45</v>
      </c>
      <c r="AC1471">
        <v>-20.524899999999999</v>
      </c>
      <c r="AD1471">
        <v>-1.104461698345</v>
      </c>
      <c r="AE1471">
        <v>-2.5543999999999798</v>
      </c>
      <c r="AF1471">
        <v>-2.6881121968001098</v>
      </c>
      <c r="AG1471">
        <v>-1.104461698345</v>
      </c>
      <c r="AH1471">
        <v>20.4485025425105</v>
      </c>
      <c r="AI1471">
        <v>93.065325940317706</v>
      </c>
      <c r="AJ1471">
        <v>97.489026273563596</v>
      </c>
      <c r="AK1471">
        <v>20.6539836122903</v>
      </c>
    </row>
    <row r="1472" spans="1:37" x14ac:dyDescent="0.2">
      <c r="A1472" t="str">
        <f>"20200111153429291"</f>
        <v>20200111153429291</v>
      </c>
      <c r="B1472" t="str">
        <f>"1578728069287615"</f>
        <v>1578728069287615</v>
      </c>
      <c r="C1472" t="s">
        <v>37</v>
      </c>
      <c r="D1472">
        <v>4.5252949999999998</v>
      </c>
      <c r="E1472">
        <v>0.45031349999999998</v>
      </c>
      <c r="F1472" t="s">
        <v>56</v>
      </c>
      <c r="G1472">
        <v>-293.83589999999998</v>
      </c>
      <c r="H1472" s="1">
        <v>3.15899099999999E-6</v>
      </c>
      <c r="I1472">
        <v>281.4957</v>
      </c>
      <c r="J1472">
        <v>-274.40499999999997</v>
      </c>
      <c r="K1472">
        <v>1.1044689999999999</v>
      </c>
      <c r="L1472">
        <v>284.1497</v>
      </c>
      <c r="M1472">
        <v>-0.99987909999999902</v>
      </c>
      <c r="N1472">
        <v>0</v>
      </c>
      <c r="O1472">
        <v>6.7833859999999998E-3</v>
      </c>
      <c r="P1472">
        <v>-0.99974470000000004</v>
      </c>
      <c r="Q1472">
        <v>1.9049070000000001E-2</v>
      </c>
      <c r="R1472">
        <v>-1.216632E-2</v>
      </c>
      <c r="S1472">
        <v>-2.9991150000000002</v>
      </c>
      <c r="T1472">
        <v>-0.16837920000000001</v>
      </c>
      <c r="U1472">
        <v>-0.40435789999999999</v>
      </c>
      <c r="V1472">
        <v>-1.896693E-2</v>
      </c>
      <c r="W1472">
        <v>3.3024810000000002E-2</v>
      </c>
      <c r="X1472">
        <v>0.99927459999999901</v>
      </c>
      <c r="Y1472">
        <v>-0.1401097</v>
      </c>
      <c r="Z1472">
        <v>-4.2912419999999998E-3</v>
      </c>
      <c r="AA1472">
        <v>0.99012670000000003</v>
      </c>
      <c r="AB1472">
        <v>44</v>
      </c>
      <c r="AC1472">
        <v>-19.430900000000001</v>
      </c>
      <c r="AD1472">
        <v>-1.104465841009</v>
      </c>
      <c r="AE1472">
        <v>-2.6539999999999901</v>
      </c>
      <c r="AF1472">
        <v>-2.7769514856896902</v>
      </c>
      <c r="AG1472">
        <v>-1.104465841009</v>
      </c>
      <c r="AH1472">
        <v>19.351072313944101</v>
      </c>
      <c r="AI1472">
        <v>93.233568711147399</v>
      </c>
      <c r="AJ1472">
        <v>98.166406088183507</v>
      </c>
      <c r="AK1472">
        <v>19.580482732745001</v>
      </c>
    </row>
    <row r="1473" spans="1:37" x14ac:dyDescent="0.2">
      <c r="A1473" t="str">
        <f>"20200111153429309"</f>
        <v>20200111153429309</v>
      </c>
      <c r="B1473" t="str">
        <f>"1578728069297376"</f>
        <v>1578728069297376</v>
      </c>
      <c r="C1473" t="s">
        <v>37</v>
      </c>
      <c r="D1473">
        <v>4.4550339999999897</v>
      </c>
      <c r="E1473">
        <v>0.44910810000000001</v>
      </c>
      <c r="F1473" t="s">
        <v>56</v>
      </c>
      <c r="G1473">
        <v>-293.66969999999998</v>
      </c>
      <c r="H1473" s="1">
        <v>3.14261399999999E-6</v>
      </c>
      <c r="I1473">
        <v>281.34589999999997</v>
      </c>
      <c r="J1473">
        <v>-274.74869999999999</v>
      </c>
      <c r="K1473">
        <v>1.104479</v>
      </c>
      <c r="L1473">
        <v>284.15190000000001</v>
      </c>
      <c r="M1473">
        <v>-0.99987919999999997</v>
      </c>
      <c r="N1473">
        <v>0</v>
      </c>
      <c r="O1473">
        <v>6.6323240000000002E-3</v>
      </c>
      <c r="P1473">
        <v>-0.99973829999999997</v>
      </c>
      <c r="Q1473">
        <v>1.9117849999999999E-2</v>
      </c>
      <c r="R1473">
        <v>-1.2560129999999999E-2</v>
      </c>
      <c r="S1473">
        <v>-2.9987180000000002</v>
      </c>
      <c r="T1473">
        <v>-0.17191960000000001</v>
      </c>
      <c r="U1473">
        <v>-0.43643189999999998</v>
      </c>
      <c r="V1473">
        <v>-1.9209380000000002E-2</v>
      </c>
      <c r="W1473">
        <v>3.3152529999999999E-2</v>
      </c>
      <c r="X1473">
        <v>0.99926569999999904</v>
      </c>
      <c r="Y1473">
        <v>-0.1503303</v>
      </c>
      <c r="Z1473">
        <v>-4.6612759999999998E-3</v>
      </c>
      <c r="AA1473">
        <v>0.98862479999999997</v>
      </c>
      <c r="AB1473">
        <v>44</v>
      </c>
      <c r="AC1473">
        <v>-18.9209999999999</v>
      </c>
      <c r="AD1473">
        <v>-1.1044758573860001</v>
      </c>
      <c r="AE1473">
        <v>-2.80600000000004</v>
      </c>
      <c r="AF1473">
        <v>-2.921699687936</v>
      </c>
      <c r="AG1473">
        <v>-1.1044758573860001</v>
      </c>
      <c r="AH1473">
        <v>18.8391603180362</v>
      </c>
      <c r="AI1473">
        <v>93.3156690310675</v>
      </c>
      <c r="AJ1473">
        <v>98.815573477385598</v>
      </c>
      <c r="AK1473">
        <v>19.096338850017901</v>
      </c>
    </row>
    <row r="1474" spans="1:37" x14ac:dyDescent="0.2">
      <c r="A1474" t="str">
        <f>"20200111153429322"</f>
        <v>20200111153429322</v>
      </c>
      <c r="B1474" t="str">
        <f>"1578728069317871"</f>
        <v>1578728069317871</v>
      </c>
      <c r="C1474" t="s">
        <v>37</v>
      </c>
      <c r="D1474">
        <v>4.4685050000000004</v>
      </c>
      <c r="E1474">
        <v>0.4475152</v>
      </c>
      <c r="F1474" t="s">
        <v>56</v>
      </c>
      <c r="G1474">
        <v>-293.97980000000001</v>
      </c>
      <c r="H1474" s="1">
        <v>3.2032199999999998E-6</v>
      </c>
      <c r="I1474">
        <v>281.28179999999998</v>
      </c>
      <c r="J1474">
        <v>-275.00819999999999</v>
      </c>
      <c r="K1474">
        <v>1.1044849999999999</v>
      </c>
      <c r="L1474">
        <v>284.15350000000001</v>
      </c>
      <c r="M1474">
        <v>-0.99987959999999998</v>
      </c>
      <c r="N1474">
        <v>0</v>
      </c>
      <c r="O1474">
        <v>6.5186319999999999E-3</v>
      </c>
      <c r="P1474">
        <v>-0.99973339999999999</v>
      </c>
      <c r="Q1474">
        <v>1.9197120000000002E-2</v>
      </c>
      <c r="R1474">
        <v>-1.2856889999999999E-2</v>
      </c>
      <c r="S1474">
        <v>-2.9984130000000002</v>
      </c>
      <c r="T1474">
        <v>-0.17220389999999999</v>
      </c>
      <c r="U1474">
        <v>-0.44747920000000002</v>
      </c>
      <c r="V1474">
        <v>-1.9392280000000001E-2</v>
      </c>
      <c r="W1474">
        <v>3.3272629999999997E-2</v>
      </c>
      <c r="X1474">
        <v>0.99925819999999999</v>
      </c>
      <c r="Y1474">
        <v>-0.15379029999999999</v>
      </c>
      <c r="Z1474">
        <v>-4.760434E-3</v>
      </c>
      <c r="AA1474">
        <v>0.98809210000000003</v>
      </c>
      <c r="AB1474">
        <v>44</v>
      </c>
      <c r="AC1474">
        <v>-18.971599999999999</v>
      </c>
      <c r="AD1474">
        <v>-1.10448179677999</v>
      </c>
      <c r="AE1474">
        <v>-2.8717000000000299</v>
      </c>
      <c r="AF1474">
        <v>-2.9854282688164502</v>
      </c>
      <c r="AG1474">
        <v>-1.10448179677999</v>
      </c>
      <c r="AH1474">
        <v>18.889886125633002</v>
      </c>
      <c r="AI1474">
        <v>93.305312094001494</v>
      </c>
      <c r="AJ1474">
        <v>98.980956064167799</v>
      </c>
      <c r="AK1474">
        <v>19.156212042756501</v>
      </c>
    </row>
    <row r="1475" spans="1:37" x14ac:dyDescent="0.2">
      <c r="A1475" t="str">
        <f>"20200111153429334"</f>
        <v>20200111153429334</v>
      </c>
      <c r="B1475" t="str">
        <f>"1578728069327631"</f>
        <v>1578728069327631</v>
      </c>
      <c r="C1475" t="s">
        <v>37</v>
      </c>
      <c r="D1475">
        <v>4.5232830000000002</v>
      </c>
      <c r="E1475">
        <v>0.44695820000000003</v>
      </c>
      <c r="F1475" t="s">
        <v>56</v>
      </c>
      <c r="G1475">
        <v>-294.22620000000001</v>
      </c>
      <c r="H1475" s="1">
        <v>3.2541840000000001E-6</v>
      </c>
      <c r="I1475">
        <v>281.19869999999997</v>
      </c>
      <c r="J1475">
        <v>-275.25459999999998</v>
      </c>
      <c r="K1475">
        <v>1.1044940000000001</v>
      </c>
      <c r="L1475">
        <v>284.15499999999997</v>
      </c>
      <c r="M1475">
        <v>-0.99987969999999904</v>
      </c>
      <c r="N1475">
        <v>0</v>
      </c>
      <c r="O1475">
        <v>6.4118909999999899E-3</v>
      </c>
      <c r="P1475">
        <v>-0.99972549999999905</v>
      </c>
      <c r="Q1475">
        <v>1.9385050000000001E-2</v>
      </c>
      <c r="R1475">
        <v>-1.3172659999999999E-2</v>
      </c>
      <c r="S1475">
        <v>-2.998138</v>
      </c>
      <c r="T1475">
        <v>-0.17230670000000001</v>
      </c>
      <c r="U1475">
        <v>-0.46096799999999999</v>
      </c>
      <c r="V1475">
        <v>-1.960131E-2</v>
      </c>
      <c r="W1475">
        <v>3.3495659999999997E-2</v>
      </c>
      <c r="X1475">
        <v>0.99924669999999904</v>
      </c>
      <c r="Y1475">
        <v>-0.1580355</v>
      </c>
      <c r="Z1475">
        <v>-4.8771919999999998E-3</v>
      </c>
      <c r="AA1475">
        <v>0.9874214</v>
      </c>
      <c r="AB1475">
        <v>44</v>
      </c>
      <c r="AC1475">
        <v>-18.971599999999999</v>
      </c>
      <c r="AD1475">
        <v>-1.104490745816</v>
      </c>
      <c r="AE1475">
        <v>-2.9562999999999899</v>
      </c>
      <c r="AF1475">
        <v>-3.0677440215805198</v>
      </c>
      <c r="AG1475">
        <v>-1.104490745816</v>
      </c>
      <c r="AH1475">
        <v>18.8897464245686</v>
      </c>
      <c r="AI1475">
        <v>93.303118308021894</v>
      </c>
      <c r="AJ1475">
        <v>99.224449385429494</v>
      </c>
      <c r="AK1475">
        <v>19.169075960359599</v>
      </c>
    </row>
    <row r="1476" spans="1:37" x14ac:dyDescent="0.2">
      <c r="A1476" t="str">
        <f>"20200111153429346"</f>
        <v>20200111153429346</v>
      </c>
      <c r="B1476" t="str">
        <f>"1578728069337391"</f>
        <v>1578728069337391</v>
      </c>
      <c r="C1476" t="s">
        <v>37</v>
      </c>
      <c r="D1476">
        <v>4.4918569999999898</v>
      </c>
      <c r="E1476">
        <v>0.44651489999999999</v>
      </c>
      <c r="F1476" t="s">
        <v>56</v>
      </c>
      <c r="G1476">
        <v>-294.44319999999999</v>
      </c>
      <c r="H1476" s="1">
        <v>3.295114E-6</v>
      </c>
      <c r="I1476">
        <v>281.17090000000002</v>
      </c>
      <c r="J1476">
        <v>-275.48809999999997</v>
      </c>
      <c r="K1476">
        <v>1.1045020000000001</v>
      </c>
      <c r="L1476">
        <v>284.15640000000002</v>
      </c>
      <c r="M1476">
        <v>-0.99987990000000004</v>
      </c>
      <c r="N1476">
        <v>0</v>
      </c>
      <c r="O1476">
        <v>6.3108449999999998E-3</v>
      </c>
      <c r="P1476">
        <v>-0.99971969999999999</v>
      </c>
      <c r="Q1476">
        <v>1.9401149999999999E-2</v>
      </c>
      <c r="R1476">
        <v>-1.358003E-2</v>
      </c>
      <c r="S1476">
        <v>-2.9980470000000001</v>
      </c>
      <c r="T1476">
        <v>-0.1725671</v>
      </c>
      <c r="U1476">
        <v>-0.46624759999999998</v>
      </c>
      <c r="V1476">
        <v>-1.9907649999999999E-2</v>
      </c>
      <c r="W1476">
        <v>3.354236E-2</v>
      </c>
      <c r="X1476">
        <v>0.99923899999999999</v>
      </c>
      <c r="Y1476">
        <v>-0.1596351</v>
      </c>
      <c r="Z1476">
        <v>-4.9239929999999998E-3</v>
      </c>
      <c r="AA1476">
        <v>0.98716380000000004</v>
      </c>
      <c r="AB1476">
        <v>44</v>
      </c>
      <c r="AC1476">
        <v>-18.955100000000002</v>
      </c>
      <c r="AD1476">
        <v>-1.104498704886</v>
      </c>
      <c r="AE1476">
        <v>-2.9855</v>
      </c>
      <c r="AF1476">
        <v>-3.0948217316433899</v>
      </c>
      <c r="AG1476">
        <v>-1.104498704886</v>
      </c>
      <c r="AH1476">
        <v>18.873350040591902</v>
      </c>
      <c r="AI1476">
        <v>93.305179166848902</v>
      </c>
      <c r="AJ1476">
        <v>99.312393699189698</v>
      </c>
      <c r="AK1476">
        <v>19.1572748765178</v>
      </c>
    </row>
    <row r="1477" spans="1:37" x14ac:dyDescent="0.2">
      <c r="A1477" t="str">
        <f>"20200111153429367"</f>
        <v>20200111153429367</v>
      </c>
      <c r="B1477" t="str">
        <f>"1578728069357887"</f>
        <v>1578728069357887</v>
      </c>
      <c r="C1477" t="s">
        <v>37</v>
      </c>
      <c r="D1477">
        <v>4.5027850000000003</v>
      </c>
      <c r="E1477">
        <v>0.44565270000000001</v>
      </c>
      <c r="F1477" t="s">
        <v>56</v>
      </c>
      <c r="G1477">
        <v>-294.69630000000001</v>
      </c>
      <c r="H1477" s="1">
        <v>3.342878E-6</v>
      </c>
      <c r="I1477">
        <v>281.13810000000001</v>
      </c>
      <c r="J1477">
        <v>-275.90159999999997</v>
      </c>
      <c r="K1477">
        <v>1.1045149999999999</v>
      </c>
      <c r="L1477">
        <v>284.15890000000002</v>
      </c>
      <c r="M1477">
        <v>-0.99988029999999894</v>
      </c>
      <c r="N1477">
        <v>0</v>
      </c>
      <c r="O1477">
        <v>6.1327319999999897E-3</v>
      </c>
      <c r="P1477">
        <v>-0.99971030000000005</v>
      </c>
      <c r="Q1477">
        <v>1.9465550000000002E-2</v>
      </c>
      <c r="R1477">
        <v>-1.416712E-2</v>
      </c>
      <c r="S1477">
        <v>-2.9977719999999999</v>
      </c>
      <c r="T1477">
        <v>-0.17237639999999901</v>
      </c>
      <c r="U1477">
        <v>-0.47106930000000002</v>
      </c>
      <c r="V1477">
        <v>-2.031591E-2</v>
      </c>
      <c r="W1477">
        <v>3.3654839999999998E-2</v>
      </c>
      <c r="X1477">
        <v>0.99922699999999998</v>
      </c>
      <c r="Y1477">
        <v>-0.16102139999999901</v>
      </c>
      <c r="Z1477">
        <v>-4.9478100000000004E-3</v>
      </c>
      <c r="AA1477">
        <v>0.98693850000000005</v>
      </c>
      <c r="AB1477">
        <v>44</v>
      </c>
      <c r="AC1477">
        <v>-18.794699999999999</v>
      </c>
      <c r="AD1477">
        <v>-1.1045116571219999</v>
      </c>
      <c r="AE1477">
        <v>-3.0207999999999999</v>
      </c>
      <c r="AF1477">
        <v>-3.1254953366751299</v>
      </c>
      <c r="AG1477">
        <v>-1.1045116571219999</v>
      </c>
      <c r="AH1477">
        <v>18.712820038970801</v>
      </c>
      <c r="AI1477">
        <v>93.331876822661698</v>
      </c>
      <c r="AJ1477">
        <v>99.482257137036896</v>
      </c>
      <c r="AK1477">
        <v>19.004165356868601</v>
      </c>
    </row>
    <row r="1478" spans="1:37" x14ac:dyDescent="0.2">
      <c r="A1478" t="str">
        <f>"20200111153429380"</f>
        <v>20200111153429380</v>
      </c>
      <c r="B1478" t="str">
        <f>"1578728069377407"</f>
        <v>1578728069377407</v>
      </c>
      <c r="C1478" t="s">
        <v>37</v>
      </c>
      <c r="D1478">
        <v>4.5339400000000003</v>
      </c>
      <c r="E1478">
        <v>0.44492209999999899</v>
      </c>
      <c r="F1478" t="s">
        <v>56</v>
      </c>
      <c r="G1478">
        <v>-295.1739</v>
      </c>
      <c r="H1478" s="1">
        <v>3.43311399999999E-6</v>
      </c>
      <c r="I1478">
        <v>281.07490000000001</v>
      </c>
      <c r="J1478">
        <v>-276.1576</v>
      </c>
      <c r="K1478">
        <v>1.1045229999999999</v>
      </c>
      <c r="L1478">
        <v>284.16039999999998</v>
      </c>
      <c r="M1478">
        <v>-0.99988060000000001</v>
      </c>
      <c r="N1478">
        <v>0</v>
      </c>
      <c r="O1478">
        <v>6.023118E-3</v>
      </c>
      <c r="P1478">
        <v>-0.99969940000000002</v>
      </c>
      <c r="Q1478">
        <v>1.9704240000000001E-2</v>
      </c>
      <c r="R1478">
        <v>-1.4587559999999999E-2</v>
      </c>
      <c r="S1478">
        <v>-2.9973749999999999</v>
      </c>
      <c r="T1478">
        <v>-0.1717823</v>
      </c>
      <c r="U1478">
        <v>-0.47964479999999998</v>
      </c>
      <c r="V1478">
        <v>-2.0627329999999999E-2</v>
      </c>
      <c r="W1478">
        <v>3.3920760000000001E-2</v>
      </c>
      <c r="X1478">
        <v>0.99921159999999998</v>
      </c>
      <c r="Y1478">
        <v>-0.16368489999999999</v>
      </c>
      <c r="Z1478">
        <v>-4.9998730000000002E-3</v>
      </c>
      <c r="AA1478">
        <v>0.98650000000000004</v>
      </c>
      <c r="AB1478">
        <v>44</v>
      </c>
      <c r="AC1478">
        <v>-19.016300000000001</v>
      </c>
      <c r="AD1478">
        <v>-1.1045195668859999</v>
      </c>
      <c r="AE1478">
        <v>-3.0854999999999602</v>
      </c>
      <c r="AF1478">
        <v>-3.1895088959098001</v>
      </c>
      <c r="AG1478">
        <v>-1.1045195668859999</v>
      </c>
      <c r="AH1478">
        <v>18.935127668048398</v>
      </c>
      <c r="AI1478">
        <v>93.292108151098205</v>
      </c>
      <c r="AJ1478">
        <v>99.561375735879494</v>
      </c>
      <c r="AK1478">
        <v>19.233616151831999</v>
      </c>
    </row>
    <row r="1479" spans="1:37" x14ac:dyDescent="0.2">
      <c r="A1479" t="str">
        <f>"20200111153429393"</f>
        <v>20200111153429393</v>
      </c>
      <c r="B1479" t="str">
        <f>"1578728069388144"</f>
        <v>1578728069388144</v>
      </c>
      <c r="C1479" t="s">
        <v>37</v>
      </c>
      <c r="D1479">
        <v>4.5076029999999996</v>
      </c>
      <c r="E1479">
        <v>0.44457609999999997</v>
      </c>
      <c r="F1479" t="s">
        <v>56</v>
      </c>
      <c r="G1479">
        <v>-295.41989999999998</v>
      </c>
      <c r="H1479" s="1">
        <v>3.4804479999999998E-6</v>
      </c>
      <c r="I1479">
        <v>281.03269999999998</v>
      </c>
      <c r="J1479">
        <v>-276.41809999999998</v>
      </c>
      <c r="K1479">
        <v>1.1045309999999999</v>
      </c>
      <c r="L1479">
        <v>284.1619</v>
      </c>
      <c r="M1479">
        <v>-0.99988099999999902</v>
      </c>
      <c r="N1479">
        <v>0</v>
      </c>
      <c r="O1479">
        <v>5.9113809999999899E-3</v>
      </c>
      <c r="P1479">
        <v>-0.99969519999999901</v>
      </c>
      <c r="Q1479">
        <v>1.977638E-2</v>
      </c>
      <c r="R1479">
        <v>-1.4787979999999999E-2</v>
      </c>
      <c r="S1479">
        <v>-2.9971919999999899</v>
      </c>
      <c r="T1479">
        <v>-0.17186179999999901</v>
      </c>
      <c r="U1479">
        <v>-0.48666379999999998</v>
      </c>
      <c r="V1479">
        <v>-2.0715890000000001E-2</v>
      </c>
      <c r="W1479">
        <v>3.4017029999999997E-2</v>
      </c>
      <c r="X1479">
        <v>0.9992065</v>
      </c>
      <c r="Y1479">
        <v>-0.16583200000000001</v>
      </c>
      <c r="Z1479">
        <v>-5.056306E-3</v>
      </c>
      <c r="AA1479">
        <v>0.98614109999999999</v>
      </c>
      <c r="AB1479">
        <v>44</v>
      </c>
      <c r="AC1479">
        <v>-19.001799999999999</v>
      </c>
      <c r="AD1479">
        <v>-1.1045275195519999</v>
      </c>
      <c r="AE1479">
        <v>-3.12920000000002</v>
      </c>
      <c r="AF1479">
        <v>-3.2308553858267701</v>
      </c>
      <c r="AG1479">
        <v>-1.1045275195519999</v>
      </c>
      <c r="AH1479">
        <v>18.9207265827865</v>
      </c>
      <c r="AI1479">
        <v>93.293378473385701</v>
      </c>
      <c r="AJ1479">
        <v>99.690220791710004</v>
      </c>
      <c r="AK1479">
        <v>19.226343957865101</v>
      </c>
    </row>
    <row r="1480" spans="1:37" x14ac:dyDescent="0.2">
      <c r="A1480" t="str">
        <f>"20200111153429409"</f>
        <v>20200111153429409</v>
      </c>
      <c r="B1480" t="str">
        <f>"1578728069397903"</f>
        <v>1578728069397903</v>
      </c>
      <c r="C1480" t="s">
        <v>37</v>
      </c>
      <c r="D1480">
        <v>4.5000049999999998</v>
      </c>
      <c r="E1480">
        <v>0.44428260000000003</v>
      </c>
      <c r="F1480" t="s">
        <v>56</v>
      </c>
      <c r="G1480">
        <v>-295.67419999999998</v>
      </c>
      <c r="H1480" s="1">
        <v>3.5272689999999999E-6</v>
      </c>
      <c r="I1480">
        <v>281.01310000000001</v>
      </c>
      <c r="J1480">
        <v>-276.73579999999998</v>
      </c>
      <c r="K1480">
        <v>1.1045309999999999</v>
      </c>
      <c r="L1480">
        <v>284.16359999999997</v>
      </c>
      <c r="M1480">
        <v>-0.99988120000000003</v>
      </c>
      <c r="N1480">
        <v>0</v>
      </c>
      <c r="O1480">
        <v>5.7753659999999997E-3</v>
      </c>
      <c r="P1480">
        <v>-0.99968489999999999</v>
      </c>
      <c r="Q1480">
        <v>1.9987499999999998E-2</v>
      </c>
      <c r="R1480">
        <v>-1.518064E-2</v>
      </c>
      <c r="S1480">
        <v>-2.9970699999999999</v>
      </c>
      <c r="T1480">
        <v>-0.17191129999999999</v>
      </c>
      <c r="U1480">
        <v>-0.49008180000000001</v>
      </c>
      <c r="V1480">
        <v>-2.0972999999999999E-2</v>
      </c>
      <c r="W1480">
        <v>3.425483E-2</v>
      </c>
      <c r="X1480">
        <v>0.99919309999999995</v>
      </c>
      <c r="Y1480">
        <v>-0.16679820000000001</v>
      </c>
      <c r="Z1480">
        <v>-5.07726599999999E-3</v>
      </c>
      <c r="AA1480">
        <v>0.98597800000000002</v>
      </c>
      <c r="AB1480">
        <v>44</v>
      </c>
      <c r="AC1480">
        <v>-18.938400000000001</v>
      </c>
      <c r="AD1480">
        <v>-1.1045274727309999</v>
      </c>
      <c r="AE1480">
        <v>-3.1504999999999601</v>
      </c>
      <c r="AF1480">
        <v>-3.2490807699207802</v>
      </c>
      <c r="AG1480">
        <v>-1.1045274727309999</v>
      </c>
      <c r="AH1480">
        <v>18.857471139665702</v>
      </c>
      <c r="AI1480">
        <v>93.303555665059605</v>
      </c>
      <c r="AJ1480">
        <v>99.775893770648295</v>
      </c>
      <c r="AK1480">
        <v>19.167178315308</v>
      </c>
    </row>
    <row r="1481" spans="1:37" x14ac:dyDescent="0.2">
      <c r="A1481" t="str">
        <f>"20200111153429422"</f>
        <v>20200111153429422</v>
      </c>
      <c r="B1481" t="str">
        <f>"1578728069417424"</f>
        <v>1578728069417424</v>
      </c>
      <c r="C1481" t="s">
        <v>37</v>
      </c>
      <c r="D1481">
        <v>4.550726</v>
      </c>
      <c r="E1481">
        <v>0.44373679999999899</v>
      </c>
      <c r="F1481" t="s">
        <v>56</v>
      </c>
      <c r="G1481">
        <v>-296.0249</v>
      </c>
      <c r="H1481" s="1">
        <v>3.5918519999999998E-6</v>
      </c>
      <c r="I1481">
        <v>280.98590000000002</v>
      </c>
      <c r="J1481">
        <v>-276.97629999999998</v>
      </c>
      <c r="K1481">
        <v>1.104535</v>
      </c>
      <c r="L1481">
        <v>284.16489999999999</v>
      </c>
      <c r="M1481">
        <v>-0.99988169999999899</v>
      </c>
      <c r="N1481">
        <v>0</v>
      </c>
      <c r="O1481">
        <v>5.67218699999999E-3</v>
      </c>
      <c r="P1481">
        <v>-0.99967870000000003</v>
      </c>
      <c r="Q1481">
        <v>2.011553E-2</v>
      </c>
      <c r="R1481">
        <v>-1.5427120000000001E-2</v>
      </c>
      <c r="S1481">
        <v>-2.9968870000000001</v>
      </c>
      <c r="T1481">
        <v>-0.17160699999999901</v>
      </c>
      <c r="U1481">
        <v>-0.49371340000000002</v>
      </c>
      <c r="V1481">
        <v>-2.1115829999999999E-2</v>
      </c>
      <c r="W1481">
        <v>3.4401599999999997E-2</v>
      </c>
      <c r="X1481">
        <v>0.99918499999999999</v>
      </c>
      <c r="Y1481">
        <v>-0.16786889999999999</v>
      </c>
      <c r="Z1481">
        <v>-5.0926640000000002E-3</v>
      </c>
      <c r="AA1481">
        <v>0.98579619999999901</v>
      </c>
      <c r="AB1481">
        <v>44</v>
      </c>
      <c r="AC1481">
        <v>-19.0486</v>
      </c>
      <c r="AD1481">
        <v>-1.104531408148</v>
      </c>
      <c r="AE1481">
        <v>-3.1789999999999701</v>
      </c>
      <c r="AF1481">
        <v>-3.2762899038075899</v>
      </c>
      <c r="AG1481">
        <v>-1.104531408148</v>
      </c>
      <c r="AH1481">
        <v>18.968212051701101</v>
      </c>
      <c r="AI1481">
        <v>93.284087478941601</v>
      </c>
      <c r="AJ1481">
        <v>99.799738288784297</v>
      </c>
      <c r="AK1481">
        <v>19.2807451516708</v>
      </c>
    </row>
    <row r="1482" spans="1:37" x14ac:dyDescent="0.2">
      <c r="A1482" t="str">
        <f>"20200111153429434"</f>
        <v>20200111153429434</v>
      </c>
      <c r="B1482" t="str">
        <f>"1578728069428159"</f>
        <v>1578728069428159</v>
      </c>
      <c r="C1482" t="s">
        <v>37</v>
      </c>
      <c r="D1482">
        <v>4.5743460000000002</v>
      </c>
      <c r="E1482">
        <v>0.44343290000000002</v>
      </c>
      <c r="F1482" t="s">
        <v>56</v>
      </c>
      <c r="G1482">
        <v>-296.29090000000002</v>
      </c>
      <c r="H1482" s="1">
        <v>3.6420629999999999E-6</v>
      </c>
      <c r="I1482">
        <v>280.95119999999997</v>
      </c>
      <c r="J1482">
        <v>-277.22320000000002</v>
      </c>
      <c r="K1482">
        <v>1.10454599999999</v>
      </c>
      <c r="L1482">
        <v>284.16629999999998</v>
      </c>
      <c r="M1482">
        <v>-0.99988199999999905</v>
      </c>
      <c r="N1482">
        <v>0</v>
      </c>
      <c r="O1482">
        <v>5.5665169999999896E-3</v>
      </c>
      <c r="P1482">
        <v>-0.99967469999999903</v>
      </c>
      <c r="Q1482">
        <v>2.0113760000000001E-2</v>
      </c>
      <c r="R1482">
        <v>-1.569918E-2</v>
      </c>
      <c r="S1482">
        <v>-2.9967039999999998</v>
      </c>
      <c r="T1482">
        <v>-0.17137089999999999</v>
      </c>
      <c r="U1482">
        <v>-0.49862669999999998</v>
      </c>
      <c r="V1482">
        <v>-2.1282099999999901E-2</v>
      </c>
      <c r="W1482">
        <v>3.4417339999999998E-2</v>
      </c>
      <c r="X1482">
        <v>0.99918090000000004</v>
      </c>
      <c r="Y1482">
        <v>-0.169346</v>
      </c>
      <c r="Z1482">
        <v>-5.1212159999999996E-3</v>
      </c>
      <c r="AA1482">
        <v>0.98554339999999996</v>
      </c>
      <c r="AB1482">
        <v>44</v>
      </c>
      <c r="AC1482">
        <v>-19.067699999999999</v>
      </c>
      <c r="AD1482">
        <v>-1.10454235793699</v>
      </c>
      <c r="AE1482">
        <v>-3.2151000000000001</v>
      </c>
      <c r="AF1482">
        <v>-3.3104004977733399</v>
      </c>
      <c r="AG1482">
        <v>-1.10454235793699</v>
      </c>
      <c r="AH1482">
        <v>18.987552831098899</v>
      </c>
      <c r="AI1482">
        <v>93.279888489490105</v>
      </c>
      <c r="AJ1482">
        <v>99.889873574606398</v>
      </c>
      <c r="AK1482">
        <v>19.305593173738799</v>
      </c>
    </row>
    <row r="1483" spans="1:37" x14ac:dyDescent="0.2">
      <c r="A1483" t="str">
        <f>"20200111153429445"</f>
        <v>20200111153429445</v>
      </c>
      <c r="B1483" t="str">
        <f>"1578728069437919"</f>
        <v>1578728069437919</v>
      </c>
      <c r="C1483" t="s">
        <v>37</v>
      </c>
      <c r="D1483">
        <v>4.5736059999999998</v>
      </c>
      <c r="E1483">
        <v>0.44324639999999998</v>
      </c>
      <c r="F1483" t="s">
        <v>56</v>
      </c>
      <c r="G1483">
        <v>-296.51839999999999</v>
      </c>
      <c r="H1483" s="1">
        <v>3.6839870000000001E-6</v>
      </c>
      <c r="I1483">
        <v>280.93329999999997</v>
      </c>
      <c r="J1483">
        <v>-277.44659999999999</v>
      </c>
      <c r="K1483">
        <v>1.1045510000000001</v>
      </c>
      <c r="L1483">
        <v>284.16739999999999</v>
      </c>
      <c r="M1483">
        <v>-0.9998823</v>
      </c>
      <c r="N1483">
        <v>0</v>
      </c>
      <c r="O1483">
        <v>5.470758E-3</v>
      </c>
      <c r="P1483">
        <v>-0.99967870000000003</v>
      </c>
      <c r="Q1483">
        <v>1.9686120000000001E-2</v>
      </c>
      <c r="R1483">
        <v>-1.5970600000000001E-2</v>
      </c>
      <c r="S1483">
        <v>-2.9965519999999999</v>
      </c>
      <c r="T1483">
        <v>-0.17153550000000001</v>
      </c>
      <c r="U1483">
        <v>-0.50207520000000005</v>
      </c>
      <c r="V1483">
        <v>-2.1457259999999999E-2</v>
      </c>
      <c r="W1483">
        <v>3.4004159999999999E-2</v>
      </c>
      <c r="X1483">
        <v>0.9991913</v>
      </c>
      <c r="Y1483">
        <v>-0.17036109999999999</v>
      </c>
      <c r="Z1483">
        <v>-5.1492909999999899E-3</v>
      </c>
      <c r="AA1483">
        <v>0.98536829999999997</v>
      </c>
      <c r="AB1483">
        <v>44</v>
      </c>
      <c r="AC1483">
        <v>-19.0718</v>
      </c>
      <c r="AD1483">
        <v>-1.1045473160129999</v>
      </c>
      <c r="AE1483">
        <v>-3.23410000000001</v>
      </c>
      <c r="AF1483">
        <v>-3.3275503162915299</v>
      </c>
      <c r="AG1483">
        <v>-1.1045473160129999</v>
      </c>
      <c r="AH1483">
        <v>18.991898248860199</v>
      </c>
      <c r="AI1483">
        <v>93.278675438239503</v>
      </c>
      <c r="AJ1483">
        <v>99.937860615080595</v>
      </c>
      <c r="AK1483">
        <v>19.312814786452599</v>
      </c>
    </row>
    <row r="1484" spans="1:37" x14ac:dyDescent="0.2">
      <c r="A1484" t="str">
        <f>"20200111153429458"</f>
        <v>20200111153429458</v>
      </c>
      <c r="B1484" t="str">
        <f>"1578728069447679"</f>
        <v>1578728069447679</v>
      </c>
      <c r="C1484" t="s">
        <v>37</v>
      </c>
      <c r="D1484">
        <v>4.5425230000000001</v>
      </c>
      <c r="E1484">
        <v>0.44296390000000002</v>
      </c>
      <c r="F1484" t="s">
        <v>56</v>
      </c>
      <c r="G1484">
        <v>-296.5899</v>
      </c>
      <c r="H1484" s="1">
        <v>3.6955500000000001E-6</v>
      </c>
      <c r="I1484">
        <v>280.945999999999</v>
      </c>
      <c r="J1484">
        <v>-277.70170000000002</v>
      </c>
      <c r="K1484">
        <v>1.104554</v>
      </c>
      <c r="L1484">
        <v>284.16879999999998</v>
      </c>
      <c r="M1484">
        <v>-0.99988259999999995</v>
      </c>
      <c r="N1484">
        <v>0</v>
      </c>
      <c r="O1484">
        <v>5.361701E-3</v>
      </c>
      <c r="P1484">
        <v>-0.99967600000000001</v>
      </c>
      <c r="Q1484">
        <v>1.9597719999999999E-2</v>
      </c>
      <c r="R1484">
        <v>-1.6244160000000001E-2</v>
      </c>
      <c r="S1484">
        <v>-2.9963069999999998</v>
      </c>
      <c r="T1484">
        <v>-0.1728835</v>
      </c>
      <c r="U1484">
        <v>-0.50421139999999998</v>
      </c>
      <c r="V1484">
        <v>-2.162217E-2</v>
      </c>
      <c r="W1484">
        <v>3.3931240000000001E-2</v>
      </c>
      <c r="X1484">
        <v>0.99919029999999998</v>
      </c>
      <c r="Y1484">
        <v>-0.1709447</v>
      </c>
      <c r="Z1484">
        <v>-5.2002649999999999E-3</v>
      </c>
      <c r="AA1484">
        <v>0.98526689999999995</v>
      </c>
      <c r="AB1484">
        <v>44</v>
      </c>
      <c r="AC1484">
        <v>-18.888199999999902</v>
      </c>
      <c r="AD1484">
        <v>-1.10455030445</v>
      </c>
      <c r="AE1484">
        <v>-3.2227999999999999</v>
      </c>
      <c r="AF1484">
        <v>-3.3130278787344301</v>
      </c>
      <c r="AG1484">
        <v>-1.10455030445</v>
      </c>
      <c r="AH1484">
        <v>18.808148003854299</v>
      </c>
      <c r="AI1484">
        <v>93.310116293124196</v>
      </c>
      <c r="AJ1484">
        <v>99.990084286498799</v>
      </c>
      <c r="AK1484">
        <v>19.129626667429299</v>
      </c>
    </row>
    <row r="1485" spans="1:37" x14ac:dyDescent="0.2">
      <c r="A1485" t="str">
        <f>"20200111153429473"</f>
        <v>20200111153429473</v>
      </c>
      <c r="B1485" t="str">
        <f>"1578728069468175"</f>
        <v>1578728069468175</v>
      </c>
      <c r="C1485" t="s">
        <v>37</v>
      </c>
      <c r="D1485">
        <v>4.6088509999999996</v>
      </c>
      <c r="E1485">
        <v>0.4424727</v>
      </c>
      <c r="F1485" t="s">
        <v>56</v>
      </c>
      <c r="G1485">
        <v>-296.76900000000001</v>
      </c>
      <c r="H1485" s="1">
        <v>3.7278149999999999E-6</v>
      </c>
      <c r="I1485">
        <v>280.94049999999999</v>
      </c>
      <c r="J1485">
        <v>-277.97250000000003</v>
      </c>
      <c r="K1485">
        <v>1.1045590000000001</v>
      </c>
      <c r="L1485">
        <v>284.17009999999999</v>
      </c>
      <c r="M1485">
        <v>-0.99988319999999997</v>
      </c>
      <c r="N1485">
        <v>0</v>
      </c>
      <c r="O1485">
        <v>5.2454469999999899E-3</v>
      </c>
      <c r="P1485">
        <v>-0.99968069999999898</v>
      </c>
      <c r="Q1485">
        <v>1.9286660000000001E-2</v>
      </c>
      <c r="R1485">
        <v>-1.633776E-2</v>
      </c>
      <c r="S1485">
        <v>-2.9960939999999998</v>
      </c>
      <c r="T1485">
        <v>-0.17356070000000001</v>
      </c>
      <c r="U1485">
        <v>-0.50726320000000003</v>
      </c>
      <c r="V1485">
        <v>-2.1599509999999999E-2</v>
      </c>
      <c r="W1485">
        <v>3.3634820000000003E-2</v>
      </c>
      <c r="X1485">
        <v>0.9992008</v>
      </c>
      <c r="Y1485">
        <v>-0.17181399999999999</v>
      </c>
      <c r="Z1485">
        <v>-5.2388259999999898E-3</v>
      </c>
      <c r="AA1485">
        <v>0.98511550000000003</v>
      </c>
      <c r="AB1485">
        <v>44</v>
      </c>
      <c r="AC1485">
        <v>-18.796499999999899</v>
      </c>
      <c r="AD1485">
        <v>-1.104555272185</v>
      </c>
      <c r="AE1485">
        <v>-3.2296</v>
      </c>
      <c r="AF1485">
        <v>-3.3170358551864401</v>
      </c>
      <c r="AG1485">
        <v>-1.104555272185</v>
      </c>
      <c r="AH1485">
        <v>18.716520479737401</v>
      </c>
      <c r="AI1485">
        <v>93.325687660164704</v>
      </c>
      <c r="AJ1485">
        <v>100.049895074419</v>
      </c>
      <c r="AK1485">
        <v>19.040244433366201</v>
      </c>
    </row>
    <row r="1486" spans="1:37" x14ac:dyDescent="0.2">
      <c r="A1486" t="str">
        <f>"20200111153429489"</f>
        <v>20200111153429489</v>
      </c>
      <c r="B1486" t="str">
        <f>"1578728069477935"</f>
        <v>1578728069477935</v>
      </c>
      <c r="C1486" t="s">
        <v>37</v>
      </c>
      <c r="D1486">
        <v>4.6010049999999998</v>
      </c>
      <c r="E1486">
        <v>0.4422778</v>
      </c>
      <c r="F1486" t="s">
        <v>56</v>
      </c>
      <c r="G1486">
        <v>-296.8408</v>
      </c>
      <c r="H1486" s="1">
        <v>3.7398739999999899E-6</v>
      </c>
      <c r="I1486">
        <v>280.94810000000001</v>
      </c>
      <c r="J1486">
        <v>-278.31220000000002</v>
      </c>
      <c r="K1486">
        <v>1.10456</v>
      </c>
      <c r="L1486">
        <v>284.17180000000002</v>
      </c>
      <c r="M1486">
        <v>-0.99988359999999998</v>
      </c>
      <c r="N1486">
        <v>0</v>
      </c>
      <c r="O1486">
        <v>5.0997350000000002E-3</v>
      </c>
      <c r="P1486">
        <v>-0.99968310000000005</v>
      </c>
      <c r="Q1486">
        <v>1.8658569999999999E-2</v>
      </c>
      <c r="R1486">
        <v>-1.689997E-2</v>
      </c>
      <c r="S1486">
        <v>-2.9959720000000001</v>
      </c>
      <c r="T1486">
        <v>-0.17538509999999999</v>
      </c>
      <c r="U1486">
        <v>-0.51159670000000002</v>
      </c>
      <c r="V1486">
        <v>-2.2015429999999999E-2</v>
      </c>
      <c r="W1486">
        <v>3.3022429999999998E-2</v>
      </c>
      <c r="X1486">
        <v>0.99921209999999905</v>
      </c>
      <c r="Y1486">
        <v>-0.17305390000000001</v>
      </c>
      <c r="Z1486">
        <v>-5.3209149999999998E-3</v>
      </c>
      <c r="AA1486">
        <v>0.98489799999999905</v>
      </c>
      <c r="AB1486">
        <v>44</v>
      </c>
      <c r="AC1486">
        <v>-18.528599999999901</v>
      </c>
      <c r="AD1486">
        <v>-1.1045562601259999</v>
      </c>
      <c r="AE1486">
        <v>-3.2237</v>
      </c>
      <c r="AF1486">
        <v>-3.3067525973363399</v>
      </c>
      <c r="AG1486">
        <v>-1.1045562601259999</v>
      </c>
      <c r="AH1486">
        <v>18.448282444860698</v>
      </c>
      <c r="AI1486">
        <v>93.372761179142202</v>
      </c>
      <c r="AJ1486">
        <v>100.162038025683</v>
      </c>
      <c r="AK1486">
        <v>18.774817773739599</v>
      </c>
    </row>
    <row r="1487" spans="1:37" x14ac:dyDescent="0.2">
      <c r="A1487" t="str">
        <f>"20200111153429504"</f>
        <v>20200111153429504</v>
      </c>
      <c r="B1487" t="str">
        <f>"1578728069497456"</f>
        <v>1578728069497456</v>
      </c>
      <c r="C1487" t="s">
        <v>37</v>
      </c>
      <c r="D1487">
        <v>4.7090050000000003</v>
      </c>
      <c r="E1487">
        <v>0.44201279999999998</v>
      </c>
      <c r="F1487" t="s">
        <v>56</v>
      </c>
      <c r="G1487">
        <v>-296.87540000000001</v>
      </c>
      <c r="H1487" s="1">
        <v>3.7429519999999999E-6</v>
      </c>
      <c r="I1487">
        <v>280.98309999999998</v>
      </c>
      <c r="J1487">
        <v>-278.59980000000002</v>
      </c>
      <c r="K1487">
        <v>1.104563</v>
      </c>
      <c r="L1487">
        <v>284.17320000000001</v>
      </c>
      <c r="M1487">
        <v>-0.99988410000000005</v>
      </c>
      <c r="N1487">
        <v>0</v>
      </c>
      <c r="O1487">
        <v>4.9760990000000003E-3</v>
      </c>
      <c r="P1487">
        <v>-0.99968449999999998</v>
      </c>
      <c r="Q1487">
        <v>1.8591469999999999E-2</v>
      </c>
      <c r="R1487">
        <v>-1.6904079999999998E-2</v>
      </c>
      <c r="S1487">
        <v>-2.9955750000000001</v>
      </c>
      <c r="T1487">
        <v>-0.1782445</v>
      </c>
      <c r="U1487">
        <v>-0.51455689999999998</v>
      </c>
      <c r="V1487">
        <v>-2.189588E-2</v>
      </c>
      <c r="W1487">
        <v>3.29681E-2</v>
      </c>
      <c r="X1487">
        <v>0.99921659999999901</v>
      </c>
      <c r="Y1487">
        <v>-0.173888299999999</v>
      </c>
      <c r="Z1487">
        <v>-5.4250969999999898E-3</v>
      </c>
      <c r="AA1487">
        <v>0.98475040000000003</v>
      </c>
      <c r="AB1487">
        <v>44</v>
      </c>
      <c r="AC1487">
        <v>-18.275600000000001</v>
      </c>
      <c r="AD1487">
        <v>-1.1045592570479901</v>
      </c>
      <c r="AE1487">
        <v>-3.1901000000000201</v>
      </c>
      <c r="AF1487">
        <v>-3.2694214502905301</v>
      </c>
      <c r="AG1487">
        <v>-1.1045592570479901</v>
      </c>
      <c r="AH1487">
        <v>18.194998987043899</v>
      </c>
      <c r="AI1487">
        <v>93.419347281426894</v>
      </c>
      <c r="AJ1487">
        <v>100.186652851575</v>
      </c>
      <c r="AK1487">
        <v>18.519372449153799</v>
      </c>
    </row>
    <row r="1488" spans="1:37" x14ac:dyDescent="0.2">
      <c r="A1488" t="str">
        <f>"20200111153429518"</f>
        <v>20200111153429518</v>
      </c>
      <c r="B1488" t="str">
        <f>"1578728069508192"</f>
        <v>1578728069508192</v>
      </c>
      <c r="C1488" t="s">
        <v>37</v>
      </c>
      <c r="D1488">
        <v>4.5919730000000003</v>
      </c>
      <c r="E1488">
        <v>0.43207129999999999</v>
      </c>
      <c r="F1488" t="s">
        <v>56</v>
      </c>
      <c r="G1488">
        <v>-297.05290000000002</v>
      </c>
      <c r="H1488" s="1">
        <v>3.7738760000000002E-6</v>
      </c>
      <c r="I1488">
        <v>280.9896</v>
      </c>
      <c r="J1488">
        <v>-278.89530000000002</v>
      </c>
      <c r="K1488">
        <v>1.104562</v>
      </c>
      <c r="L1488">
        <v>284.17450000000002</v>
      </c>
      <c r="M1488">
        <v>-0.99988449999999995</v>
      </c>
      <c r="N1488">
        <v>0</v>
      </c>
      <c r="O1488">
        <v>4.8491910000000001E-3</v>
      </c>
      <c r="P1488">
        <v>-0.99968299999999999</v>
      </c>
      <c r="Q1488">
        <v>1.847654E-2</v>
      </c>
      <c r="R1488">
        <v>-1.7113759999999999E-2</v>
      </c>
      <c r="S1488">
        <v>-2.995514</v>
      </c>
      <c r="T1488">
        <v>-0.1793042</v>
      </c>
      <c r="U1488">
        <v>-0.51678469999999999</v>
      </c>
      <c r="V1488">
        <v>-2.1978859999999999E-2</v>
      </c>
      <c r="W1488">
        <v>3.2865159999999997E-2</v>
      </c>
      <c r="X1488">
        <v>0.9992181</v>
      </c>
      <c r="Y1488">
        <v>-0.1744734</v>
      </c>
      <c r="Z1488">
        <v>-5.4668989999999999E-3</v>
      </c>
      <c r="AA1488">
        <v>0.98464669999999899</v>
      </c>
      <c r="AB1488">
        <v>44</v>
      </c>
      <c r="AC1488">
        <v>-18.157599999999999</v>
      </c>
      <c r="AD1488">
        <v>-1.1045582261239999</v>
      </c>
      <c r="AE1488">
        <v>-3.1849000000000198</v>
      </c>
      <c r="AF1488">
        <v>-3.2612134421231902</v>
      </c>
      <c r="AG1488">
        <v>-1.1045582261239999</v>
      </c>
      <c r="AH1488">
        <v>18.077043242377801</v>
      </c>
      <c r="AI1488">
        <v>93.441172297447395</v>
      </c>
      <c r="AJ1488">
        <v>100.226523754806</v>
      </c>
      <c r="AK1488">
        <v>18.4020394080868</v>
      </c>
    </row>
    <row r="1489" spans="1:37" x14ac:dyDescent="0.2">
      <c r="A1489" t="str">
        <f>"20200111153429533"</f>
        <v>20200111153429533</v>
      </c>
      <c r="B1489" t="str">
        <f>"1578728069527710"</f>
        <v>1578728069527710</v>
      </c>
      <c r="C1489" t="s">
        <v>37</v>
      </c>
      <c r="D1489">
        <v>4.5984040000000004</v>
      </c>
      <c r="E1489">
        <v>0.43329830000000003</v>
      </c>
      <c r="F1489" t="s">
        <v>56</v>
      </c>
      <c r="G1489">
        <v>-297.7672</v>
      </c>
      <c r="H1489" s="1">
        <v>3.9509139999999997E-6</v>
      </c>
      <c r="I1489">
        <v>280.41390000000001</v>
      </c>
      <c r="J1489">
        <v>-279.17579999999998</v>
      </c>
      <c r="K1489">
        <v>1.1045590000000001</v>
      </c>
      <c r="L1489">
        <v>284.17579999999998</v>
      </c>
      <c r="M1489">
        <v>-0.99988500000000002</v>
      </c>
      <c r="N1489">
        <v>0</v>
      </c>
      <c r="O1489">
        <v>4.7290869999999999E-3</v>
      </c>
      <c r="P1489">
        <v>-0.999691</v>
      </c>
      <c r="Q1489">
        <v>1.7789739999999998E-2</v>
      </c>
      <c r="R1489">
        <v>-1.737257E-2</v>
      </c>
      <c r="S1489">
        <v>-2.9939879999999999</v>
      </c>
      <c r="T1489">
        <v>-0.17523569999999999</v>
      </c>
      <c r="U1489">
        <v>-0.59661869999999995</v>
      </c>
      <c r="V1489">
        <v>-2.2117040000000001E-2</v>
      </c>
      <c r="W1489">
        <v>3.2187929999999997E-2</v>
      </c>
      <c r="X1489">
        <v>0.99923709999999899</v>
      </c>
      <c r="Y1489">
        <v>-0.199729399999999</v>
      </c>
      <c r="Z1489">
        <v>-6.0572200000000003E-3</v>
      </c>
      <c r="AA1489">
        <v>0.97983240000000005</v>
      </c>
      <c r="AB1489">
        <v>44</v>
      </c>
      <c r="AC1489">
        <v>-18.5914</v>
      </c>
      <c r="AD1489">
        <v>-1.1045550490860001</v>
      </c>
      <c r="AE1489">
        <v>-3.7618999999999598</v>
      </c>
      <c r="AF1489">
        <v>-3.8367770289678398</v>
      </c>
      <c r="AG1489">
        <v>-1.1045550490860001</v>
      </c>
      <c r="AH1489">
        <v>18.510630982290799</v>
      </c>
      <c r="AI1489">
        <v>93.343958715487602</v>
      </c>
      <c r="AJ1489">
        <v>101.710119443713</v>
      </c>
      <c r="AK1489">
        <v>18.936323803447699</v>
      </c>
    </row>
    <row r="1490" spans="1:37" x14ac:dyDescent="0.2">
      <c r="A1490" t="str">
        <f>"20200111153429546"</f>
        <v>20200111153429546</v>
      </c>
      <c r="B1490" t="str">
        <f>"1578728069537470"</f>
        <v>1578728069537470</v>
      </c>
      <c r="C1490" t="s">
        <v>37</v>
      </c>
      <c r="D1490">
        <v>4.6303299999999998</v>
      </c>
      <c r="E1490">
        <v>0.43352609999999903</v>
      </c>
      <c r="F1490" t="s">
        <v>56</v>
      </c>
      <c r="G1490">
        <v>-296.82990000000001</v>
      </c>
      <c r="H1490" s="1">
        <v>3.7586849999999999E-6</v>
      </c>
      <c r="I1490">
        <v>280.71089999999998</v>
      </c>
      <c r="J1490">
        <v>-279.43</v>
      </c>
      <c r="K1490">
        <v>1.10456</v>
      </c>
      <c r="L1490">
        <v>284.17689999999999</v>
      </c>
      <c r="M1490">
        <v>-0.99988539999999904</v>
      </c>
      <c r="N1490">
        <v>0</v>
      </c>
      <c r="O1490">
        <v>4.620023E-3</v>
      </c>
      <c r="P1490">
        <v>-0.99969269999999999</v>
      </c>
      <c r="Q1490">
        <v>1.7630980000000001E-2</v>
      </c>
      <c r="R1490">
        <v>-1.7442030000000001E-2</v>
      </c>
      <c r="S1490">
        <v>-2.99401899999999</v>
      </c>
      <c r="T1490">
        <v>-0.18732570000000001</v>
      </c>
      <c r="U1490">
        <v>-0.58761600000000003</v>
      </c>
      <c r="V1490">
        <v>-2.207713E-2</v>
      </c>
      <c r="W1490">
        <v>3.2037330000000003E-2</v>
      </c>
      <c r="X1490">
        <v>0.99924279999999999</v>
      </c>
      <c r="Y1490">
        <v>-0.19674179999999999</v>
      </c>
      <c r="Z1490">
        <v>-6.3769129999999997E-3</v>
      </c>
      <c r="AA1490">
        <v>0.98043459999999905</v>
      </c>
      <c r="AB1490">
        <v>44</v>
      </c>
      <c r="AC1490">
        <v>-17.399899999999999</v>
      </c>
      <c r="AD1490">
        <v>-1.1045562413150001</v>
      </c>
      <c r="AE1490">
        <v>-3.4660000000000002</v>
      </c>
      <c r="AF1490">
        <v>-3.5326667103677498</v>
      </c>
      <c r="AG1490">
        <v>-1.1045562413150001</v>
      </c>
      <c r="AH1490">
        <v>17.316580685147901</v>
      </c>
      <c r="AI1490">
        <v>93.576264075548806</v>
      </c>
      <c r="AJ1490">
        <v>101.53039801302801</v>
      </c>
      <c r="AK1490">
        <v>17.70773122684</v>
      </c>
    </row>
    <row r="1491" spans="1:37" x14ac:dyDescent="0.2">
      <c r="A1491" t="str">
        <f>"20200111153429559"</f>
        <v>20200111153429559</v>
      </c>
      <c r="B1491" t="str">
        <f>"1578728069548208"</f>
        <v>1578728069548208</v>
      </c>
      <c r="C1491" t="s">
        <v>37</v>
      </c>
      <c r="D1491">
        <v>4.6457489999999897</v>
      </c>
      <c r="E1491">
        <v>0.43344579999999899</v>
      </c>
      <c r="F1491" t="s">
        <v>56</v>
      </c>
      <c r="G1491">
        <v>-296.94170000000003</v>
      </c>
      <c r="H1491" s="1">
        <v>3.7751289999999998E-6</v>
      </c>
      <c r="I1491">
        <v>280.74959999999999</v>
      </c>
      <c r="J1491">
        <v>-279.69869999999997</v>
      </c>
      <c r="K1491">
        <v>1.104563</v>
      </c>
      <c r="L1491">
        <v>284.178</v>
      </c>
      <c r="M1491">
        <v>-0.99988569999999999</v>
      </c>
      <c r="N1491">
        <v>0</v>
      </c>
      <c r="O1491">
        <v>4.5042889999999999E-3</v>
      </c>
      <c r="P1491">
        <v>-0.99968749999999995</v>
      </c>
      <c r="Q1491">
        <v>1.7571110000000001E-2</v>
      </c>
      <c r="R1491">
        <v>-1.779089E-2</v>
      </c>
      <c r="S1491">
        <v>-2.99401899999999</v>
      </c>
      <c r="T1491">
        <v>-0.18884889999999999</v>
      </c>
      <c r="U1491">
        <v>-0.58596800000000004</v>
      </c>
      <c r="V1491">
        <v>-2.231064E-2</v>
      </c>
      <c r="W1491">
        <v>3.1984899999999997E-2</v>
      </c>
      <c r="X1491">
        <v>0.99923930000000005</v>
      </c>
      <c r="Y1491">
        <v>-0.1961039</v>
      </c>
      <c r="Z1491">
        <v>-6.4018649999999996E-3</v>
      </c>
      <c r="AA1491">
        <v>0.98056219999999905</v>
      </c>
      <c r="AB1491">
        <v>44</v>
      </c>
      <c r="AC1491">
        <v>-17.242999999999999</v>
      </c>
      <c r="AD1491">
        <v>-1.1045592248709999</v>
      </c>
      <c r="AE1491">
        <v>-3.4284000000000101</v>
      </c>
      <c r="AF1491">
        <v>-3.4922553343119098</v>
      </c>
      <c r="AG1491">
        <v>-1.1045592248709999</v>
      </c>
      <c r="AH1491">
        <v>17.159644477568001</v>
      </c>
      <c r="AI1491">
        <v>93.609239573009702</v>
      </c>
      <c r="AJ1491">
        <v>101.50348263057801</v>
      </c>
      <c r="AK1491">
        <v>17.546204632278901</v>
      </c>
    </row>
    <row r="1492" spans="1:37" x14ac:dyDescent="0.2">
      <c r="A1492" t="str">
        <f>"20200111153429572"</f>
        <v>20200111153429572</v>
      </c>
      <c r="B1492" t="str">
        <f>"1578728069567727"</f>
        <v>1578728069567727</v>
      </c>
      <c r="C1492" t="s">
        <v>37</v>
      </c>
      <c r="D1492">
        <v>4.6307619999999998</v>
      </c>
      <c r="E1492">
        <v>0.43297970000000002</v>
      </c>
      <c r="F1492" t="s">
        <v>56</v>
      </c>
      <c r="G1492">
        <v>-297.13529999999997</v>
      </c>
      <c r="H1492" s="1">
        <v>3.8089169999999999E-6</v>
      </c>
      <c r="I1492">
        <v>280.75599999999997</v>
      </c>
      <c r="J1492">
        <v>-279.9581</v>
      </c>
      <c r="K1492">
        <v>1.1045670000000001</v>
      </c>
      <c r="L1492">
        <v>284.17910000000001</v>
      </c>
      <c r="M1492">
        <v>-0.99988619999999995</v>
      </c>
      <c r="N1492">
        <v>0</v>
      </c>
      <c r="O1492">
        <v>4.3929119999999997E-3</v>
      </c>
      <c r="P1492">
        <v>-0.99968519999999905</v>
      </c>
      <c r="Q1492">
        <v>1.7473789999999999E-2</v>
      </c>
      <c r="R1492">
        <v>-1.8005630000000002E-2</v>
      </c>
      <c r="S1492">
        <v>-2.993805</v>
      </c>
      <c r="T1492">
        <v>-0.18964929999999999</v>
      </c>
      <c r="U1492">
        <v>-0.58755489999999999</v>
      </c>
      <c r="V1492">
        <v>-2.2413619999999999E-2</v>
      </c>
      <c r="W1492">
        <v>3.1893869999999998E-2</v>
      </c>
      <c r="X1492">
        <v>0.99923989999999996</v>
      </c>
      <c r="Y1492">
        <v>-0.1965045</v>
      </c>
      <c r="Z1492">
        <v>-6.4346459999999996E-3</v>
      </c>
      <c r="AA1492">
        <v>0.98048179999999996</v>
      </c>
      <c r="AB1492">
        <v>44</v>
      </c>
      <c r="AC1492">
        <v>-17.1771999999999</v>
      </c>
      <c r="AD1492">
        <v>-1.1045631910830001</v>
      </c>
      <c r="AE1492">
        <v>-3.42310000000003</v>
      </c>
      <c r="AF1492">
        <v>-3.4846739718350701</v>
      </c>
      <c r="AG1492">
        <v>-1.1045631910830001</v>
      </c>
      <c r="AH1492">
        <v>17.094011262484401</v>
      </c>
      <c r="AI1492">
        <v>93.622834764686999</v>
      </c>
      <c r="AJ1492">
        <v>101.522071516483</v>
      </c>
      <c r="AK1492">
        <v>17.480510106259</v>
      </c>
    </row>
    <row r="1493" spans="1:37" x14ac:dyDescent="0.2">
      <c r="A1493" t="str">
        <f>"20200111153429588"</f>
        <v>20200111153429588</v>
      </c>
      <c r="B1493" t="str">
        <f>"1578728069577487"</f>
        <v>1578728069577487</v>
      </c>
      <c r="C1493" t="s">
        <v>37</v>
      </c>
      <c r="D1493">
        <v>4.588781</v>
      </c>
      <c r="E1493">
        <v>0.43295139999999999</v>
      </c>
      <c r="F1493" t="s">
        <v>56</v>
      </c>
      <c r="G1493">
        <v>-297.34530000000001</v>
      </c>
      <c r="H1493" s="1">
        <v>3.8475199999999997E-6</v>
      </c>
      <c r="I1493">
        <v>280.7405</v>
      </c>
      <c r="J1493">
        <v>-280.25510000000003</v>
      </c>
      <c r="K1493">
        <v>1.1045700000000001</v>
      </c>
      <c r="L1493">
        <v>284.18040000000002</v>
      </c>
      <c r="M1493">
        <v>-0.99988659999999996</v>
      </c>
      <c r="N1493">
        <v>0</v>
      </c>
      <c r="O1493">
        <v>4.2653220000000002E-3</v>
      </c>
      <c r="P1493">
        <v>-0.99967280000000003</v>
      </c>
      <c r="Q1493">
        <v>1.7566060000000001E-2</v>
      </c>
      <c r="R1493">
        <v>-1.8593999999999999E-2</v>
      </c>
      <c r="S1493">
        <v>-2.9935909999999999</v>
      </c>
      <c r="T1493">
        <v>-0.19017539999999999</v>
      </c>
      <c r="U1493">
        <v>-0.59204100000000004</v>
      </c>
      <c r="V1493">
        <v>-2.2874769999999999E-2</v>
      </c>
      <c r="W1493">
        <v>3.1992520000000003E-2</v>
      </c>
      <c r="X1493">
        <v>0.99922630000000001</v>
      </c>
      <c r="Y1493">
        <v>-0.1978026</v>
      </c>
      <c r="Z1493">
        <v>-6.48476E-3</v>
      </c>
      <c r="AA1493">
        <v>0.98022039999999999</v>
      </c>
      <c r="AB1493">
        <v>44</v>
      </c>
      <c r="AC1493">
        <v>-17.0901999999999</v>
      </c>
      <c r="AD1493">
        <v>-1.1045661524799999</v>
      </c>
      <c r="AE1493">
        <v>-3.4399000000000202</v>
      </c>
      <c r="AF1493">
        <v>-3.4987255524498</v>
      </c>
      <c r="AG1493">
        <v>-1.1045661524799999</v>
      </c>
      <c r="AH1493">
        <v>17.007094129706701</v>
      </c>
      <c r="AI1493">
        <v>93.639976737251303</v>
      </c>
      <c r="AJ1493">
        <v>101.62479435019399</v>
      </c>
      <c r="AK1493">
        <v>17.398344680264099</v>
      </c>
    </row>
    <row r="1494" spans="1:37" x14ac:dyDescent="0.2">
      <c r="A1494" t="str">
        <f>"20200111153429601"</f>
        <v>20200111153429601</v>
      </c>
      <c r="B1494" t="str">
        <f>"1578728069597983"</f>
        <v>1578728069597983</v>
      </c>
      <c r="C1494" t="s">
        <v>37</v>
      </c>
      <c r="D1494">
        <v>4.6495540000000002</v>
      </c>
      <c r="E1494">
        <v>0.43288539999999998</v>
      </c>
      <c r="F1494" t="s">
        <v>56</v>
      </c>
      <c r="G1494">
        <v>-297.76139999999998</v>
      </c>
      <c r="H1494" s="1">
        <v>3.9242929999999999E-6</v>
      </c>
      <c r="I1494">
        <v>280.70650000000001</v>
      </c>
      <c r="J1494">
        <v>-280.51830000000001</v>
      </c>
      <c r="K1494">
        <v>1.1045799999999999</v>
      </c>
      <c r="L1494">
        <v>284.18130000000002</v>
      </c>
      <c r="M1494">
        <v>-0.99988709999999903</v>
      </c>
      <c r="N1494">
        <v>0</v>
      </c>
      <c r="O1494">
        <v>4.1521040000000002E-3</v>
      </c>
      <c r="P1494">
        <v>-0.99966699999999997</v>
      </c>
      <c r="Q1494">
        <v>1.766943E-2</v>
      </c>
      <c r="R1494">
        <v>-1.8815510000000001E-2</v>
      </c>
      <c r="S1494">
        <v>-2.9932560000000001</v>
      </c>
      <c r="T1494">
        <v>-0.18886140000000001</v>
      </c>
      <c r="U1494">
        <v>-0.59396359999999904</v>
      </c>
      <c r="V1494">
        <v>-2.2982369999999998E-2</v>
      </c>
      <c r="W1494">
        <v>3.2100709999999998E-2</v>
      </c>
      <c r="X1494">
        <v>0.99922040000000001</v>
      </c>
      <c r="Y1494">
        <v>-0.1983229</v>
      </c>
      <c r="Z1494">
        <v>-6.4495219999999897E-3</v>
      </c>
      <c r="AA1494">
        <v>0.98011550000000003</v>
      </c>
      <c r="AB1494">
        <v>44</v>
      </c>
      <c r="AC1494">
        <v>-17.243099999999899</v>
      </c>
      <c r="AD1494">
        <v>-1.104576075707</v>
      </c>
      <c r="AE1494">
        <v>-3.4748000000000099</v>
      </c>
      <c r="AF1494">
        <v>-3.5324427562540501</v>
      </c>
      <c r="AG1494">
        <v>-1.104576075707</v>
      </c>
      <c r="AH1494">
        <v>17.1608497062896</v>
      </c>
      <c r="AI1494">
        <v>93.607396215998406</v>
      </c>
      <c r="AJ1494">
        <v>101.63147722241401</v>
      </c>
      <c r="AK1494">
        <v>17.555426590518799</v>
      </c>
    </row>
    <row r="1495" spans="1:37" x14ac:dyDescent="0.2">
      <c r="A1495" t="str">
        <f>"20200111153429613"</f>
        <v>20200111153429613</v>
      </c>
      <c r="B1495" t="str">
        <f>"1578728069607743"</f>
        <v>1578728069607743</v>
      </c>
      <c r="C1495" t="s">
        <v>37</v>
      </c>
      <c r="D1495">
        <v>4.6356419999999998</v>
      </c>
      <c r="E1495">
        <v>0.43267829999999902</v>
      </c>
      <c r="F1495" t="s">
        <v>56</v>
      </c>
      <c r="G1495">
        <v>-298.00830000000002</v>
      </c>
      <c r="H1495" s="1">
        <v>3.9684409999999996E-6</v>
      </c>
      <c r="I1495">
        <v>280.70249999999999</v>
      </c>
      <c r="J1495">
        <v>-280.75790000000001</v>
      </c>
      <c r="K1495">
        <v>1.104584</v>
      </c>
      <c r="L1495">
        <v>284.1823</v>
      </c>
      <c r="M1495">
        <v>-0.99988739999999998</v>
      </c>
      <c r="N1495">
        <v>0</v>
      </c>
      <c r="O1495">
        <v>4.0494399999999996E-3</v>
      </c>
      <c r="P1495">
        <v>-0.99966139999999903</v>
      </c>
      <c r="Q1495">
        <v>1.7833069999999999E-2</v>
      </c>
      <c r="R1495">
        <v>-1.8955300000000001E-2</v>
      </c>
      <c r="S1495">
        <v>-2.993134</v>
      </c>
      <c r="T1495">
        <v>-0.18903049999999999</v>
      </c>
      <c r="U1495">
        <v>-0.59533689999999995</v>
      </c>
      <c r="V1495">
        <v>-2.3019890000000001E-2</v>
      </c>
      <c r="W1495">
        <v>3.2268940000000003E-2</v>
      </c>
      <c r="X1495">
        <v>0.99921409999999999</v>
      </c>
      <c r="Y1495">
        <v>-0.19866139999999999</v>
      </c>
      <c r="Z1495">
        <v>-6.4594140000000001E-3</v>
      </c>
      <c r="AA1495">
        <v>0.98004690000000005</v>
      </c>
      <c r="AB1495">
        <v>44</v>
      </c>
      <c r="AC1495">
        <v>-17.250399999999999</v>
      </c>
      <c r="AD1495">
        <v>-1.104580031559</v>
      </c>
      <c r="AE1495">
        <v>-3.4798000000000102</v>
      </c>
      <c r="AF1495">
        <v>-3.5357032656468999</v>
      </c>
      <c r="AG1495">
        <v>-1.104580031559</v>
      </c>
      <c r="AH1495">
        <v>17.1685253281888</v>
      </c>
      <c r="AI1495">
        <v>93.605731043730799</v>
      </c>
      <c r="AJ1495">
        <v>101.63685752183</v>
      </c>
      <c r="AK1495">
        <v>17.563586096622899</v>
      </c>
    </row>
    <row r="1496" spans="1:37" x14ac:dyDescent="0.2">
      <c r="A1496" t="str">
        <f>"20200111153429626"</f>
        <v>20200111153429626</v>
      </c>
      <c r="B1496" t="str">
        <f>"1578728069617503"</f>
        <v>1578728069617503</v>
      </c>
      <c r="C1496" t="s">
        <v>37</v>
      </c>
      <c r="D1496">
        <v>4.6557500000000003</v>
      </c>
      <c r="E1496">
        <v>0.43248359999999902</v>
      </c>
      <c r="F1496" t="s">
        <v>56</v>
      </c>
      <c r="G1496">
        <v>-298.19549999999998</v>
      </c>
      <c r="H1496" s="1">
        <v>4.0016650000000003E-6</v>
      </c>
      <c r="I1496">
        <v>280.70240000000001</v>
      </c>
      <c r="J1496">
        <v>-281.00670000000002</v>
      </c>
      <c r="K1496">
        <v>1.104589</v>
      </c>
      <c r="L1496">
        <v>284.1832</v>
      </c>
      <c r="M1496">
        <v>-0.99988759999999999</v>
      </c>
      <c r="N1496">
        <v>0</v>
      </c>
      <c r="O1496">
        <v>3.9427849999999999E-3</v>
      </c>
      <c r="P1496">
        <v>-0.99965720000000002</v>
      </c>
      <c r="Q1496">
        <v>1.793726E-2</v>
      </c>
      <c r="R1496">
        <v>-1.9068999999999999E-2</v>
      </c>
      <c r="S1496">
        <v>-2.9931030000000001</v>
      </c>
      <c r="T1496">
        <v>-0.1895974</v>
      </c>
      <c r="U1496">
        <v>-0.59732059999999998</v>
      </c>
      <c r="V1496">
        <v>-2.3026959999999999E-2</v>
      </c>
      <c r="W1496">
        <v>3.237665E-2</v>
      </c>
      <c r="X1496">
        <v>0.99921039999999905</v>
      </c>
      <c r="Y1496">
        <v>-0.19918039999999901</v>
      </c>
      <c r="Z1496">
        <v>-6.4879789999999996E-3</v>
      </c>
      <c r="AA1496">
        <v>0.97994139999999996</v>
      </c>
      <c r="AB1496">
        <v>44</v>
      </c>
      <c r="AC1496">
        <v>-17.188799999999901</v>
      </c>
      <c r="AD1496">
        <v>-1.104584998335</v>
      </c>
      <c r="AE1496">
        <v>-3.4807999999999799</v>
      </c>
      <c r="AF1496">
        <v>-3.53453058209513</v>
      </c>
      <c r="AG1496">
        <v>-1.104584998335</v>
      </c>
      <c r="AH1496">
        <v>17.107078517058401</v>
      </c>
      <c r="AI1496">
        <v>93.618185087935004</v>
      </c>
      <c r="AJ1496">
        <v>101.673743164333</v>
      </c>
      <c r="AK1496">
        <v>17.503289686316499</v>
      </c>
    </row>
    <row r="1497" spans="1:37" x14ac:dyDescent="0.2">
      <c r="A1497" t="str">
        <f>"20200111153429637"</f>
        <v>20200111153429637</v>
      </c>
      <c r="B1497" t="str">
        <f>"1578728069627263"</f>
        <v>1578728069627263</v>
      </c>
      <c r="C1497" t="s">
        <v>37</v>
      </c>
      <c r="D1497">
        <v>4.6309319999999996</v>
      </c>
      <c r="E1497">
        <v>0.43221369999999998</v>
      </c>
      <c r="F1497" t="s">
        <v>56</v>
      </c>
      <c r="G1497">
        <v>-298.37700000000001</v>
      </c>
      <c r="H1497" s="1">
        <v>4.0335420000000003E-6</v>
      </c>
      <c r="I1497">
        <v>280.70609999999999</v>
      </c>
      <c r="J1497">
        <v>-281.2457</v>
      </c>
      <c r="K1497">
        <v>1.1045959999999999</v>
      </c>
      <c r="L1497">
        <v>284.1841</v>
      </c>
      <c r="M1497">
        <v>-0.99988809999999995</v>
      </c>
      <c r="N1497">
        <v>0</v>
      </c>
      <c r="O1497">
        <v>3.8401279999999999E-3</v>
      </c>
      <c r="P1497">
        <v>-0.99965130000000002</v>
      </c>
      <c r="Q1497">
        <v>1.810318E-2</v>
      </c>
      <c r="R1497">
        <v>-1.9224700000000001E-2</v>
      </c>
      <c r="S1497">
        <v>-2.9930110000000001</v>
      </c>
      <c r="T1497">
        <v>-0.19032650000000001</v>
      </c>
      <c r="U1497">
        <v>-0.59912109999999996</v>
      </c>
      <c r="V1497">
        <v>-2.3080199999999999E-2</v>
      </c>
      <c r="W1497">
        <v>3.2546319999999997E-2</v>
      </c>
      <c r="X1497">
        <v>0.99920370000000003</v>
      </c>
      <c r="Y1497">
        <v>-0.19964870000000001</v>
      </c>
      <c r="Z1497">
        <v>-6.5209630000000003E-3</v>
      </c>
      <c r="AA1497">
        <v>0.97984579999999999</v>
      </c>
      <c r="AB1497">
        <v>44</v>
      </c>
      <c r="AC1497">
        <v>-17.1313</v>
      </c>
      <c r="AD1497">
        <v>-1.104591966458</v>
      </c>
      <c r="AE1497">
        <v>-3.4780000000000002</v>
      </c>
      <c r="AF1497">
        <v>-3.5296741918214201</v>
      </c>
      <c r="AG1497">
        <v>-1.104591966458</v>
      </c>
      <c r="AH1497">
        <v>17.0497394352928</v>
      </c>
      <c r="AI1497">
        <v>93.630049155646901</v>
      </c>
      <c r="AJ1497">
        <v>101.696271392478</v>
      </c>
      <c r="AK1497">
        <v>17.446270034713699</v>
      </c>
    </row>
    <row r="1498" spans="1:37" x14ac:dyDescent="0.2">
      <c r="A1498" t="str">
        <f>"20200111153429656"</f>
        <v>20200111153429656</v>
      </c>
      <c r="B1498" t="str">
        <f>"1578728069647758"</f>
        <v>1578728069647758</v>
      </c>
      <c r="C1498" t="s">
        <v>37</v>
      </c>
      <c r="D1498">
        <v>4.6472689999999997</v>
      </c>
      <c r="E1498">
        <v>0.43189919999999998</v>
      </c>
      <c r="F1498" t="s">
        <v>56</v>
      </c>
      <c r="G1498">
        <v>-298.64190000000002</v>
      </c>
      <c r="H1498" s="1">
        <v>4.082145E-6</v>
      </c>
      <c r="I1498">
        <v>280.6875</v>
      </c>
      <c r="J1498">
        <v>-281.59190000000001</v>
      </c>
      <c r="K1498">
        <v>1.104603</v>
      </c>
      <c r="L1498">
        <v>284.18520000000001</v>
      </c>
      <c r="M1498">
        <v>-0.99988849999999996</v>
      </c>
      <c r="N1498">
        <v>0</v>
      </c>
      <c r="O1498">
        <v>3.6911609999999901E-3</v>
      </c>
      <c r="P1498">
        <v>-0.99963690000000005</v>
      </c>
      <c r="Q1498">
        <v>1.8408299999999999E-2</v>
      </c>
      <c r="R1498">
        <v>-1.9673679999999999E-2</v>
      </c>
      <c r="S1498">
        <v>-2.99295</v>
      </c>
      <c r="T1498">
        <v>-0.19004070000000001</v>
      </c>
      <c r="U1498">
        <v>-0.6015625</v>
      </c>
      <c r="V1498">
        <v>-2.3380599999999901E-2</v>
      </c>
      <c r="W1498">
        <v>3.2854670000000002E-2</v>
      </c>
      <c r="X1498">
        <v>0.99918660000000004</v>
      </c>
      <c r="Y1498">
        <v>-0.20027519999999999</v>
      </c>
      <c r="Z1498">
        <v>-6.5211219999999999E-3</v>
      </c>
      <c r="AA1498">
        <v>0.97971799999999998</v>
      </c>
      <c r="AB1498">
        <v>44</v>
      </c>
      <c r="AC1498">
        <v>-17.05</v>
      </c>
      <c r="AD1498">
        <v>-1.104598917855</v>
      </c>
      <c r="AE1498">
        <v>-3.4977</v>
      </c>
      <c r="AF1498">
        <v>-3.5463334630886698</v>
      </c>
      <c r="AG1498">
        <v>-1.104598917855</v>
      </c>
      <c r="AH1498">
        <v>16.9686272580565</v>
      </c>
      <c r="AI1498">
        <v>93.645947950187406</v>
      </c>
      <c r="AJ1498">
        <v>101.804537646185</v>
      </c>
      <c r="AK1498">
        <v>17.3704038762375</v>
      </c>
    </row>
    <row r="1499" spans="1:37" x14ac:dyDescent="0.2">
      <c r="A1499" t="str">
        <f>"20200111153429678"</f>
        <v>20200111153429678</v>
      </c>
      <c r="B1499" t="str">
        <f>"1578728069668254"</f>
        <v>1578728069668254</v>
      </c>
      <c r="C1499" t="s">
        <v>37</v>
      </c>
      <c r="D1499">
        <v>4.6518660000000001</v>
      </c>
      <c r="E1499">
        <v>0.43140489999999998</v>
      </c>
      <c r="F1499" t="s">
        <v>56</v>
      </c>
      <c r="G1499">
        <v>-298.92939999999999</v>
      </c>
      <c r="H1499" s="1">
        <v>4.1340599999999997E-6</v>
      </c>
      <c r="I1499">
        <v>280.67700000000002</v>
      </c>
      <c r="J1499">
        <v>-282.01609999999999</v>
      </c>
      <c r="K1499">
        <v>1.1046049999999901</v>
      </c>
      <c r="L1499">
        <v>284.18669999999997</v>
      </c>
      <c r="M1499">
        <v>-0.99988929999999998</v>
      </c>
      <c r="N1499">
        <v>0</v>
      </c>
      <c r="O1499">
        <v>3.5085759999999998E-3</v>
      </c>
      <c r="P1499">
        <v>-0.99962280000000003</v>
      </c>
      <c r="Q1499">
        <v>1.8626520000000001E-2</v>
      </c>
      <c r="R1499">
        <v>-2.0193510000000001E-2</v>
      </c>
      <c r="S1499">
        <v>-2.992645</v>
      </c>
      <c r="T1499">
        <v>-0.19066659999999999</v>
      </c>
      <c r="U1499">
        <v>-0.60556030000000005</v>
      </c>
      <c r="V1499">
        <v>-2.3717749999999999E-2</v>
      </c>
      <c r="W1499">
        <v>3.3077229999999999E-2</v>
      </c>
      <c r="X1499">
        <v>0.99917129999999998</v>
      </c>
      <c r="Y1499">
        <v>-0.20136879999999999</v>
      </c>
      <c r="Z1499">
        <v>-6.5653019999999899E-3</v>
      </c>
      <c r="AA1499">
        <v>0.97949349999999902</v>
      </c>
      <c r="AB1499">
        <v>44</v>
      </c>
      <c r="AC1499">
        <v>-16.9132999999999</v>
      </c>
      <c r="AD1499">
        <v>-1.10460086593999</v>
      </c>
      <c r="AE1499">
        <v>-3.5096999999999499</v>
      </c>
      <c r="AF1499">
        <v>-3.5544909697189202</v>
      </c>
      <c r="AG1499">
        <v>-1.10460086593999</v>
      </c>
      <c r="AH1499">
        <v>16.832049964789199</v>
      </c>
      <c r="AI1499">
        <v>93.673849613425105</v>
      </c>
      <c r="AJ1499">
        <v>101.92418688664399</v>
      </c>
      <c r="AK1499">
        <v>17.238690644709902</v>
      </c>
    </row>
    <row r="1500" spans="1:37" x14ac:dyDescent="0.2">
      <c r="A1500" t="str">
        <f>"20200111153429689"</f>
        <v>20200111153429689</v>
      </c>
      <c r="B1500" t="str">
        <f>"1578728069678016"</f>
        <v>1578728069678016</v>
      </c>
      <c r="C1500" t="s">
        <v>37</v>
      </c>
      <c r="D1500">
        <v>4.7280439999999997</v>
      </c>
      <c r="E1500">
        <v>0.43108220000000003</v>
      </c>
      <c r="F1500" t="s">
        <v>56</v>
      </c>
      <c r="G1500">
        <v>-299.28730000000002</v>
      </c>
      <c r="H1500" s="1">
        <v>4.19894E-6</v>
      </c>
      <c r="I1500">
        <v>280.66109999999998</v>
      </c>
      <c r="J1500">
        <v>-282.25400000000002</v>
      </c>
      <c r="K1500">
        <v>1.104609</v>
      </c>
      <c r="L1500">
        <v>284.18740000000003</v>
      </c>
      <c r="M1500">
        <v>-0.99988960000000005</v>
      </c>
      <c r="N1500">
        <v>0</v>
      </c>
      <c r="O1500">
        <v>3.4062290000000002E-3</v>
      </c>
      <c r="P1500">
        <v>-0.99961719999999898</v>
      </c>
      <c r="Q1500">
        <v>1.8618450000000002E-2</v>
      </c>
      <c r="R1500">
        <v>-2.0464409999999999E-2</v>
      </c>
      <c r="S1500">
        <v>-2.9923709999999999</v>
      </c>
      <c r="T1500">
        <v>-0.1913812</v>
      </c>
      <c r="U1500">
        <v>-0.61083980000000004</v>
      </c>
      <c r="V1500">
        <v>-2.388641E-2</v>
      </c>
      <c r="W1500">
        <v>3.3071040000000003E-2</v>
      </c>
      <c r="X1500">
        <v>0.99916749999999899</v>
      </c>
      <c r="Y1500">
        <v>-0.2029396</v>
      </c>
      <c r="Z1500">
        <v>-6.6325050000000003E-3</v>
      </c>
      <c r="AA1500">
        <v>0.97916879999999995</v>
      </c>
      <c r="AB1500">
        <v>44</v>
      </c>
      <c r="AC1500">
        <v>-17.033299999999901</v>
      </c>
      <c r="AD1500">
        <v>-1.10460480106</v>
      </c>
      <c r="AE1500">
        <v>-3.52630000000004</v>
      </c>
      <c r="AF1500">
        <v>-3.5699087301463299</v>
      </c>
      <c r="AG1500">
        <v>-1.10460480106</v>
      </c>
      <c r="AH1500">
        <v>16.952823690319001</v>
      </c>
      <c r="AI1500">
        <v>93.648197623526997</v>
      </c>
      <c r="AJ1500">
        <v>101.89154870960201</v>
      </c>
      <c r="AK1500">
        <v>17.359799284068401</v>
      </c>
    </row>
    <row r="1501" spans="1:37" x14ac:dyDescent="0.2">
      <c r="A1501" t="str">
        <f>"20200111153429702"</f>
        <v>20200111153429702</v>
      </c>
      <c r="B1501" t="str">
        <f>"1578728069697535"</f>
        <v>1578728069697535</v>
      </c>
      <c r="C1501" t="s">
        <v>37</v>
      </c>
      <c r="D1501">
        <v>4.6750629999999997</v>
      </c>
      <c r="E1501">
        <v>0.4308284</v>
      </c>
      <c r="F1501" t="s">
        <v>56</v>
      </c>
      <c r="G1501">
        <v>-299.48820000000001</v>
      </c>
      <c r="H1501" s="1">
        <v>4.2355049999999999E-6</v>
      </c>
      <c r="I1501">
        <v>280.65050000000002</v>
      </c>
      <c r="J1501">
        <v>-282.49979999999999</v>
      </c>
      <c r="K1501">
        <v>1.104609</v>
      </c>
      <c r="L1501">
        <v>284.18819999999999</v>
      </c>
      <c r="M1501">
        <v>-0.99988980000000005</v>
      </c>
      <c r="N1501">
        <v>0</v>
      </c>
      <c r="O1501">
        <v>3.3007240000000001E-3</v>
      </c>
      <c r="P1501">
        <v>-0.99960939999999998</v>
      </c>
      <c r="Q1501">
        <v>1.865172E-2</v>
      </c>
      <c r="R1501">
        <v>-2.0819219999999999E-2</v>
      </c>
      <c r="S1501">
        <v>-2.9921570000000002</v>
      </c>
      <c r="T1501">
        <v>-0.19177900000000001</v>
      </c>
      <c r="U1501">
        <v>-0.61407469999999997</v>
      </c>
      <c r="V1501">
        <v>-2.4135569999999999E-2</v>
      </c>
      <c r="W1501">
        <v>3.3106299999999998E-2</v>
      </c>
      <c r="X1501">
        <v>0.9991603</v>
      </c>
      <c r="Y1501">
        <v>-0.2038626</v>
      </c>
      <c r="Z1501">
        <v>-6.668574E-3</v>
      </c>
      <c r="AA1501">
        <v>0.97897679999999998</v>
      </c>
      <c r="AB1501">
        <v>44</v>
      </c>
      <c r="AC1501">
        <v>-16.988399999999999</v>
      </c>
      <c r="AD1501">
        <v>-1.1046047644949999</v>
      </c>
      <c r="AE1501">
        <v>-3.5376999999999699</v>
      </c>
      <c r="AF1501">
        <v>-3.5792573589769798</v>
      </c>
      <c r="AG1501">
        <v>-1.1046047644949999</v>
      </c>
      <c r="AH1501">
        <v>16.90811703832</v>
      </c>
      <c r="AI1501">
        <v>93.656999410027296</v>
      </c>
      <c r="AJ1501">
        <v>101.952416411302</v>
      </c>
      <c r="AK1501">
        <v>17.318073123447199</v>
      </c>
    </row>
    <row r="1502" spans="1:37" x14ac:dyDescent="0.2">
      <c r="A1502" t="str">
        <f>"20200111153429715"</f>
        <v>20200111153429715</v>
      </c>
      <c r="B1502" t="str">
        <f>"1578728069707295"</f>
        <v>1578728069707295</v>
      </c>
      <c r="C1502" t="s">
        <v>37</v>
      </c>
      <c r="D1502">
        <v>4.6625699999999997</v>
      </c>
      <c r="E1502">
        <v>0.42150890000000002</v>
      </c>
      <c r="F1502" t="s">
        <v>56</v>
      </c>
      <c r="G1502">
        <v>-299.685</v>
      </c>
      <c r="H1502" s="1">
        <v>4.2711179999999997E-6</v>
      </c>
      <c r="I1502">
        <v>280.64240000000001</v>
      </c>
      <c r="J1502">
        <v>-282.76190000000003</v>
      </c>
      <c r="K1502">
        <v>1.104614</v>
      </c>
      <c r="L1502">
        <v>284.18900000000002</v>
      </c>
      <c r="M1502">
        <v>-0.9998901</v>
      </c>
      <c r="N1502">
        <v>0</v>
      </c>
      <c r="O1502">
        <v>3.1883039999999999E-3</v>
      </c>
      <c r="P1502">
        <v>-0.99959719999999996</v>
      </c>
      <c r="Q1502">
        <v>1.874075E-2</v>
      </c>
      <c r="R1502">
        <v>-2.1314900000000001E-2</v>
      </c>
      <c r="S1502">
        <v>-2.9919129999999998</v>
      </c>
      <c r="T1502">
        <v>-0.19231010000000001</v>
      </c>
      <c r="U1502">
        <v>-0.61730959999999901</v>
      </c>
      <c r="V1502">
        <v>-2.451855E-2</v>
      </c>
      <c r="W1502">
        <v>3.31959E-2</v>
      </c>
      <c r="X1502">
        <v>0.99914809999999998</v>
      </c>
      <c r="Y1502">
        <v>-0.20477989999999999</v>
      </c>
      <c r="Z1502">
        <v>-6.7088169999999997E-3</v>
      </c>
      <c r="AA1502">
        <v>0.97878500000000002</v>
      </c>
      <c r="AB1502">
        <v>44</v>
      </c>
      <c r="AC1502">
        <v>-16.923099999999899</v>
      </c>
      <c r="AD1502">
        <v>-1.104609728882</v>
      </c>
      <c r="AE1502">
        <v>-3.54660000000001</v>
      </c>
      <c r="AF1502">
        <v>-3.5859087121089401</v>
      </c>
      <c r="AG1502">
        <v>-1.104609728882</v>
      </c>
      <c r="AH1502">
        <v>16.842965207081701</v>
      </c>
      <c r="AI1502">
        <v>93.670220655264103</v>
      </c>
      <c r="AJ1502">
        <v>102.018960433564</v>
      </c>
      <c r="AK1502">
        <v>17.255850628458798</v>
      </c>
    </row>
    <row r="1503" spans="1:37" x14ac:dyDescent="0.2">
      <c r="A1503" t="str">
        <f>"20200111153429727"</f>
        <v>20200111153429727</v>
      </c>
      <c r="B1503" t="str">
        <f>"1578728069718031"</f>
        <v>1578728069718031</v>
      </c>
      <c r="C1503" t="s">
        <v>37</v>
      </c>
      <c r="D1503">
        <v>4.6161190000000003</v>
      </c>
      <c r="E1503">
        <v>0.42043449999999999</v>
      </c>
      <c r="F1503" t="s">
        <v>56</v>
      </c>
      <c r="G1503">
        <v>-299.29309999999998</v>
      </c>
      <c r="H1503" s="1">
        <v>4.2265509999999996E-6</v>
      </c>
      <c r="I1503">
        <v>280.3571</v>
      </c>
      <c r="J1503">
        <v>-282.99119999999999</v>
      </c>
      <c r="K1503">
        <v>1.1046149999999999</v>
      </c>
      <c r="L1503">
        <v>284.18959999999998</v>
      </c>
      <c r="M1503">
        <v>-0.99989039999999996</v>
      </c>
      <c r="N1503">
        <v>0</v>
      </c>
      <c r="O1503">
        <v>3.0896589999999998E-3</v>
      </c>
      <c r="P1503">
        <v>-0.99958719999999901</v>
      </c>
      <c r="Q1503">
        <v>1.887409E-2</v>
      </c>
      <c r="R1503">
        <v>-2.1668349999999999E-2</v>
      </c>
      <c r="S1503">
        <v>-2.990173</v>
      </c>
      <c r="T1503">
        <v>-0.19980229999999999</v>
      </c>
      <c r="U1503">
        <v>-0.69311519999999904</v>
      </c>
      <c r="V1503">
        <v>-2.477333E-2</v>
      </c>
      <c r="W1503">
        <v>3.3330770000000003E-2</v>
      </c>
      <c r="X1503">
        <v>0.99913730000000001</v>
      </c>
      <c r="Y1503">
        <v>-0.2283299</v>
      </c>
      <c r="Z1503">
        <v>-7.7241619999999997E-3</v>
      </c>
      <c r="AA1503">
        <v>0.97355319999999901</v>
      </c>
      <c r="AB1503">
        <v>44</v>
      </c>
      <c r="AC1503">
        <v>-16.3018999999999</v>
      </c>
      <c r="AD1503">
        <v>-1.1046107734489901</v>
      </c>
      <c r="AE1503">
        <v>-3.83249999999998</v>
      </c>
      <c r="AF1503">
        <v>-3.8660335902747902</v>
      </c>
      <c r="AG1503">
        <v>-1.1046107734489901</v>
      </c>
      <c r="AH1503">
        <v>16.2194108633228</v>
      </c>
      <c r="AI1503">
        <v>93.790209838026698</v>
      </c>
      <c r="AJ1503">
        <v>103.406768631703</v>
      </c>
      <c r="AK1503">
        <v>16.710346179395099</v>
      </c>
    </row>
    <row r="1504" spans="1:37" x14ac:dyDescent="0.2">
      <c r="A1504" t="str">
        <f>"20200111153429745"</f>
        <v>20200111153429745</v>
      </c>
      <c r="B1504" t="str">
        <f>"1578728069737550"</f>
        <v>1578728069737550</v>
      </c>
      <c r="C1504" t="s">
        <v>37</v>
      </c>
      <c r="D1504">
        <v>4.6198969999999999</v>
      </c>
      <c r="E1504">
        <v>0.4190142</v>
      </c>
      <c r="F1504" t="s">
        <v>56</v>
      </c>
      <c r="G1504">
        <v>-299.81180000000001</v>
      </c>
      <c r="H1504" s="1">
        <v>4.3291830000000002E-6</v>
      </c>
      <c r="I1504">
        <v>280.23540000000003</v>
      </c>
      <c r="J1504">
        <v>-283.34309999999999</v>
      </c>
      <c r="K1504">
        <v>1.1046199999999999</v>
      </c>
      <c r="L1504">
        <v>284.19060000000002</v>
      </c>
      <c r="M1504">
        <v>-0.99989089999999903</v>
      </c>
      <c r="N1504">
        <v>0</v>
      </c>
      <c r="O1504">
        <v>2.9379689999999999E-3</v>
      </c>
      <c r="P1504">
        <v>-0.99957750000000001</v>
      </c>
      <c r="Q1504">
        <v>1.8819570000000001E-2</v>
      </c>
      <c r="R1504">
        <v>-2.215166E-2</v>
      </c>
      <c r="S1504">
        <v>-2.989716</v>
      </c>
      <c r="T1504">
        <v>-0.1963356</v>
      </c>
      <c r="U1504">
        <v>-0.70281979999999999</v>
      </c>
      <c r="V1504">
        <v>-2.510544E-2</v>
      </c>
      <c r="W1504">
        <v>3.3277389999999997E-2</v>
      </c>
      <c r="X1504">
        <v>0.99913079999999999</v>
      </c>
      <c r="Y1504">
        <v>-0.23122229999999999</v>
      </c>
      <c r="Z1504">
        <v>-7.67257599999999E-3</v>
      </c>
      <c r="AA1504">
        <v>0.97287069999999998</v>
      </c>
      <c r="AB1504">
        <v>44</v>
      </c>
      <c r="AC1504">
        <v>-16.468699999999998</v>
      </c>
      <c r="AD1504">
        <v>-1.1046156708170001</v>
      </c>
      <c r="AE1504">
        <v>-3.9551999999999898</v>
      </c>
      <c r="AF1504">
        <v>-3.9866153252819001</v>
      </c>
      <c r="AG1504">
        <v>-1.1046156708170001</v>
      </c>
      <c r="AH1504">
        <v>16.387303492523099</v>
      </c>
      <c r="AI1504">
        <v>93.747322468082999</v>
      </c>
      <c r="AJ1504">
        <v>103.67300542417399</v>
      </c>
      <c r="AK1504">
        <v>16.901390276780401</v>
      </c>
    </row>
    <row r="1505" spans="1:37" x14ac:dyDescent="0.2">
      <c r="A1505" t="str">
        <f>"20200111153429758"</f>
        <v>20200111153429758</v>
      </c>
      <c r="B1505" t="str">
        <f>"1578728069747311"</f>
        <v>1578728069747311</v>
      </c>
      <c r="C1505" t="s">
        <v>37</v>
      </c>
      <c r="D1505">
        <v>4.6052379999999999</v>
      </c>
      <c r="E1505">
        <v>0.41829430000000001</v>
      </c>
      <c r="F1505" t="s">
        <v>56</v>
      </c>
      <c r="G1505">
        <v>-300.33550000000002</v>
      </c>
      <c r="H1505" s="1">
        <v>4.2979510000000003E-6</v>
      </c>
      <c r="I1505">
        <v>280.1225</v>
      </c>
      <c r="J1505">
        <v>-283.59769999999997</v>
      </c>
      <c r="K1505">
        <v>1.1046199999999999</v>
      </c>
      <c r="L1505">
        <v>284.19119999999998</v>
      </c>
      <c r="M1505">
        <v>-0.99989130000000004</v>
      </c>
      <c r="N1505">
        <v>0</v>
      </c>
      <c r="O1505">
        <v>2.8282390000000002E-3</v>
      </c>
      <c r="P1505">
        <v>-0.99956329999999904</v>
      </c>
      <c r="Q1505">
        <v>1.8960899999999999E-2</v>
      </c>
      <c r="R1505">
        <v>-2.2677820000000001E-2</v>
      </c>
      <c r="S1505">
        <v>-2.9891049999999999</v>
      </c>
      <c r="T1505">
        <v>-0.1943107</v>
      </c>
      <c r="U1505">
        <v>-0.71560669999999904</v>
      </c>
      <c r="V1505">
        <v>-2.552171E-2</v>
      </c>
      <c r="W1505">
        <v>3.3418929999999999E-2</v>
      </c>
      <c r="X1505">
        <v>0.99911550000000005</v>
      </c>
      <c r="Y1505">
        <v>-0.23510059999999999</v>
      </c>
      <c r="Z1505">
        <v>-7.708571E-3</v>
      </c>
      <c r="AA1505">
        <v>0.97194049999999999</v>
      </c>
      <c r="AB1505">
        <v>44</v>
      </c>
      <c r="AC1505">
        <v>-16.7378</v>
      </c>
      <c r="AD1505">
        <v>-1.1046157020489999</v>
      </c>
      <c r="AE1505">
        <v>-4.0686999999999696</v>
      </c>
      <c r="AF1505">
        <v>-4.0991698533635299</v>
      </c>
      <c r="AG1505">
        <v>-1.1046157020489999</v>
      </c>
      <c r="AH1505">
        <v>16.6577217737191</v>
      </c>
      <c r="AI1505">
        <v>93.684276210623906</v>
      </c>
      <c r="AJ1505">
        <v>103.824783753989</v>
      </c>
      <c r="AK1505">
        <v>17.190202559207101</v>
      </c>
    </row>
    <row r="1506" spans="1:37" x14ac:dyDescent="0.2">
      <c r="A1506" t="str">
        <f>"20200111153429772"</f>
        <v>20200111153429772</v>
      </c>
      <c r="B1506" t="str">
        <f>"1578728069767806"</f>
        <v>1578728069767806</v>
      </c>
      <c r="C1506" t="s">
        <v>37</v>
      </c>
      <c r="D1506">
        <v>4.5938369999999997</v>
      </c>
      <c r="E1506">
        <v>0.41777150000000002</v>
      </c>
      <c r="F1506" t="s">
        <v>56</v>
      </c>
      <c r="G1506">
        <v>-300.88029999999998</v>
      </c>
      <c r="H1506" s="1">
        <v>4.2109900000000001E-6</v>
      </c>
      <c r="I1506">
        <v>280.01170000000002</v>
      </c>
      <c r="J1506">
        <v>-283.84870000000001</v>
      </c>
      <c r="K1506">
        <v>1.104622</v>
      </c>
      <c r="L1506">
        <v>284.1918</v>
      </c>
      <c r="M1506">
        <v>-0.99989150000000004</v>
      </c>
      <c r="N1506">
        <v>0</v>
      </c>
      <c r="O1506">
        <v>2.7204779999999902E-3</v>
      </c>
      <c r="P1506">
        <v>-0.99955699999999903</v>
      </c>
      <c r="Q1506">
        <v>1.8880259999999999E-2</v>
      </c>
      <c r="R1506">
        <v>-2.3011609999999998E-2</v>
      </c>
      <c r="S1506">
        <v>-2.9885250000000001</v>
      </c>
      <c r="T1506">
        <v>-0.19101029999999999</v>
      </c>
      <c r="U1506">
        <v>-0.72271730000000001</v>
      </c>
      <c r="V1506">
        <v>-2.5748070000000001E-2</v>
      </c>
      <c r="W1506">
        <v>3.333887E-2</v>
      </c>
      <c r="X1506">
        <v>0.99911240000000001</v>
      </c>
      <c r="Y1506">
        <v>-0.23723609999999901</v>
      </c>
      <c r="Z1506">
        <v>-7.6376780000000002E-3</v>
      </c>
      <c r="AA1506">
        <v>0.97142199999999901</v>
      </c>
      <c r="AB1506">
        <v>44</v>
      </c>
      <c r="AC1506">
        <v>-17.031599999999901</v>
      </c>
      <c r="AD1506">
        <v>-1.10461778901</v>
      </c>
      <c r="AE1506">
        <v>-4.1800999999999799</v>
      </c>
      <c r="AF1506">
        <v>-4.2097216635729202</v>
      </c>
      <c r="AG1506">
        <v>-1.10461778901</v>
      </c>
      <c r="AH1506">
        <v>16.952904284937901</v>
      </c>
      <c r="AI1506">
        <v>93.618424208303196</v>
      </c>
      <c r="AJ1506">
        <v>103.945538078702</v>
      </c>
      <c r="AK1506">
        <v>17.502654102701602</v>
      </c>
    </row>
    <row r="1507" spans="1:37" x14ac:dyDescent="0.2">
      <c r="A1507" t="str">
        <f>"20200111153429785"</f>
        <v>20200111153429785</v>
      </c>
      <c r="B1507" t="str">
        <f>"1578728069777567"</f>
        <v>1578728069777567</v>
      </c>
      <c r="C1507" t="s">
        <v>37</v>
      </c>
      <c r="D1507">
        <v>4.5704580000000004</v>
      </c>
      <c r="E1507">
        <v>0.41769220000000001</v>
      </c>
      <c r="F1507" t="s">
        <v>56</v>
      </c>
      <c r="G1507">
        <v>-300.81709999999998</v>
      </c>
      <c r="H1507" s="1">
        <v>4.2180269999999998E-6</v>
      </c>
      <c r="I1507">
        <v>280.05939999999998</v>
      </c>
      <c r="J1507">
        <v>-284.1266</v>
      </c>
      <c r="K1507">
        <v>1.1046209999999901</v>
      </c>
      <c r="L1507">
        <v>284.1925</v>
      </c>
      <c r="M1507">
        <v>-0.9998918</v>
      </c>
      <c r="N1507">
        <v>0</v>
      </c>
      <c r="O1507">
        <v>2.6007970000000002E-3</v>
      </c>
      <c r="P1507">
        <v>-0.99955309999999897</v>
      </c>
      <c r="Q1507">
        <v>1.8849439999999999E-2</v>
      </c>
      <c r="R1507">
        <v>-2.3206109999999999E-2</v>
      </c>
      <c r="S1507">
        <v>-2.9883120000000001</v>
      </c>
      <c r="T1507">
        <v>-0.1945336</v>
      </c>
      <c r="U1507">
        <v>-0.72775269999999903</v>
      </c>
      <c r="V1507">
        <v>-2.5822899999999999E-2</v>
      </c>
      <c r="W1507">
        <v>3.3308369999999997E-2</v>
      </c>
      <c r="X1507">
        <v>0.99911149999999904</v>
      </c>
      <c r="Y1507">
        <v>-0.2386617</v>
      </c>
      <c r="Z1507">
        <v>-7.8153119999999996E-3</v>
      </c>
      <c r="AA1507">
        <v>0.97107129999999997</v>
      </c>
      <c r="AB1507">
        <v>44</v>
      </c>
      <c r="AC1507">
        <v>-16.690499999999901</v>
      </c>
      <c r="AD1507">
        <v>-1.104616781973</v>
      </c>
      <c r="AE1507">
        <v>-4.1331000000000104</v>
      </c>
      <c r="AF1507">
        <v>-4.1593334784979596</v>
      </c>
      <c r="AG1507">
        <v>-1.104616781973</v>
      </c>
      <c r="AH1507">
        <v>16.611138396773001</v>
      </c>
      <c r="AI1507">
        <v>93.690870280658899</v>
      </c>
      <c r="AJ1507">
        <v>104.057501398223</v>
      </c>
      <c r="AK1507">
        <v>17.159549879210601</v>
      </c>
    </row>
    <row r="1508" spans="1:37" x14ac:dyDescent="0.2">
      <c r="A1508" t="str">
        <f>"20200111153429800"</f>
        <v>20200111153429800</v>
      </c>
      <c r="B1508" t="str">
        <f>"1578728069798063"</f>
        <v>1578728069798063</v>
      </c>
      <c r="C1508" t="s">
        <v>37</v>
      </c>
      <c r="D1508">
        <v>4.6370870000000002</v>
      </c>
      <c r="E1508">
        <v>0.4173519</v>
      </c>
      <c r="F1508" t="s">
        <v>56</v>
      </c>
      <c r="G1508">
        <v>-300.95940000000002</v>
      </c>
      <c r="H1508" s="1">
        <v>4.1905269999999996E-6</v>
      </c>
      <c r="I1508">
        <v>280.08550000000002</v>
      </c>
      <c r="J1508">
        <v>-284.4203</v>
      </c>
      <c r="K1508">
        <v>1.104627</v>
      </c>
      <c r="L1508">
        <v>284.19319999999999</v>
      </c>
      <c r="M1508">
        <v>-0.99989219999999901</v>
      </c>
      <c r="N1508">
        <v>0</v>
      </c>
      <c r="O1508">
        <v>2.4743829999999902E-3</v>
      </c>
      <c r="P1508">
        <v>-0.99954619999999905</v>
      </c>
      <c r="Q1508">
        <v>1.854598E-2</v>
      </c>
      <c r="R1508">
        <v>-2.3742739999999998E-2</v>
      </c>
      <c r="S1508">
        <v>-2.9880979999999999</v>
      </c>
      <c r="T1508">
        <v>-0.19608889999999901</v>
      </c>
      <c r="U1508">
        <v>-0.72906490000000002</v>
      </c>
      <c r="V1508">
        <v>-2.623288E-2</v>
      </c>
      <c r="W1508">
        <v>3.3004789999999999E-2</v>
      </c>
      <c r="X1508">
        <v>0.99911090000000002</v>
      </c>
      <c r="Y1508">
        <v>-0.23894940000000001</v>
      </c>
      <c r="Z1508">
        <v>-7.8789340000000006E-3</v>
      </c>
      <c r="AA1508">
        <v>0.97100010000000003</v>
      </c>
      <c r="AB1508">
        <v>44</v>
      </c>
      <c r="AC1508">
        <v>-16.539100000000001</v>
      </c>
      <c r="AD1508">
        <v>-1.104622809473</v>
      </c>
      <c r="AE1508">
        <v>-4.1076999999999604</v>
      </c>
      <c r="AF1508">
        <v>-4.1312581139466804</v>
      </c>
      <c r="AG1508">
        <v>-1.104622809473</v>
      </c>
      <c r="AH1508">
        <v>16.459727997437099</v>
      </c>
      <c r="AI1508">
        <v>93.724223589249604</v>
      </c>
      <c r="AJ1508">
        <v>104.089718666783</v>
      </c>
      <c r="AK1508">
        <v>17.006179197717302</v>
      </c>
    </row>
    <row r="1509" spans="1:37" x14ac:dyDescent="0.2">
      <c r="A1509" t="str">
        <f>"20200111153429823"</f>
        <v>20200111153429823</v>
      </c>
      <c r="B1509" t="str">
        <f>"1578728069817583"</f>
        <v>1578728069817583</v>
      </c>
      <c r="C1509" t="s">
        <v>37</v>
      </c>
      <c r="D1509">
        <v>4.5993089999999999</v>
      </c>
      <c r="E1509">
        <v>0.41712640000000001</v>
      </c>
      <c r="F1509" t="s">
        <v>56</v>
      </c>
      <c r="G1509">
        <v>-301.0951</v>
      </c>
      <c r="H1509" s="1">
        <v>4.1651000000000002E-6</v>
      </c>
      <c r="I1509">
        <v>280.10090000000002</v>
      </c>
      <c r="J1509">
        <v>-284.851</v>
      </c>
      <c r="K1509">
        <v>1.1046339999999999</v>
      </c>
      <c r="L1509">
        <v>284.19409999999999</v>
      </c>
      <c r="M1509">
        <v>-0.99989249999999996</v>
      </c>
      <c r="N1509">
        <v>0</v>
      </c>
      <c r="O1509">
        <v>2.289499E-3</v>
      </c>
      <c r="P1509">
        <v>-0.99952750000000001</v>
      </c>
      <c r="Q1509">
        <v>1.883487E-2</v>
      </c>
      <c r="R1509">
        <v>-2.4296459999999999E-2</v>
      </c>
      <c r="S1509">
        <v>-2.9876099999999899</v>
      </c>
      <c r="T1509">
        <v>-0.1979147</v>
      </c>
      <c r="U1509">
        <v>-0.73321530000000001</v>
      </c>
      <c r="V1509">
        <v>-2.6601360000000001E-2</v>
      </c>
      <c r="W1509">
        <v>3.3294070000000002E-2</v>
      </c>
      <c r="X1509">
        <v>0.99909150000000002</v>
      </c>
      <c r="Y1509">
        <v>-0.2400678</v>
      </c>
      <c r="Z1509">
        <v>-7.9765210000000003E-3</v>
      </c>
      <c r="AA1509">
        <v>0.97072329999999996</v>
      </c>
      <c r="AB1509">
        <v>44</v>
      </c>
      <c r="AC1509">
        <v>-16.2441</v>
      </c>
      <c r="AD1509">
        <v>-1.1046298349000001</v>
      </c>
      <c r="AE1509">
        <v>-4.0931999999999604</v>
      </c>
      <c r="AF1509">
        <v>-4.1125021402551498</v>
      </c>
      <c r="AG1509">
        <v>-1.1046298349000001</v>
      </c>
      <c r="AH1509">
        <v>16.1643994102688</v>
      </c>
      <c r="AI1509">
        <v>93.789018422786</v>
      </c>
      <c r="AJ1509">
        <v>104.274197242849</v>
      </c>
      <c r="AK1509">
        <v>16.715881347402899</v>
      </c>
    </row>
    <row r="1510" spans="1:37" x14ac:dyDescent="0.2">
      <c r="A1510" t="str">
        <f>"20200111153429836"</f>
        <v>20200111153429836</v>
      </c>
      <c r="B1510" t="str">
        <f>"1578728069827343"</f>
        <v>1578728069827343</v>
      </c>
      <c r="C1510" t="s">
        <v>37</v>
      </c>
      <c r="D1510">
        <v>4.577807</v>
      </c>
      <c r="E1510">
        <v>0.41706070000000001</v>
      </c>
      <c r="F1510" t="s">
        <v>56</v>
      </c>
      <c r="G1510">
        <v>-301.8426</v>
      </c>
      <c r="H1510" s="1">
        <v>4.0410300000000003E-6</v>
      </c>
      <c r="I1510">
        <v>280.0034</v>
      </c>
      <c r="J1510">
        <v>-285.11540000000002</v>
      </c>
      <c r="K1510">
        <v>1.104635</v>
      </c>
      <c r="L1510">
        <v>284.19459999999998</v>
      </c>
      <c r="M1510">
        <v>-0.99989280000000003</v>
      </c>
      <c r="N1510">
        <v>0</v>
      </c>
      <c r="O1510">
        <v>2.1754859999999999E-3</v>
      </c>
      <c r="P1510">
        <v>-0.99951909999999899</v>
      </c>
      <c r="Q1510">
        <v>1.8990750000000001E-2</v>
      </c>
      <c r="R1510">
        <v>-2.4516389999999999E-2</v>
      </c>
      <c r="S1510">
        <v>-2.9871829999999999</v>
      </c>
      <c r="T1510">
        <v>-0.19419839999999999</v>
      </c>
      <c r="U1510">
        <v>-0.73672490000000002</v>
      </c>
      <c r="V1510">
        <v>-2.6707930000000001E-2</v>
      </c>
      <c r="W1510">
        <v>3.3449430000000002E-2</v>
      </c>
      <c r="X1510">
        <v>0.99908349999999901</v>
      </c>
      <c r="Y1510">
        <v>-0.241081399999999</v>
      </c>
      <c r="Z1510">
        <v>-7.8521819999999992E-3</v>
      </c>
      <c r="AA1510">
        <v>0.97047309999999998</v>
      </c>
      <c r="AB1510">
        <v>44</v>
      </c>
      <c r="AC1510">
        <v>-16.7271999999999</v>
      </c>
      <c r="AD1510">
        <v>-1.1046309589700001</v>
      </c>
      <c r="AE1510">
        <v>-4.1911999999999798</v>
      </c>
      <c r="AF1510">
        <v>-4.2103071038901696</v>
      </c>
      <c r="AG1510">
        <v>-1.1046309589700001</v>
      </c>
      <c r="AH1510">
        <v>16.6497210645012</v>
      </c>
      <c r="AI1510">
        <v>93.680232349516999</v>
      </c>
      <c r="AJ1510">
        <v>104.19120267586401</v>
      </c>
      <c r="AK1510">
        <v>17.209302919940701</v>
      </c>
    </row>
    <row r="1511" spans="1:37" x14ac:dyDescent="0.2">
      <c r="A1511" t="str">
        <f>"20200111153429847"</f>
        <v>20200111153429847</v>
      </c>
      <c r="B1511" t="str">
        <f>"1578728069838079"</f>
        <v>1578728069838079</v>
      </c>
      <c r="C1511" t="s">
        <v>37</v>
      </c>
      <c r="D1511">
        <v>4.5841789999999998</v>
      </c>
      <c r="E1511">
        <v>0.41721019999999998</v>
      </c>
      <c r="F1511" t="s">
        <v>56</v>
      </c>
      <c r="G1511">
        <v>-302.33960000000002</v>
      </c>
      <c r="H1511" s="1">
        <v>3.9583379999999996E-6</v>
      </c>
      <c r="I1511">
        <v>279.9409</v>
      </c>
      <c r="J1511">
        <v>-285.33390000000003</v>
      </c>
      <c r="K1511">
        <v>1.1046400000000001</v>
      </c>
      <c r="L1511">
        <v>284.19499999999999</v>
      </c>
      <c r="M1511">
        <v>-0.99989309999999998</v>
      </c>
      <c r="N1511">
        <v>0</v>
      </c>
      <c r="O1511">
        <v>2.0813799999999999E-3</v>
      </c>
      <c r="P1511">
        <v>-0.99951209999999902</v>
      </c>
      <c r="Q1511">
        <v>1.911554E-2</v>
      </c>
      <c r="R1511">
        <v>-2.4704609999999998E-2</v>
      </c>
      <c r="S1511">
        <v>-2.9870000000000001</v>
      </c>
      <c r="T1511">
        <v>-0.1915635</v>
      </c>
      <c r="U1511">
        <v>-0.73767090000000002</v>
      </c>
      <c r="V1511">
        <v>-2.6801680000000001E-2</v>
      </c>
      <c r="W1511">
        <v>3.3574300000000001E-2</v>
      </c>
      <c r="X1511">
        <v>0.99907679999999999</v>
      </c>
      <c r="Y1511">
        <v>-0.24130639999999901</v>
      </c>
      <c r="Z1511">
        <v>-7.7471850000000002E-3</v>
      </c>
      <c r="AA1511">
        <v>0.970418</v>
      </c>
      <c r="AB1511">
        <v>44</v>
      </c>
      <c r="AC1511">
        <v>-17.005699999999901</v>
      </c>
      <c r="AD1511">
        <v>-1.104636041662</v>
      </c>
      <c r="AE1511">
        <v>-4.2540999999999896</v>
      </c>
      <c r="AF1511">
        <v>-4.2725240744315602</v>
      </c>
      <c r="AG1511">
        <v>-1.104636041662</v>
      </c>
      <c r="AH1511">
        <v>16.929582253705899</v>
      </c>
      <c r="AI1511">
        <v>93.620007623131301</v>
      </c>
      <c r="AJ1511">
        <v>104.163992503259</v>
      </c>
      <c r="AK1511">
        <v>17.495297597815501</v>
      </c>
    </row>
    <row r="1512" spans="1:37" x14ac:dyDescent="0.2">
      <c r="A1512" t="str">
        <f>"20200111153429867"</f>
        <v>20200111153429867</v>
      </c>
      <c r="B1512" t="str">
        <f>"1578728069857598"</f>
        <v>1578728069857598</v>
      </c>
      <c r="C1512" t="s">
        <v>37</v>
      </c>
      <c r="D1512">
        <v>4.6156739999999896</v>
      </c>
      <c r="E1512">
        <v>0.4173675</v>
      </c>
      <c r="F1512" t="s">
        <v>56</v>
      </c>
      <c r="G1512">
        <v>-302.57990000000001</v>
      </c>
      <c r="H1512" s="1">
        <v>3.915914E-6</v>
      </c>
      <c r="I1512">
        <v>279.93860000000001</v>
      </c>
      <c r="J1512">
        <v>-285.71879999999999</v>
      </c>
      <c r="K1512">
        <v>1.1046499999999999</v>
      </c>
      <c r="L1512">
        <v>284.19560000000001</v>
      </c>
      <c r="M1512">
        <v>-0.99989340000000004</v>
      </c>
      <c r="N1512">
        <v>0</v>
      </c>
      <c r="O1512">
        <v>1.915817E-3</v>
      </c>
      <c r="P1512">
        <v>-0.99949379999999999</v>
      </c>
      <c r="Q1512">
        <v>1.961384E-2</v>
      </c>
      <c r="R1512">
        <v>-2.505046E-2</v>
      </c>
      <c r="S1512">
        <v>-2.9869080000000001</v>
      </c>
      <c r="T1512">
        <v>-0.19131709999999999</v>
      </c>
      <c r="U1512">
        <v>-0.73718260000000002</v>
      </c>
      <c r="V1512">
        <v>-2.6982249999999999E-2</v>
      </c>
      <c r="W1512">
        <v>3.4071820000000003E-2</v>
      </c>
      <c r="X1512">
        <v>0.99905509999999997</v>
      </c>
      <c r="Y1512">
        <v>-0.2410052</v>
      </c>
      <c r="Z1512">
        <v>-7.7176830000000004E-3</v>
      </c>
      <c r="AA1512">
        <v>0.9704931</v>
      </c>
      <c r="AB1512">
        <v>44</v>
      </c>
      <c r="AC1512">
        <v>-16.8611</v>
      </c>
      <c r="AD1512">
        <v>-1.104646084086</v>
      </c>
      <c r="AE1512">
        <v>-4.2569999999999997</v>
      </c>
      <c r="AF1512">
        <v>-4.27206082240511</v>
      </c>
      <c r="AG1512">
        <v>-1.104646084086</v>
      </c>
      <c r="AH1512">
        <v>16.785185264688302</v>
      </c>
      <c r="AI1512">
        <v>93.649240287091104</v>
      </c>
      <c r="AJ1512">
        <v>104.279390930031</v>
      </c>
      <c r="AK1512">
        <v>17.3554945481632</v>
      </c>
    </row>
    <row r="1513" spans="1:37" x14ac:dyDescent="0.2">
      <c r="A1513" t="str">
        <f>"20200111153429880"</f>
        <v>20200111153429880</v>
      </c>
      <c r="B1513" t="str">
        <f>"1578728069878095"</f>
        <v>1578728069878095</v>
      </c>
      <c r="C1513" t="s">
        <v>37</v>
      </c>
      <c r="D1513">
        <v>4.5881699999999999</v>
      </c>
      <c r="E1513">
        <v>0.41732419999999998</v>
      </c>
      <c r="F1513" t="s">
        <v>56</v>
      </c>
      <c r="G1513">
        <v>-303.17829999999998</v>
      </c>
      <c r="H1513" s="1">
        <v>3.8142630000000001E-6</v>
      </c>
      <c r="I1513">
        <v>279.88720000000001</v>
      </c>
      <c r="J1513">
        <v>-285.96210000000002</v>
      </c>
      <c r="K1513">
        <v>1.104652</v>
      </c>
      <c r="L1513">
        <v>284.195999999999</v>
      </c>
      <c r="M1513">
        <v>-0.99989359999999905</v>
      </c>
      <c r="N1513">
        <v>0</v>
      </c>
      <c r="O1513">
        <v>1.810926E-3</v>
      </c>
      <c r="P1513">
        <v>-0.99948440000000005</v>
      </c>
      <c r="Q1513">
        <v>1.993955E-2</v>
      </c>
      <c r="R1513">
        <v>-2.516817E-2</v>
      </c>
      <c r="S1513">
        <v>-2.986755</v>
      </c>
      <c r="T1513">
        <v>-0.1889701</v>
      </c>
      <c r="U1513">
        <v>-0.73702999999999996</v>
      </c>
      <c r="V1513">
        <v>-2.6995290000000002E-2</v>
      </c>
      <c r="W1513">
        <v>3.4396370000000002E-2</v>
      </c>
      <c r="X1513">
        <v>0.99904359999999903</v>
      </c>
      <c r="Y1513">
        <v>-0.24088000000000001</v>
      </c>
      <c r="Z1513">
        <v>-7.6131829999999999E-3</v>
      </c>
      <c r="AA1513">
        <v>0.97052499999999997</v>
      </c>
      <c r="AB1513">
        <v>44</v>
      </c>
      <c r="AC1513">
        <v>-17.216199999999901</v>
      </c>
      <c r="AD1513">
        <v>-1.1046481857370001</v>
      </c>
      <c r="AE1513">
        <v>-4.3087999999999598</v>
      </c>
      <c r="AF1513">
        <v>-4.32322419817885</v>
      </c>
      <c r="AG1513">
        <v>-1.1046481857370001</v>
      </c>
      <c r="AH1513">
        <v>17.1419557495406</v>
      </c>
      <c r="AI1513">
        <v>93.575458158486995</v>
      </c>
      <c r="AJ1513">
        <v>104.154890032906</v>
      </c>
      <c r="AK1513">
        <v>17.713191750816101</v>
      </c>
    </row>
    <row r="1514" spans="1:37" x14ac:dyDescent="0.2">
      <c r="A1514" t="str">
        <f>"20200111153429893"</f>
        <v>20200111153429893</v>
      </c>
      <c r="B1514" t="str">
        <f>"1578728069887856"</f>
        <v>1578728069887856</v>
      </c>
      <c r="C1514" t="s">
        <v>37</v>
      </c>
      <c r="D1514">
        <v>4.6262290000000004</v>
      </c>
      <c r="E1514">
        <v>0.41730919999999999</v>
      </c>
      <c r="F1514" t="s">
        <v>56</v>
      </c>
      <c r="G1514">
        <v>-303.49220000000003</v>
      </c>
      <c r="H1514" s="1">
        <v>3.7603569999999999E-6</v>
      </c>
      <c r="I1514">
        <v>279.86680000000001</v>
      </c>
      <c r="J1514">
        <v>-286.2303</v>
      </c>
      <c r="K1514">
        <v>1.104654</v>
      </c>
      <c r="L1514">
        <v>284.19639999999998</v>
      </c>
      <c r="M1514">
        <v>-0.9998939</v>
      </c>
      <c r="N1514">
        <v>0</v>
      </c>
      <c r="O1514">
        <v>1.6952479999999999E-3</v>
      </c>
      <c r="P1514">
        <v>-0.99947379999999997</v>
      </c>
      <c r="Q1514">
        <v>2.0324040000000002E-2</v>
      </c>
      <c r="R1514">
        <v>-2.529054E-2</v>
      </c>
      <c r="S1514">
        <v>-2.9867249999999999</v>
      </c>
      <c r="T1514">
        <v>-0.1882066</v>
      </c>
      <c r="U1514">
        <v>-0.73760990000000004</v>
      </c>
      <c r="V1514">
        <v>-2.700255E-2</v>
      </c>
      <c r="W1514">
        <v>3.4780470000000001E-2</v>
      </c>
      <c r="X1514">
        <v>0.99903009999999903</v>
      </c>
      <c r="Y1514">
        <v>-0.24095140000000001</v>
      </c>
      <c r="Z1514">
        <v>-7.577416E-3</v>
      </c>
      <c r="AA1514">
        <v>0.97050759999999903</v>
      </c>
      <c r="AB1514">
        <v>43</v>
      </c>
      <c r="AC1514">
        <v>-17.261900000000001</v>
      </c>
      <c r="AD1514">
        <v>-1.104650239643</v>
      </c>
      <c r="AE1514">
        <v>-4.3295999999999699</v>
      </c>
      <c r="AF1514">
        <v>-4.34213069961275</v>
      </c>
      <c r="AG1514">
        <v>-1.104650239643</v>
      </c>
      <c r="AH1514">
        <v>17.1883116242876</v>
      </c>
      <c r="AI1514">
        <v>93.565492611133294</v>
      </c>
      <c r="AJ1514">
        <v>104.17750163193701</v>
      </c>
      <c r="AK1514">
        <v>17.762668933977299</v>
      </c>
    </row>
    <row r="1515" spans="1:37" x14ac:dyDescent="0.2">
      <c r="A1515" t="str">
        <f>"20200111153429906"</f>
        <v>20200111153429906</v>
      </c>
      <c r="B1515" t="str">
        <f>"1578728069897617"</f>
        <v>1578728069897617</v>
      </c>
      <c r="C1515" t="s">
        <v>37</v>
      </c>
      <c r="D1515">
        <v>4.6230409999999997</v>
      </c>
      <c r="E1515">
        <v>0.4171782</v>
      </c>
      <c r="F1515" t="s">
        <v>56</v>
      </c>
      <c r="G1515">
        <v>-303.78550000000001</v>
      </c>
      <c r="H1515" s="1">
        <v>3.7090789999999998E-6</v>
      </c>
      <c r="I1515">
        <v>279.85820000000001</v>
      </c>
      <c r="J1515">
        <v>-286.46609999999998</v>
      </c>
      <c r="K1515">
        <v>1.104657</v>
      </c>
      <c r="L1515">
        <v>284.19670000000002</v>
      </c>
      <c r="M1515">
        <v>-0.99989409999999901</v>
      </c>
      <c r="N1515">
        <v>0</v>
      </c>
      <c r="O1515">
        <v>1.593339E-3</v>
      </c>
      <c r="P1515">
        <v>-0.99946420000000002</v>
      </c>
      <c r="Q1515">
        <v>2.0639879999999999E-2</v>
      </c>
      <c r="R1515">
        <v>-2.5409379999999999E-2</v>
      </c>
      <c r="S1515">
        <v>-2.9867249999999999</v>
      </c>
      <c r="T1515">
        <v>-0.1879382</v>
      </c>
      <c r="U1515">
        <v>-0.73806759999999905</v>
      </c>
      <c r="V1515">
        <v>-2.701988E-2</v>
      </c>
      <c r="W1515">
        <v>3.5095460000000002E-2</v>
      </c>
      <c r="X1515">
        <v>0.99901859999999998</v>
      </c>
      <c r="Y1515">
        <v>-0.24099409999999999</v>
      </c>
      <c r="Z1515">
        <v>-7.561506E-3</v>
      </c>
      <c r="AA1515">
        <v>0.9704971</v>
      </c>
      <c r="AB1515">
        <v>43</v>
      </c>
      <c r="AC1515">
        <v>-17.319400000000002</v>
      </c>
      <c r="AD1515">
        <v>-1.1046532909209901</v>
      </c>
      <c r="AE1515">
        <v>-4.3385000000000096</v>
      </c>
      <c r="AF1515">
        <v>-4.3494440246295598</v>
      </c>
      <c r="AG1515">
        <v>-1.1046532909209901</v>
      </c>
      <c r="AH1515">
        <v>17.246447728010502</v>
      </c>
      <c r="AI1515">
        <v>93.553873899249197</v>
      </c>
      <c r="AJ1515">
        <v>104.154474010879</v>
      </c>
      <c r="AK1515">
        <v>17.820714953433399</v>
      </c>
    </row>
    <row r="1516" spans="1:37" x14ac:dyDescent="0.2">
      <c r="A1516" t="str">
        <f>"20200111153429918"</f>
        <v>20200111153429918</v>
      </c>
      <c r="B1516" t="str">
        <f>"1578728069907376"</f>
        <v>1578728069907376</v>
      </c>
      <c r="C1516" t="s">
        <v>37</v>
      </c>
      <c r="D1516">
        <v>4.6338860000000004</v>
      </c>
      <c r="E1516">
        <v>0.4171782</v>
      </c>
      <c r="F1516" t="s">
        <v>56</v>
      </c>
      <c r="G1516">
        <v>-304.10930000000002</v>
      </c>
      <c r="H1516" s="1">
        <v>3.6541849999999999E-6</v>
      </c>
      <c r="I1516">
        <v>279.82909999999998</v>
      </c>
      <c r="J1516">
        <v>-286.7088</v>
      </c>
      <c r="K1516">
        <v>1.1046549999999999</v>
      </c>
      <c r="L1516">
        <v>284.19709999999998</v>
      </c>
      <c r="M1516">
        <v>-0.99989409999999901</v>
      </c>
      <c r="N1516">
        <v>0</v>
      </c>
      <c r="O1516">
        <v>1.4882139999999901E-3</v>
      </c>
      <c r="P1516">
        <v>-0.9994516</v>
      </c>
      <c r="Q1516">
        <v>2.0902239999999999E-2</v>
      </c>
      <c r="R1516">
        <v>-2.5687769999999999E-2</v>
      </c>
      <c r="S1516">
        <v>-2.9866329999999999</v>
      </c>
      <c r="T1516">
        <v>-0.18699460000000001</v>
      </c>
      <c r="U1516">
        <v>-0.73934940000000005</v>
      </c>
      <c r="V1516">
        <v>-2.7193019999999998E-2</v>
      </c>
      <c r="W1516">
        <v>3.5357560000000003E-2</v>
      </c>
      <c r="X1516">
        <v>0.99900469999999897</v>
      </c>
      <c r="Y1516">
        <v>-0.2412957</v>
      </c>
      <c r="Z1516">
        <v>-7.5262699999999998E-3</v>
      </c>
      <c r="AA1516">
        <v>0.97042240000000002</v>
      </c>
      <c r="AB1516">
        <v>43</v>
      </c>
      <c r="AC1516">
        <v>-17.400500000000001</v>
      </c>
      <c r="AD1516">
        <v>-1.104651345815</v>
      </c>
      <c r="AE1516">
        <v>-4.3679999999999897</v>
      </c>
      <c r="AF1516">
        <v>-4.3772979100733096</v>
      </c>
      <c r="AG1516">
        <v>-1.104651345815</v>
      </c>
      <c r="AH1516">
        <v>17.328282871557999</v>
      </c>
      <c r="AI1516">
        <v>93.536778163987293</v>
      </c>
      <c r="AJ1516">
        <v>104.176903363474</v>
      </c>
      <c r="AK1516">
        <v>17.906713234596499</v>
      </c>
    </row>
    <row r="1517" spans="1:37" x14ac:dyDescent="0.2">
      <c r="A1517" t="str">
        <f>"20200111153429935"</f>
        <v>20200111153429935</v>
      </c>
      <c r="B1517" t="str">
        <f>"1578728069927873"</f>
        <v>1578728069927873</v>
      </c>
      <c r="C1517" t="s">
        <v>37</v>
      </c>
      <c r="D1517">
        <v>4.6196479999999998</v>
      </c>
      <c r="E1517">
        <v>0.41001480000000001</v>
      </c>
      <c r="F1517" t="s">
        <v>56</v>
      </c>
      <c r="G1517">
        <v>-304.4255</v>
      </c>
      <c r="H1517" s="1">
        <v>3.6000580000000002E-6</v>
      </c>
      <c r="I1517">
        <v>279.80669999999998</v>
      </c>
      <c r="J1517">
        <v>-287.0385</v>
      </c>
      <c r="K1517">
        <v>1.104651</v>
      </c>
      <c r="L1517">
        <v>284.19740000000002</v>
      </c>
      <c r="M1517">
        <v>-0.99989430000000001</v>
      </c>
      <c r="N1517">
        <v>0</v>
      </c>
      <c r="O1517">
        <v>1.345897E-3</v>
      </c>
      <c r="P1517">
        <v>-0.99944929999999998</v>
      </c>
      <c r="Q1517">
        <v>2.1017460000000002E-2</v>
      </c>
      <c r="R1517">
        <v>-2.568225E-2</v>
      </c>
      <c r="S1517">
        <v>-2.9865110000000001</v>
      </c>
      <c r="T1517">
        <v>-0.18621119999999999</v>
      </c>
      <c r="U1517">
        <v>-0.74008180000000001</v>
      </c>
      <c r="V1517">
        <v>-2.7044769999999999E-2</v>
      </c>
      <c r="W1517">
        <v>3.5471460000000003E-2</v>
      </c>
      <c r="X1517">
        <v>0.99900469999999897</v>
      </c>
      <c r="Y1517">
        <v>-0.2413949</v>
      </c>
      <c r="Z1517">
        <v>-7.4891840000000003E-3</v>
      </c>
      <c r="AA1517">
        <v>0.97039809999999904</v>
      </c>
      <c r="AB1517">
        <v>43</v>
      </c>
      <c r="AC1517">
        <v>-17.387</v>
      </c>
      <c r="AD1517">
        <v>-1.1046473999419999</v>
      </c>
      <c r="AE1517">
        <v>-4.39070000000003</v>
      </c>
      <c r="AF1517">
        <v>-4.3974137671912796</v>
      </c>
      <c r="AG1517">
        <v>-1.1046473999419999</v>
      </c>
      <c r="AH1517">
        <v>17.315371681798801</v>
      </c>
      <c r="AI1517">
        <v>93.538261759069798</v>
      </c>
      <c r="AJ1517">
        <v>104.249594573132</v>
      </c>
      <c r="AK1517">
        <v>17.899150544004101</v>
      </c>
    </row>
    <row r="1518" spans="1:37" x14ac:dyDescent="0.2">
      <c r="A1518" t="str">
        <f>"20200111153429948"</f>
        <v>20200111153429948</v>
      </c>
      <c r="B1518" t="str">
        <f>"1578728069937632"</f>
        <v>1578728069937632</v>
      </c>
      <c r="C1518" t="s">
        <v>37</v>
      </c>
      <c r="D1518">
        <v>4.4307239999999997</v>
      </c>
      <c r="E1518">
        <v>0.3761062</v>
      </c>
      <c r="F1518" t="s">
        <v>56</v>
      </c>
      <c r="G1518">
        <v>-303.2321</v>
      </c>
      <c r="H1518" s="1">
        <v>3.8061599999999998E-6</v>
      </c>
      <c r="I1518">
        <v>279.87060000000002</v>
      </c>
      <c r="J1518">
        <v>-287.27809999999999</v>
      </c>
      <c r="K1518">
        <v>1.104651</v>
      </c>
      <c r="L1518">
        <v>284.1977</v>
      </c>
      <c r="M1518">
        <v>-0.99989450000000002</v>
      </c>
      <c r="N1518">
        <v>0</v>
      </c>
      <c r="O1518">
        <v>1.242614E-3</v>
      </c>
      <c r="P1518">
        <v>-0.99945280000000003</v>
      </c>
      <c r="Q1518">
        <v>2.092457E-2</v>
      </c>
      <c r="R1518">
        <v>-2.5616E-2</v>
      </c>
      <c r="S1518">
        <v>-2.985474</v>
      </c>
      <c r="T1518">
        <v>-0.20365420000000001</v>
      </c>
      <c r="U1518">
        <v>-0.79769899999999905</v>
      </c>
      <c r="V1518">
        <v>-2.687575E-2</v>
      </c>
      <c r="W1518">
        <v>3.5378050000000001E-2</v>
      </c>
      <c r="X1518">
        <v>0.99901249999999997</v>
      </c>
      <c r="Y1518">
        <v>-0.25877410000000001</v>
      </c>
      <c r="Z1518">
        <v>-8.7476619999999998E-3</v>
      </c>
      <c r="AA1518">
        <v>0.96589829999999999</v>
      </c>
      <c r="AB1518">
        <v>43</v>
      </c>
      <c r="AC1518">
        <v>-15.954000000000001</v>
      </c>
      <c r="AD1518">
        <v>-1.10464719384</v>
      </c>
      <c r="AE1518">
        <v>-4.3270999999999704</v>
      </c>
      <c r="AF1518">
        <v>-4.3275980332556196</v>
      </c>
      <c r="AG1518">
        <v>-1.10464719384</v>
      </c>
      <c r="AH1518">
        <v>15.8777065552047</v>
      </c>
      <c r="AI1518">
        <v>93.840140601084698</v>
      </c>
      <c r="AJ1518">
        <v>105.24609816511099</v>
      </c>
      <c r="AK1518">
        <v>16.493935722364402</v>
      </c>
    </row>
    <row r="1519" spans="1:37" x14ac:dyDescent="0.2">
      <c r="A1519" t="str">
        <f>"20200111153429990"</f>
        <v>20200111153429990</v>
      </c>
      <c r="B1519" t="str">
        <f>"1578728069987408"</f>
        <v>1578728069987408</v>
      </c>
      <c r="C1519" t="s">
        <v>37</v>
      </c>
      <c r="D1519">
        <v>4.6663879999999898</v>
      </c>
      <c r="E1519">
        <v>0.36357309999999998</v>
      </c>
      <c r="F1519" t="s">
        <v>56</v>
      </c>
      <c r="G1519">
        <v>-300.44330000000002</v>
      </c>
      <c r="H1519" s="1">
        <v>4.3598909999999999E-6</v>
      </c>
      <c r="I1519">
        <v>279.47730000000001</v>
      </c>
      <c r="J1519">
        <v>-288.0992</v>
      </c>
      <c r="K1519">
        <v>1.104646</v>
      </c>
      <c r="L1519">
        <v>284.19830000000002</v>
      </c>
      <c r="M1519">
        <v>-0.99989499999999998</v>
      </c>
      <c r="N1519">
        <v>0</v>
      </c>
      <c r="O1519">
        <v>8.8837559999999896E-4</v>
      </c>
      <c r="P1519">
        <v>-0.99947569999999997</v>
      </c>
      <c r="Q1519">
        <v>1.997579E-2</v>
      </c>
      <c r="R1519">
        <v>-2.54903E-2</v>
      </c>
      <c r="S1519">
        <v>-2.9795229999999999</v>
      </c>
      <c r="T1519">
        <v>-0.250002</v>
      </c>
      <c r="U1519">
        <v>-1.068298</v>
      </c>
      <c r="V1519">
        <v>-2.6395490000000001E-2</v>
      </c>
      <c r="W1519">
        <v>3.4426859999999997E-2</v>
      </c>
      <c r="X1519">
        <v>0.99905859999999902</v>
      </c>
      <c r="Y1519">
        <v>-0.33729120000000001</v>
      </c>
      <c r="Z1519">
        <v>-1.37729999999999E-2</v>
      </c>
      <c r="AA1519">
        <v>0.94129959999999901</v>
      </c>
      <c r="AB1519">
        <v>43</v>
      </c>
      <c r="AC1519">
        <v>-12.344099999999999</v>
      </c>
      <c r="AD1519">
        <v>-1.104641640109</v>
      </c>
      <c r="AE1519">
        <v>-4.7210000000000001</v>
      </c>
      <c r="AF1519">
        <v>-4.6991366149569496</v>
      </c>
      <c r="AG1519">
        <v>-1.104641640109</v>
      </c>
      <c r="AH1519">
        <v>12.254290375650401</v>
      </c>
      <c r="AI1519">
        <v>94.811080694843099</v>
      </c>
      <c r="AJ1519">
        <v>110.980254623891</v>
      </c>
      <c r="AK1519">
        <v>13.1707915741557</v>
      </c>
    </row>
    <row r="1520" spans="1:37" x14ac:dyDescent="0.2">
      <c r="A1520" t="str">
        <f>"20200111153430003"</f>
        <v>20200111153430003</v>
      </c>
      <c r="B1520" t="str">
        <f>"1578728069998143"</f>
        <v>1578728069998143</v>
      </c>
      <c r="C1520" t="s">
        <v>37</v>
      </c>
      <c r="D1520">
        <v>4.7006069999999998</v>
      </c>
      <c r="E1520">
        <v>0.35966890000000001</v>
      </c>
      <c r="F1520" t="s">
        <v>56</v>
      </c>
      <c r="G1520">
        <v>-300.06330000000003</v>
      </c>
      <c r="H1520" s="1">
        <v>4.4249870000000003E-6</v>
      </c>
      <c r="I1520">
        <v>279.50549999999998</v>
      </c>
      <c r="J1520">
        <v>-288.36169999999998</v>
      </c>
      <c r="K1520">
        <v>1.104641</v>
      </c>
      <c r="L1520">
        <v>284.19839999999999</v>
      </c>
      <c r="M1520">
        <v>-0.99989499999999998</v>
      </c>
      <c r="N1520">
        <v>0</v>
      </c>
      <c r="O1520">
        <v>7.7514659999999998E-4</v>
      </c>
      <c r="P1520">
        <v>-0.99947379999999997</v>
      </c>
      <c r="Q1520">
        <v>1.9652010000000001E-2</v>
      </c>
      <c r="R1520">
        <v>-2.580847E-2</v>
      </c>
      <c r="S1520">
        <v>-2.9772949999999998</v>
      </c>
      <c r="T1520">
        <v>-0.27489219999999998</v>
      </c>
      <c r="U1520">
        <v>-1.167816</v>
      </c>
      <c r="V1520">
        <v>-2.6600160000000001E-2</v>
      </c>
      <c r="W1520">
        <v>3.410233E-2</v>
      </c>
      <c r="X1520">
        <v>0.99906430000000002</v>
      </c>
      <c r="Y1520">
        <v>-0.36452960000000001</v>
      </c>
      <c r="Z1520">
        <v>-1.6264580000000001E-2</v>
      </c>
      <c r="AA1520">
        <v>0.93104969999999998</v>
      </c>
      <c r="AB1520">
        <v>43</v>
      </c>
      <c r="AC1520">
        <v>-11.701599999999999</v>
      </c>
      <c r="AD1520">
        <v>-1.1046365750130001</v>
      </c>
      <c r="AE1520">
        <v>-4.6928999999999998</v>
      </c>
      <c r="AF1520">
        <v>-4.6661492287890596</v>
      </c>
      <c r="AG1520">
        <v>-1.1046365750130001</v>
      </c>
      <c r="AH1520">
        <v>11.608840487105301</v>
      </c>
      <c r="AI1520">
        <v>95.045536253076506</v>
      </c>
      <c r="AJ1520">
        <v>111.897558008001</v>
      </c>
      <c r="AK1520">
        <v>12.560189013038</v>
      </c>
    </row>
    <row r="1521" spans="1:37" x14ac:dyDescent="0.2">
      <c r="A1521" t="str">
        <f>"20200111153430015"</f>
        <v>20200111153430015</v>
      </c>
      <c r="B1521" t="str">
        <f>"1578728070007903"</f>
        <v>1578728070007903</v>
      </c>
      <c r="C1521" t="s">
        <v>37</v>
      </c>
      <c r="D1521">
        <v>4.7722499999999997</v>
      </c>
      <c r="E1521">
        <v>0.3582284</v>
      </c>
      <c r="F1521" t="s">
        <v>40</v>
      </c>
      <c r="G1521">
        <v>-289.43709999999999</v>
      </c>
      <c r="H1521">
        <v>1.0023469999999901</v>
      </c>
      <c r="I1521">
        <v>283.76490000000001</v>
      </c>
      <c r="J1521">
        <v>-288.589</v>
      </c>
      <c r="K1521">
        <v>1.104638</v>
      </c>
      <c r="L1521">
        <v>284.19850000000002</v>
      </c>
      <c r="M1521">
        <v>-0.99989519999999998</v>
      </c>
      <c r="N1521">
        <v>0</v>
      </c>
      <c r="O1521">
        <v>6.7705339999999997E-4</v>
      </c>
      <c r="P1521">
        <v>-0.99947580000000003</v>
      </c>
      <c r="Q1521">
        <v>1.955898E-2</v>
      </c>
      <c r="R1521">
        <v>-2.5801979999999999E-2</v>
      </c>
      <c r="S1521">
        <v>-2.9761660000000001</v>
      </c>
      <c r="T1521">
        <v>-0.28307199999999999</v>
      </c>
      <c r="U1521">
        <v>-1.1998899999999999</v>
      </c>
      <c r="V1521">
        <v>-2.6495439999999999E-2</v>
      </c>
      <c r="W1521">
        <v>3.4008450000000003E-2</v>
      </c>
      <c r="X1521">
        <v>0.99907029999999997</v>
      </c>
      <c r="Y1521">
        <v>-0.37309730000000002</v>
      </c>
      <c r="Z1521">
        <v>-1.710296E-2</v>
      </c>
      <c r="AA1521">
        <v>0.92763449999999903</v>
      </c>
      <c r="AB1521">
        <v>43</v>
      </c>
      <c r="AC1521">
        <v>-0.84809999999998797</v>
      </c>
      <c r="AD1521">
        <v>-0.10229100000000001</v>
      </c>
      <c r="AE1521">
        <v>-0.43360000000001198</v>
      </c>
      <c r="AF1521">
        <v>-0.42922404285994697</v>
      </c>
      <c r="AG1521">
        <v>-0.10229100000000001</v>
      </c>
      <c r="AH1521">
        <v>0.83814015690577803</v>
      </c>
      <c r="AI1521">
        <v>96.199677833765904</v>
      </c>
      <c r="AJ1521">
        <v>117.11766106763</v>
      </c>
      <c r="AK1521">
        <v>0.94719356536458799</v>
      </c>
    </row>
    <row r="1522" spans="1:37" x14ac:dyDescent="0.2">
      <c r="A1522" t="str">
        <f>"20200111153430027"</f>
        <v>20200111153430027</v>
      </c>
      <c r="B1522" t="str">
        <f>"1578728070017663"</f>
        <v>1578728070017663</v>
      </c>
      <c r="C1522" t="s">
        <v>37</v>
      </c>
      <c r="D1522">
        <v>4.7528920000000001</v>
      </c>
      <c r="E1522">
        <v>0.35666629999999999</v>
      </c>
      <c r="F1522" t="s">
        <v>56</v>
      </c>
      <c r="G1522">
        <v>-299.9144</v>
      </c>
      <c r="H1522" s="1">
        <v>4.4114870000000003E-6</v>
      </c>
      <c r="I1522">
        <v>279.5881</v>
      </c>
      <c r="J1522">
        <v>-288.81139999999999</v>
      </c>
      <c r="K1522">
        <v>1.104643</v>
      </c>
      <c r="L1522">
        <v>284.1986</v>
      </c>
      <c r="M1522">
        <v>-0.99989530000000004</v>
      </c>
      <c r="N1522">
        <v>0</v>
      </c>
      <c r="O1522">
        <v>5.8086759999999998E-4</v>
      </c>
      <c r="P1522">
        <v>-0.99947619999999904</v>
      </c>
      <c r="Q1522">
        <v>1.9532819999999999E-2</v>
      </c>
      <c r="R1522">
        <v>-2.580998E-2</v>
      </c>
      <c r="S1522">
        <v>-2.976013</v>
      </c>
      <c r="T1522">
        <v>-0.29026790000000002</v>
      </c>
      <c r="U1522">
        <v>-1.211487</v>
      </c>
      <c r="V1522">
        <v>-2.640733E-2</v>
      </c>
      <c r="W1522">
        <v>3.3981289999999997E-2</v>
      </c>
      <c r="X1522">
        <v>0.99907349999999995</v>
      </c>
      <c r="Y1522">
        <v>-0.37604409999999999</v>
      </c>
      <c r="Z1522">
        <v>-1.7653390000000001E-2</v>
      </c>
      <c r="AA1522">
        <v>0.92643359999999997</v>
      </c>
      <c r="AB1522">
        <v>43</v>
      </c>
      <c r="AC1522">
        <v>-11.103</v>
      </c>
      <c r="AD1522">
        <v>-1.1046385885129999</v>
      </c>
      <c r="AE1522">
        <v>-4.6105</v>
      </c>
      <c r="AF1522">
        <v>-4.5782968754720601</v>
      </c>
      <c r="AG1522">
        <v>-1.1046385885129999</v>
      </c>
      <c r="AH1522">
        <v>11.0073895757217</v>
      </c>
      <c r="AI1522">
        <v>95.293850857459702</v>
      </c>
      <c r="AJ1522">
        <v>112.58386182256</v>
      </c>
      <c r="AK1522">
        <v>11.972621014752599</v>
      </c>
    </row>
    <row r="1523" spans="1:37" x14ac:dyDescent="0.2">
      <c r="A1523" t="str">
        <f>"20200111153430040"</f>
        <v>20200111153430040</v>
      </c>
      <c r="B1523" t="str">
        <f>"1578728070038159"</f>
        <v>1578728070038159</v>
      </c>
      <c r="C1523" t="s">
        <v>37</v>
      </c>
      <c r="D1523">
        <v>4.8028740000000001</v>
      </c>
      <c r="E1523">
        <v>0.35455229999999999</v>
      </c>
      <c r="F1523" t="s">
        <v>56</v>
      </c>
      <c r="G1523">
        <v>-299.93770000000001</v>
      </c>
      <c r="H1523" s="1">
        <v>4.4051490000000003E-6</v>
      </c>
      <c r="I1523">
        <v>279.62200000000001</v>
      </c>
      <c r="J1523">
        <v>-289.05459999999999</v>
      </c>
      <c r="K1523">
        <v>1.1046419999999999</v>
      </c>
      <c r="L1523">
        <v>284.19869999999997</v>
      </c>
      <c r="M1523">
        <v>-0.99989519999999998</v>
      </c>
      <c r="N1523">
        <v>0</v>
      </c>
      <c r="O1523">
        <v>4.7586230000000001E-4</v>
      </c>
      <c r="P1523">
        <v>-0.99947419999999998</v>
      </c>
      <c r="Q1523">
        <v>1.9731619999999998E-2</v>
      </c>
      <c r="R1523">
        <v>-2.5729109999999999E-2</v>
      </c>
      <c r="S1523">
        <v>-2.9757389999999999</v>
      </c>
      <c r="T1523">
        <v>-0.29543829999999999</v>
      </c>
      <c r="U1523">
        <v>-1.22403</v>
      </c>
      <c r="V1523">
        <v>-2.622184E-2</v>
      </c>
      <c r="W1523">
        <v>3.417858E-2</v>
      </c>
      <c r="X1523">
        <v>0.99907169999999901</v>
      </c>
      <c r="Y1523">
        <v>-0.37925379999999997</v>
      </c>
      <c r="Z1523">
        <v>-1.809711E-2</v>
      </c>
      <c r="AA1523">
        <v>0.92511569999999899</v>
      </c>
      <c r="AB1523">
        <v>43</v>
      </c>
      <c r="AC1523">
        <v>-10.883100000000001</v>
      </c>
      <c r="AD1523">
        <v>-1.1046375948510001</v>
      </c>
      <c r="AE1523">
        <v>-4.5766999999999598</v>
      </c>
      <c r="AF1523">
        <v>-4.5421165009590396</v>
      </c>
      <c r="AG1523">
        <v>-1.1046375948510001</v>
      </c>
      <c r="AH1523">
        <v>10.786494048024201</v>
      </c>
      <c r="AI1523">
        <v>95.391757996020303</v>
      </c>
      <c r="AJ1523">
        <v>112.835615913195</v>
      </c>
      <c r="AK1523">
        <v>11.7558283575554</v>
      </c>
    </row>
    <row r="1524" spans="1:37" x14ac:dyDescent="0.2">
      <c r="A1524" t="str">
        <f>"20200111153430056"</f>
        <v>20200111153430056</v>
      </c>
      <c r="B1524" t="str">
        <f>"1578728070047922"</f>
        <v>1578728070047922</v>
      </c>
      <c r="C1524" t="s">
        <v>37</v>
      </c>
      <c r="D1524">
        <v>4.8386750000000003</v>
      </c>
      <c r="E1524">
        <v>0.35394189999999998</v>
      </c>
      <c r="F1524" t="s">
        <v>40</v>
      </c>
      <c r="G1524">
        <v>-290.14159999999998</v>
      </c>
      <c r="H1524">
        <v>0.99574289999999999</v>
      </c>
      <c r="I1524">
        <v>283.7457</v>
      </c>
      <c r="J1524">
        <v>-289.39389999999997</v>
      </c>
      <c r="K1524">
        <v>1.104644</v>
      </c>
      <c r="L1524">
        <v>284.19869999999997</v>
      </c>
      <c r="M1524">
        <v>-0.99989530000000004</v>
      </c>
      <c r="N1524">
        <v>0</v>
      </c>
      <c r="O1524">
        <v>3.2925970000000001E-4</v>
      </c>
      <c r="P1524">
        <v>-0.99947140000000001</v>
      </c>
      <c r="Q1524">
        <v>1.96715999999999E-2</v>
      </c>
      <c r="R1524">
        <v>-2.589255E-2</v>
      </c>
      <c r="S1524">
        <v>-2.9755250000000002</v>
      </c>
      <c r="T1524">
        <v>-0.29806329999999998</v>
      </c>
      <c r="U1524">
        <v>-1.2404790000000001</v>
      </c>
      <c r="V1524">
        <v>-2.6238560000000001E-2</v>
      </c>
      <c r="W1524">
        <v>3.4117580000000002E-2</v>
      </c>
      <c r="X1524">
        <v>0.99907330000000005</v>
      </c>
      <c r="Y1524">
        <v>-0.3834611</v>
      </c>
      <c r="Z1524">
        <v>-1.842775E-2</v>
      </c>
      <c r="AA1524">
        <v>0.92337320000000001</v>
      </c>
      <c r="AB1524">
        <v>43</v>
      </c>
      <c r="AC1524">
        <v>-0.74770000000000802</v>
      </c>
      <c r="AD1524">
        <v>-0.108901099999999</v>
      </c>
      <c r="AE1524">
        <v>-0.45299999999997398</v>
      </c>
      <c r="AF1524">
        <v>-0.44632042408014899</v>
      </c>
      <c r="AG1524">
        <v>-0.108901099999999</v>
      </c>
      <c r="AH1524">
        <v>0.73612794457357</v>
      </c>
      <c r="AI1524">
        <v>97.209742973130304</v>
      </c>
      <c r="AJ1524">
        <v>121.228777665859</v>
      </c>
      <c r="AK1524">
        <v>0.86772445010752297</v>
      </c>
    </row>
    <row r="1525" spans="1:37" x14ac:dyDescent="0.2">
      <c r="A1525" t="str">
        <f>"20200111153430070"</f>
        <v>20200111153430070</v>
      </c>
      <c r="B1525" t="str">
        <f>"1578728070067440"</f>
        <v>1578728070067440</v>
      </c>
      <c r="C1525" t="s">
        <v>37</v>
      </c>
      <c r="D1525">
        <v>4.7979279999999997</v>
      </c>
      <c r="E1525">
        <v>0.35227700000000001</v>
      </c>
      <c r="F1525" t="s">
        <v>56</v>
      </c>
      <c r="G1525">
        <v>-300.33580000000001</v>
      </c>
      <c r="H1525" s="1">
        <v>4.3421570000000004E-6</v>
      </c>
      <c r="I1525">
        <v>279.61630000000002</v>
      </c>
      <c r="J1525">
        <v>-289.63400000000001</v>
      </c>
      <c r="K1525">
        <v>1.1046450000000001</v>
      </c>
      <c r="L1525">
        <v>284.19869999999997</v>
      </c>
      <c r="M1525">
        <v>-0.99989530000000004</v>
      </c>
      <c r="N1525">
        <v>0</v>
      </c>
      <c r="O1525">
        <v>2.2527029999999901E-4</v>
      </c>
      <c r="P1525">
        <v>-0.999472899999999</v>
      </c>
      <c r="Q1525">
        <v>1.9445110000000002E-2</v>
      </c>
      <c r="R1525">
        <v>-2.5996930000000001E-2</v>
      </c>
      <c r="S1525">
        <v>-2.9752200000000002</v>
      </c>
      <c r="T1525">
        <v>-0.3003633</v>
      </c>
      <c r="U1525">
        <v>-1.2460020000000001</v>
      </c>
      <c r="V1525">
        <v>-2.6238770000000002E-2</v>
      </c>
      <c r="W1525">
        <v>3.3889790000000003E-2</v>
      </c>
      <c r="X1525">
        <v>0.99908109999999895</v>
      </c>
      <c r="Y1525">
        <v>-0.38482820000000001</v>
      </c>
      <c r="Z1525">
        <v>-1.862074E-2</v>
      </c>
      <c r="AA1525">
        <v>0.92280039999999997</v>
      </c>
      <c r="AB1525">
        <v>43</v>
      </c>
      <c r="AC1525">
        <v>-10.701799999999899</v>
      </c>
      <c r="AD1525">
        <v>-1.1046406578429999</v>
      </c>
      <c r="AE1525">
        <v>-4.5823999999999501</v>
      </c>
      <c r="AF1525">
        <v>-4.5438994515372002</v>
      </c>
      <c r="AG1525">
        <v>-1.1046406578429999</v>
      </c>
      <c r="AH1525">
        <v>10.6052815606488</v>
      </c>
      <c r="AI1525">
        <v>95.468923663853104</v>
      </c>
      <c r="AJ1525">
        <v>113.193016351805</v>
      </c>
      <c r="AK1525">
        <v>11.5904810163028</v>
      </c>
    </row>
    <row r="1526" spans="1:37" x14ac:dyDescent="0.2">
      <c r="A1526" t="str">
        <f>"20200111153430082"</f>
        <v>20200111153430082</v>
      </c>
      <c r="B1526" t="str">
        <f>"1578728070078175"</f>
        <v>1578728070078175</v>
      </c>
      <c r="C1526" t="s">
        <v>37</v>
      </c>
      <c r="D1526">
        <v>4.7745139999999999</v>
      </c>
      <c r="E1526">
        <v>0.35152600000000001</v>
      </c>
      <c r="F1526" t="s">
        <v>56</v>
      </c>
      <c r="G1526">
        <v>-300.4742</v>
      </c>
      <c r="H1526" s="1">
        <v>4.3198069999999997E-6</v>
      </c>
      <c r="I1526">
        <v>279.608</v>
      </c>
      <c r="J1526">
        <v>-289.86959999999999</v>
      </c>
      <c r="K1526">
        <v>1.1046469999999999</v>
      </c>
      <c r="L1526">
        <v>284.19869999999997</v>
      </c>
      <c r="M1526">
        <v>-0.99989550000000005</v>
      </c>
      <c r="N1526">
        <v>0</v>
      </c>
      <c r="O1526">
        <v>1.233064E-4</v>
      </c>
      <c r="P1526">
        <v>-0.99946759999999901</v>
      </c>
      <c r="Q1526">
        <v>1.9708469999999999E-2</v>
      </c>
      <c r="R1526">
        <v>-2.6010390000000001E-2</v>
      </c>
      <c r="S1526">
        <v>-2.9747309999999998</v>
      </c>
      <c r="T1526">
        <v>-0.30313040000000002</v>
      </c>
      <c r="U1526">
        <v>-1.2597659999999999</v>
      </c>
      <c r="V1526">
        <v>-2.6150400000000001E-2</v>
      </c>
      <c r="W1526">
        <v>3.4151420000000002E-2</v>
      </c>
      <c r="X1526">
        <v>0.99907449999999998</v>
      </c>
      <c r="Y1526">
        <v>-0.38836870000000001</v>
      </c>
      <c r="Z1526">
        <v>-1.8940889999999998E-2</v>
      </c>
      <c r="AA1526">
        <v>0.92130939999999995</v>
      </c>
      <c r="AB1526">
        <v>43</v>
      </c>
      <c r="AC1526">
        <v>-10.6046</v>
      </c>
      <c r="AD1526">
        <v>-1.1046426801929901</v>
      </c>
      <c r="AE1526">
        <v>-4.5906999999999698</v>
      </c>
      <c r="AF1526">
        <v>-4.5504252690131901</v>
      </c>
      <c r="AG1526">
        <v>-1.1046426801929901</v>
      </c>
      <c r="AH1526">
        <v>10.508010073511199</v>
      </c>
      <c r="AI1526">
        <v>95.510113176949105</v>
      </c>
      <c r="AJ1526">
        <v>113.414709531813</v>
      </c>
      <c r="AK1526">
        <v>11.5041245336093</v>
      </c>
    </row>
    <row r="1527" spans="1:37" x14ac:dyDescent="0.2">
      <c r="A1527" t="str">
        <f>"20200111153430094"</f>
        <v>20200111153430094</v>
      </c>
      <c r="B1527" t="str">
        <f>"1578728070087935"</f>
        <v>1578728070087935</v>
      </c>
      <c r="C1527" t="s">
        <v>37</v>
      </c>
      <c r="D1527">
        <v>4.7359029999999898</v>
      </c>
      <c r="E1527">
        <v>0.35073490000000002</v>
      </c>
      <c r="F1527" t="s">
        <v>40</v>
      </c>
      <c r="G1527">
        <v>-290.91460000000001</v>
      </c>
      <c r="H1527">
        <v>0.99768459999999903</v>
      </c>
      <c r="I1527">
        <v>283.75409999999999</v>
      </c>
      <c r="J1527">
        <v>-290.11959999999999</v>
      </c>
      <c r="K1527">
        <v>1.104651</v>
      </c>
      <c r="L1527">
        <v>284.1986</v>
      </c>
      <c r="M1527">
        <v>-0.99989550000000005</v>
      </c>
      <c r="N1527">
        <v>0</v>
      </c>
      <c r="O1527" s="1">
        <v>1.508201E-5</v>
      </c>
      <c r="P1527">
        <v>-0.99946159999999995</v>
      </c>
      <c r="Q1527">
        <v>1.9982440000000001E-2</v>
      </c>
      <c r="R1527">
        <v>-2.6033279999999999E-2</v>
      </c>
      <c r="S1527">
        <v>-2.974701</v>
      </c>
      <c r="T1527">
        <v>-0.30444840000000001</v>
      </c>
      <c r="U1527">
        <v>-1.2658689999999999</v>
      </c>
      <c r="V1527">
        <v>-2.6065359999999999E-2</v>
      </c>
      <c r="W1527">
        <v>3.4424959999999998E-2</v>
      </c>
      <c r="X1527">
        <v>0.99906729999999999</v>
      </c>
      <c r="Y1527">
        <v>-0.38985429999999999</v>
      </c>
      <c r="Z1527">
        <v>-1.907789E-2</v>
      </c>
      <c r="AA1527">
        <v>0.92067889999999997</v>
      </c>
      <c r="AB1527">
        <v>43</v>
      </c>
      <c r="AC1527">
        <v>-0.79500000000001503</v>
      </c>
      <c r="AD1527">
        <v>-0.1069664</v>
      </c>
      <c r="AE1527">
        <v>-0.444500000000005</v>
      </c>
      <c r="AF1527">
        <v>-0.43846474112183698</v>
      </c>
      <c r="AG1527">
        <v>-0.1069664</v>
      </c>
      <c r="AH1527">
        <v>0.78417801126030595</v>
      </c>
      <c r="AI1527">
        <v>96.789589802705905</v>
      </c>
      <c r="AJ1527">
        <v>119.211270913699</v>
      </c>
      <c r="AK1527">
        <v>0.90478079847008697</v>
      </c>
    </row>
    <row r="1528" spans="1:37" x14ac:dyDescent="0.2">
      <c r="A1528" t="str">
        <f>"20200111153430106"</f>
        <v>20200111153430106</v>
      </c>
      <c r="B1528" t="str">
        <f>"1578728070097696"</f>
        <v>1578728070097696</v>
      </c>
      <c r="C1528" t="s">
        <v>37</v>
      </c>
      <c r="D1528">
        <v>4.7265449999999998</v>
      </c>
      <c r="E1528">
        <v>0.349881099999999</v>
      </c>
      <c r="F1528" t="s">
        <v>56</v>
      </c>
      <c r="G1528">
        <v>-300.88440000000003</v>
      </c>
      <c r="H1528" s="1">
        <v>4.2505350000000001E-6</v>
      </c>
      <c r="I1528">
        <v>279.59480000000002</v>
      </c>
      <c r="J1528">
        <v>-290.3494</v>
      </c>
      <c r="K1528">
        <v>1.1046549999999999</v>
      </c>
      <c r="L1528">
        <v>284.19850000000002</v>
      </c>
      <c r="M1528">
        <v>-0.99989550000000005</v>
      </c>
      <c r="N1528">
        <v>0</v>
      </c>
      <c r="O1528" s="1">
        <v>-8.4026499999999898E-5</v>
      </c>
      <c r="P1528">
        <v>-0.99946420000000002</v>
      </c>
      <c r="Q1528">
        <v>1.9951239999999999E-2</v>
      </c>
      <c r="R1528">
        <v>-2.5954000000000001E-2</v>
      </c>
      <c r="S1528">
        <v>-2.9746090000000001</v>
      </c>
      <c r="T1528">
        <v>-0.30524620000000002</v>
      </c>
      <c r="U1528">
        <v>-1.2721559999999901</v>
      </c>
      <c r="V1528">
        <v>-2.5886739999999998E-2</v>
      </c>
      <c r="W1528">
        <v>3.4392079999999998E-2</v>
      </c>
      <c r="X1528">
        <v>0.99907309999999905</v>
      </c>
      <c r="Y1528">
        <v>-0.391405</v>
      </c>
      <c r="Z1528">
        <v>-1.9186970000000001E-2</v>
      </c>
      <c r="AA1528">
        <v>0.92001840000000001</v>
      </c>
      <c r="AB1528">
        <v>43</v>
      </c>
      <c r="AC1528">
        <v>-10.535</v>
      </c>
      <c r="AD1528">
        <v>-1.104650749465</v>
      </c>
      <c r="AE1528">
        <v>-4.6036999999999999</v>
      </c>
      <c r="AF1528">
        <v>-4.5607113939790098</v>
      </c>
      <c r="AG1528">
        <v>-1.104650749465</v>
      </c>
      <c r="AH1528">
        <v>10.439016603201299</v>
      </c>
      <c r="AI1528">
        <v>95.538593424535094</v>
      </c>
      <c r="AJ1528">
        <v>113.6000791844</v>
      </c>
      <c r="AK1528">
        <v>11.4452352242921</v>
      </c>
    </row>
    <row r="1529" spans="1:37" x14ac:dyDescent="0.2">
      <c r="A1529" t="str">
        <f>"20200111153430121"</f>
        <v>20200111153430121</v>
      </c>
      <c r="B1529" t="str">
        <f>"1578728070118193"</f>
        <v>1578728070118193</v>
      </c>
      <c r="C1529" t="s">
        <v>37</v>
      </c>
      <c r="D1529">
        <v>4.5173079999999999</v>
      </c>
      <c r="E1529">
        <v>0.34931020000000002</v>
      </c>
      <c r="F1529" t="s">
        <v>40</v>
      </c>
      <c r="G1529">
        <v>-291.35480000000001</v>
      </c>
      <c r="H1529">
        <v>1.001036</v>
      </c>
      <c r="I1529">
        <v>283.76639999999998</v>
      </c>
      <c r="J1529">
        <v>-290.6198</v>
      </c>
      <c r="K1529">
        <v>1.1046590000000001</v>
      </c>
      <c r="L1529">
        <v>284.19839999999999</v>
      </c>
      <c r="M1529">
        <v>-0.99989550000000005</v>
      </c>
      <c r="N1529">
        <v>0</v>
      </c>
      <c r="O1529">
        <v>-2.0047819999999999E-4</v>
      </c>
      <c r="P1529">
        <v>-0.99946019999999902</v>
      </c>
      <c r="Q1529">
        <v>2.013535E-2</v>
      </c>
      <c r="R1529">
        <v>-2.5958180000000001E-2</v>
      </c>
      <c r="S1529">
        <v>-2.9745180000000002</v>
      </c>
      <c r="T1529">
        <v>-0.30655490000000002</v>
      </c>
      <c r="U1529">
        <v>-1.2788389999999901</v>
      </c>
      <c r="V1529">
        <v>-2.5774620000000002E-2</v>
      </c>
      <c r="W1529">
        <v>3.4575549999999997E-2</v>
      </c>
      <c r="X1529">
        <v>0.99906969999999995</v>
      </c>
      <c r="Y1529">
        <v>-0.39303369999999999</v>
      </c>
      <c r="Z1529">
        <v>-1.9329989999999998E-2</v>
      </c>
      <c r="AA1529">
        <v>0.9193209</v>
      </c>
      <c r="AB1529">
        <v>43</v>
      </c>
      <c r="AC1529">
        <v>-0.73500000000001298</v>
      </c>
      <c r="AD1529">
        <v>-0.10362300000000001</v>
      </c>
      <c r="AE1529">
        <v>-0.43200000000001598</v>
      </c>
      <c r="AF1529">
        <v>-0.425565749903209</v>
      </c>
      <c r="AG1529">
        <v>-0.10362300000000001</v>
      </c>
      <c r="AH1529">
        <v>0.72438527134500397</v>
      </c>
      <c r="AI1529">
        <v>97.031333741154697</v>
      </c>
      <c r="AJ1529">
        <v>120.433612640909</v>
      </c>
      <c r="AK1529">
        <v>0.84650927635865603</v>
      </c>
    </row>
    <row r="1530" spans="1:37" x14ac:dyDescent="0.2">
      <c r="A1530" t="str">
        <f>"20200111153430135"</f>
        <v>20200111153430135</v>
      </c>
      <c r="B1530" t="str">
        <f>"1578728070127951"</f>
        <v>1578728070127951</v>
      </c>
      <c r="C1530" t="s">
        <v>37</v>
      </c>
      <c r="D1530">
        <v>4.1107829999999996</v>
      </c>
      <c r="E1530">
        <v>0.38299070000000002</v>
      </c>
      <c r="F1530" t="s">
        <v>40</v>
      </c>
      <c r="G1530">
        <v>-291.68169999999998</v>
      </c>
      <c r="H1530">
        <v>0.99442779999999997</v>
      </c>
      <c r="I1530">
        <v>283.7405</v>
      </c>
      <c r="J1530">
        <v>-290.90890000000002</v>
      </c>
      <c r="K1530">
        <v>1.104663</v>
      </c>
      <c r="L1530">
        <v>284.19819999999999</v>
      </c>
      <c r="M1530">
        <v>-0.99989539999999999</v>
      </c>
      <c r="N1530">
        <v>0</v>
      </c>
      <c r="O1530">
        <v>-3.2538929999999998E-4</v>
      </c>
      <c r="P1530">
        <v>-0.99945280000000003</v>
      </c>
      <c r="Q1530">
        <v>2.075774E-2</v>
      </c>
      <c r="R1530">
        <v>-2.5746640000000001E-2</v>
      </c>
      <c r="S1530">
        <v>-2.9744869999999999</v>
      </c>
      <c r="T1530">
        <v>-0.30874570000000001</v>
      </c>
      <c r="U1530">
        <v>-1.2832030000000001</v>
      </c>
      <c r="V1530">
        <v>-2.543869E-2</v>
      </c>
      <c r="W1530">
        <v>3.519601E-2</v>
      </c>
      <c r="X1530">
        <v>0.99905659999999896</v>
      </c>
      <c r="Y1530">
        <v>-0.39403189999999999</v>
      </c>
      <c r="Z1530">
        <v>-1.94994E-2</v>
      </c>
      <c r="AA1530">
        <v>0.91888989999999904</v>
      </c>
      <c r="AB1530">
        <v>43</v>
      </c>
      <c r="AC1530">
        <v>-0.77279999999996096</v>
      </c>
      <c r="AD1530">
        <v>-0.11023519999999901</v>
      </c>
      <c r="AE1530">
        <v>-0.45769999999998801</v>
      </c>
      <c r="AF1530">
        <v>-0.45066000716687898</v>
      </c>
      <c r="AG1530">
        <v>-0.11023519999999901</v>
      </c>
      <c r="AH1530">
        <v>0.76147843502002199</v>
      </c>
      <c r="AI1530">
        <v>97.101428898949905</v>
      </c>
      <c r="AJ1530">
        <v>120.617997823888</v>
      </c>
      <c r="AK1530">
        <v>0.89168136034080803</v>
      </c>
    </row>
    <row r="1531" spans="1:37" x14ac:dyDescent="0.2">
      <c r="A1531" t="str">
        <f>"20200111153430148"</f>
        <v>20200111153430148</v>
      </c>
      <c r="B1531" t="str">
        <f>"1578728070137711"</f>
        <v>1578728070137711</v>
      </c>
      <c r="C1531" t="s">
        <v>37</v>
      </c>
      <c r="D1531">
        <v>5.0852459999999997</v>
      </c>
      <c r="E1531">
        <v>0.38299070000000002</v>
      </c>
      <c r="F1531" t="s">
        <v>56</v>
      </c>
      <c r="G1531">
        <v>-304.19659999999999</v>
      </c>
      <c r="H1531" s="1">
        <v>3.6516159999999999E-6</v>
      </c>
      <c r="I1531">
        <v>279.68150000000003</v>
      </c>
      <c r="J1531">
        <v>-291.14789999999999</v>
      </c>
      <c r="K1531">
        <v>1.1046639999999901</v>
      </c>
      <c r="L1531">
        <v>284.19810000000001</v>
      </c>
      <c r="M1531">
        <v>-0.99989550000000005</v>
      </c>
      <c r="N1531">
        <v>0</v>
      </c>
      <c r="O1531">
        <v>-4.287238E-4</v>
      </c>
      <c r="P1531">
        <v>-0.99944809999999995</v>
      </c>
      <c r="Q1531">
        <v>2.116757E-2</v>
      </c>
      <c r="R1531">
        <v>-2.5610709999999998E-2</v>
      </c>
      <c r="S1531">
        <v>-2.9807130000000002</v>
      </c>
      <c r="T1531">
        <v>-0.24779879999999899</v>
      </c>
      <c r="U1531">
        <v>-1.0132139999999901</v>
      </c>
      <c r="V1531">
        <v>-2.5199180000000002E-2</v>
      </c>
      <c r="W1531">
        <v>3.560489E-2</v>
      </c>
      <c r="X1531">
        <v>0.99904819999999905</v>
      </c>
      <c r="Y1531">
        <v>-0.320442</v>
      </c>
      <c r="Z1531">
        <v>-1.290063E-2</v>
      </c>
      <c r="AA1531">
        <v>0.94718029999999998</v>
      </c>
      <c r="AB1531">
        <v>43</v>
      </c>
      <c r="AC1531">
        <v>-13.048699999999901</v>
      </c>
      <c r="AD1531">
        <v>-1.1046603483839901</v>
      </c>
      <c r="AE1531">
        <v>-4.51659999999998</v>
      </c>
      <c r="AF1531">
        <v>-4.4823179316682999</v>
      </c>
      <c r="AG1531">
        <v>-1.1046603483839901</v>
      </c>
      <c r="AH1531">
        <v>12.9676426201176</v>
      </c>
      <c r="AI1531">
        <v>94.603064588557004</v>
      </c>
      <c r="AJ1531">
        <v>109.067914930977</v>
      </c>
      <c r="AK1531">
        <v>13.764853927628099</v>
      </c>
    </row>
    <row r="1532" spans="1:37" x14ac:dyDescent="0.2">
      <c r="A1532" t="str">
        <f>"20200111153430163"</f>
        <v>20200111153430163</v>
      </c>
      <c r="B1532" t="str">
        <f>"1578728070158207"</f>
        <v>1578728070158207</v>
      </c>
      <c r="C1532" t="s">
        <v>37</v>
      </c>
      <c r="D1532">
        <v>4.7837839999999998</v>
      </c>
      <c r="E1532">
        <v>0.47562709999999903</v>
      </c>
      <c r="F1532" t="s">
        <v>56</v>
      </c>
      <c r="G1532">
        <v>-304.5147</v>
      </c>
      <c r="H1532" s="1">
        <v>3.597414E-6</v>
      </c>
      <c r="I1532">
        <v>279.65589999999997</v>
      </c>
      <c r="J1532">
        <v>-291.41480000000001</v>
      </c>
      <c r="K1532">
        <v>1.104668</v>
      </c>
      <c r="L1532">
        <v>284.1979</v>
      </c>
      <c r="M1532">
        <v>-0.99989530000000004</v>
      </c>
      <c r="N1532">
        <v>0</v>
      </c>
      <c r="O1532">
        <v>-5.4421470000000003E-4</v>
      </c>
      <c r="P1532">
        <v>-0.99944630000000001</v>
      </c>
      <c r="Q1532">
        <v>2.1523319999999999E-2</v>
      </c>
      <c r="R1532">
        <v>-2.5373920000000001E-2</v>
      </c>
      <c r="S1532">
        <v>-2.9809269999999999</v>
      </c>
      <c r="T1532">
        <v>-0.2463484</v>
      </c>
      <c r="U1532">
        <v>-1.012939</v>
      </c>
      <c r="V1532">
        <v>-2.4847290000000001E-2</v>
      </c>
      <c r="W1532">
        <v>3.5958950000000003E-2</v>
      </c>
      <c r="X1532">
        <v>0.9990443</v>
      </c>
      <c r="Y1532">
        <v>-0.32024639999999999</v>
      </c>
      <c r="Z1532">
        <v>-1.2807560000000001E-2</v>
      </c>
      <c r="AA1532">
        <v>0.94724769999999903</v>
      </c>
      <c r="AB1532">
        <v>43</v>
      </c>
      <c r="AC1532">
        <v>-13.0998999999999</v>
      </c>
      <c r="AD1532">
        <v>-1.104664402586</v>
      </c>
      <c r="AE1532">
        <v>-4.54200000000003</v>
      </c>
      <c r="AF1532">
        <v>-4.5062645458692199</v>
      </c>
      <c r="AG1532">
        <v>-1.104664402586</v>
      </c>
      <c r="AH1532">
        <v>13.019723506614501</v>
      </c>
      <c r="AI1532">
        <v>94.584103153431201</v>
      </c>
      <c r="AJ1532">
        <v>109.09128018749099</v>
      </c>
      <c r="AK1532">
        <v>13.8217185540869</v>
      </c>
    </row>
    <row r="1533" spans="1:37" x14ac:dyDescent="0.2">
      <c r="A1533" t="str">
        <f>"20200111153430174"</f>
        <v>20200111153430174</v>
      </c>
      <c r="B1533" t="str">
        <f>"1578728070167967"</f>
        <v>1578728070167967</v>
      </c>
      <c r="C1533" t="s">
        <v>37</v>
      </c>
      <c r="D1533">
        <v>4.904649</v>
      </c>
      <c r="E1533">
        <v>0.48588239999999999</v>
      </c>
      <c r="F1533" t="s">
        <v>56</v>
      </c>
      <c r="G1533">
        <v>-310.4427</v>
      </c>
      <c r="H1533" s="1">
        <v>2.6012920000000002E-6</v>
      </c>
      <c r="I1533">
        <v>282.4658</v>
      </c>
      <c r="J1533">
        <v>-291.66820000000001</v>
      </c>
      <c r="K1533">
        <v>1.10467</v>
      </c>
      <c r="L1533">
        <v>284.19760000000002</v>
      </c>
      <c r="M1533">
        <v>-0.99989539999999999</v>
      </c>
      <c r="N1533">
        <v>0</v>
      </c>
      <c r="O1533">
        <v>-6.5398639999999998E-4</v>
      </c>
      <c r="P1533">
        <v>-0.99944</v>
      </c>
      <c r="Q1533">
        <v>2.1835480000000001E-2</v>
      </c>
      <c r="R1533">
        <v>-2.5359960000000001E-2</v>
      </c>
      <c r="S1533">
        <v>-2.9984739999999999</v>
      </c>
      <c r="T1533">
        <v>-0.17407700000000001</v>
      </c>
      <c r="U1533">
        <v>-0.2729492</v>
      </c>
      <c r="V1533">
        <v>-2.4724099999999999E-2</v>
      </c>
      <c r="W1533">
        <v>3.6269650000000001E-2</v>
      </c>
      <c r="X1533">
        <v>0.99903609999999898</v>
      </c>
      <c r="Y1533">
        <v>-8.9854219999999999E-2</v>
      </c>
      <c r="Z1533">
        <v>-2.562833E-3</v>
      </c>
      <c r="AA1533">
        <v>0.9959517</v>
      </c>
      <c r="AB1533">
        <v>43</v>
      </c>
      <c r="AC1533">
        <v>-18.7744999999999</v>
      </c>
      <c r="AD1533">
        <v>-1.104667398708</v>
      </c>
      <c r="AE1533">
        <v>-1.73180000000002</v>
      </c>
      <c r="AF1533">
        <v>-1.7136375295372399</v>
      </c>
      <c r="AG1533">
        <v>-1.104667398708</v>
      </c>
      <c r="AH1533">
        <v>18.7113964602617</v>
      </c>
      <c r="AI1533">
        <v>93.364609406067203</v>
      </c>
      <c r="AJ1533">
        <v>95.232697047885097</v>
      </c>
      <c r="AK1533">
        <v>18.822146560302301</v>
      </c>
    </row>
    <row r="1534" spans="1:37" x14ac:dyDescent="0.2">
      <c r="A1534" t="str">
        <f>"20200111153430191"</f>
        <v>20200111153430191</v>
      </c>
      <c r="B1534" t="str">
        <f>"1578728070187488"</f>
        <v>1578728070187488</v>
      </c>
      <c r="C1534" t="s">
        <v>37</v>
      </c>
      <c r="D1534">
        <v>4.8993820000000001</v>
      </c>
      <c r="E1534">
        <v>0.49766049999999901</v>
      </c>
      <c r="F1534" t="s">
        <v>56</v>
      </c>
      <c r="G1534">
        <v>-312.46910000000003</v>
      </c>
      <c r="H1534" s="1">
        <v>3.4643259999999999E-6</v>
      </c>
      <c r="I1534">
        <v>282.8732</v>
      </c>
      <c r="J1534">
        <v>-291.96859999999998</v>
      </c>
      <c r="K1534">
        <v>1.1046719999999901</v>
      </c>
      <c r="L1534">
        <v>284.19740000000002</v>
      </c>
      <c r="M1534">
        <v>-0.99989519999999998</v>
      </c>
      <c r="N1534">
        <v>0</v>
      </c>
      <c r="O1534">
        <v>-7.8378110000000003E-4</v>
      </c>
      <c r="P1534">
        <v>-0.99943979999999999</v>
      </c>
      <c r="Q1534">
        <v>2.1991179999999999E-2</v>
      </c>
      <c r="R1534">
        <v>-2.5227320000000001E-2</v>
      </c>
      <c r="S1534">
        <v>-3.000305</v>
      </c>
      <c r="T1534">
        <v>-0.1593359</v>
      </c>
      <c r="U1534">
        <v>-0.19103999999999999</v>
      </c>
      <c r="V1534">
        <v>-2.4461480000000001E-2</v>
      </c>
      <c r="W1534">
        <v>3.6424030000000003E-2</v>
      </c>
      <c r="X1534">
        <v>0.99903699999999995</v>
      </c>
      <c r="Y1534">
        <v>-6.2675690000000006E-2</v>
      </c>
      <c r="Z1534">
        <v>-1.6198370000000001E-3</v>
      </c>
      <c r="AA1534">
        <v>0.99803259999999905</v>
      </c>
      <c r="AB1534">
        <v>43</v>
      </c>
      <c r="AC1534">
        <v>-20.500499999999999</v>
      </c>
      <c r="AD1534">
        <v>-1.10466853567399</v>
      </c>
      <c r="AE1534">
        <v>-1.32420000000001</v>
      </c>
      <c r="AF1534">
        <v>-1.3043584257899199</v>
      </c>
      <c r="AG1534">
        <v>-1.10466853567399</v>
      </c>
      <c r="AH1534">
        <v>20.4424219380114</v>
      </c>
      <c r="AI1534">
        <v>93.086878345007307</v>
      </c>
      <c r="AJ1534">
        <v>93.650891225594506</v>
      </c>
      <c r="AK1534">
        <v>20.5137577778506</v>
      </c>
    </row>
    <row r="1535" spans="1:37" x14ac:dyDescent="0.2">
      <c r="A1535" t="str">
        <f>"20200111153430205"</f>
        <v>20200111153430205</v>
      </c>
      <c r="B1535" t="str">
        <f>"1578728070197247"</f>
        <v>1578728070197247</v>
      </c>
      <c r="C1535" t="s">
        <v>37</v>
      </c>
      <c r="D1535">
        <v>4.8300269999999896</v>
      </c>
      <c r="E1535">
        <v>0.50038260000000001</v>
      </c>
      <c r="F1535" t="s">
        <v>56</v>
      </c>
      <c r="G1535">
        <v>-314.75209999999998</v>
      </c>
      <c r="H1535" s="1">
        <v>4.4250119999999902E-6</v>
      </c>
      <c r="I1535">
        <v>283.46510000000001</v>
      </c>
      <c r="J1535">
        <v>-292.23020000000002</v>
      </c>
      <c r="K1535">
        <v>1.1046719999999901</v>
      </c>
      <c r="L1535">
        <v>284.19709999999998</v>
      </c>
      <c r="M1535">
        <v>-0.99989509999999904</v>
      </c>
      <c r="N1535">
        <v>0</v>
      </c>
      <c r="O1535">
        <v>-8.9700879999999998E-4</v>
      </c>
      <c r="P1535">
        <v>-0.9994267</v>
      </c>
      <c r="Q1535">
        <v>2.2186899999999999E-2</v>
      </c>
      <c r="R1535">
        <v>-2.5570229999999999E-2</v>
      </c>
      <c r="S1535">
        <v>-3.0024410000000001</v>
      </c>
      <c r="T1535">
        <v>-0.14557410000000001</v>
      </c>
      <c r="U1535">
        <v>-9.6496579999999998E-2</v>
      </c>
      <c r="V1535">
        <v>-2.4691399999999999E-2</v>
      </c>
      <c r="W1535">
        <v>3.6617980000000001E-2</v>
      </c>
      <c r="X1535">
        <v>0.99902429999999998</v>
      </c>
      <c r="Y1535">
        <v>-3.1190590000000001E-2</v>
      </c>
      <c r="Z1535">
        <v>-7.1204359999999997E-4</v>
      </c>
      <c r="AA1535">
        <v>0.99951319999999999</v>
      </c>
      <c r="AB1535">
        <v>43</v>
      </c>
      <c r="AC1535">
        <v>-22.521899999999899</v>
      </c>
      <c r="AD1535">
        <v>-1.1046675749879999</v>
      </c>
      <c r="AE1535">
        <v>-0.73199999999997001</v>
      </c>
      <c r="AF1535">
        <v>-0.71008874782309594</v>
      </c>
      <c r="AG1535">
        <v>-1.1046675749879999</v>
      </c>
      <c r="AH1535">
        <v>22.4685506090769</v>
      </c>
      <c r="AI1535">
        <v>92.813281514467803</v>
      </c>
      <c r="AJ1535">
        <v>91.810154639380599</v>
      </c>
      <c r="AK1535">
        <v>22.506894120550399</v>
      </c>
    </row>
    <row r="1536" spans="1:37" x14ac:dyDescent="0.2">
      <c r="A1536" t="str">
        <f>"20200111153430216"</f>
        <v>20200111153430216</v>
      </c>
      <c r="B1536" t="str">
        <f>"1578728070207983"</f>
        <v>1578728070207983</v>
      </c>
      <c r="C1536" t="s">
        <v>37</v>
      </c>
      <c r="D1536">
        <v>4.872808</v>
      </c>
      <c r="E1536">
        <v>0.50231709999999996</v>
      </c>
      <c r="F1536" t="s">
        <v>56</v>
      </c>
      <c r="G1536">
        <v>-316.4425</v>
      </c>
      <c r="H1536" s="1">
        <v>5.1639689999999901E-6</v>
      </c>
      <c r="I1536">
        <v>283.58699999999999</v>
      </c>
      <c r="J1536">
        <v>-292.46359999999999</v>
      </c>
      <c r="K1536">
        <v>1.1046739999999999</v>
      </c>
      <c r="L1536">
        <v>284.1968</v>
      </c>
      <c r="M1536">
        <v>-0.99989499999999998</v>
      </c>
      <c r="N1536">
        <v>0</v>
      </c>
      <c r="O1536">
        <v>-9.9819889999999993E-4</v>
      </c>
      <c r="P1536">
        <v>-0.99942679999999995</v>
      </c>
      <c r="Q1536">
        <v>2.2186770000000001E-2</v>
      </c>
      <c r="R1536">
        <v>-2.556719E-2</v>
      </c>
      <c r="S1536">
        <v>-3.0028380000000001</v>
      </c>
      <c r="T1536">
        <v>-0.13700209999999999</v>
      </c>
      <c r="U1536">
        <v>-7.5653079999999998E-2</v>
      </c>
      <c r="V1536">
        <v>-2.4587069999999999E-2</v>
      </c>
      <c r="W1536">
        <v>3.6616549999999998E-2</v>
      </c>
      <c r="X1536">
        <v>0.99902690000000005</v>
      </c>
      <c r="Y1536">
        <v>-2.4163790000000001E-2</v>
      </c>
      <c r="Z1536">
        <v>-5.0533709999999897E-4</v>
      </c>
      <c r="AA1536">
        <v>0.99970789999999998</v>
      </c>
      <c r="AB1536">
        <v>43</v>
      </c>
      <c r="AC1536">
        <v>-23.978899999999999</v>
      </c>
      <c r="AD1536">
        <v>-1.104668836031</v>
      </c>
      <c r="AE1536">
        <v>-0.609800000000007</v>
      </c>
      <c r="AF1536">
        <v>-0.58462154562458402</v>
      </c>
      <c r="AG1536">
        <v>-1.104668836031</v>
      </c>
      <c r="AH1536">
        <v>23.928745787630199</v>
      </c>
      <c r="AI1536">
        <v>92.642391509204401</v>
      </c>
      <c r="AJ1536">
        <v>91.399558718110896</v>
      </c>
      <c r="AK1536">
        <v>23.9613637040535</v>
      </c>
    </row>
    <row r="1537" spans="1:37" x14ac:dyDescent="0.2">
      <c r="A1537" t="str">
        <f>"20200111153430229"</f>
        <v>20200111153430229</v>
      </c>
      <c r="B1537" t="str">
        <f>"1578728070217743"</f>
        <v>1578728070217743</v>
      </c>
      <c r="C1537" t="s">
        <v>37</v>
      </c>
      <c r="D1537">
        <v>4.8864660000000004</v>
      </c>
      <c r="E1537">
        <v>0.50326979999999999</v>
      </c>
      <c r="F1537" t="s">
        <v>56</v>
      </c>
      <c r="G1537">
        <v>-317.92149999999998</v>
      </c>
      <c r="H1537" s="1">
        <v>5.8112140000000003E-6</v>
      </c>
      <c r="I1537">
        <v>283.68560000000002</v>
      </c>
      <c r="J1537">
        <v>-292.69540000000001</v>
      </c>
      <c r="K1537">
        <v>1.1046670000000001</v>
      </c>
      <c r="L1537">
        <v>284.19639999999998</v>
      </c>
      <c r="M1537">
        <v>-0.99989499999999998</v>
      </c>
      <c r="N1537">
        <v>0</v>
      </c>
      <c r="O1537">
        <v>-1.098791E-3</v>
      </c>
      <c r="P1537">
        <v>-0.99942009999999903</v>
      </c>
      <c r="Q1537">
        <v>2.2315140000000001E-2</v>
      </c>
      <c r="R1537">
        <v>-2.5722060000000001E-2</v>
      </c>
      <c r="S1537">
        <v>-3.003082</v>
      </c>
      <c r="T1537">
        <v>-0.13030939999999999</v>
      </c>
      <c r="U1537">
        <v>-6.0302729999999999E-2</v>
      </c>
      <c r="V1537">
        <v>-2.4641739999999999E-2</v>
      </c>
      <c r="W1537">
        <v>3.67433E-2</v>
      </c>
      <c r="X1537">
        <v>0.99902089999999999</v>
      </c>
      <c r="Y1537">
        <v>-1.896074E-2</v>
      </c>
      <c r="Z1537">
        <v>-3.6348009999999999E-4</v>
      </c>
      <c r="AA1537">
        <v>0.99982019999999905</v>
      </c>
      <c r="AB1537">
        <v>43</v>
      </c>
      <c r="AC1537">
        <v>-25.226099999999899</v>
      </c>
      <c r="AD1537">
        <v>-1.1046611887860001</v>
      </c>
      <c r="AE1537">
        <v>-0.51079999999995995</v>
      </c>
      <c r="AF1537">
        <v>-0.48215438576099701</v>
      </c>
      <c r="AG1537">
        <v>-1.1046611887860001</v>
      </c>
      <c r="AH1537">
        <v>25.178383815304802</v>
      </c>
      <c r="AI1537">
        <v>92.511689466308496</v>
      </c>
      <c r="AJ1537">
        <v>91.097053549318304</v>
      </c>
      <c r="AK1537">
        <v>25.207216441815302</v>
      </c>
    </row>
    <row r="1538" spans="1:37" x14ac:dyDescent="0.2">
      <c r="A1538" t="str">
        <f>"20200111153430242"</f>
        <v>20200111153430242</v>
      </c>
      <c r="B1538" t="str">
        <f>"1578728070238238"</f>
        <v>1578728070238238</v>
      </c>
      <c r="C1538" t="s">
        <v>37</v>
      </c>
      <c r="D1538">
        <v>4.8260870000000002</v>
      </c>
      <c r="E1538">
        <v>0.50432909999999997</v>
      </c>
      <c r="F1538" t="s">
        <v>56</v>
      </c>
      <c r="G1538">
        <v>-319.19970000000001</v>
      </c>
      <c r="H1538" s="1">
        <v>6.3743129999999998E-6</v>
      </c>
      <c r="I1538">
        <v>283.72829999999999</v>
      </c>
      <c r="J1538">
        <v>-292.93860000000001</v>
      </c>
      <c r="K1538">
        <v>1.104668</v>
      </c>
      <c r="L1538">
        <v>284.1961</v>
      </c>
      <c r="M1538">
        <v>-0.99989490000000003</v>
      </c>
      <c r="N1538">
        <v>0</v>
      </c>
      <c r="O1538">
        <v>-1.2043889999999999E-3</v>
      </c>
      <c r="P1538">
        <v>-0.99941899999999995</v>
      </c>
      <c r="Q1538">
        <v>2.221805E-2</v>
      </c>
      <c r="R1538">
        <v>-2.584765E-2</v>
      </c>
      <c r="S1538">
        <v>-3.0031430000000001</v>
      </c>
      <c r="T1538">
        <v>-0.12516640000000001</v>
      </c>
      <c r="U1538">
        <v>-5.3039549999999998E-2</v>
      </c>
      <c r="V1538">
        <v>-2.466136E-2</v>
      </c>
      <c r="W1538">
        <v>3.664514E-2</v>
      </c>
      <c r="X1538">
        <v>0.99902400000000002</v>
      </c>
      <c r="Y1538">
        <v>-1.6441029999999999E-2</v>
      </c>
      <c r="Z1538">
        <v>-2.922666E-4</v>
      </c>
      <c r="AA1538">
        <v>0.9998648</v>
      </c>
      <c r="AB1538">
        <v>43</v>
      </c>
      <c r="AC1538">
        <v>-26.261099999999999</v>
      </c>
      <c r="AD1538">
        <v>-1.1046616256870001</v>
      </c>
      <c r="AE1538">
        <v>-0.46780000000001098</v>
      </c>
      <c r="AF1538">
        <v>-0.43539761908976399</v>
      </c>
      <c r="AG1538">
        <v>-1.1046616256870001</v>
      </c>
      <c r="AH1538">
        <v>26.215273117610899</v>
      </c>
      <c r="AI1538">
        <v>92.412575115426407</v>
      </c>
      <c r="AJ1538">
        <v>90.951512214916093</v>
      </c>
      <c r="AK1538">
        <v>26.242149169321198</v>
      </c>
    </row>
    <row r="1539" spans="1:37" x14ac:dyDescent="0.2">
      <c r="A1539" t="str">
        <f>"20200111153430257"</f>
        <v>20200111153430257</v>
      </c>
      <c r="B1539" t="str">
        <f>"1578728070248002"</f>
        <v>1578728070248002</v>
      </c>
      <c r="C1539" t="s">
        <v>37</v>
      </c>
      <c r="D1539">
        <v>4.9031849999999997</v>
      </c>
      <c r="E1539">
        <v>0.50499119999999997</v>
      </c>
      <c r="F1539" t="s">
        <v>52</v>
      </c>
      <c r="G1539">
        <v>-320.4461</v>
      </c>
      <c r="H1539" s="1">
        <v>-1.2630279999999999E-6</v>
      </c>
      <c r="I1539">
        <v>283.78489999999999</v>
      </c>
      <c r="J1539">
        <v>-293.24919999999997</v>
      </c>
      <c r="K1539">
        <v>1.10467</v>
      </c>
      <c r="L1539">
        <v>284.19560000000001</v>
      </c>
      <c r="M1539">
        <v>-0.99989470000000003</v>
      </c>
      <c r="N1539">
        <v>0</v>
      </c>
      <c r="O1539">
        <v>-1.338952E-3</v>
      </c>
      <c r="P1539">
        <v>-0.99941309999999906</v>
      </c>
      <c r="Q1539">
        <v>2.20898E-2</v>
      </c>
      <c r="R1539">
        <v>-2.6180390000000001E-2</v>
      </c>
      <c r="S1539">
        <v>-3.0032349999999899</v>
      </c>
      <c r="T1539">
        <v>-0.12060599999999901</v>
      </c>
      <c r="U1539">
        <v>-4.4891359999999998E-2</v>
      </c>
      <c r="V1539">
        <v>-2.485965E-2</v>
      </c>
      <c r="W1539">
        <v>3.651505E-2</v>
      </c>
      <c r="X1539">
        <v>0.99902389999999996</v>
      </c>
      <c r="Y1539">
        <v>-1.359717E-2</v>
      </c>
      <c r="Z1539">
        <v>-2.191456E-4</v>
      </c>
      <c r="AA1539">
        <v>0.99990759999999901</v>
      </c>
      <c r="AB1539">
        <v>43</v>
      </c>
      <c r="AC1539">
        <v>-27.196899999999999</v>
      </c>
      <c r="AD1539">
        <v>-1.104671263028</v>
      </c>
      <c r="AE1539">
        <v>-0.41070000000001899</v>
      </c>
      <c r="AF1539">
        <v>-0.37366416092269999</v>
      </c>
      <c r="AG1539">
        <v>-1.104671263028</v>
      </c>
      <c r="AH1539">
        <v>27.152639780641302</v>
      </c>
      <c r="AI1539">
        <v>92.329502161384596</v>
      </c>
      <c r="AJ1539">
        <v>90.788432660153902</v>
      </c>
      <c r="AK1539">
        <v>27.177670440304201</v>
      </c>
    </row>
    <row r="1540" spans="1:37" x14ac:dyDescent="0.2">
      <c r="A1540" t="str">
        <f>"20200111153430270"</f>
        <v>20200111153430270</v>
      </c>
      <c r="B1540" t="str">
        <f>"1578728070257759"</f>
        <v>1578728070257759</v>
      </c>
      <c r="C1540" t="s">
        <v>37</v>
      </c>
      <c r="D1540">
        <v>4.8890440000000002</v>
      </c>
      <c r="E1540">
        <v>0.50552509999999995</v>
      </c>
      <c r="F1540" t="s">
        <v>52</v>
      </c>
      <c r="G1540">
        <v>-321.23919999999998</v>
      </c>
      <c r="H1540" s="1">
        <v>-8.4239009999999995E-7</v>
      </c>
      <c r="I1540">
        <v>283.8168</v>
      </c>
      <c r="J1540">
        <v>-293.4796</v>
      </c>
      <c r="K1540">
        <v>1.1046689999999999</v>
      </c>
      <c r="L1540">
        <v>284.1952</v>
      </c>
      <c r="M1540">
        <v>-0.99989459999999997</v>
      </c>
      <c r="N1540">
        <v>0</v>
      </c>
      <c r="O1540">
        <v>-1.4388319999999999E-3</v>
      </c>
      <c r="P1540">
        <v>-0.9994075</v>
      </c>
      <c r="Q1540">
        <v>2.2142370000000001E-2</v>
      </c>
      <c r="R1540">
        <v>-2.6350249999999999E-2</v>
      </c>
      <c r="S1540">
        <v>-3.0032649999999999</v>
      </c>
      <c r="T1540">
        <v>-0.1185287</v>
      </c>
      <c r="U1540">
        <v>-4.0649409999999997E-2</v>
      </c>
      <c r="V1540">
        <v>-2.4929630000000001E-2</v>
      </c>
      <c r="W1540">
        <v>3.6566040000000001E-2</v>
      </c>
      <c r="X1540">
        <v>0.99902019999999903</v>
      </c>
      <c r="Y1540">
        <v>-1.2086680000000001E-2</v>
      </c>
      <c r="Z1540">
        <v>-1.8163949999999999E-4</v>
      </c>
      <c r="AA1540">
        <v>0.99992689999999995</v>
      </c>
      <c r="AB1540">
        <v>43</v>
      </c>
      <c r="AC1540">
        <v>-27.759599999999899</v>
      </c>
      <c r="AD1540">
        <v>-1.1046698423901</v>
      </c>
      <c r="AE1540">
        <v>-0.37839999999999901</v>
      </c>
      <c r="AF1540">
        <v>-0.33791901789682799</v>
      </c>
      <c r="AG1540">
        <v>-1.1046698423901</v>
      </c>
      <c r="AH1540">
        <v>27.7162331952701</v>
      </c>
      <c r="AI1540">
        <v>92.282227194691998</v>
      </c>
      <c r="AJ1540">
        <v>90.698521121379301</v>
      </c>
      <c r="AK1540">
        <v>27.740296812722299</v>
      </c>
    </row>
    <row r="1541" spans="1:37" x14ac:dyDescent="0.2">
      <c r="A1541" t="str">
        <f>"20200111153430282"</f>
        <v>20200111153430282</v>
      </c>
      <c r="B1541" t="str">
        <f>"1578728070278255"</f>
        <v>1578728070278255</v>
      </c>
      <c r="C1541" t="s">
        <v>37</v>
      </c>
      <c r="D1541">
        <v>4.8641399999999999</v>
      </c>
      <c r="E1541">
        <v>0.50639089999999998</v>
      </c>
      <c r="F1541" t="s">
        <v>52</v>
      </c>
      <c r="G1541">
        <v>-321.90320000000003</v>
      </c>
      <c r="H1541" s="1">
        <v>-4.9043009999999896E-7</v>
      </c>
      <c r="I1541">
        <v>283.84780000000001</v>
      </c>
      <c r="J1541">
        <v>-293.70909999999998</v>
      </c>
      <c r="K1541">
        <v>1.1046670000000001</v>
      </c>
      <c r="L1541">
        <v>284.19479999999999</v>
      </c>
      <c r="M1541">
        <v>-0.99989459999999997</v>
      </c>
      <c r="N1541">
        <v>0</v>
      </c>
      <c r="O1541">
        <v>-1.5383549999999999E-3</v>
      </c>
      <c r="P1541">
        <v>-0.99940229999999997</v>
      </c>
      <c r="Q1541">
        <v>2.203022E-2</v>
      </c>
      <c r="R1541">
        <v>-2.664074E-2</v>
      </c>
      <c r="S1541">
        <v>-3.0033569999999998</v>
      </c>
      <c r="T1541">
        <v>-0.11672439999999901</v>
      </c>
      <c r="U1541">
        <v>-3.6712649999999999E-2</v>
      </c>
      <c r="V1541">
        <v>-2.5120759999999999E-2</v>
      </c>
      <c r="W1541">
        <v>3.6452619999999998E-2</v>
      </c>
      <c r="X1541">
        <v>0.99901960000000001</v>
      </c>
      <c r="Y1541">
        <v>-1.067764E-2</v>
      </c>
      <c r="Z1541">
        <v>-1.4763649999999999E-4</v>
      </c>
      <c r="AA1541">
        <v>0.99994300000000003</v>
      </c>
      <c r="AB1541">
        <v>43</v>
      </c>
      <c r="AC1541">
        <v>-28.194099999999999</v>
      </c>
      <c r="AD1541">
        <v>-1.1046674904300999</v>
      </c>
      <c r="AE1541">
        <v>-0.34699999999997899</v>
      </c>
      <c r="AF1541">
        <v>-0.30315721712594002</v>
      </c>
      <c r="AG1541">
        <v>-1.1046674904300999</v>
      </c>
      <c r="AH1541">
        <v>28.151390846391401</v>
      </c>
      <c r="AI1541">
        <v>92.247017395716796</v>
      </c>
      <c r="AJ1541">
        <v>90.616983998216398</v>
      </c>
      <c r="AK1541">
        <v>28.1746872413696</v>
      </c>
    </row>
    <row r="1542" spans="1:37" x14ac:dyDescent="0.2">
      <c r="A1542" t="str">
        <f>"20200111153430293"</f>
        <v>20200111153430293</v>
      </c>
      <c r="B1542" t="str">
        <f>"1578728070288015"</f>
        <v>1578728070288015</v>
      </c>
      <c r="C1542" t="s">
        <v>37</v>
      </c>
      <c r="D1542">
        <v>4.8955070000000003</v>
      </c>
      <c r="E1542">
        <v>0.50656959999999995</v>
      </c>
      <c r="F1542" t="s">
        <v>52</v>
      </c>
      <c r="G1542">
        <v>-322.9357</v>
      </c>
      <c r="H1542" s="1">
        <v>5.6911090000000001E-8</v>
      </c>
      <c r="I1542">
        <v>283.89609999999999</v>
      </c>
      <c r="J1542">
        <v>-293.95420000000001</v>
      </c>
      <c r="K1542">
        <v>1.1046639999999901</v>
      </c>
      <c r="L1542">
        <v>284.1943</v>
      </c>
      <c r="M1542">
        <v>-0.99989450000000002</v>
      </c>
      <c r="N1542">
        <v>0</v>
      </c>
      <c r="O1542">
        <v>-1.6446709999999999E-3</v>
      </c>
      <c r="P1542">
        <v>-0.99940130000000005</v>
      </c>
      <c r="Q1542">
        <v>2.1890389999999999E-2</v>
      </c>
      <c r="R1542">
        <v>-2.6801599999999901E-2</v>
      </c>
      <c r="S1542">
        <v>-3.0034480000000001</v>
      </c>
      <c r="T1542">
        <v>-0.11352039999999999</v>
      </c>
      <c r="U1542">
        <v>-3.0700680000000001E-2</v>
      </c>
      <c r="V1542">
        <v>-2.517519E-2</v>
      </c>
      <c r="W1542">
        <v>3.6311099999999999E-2</v>
      </c>
      <c r="X1542">
        <v>0.99902340000000001</v>
      </c>
      <c r="Y1542">
        <v>-8.5715619999999996E-3</v>
      </c>
      <c r="Z1542" s="1">
        <v>-9.978063E-5</v>
      </c>
      <c r="AA1542">
        <v>0.9999633</v>
      </c>
      <c r="AB1542">
        <v>43</v>
      </c>
      <c r="AC1542">
        <v>-28.981499999999901</v>
      </c>
      <c r="AD1542">
        <v>-1.1046639430889</v>
      </c>
      <c r="AE1542">
        <v>-0.29820000000000801</v>
      </c>
      <c r="AF1542">
        <v>-0.25016618563910498</v>
      </c>
      <c r="AG1542">
        <v>-1.1046639430889</v>
      </c>
      <c r="AH1542">
        <v>28.939910596025999</v>
      </c>
      <c r="AI1542">
        <v>92.185891612278795</v>
      </c>
      <c r="AJ1542">
        <v>90.495271385245701</v>
      </c>
      <c r="AK1542">
        <v>28.962066412008301</v>
      </c>
    </row>
    <row r="1543" spans="1:37" x14ac:dyDescent="0.2">
      <c r="A1543" t="str">
        <f>"20200111153430306"</f>
        <v>20200111153430306</v>
      </c>
      <c r="B1543" t="str">
        <f>"1578728070297775"</f>
        <v>1578728070297775</v>
      </c>
      <c r="C1543" t="s">
        <v>37</v>
      </c>
      <c r="D1543">
        <v>4.9339570000000004</v>
      </c>
      <c r="E1543">
        <v>0.50688329999999904</v>
      </c>
      <c r="F1543" t="s">
        <v>52</v>
      </c>
      <c r="G1543">
        <v>-323.39620000000002</v>
      </c>
      <c r="H1543" s="1">
        <v>3.0173629999999902E-7</v>
      </c>
      <c r="I1543">
        <v>283.9015</v>
      </c>
      <c r="J1543">
        <v>-294.18290000000002</v>
      </c>
      <c r="K1543">
        <v>1.1046639999999901</v>
      </c>
      <c r="L1543">
        <v>284.19389999999999</v>
      </c>
      <c r="M1543">
        <v>-0.99989419999999996</v>
      </c>
      <c r="N1543">
        <v>0</v>
      </c>
      <c r="O1543">
        <v>-1.7434779999999999E-3</v>
      </c>
      <c r="P1543">
        <v>-0.99939840000000002</v>
      </c>
      <c r="Q1543">
        <v>2.19815999999999E-2</v>
      </c>
      <c r="R1543">
        <v>-2.6833039999999999E-2</v>
      </c>
      <c r="S1543">
        <v>-3.0035099999999999</v>
      </c>
      <c r="T1543">
        <v>-0.112691899999999</v>
      </c>
      <c r="U1543">
        <v>-2.9876710000000001E-2</v>
      </c>
      <c r="V1543">
        <v>-2.510747E-2</v>
      </c>
      <c r="W1543">
        <v>3.6401160000000002E-2</v>
      </c>
      <c r="X1543">
        <v>0.99902179999999996</v>
      </c>
      <c r="Y1543">
        <v>-8.1986430000000002E-3</v>
      </c>
      <c r="Z1543" s="1">
        <v>-8.8351469999999906E-5</v>
      </c>
      <c r="AA1543">
        <v>0.99996640000000003</v>
      </c>
      <c r="AB1543">
        <v>43</v>
      </c>
      <c r="AC1543">
        <v>-29.2133</v>
      </c>
      <c r="AD1543">
        <v>-1.1046636982636999</v>
      </c>
      <c r="AE1543">
        <v>-0.292399999999986</v>
      </c>
      <c r="AF1543">
        <v>-0.24111676484726899</v>
      </c>
      <c r="AG1543">
        <v>-1.1046636982636999</v>
      </c>
      <c r="AH1543">
        <v>29.172057137968501</v>
      </c>
      <c r="AI1543">
        <v>92.168519772961403</v>
      </c>
      <c r="AJ1543">
        <v>90.473557910223406</v>
      </c>
      <c r="AK1543">
        <v>29.193960622729001</v>
      </c>
    </row>
    <row r="1544" spans="1:37" x14ac:dyDescent="0.2">
      <c r="A1544" t="str">
        <f>"20200111153430320"</f>
        <v>20200111153430320</v>
      </c>
      <c r="B1544" t="str">
        <f>"1578728070307535"</f>
        <v>1578728070307535</v>
      </c>
      <c r="C1544" t="s">
        <v>37</v>
      </c>
      <c r="D1544">
        <v>4.8536729999999997</v>
      </c>
      <c r="E1544">
        <v>0.50713379999999997</v>
      </c>
      <c r="F1544" t="s">
        <v>52</v>
      </c>
      <c r="G1544">
        <v>-324.30799999999999</v>
      </c>
      <c r="H1544" s="1">
        <v>7.8610080000000002E-7</v>
      </c>
      <c r="I1544">
        <v>283.92079999999999</v>
      </c>
      <c r="J1544">
        <v>-294.42309999999998</v>
      </c>
      <c r="K1544">
        <v>1.104665</v>
      </c>
      <c r="L1544">
        <v>284.1934</v>
      </c>
      <c r="M1544">
        <v>-0.99989409999999901</v>
      </c>
      <c r="N1544">
        <v>0</v>
      </c>
      <c r="O1544">
        <v>-1.8477679999999901E-3</v>
      </c>
      <c r="P1544">
        <v>-0.99940239999999902</v>
      </c>
      <c r="Q1544">
        <v>2.1777399999999999E-2</v>
      </c>
      <c r="R1544">
        <v>-2.6845620000000001E-2</v>
      </c>
      <c r="S1544">
        <v>-3.0035400000000001</v>
      </c>
      <c r="T1544">
        <v>-0.1101375</v>
      </c>
      <c r="U1544">
        <v>-2.7221680000000002E-2</v>
      </c>
      <c r="V1544">
        <v>-2.5016190000000001E-2</v>
      </c>
      <c r="W1544">
        <v>3.6195779999999997E-2</v>
      </c>
      <c r="X1544">
        <v>0.99903149999999996</v>
      </c>
      <c r="Y1544">
        <v>-7.2113219999999896E-3</v>
      </c>
      <c r="Z1544" s="1">
        <v>-6.4430689999999999E-5</v>
      </c>
      <c r="AA1544">
        <v>0.99997400000000003</v>
      </c>
      <c r="AB1544">
        <v>43</v>
      </c>
      <c r="AC1544">
        <v>-29.884899999999998</v>
      </c>
      <c r="AD1544">
        <v>-1.1046642138992</v>
      </c>
      <c r="AE1544">
        <v>-0.272600000000011</v>
      </c>
      <c r="AF1544">
        <v>-0.21707684362884699</v>
      </c>
      <c r="AG1544">
        <v>-1.1046642138992</v>
      </c>
      <c r="AH1544">
        <v>29.844578448940702</v>
      </c>
      <c r="AI1544">
        <v>92.1197164827379</v>
      </c>
      <c r="AJ1544">
        <v>90.416737923159502</v>
      </c>
      <c r="AK1544">
        <v>29.865804328303</v>
      </c>
    </row>
    <row r="1545" spans="1:37" x14ac:dyDescent="0.2">
      <c r="A1545" t="str">
        <f>"20200111153430336"</f>
        <v>20200111153430336</v>
      </c>
      <c r="B1545" t="str">
        <f>"1578728070328034"</f>
        <v>1578728070328034</v>
      </c>
      <c r="C1545" t="s">
        <v>37</v>
      </c>
      <c r="D1545">
        <v>4.8749199999999897</v>
      </c>
      <c r="E1545">
        <v>0.50751409999999997</v>
      </c>
      <c r="F1545" t="s">
        <v>52</v>
      </c>
      <c r="G1545">
        <v>-324.6644</v>
      </c>
      <c r="H1545" s="1">
        <v>9.7502029999999993E-7</v>
      </c>
      <c r="I1545">
        <v>283.93799999999999</v>
      </c>
      <c r="J1545">
        <v>-294.75799999999998</v>
      </c>
      <c r="K1545">
        <v>1.1046689999999999</v>
      </c>
      <c r="L1545">
        <v>284.1927</v>
      </c>
      <c r="M1545">
        <v>-0.99989399999999995</v>
      </c>
      <c r="N1545">
        <v>0</v>
      </c>
      <c r="O1545">
        <v>-1.9924689999999902E-3</v>
      </c>
      <c r="P1545">
        <v>-0.99939769999999895</v>
      </c>
      <c r="Q1545">
        <v>2.220451E-2</v>
      </c>
      <c r="R1545">
        <v>-2.667663E-2</v>
      </c>
      <c r="S1545">
        <v>-3.0035099999999999</v>
      </c>
      <c r="T1545">
        <v>-0.10971309999999999</v>
      </c>
      <c r="U1545">
        <v>-2.5360110000000002E-2</v>
      </c>
      <c r="V1545">
        <v>-2.4702350000000001E-2</v>
      </c>
      <c r="W1545">
        <v>3.6620840000000002E-2</v>
      </c>
      <c r="X1545">
        <v>0.99902389999999996</v>
      </c>
      <c r="Y1545">
        <v>-6.447599E-3</v>
      </c>
      <c r="Z1545" s="1">
        <v>-4.4955240000000002E-5</v>
      </c>
      <c r="AA1545">
        <v>0.99997919999999996</v>
      </c>
      <c r="AB1545">
        <v>43</v>
      </c>
      <c r="AC1545">
        <v>-29.906400000000001</v>
      </c>
      <c r="AD1545">
        <v>-1.1046680249797001</v>
      </c>
      <c r="AE1545">
        <v>-0.25470000000001303</v>
      </c>
      <c r="AF1545">
        <v>-0.19483990442986801</v>
      </c>
      <c r="AG1545">
        <v>-1.1046680249797001</v>
      </c>
      <c r="AH1545">
        <v>29.866102406608199</v>
      </c>
      <c r="AI1545">
        <v>92.118208480804498</v>
      </c>
      <c r="AJ1545">
        <v>90.373779801755504</v>
      </c>
      <c r="AK1545">
        <v>29.887159901800299</v>
      </c>
    </row>
    <row r="1546" spans="1:37" x14ac:dyDescent="0.2">
      <c r="A1546" t="str">
        <f>"20200111153430349"</f>
        <v>20200111153430349</v>
      </c>
      <c r="B1546" t="str">
        <f>"1578728070337791"</f>
        <v>1578728070337791</v>
      </c>
      <c r="C1546" t="s">
        <v>37</v>
      </c>
      <c r="D1546">
        <v>4.8856830000000002</v>
      </c>
      <c r="E1546">
        <v>0.50773630000000003</v>
      </c>
      <c r="F1546" t="s">
        <v>52</v>
      </c>
      <c r="G1546">
        <v>-325.59879999999998</v>
      </c>
      <c r="H1546" s="1">
        <v>1.4710319999999901E-6</v>
      </c>
      <c r="I1546">
        <v>283.9658</v>
      </c>
      <c r="J1546">
        <v>-294.9907</v>
      </c>
      <c r="K1546">
        <v>1.104671</v>
      </c>
      <c r="L1546">
        <v>284.19209999999998</v>
      </c>
      <c r="M1546">
        <v>-0.9998937</v>
      </c>
      <c r="N1546">
        <v>0</v>
      </c>
      <c r="O1546">
        <v>-2.0925919999999999E-3</v>
      </c>
      <c r="P1546">
        <v>-0.99939990000000001</v>
      </c>
      <c r="Q1546">
        <v>2.2176330000000001E-2</v>
      </c>
      <c r="R1546">
        <v>-2.6613299999999999E-2</v>
      </c>
      <c r="S1546">
        <v>-3.00360099999999</v>
      </c>
      <c r="T1546">
        <v>-0.1075844</v>
      </c>
      <c r="U1546">
        <v>-2.209473E-2</v>
      </c>
      <c r="V1546">
        <v>-2.4538979999999998E-2</v>
      </c>
      <c r="W1546">
        <v>3.6591760000000001E-2</v>
      </c>
      <c r="X1546">
        <v>0.99902899999999994</v>
      </c>
      <c r="Y1546">
        <v>-5.2610790000000001E-3</v>
      </c>
      <c r="Z1546" s="1">
        <v>-1.92544E-5</v>
      </c>
      <c r="AA1546">
        <v>0.99998619999999905</v>
      </c>
      <c r="AB1546">
        <v>43</v>
      </c>
      <c r="AC1546">
        <v>-30.608099999999901</v>
      </c>
      <c r="AD1546">
        <v>-1.104669528968</v>
      </c>
      <c r="AE1546">
        <v>-0.22629999999997999</v>
      </c>
      <c r="AF1546">
        <v>-0.16203152877060301</v>
      </c>
      <c r="AG1546">
        <v>-1.104669528968</v>
      </c>
      <c r="AH1546">
        <v>30.568691720091302</v>
      </c>
      <c r="AI1546">
        <v>92.069584281851604</v>
      </c>
      <c r="AJ1546">
        <v>90.303697517962206</v>
      </c>
      <c r="AK1546">
        <v>30.589074233499201</v>
      </c>
    </row>
    <row r="1547" spans="1:37" x14ac:dyDescent="0.2">
      <c r="A1547" t="str">
        <f>"20200111153430364"</f>
        <v>20200111153430364</v>
      </c>
      <c r="B1547" t="str">
        <f>"1578728070357311"</f>
        <v>1578728070357311</v>
      </c>
      <c r="C1547" t="s">
        <v>37</v>
      </c>
      <c r="D1547">
        <v>4.8745880000000001</v>
      </c>
      <c r="E1547">
        <v>0.50801049999999903</v>
      </c>
      <c r="F1547" t="s">
        <v>52</v>
      </c>
      <c r="G1547">
        <v>-326.03949999999998</v>
      </c>
      <c r="H1547" s="1">
        <v>1.704655E-6</v>
      </c>
      <c r="I1547">
        <v>283.9871</v>
      </c>
      <c r="J1547">
        <v>-295.27820000000003</v>
      </c>
      <c r="K1547">
        <v>1.104673</v>
      </c>
      <c r="L1547">
        <v>284.19139999999999</v>
      </c>
      <c r="M1547">
        <v>-0.99989340000000004</v>
      </c>
      <c r="N1547">
        <v>0</v>
      </c>
      <c r="O1547">
        <v>-2.216909E-3</v>
      </c>
      <c r="P1547">
        <v>-0.99940269999999998</v>
      </c>
      <c r="Q1547">
        <v>2.2248449999999999E-2</v>
      </c>
      <c r="R1547">
        <v>-2.644465E-2</v>
      </c>
      <c r="S1547">
        <v>-3.00360099999999</v>
      </c>
      <c r="T1547">
        <v>-0.1068635</v>
      </c>
      <c r="U1547">
        <v>-1.9836429999999999E-2</v>
      </c>
      <c r="V1547">
        <v>-2.4246420000000001E-2</v>
      </c>
      <c r="W1547">
        <v>3.6661819999999998E-2</v>
      </c>
      <c r="X1547">
        <v>0.99903359999999997</v>
      </c>
      <c r="Y1547">
        <v>-4.3855909999999899E-3</v>
      </c>
      <c r="Z1547" s="1">
        <v>8.6563520000000002E-7</v>
      </c>
      <c r="AA1547">
        <v>0.99999039999999995</v>
      </c>
      <c r="AB1547">
        <v>43</v>
      </c>
      <c r="AC1547">
        <v>-30.761299999999899</v>
      </c>
      <c r="AD1547">
        <v>-1.104671295345</v>
      </c>
      <c r="AE1547">
        <v>-0.20429999999998899</v>
      </c>
      <c r="AF1547">
        <v>-0.135922114176388</v>
      </c>
      <c r="AG1547">
        <v>-1.104671295345</v>
      </c>
      <c r="AH1547">
        <v>30.722059774948701</v>
      </c>
      <c r="AI1547">
        <v>92.0592736531394</v>
      </c>
      <c r="AJ1547">
        <v>90.253489275454996</v>
      </c>
      <c r="AK1547">
        <v>30.742214141265201</v>
      </c>
    </row>
    <row r="1548" spans="1:37" x14ac:dyDescent="0.2">
      <c r="A1548" t="str">
        <f>"20200111153430377"</f>
        <v>20200111153430377</v>
      </c>
      <c r="B1548" t="str">
        <f>"1578728070368047"</f>
        <v>1578728070368047</v>
      </c>
      <c r="C1548" t="s">
        <v>37</v>
      </c>
      <c r="D1548">
        <v>4.914822</v>
      </c>
      <c r="E1548">
        <v>0.50814280000000001</v>
      </c>
      <c r="F1548" t="s">
        <v>52</v>
      </c>
      <c r="G1548">
        <v>-326.75209999999998</v>
      </c>
      <c r="H1548" s="1">
        <v>2.08281399999999E-6</v>
      </c>
      <c r="I1548">
        <v>284.01080000000002</v>
      </c>
      <c r="J1548">
        <v>-295.55079999999998</v>
      </c>
      <c r="K1548">
        <v>1.104673</v>
      </c>
      <c r="L1548">
        <v>284.19069999999999</v>
      </c>
      <c r="M1548">
        <v>-0.99989319999999904</v>
      </c>
      <c r="N1548">
        <v>0</v>
      </c>
      <c r="O1548">
        <v>-2.334905E-3</v>
      </c>
      <c r="P1548">
        <v>-0.99940509999999905</v>
      </c>
      <c r="Q1548">
        <v>2.211923E-2</v>
      </c>
      <c r="R1548">
        <v>-2.6462889999999999E-2</v>
      </c>
      <c r="S1548">
        <v>-3.0036930000000002</v>
      </c>
      <c r="T1548">
        <v>-0.10542360000000001</v>
      </c>
      <c r="U1548">
        <v>-1.724243E-2</v>
      </c>
      <c r="V1548">
        <v>-2.4146979999999998E-2</v>
      </c>
      <c r="W1548">
        <v>3.6531729999999998E-2</v>
      </c>
      <c r="X1548">
        <v>0.999040699999999</v>
      </c>
      <c r="Y1548">
        <v>-3.404533E-3</v>
      </c>
      <c r="Z1548" s="1">
        <v>2.2205670000000001E-5</v>
      </c>
      <c r="AA1548">
        <v>0.99999419999999895</v>
      </c>
      <c r="AB1548">
        <v>43</v>
      </c>
      <c r="AC1548">
        <v>-31.2013</v>
      </c>
      <c r="AD1548">
        <v>-1.1046709171860001</v>
      </c>
      <c r="AE1548">
        <v>-0.179899999999975</v>
      </c>
      <c r="AF1548">
        <v>-0.10690585451239799</v>
      </c>
      <c r="AG1548">
        <v>-1.1046709171860001</v>
      </c>
      <c r="AH1548">
        <v>31.1625743841428</v>
      </c>
      <c r="AI1548">
        <v>92.030195486172801</v>
      </c>
      <c r="AJ1548">
        <v>90.196557260137396</v>
      </c>
      <c r="AK1548">
        <v>31.182331037692499</v>
      </c>
    </row>
    <row r="1549" spans="1:37" x14ac:dyDescent="0.2">
      <c r="A1549" t="str">
        <f>"20200111153430395"</f>
        <v>20200111153430395</v>
      </c>
      <c r="B1549" t="str">
        <f>"1578728070387568"</f>
        <v>1578728070387568</v>
      </c>
      <c r="C1549" t="s">
        <v>37</v>
      </c>
      <c r="D1549">
        <v>4.8593449999999896</v>
      </c>
      <c r="E1549">
        <v>0.50846150000000001</v>
      </c>
      <c r="F1549" t="s">
        <v>52</v>
      </c>
      <c r="G1549">
        <v>-327.0933</v>
      </c>
      <c r="H1549" s="1">
        <v>2.2638409999999999E-6</v>
      </c>
      <c r="I1549">
        <v>284.02280000000002</v>
      </c>
      <c r="J1549">
        <v>-295.863</v>
      </c>
      <c r="K1549">
        <v>1.1046670000000001</v>
      </c>
      <c r="L1549">
        <v>284.18990000000002</v>
      </c>
      <c r="M1549">
        <v>-0.99989289999999997</v>
      </c>
      <c r="N1549">
        <v>0</v>
      </c>
      <c r="O1549">
        <v>-2.4697109999999999E-3</v>
      </c>
      <c r="P1549">
        <v>-0.99941179999999996</v>
      </c>
      <c r="Q1549">
        <v>2.2171349999999999E-2</v>
      </c>
      <c r="R1549">
        <v>-2.6165810000000001E-2</v>
      </c>
      <c r="S1549">
        <v>-3.0036320000000001</v>
      </c>
      <c r="T1549">
        <v>-0.10519239999999901</v>
      </c>
      <c r="U1549">
        <v>-1.5991209999999999E-2</v>
      </c>
      <c r="V1549">
        <v>-2.3714849999999999E-2</v>
      </c>
      <c r="W1549">
        <v>3.6582240000000002E-2</v>
      </c>
      <c r="X1549">
        <v>0.99904919999999997</v>
      </c>
      <c r="Y1549">
        <v>-2.8536989999999999E-3</v>
      </c>
      <c r="Z1549" s="1">
        <v>3.6520159999999899E-5</v>
      </c>
      <c r="AA1549">
        <v>0.99999590000000005</v>
      </c>
      <c r="AB1549">
        <v>43</v>
      </c>
      <c r="AC1549">
        <v>-31.2303</v>
      </c>
      <c r="AD1549">
        <v>-1.1046647361589901</v>
      </c>
      <c r="AE1549">
        <v>-0.167100000000004</v>
      </c>
      <c r="AF1549">
        <v>-8.9849237180312E-2</v>
      </c>
      <c r="AG1549">
        <v>-1.1046647361589901</v>
      </c>
      <c r="AH1549">
        <v>31.191593286726299</v>
      </c>
      <c r="AI1549">
        <v>92.028300462736397</v>
      </c>
      <c r="AJ1549">
        <v>90.165043439653104</v>
      </c>
      <c r="AK1549">
        <v>31.211277590468601</v>
      </c>
    </row>
    <row r="1550" spans="1:37" x14ac:dyDescent="0.2">
      <c r="A1550" t="str">
        <f>"20200111153430409"</f>
        <v>20200111153430409</v>
      </c>
      <c r="B1550" t="str">
        <f>"1578728070398303"</f>
        <v>1578728070398303</v>
      </c>
      <c r="C1550" t="s">
        <v>37</v>
      </c>
      <c r="D1550">
        <v>4.8296539999999997</v>
      </c>
      <c r="E1550">
        <v>0.50861190000000001</v>
      </c>
      <c r="F1550" t="s">
        <v>52</v>
      </c>
      <c r="G1550">
        <v>-327.69959999999998</v>
      </c>
      <c r="H1550" s="1">
        <v>2.5851099999999901E-6</v>
      </c>
      <c r="I1550">
        <v>284.05470000000003</v>
      </c>
      <c r="J1550">
        <v>-296.13069999999999</v>
      </c>
      <c r="K1550">
        <v>1.1046670000000001</v>
      </c>
      <c r="L1550">
        <v>284.1891</v>
      </c>
      <c r="M1550">
        <v>-0.99989269999999997</v>
      </c>
      <c r="N1550">
        <v>0</v>
      </c>
      <c r="O1550">
        <v>-2.5856809999999998E-3</v>
      </c>
      <c r="P1550">
        <v>-0.99942119999999901</v>
      </c>
      <c r="Q1550">
        <v>2.221304E-2</v>
      </c>
      <c r="R1550">
        <v>-2.5767890000000002E-2</v>
      </c>
      <c r="S1550">
        <v>-3.0037229999999999</v>
      </c>
      <c r="T1550">
        <v>-0.10422289999999999</v>
      </c>
      <c r="U1550">
        <v>-1.275635E-2</v>
      </c>
      <c r="V1550">
        <v>-2.320127E-2</v>
      </c>
      <c r="W1550">
        <v>3.6622740000000001E-2</v>
      </c>
      <c r="X1550">
        <v>0.99905979999999905</v>
      </c>
      <c r="Y1550">
        <v>-1.6614220000000001E-3</v>
      </c>
      <c r="Z1550" s="1">
        <v>6.0884329999999998E-5</v>
      </c>
      <c r="AA1550">
        <v>0.99999859999999896</v>
      </c>
      <c r="AB1550">
        <v>43</v>
      </c>
      <c r="AC1550">
        <v>-31.5688999999999</v>
      </c>
      <c r="AD1550">
        <v>-1.10466441489</v>
      </c>
      <c r="AE1550">
        <v>-0.13439999999997099</v>
      </c>
      <c r="AF1550">
        <v>-5.2699432364655303E-2</v>
      </c>
      <c r="AG1550">
        <v>-1.10466441489</v>
      </c>
      <c r="AH1550">
        <v>31.5305350660126</v>
      </c>
      <c r="AI1550">
        <v>92.006519824381897</v>
      </c>
      <c r="AJ1550">
        <v>90.095762797532402</v>
      </c>
      <c r="AK1550">
        <v>31.549923965815601</v>
      </c>
    </row>
    <row r="1551" spans="1:37" x14ac:dyDescent="0.2">
      <c r="A1551" t="str">
        <f>"20200111153430422"</f>
        <v>20200111153430422</v>
      </c>
      <c r="B1551" t="str">
        <f>"1578728070417823"</f>
        <v>1578728070417823</v>
      </c>
      <c r="C1551" t="s">
        <v>37</v>
      </c>
      <c r="D1551">
        <v>4.8143070000000003</v>
      </c>
      <c r="E1551">
        <v>0.50896579999999902</v>
      </c>
      <c r="F1551" t="s">
        <v>52</v>
      </c>
      <c r="G1551">
        <v>-328.23250000000002</v>
      </c>
      <c r="H1551" s="1">
        <v>2.8676720000000002E-6</v>
      </c>
      <c r="I1551">
        <v>284.07819999999998</v>
      </c>
      <c r="J1551">
        <v>-296.38889999999998</v>
      </c>
      <c r="K1551">
        <v>1.1046659999999999</v>
      </c>
      <c r="L1551">
        <v>284.1884</v>
      </c>
      <c r="M1551">
        <v>-0.99989240000000001</v>
      </c>
      <c r="N1551">
        <v>0</v>
      </c>
      <c r="O1551">
        <v>-2.6975979999999998E-3</v>
      </c>
      <c r="P1551">
        <v>-0.99942330000000001</v>
      </c>
      <c r="Q1551">
        <v>2.2379039999999999E-2</v>
      </c>
      <c r="R1551">
        <v>-2.5546869999999999E-2</v>
      </c>
      <c r="S1551">
        <v>-3.0037229999999999</v>
      </c>
      <c r="T1551">
        <v>-0.103361799999999</v>
      </c>
      <c r="U1551">
        <v>-1.037598E-2</v>
      </c>
      <c r="V1551">
        <v>-2.2868139999999999E-2</v>
      </c>
      <c r="W1551">
        <v>3.6787140000000003E-2</v>
      </c>
      <c r="X1551">
        <v>0.99906149999999905</v>
      </c>
      <c r="Y1551">
        <v>-7.5762479999999998E-4</v>
      </c>
      <c r="Z1551" s="1">
        <v>7.9777910000000001E-5</v>
      </c>
      <c r="AA1551">
        <v>0.99999969999999905</v>
      </c>
      <c r="AB1551">
        <v>43</v>
      </c>
      <c r="AC1551">
        <v>-31.843599999999999</v>
      </c>
      <c r="AD1551">
        <v>-1.1046631323279901</v>
      </c>
      <c r="AE1551">
        <v>-0.11020000000002</v>
      </c>
      <c r="AF1551">
        <v>-2.4260241176536902E-2</v>
      </c>
      <c r="AG1551">
        <v>-1.1046631323279901</v>
      </c>
      <c r="AH1551">
        <v>31.8055066548208</v>
      </c>
      <c r="AI1551">
        <v>91.989186528382604</v>
      </c>
      <c r="AJ1551">
        <v>90.043703411956102</v>
      </c>
      <c r="AK1551">
        <v>31.8246936004901</v>
      </c>
    </row>
    <row r="1552" spans="1:37" x14ac:dyDescent="0.2">
      <c r="A1552" t="str">
        <f>"20200111153430437"</f>
        <v>20200111153430437</v>
      </c>
      <c r="B1552" t="str">
        <f>"1578728070427583"</f>
        <v>1578728070427583</v>
      </c>
      <c r="C1552" t="s">
        <v>37</v>
      </c>
      <c r="D1552">
        <v>4.8269459999999897</v>
      </c>
      <c r="E1552">
        <v>0.50908719999999996</v>
      </c>
      <c r="F1552" t="s">
        <v>52</v>
      </c>
      <c r="G1552">
        <v>-328.81259999999997</v>
      </c>
      <c r="H1552" s="1">
        <v>3.1748079999999999E-6</v>
      </c>
      <c r="I1552">
        <v>284.1139</v>
      </c>
      <c r="J1552">
        <v>-296.68279999999999</v>
      </c>
      <c r="K1552">
        <v>1.104668</v>
      </c>
      <c r="L1552">
        <v>284.18740000000003</v>
      </c>
      <c r="M1552">
        <v>-0.99989209999999995</v>
      </c>
      <c r="N1552">
        <v>0</v>
      </c>
      <c r="O1552">
        <v>-2.8251279999999901E-3</v>
      </c>
      <c r="P1552">
        <v>-0.99944429999999995</v>
      </c>
      <c r="Q1552">
        <v>2.25734E-2</v>
      </c>
      <c r="R1552">
        <v>-2.4532539999999999E-2</v>
      </c>
      <c r="S1552">
        <v>-3.003876</v>
      </c>
      <c r="T1552">
        <v>-0.1023409</v>
      </c>
      <c r="U1552">
        <v>-6.8969729999999998E-3</v>
      </c>
      <c r="V1552">
        <v>-2.1726539999999999E-2</v>
      </c>
      <c r="W1552">
        <v>3.6980599999999898E-2</v>
      </c>
      <c r="X1552">
        <v>0.99907979999999996</v>
      </c>
      <c r="Y1552">
        <v>5.2745940000000001E-4</v>
      </c>
      <c r="Z1552">
        <v>1.052154E-4</v>
      </c>
      <c r="AA1552">
        <v>0.99999989999999905</v>
      </c>
      <c r="AB1552">
        <v>43</v>
      </c>
      <c r="AC1552">
        <v>-32.129799999999904</v>
      </c>
      <c r="AD1552">
        <v>-1.1046648251919999</v>
      </c>
      <c r="AE1552">
        <v>-7.3500000000024102E-2</v>
      </c>
      <c r="AF1552">
        <v>1.7260121214863301E-2</v>
      </c>
      <c r="AG1552">
        <v>-1.1046648251919999</v>
      </c>
      <c r="AH1552">
        <v>32.0919445374685</v>
      </c>
      <c r="AI1552">
        <v>91.971449347704095</v>
      </c>
      <c r="AJ1552">
        <v>89.969184416264099</v>
      </c>
      <c r="AK1552">
        <v>32.110955863750803</v>
      </c>
    </row>
    <row r="1553" spans="1:37" x14ac:dyDescent="0.2">
      <c r="A1553" t="str">
        <f>"20200111153430451"</f>
        <v>20200111153430451</v>
      </c>
      <c r="B1553" t="str">
        <f>"1578728070438321"</f>
        <v>1578728070438321</v>
      </c>
      <c r="C1553" t="s">
        <v>37</v>
      </c>
      <c r="D1553">
        <v>4.7934209999999897</v>
      </c>
      <c r="E1553">
        <v>0.50923009999999902</v>
      </c>
      <c r="F1553" t="s">
        <v>52</v>
      </c>
      <c r="G1553">
        <v>-329.30599999999998</v>
      </c>
      <c r="H1553" s="1">
        <v>3.4355610000000002E-6</v>
      </c>
      <c r="I1553">
        <v>284.15499999999997</v>
      </c>
      <c r="J1553">
        <v>-296.92860000000002</v>
      </c>
      <c r="K1553">
        <v>1.104671</v>
      </c>
      <c r="L1553">
        <v>284.1866</v>
      </c>
      <c r="M1553">
        <v>-0.9998918</v>
      </c>
      <c r="N1553">
        <v>0</v>
      </c>
      <c r="O1553">
        <v>-2.9321550000000001E-3</v>
      </c>
      <c r="P1553">
        <v>-0.99945130000000004</v>
      </c>
      <c r="Q1553">
        <v>2.2473590000000002E-2</v>
      </c>
      <c r="R1553">
        <v>-2.4336010000000002E-2</v>
      </c>
      <c r="S1553">
        <v>-3.0039060000000002</v>
      </c>
      <c r="T1553">
        <v>-0.10171619999999899</v>
      </c>
      <c r="U1553">
        <v>-2.9907229999999998E-3</v>
      </c>
      <c r="V1553">
        <v>-2.1422670000000001E-2</v>
      </c>
      <c r="W1553">
        <v>3.6879589999999997E-2</v>
      </c>
      <c r="X1553">
        <v>0.99909009999999998</v>
      </c>
      <c r="Y1553">
        <v>1.934063E-3</v>
      </c>
      <c r="Z1553">
        <v>1.320038E-4</v>
      </c>
      <c r="AA1553">
        <v>0.9999981</v>
      </c>
      <c r="AB1553">
        <v>43</v>
      </c>
      <c r="AC1553">
        <v>-32.377399999999902</v>
      </c>
      <c r="AD1553">
        <v>-1.104667564439</v>
      </c>
      <c r="AE1553">
        <v>-3.1600000000025802E-2</v>
      </c>
      <c r="AF1553">
        <v>6.3271903187111594E-2</v>
      </c>
      <c r="AG1553">
        <v>-1.104667564439</v>
      </c>
      <c r="AH1553">
        <v>32.3397077914099</v>
      </c>
      <c r="AI1553">
        <v>91.956358711407304</v>
      </c>
      <c r="AJ1553">
        <v>89.887902252789601</v>
      </c>
      <c r="AK1553">
        <v>32.358630901128002</v>
      </c>
    </row>
    <row r="1554" spans="1:37" x14ac:dyDescent="0.2">
      <c r="A1554" t="str">
        <f>"20200111153430465"</f>
        <v>20200111153430465</v>
      </c>
      <c r="B1554" t="str">
        <f>"1578728070457840"</f>
        <v>1578728070457840</v>
      </c>
      <c r="C1554" t="s">
        <v>37</v>
      </c>
      <c r="D1554">
        <v>4.7591650000000003</v>
      </c>
      <c r="E1554">
        <v>0.50948749999999998</v>
      </c>
      <c r="F1554" t="s">
        <v>52</v>
      </c>
      <c r="G1554">
        <v>-329.79149999999998</v>
      </c>
      <c r="H1554" s="1">
        <v>3.693143E-6</v>
      </c>
      <c r="I1554">
        <v>284.17290000000003</v>
      </c>
      <c r="J1554">
        <v>-297.2047</v>
      </c>
      <c r="K1554">
        <v>1.1046739999999999</v>
      </c>
      <c r="L1554">
        <v>284.18579999999997</v>
      </c>
      <c r="M1554">
        <v>-0.99989139999999999</v>
      </c>
      <c r="N1554">
        <v>0</v>
      </c>
      <c r="O1554">
        <v>-3.052412E-3</v>
      </c>
      <c r="P1554">
        <v>-0.99946109999999899</v>
      </c>
      <c r="Q1554">
        <v>2.2467290000000001E-2</v>
      </c>
      <c r="R1554">
        <v>-2.3935950000000001E-2</v>
      </c>
      <c r="S1554">
        <v>-3.003876</v>
      </c>
      <c r="T1554">
        <v>-0.10097339999999901</v>
      </c>
      <c r="U1554">
        <v>-1.2512210000000001E-3</v>
      </c>
      <c r="V1554">
        <v>-2.090245E-2</v>
      </c>
      <c r="W1554">
        <v>3.6872439999999999E-2</v>
      </c>
      <c r="X1554">
        <v>0.99910129999999997</v>
      </c>
      <c r="Y1554">
        <v>2.632985E-3</v>
      </c>
      <c r="Z1554">
        <v>1.4682700000000001E-4</v>
      </c>
      <c r="AA1554">
        <v>0.99999649999999995</v>
      </c>
      <c r="AB1554">
        <v>43</v>
      </c>
      <c r="AC1554">
        <v>-32.586799999999897</v>
      </c>
      <c r="AD1554">
        <v>-1.1046703068570001</v>
      </c>
      <c r="AE1554">
        <v>-1.2899999999945001E-2</v>
      </c>
      <c r="AF1554">
        <v>8.6479360439849301E-2</v>
      </c>
      <c r="AG1554">
        <v>-1.1046703068570001</v>
      </c>
      <c r="AH1554">
        <v>32.549283087661102</v>
      </c>
      <c r="AI1554">
        <v>91.9437736688851</v>
      </c>
      <c r="AJ1554">
        <v>89.847772662272007</v>
      </c>
      <c r="AK1554">
        <v>32.568137875649803</v>
      </c>
    </row>
    <row r="1555" spans="1:37" x14ac:dyDescent="0.2">
      <c r="A1555" t="str">
        <f>"20200111153430483"</f>
        <v>20200111153430483</v>
      </c>
      <c r="B1555" t="str">
        <f>"1578728070478335"</f>
        <v>1578728070478335</v>
      </c>
      <c r="C1555" t="s">
        <v>37</v>
      </c>
      <c r="D1555">
        <v>4.7351289999999997</v>
      </c>
      <c r="E1555">
        <v>0.5468423</v>
      </c>
      <c r="F1555" t="s">
        <v>52</v>
      </c>
      <c r="G1555">
        <v>-330.74930000000001</v>
      </c>
      <c r="H1555" s="1">
        <v>-1.1202159999999999E-6</v>
      </c>
      <c r="I1555">
        <v>284.20859999999999</v>
      </c>
      <c r="J1555">
        <v>-297.522999999999</v>
      </c>
      <c r="K1555">
        <v>1.104673</v>
      </c>
      <c r="L1555">
        <v>284.18470000000002</v>
      </c>
      <c r="M1555">
        <v>-0.99989089999999903</v>
      </c>
      <c r="N1555">
        <v>0</v>
      </c>
      <c r="O1555">
        <v>-3.1906690000000001E-3</v>
      </c>
      <c r="P1555">
        <v>-0.9994693</v>
      </c>
      <c r="Q1555">
        <v>2.27628E-2</v>
      </c>
      <c r="R1555">
        <v>-2.330672E-2</v>
      </c>
      <c r="S1555">
        <v>-3.0038450000000001</v>
      </c>
      <c r="T1555">
        <v>-9.8921060000000005E-2</v>
      </c>
      <c r="U1555">
        <v>2.0446779999999999E-3</v>
      </c>
      <c r="V1555">
        <v>-2.0135199999999999E-2</v>
      </c>
      <c r="W1555">
        <v>3.716597E-2</v>
      </c>
      <c r="X1555">
        <v>0.99910619999999895</v>
      </c>
      <c r="Y1555">
        <v>3.8678570000000002E-3</v>
      </c>
      <c r="Z1555">
        <v>1.6872560000000001E-4</v>
      </c>
      <c r="AA1555">
        <v>0.99999249999999995</v>
      </c>
      <c r="AB1555">
        <v>43</v>
      </c>
      <c r="AC1555">
        <v>-33.226300000000002</v>
      </c>
      <c r="AD1555">
        <v>-1.104674120216</v>
      </c>
      <c r="AE1555">
        <v>2.3899999999969099E-2</v>
      </c>
      <c r="AF1555">
        <v>0.129781575809369</v>
      </c>
      <c r="AG1555">
        <v>-1.104674120216</v>
      </c>
      <c r="AH1555">
        <v>33.189368335293103</v>
      </c>
      <c r="AI1555">
        <v>91.906313003909801</v>
      </c>
      <c r="AJ1555">
        <v>89.775955403026302</v>
      </c>
      <c r="AK1555">
        <v>33.208000823070499</v>
      </c>
    </row>
    <row r="1556" spans="1:37" x14ac:dyDescent="0.2">
      <c r="A1556" t="str">
        <f>"20200111153430505"</f>
        <v>20200111153430505</v>
      </c>
      <c r="B1556" t="str">
        <f>"1578728070497854"</f>
        <v>1578728070497854</v>
      </c>
      <c r="C1556" t="s">
        <v>37</v>
      </c>
      <c r="D1556">
        <v>4.734998</v>
      </c>
      <c r="E1556">
        <v>0.54671320000000001</v>
      </c>
      <c r="F1556" t="s">
        <v>56</v>
      </c>
      <c r="G1556">
        <v>-425.89060000000001</v>
      </c>
      <c r="H1556" s="1">
        <v>4.443233E-7</v>
      </c>
      <c r="I1556">
        <v>297.09339999999997</v>
      </c>
      <c r="J1556">
        <v>-297.97030000000001</v>
      </c>
      <c r="K1556">
        <v>1.1046750000000001</v>
      </c>
      <c r="L1556">
        <v>284.18299999999999</v>
      </c>
      <c r="M1556">
        <v>-0.99989050000000002</v>
      </c>
      <c r="N1556">
        <v>0</v>
      </c>
      <c r="O1556">
        <v>-3.3854200000000001E-3</v>
      </c>
      <c r="P1556">
        <v>-0.99947659999999905</v>
      </c>
      <c r="Q1556">
        <v>2.298E-2</v>
      </c>
      <c r="R1556">
        <v>-2.2777829999999999E-2</v>
      </c>
      <c r="S1556">
        <v>-3.0092469999999998</v>
      </c>
      <c r="T1556">
        <v>-2.5896189999999999E-2</v>
      </c>
      <c r="U1556">
        <v>0.3026123</v>
      </c>
      <c r="V1556">
        <v>-1.9411370000000001E-2</v>
      </c>
      <c r="W1556">
        <v>3.7380869999999997E-2</v>
      </c>
      <c r="X1556">
        <v>0.99911249999999996</v>
      </c>
      <c r="Y1556">
        <v>0.1034205</v>
      </c>
      <c r="Z1556">
        <v>4.7293070000000001E-4</v>
      </c>
      <c r="AA1556">
        <v>0.99463760000000001</v>
      </c>
      <c r="AB1556">
        <v>43</v>
      </c>
      <c r="AC1556">
        <v>-127.9203</v>
      </c>
      <c r="AD1556">
        <v>-1.1046745556766999</v>
      </c>
      <c r="AE1556">
        <v>12.9103999999999</v>
      </c>
      <c r="AF1556">
        <v>13.342449913847799</v>
      </c>
      <c r="AG1556">
        <v>-1.1046745556766999</v>
      </c>
      <c r="AH1556">
        <v>127.866415719804</v>
      </c>
      <c r="AI1556">
        <v>90.492309514237903</v>
      </c>
      <c r="AJ1556">
        <v>84.042927660410399</v>
      </c>
      <c r="AK1556">
        <v>128.565397928864</v>
      </c>
    </row>
    <row r="1557" spans="1:37" x14ac:dyDescent="0.2">
      <c r="A1557" t="str">
        <f>"20200111153430520"</f>
        <v>20200111153430520</v>
      </c>
      <c r="B1557" t="str">
        <f>"1578728070517375"</f>
        <v>1578728070517375</v>
      </c>
      <c r="C1557" t="s">
        <v>37</v>
      </c>
      <c r="D1557">
        <v>4.7317479999999996</v>
      </c>
      <c r="E1557">
        <v>0.54561009999999999</v>
      </c>
      <c r="F1557" t="s">
        <v>57</v>
      </c>
      <c r="G1557">
        <v>-454.87270000000001</v>
      </c>
      <c r="H1557">
        <v>0.23974609999999999</v>
      </c>
      <c r="I1557">
        <v>299.99520000000001</v>
      </c>
      <c r="J1557">
        <v>-298.25069999999999</v>
      </c>
      <c r="K1557">
        <v>1.104679</v>
      </c>
      <c r="L1557">
        <v>284.18200000000002</v>
      </c>
      <c r="M1557">
        <v>-0.9998899</v>
      </c>
      <c r="N1557">
        <v>0</v>
      </c>
      <c r="O1557">
        <v>-3.5074659999999999E-3</v>
      </c>
      <c r="P1557">
        <v>-0.99948169999999903</v>
      </c>
      <c r="Q1557">
        <v>2.2992660000000002E-2</v>
      </c>
      <c r="R1557">
        <v>-2.2533439999999998E-2</v>
      </c>
      <c r="S1557">
        <v>-3.0088499999999998</v>
      </c>
      <c r="T1557">
        <v>-1.6586179999999999E-2</v>
      </c>
      <c r="U1557">
        <v>0.30322270000000001</v>
      </c>
      <c r="V1557">
        <v>-1.904548E-2</v>
      </c>
      <c r="W1557">
        <v>3.7392309999999998E-2</v>
      </c>
      <c r="X1557">
        <v>0.99911919999999899</v>
      </c>
      <c r="Y1557">
        <v>0.103756999999999</v>
      </c>
      <c r="Z1557">
        <v>3.0454240000000001E-4</v>
      </c>
      <c r="AA1557">
        <v>0.9946026</v>
      </c>
      <c r="AB1557">
        <v>42</v>
      </c>
      <c r="AC1557">
        <v>-156.62200000000001</v>
      </c>
      <c r="AD1557">
        <v>-0.8649329</v>
      </c>
      <c r="AE1557">
        <v>15.813199999999901</v>
      </c>
      <c r="AF1557">
        <v>16.3620121998174</v>
      </c>
      <c r="AG1557">
        <v>-0.8649329</v>
      </c>
      <c r="AH1557">
        <v>156.56083988316499</v>
      </c>
      <c r="AI1557">
        <v>90.314817369324601</v>
      </c>
      <c r="AJ1557">
        <v>84.033735590678504</v>
      </c>
      <c r="AK1557">
        <v>157.41588273446399</v>
      </c>
    </row>
    <row r="1558" spans="1:37" x14ac:dyDescent="0.2">
      <c r="A1558" t="str">
        <f>"20200111153430532"</f>
        <v>20200111153430532</v>
      </c>
      <c r="B1558" t="str">
        <f>"1578728070528111"</f>
        <v>1578728070528111</v>
      </c>
      <c r="C1558" t="s">
        <v>37</v>
      </c>
      <c r="D1558">
        <v>4.7354089999999998</v>
      </c>
      <c r="E1558">
        <v>0.54531439999999998</v>
      </c>
      <c r="F1558" t="s">
        <v>57</v>
      </c>
      <c r="G1558">
        <v>-455.35759999999999</v>
      </c>
      <c r="H1558">
        <v>0.31183149999999998</v>
      </c>
      <c r="I1558">
        <v>299.5942</v>
      </c>
      <c r="J1558">
        <v>-298.49979999999999</v>
      </c>
      <c r="K1558">
        <v>1.104679</v>
      </c>
      <c r="L1558">
        <v>284.18099999999998</v>
      </c>
      <c r="M1558">
        <v>-0.99988969999999899</v>
      </c>
      <c r="N1558">
        <v>0</v>
      </c>
      <c r="O1558">
        <v>-3.615928E-3</v>
      </c>
      <c r="P1558">
        <v>-0.99948729999999997</v>
      </c>
      <c r="Q1558">
        <v>2.3152519999999999E-2</v>
      </c>
      <c r="R1558">
        <v>-2.212035E-2</v>
      </c>
      <c r="S1558">
        <v>-3.0085139999999999</v>
      </c>
      <c r="T1558">
        <v>-1.5182380000000001E-2</v>
      </c>
      <c r="U1558">
        <v>0.2951355</v>
      </c>
      <c r="V1558">
        <v>-1.8523689999999999E-2</v>
      </c>
      <c r="W1558">
        <v>3.7550979999999998E-2</v>
      </c>
      <c r="X1558">
        <v>0.99912299999999998</v>
      </c>
      <c r="Y1558">
        <v>0.1012285</v>
      </c>
      <c r="Z1558">
        <v>2.7301659999999999E-4</v>
      </c>
      <c r="AA1558">
        <v>0.99486319999999995</v>
      </c>
      <c r="AB1558">
        <v>42</v>
      </c>
      <c r="AC1558">
        <v>-156.8578</v>
      </c>
      <c r="AD1558">
        <v>-0.79284750000000004</v>
      </c>
      <c r="AE1558">
        <v>15.4132</v>
      </c>
      <c r="AF1558">
        <v>15.9799402241321</v>
      </c>
      <c r="AG1558">
        <v>-0.79284750000000004</v>
      </c>
      <c r="AH1558">
        <v>156.79706789004101</v>
      </c>
      <c r="AI1558">
        <v>90.288221848334899</v>
      </c>
      <c r="AJ1558">
        <v>84.180804435804902</v>
      </c>
      <c r="AK1558">
        <v>157.61125466044399</v>
      </c>
    </row>
    <row r="1559" spans="1:37" x14ac:dyDescent="0.2">
      <c r="A1559" t="str">
        <f>"20200111153430549"</f>
        <v>20200111153430549</v>
      </c>
      <c r="B1559" t="str">
        <f>"1578728070537871"</f>
        <v>1578728070537871</v>
      </c>
      <c r="C1559" t="s">
        <v>37</v>
      </c>
      <c r="D1559">
        <v>4.7101629999999997</v>
      </c>
      <c r="E1559">
        <v>0.54520539999999995</v>
      </c>
      <c r="F1559" t="s">
        <v>57</v>
      </c>
      <c r="G1559">
        <v>-455.35759999999999</v>
      </c>
      <c r="H1559">
        <v>0.37131019999999998</v>
      </c>
      <c r="I1559">
        <v>299.51530000000002</v>
      </c>
      <c r="J1559">
        <v>-298.78410000000002</v>
      </c>
      <c r="K1559">
        <v>1.1046799999999899</v>
      </c>
      <c r="L1559">
        <v>284.17989999999998</v>
      </c>
      <c r="M1559">
        <v>-0.99988909999999998</v>
      </c>
      <c r="N1559">
        <v>0</v>
      </c>
      <c r="O1559">
        <v>-3.7394080000000001E-3</v>
      </c>
      <c r="P1559">
        <v>-0.99949900000000003</v>
      </c>
      <c r="Q1559">
        <v>2.3185219999999999E-2</v>
      </c>
      <c r="R1559">
        <v>-2.1545559999999998E-2</v>
      </c>
      <c r="S1559">
        <v>-3.00839199999999</v>
      </c>
      <c r="T1559">
        <v>-1.406515E-2</v>
      </c>
      <c r="U1559">
        <v>0.29409790000000002</v>
      </c>
      <c r="V1559">
        <v>-1.7825230000000001E-2</v>
      </c>
      <c r="W1559">
        <v>3.758243E-2</v>
      </c>
      <c r="X1559">
        <v>0.99913449999999904</v>
      </c>
      <c r="Y1559">
        <v>0.1010156</v>
      </c>
      <c r="Z1559">
        <v>2.5302030000000001E-4</v>
      </c>
      <c r="AA1559">
        <v>0.99488480000000001</v>
      </c>
      <c r="AB1559">
        <v>42</v>
      </c>
      <c r="AC1559">
        <v>-156.573499999999</v>
      </c>
      <c r="AD1559">
        <v>-0.73336979999999896</v>
      </c>
      <c r="AE1559">
        <v>15.3354</v>
      </c>
      <c r="AF1559">
        <v>15.9204998452774</v>
      </c>
      <c r="AG1559">
        <v>-0.73336979999999896</v>
      </c>
      <c r="AH1559">
        <v>156.51165276943399</v>
      </c>
      <c r="AI1559">
        <v>90.2670917809657</v>
      </c>
      <c r="AJ1559">
        <v>84.191801816912999</v>
      </c>
      <c r="AK1559">
        <v>157.32100177410101</v>
      </c>
    </row>
    <row r="1560" spans="1:37" x14ac:dyDescent="0.2">
      <c r="A1560" t="str">
        <f>"20200111153430562"</f>
        <v>20200111153430562</v>
      </c>
      <c r="B1560" t="str">
        <f>"1578728070557391"</f>
        <v>1578728070557391</v>
      </c>
      <c r="C1560" t="s">
        <v>37</v>
      </c>
      <c r="D1560">
        <v>4.6905839999999897</v>
      </c>
      <c r="E1560">
        <v>0.54493840000000004</v>
      </c>
      <c r="F1560" t="s">
        <v>57</v>
      </c>
      <c r="G1560">
        <v>-455.35770000000002</v>
      </c>
      <c r="H1560">
        <v>0.47413729999999998</v>
      </c>
      <c r="I1560">
        <v>299.53050000000002</v>
      </c>
      <c r="J1560">
        <v>-299.0299</v>
      </c>
      <c r="K1560">
        <v>1.104678</v>
      </c>
      <c r="L1560">
        <v>284.1789</v>
      </c>
      <c r="M1560">
        <v>-0.99988869999999896</v>
      </c>
      <c r="N1560">
        <v>0</v>
      </c>
      <c r="O1560">
        <v>-3.8463209999999898E-3</v>
      </c>
      <c r="P1560">
        <v>-0.99949869999999996</v>
      </c>
      <c r="Q1560">
        <v>2.326547E-2</v>
      </c>
      <c r="R1560">
        <v>-2.146986E-2</v>
      </c>
      <c r="S1560">
        <v>-3.0081479999999998</v>
      </c>
      <c r="T1560">
        <v>-1.211393E-2</v>
      </c>
      <c r="U1560">
        <v>0.29492190000000001</v>
      </c>
      <c r="V1560">
        <v>-1.7642709999999999E-2</v>
      </c>
      <c r="W1560">
        <v>3.7661060000000003E-2</v>
      </c>
      <c r="X1560">
        <v>0.99913479999999999</v>
      </c>
      <c r="Y1560">
        <v>0.1014</v>
      </c>
      <c r="Z1560">
        <v>2.191362E-4</v>
      </c>
      <c r="AA1560">
        <v>0.99484570000000005</v>
      </c>
      <c r="AB1560">
        <v>42</v>
      </c>
      <c r="AC1560">
        <v>-156.3278</v>
      </c>
      <c r="AD1560">
        <v>-0.63054069999999995</v>
      </c>
      <c r="AE1560">
        <v>15.351599999999999</v>
      </c>
      <c r="AF1560">
        <v>15.9525787508276</v>
      </c>
      <c r="AG1560">
        <v>-0.63054069999999995</v>
      </c>
      <c r="AH1560">
        <v>156.26507211360001</v>
      </c>
      <c r="AI1560">
        <v>90.229995944585099</v>
      </c>
      <c r="AJ1560">
        <v>84.171058595636296</v>
      </c>
      <c r="AK1560">
        <v>157.07849984337199</v>
      </c>
    </row>
    <row r="1561" spans="1:37" x14ac:dyDescent="0.2">
      <c r="A1561" t="str">
        <f>"20200111153430582"</f>
        <v>20200111153430582</v>
      </c>
      <c r="B1561" t="str">
        <f>"1578728070577886"</f>
        <v>1578728070577886</v>
      </c>
      <c r="C1561" t="s">
        <v>37</v>
      </c>
      <c r="D1561">
        <v>4.6648940000000003</v>
      </c>
      <c r="E1561">
        <v>0.54481829999999998</v>
      </c>
      <c r="F1561" t="s">
        <v>57</v>
      </c>
      <c r="G1561">
        <v>-455.35770000000002</v>
      </c>
      <c r="H1561">
        <v>0.49175829999999998</v>
      </c>
      <c r="I1561">
        <v>299.39960000000002</v>
      </c>
      <c r="J1561">
        <v>-299.43009999999998</v>
      </c>
      <c r="K1561">
        <v>1.1046769999999999</v>
      </c>
      <c r="L1561">
        <v>284.17720000000003</v>
      </c>
      <c r="M1561">
        <v>-0.99988829999999995</v>
      </c>
      <c r="N1561">
        <v>0</v>
      </c>
      <c r="O1561">
        <v>-4.0203359999999898E-3</v>
      </c>
      <c r="P1561">
        <v>-0.99950490000000003</v>
      </c>
      <c r="Q1561">
        <v>2.3247629999999998E-2</v>
      </c>
      <c r="R1561">
        <v>-2.1217570000000002E-2</v>
      </c>
      <c r="S1561">
        <v>-3.008057</v>
      </c>
      <c r="T1561">
        <v>-1.179361E-2</v>
      </c>
      <c r="U1561">
        <v>0.2928772</v>
      </c>
      <c r="V1561">
        <v>-1.7216800000000001E-2</v>
      </c>
      <c r="W1561">
        <v>3.7641519999999998E-2</v>
      </c>
      <c r="X1561">
        <v>0.999143</v>
      </c>
      <c r="Y1561">
        <v>0.1009063</v>
      </c>
      <c r="Z1561">
        <v>2.1307060000000001E-4</v>
      </c>
      <c r="AA1561">
        <v>0.99489590000000006</v>
      </c>
      <c r="AB1561">
        <v>42</v>
      </c>
      <c r="AC1561">
        <v>-155.92760000000001</v>
      </c>
      <c r="AD1561">
        <v>-0.61291870000000004</v>
      </c>
      <c r="AE1561">
        <v>15.222399999999899</v>
      </c>
      <c r="AF1561">
        <v>15.8489806872162</v>
      </c>
      <c r="AG1561">
        <v>-0.61291870000000004</v>
      </c>
      <c r="AH1561">
        <v>155.86274857476101</v>
      </c>
      <c r="AI1561">
        <v>90.224154363340304</v>
      </c>
      <c r="AJ1561">
        <v>84.193807330526596</v>
      </c>
      <c r="AK1561">
        <v>156.66768094101599</v>
      </c>
    </row>
    <row r="1562" spans="1:37" x14ac:dyDescent="0.2">
      <c r="A1562" t="str">
        <f>"20200111153430595"</f>
        <v>20200111153430595</v>
      </c>
      <c r="B1562" t="str">
        <f>"1578728070587647"</f>
        <v>1578728070587647</v>
      </c>
      <c r="C1562" t="s">
        <v>37</v>
      </c>
      <c r="D1562">
        <v>4.6560379999999997</v>
      </c>
      <c r="E1562">
        <v>0.54450669999999901</v>
      </c>
      <c r="F1562" t="s">
        <v>57</v>
      </c>
      <c r="G1562">
        <v>-455.35770000000002</v>
      </c>
      <c r="H1562">
        <v>0.51657920000000002</v>
      </c>
      <c r="I1562">
        <v>299.35629999999998</v>
      </c>
      <c r="J1562">
        <v>-299.6859</v>
      </c>
      <c r="K1562">
        <v>1.104678</v>
      </c>
      <c r="L1562">
        <v>284.17599999999999</v>
      </c>
      <c r="M1562">
        <v>-0.99988759999999999</v>
      </c>
      <c r="N1562">
        <v>0</v>
      </c>
      <c r="O1562">
        <v>-4.1316549999999997E-3</v>
      </c>
      <c r="P1562">
        <v>-0.9995039</v>
      </c>
      <c r="Q1562">
        <v>2.3291699999999999E-2</v>
      </c>
      <c r="R1562">
        <v>-2.1201390000000001E-2</v>
      </c>
      <c r="S1562">
        <v>-3.007965</v>
      </c>
      <c r="T1562">
        <v>-1.1344669999999999E-2</v>
      </c>
      <c r="U1562">
        <v>0.29281620000000003</v>
      </c>
      <c r="V1562">
        <v>-1.7088610000000001E-2</v>
      </c>
      <c r="W1562">
        <v>3.7683929999999997E-2</v>
      </c>
      <c r="X1562">
        <v>0.99914360000000002</v>
      </c>
      <c r="Y1562">
        <v>0.10099999999999899</v>
      </c>
      <c r="Z1562">
        <v>2.055615E-4</v>
      </c>
      <c r="AA1562">
        <v>0.99488639999999995</v>
      </c>
      <c r="AB1562">
        <v>42</v>
      </c>
      <c r="AC1562">
        <v>-155.67179999999999</v>
      </c>
      <c r="AD1562">
        <v>-0.58809880000000003</v>
      </c>
      <c r="AE1562">
        <v>15.1802999999999</v>
      </c>
      <c r="AF1562">
        <v>15.823195686116399</v>
      </c>
      <c r="AG1562">
        <v>-0.58809880000000003</v>
      </c>
      <c r="AH1562">
        <v>155.60554487511101</v>
      </c>
      <c r="AI1562">
        <v>90.215432859499302</v>
      </c>
      <c r="AJ1562">
        <v>84.193672893115206</v>
      </c>
      <c r="AK1562">
        <v>156.409094933126</v>
      </c>
    </row>
    <row r="1563" spans="1:37" x14ac:dyDescent="0.2">
      <c r="A1563" t="str">
        <f>"20200111153430608"</f>
        <v>20200111153430608</v>
      </c>
      <c r="B1563" t="str">
        <f>"1578728070598384"</f>
        <v>1578728070598384</v>
      </c>
      <c r="C1563" t="s">
        <v>37</v>
      </c>
      <c r="D1563">
        <v>4.6820250000000003</v>
      </c>
      <c r="E1563">
        <v>0.54435080000000002</v>
      </c>
      <c r="F1563" t="s">
        <v>57</v>
      </c>
      <c r="G1563">
        <v>-455.35770000000002</v>
      </c>
      <c r="H1563">
        <v>0.55052760000000001</v>
      </c>
      <c r="I1563">
        <v>299.200999999999</v>
      </c>
      <c r="J1563">
        <v>-299.90320000000003</v>
      </c>
      <c r="K1563">
        <v>1.104679</v>
      </c>
      <c r="L1563">
        <v>284.17500000000001</v>
      </c>
      <c r="M1563">
        <v>-0.99988729999999904</v>
      </c>
      <c r="N1563">
        <v>0</v>
      </c>
      <c r="O1563">
        <v>-4.2264090000000004E-3</v>
      </c>
      <c r="P1563">
        <v>-0.99950380000000005</v>
      </c>
      <c r="Q1563">
        <v>2.3326199999999998E-2</v>
      </c>
      <c r="R1563">
        <v>-2.1170749999999999E-2</v>
      </c>
      <c r="S1563">
        <v>-3.0079039999999999</v>
      </c>
      <c r="T1563">
        <v>-1.070714E-2</v>
      </c>
      <c r="U1563">
        <v>0.29031370000000001</v>
      </c>
      <c r="V1563">
        <v>-1.6963760000000001E-2</v>
      </c>
      <c r="W1563">
        <v>3.7716810000000003E-2</v>
      </c>
      <c r="X1563">
        <v>0.99914449999999999</v>
      </c>
      <c r="Y1563">
        <v>0.1002763</v>
      </c>
      <c r="Z1563">
        <v>1.9307290000000001E-4</v>
      </c>
      <c r="AA1563">
        <v>0.99495959999999894</v>
      </c>
      <c r="AB1563">
        <v>42</v>
      </c>
      <c r="AC1563">
        <v>-155.4545</v>
      </c>
      <c r="AD1563">
        <v>-0.55415139999999996</v>
      </c>
      <c r="AE1563">
        <v>15.0259999999999</v>
      </c>
      <c r="AF1563">
        <v>15.682750812817799</v>
      </c>
      <c r="AG1563">
        <v>-0.55415139999999996</v>
      </c>
      <c r="AH1563">
        <v>155.38764242127701</v>
      </c>
      <c r="AI1563">
        <v>90.203297507834506</v>
      </c>
      <c r="AJ1563">
        <v>84.236845476959004</v>
      </c>
      <c r="AK1563">
        <v>156.17802397928401</v>
      </c>
    </row>
    <row r="1564" spans="1:37" x14ac:dyDescent="0.2">
      <c r="A1564" t="str">
        <f>"20200111153430621"</f>
        <v>20200111153430621</v>
      </c>
      <c r="B1564" t="str">
        <f>"1578728070617903"</f>
        <v>1578728070617903</v>
      </c>
      <c r="C1564" t="s">
        <v>37</v>
      </c>
      <c r="D1564">
        <v>4.6665229999999998</v>
      </c>
      <c r="E1564">
        <v>0.54388409999999998</v>
      </c>
      <c r="F1564" t="s">
        <v>57</v>
      </c>
      <c r="G1564">
        <v>-455.35770000000002</v>
      </c>
      <c r="H1564">
        <v>0.58803749999999999</v>
      </c>
      <c r="I1564">
        <v>299.12380000000002</v>
      </c>
      <c r="J1564">
        <v>-300.15550000000002</v>
      </c>
      <c r="K1564">
        <v>1.104678</v>
      </c>
      <c r="L1564">
        <v>284.1739</v>
      </c>
      <c r="M1564">
        <v>-0.99988690000000002</v>
      </c>
      <c r="N1564">
        <v>0</v>
      </c>
      <c r="O1564">
        <v>-4.3359409999999899E-3</v>
      </c>
      <c r="P1564">
        <v>-0.99950609999999995</v>
      </c>
      <c r="Q1564">
        <v>2.3403050000000002E-2</v>
      </c>
      <c r="R1564">
        <v>-2.097657E-2</v>
      </c>
      <c r="S1564">
        <v>-3.0079039999999999</v>
      </c>
      <c r="T1564">
        <v>-9.9962950000000005E-3</v>
      </c>
      <c r="U1564">
        <v>0.28924559999999999</v>
      </c>
      <c r="V1564">
        <v>-1.6660230000000002E-2</v>
      </c>
      <c r="W1564">
        <v>3.7792569999999998E-2</v>
      </c>
      <c r="X1564">
        <v>0.99914669999999906</v>
      </c>
      <c r="Y1564">
        <v>0.10003529999999999</v>
      </c>
      <c r="Z1564">
        <v>1.8022160000000001E-4</v>
      </c>
      <c r="AA1564">
        <v>0.99498390000000003</v>
      </c>
      <c r="AB1564">
        <v>42</v>
      </c>
      <c r="AC1564">
        <v>-155.2022</v>
      </c>
      <c r="AD1564">
        <v>-0.51664049999999995</v>
      </c>
      <c r="AE1564">
        <v>14.9499</v>
      </c>
      <c r="AF1564">
        <v>15.6226052881399</v>
      </c>
      <c r="AG1564">
        <v>-0.51664049999999995</v>
      </c>
      <c r="AH1564">
        <v>155.134208905837</v>
      </c>
      <c r="AI1564">
        <v>90.189850113466505</v>
      </c>
      <c r="AJ1564">
        <v>84.249483792256399</v>
      </c>
      <c r="AK1564">
        <v>155.919708459948</v>
      </c>
    </row>
    <row r="1565" spans="1:37" x14ac:dyDescent="0.2">
      <c r="A1565" t="str">
        <f>"20200111153430634"</f>
        <v>20200111153430634</v>
      </c>
      <c r="B1565" t="str">
        <f>"1578728070628312"</f>
        <v>1578728070628312</v>
      </c>
      <c r="C1565" t="s">
        <v>37</v>
      </c>
      <c r="D1565">
        <v>4.7334430000000003</v>
      </c>
      <c r="E1565">
        <v>0.54388409999999998</v>
      </c>
      <c r="F1565" t="s">
        <v>57</v>
      </c>
      <c r="G1565">
        <v>-455.35770000000002</v>
      </c>
      <c r="H1565">
        <v>0.4737654</v>
      </c>
      <c r="I1565">
        <v>298.93020000000001</v>
      </c>
      <c r="J1565">
        <v>-300.41109999999998</v>
      </c>
      <c r="K1565">
        <v>1.104681</v>
      </c>
      <c r="L1565">
        <v>284.17270000000002</v>
      </c>
      <c r="M1565">
        <v>-0.99988650000000001</v>
      </c>
      <c r="N1565">
        <v>0</v>
      </c>
      <c r="O1565">
        <v>-4.4460609999999899E-3</v>
      </c>
      <c r="P1565">
        <v>-0.99949979999999905</v>
      </c>
      <c r="Q1565">
        <v>2.3667899999999999E-2</v>
      </c>
      <c r="R1565">
        <v>-2.0978360000000001E-2</v>
      </c>
      <c r="S1565">
        <v>-3.0078429999999998</v>
      </c>
      <c r="T1565">
        <v>-1.222694E-2</v>
      </c>
      <c r="U1565">
        <v>0.28598020000000002</v>
      </c>
      <c r="V1565">
        <v>-1.655239E-2</v>
      </c>
      <c r="W1565">
        <v>3.8056060000000003E-2</v>
      </c>
      <c r="X1565">
        <v>0.99913850000000004</v>
      </c>
      <c r="Y1565">
        <v>9.9076090000000006E-2</v>
      </c>
      <c r="Z1565">
        <v>2.18954599999999E-4</v>
      </c>
      <c r="AA1565">
        <v>0.99507979999999996</v>
      </c>
      <c r="AB1565">
        <v>42</v>
      </c>
      <c r="AC1565">
        <v>-154.94659999999999</v>
      </c>
      <c r="AD1565">
        <v>-0.63091560000000002</v>
      </c>
      <c r="AE1565">
        <v>14.757499999999901</v>
      </c>
      <c r="AF1565">
        <v>15.4460737432301</v>
      </c>
      <c r="AG1565">
        <v>-0.63091560000000002</v>
      </c>
      <c r="AH1565">
        <v>154.87690394103501</v>
      </c>
      <c r="AI1565">
        <v>90.232249995111502</v>
      </c>
      <c r="AJ1565">
        <v>84.304650663536407</v>
      </c>
      <c r="AK1565">
        <v>155.64650533480099</v>
      </c>
    </row>
    <row r="1566" spans="1:37" x14ac:dyDescent="0.2">
      <c r="A1566" t="str">
        <f>"20200111153430649"</f>
        <v>20200111153430649</v>
      </c>
      <c r="B1566" t="str">
        <f>"1578728070638060"</f>
        <v>1578728070638060</v>
      </c>
      <c r="C1566" t="s">
        <v>37</v>
      </c>
      <c r="D1566">
        <v>4.6413849999999996</v>
      </c>
      <c r="E1566">
        <v>0.5050443</v>
      </c>
      <c r="F1566" t="s">
        <v>57</v>
      </c>
      <c r="G1566">
        <v>-455.35770000000002</v>
      </c>
      <c r="H1566">
        <v>0.51109700000000002</v>
      </c>
      <c r="I1566">
        <v>298.90839999999997</v>
      </c>
      <c r="J1566">
        <v>-300.6798</v>
      </c>
      <c r="K1566">
        <v>1.1046819999999999</v>
      </c>
      <c r="L1566">
        <v>284.17140000000001</v>
      </c>
      <c r="M1566">
        <v>-0.99988589999999999</v>
      </c>
      <c r="N1566">
        <v>0</v>
      </c>
      <c r="O1566">
        <v>-4.5597390000000002E-3</v>
      </c>
      <c r="P1566">
        <v>-0.99950450000000002</v>
      </c>
      <c r="Q1566">
        <v>2.4177460000000001E-2</v>
      </c>
      <c r="R1566">
        <v>-2.0156770000000001E-2</v>
      </c>
      <c r="S1566">
        <v>-3.0077509999999998</v>
      </c>
      <c r="T1566">
        <v>-1.152217E-2</v>
      </c>
      <c r="U1566">
        <v>0.2860413</v>
      </c>
      <c r="V1566">
        <v>-1.561686E-2</v>
      </c>
      <c r="W1566">
        <v>3.8564479999999998E-2</v>
      </c>
      <c r="X1566">
        <v>0.99913410000000002</v>
      </c>
      <c r="Y1566">
        <v>9.92122E-2</v>
      </c>
      <c r="Z1566">
        <v>2.0703479999999901E-4</v>
      </c>
      <c r="AA1566">
        <v>0.99506629999999996</v>
      </c>
      <c r="AB1566">
        <v>42</v>
      </c>
      <c r="AC1566">
        <v>-154.67789999999999</v>
      </c>
      <c r="AD1566">
        <v>-0.59358499999999903</v>
      </c>
      <c r="AE1566">
        <v>14.736999999999901</v>
      </c>
      <c r="AF1566">
        <v>15.4419854031617</v>
      </c>
      <c r="AG1566">
        <v>-0.59358499999999903</v>
      </c>
      <c r="AH1566">
        <v>154.60683145754001</v>
      </c>
      <c r="AI1566">
        <v>90.218886646621002</v>
      </c>
      <c r="AJ1566">
        <v>84.296267539191703</v>
      </c>
      <c r="AK1566">
        <v>155.37721708694599</v>
      </c>
    </row>
    <row r="1567" spans="1:37" x14ac:dyDescent="0.2">
      <c r="A1567" t="str">
        <f>"20200111153430662"</f>
        <v>20200111153430662</v>
      </c>
      <c r="B1567" t="str">
        <f>"1578728070657580"</f>
        <v>1578728070657580</v>
      </c>
      <c r="C1567" t="s">
        <v>37</v>
      </c>
      <c r="D1567">
        <v>4.6751040000000001</v>
      </c>
      <c r="E1567">
        <v>0.49883080000000002</v>
      </c>
      <c r="F1567" t="s">
        <v>52</v>
      </c>
      <c r="G1567">
        <v>-335.01260000000002</v>
      </c>
      <c r="H1567" s="1">
        <v>1.1612569999999899E-6</v>
      </c>
      <c r="I1567">
        <v>283.91669999999999</v>
      </c>
      <c r="J1567">
        <v>-300.9314</v>
      </c>
      <c r="K1567">
        <v>1.104676</v>
      </c>
      <c r="L1567">
        <v>284.17020000000002</v>
      </c>
      <c r="M1567">
        <v>-0.99988559999999904</v>
      </c>
      <c r="N1567">
        <v>0</v>
      </c>
      <c r="O1567">
        <v>-4.6641059999999899E-3</v>
      </c>
      <c r="P1567">
        <v>-0.99950219999999901</v>
      </c>
      <c r="Q1567">
        <v>2.4362849999999998E-2</v>
      </c>
      <c r="R1567">
        <v>-2.0052670000000002E-2</v>
      </c>
      <c r="S1567">
        <v>-3.003387</v>
      </c>
      <c r="T1567">
        <v>-9.6635940000000004E-2</v>
      </c>
      <c r="U1567">
        <v>-2.2277829999999998E-2</v>
      </c>
      <c r="V1567">
        <v>-1.5408069999999999E-2</v>
      </c>
      <c r="W1567">
        <v>3.8748409999999997E-2</v>
      </c>
      <c r="X1567">
        <v>0.99913019999999997</v>
      </c>
      <c r="Y1567">
        <v>-2.753812E-3</v>
      </c>
      <c r="Z1567">
        <v>1.057535E-4</v>
      </c>
      <c r="AA1567">
        <v>0.9999962</v>
      </c>
      <c r="AB1567">
        <v>42</v>
      </c>
      <c r="AC1567">
        <v>-34.081200000000003</v>
      </c>
      <c r="AD1567">
        <v>-1.1046748387430001</v>
      </c>
      <c r="AE1567">
        <v>-0.25350000000002998</v>
      </c>
      <c r="AF1567">
        <v>-9.4423259341416904E-2</v>
      </c>
      <c r="AG1567">
        <v>-1.1046748387430001</v>
      </c>
      <c r="AH1567">
        <v>34.046244543623899</v>
      </c>
      <c r="AI1567">
        <v>91.858377239403694</v>
      </c>
      <c r="AJ1567">
        <v>90.158902705715903</v>
      </c>
      <c r="AK1567">
        <v>34.064292004612398</v>
      </c>
    </row>
    <row r="1568" spans="1:37" x14ac:dyDescent="0.2">
      <c r="A1568" t="str">
        <f>"20200111153430675"</f>
        <v>20200111153430675</v>
      </c>
      <c r="B1568" t="str">
        <f>"1578728070668316"</f>
        <v>1578728070668316</v>
      </c>
      <c r="C1568" t="s">
        <v>37</v>
      </c>
      <c r="D1568">
        <v>4.6352659999999997</v>
      </c>
      <c r="E1568">
        <v>0.49836849999999999</v>
      </c>
      <c r="F1568" t="s">
        <v>52</v>
      </c>
      <c r="G1568">
        <v>-342.3895</v>
      </c>
      <c r="H1568" s="1">
        <v>-2.6522029999999901E-7</v>
      </c>
      <c r="I1568">
        <v>283.18529999999998</v>
      </c>
      <c r="J1568">
        <v>-301.18860000000001</v>
      </c>
      <c r="K1568">
        <v>1.1046739999999999</v>
      </c>
      <c r="L1568">
        <v>284.16890000000001</v>
      </c>
      <c r="M1568">
        <v>-0.99988509999999997</v>
      </c>
      <c r="N1568">
        <v>0</v>
      </c>
      <c r="O1568">
        <v>-4.76486599999999E-3</v>
      </c>
      <c r="P1568">
        <v>-0.99950589999999995</v>
      </c>
      <c r="Q1568">
        <v>2.431436E-2</v>
      </c>
      <c r="R1568">
        <v>-1.993431E-2</v>
      </c>
      <c r="S1568">
        <v>-3.0020449999999999</v>
      </c>
      <c r="T1568">
        <v>-7.9991339999999994E-2</v>
      </c>
      <c r="U1568">
        <v>-7.1319579999999994E-2</v>
      </c>
      <c r="V1568">
        <v>-1.5188470000000001E-2</v>
      </c>
      <c r="W1568">
        <v>3.8698370000000003E-2</v>
      </c>
      <c r="X1568">
        <v>0.99913549999999995</v>
      </c>
      <c r="Y1568">
        <v>-1.8980980000000001E-2</v>
      </c>
      <c r="Z1568">
        <v>-1.2586610000000001E-4</v>
      </c>
      <c r="AA1568">
        <v>0.99981980000000004</v>
      </c>
      <c r="AB1568">
        <v>42</v>
      </c>
      <c r="AC1568">
        <v>-41.200899999999898</v>
      </c>
      <c r="AD1568">
        <v>-1.1046742652203001</v>
      </c>
      <c r="AE1568">
        <v>-0.98360000000002401</v>
      </c>
      <c r="AF1568">
        <v>-0.78668652482660895</v>
      </c>
      <c r="AG1568">
        <v>-1.1046742652203001</v>
      </c>
      <c r="AH1568">
        <v>41.175536078497998</v>
      </c>
      <c r="AI1568">
        <v>91.536505895189805</v>
      </c>
      <c r="AJ1568">
        <v>91.094541535577093</v>
      </c>
      <c r="AK1568">
        <v>41.197863443050899</v>
      </c>
    </row>
    <row r="1569" spans="1:37" x14ac:dyDescent="0.2">
      <c r="A1569" t="str">
        <f>"20200111153430687"</f>
        <v>20200111153430687</v>
      </c>
      <c r="B1569" t="str">
        <f>"1578728070678076"</f>
        <v>1578728070678076</v>
      </c>
      <c r="C1569" t="s">
        <v>37</v>
      </c>
      <c r="D1569">
        <v>4.6593470000000003</v>
      </c>
      <c r="E1569">
        <v>0.49870720000000002</v>
      </c>
      <c r="F1569" t="s">
        <v>52</v>
      </c>
      <c r="G1569">
        <v>-343.39159999999998</v>
      </c>
      <c r="H1569" s="1">
        <v>2.6804379999999998E-7</v>
      </c>
      <c r="I1569">
        <v>283.12209999999999</v>
      </c>
      <c r="J1569">
        <v>-301.40980000000002</v>
      </c>
      <c r="K1569">
        <v>1.10467</v>
      </c>
      <c r="L1569">
        <v>284.1678</v>
      </c>
      <c r="M1569">
        <v>-0.99988449999999995</v>
      </c>
      <c r="N1569">
        <v>0</v>
      </c>
      <c r="O1569">
        <v>-4.844498E-3</v>
      </c>
      <c r="P1569">
        <v>-0.99950229999999995</v>
      </c>
      <c r="Q1569">
        <v>2.4460630000000001E-2</v>
      </c>
      <c r="R1569">
        <v>-1.992232E-2</v>
      </c>
      <c r="S1569">
        <v>-3.0019230000000001</v>
      </c>
      <c r="T1569">
        <v>-7.8576090000000001E-2</v>
      </c>
      <c r="U1569">
        <v>-7.4462890000000004E-2</v>
      </c>
      <c r="V1569">
        <v>-1.509691E-2</v>
      </c>
      <c r="W1569">
        <v>3.8843699999999898E-2</v>
      </c>
      <c r="X1569">
        <v>0.99913129999999994</v>
      </c>
      <c r="Y1569">
        <v>-1.9948469999999999E-2</v>
      </c>
      <c r="Z1569">
        <v>-1.3421759999999999E-4</v>
      </c>
      <c r="AA1569">
        <v>0.99980100000000005</v>
      </c>
      <c r="AB1569">
        <v>42</v>
      </c>
      <c r="AC1569">
        <v>-41.9817999999999</v>
      </c>
      <c r="AD1569">
        <v>-1.1046697319562</v>
      </c>
      <c r="AE1569">
        <v>-1.0457000000000101</v>
      </c>
      <c r="AF1569">
        <v>-0.84170345958577697</v>
      </c>
      <c r="AG1569">
        <v>-1.1046697319562</v>
      </c>
      <c r="AH1569">
        <v>41.957341376569801</v>
      </c>
      <c r="AI1569">
        <v>91.507854636801696</v>
      </c>
      <c r="AJ1569">
        <v>91.149252703663706</v>
      </c>
      <c r="AK1569">
        <v>41.980319857292599</v>
      </c>
    </row>
    <row r="1570" spans="1:37" x14ac:dyDescent="0.2">
      <c r="A1570" t="str">
        <f>"20200111153430700"</f>
        <v>20200111153430700</v>
      </c>
      <c r="B1570" t="str">
        <f>"1578728070687836"</f>
        <v>1578728070687836</v>
      </c>
      <c r="C1570" t="s">
        <v>37</v>
      </c>
      <c r="D1570">
        <v>4.606058</v>
      </c>
      <c r="E1570">
        <v>0.49881249999999999</v>
      </c>
      <c r="F1570" t="s">
        <v>52</v>
      </c>
      <c r="G1570">
        <v>-344.35750000000002</v>
      </c>
      <c r="H1570" s="1">
        <v>7.8203329999999998E-7</v>
      </c>
      <c r="I1570">
        <v>283.14089999999999</v>
      </c>
      <c r="J1570">
        <v>-301.64350000000002</v>
      </c>
      <c r="K1570">
        <v>1.1046659999999999</v>
      </c>
      <c r="L1570">
        <v>284.16660000000002</v>
      </c>
      <c r="M1570">
        <v>-0.999884199999999</v>
      </c>
      <c r="N1570">
        <v>0</v>
      </c>
      <c r="O1570">
        <v>-4.92505299999999E-3</v>
      </c>
      <c r="P1570">
        <v>-0.99949560000000004</v>
      </c>
      <c r="Q1570">
        <v>2.439815E-2</v>
      </c>
      <c r="R1570">
        <v>-2.0333629999999998E-2</v>
      </c>
      <c r="S1570">
        <v>-3.0019230000000001</v>
      </c>
      <c r="T1570">
        <v>-7.7213290000000004E-2</v>
      </c>
      <c r="U1570">
        <v>-7.1777339999999995E-2</v>
      </c>
      <c r="V1570">
        <v>-1.542663E-2</v>
      </c>
      <c r="W1570">
        <v>3.8779849999999998E-2</v>
      </c>
      <c r="X1570">
        <v>0.99912869999999998</v>
      </c>
      <c r="Y1570">
        <v>-1.8974540000000002E-2</v>
      </c>
      <c r="Z1570">
        <v>-1.17299E-4</v>
      </c>
      <c r="AA1570">
        <v>0.99981989999999998</v>
      </c>
      <c r="AB1570">
        <v>42</v>
      </c>
      <c r="AC1570">
        <v>-42.713999999999999</v>
      </c>
      <c r="AD1570">
        <v>-1.10466521796669</v>
      </c>
      <c r="AE1570">
        <v>-1.02570000000002</v>
      </c>
      <c r="AF1570">
        <v>-0.81475240918678005</v>
      </c>
      <c r="AG1570">
        <v>-1.10466521796669</v>
      </c>
      <c r="AH1570">
        <v>42.689997768129501</v>
      </c>
      <c r="AI1570">
        <v>91.482010323909805</v>
      </c>
      <c r="AJ1570">
        <v>91.093375734888099</v>
      </c>
      <c r="AK1570">
        <v>42.7120593764216</v>
      </c>
    </row>
    <row r="1571" spans="1:37" x14ac:dyDescent="0.2">
      <c r="A1571" t="str">
        <f>"20200111153430716"</f>
        <v>20200111153430716</v>
      </c>
      <c r="B1571" t="str">
        <f>"1578728070708331"</f>
        <v>1578728070708331</v>
      </c>
      <c r="C1571" t="s">
        <v>37</v>
      </c>
      <c r="D1571">
        <v>4.5859629999999996</v>
      </c>
      <c r="E1571">
        <v>0.49939309999999998</v>
      </c>
      <c r="F1571" t="s">
        <v>52</v>
      </c>
      <c r="G1571">
        <v>-344.91669999999999</v>
      </c>
      <c r="H1571" s="1">
        <v>1.0796100000000001E-6</v>
      </c>
      <c r="I1571">
        <v>283.12970000000001</v>
      </c>
      <c r="J1571">
        <v>-301.95890000000003</v>
      </c>
      <c r="K1571">
        <v>1.104654</v>
      </c>
      <c r="L1571">
        <v>284.16489999999999</v>
      </c>
      <c r="M1571">
        <v>-0.99988379999999999</v>
      </c>
      <c r="N1571">
        <v>0</v>
      </c>
      <c r="O1571">
        <v>-5.012468E-3</v>
      </c>
      <c r="P1571">
        <v>-0.99946710000000005</v>
      </c>
      <c r="Q1571">
        <v>2.474374E-2</v>
      </c>
      <c r="R1571">
        <v>-2.129267E-2</v>
      </c>
      <c r="S1571">
        <v>-3.0019230000000001</v>
      </c>
      <c r="T1571">
        <v>-7.6632140000000001E-2</v>
      </c>
      <c r="U1571">
        <v>-7.1929930000000003E-2</v>
      </c>
      <c r="V1571">
        <v>-1.6297309999999999E-2</v>
      </c>
      <c r="W1571">
        <v>3.9123390000000001E-2</v>
      </c>
      <c r="X1571">
        <v>0.99910149999999998</v>
      </c>
      <c r="Y1571">
        <v>-1.8938030000000002E-2</v>
      </c>
      <c r="Z1571">
        <v>-1.13719599999999E-4</v>
      </c>
      <c r="AA1571">
        <v>0.99982059999999995</v>
      </c>
      <c r="AB1571">
        <v>42</v>
      </c>
      <c r="AC1571">
        <v>-42.957799999999899</v>
      </c>
      <c r="AD1571">
        <v>-1.10465292039</v>
      </c>
      <c r="AE1571">
        <v>-1.0351999999999699</v>
      </c>
      <c r="AF1571">
        <v>-0.819298627809806</v>
      </c>
      <c r="AG1571">
        <v>-1.10465292039</v>
      </c>
      <c r="AH1571">
        <v>42.9340758681521</v>
      </c>
      <c r="AI1571">
        <v>91.473572569873696</v>
      </c>
      <c r="AJ1571">
        <v>91.093226203472398</v>
      </c>
      <c r="AK1571">
        <v>42.956098274497599</v>
      </c>
    </row>
    <row r="1572" spans="1:37" x14ac:dyDescent="0.2">
      <c r="A1572" t="str">
        <f>"20200111153430730"</f>
        <v>20200111153430730</v>
      </c>
      <c r="B1572" t="str">
        <f>"1578728070718092"</f>
        <v>1578728070718092</v>
      </c>
      <c r="C1572" t="s">
        <v>37</v>
      </c>
      <c r="D1572">
        <v>4.5773929999999998</v>
      </c>
      <c r="E1572">
        <v>0.4995465</v>
      </c>
      <c r="F1572" t="s">
        <v>52</v>
      </c>
      <c r="G1572">
        <v>-347.99869999999999</v>
      </c>
      <c r="H1572" s="1">
        <v>2.7197489999999999E-6</v>
      </c>
      <c r="I1572">
        <v>283.08890000000002</v>
      </c>
      <c r="J1572">
        <v>-302.2115</v>
      </c>
      <c r="K1572">
        <v>1.104644</v>
      </c>
      <c r="L1572">
        <v>284.16359999999997</v>
      </c>
      <c r="M1572">
        <v>-0.99988359999999998</v>
      </c>
      <c r="N1572">
        <v>0</v>
      </c>
      <c r="O1572">
        <v>-5.0675900000000003E-3</v>
      </c>
      <c r="P1572">
        <v>-0.99944929999999998</v>
      </c>
      <c r="Q1572">
        <v>2.5071079999999999E-2</v>
      </c>
      <c r="R1572">
        <v>-2.1739089999999999E-2</v>
      </c>
      <c r="S1572">
        <v>-3.001862</v>
      </c>
      <c r="T1572">
        <v>-7.2024699999999997E-2</v>
      </c>
      <c r="U1572">
        <v>-7.0159910000000006E-2</v>
      </c>
      <c r="V1572">
        <v>-1.6686799999999901E-2</v>
      </c>
      <c r="W1572">
        <v>3.94493E-2</v>
      </c>
      <c r="X1572">
        <v>0.99908220000000003</v>
      </c>
      <c r="Y1572">
        <v>-1.8294919999999999E-2</v>
      </c>
      <c r="Z1572" s="1">
        <v>-9.7851919999999897E-5</v>
      </c>
      <c r="AA1572">
        <v>0.99983259999999996</v>
      </c>
      <c r="AB1572">
        <v>42</v>
      </c>
      <c r="AC1572">
        <v>-45.787199999999899</v>
      </c>
      <c r="AD1572">
        <v>-1.1046412802509999</v>
      </c>
      <c r="AE1572">
        <v>-1.07469999999995</v>
      </c>
      <c r="AF1572">
        <v>-0.84214151770398404</v>
      </c>
      <c r="AG1572">
        <v>-1.1046412802509999</v>
      </c>
      <c r="AH1572">
        <v>45.765435917666501</v>
      </c>
      <c r="AI1572">
        <v>91.382447008919598</v>
      </c>
      <c r="AJ1572">
        <v>91.054195350894702</v>
      </c>
      <c r="AK1572">
        <v>45.786510671025397</v>
      </c>
    </row>
    <row r="1573" spans="1:37" x14ac:dyDescent="0.2">
      <c r="A1573" t="str">
        <f>"20200111153430745"</f>
        <v>20200111153430745</v>
      </c>
      <c r="B1573" t="str">
        <f>"1578728070738193"</f>
        <v>1578728070738193</v>
      </c>
      <c r="C1573" t="s">
        <v>37</v>
      </c>
      <c r="D1573">
        <v>4.5907989999999996</v>
      </c>
      <c r="E1573">
        <v>0.49953109999999901</v>
      </c>
      <c r="F1573" t="s">
        <v>52</v>
      </c>
      <c r="G1573">
        <v>-349.69380000000001</v>
      </c>
      <c r="H1573" s="1">
        <v>3.6217680000000002E-6</v>
      </c>
      <c r="I1573">
        <v>283.05720000000002</v>
      </c>
      <c r="J1573">
        <v>-302.48</v>
      </c>
      <c r="K1573">
        <v>1.104627</v>
      </c>
      <c r="L1573">
        <v>284.16219999999998</v>
      </c>
      <c r="M1573">
        <v>-0.99988349999999904</v>
      </c>
      <c r="N1573">
        <v>0</v>
      </c>
      <c r="O1573">
        <v>-5.1149159999999997E-3</v>
      </c>
      <c r="P1573">
        <v>-0.99942830000000005</v>
      </c>
      <c r="Q1573">
        <v>2.5487860000000001E-2</v>
      </c>
      <c r="R1573">
        <v>-2.2223159999999999E-2</v>
      </c>
      <c r="S1573">
        <v>-3.0018919999999998</v>
      </c>
      <c r="T1573">
        <v>-6.9836739999999994E-2</v>
      </c>
      <c r="U1573">
        <v>-6.9946289999999994E-2</v>
      </c>
      <c r="V1573">
        <v>-1.7121939999999999E-2</v>
      </c>
      <c r="W1573">
        <v>3.9864770000000001E-2</v>
      </c>
      <c r="X1573">
        <v>0.99905840000000001</v>
      </c>
      <c r="Y1573">
        <v>-1.8176520000000002E-2</v>
      </c>
      <c r="Z1573" s="1">
        <v>-9.2401659999999896E-5</v>
      </c>
      <c r="AA1573">
        <v>0.99983480000000002</v>
      </c>
      <c r="AB1573">
        <v>42</v>
      </c>
      <c r="AC1573">
        <v>-47.2137999999999</v>
      </c>
      <c r="AD1573">
        <v>-1.1046233782320001</v>
      </c>
      <c r="AE1573">
        <v>-1.10499999999996</v>
      </c>
      <c r="AF1573">
        <v>-0.86299381513418305</v>
      </c>
      <c r="AG1573">
        <v>-1.1046233782320001</v>
      </c>
      <c r="AH1573">
        <v>47.193016354940703</v>
      </c>
      <c r="AI1573">
        <v>91.340624832250398</v>
      </c>
      <c r="AJ1573">
        <v>91.047620957254694</v>
      </c>
      <c r="AK1573">
        <v>47.213830005734501</v>
      </c>
    </row>
    <row r="1574" spans="1:37" x14ac:dyDescent="0.2">
      <c r="A1574" t="str">
        <f>"20200111153430757"</f>
        <v>20200111153430757</v>
      </c>
      <c r="B1574" t="str">
        <f>"1578728070747952"</f>
        <v>1578728070747952</v>
      </c>
      <c r="C1574" t="s">
        <v>37</v>
      </c>
      <c r="D1574">
        <v>4.5933529999999996</v>
      </c>
      <c r="E1574">
        <v>0.49956040000000002</v>
      </c>
      <c r="F1574" t="s">
        <v>52</v>
      </c>
      <c r="G1574">
        <v>-351.8612</v>
      </c>
      <c r="H1574" s="1">
        <v>-5.4633309999999996E-7</v>
      </c>
      <c r="I1574">
        <v>282.98599999999999</v>
      </c>
      <c r="J1574">
        <v>-302.73349999999999</v>
      </c>
      <c r="K1574">
        <v>1.104608</v>
      </c>
      <c r="L1574">
        <v>284.16090000000003</v>
      </c>
      <c r="M1574">
        <v>-0.99988330000000003</v>
      </c>
      <c r="N1574">
        <v>0</v>
      </c>
      <c r="O1574">
        <v>-5.1468549999999997E-3</v>
      </c>
      <c r="P1574">
        <v>-0.99941380000000002</v>
      </c>
      <c r="Q1574">
        <v>2.5743619999999998E-2</v>
      </c>
      <c r="R1574">
        <v>-2.2570710000000001E-2</v>
      </c>
      <c r="S1574">
        <v>-3.0018310000000001</v>
      </c>
      <c r="T1574">
        <v>-6.7149039999999993E-2</v>
      </c>
      <c r="U1574">
        <v>-7.1502689999999994E-2</v>
      </c>
      <c r="V1574">
        <v>-1.7435699999999998E-2</v>
      </c>
      <c r="W1574">
        <v>4.0120139999999999E-2</v>
      </c>
      <c r="X1574">
        <v>0.99904269999999995</v>
      </c>
      <c r="Y1574">
        <v>-1.8663309999999999E-2</v>
      </c>
      <c r="Z1574" s="1">
        <v>-9.357658E-5</v>
      </c>
      <c r="AA1574">
        <v>0.99982579999999999</v>
      </c>
      <c r="AB1574">
        <v>42</v>
      </c>
      <c r="AC1574">
        <v>-49.127699999999997</v>
      </c>
      <c r="AD1574">
        <v>-1.1046085463330999</v>
      </c>
      <c r="AE1574">
        <v>-1.17490000000003</v>
      </c>
      <c r="AF1574">
        <v>-0.92153950762970605</v>
      </c>
      <c r="AG1574">
        <v>-1.1046085463330999</v>
      </c>
      <c r="AH1574">
        <v>49.108284335808101</v>
      </c>
      <c r="AI1574">
        <v>91.288328500865603</v>
      </c>
      <c r="AJ1574">
        <v>91.075055435545494</v>
      </c>
      <c r="AK1574">
        <v>49.129349532752201</v>
      </c>
    </row>
    <row r="1575" spans="1:37" x14ac:dyDescent="0.2">
      <c r="A1575" t="str">
        <f>"20200111153430773"</f>
        <v>20200111153430773</v>
      </c>
      <c r="B1575" t="str">
        <f>"1578728070767472"</f>
        <v>1578728070767472</v>
      </c>
      <c r="C1575" t="s">
        <v>37</v>
      </c>
      <c r="D1575">
        <v>4.5540159999999998</v>
      </c>
      <c r="E1575">
        <v>0.4996004</v>
      </c>
      <c r="F1575" t="s">
        <v>52</v>
      </c>
      <c r="G1575">
        <v>-352.84129999999999</v>
      </c>
      <c r="H1575" s="1">
        <v>-2.477896E-8</v>
      </c>
      <c r="I1575">
        <v>282.95819999999998</v>
      </c>
      <c r="J1575">
        <v>-303.02170000000001</v>
      </c>
      <c r="K1575">
        <v>1.1045799999999999</v>
      </c>
      <c r="L1575">
        <v>284.15940000000001</v>
      </c>
      <c r="M1575">
        <v>-0.99988319999999997</v>
      </c>
      <c r="N1575">
        <v>0</v>
      </c>
      <c r="O1575">
        <v>-5.1543639999999998E-3</v>
      </c>
      <c r="P1575">
        <v>-0.99939889999999998</v>
      </c>
      <c r="Q1575">
        <v>2.5499589999999999E-2</v>
      </c>
      <c r="R1575">
        <v>-2.3486670000000001E-2</v>
      </c>
      <c r="S1575">
        <v>-3.0018310000000001</v>
      </c>
      <c r="T1575">
        <v>-6.6174269999999993E-2</v>
      </c>
      <c r="U1575">
        <v>-7.2052000000000005E-2</v>
      </c>
      <c r="V1575">
        <v>-1.8341949999999999E-2</v>
      </c>
      <c r="W1575">
        <v>3.9874779999999999E-2</v>
      </c>
      <c r="X1575">
        <v>0.99903629999999999</v>
      </c>
      <c r="Y1575">
        <v>-1.883872E-2</v>
      </c>
      <c r="Z1575" s="1">
        <v>-9.3985709999999998E-5</v>
      </c>
      <c r="AA1575">
        <v>0.99982260000000001</v>
      </c>
      <c r="AB1575">
        <v>42</v>
      </c>
      <c r="AC1575">
        <v>-49.819599999999902</v>
      </c>
      <c r="AD1575">
        <v>-1.1045800247789599</v>
      </c>
      <c r="AE1575">
        <v>-1.20120000000002</v>
      </c>
      <c r="AF1575">
        <v>-0.94390536820206805</v>
      </c>
      <c r="AG1575">
        <v>-1.1045800247789599</v>
      </c>
      <c r="AH1575">
        <v>49.800663362003</v>
      </c>
      <c r="AI1575">
        <v>91.270385472358598</v>
      </c>
      <c r="AJ1575">
        <v>91.085835317419097</v>
      </c>
      <c r="AK1575">
        <v>49.821853896365702</v>
      </c>
    </row>
    <row r="1576" spans="1:37" x14ac:dyDescent="0.2">
      <c r="A1576" t="str">
        <f>"20200111153430787"</f>
        <v>20200111153430787</v>
      </c>
      <c r="B1576" t="str">
        <f>"1578728070778207"</f>
        <v>1578728070778207</v>
      </c>
      <c r="C1576" t="s">
        <v>37</v>
      </c>
      <c r="D1576">
        <v>4.5791750000000002</v>
      </c>
      <c r="E1576">
        <v>0.4996119</v>
      </c>
      <c r="F1576" t="s">
        <v>52</v>
      </c>
      <c r="G1576">
        <v>-352.200999999999</v>
      </c>
      <c r="H1576" s="1">
        <v>-3.6549490000000001E-7</v>
      </c>
      <c r="I1576">
        <v>282.93939999999998</v>
      </c>
      <c r="J1576">
        <v>-303.2885</v>
      </c>
      <c r="K1576">
        <v>1.1045479999999901</v>
      </c>
      <c r="L1576">
        <v>284.15800000000002</v>
      </c>
      <c r="M1576">
        <v>-0.99988349999999904</v>
      </c>
      <c r="N1576">
        <v>0</v>
      </c>
      <c r="O1576">
        <v>-5.1342790000000003E-3</v>
      </c>
      <c r="P1576">
        <v>-0.9993841</v>
      </c>
      <c r="Q1576">
        <v>2.551142E-2</v>
      </c>
      <c r="R1576">
        <v>-2.4101890000000001E-2</v>
      </c>
      <c r="S1576">
        <v>-3.00177</v>
      </c>
      <c r="T1576">
        <v>-6.7420480000000005E-2</v>
      </c>
      <c r="U1576">
        <v>-7.4462890000000004E-2</v>
      </c>
      <c r="V1576">
        <v>-1.8974089999999999E-2</v>
      </c>
      <c r="W1576">
        <v>3.9886209999999998E-2</v>
      </c>
      <c r="X1576">
        <v>0.99902400000000002</v>
      </c>
      <c r="Y1576">
        <v>-1.9661479999999999E-2</v>
      </c>
      <c r="Z1576">
        <v>-1.054445E-4</v>
      </c>
      <c r="AA1576">
        <v>0.99980669999999905</v>
      </c>
      <c r="AB1576">
        <v>42</v>
      </c>
      <c r="AC1576">
        <v>-48.912499999999902</v>
      </c>
      <c r="AD1576">
        <v>-1.10454836549489</v>
      </c>
      <c r="AE1576">
        <v>-1.2186000000000301</v>
      </c>
      <c r="AF1576">
        <v>-0.96693477936263394</v>
      </c>
      <c r="AG1576">
        <v>-1.10454836549489</v>
      </c>
      <c r="AH1576">
        <v>48.8931947125797</v>
      </c>
      <c r="AI1576">
        <v>91.293898491645095</v>
      </c>
      <c r="AJ1576">
        <v>91.132960554120302</v>
      </c>
      <c r="AK1576">
        <v>48.915227477356098</v>
      </c>
    </row>
    <row r="1577" spans="1:37" x14ac:dyDescent="0.2">
      <c r="A1577" t="str">
        <f>"20200111153430800"</f>
        <v>20200111153430800</v>
      </c>
      <c r="B1577" t="str">
        <f>"1578728070787968"</f>
        <v>1578728070787968</v>
      </c>
      <c r="C1577" t="s">
        <v>37</v>
      </c>
      <c r="D1577">
        <v>4.5634680000000003</v>
      </c>
      <c r="E1577">
        <v>0.49959049999999999</v>
      </c>
      <c r="F1577" t="s">
        <v>52</v>
      </c>
      <c r="G1577">
        <v>-352.685</v>
      </c>
      <c r="H1577" s="1">
        <v>-1.079731E-7</v>
      </c>
      <c r="I1577">
        <v>282.90600000000001</v>
      </c>
      <c r="J1577">
        <v>-303.52789999999999</v>
      </c>
      <c r="K1577">
        <v>1.1045199999999999</v>
      </c>
      <c r="L1577">
        <v>284.15679999999998</v>
      </c>
      <c r="M1577">
        <v>-0.99988359999999998</v>
      </c>
      <c r="N1577">
        <v>0</v>
      </c>
      <c r="O1577">
        <v>-5.0967820000000002E-3</v>
      </c>
      <c r="P1577">
        <v>-0.99937569999999998</v>
      </c>
      <c r="Q1577">
        <v>2.5359960000000001E-2</v>
      </c>
      <c r="R1577">
        <v>-2.4608339999999999E-2</v>
      </c>
      <c r="S1577">
        <v>-3.0017399999999999</v>
      </c>
      <c r="T1577">
        <v>-6.7121509999999995E-2</v>
      </c>
      <c r="U1577">
        <v>-7.6080320000000007E-2</v>
      </c>
      <c r="V1577">
        <v>-1.951489E-2</v>
      </c>
      <c r="W1577">
        <v>3.9734699999999998E-2</v>
      </c>
      <c r="X1577">
        <v>0.99901969999999995</v>
      </c>
      <c r="Y1577">
        <v>-2.0237499999999999E-2</v>
      </c>
      <c r="Z1577">
        <v>-1.12253899999999E-4</v>
      </c>
      <c r="AA1577">
        <v>0.999795199999999</v>
      </c>
      <c r="AB1577">
        <v>42</v>
      </c>
      <c r="AC1577">
        <v>-49.1571</v>
      </c>
      <c r="AD1577">
        <v>-1.1045201079731</v>
      </c>
      <c r="AE1577">
        <v>-1.2507999999999599</v>
      </c>
      <c r="AF1577">
        <v>-0.999710424986057</v>
      </c>
      <c r="AG1577">
        <v>-1.1045201079731</v>
      </c>
      <c r="AH1577">
        <v>49.138045098391402</v>
      </c>
      <c r="AI1577">
        <v>91.287405692936005</v>
      </c>
      <c r="AJ1577">
        <v>91.165518225267604</v>
      </c>
      <c r="AK1577">
        <v>49.160623080818397</v>
      </c>
    </row>
    <row r="1578" spans="1:37" x14ac:dyDescent="0.2">
      <c r="A1578" t="str">
        <f>"20200111153430816"</f>
        <v>20200111153430816</v>
      </c>
      <c r="B1578" t="str">
        <f>"1578728070807487"</f>
        <v>1578728070807487</v>
      </c>
      <c r="C1578" t="s">
        <v>37</v>
      </c>
      <c r="D1578">
        <v>4.5874959999999998</v>
      </c>
      <c r="E1578">
        <v>0.499552</v>
      </c>
      <c r="F1578" t="s">
        <v>52</v>
      </c>
      <c r="G1578">
        <v>-352.20249999999999</v>
      </c>
      <c r="H1578" s="1">
        <v>-3.6470149999999901E-7</v>
      </c>
      <c r="I1578">
        <v>282.8954</v>
      </c>
      <c r="J1578">
        <v>-303.8399</v>
      </c>
      <c r="K1578">
        <v>1.1044700000000001</v>
      </c>
      <c r="L1578">
        <v>284.15519999999998</v>
      </c>
      <c r="M1578">
        <v>-0.99988410000000005</v>
      </c>
      <c r="N1578">
        <v>0</v>
      </c>
      <c r="O1578">
        <v>-4.997235E-3</v>
      </c>
      <c r="P1578">
        <v>-0.99936150000000001</v>
      </c>
      <c r="Q1578">
        <v>2.4941979999999999E-2</v>
      </c>
      <c r="R1578">
        <v>-2.5587499999999999E-2</v>
      </c>
      <c r="S1578">
        <v>-3.0016780000000001</v>
      </c>
      <c r="T1578">
        <v>-6.8113800000000002E-2</v>
      </c>
      <c r="U1578">
        <v>-7.778931E-2</v>
      </c>
      <c r="V1578">
        <v>-2.0589429999999999E-2</v>
      </c>
      <c r="W1578">
        <v>3.9316839999999999E-2</v>
      </c>
      <c r="X1578">
        <v>0.99901459999999997</v>
      </c>
      <c r="Y1578">
        <v>-2.0906089999999999E-2</v>
      </c>
      <c r="Z1578">
        <v>-1.2375639999999901E-4</v>
      </c>
      <c r="AA1578">
        <v>0.99978140000000004</v>
      </c>
      <c r="AB1578">
        <v>42</v>
      </c>
      <c r="AC1578">
        <v>-48.362599999999901</v>
      </c>
      <c r="AD1578">
        <v>-1.1044703647015</v>
      </c>
      <c r="AE1578">
        <v>-1.25979999999998</v>
      </c>
      <c r="AF1578">
        <v>-1.0175496594244799</v>
      </c>
      <c r="AG1578">
        <v>-1.1044703647015</v>
      </c>
      <c r="AH1578">
        <v>48.343096341808902</v>
      </c>
      <c r="AI1578">
        <v>91.308490403229996</v>
      </c>
      <c r="AJ1578">
        <v>91.205812157383704</v>
      </c>
      <c r="AK1578">
        <v>48.366416303146899</v>
      </c>
    </row>
    <row r="1579" spans="1:37" x14ac:dyDescent="0.2">
      <c r="A1579" t="str">
        <f>"20200111153430830"</f>
        <v>20200111153430830</v>
      </c>
      <c r="B1579" t="str">
        <f>"1578728070818224"</f>
        <v>1578728070818224</v>
      </c>
      <c r="C1579" t="s">
        <v>37</v>
      </c>
      <c r="D1579">
        <v>4.5836920000000001</v>
      </c>
      <c r="E1579">
        <v>0.4996467</v>
      </c>
      <c r="F1579" t="s">
        <v>52</v>
      </c>
      <c r="G1579">
        <v>-351.47059999999999</v>
      </c>
      <c r="H1579" s="1">
        <v>-7.5421999999999898E-7</v>
      </c>
      <c r="I1579">
        <v>282.86860000000001</v>
      </c>
      <c r="J1579">
        <v>-304.08629999999999</v>
      </c>
      <c r="K1579">
        <v>1.1044179999999999</v>
      </c>
      <c r="L1579">
        <v>284.15410000000003</v>
      </c>
      <c r="M1579">
        <v>-0.99988469999999996</v>
      </c>
      <c r="N1579">
        <v>0</v>
      </c>
      <c r="O1579">
        <v>-4.8810879999999996E-3</v>
      </c>
      <c r="P1579">
        <v>-0.99935289999999999</v>
      </c>
      <c r="Q1579">
        <v>2.4852989999999998E-2</v>
      </c>
      <c r="R1579">
        <v>-2.6004960000000001E-2</v>
      </c>
      <c r="S1579">
        <v>-3.001617</v>
      </c>
      <c r="T1579">
        <v>-6.9602129999999998E-2</v>
      </c>
      <c r="U1579">
        <v>-8.1085210000000005E-2</v>
      </c>
      <c r="V1579">
        <v>-2.1119220000000001E-2</v>
      </c>
      <c r="W1579">
        <v>3.9228689999999997E-2</v>
      </c>
      <c r="X1579">
        <v>0.99900699999999998</v>
      </c>
      <c r="Y1579">
        <v>-2.211923E-2</v>
      </c>
      <c r="Z1579">
        <v>-1.4321409999999999E-4</v>
      </c>
      <c r="AA1579">
        <v>0.99975530000000001</v>
      </c>
      <c r="AB1579">
        <v>42</v>
      </c>
      <c r="AC1579">
        <v>-47.384300000000003</v>
      </c>
      <c r="AD1579">
        <v>-1.1044187542199999</v>
      </c>
      <c r="AE1579">
        <v>-1.2855000000000101</v>
      </c>
      <c r="AF1579">
        <v>-1.0536018839579899</v>
      </c>
      <c r="AG1579">
        <v>-1.1044187542199999</v>
      </c>
      <c r="AH1579">
        <v>47.364299036398499</v>
      </c>
      <c r="AI1579">
        <v>91.335424118148495</v>
      </c>
      <c r="AJ1579">
        <v>91.274313954074898</v>
      </c>
      <c r="AK1579">
        <v>47.388887314685199</v>
      </c>
    </row>
    <row r="1580" spans="1:37" x14ac:dyDescent="0.2">
      <c r="A1580" t="str">
        <f>"20200111153430851"</f>
        <v>20200111153430851</v>
      </c>
      <c r="B1580" t="str">
        <f>"1578728070837366"</f>
        <v>1578728070837366</v>
      </c>
      <c r="C1580" t="s">
        <v>37</v>
      </c>
      <c r="D1580">
        <v>4.589073</v>
      </c>
      <c r="E1580">
        <v>0.49967609999999901</v>
      </c>
      <c r="F1580" t="s">
        <v>52</v>
      </c>
      <c r="G1580">
        <v>-352.2423</v>
      </c>
      <c r="H1580" s="1">
        <v>-3.4352309999999901E-7</v>
      </c>
      <c r="I1580">
        <v>282.84629999999999</v>
      </c>
      <c r="J1580">
        <v>-304.4717</v>
      </c>
      <c r="K1580">
        <v>1.104339</v>
      </c>
      <c r="L1580">
        <v>284.1524</v>
      </c>
      <c r="M1580">
        <v>-0.99988589999999999</v>
      </c>
      <c r="N1580">
        <v>0</v>
      </c>
      <c r="O1580">
        <v>-4.6431809999999997E-3</v>
      </c>
      <c r="P1580">
        <v>-0.99934699999999999</v>
      </c>
      <c r="Q1580">
        <v>2.4681109999999999E-2</v>
      </c>
      <c r="R1580">
        <v>-2.6398870000000001E-2</v>
      </c>
      <c r="S1580">
        <v>-3.0015259999999899</v>
      </c>
      <c r="T1580">
        <v>-6.8837519999999999E-2</v>
      </c>
      <c r="U1580">
        <v>-8.151245E-2</v>
      </c>
      <c r="V1580">
        <v>-2.17434E-2</v>
      </c>
      <c r="W1580">
        <v>3.9058589999999997E-2</v>
      </c>
      <c r="X1580">
        <v>0.99900029999999995</v>
      </c>
      <c r="Y1580">
        <v>-2.2500059999999999E-2</v>
      </c>
      <c r="Z1580">
        <v>-1.5146579999999999E-4</v>
      </c>
      <c r="AA1580">
        <v>0.99974689999999999</v>
      </c>
      <c r="AB1580">
        <v>42</v>
      </c>
      <c r="AC1580">
        <v>-47.770600000000002</v>
      </c>
      <c r="AD1580">
        <v>-1.1043393435230999</v>
      </c>
      <c r="AE1580">
        <v>-1.30610000000001</v>
      </c>
      <c r="AF1580">
        <v>-1.0836767489354899</v>
      </c>
      <c r="AG1580">
        <v>-1.1043393435230999</v>
      </c>
      <c r="AH1580">
        <v>47.750650131035698</v>
      </c>
      <c r="AI1580">
        <v>91.324514463931607</v>
      </c>
      <c r="AJ1580">
        <v>91.300075445351098</v>
      </c>
      <c r="AK1580">
        <v>47.775710445983101</v>
      </c>
    </row>
    <row r="1581" spans="1:37" x14ac:dyDescent="0.2">
      <c r="A1581" t="str">
        <f>"20200111153430863"</f>
        <v>20200111153430863</v>
      </c>
      <c r="B1581" t="str">
        <f>"1578728070857862"</f>
        <v>1578728070857862</v>
      </c>
      <c r="C1581" t="s">
        <v>37</v>
      </c>
      <c r="D1581">
        <v>4.6185460000000003</v>
      </c>
      <c r="E1581">
        <v>0.49984579999999901</v>
      </c>
      <c r="F1581" t="s">
        <v>52</v>
      </c>
      <c r="G1581">
        <v>-352.48719999999997</v>
      </c>
      <c r="H1581" s="1">
        <v>-2.132329E-7</v>
      </c>
      <c r="I1581">
        <v>282.8304</v>
      </c>
      <c r="J1581">
        <v>-304.70929999999998</v>
      </c>
      <c r="K1581">
        <v>1.104287</v>
      </c>
      <c r="L1581">
        <v>284.15140000000002</v>
      </c>
      <c r="M1581">
        <v>-0.99988679999999996</v>
      </c>
      <c r="N1581">
        <v>0</v>
      </c>
      <c r="O1581">
        <v>-4.4588850000000001E-3</v>
      </c>
      <c r="P1581">
        <v>-0.99935219999999902</v>
      </c>
      <c r="Q1581">
        <v>2.4460840000000001E-2</v>
      </c>
      <c r="R1581">
        <v>-2.639683E-2</v>
      </c>
      <c r="S1581">
        <v>-3.0015259999999899</v>
      </c>
      <c r="T1581">
        <v>-6.9034100000000001E-2</v>
      </c>
      <c r="U1581">
        <v>-8.2641599999999996E-2</v>
      </c>
      <c r="V1581">
        <v>-2.192127E-2</v>
      </c>
      <c r="W1581">
        <v>3.883988E-2</v>
      </c>
      <c r="X1581">
        <v>0.99900499999999903</v>
      </c>
      <c r="Y1581">
        <v>-2.3059920000000001E-2</v>
      </c>
      <c r="Z1581">
        <v>-1.625714E-4</v>
      </c>
      <c r="AA1581">
        <v>0.99973400000000001</v>
      </c>
      <c r="AB1581">
        <v>42</v>
      </c>
      <c r="AC1581">
        <v>-47.777899999999903</v>
      </c>
      <c r="AD1581">
        <v>-1.10428721323289</v>
      </c>
      <c r="AE1581">
        <v>-1.3210000000000199</v>
      </c>
      <c r="AF1581">
        <v>-1.1073376075897601</v>
      </c>
      <c r="AG1581">
        <v>-1.10428721323289</v>
      </c>
      <c r="AH1581">
        <v>47.757822644785101</v>
      </c>
      <c r="AI1581">
        <v>91.324238186427905</v>
      </c>
      <c r="AJ1581">
        <v>91.328251619797001</v>
      </c>
      <c r="AK1581">
        <v>47.7834204572804</v>
      </c>
    </row>
    <row r="1582" spans="1:37" x14ac:dyDescent="0.2">
      <c r="A1582" t="str">
        <f>"20200111153430877"</f>
        <v>20200111153430877</v>
      </c>
      <c r="B1582" t="str">
        <f>"1578728070867622"</f>
        <v>1578728070867622</v>
      </c>
      <c r="C1582" t="s">
        <v>37</v>
      </c>
      <c r="D1582">
        <v>4.5753870000000001</v>
      </c>
      <c r="E1582">
        <v>0.49988129999999997</v>
      </c>
      <c r="F1582" t="s">
        <v>52</v>
      </c>
      <c r="G1582">
        <v>-353.24340000000001</v>
      </c>
      <c r="H1582" s="1">
        <v>1.892078E-7</v>
      </c>
      <c r="I1582">
        <v>282.83879999999999</v>
      </c>
      <c r="J1582">
        <v>-304.97340000000003</v>
      </c>
      <c r="K1582">
        <v>1.104228</v>
      </c>
      <c r="L1582">
        <v>284.15050000000002</v>
      </c>
      <c r="M1582">
        <v>-0.99988790000000005</v>
      </c>
      <c r="N1582">
        <v>0</v>
      </c>
      <c r="O1582">
        <v>-4.21951599999999E-3</v>
      </c>
      <c r="P1582">
        <v>-0.99935450000000003</v>
      </c>
      <c r="Q1582">
        <v>2.4484410000000002E-2</v>
      </c>
      <c r="R1582">
        <v>-2.6293029999999998E-2</v>
      </c>
      <c r="S1582">
        <v>-3.0014340000000002</v>
      </c>
      <c r="T1582">
        <v>-6.8290950000000003E-2</v>
      </c>
      <c r="U1582">
        <v>-8.1176760000000001E-2</v>
      </c>
      <c r="V1582">
        <v>-2.2051769999999998E-2</v>
      </c>
      <c r="W1582">
        <v>3.8865139999999999E-2</v>
      </c>
      <c r="X1582">
        <v>0.99900109999999998</v>
      </c>
      <c r="Y1582">
        <v>-2.2812639999999999E-2</v>
      </c>
      <c r="Z1582">
        <v>-1.6346040000000001E-4</v>
      </c>
      <c r="AA1582">
        <v>0.99973979999999996</v>
      </c>
      <c r="AB1582">
        <v>42</v>
      </c>
      <c r="AC1582">
        <v>-48.269999999999897</v>
      </c>
      <c r="AD1582">
        <v>-1.1042278107921999</v>
      </c>
      <c r="AE1582">
        <v>-1.3117000000000301</v>
      </c>
      <c r="AF1582">
        <v>-1.1074121651454301</v>
      </c>
      <c r="AG1582">
        <v>-1.1042278107921999</v>
      </c>
      <c r="AH1582">
        <v>48.249874285710597</v>
      </c>
      <c r="AI1582">
        <v>91.310674969797802</v>
      </c>
      <c r="AJ1582">
        <v>91.314799393317799</v>
      </c>
      <c r="AK1582">
        <v>48.275211541209401</v>
      </c>
    </row>
    <row r="1583" spans="1:37" x14ac:dyDescent="0.2">
      <c r="A1583" t="str">
        <f>"20200111153430891"</f>
        <v>20200111153430891</v>
      </c>
      <c r="B1583" t="str">
        <f>"1578728070888118"</f>
        <v>1578728070888118</v>
      </c>
      <c r="C1583" t="s">
        <v>37</v>
      </c>
      <c r="D1583">
        <v>4.6051500000000001</v>
      </c>
      <c r="E1583">
        <v>0.499891799999999</v>
      </c>
      <c r="F1583" t="s">
        <v>52</v>
      </c>
      <c r="G1583">
        <v>-353.57119999999998</v>
      </c>
      <c r="H1583" s="1">
        <v>3.6360889999999999E-7</v>
      </c>
      <c r="I1583">
        <v>282.84199999999998</v>
      </c>
      <c r="J1583">
        <v>-305.22930000000002</v>
      </c>
      <c r="K1583">
        <v>1.1041719999999999</v>
      </c>
      <c r="L1583">
        <v>284.14960000000002</v>
      </c>
      <c r="M1583">
        <v>-0.99988899999999903</v>
      </c>
      <c r="N1583">
        <v>0</v>
      </c>
      <c r="O1583">
        <v>-3.9450220000000003E-3</v>
      </c>
      <c r="P1583">
        <v>-0.99936039999999904</v>
      </c>
      <c r="Q1583">
        <v>2.4362479999999999E-2</v>
      </c>
      <c r="R1583">
        <v>-2.61815E-2</v>
      </c>
      <c r="S1583">
        <v>-3.001465</v>
      </c>
      <c r="T1583">
        <v>-6.8198560000000005E-2</v>
      </c>
      <c r="U1583">
        <v>-8.0810549999999995E-2</v>
      </c>
      <c r="V1583">
        <v>-2.2209550000000002E-2</v>
      </c>
      <c r="W1583">
        <v>3.8744590000000002E-2</v>
      </c>
      <c r="X1583">
        <v>0.99900230000000001</v>
      </c>
      <c r="Y1583">
        <v>-2.296484E-2</v>
      </c>
      <c r="Z1583">
        <v>-1.7120189999999901E-4</v>
      </c>
      <c r="AA1583">
        <v>0.99973619999999996</v>
      </c>
      <c r="AB1583">
        <v>42</v>
      </c>
      <c r="AC1583">
        <v>-48.341899999999903</v>
      </c>
      <c r="AD1583">
        <v>-1.1041716363910901</v>
      </c>
      <c r="AE1583">
        <v>-1.3076000000000301</v>
      </c>
      <c r="AF1583">
        <v>-1.1162783337714399</v>
      </c>
      <c r="AG1583">
        <v>-1.1041716363910901</v>
      </c>
      <c r="AH1583">
        <v>48.321491610983301</v>
      </c>
      <c r="AI1583">
        <v>91.308662038485394</v>
      </c>
      <c r="AJ1583">
        <v>91.323358644841093</v>
      </c>
      <c r="AK1583">
        <v>48.3469939482424</v>
      </c>
    </row>
    <row r="1584" spans="1:37" x14ac:dyDescent="0.2">
      <c r="A1584" t="str">
        <f>"20200111153430906"</f>
        <v>20200111153430906</v>
      </c>
      <c r="B1584" t="str">
        <f>"1578728070897878"</f>
        <v>1578728070897878</v>
      </c>
      <c r="C1584" t="s">
        <v>37</v>
      </c>
      <c r="D1584">
        <v>4.5691139999999999</v>
      </c>
      <c r="E1584">
        <v>0.49982120000000002</v>
      </c>
      <c r="F1584" t="s">
        <v>52</v>
      </c>
      <c r="G1584">
        <v>-354.17500000000001</v>
      </c>
      <c r="H1584" s="1">
        <v>6.8495739999999995E-7</v>
      </c>
      <c r="I1584">
        <v>282.8383</v>
      </c>
      <c r="J1584">
        <v>-305.51870000000002</v>
      </c>
      <c r="K1584">
        <v>1.1041219999999901</v>
      </c>
      <c r="L1584">
        <v>284.14870000000002</v>
      </c>
      <c r="M1584">
        <v>-0.99989019999999995</v>
      </c>
      <c r="N1584">
        <v>0</v>
      </c>
      <c r="O1584">
        <v>-3.602732E-3</v>
      </c>
      <c r="P1584">
        <v>-0.99935980000000002</v>
      </c>
      <c r="Q1584">
        <v>2.4546809999999999E-2</v>
      </c>
      <c r="R1584">
        <v>-2.603194E-2</v>
      </c>
      <c r="S1584">
        <v>-3.0014949999999998</v>
      </c>
      <c r="T1584">
        <v>-6.7710999999999993E-2</v>
      </c>
      <c r="U1584">
        <v>-8.0413819999999997E-2</v>
      </c>
      <c r="V1584">
        <v>-2.239565E-2</v>
      </c>
      <c r="W1584">
        <v>3.8930890000000003E-2</v>
      </c>
      <c r="X1584">
        <v>0.99899090000000001</v>
      </c>
      <c r="Y1584">
        <v>-2.317468E-2</v>
      </c>
      <c r="Z1584">
        <v>-1.80063E-4</v>
      </c>
      <c r="AA1584">
        <v>0.99973140000000005</v>
      </c>
      <c r="AB1584">
        <v>42</v>
      </c>
      <c r="AC1584">
        <v>-48.656299999999902</v>
      </c>
      <c r="AD1584">
        <v>-1.1041213150425999</v>
      </c>
      <c r="AE1584">
        <v>-1.31040000000001</v>
      </c>
      <c r="AF1584">
        <v>-1.13449400204705</v>
      </c>
      <c r="AG1584">
        <v>-1.1041213150425999</v>
      </c>
      <c r="AH1584">
        <v>48.635679434519098</v>
      </c>
      <c r="AI1584">
        <v>91.300144928207501</v>
      </c>
      <c r="AJ1584">
        <v>91.336260400428998</v>
      </c>
      <c r="AK1584">
        <v>48.661437243224903</v>
      </c>
    </row>
    <row r="1585" spans="1:37" x14ac:dyDescent="0.2">
      <c r="A1585" t="str">
        <f>"20200111153430921"</f>
        <v>20200111153430921</v>
      </c>
      <c r="B1585" t="str">
        <f>"1578728070917398"</f>
        <v>1578728070917398</v>
      </c>
      <c r="C1585" t="s">
        <v>37</v>
      </c>
      <c r="D1585">
        <v>4.5959969999999997</v>
      </c>
      <c r="E1585">
        <v>0.49986819999999998</v>
      </c>
      <c r="F1585" t="s">
        <v>52</v>
      </c>
      <c r="G1585">
        <v>-354.23140000000001</v>
      </c>
      <c r="H1585" s="1">
        <v>7.1494740000000002E-7</v>
      </c>
      <c r="I1585">
        <v>282.83870000000002</v>
      </c>
      <c r="J1585">
        <v>-305.7765</v>
      </c>
      <c r="K1585">
        <v>1.10407099999999</v>
      </c>
      <c r="L1585">
        <v>284.1481</v>
      </c>
      <c r="M1585">
        <v>-0.99989150000000004</v>
      </c>
      <c r="N1585">
        <v>0</v>
      </c>
      <c r="O1585">
        <v>-3.271436E-3</v>
      </c>
      <c r="P1585">
        <v>-0.99937330000000002</v>
      </c>
      <c r="Q1585">
        <v>2.479657E-2</v>
      </c>
      <c r="R1585">
        <v>-2.526571E-2</v>
      </c>
      <c r="S1585">
        <v>-3.001465</v>
      </c>
      <c r="T1585">
        <v>-6.8031190000000005E-2</v>
      </c>
      <c r="U1585">
        <v>-8.0718990000000004E-2</v>
      </c>
      <c r="V1585">
        <v>-2.195575E-2</v>
      </c>
      <c r="W1585">
        <v>3.9181519999999997E-2</v>
      </c>
      <c r="X1585">
        <v>0.99899090000000001</v>
      </c>
      <c r="Y1585">
        <v>-2.3607530000000002E-2</v>
      </c>
      <c r="Z1585">
        <v>-1.9332719999999999E-4</v>
      </c>
      <c r="AA1585">
        <v>0.99972129999999904</v>
      </c>
      <c r="AB1585">
        <v>42</v>
      </c>
      <c r="AC1585">
        <v>-48.454900000000002</v>
      </c>
      <c r="AD1585">
        <v>-1.1040702850526001</v>
      </c>
      <c r="AE1585">
        <v>-1.3093999999999799</v>
      </c>
      <c r="AF1585">
        <v>-1.1502627772868199</v>
      </c>
      <c r="AG1585">
        <v>-1.1040702850526001</v>
      </c>
      <c r="AH1585">
        <v>48.433797202205099</v>
      </c>
      <c r="AI1585">
        <v>91.305489033725195</v>
      </c>
      <c r="AJ1585">
        <v>91.360471814642196</v>
      </c>
      <c r="AK1585">
        <v>48.460032883557503</v>
      </c>
    </row>
    <row r="1586" spans="1:37" x14ac:dyDescent="0.2">
      <c r="A1586" t="str">
        <f>"20200111153430939"</f>
        <v>20200111153430939</v>
      </c>
      <c r="B1586" t="str">
        <f>"1578728070928134"</f>
        <v>1578728070928134</v>
      </c>
      <c r="C1586" t="s">
        <v>37</v>
      </c>
      <c r="D1586">
        <v>4.5703519999999997</v>
      </c>
      <c r="E1586">
        <v>0.49994309999999997</v>
      </c>
      <c r="F1586" t="s">
        <v>52</v>
      </c>
      <c r="G1586">
        <v>-354.87490000000003</v>
      </c>
      <c r="H1586" s="1">
        <v>1.0574160000000001E-6</v>
      </c>
      <c r="I1586">
        <v>282.8741</v>
      </c>
      <c r="J1586">
        <v>-306.13569999999999</v>
      </c>
      <c r="K1586">
        <v>1.104012</v>
      </c>
      <c r="L1586">
        <v>284.14729999999997</v>
      </c>
      <c r="M1586">
        <v>-0.99989309999999998</v>
      </c>
      <c r="N1586">
        <v>0</v>
      </c>
      <c r="O1586">
        <v>-2.7606359999999999E-3</v>
      </c>
      <c r="P1586">
        <v>-0.99938209999999905</v>
      </c>
      <c r="Q1586">
        <v>2.5500780000000001E-2</v>
      </c>
      <c r="R1586">
        <v>-2.4195100000000001E-2</v>
      </c>
      <c r="S1586">
        <v>-3.0015869999999998</v>
      </c>
      <c r="T1586">
        <v>-6.7496299999999995E-2</v>
      </c>
      <c r="U1586">
        <v>-7.7880859999999996E-2</v>
      </c>
      <c r="V1586">
        <v>-2.1388279999999999E-2</v>
      </c>
      <c r="W1586">
        <v>3.9886690000000002E-2</v>
      </c>
      <c r="X1586">
        <v>0.99897530000000001</v>
      </c>
      <c r="Y1586">
        <v>-2.3172580000000002E-2</v>
      </c>
      <c r="Z1586">
        <v>-1.9839709999999901E-4</v>
      </c>
      <c r="AA1586">
        <v>0.9997315</v>
      </c>
      <c r="AB1586">
        <v>42</v>
      </c>
      <c r="AC1586">
        <v>-48.739199999999997</v>
      </c>
      <c r="AD1586">
        <v>-1.1040109425839999</v>
      </c>
      <c r="AE1586">
        <v>-1.2731999999999699</v>
      </c>
      <c r="AF1586">
        <v>-1.1380465677757201</v>
      </c>
      <c r="AG1586">
        <v>-1.1040109425839999</v>
      </c>
      <c r="AH1586">
        <v>48.7175502064215</v>
      </c>
      <c r="AI1586">
        <v>91.297830032181594</v>
      </c>
      <c r="AJ1586">
        <v>91.338191434525498</v>
      </c>
      <c r="AK1586">
        <v>48.743345066449599</v>
      </c>
    </row>
    <row r="1587" spans="1:37" x14ac:dyDescent="0.2">
      <c r="A1587" t="str">
        <f>"20200111153430953"</f>
        <v>20200111153430953</v>
      </c>
      <c r="B1587" t="str">
        <f>"1578728070947654"</f>
        <v>1578728070947654</v>
      </c>
      <c r="C1587" t="s">
        <v>37</v>
      </c>
      <c r="D1587">
        <v>4.6010179999999998</v>
      </c>
      <c r="E1587">
        <v>0.50005770000000005</v>
      </c>
      <c r="F1587" t="s">
        <v>52</v>
      </c>
      <c r="G1587">
        <v>-356.97590000000002</v>
      </c>
      <c r="H1587" s="1">
        <v>2.1754169999999998E-6</v>
      </c>
      <c r="I1587">
        <v>282.89499999999998</v>
      </c>
      <c r="J1587">
        <v>-306.39920000000001</v>
      </c>
      <c r="K1587">
        <v>1.103974</v>
      </c>
      <c r="L1587">
        <v>284.14699999999999</v>
      </c>
      <c r="M1587">
        <v>-0.99989399999999995</v>
      </c>
      <c r="N1587">
        <v>0</v>
      </c>
      <c r="O1587">
        <v>-2.3558540000000001E-3</v>
      </c>
      <c r="P1587">
        <v>-0.99938709999999997</v>
      </c>
      <c r="Q1587">
        <v>2.603246E-2</v>
      </c>
      <c r="R1587">
        <v>-2.3402539999999999E-2</v>
      </c>
      <c r="S1587">
        <v>-3.0017399999999999</v>
      </c>
      <c r="T1587">
        <v>-6.5183640000000001E-2</v>
      </c>
      <c r="U1587">
        <v>-7.3944090000000004E-2</v>
      </c>
      <c r="V1587">
        <v>-2.0995320000000001E-2</v>
      </c>
      <c r="W1587">
        <v>4.0418889999999999E-2</v>
      </c>
      <c r="X1587">
        <v>0.99896219999999902</v>
      </c>
      <c r="Y1587">
        <v>-2.226614E-2</v>
      </c>
      <c r="Z1587">
        <v>-1.90543499999999E-4</v>
      </c>
      <c r="AA1587">
        <v>0.99975199999999997</v>
      </c>
      <c r="AB1587">
        <v>42</v>
      </c>
      <c r="AC1587">
        <v>-50.576700000000002</v>
      </c>
      <c r="AD1587">
        <v>-1.1039718245829999</v>
      </c>
      <c r="AE1587">
        <v>-1.252</v>
      </c>
      <c r="AF1587">
        <v>-1.1322937552357799</v>
      </c>
      <c r="AG1587">
        <v>-1.1039718245829999</v>
      </c>
      <c r="AH1587">
        <v>50.555437195299099</v>
      </c>
      <c r="AI1587">
        <v>91.250647356522705</v>
      </c>
      <c r="AJ1587">
        <v>91.283043177426606</v>
      </c>
      <c r="AK1587">
        <v>50.580164817302197</v>
      </c>
    </row>
    <row r="1588" spans="1:37" x14ac:dyDescent="0.2">
      <c r="A1588" t="str">
        <f>"20200111153430965"</f>
        <v>20200111153430965</v>
      </c>
      <c r="B1588" t="str">
        <f>"1578728070957415"</f>
        <v>1578728070957415</v>
      </c>
      <c r="C1588" t="s">
        <v>37</v>
      </c>
      <c r="D1588">
        <v>4.5674289999999997</v>
      </c>
      <c r="E1588">
        <v>0.50002079999999904</v>
      </c>
      <c r="F1588" t="s">
        <v>52</v>
      </c>
      <c r="G1588">
        <v>-359.2765</v>
      </c>
      <c r="H1588" s="1">
        <v>3.3996859999999999E-6</v>
      </c>
      <c r="I1588">
        <v>282.90089999999998</v>
      </c>
      <c r="J1588">
        <v>-306.6173</v>
      </c>
      <c r="K1588">
        <v>1.1039459999999901</v>
      </c>
      <c r="L1588">
        <v>284.14670000000001</v>
      </c>
      <c r="M1588">
        <v>-0.99989470000000003</v>
      </c>
      <c r="N1588">
        <v>0</v>
      </c>
      <c r="O1588">
        <v>-2.011676E-3</v>
      </c>
      <c r="P1588">
        <v>-0.99939940000000005</v>
      </c>
      <c r="Q1588">
        <v>2.6388229999999999E-2</v>
      </c>
      <c r="R1588">
        <v>-2.2462840000000001E-2</v>
      </c>
      <c r="S1588">
        <v>-3.0018009999999999</v>
      </c>
      <c r="T1588">
        <v>-6.2671539999999998E-2</v>
      </c>
      <c r="U1588">
        <v>-7.0739750000000004E-2</v>
      </c>
      <c r="V1588">
        <v>-2.039579E-2</v>
      </c>
      <c r="W1588">
        <v>4.0773839999999999E-2</v>
      </c>
      <c r="X1588">
        <v>0.99896019999999897</v>
      </c>
      <c r="Y1588">
        <v>-2.1543610000000001E-2</v>
      </c>
      <c r="Z1588">
        <v>-1.8284439999999999E-4</v>
      </c>
      <c r="AA1588">
        <v>0.99976790000000004</v>
      </c>
      <c r="AB1588">
        <v>42</v>
      </c>
      <c r="AC1588">
        <v>-52.659199999999998</v>
      </c>
      <c r="AD1588">
        <v>-1.1039426003139901</v>
      </c>
      <c r="AE1588">
        <v>-1.24580000000003</v>
      </c>
      <c r="AF1588">
        <v>-1.1393528394852199</v>
      </c>
      <c r="AG1588">
        <v>-1.1039426003139901</v>
      </c>
      <c r="AH1588">
        <v>52.638478927561003</v>
      </c>
      <c r="AI1588">
        <v>91.201158873903907</v>
      </c>
      <c r="AJ1588">
        <v>91.239965870805307</v>
      </c>
      <c r="AK1588">
        <v>52.662380101595502</v>
      </c>
    </row>
    <row r="1589" spans="1:37" x14ac:dyDescent="0.2">
      <c r="A1589" t="str">
        <f>"20200111153430976"</f>
        <v>20200111153430976</v>
      </c>
      <c r="B1589" t="str">
        <f>"1578728070968151"</f>
        <v>1578728070968151</v>
      </c>
      <c r="C1589" t="s">
        <v>37</v>
      </c>
      <c r="D1589">
        <v>4.6097099999999998</v>
      </c>
      <c r="E1589">
        <v>0.49999199999999999</v>
      </c>
      <c r="F1589" t="s">
        <v>52</v>
      </c>
      <c r="G1589">
        <v>-360.20119999999997</v>
      </c>
      <c r="H1589" s="1">
        <v>-1.4297259999999999E-6</v>
      </c>
      <c r="I1589">
        <v>282.92540000000002</v>
      </c>
      <c r="J1589">
        <v>-306.85149999999999</v>
      </c>
      <c r="K1589">
        <v>1.103917</v>
      </c>
      <c r="L1589">
        <v>284.1465</v>
      </c>
      <c r="M1589">
        <v>-0.99989550000000005</v>
      </c>
      <c r="N1589">
        <v>0</v>
      </c>
      <c r="O1589">
        <v>-1.6335339999999901E-3</v>
      </c>
      <c r="P1589">
        <v>-0.99940300000000004</v>
      </c>
      <c r="Q1589">
        <v>2.6871280000000001E-2</v>
      </c>
      <c r="R1589">
        <v>-2.1715269999999998E-2</v>
      </c>
      <c r="S1589">
        <v>-3.0018919999999998</v>
      </c>
      <c r="T1589">
        <v>-6.1845659999999997E-2</v>
      </c>
      <c r="U1589">
        <v>-6.8420410000000001E-2</v>
      </c>
      <c r="V1589">
        <v>-2.0022890000000002E-2</v>
      </c>
      <c r="W1589">
        <v>4.1256470000000003E-2</v>
      </c>
      <c r="X1589">
        <v>0.998947899999999</v>
      </c>
      <c r="Y1589">
        <v>-2.1149060000000001E-2</v>
      </c>
      <c r="Z1589">
        <v>-1.841577E-4</v>
      </c>
      <c r="AA1589">
        <v>0.99977629999999995</v>
      </c>
      <c r="AB1589">
        <v>42</v>
      </c>
      <c r="AC1589">
        <v>-53.349699999999899</v>
      </c>
      <c r="AD1589">
        <v>-1.1039184297260001</v>
      </c>
      <c r="AE1589">
        <v>-1.2210999999999701</v>
      </c>
      <c r="AF1589">
        <v>-1.13345577926052</v>
      </c>
      <c r="AG1589">
        <v>-1.1039184297260001</v>
      </c>
      <c r="AH1589">
        <v>53.328802209623902</v>
      </c>
      <c r="AI1589">
        <v>91.185598724896394</v>
      </c>
      <c r="AJ1589">
        <v>91.217586996946395</v>
      </c>
      <c r="AK1589">
        <v>53.352268021296098</v>
      </c>
    </row>
    <row r="1590" spans="1:37" x14ac:dyDescent="0.2">
      <c r="A1590" t="str">
        <f>"20200111153430990"</f>
        <v>20200111153430990</v>
      </c>
      <c r="B1590" t="str">
        <f>"1578728070977911"</f>
        <v>1578728070977911</v>
      </c>
      <c r="C1590" t="s">
        <v>37</v>
      </c>
      <c r="D1590">
        <v>4.5952589999999898</v>
      </c>
      <c r="E1590">
        <v>0.49997019999999998</v>
      </c>
      <c r="F1590" t="s">
        <v>52</v>
      </c>
      <c r="G1590">
        <v>-361.7319</v>
      </c>
      <c r="H1590" s="1">
        <v>-6.1517980000000005E-7</v>
      </c>
      <c r="I1590">
        <v>282.93810000000002</v>
      </c>
      <c r="J1590">
        <v>-307.07819999999998</v>
      </c>
      <c r="K1590">
        <v>1.103896</v>
      </c>
      <c r="L1590">
        <v>284.1465</v>
      </c>
      <c r="M1590">
        <v>-0.99989609999999995</v>
      </c>
      <c r="N1590">
        <v>0</v>
      </c>
      <c r="O1590">
        <v>-1.256208E-3</v>
      </c>
      <c r="P1590">
        <v>-0.99941840000000004</v>
      </c>
      <c r="Q1590">
        <v>2.7127310000000002E-2</v>
      </c>
      <c r="R1590">
        <v>-2.067008E-2</v>
      </c>
      <c r="S1590">
        <v>-3.0019840000000002</v>
      </c>
      <c r="T1590">
        <v>-6.038487E-2</v>
      </c>
      <c r="U1590">
        <v>-6.6101069999999998E-2</v>
      </c>
      <c r="V1590">
        <v>-1.9351520000000001E-2</v>
      </c>
      <c r="W1590">
        <v>4.151183E-2</v>
      </c>
      <c r="X1590">
        <v>0.99895059999999902</v>
      </c>
      <c r="Y1590">
        <v>-2.0753810000000001E-2</v>
      </c>
      <c r="Z1590">
        <v>-1.8341939999999999E-4</v>
      </c>
      <c r="AA1590">
        <v>0.99978459999999902</v>
      </c>
      <c r="AB1590">
        <v>42</v>
      </c>
      <c r="AC1590">
        <v>-54.653700000000001</v>
      </c>
      <c r="AD1590">
        <v>-1.1038966151798</v>
      </c>
      <c r="AE1590">
        <v>-1.2083999999999799</v>
      </c>
      <c r="AF1590">
        <v>-1.1392710012284899</v>
      </c>
      <c r="AG1590">
        <v>-1.1038966151798</v>
      </c>
      <c r="AH1590">
        <v>54.6328978750755</v>
      </c>
      <c r="AI1590">
        <v>91.157292989793703</v>
      </c>
      <c r="AJ1590">
        <v>91.194627473420297</v>
      </c>
      <c r="AK1590">
        <v>54.655924256933702</v>
      </c>
    </row>
    <row r="1591" spans="1:37" x14ac:dyDescent="0.2">
      <c r="A1591" t="str">
        <f>"20200111153431007"</f>
        <v>20200111153431007</v>
      </c>
      <c r="B1591" t="str">
        <f>"1578728070997436"</f>
        <v>1578728070997436</v>
      </c>
      <c r="C1591" t="s">
        <v>37</v>
      </c>
      <c r="D1591">
        <v>4.61409</v>
      </c>
      <c r="E1591">
        <v>0.50000690000000003</v>
      </c>
      <c r="F1591" t="s">
        <v>52</v>
      </c>
      <c r="G1591">
        <v>-362.55250000000001</v>
      </c>
      <c r="H1591" s="1">
        <v>-1.784715E-7</v>
      </c>
      <c r="I1591">
        <v>282.97410000000002</v>
      </c>
      <c r="J1591">
        <v>-307.39269999999999</v>
      </c>
      <c r="K1591">
        <v>1.1038760000000001</v>
      </c>
      <c r="L1591">
        <v>284.1465</v>
      </c>
      <c r="M1591">
        <v>-0.99989660000000002</v>
      </c>
      <c r="N1591">
        <v>0</v>
      </c>
      <c r="O1591">
        <v>-7.2584759999999896E-4</v>
      </c>
      <c r="P1591">
        <v>-0.99943729999999997</v>
      </c>
      <c r="Q1591">
        <v>2.7578229999999999E-2</v>
      </c>
      <c r="R1591">
        <v>-1.9096390000000001E-2</v>
      </c>
      <c r="S1591">
        <v>-3.002075</v>
      </c>
      <c r="T1591">
        <v>-5.9738989999999999E-2</v>
      </c>
      <c r="U1591">
        <v>-6.3446039999999995E-2</v>
      </c>
      <c r="V1591">
        <v>-1.8303699999999999E-2</v>
      </c>
      <c r="W1591">
        <v>4.1960610000000002E-2</v>
      </c>
      <c r="X1591">
        <v>0.99895159999999905</v>
      </c>
      <c r="Y1591">
        <v>-2.039968E-2</v>
      </c>
      <c r="Z1591">
        <v>-1.884841E-4</v>
      </c>
      <c r="AA1591">
        <v>0.99979189999999996</v>
      </c>
      <c r="AB1591">
        <v>42</v>
      </c>
      <c r="AC1591">
        <v>-55.159799999999997</v>
      </c>
      <c r="AD1591">
        <v>-1.1038761784715001</v>
      </c>
      <c r="AE1591">
        <v>-1.1723999999999799</v>
      </c>
      <c r="AF1591">
        <v>-1.1319048371696101</v>
      </c>
      <c r="AG1591">
        <v>-1.1038761784715001</v>
      </c>
      <c r="AH1591">
        <v>55.138563878811802</v>
      </c>
      <c r="AI1591">
        <v>91.146668985979403</v>
      </c>
      <c r="AJ1591">
        <v>91.176023778689498</v>
      </c>
      <c r="AK1591">
        <v>55.161227123728899</v>
      </c>
    </row>
    <row r="1592" spans="1:37" x14ac:dyDescent="0.2">
      <c r="A1592" t="str">
        <f>"20200111153431019"</f>
        <v>20200111153431019</v>
      </c>
      <c r="B1592" t="str">
        <f>"1578728071008166"</f>
        <v>1578728071008166</v>
      </c>
      <c r="C1592" t="s">
        <v>37</v>
      </c>
      <c r="D1592">
        <v>4.5860729999999998</v>
      </c>
      <c r="E1592">
        <v>0.49994899999999998</v>
      </c>
      <c r="F1592" t="s">
        <v>52</v>
      </c>
      <c r="G1592">
        <v>-364.30829999999997</v>
      </c>
      <c r="H1592" s="1">
        <v>7.5584549999999896E-7</v>
      </c>
      <c r="I1592">
        <v>283.03680000000003</v>
      </c>
      <c r="J1592">
        <v>-307.6345</v>
      </c>
      <c r="K1592">
        <v>1.1038559999999999</v>
      </c>
      <c r="L1592">
        <v>284.14659999999998</v>
      </c>
      <c r="M1592">
        <v>-0.99989689999999998</v>
      </c>
      <c r="N1592">
        <v>0</v>
      </c>
      <c r="O1592">
        <v>-3.1365939999999898E-4</v>
      </c>
      <c r="P1592">
        <v>-0.9994459</v>
      </c>
      <c r="Q1592">
        <v>2.7988280000000001E-2</v>
      </c>
      <c r="R1592">
        <v>-1.8019799999999999E-2</v>
      </c>
      <c r="S1592">
        <v>-3.002167</v>
      </c>
      <c r="T1592">
        <v>-5.8226939999999998E-2</v>
      </c>
      <c r="U1592">
        <v>-5.8532710000000002E-2</v>
      </c>
      <c r="V1592">
        <v>-1.7637E-2</v>
      </c>
      <c r="W1592">
        <v>4.2368910000000003E-2</v>
      </c>
      <c r="X1592">
        <v>0.99894640000000001</v>
      </c>
      <c r="Y1592">
        <v>-1.9175939999999999E-2</v>
      </c>
      <c r="Z1592">
        <v>-1.7984039999999999E-4</v>
      </c>
      <c r="AA1592">
        <v>0.99981609999999999</v>
      </c>
      <c r="AB1592">
        <v>42</v>
      </c>
      <c r="AC1592">
        <v>-56.6737999999999</v>
      </c>
      <c r="AD1592">
        <v>-1.1038552441545</v>
      </c>
      <c r="AE1592">
        <v>-1.1097999999999499</v>
      </c>
      <c r="AF1592">
        <v>-1.0916078819447399</v>
      </c>
      <c r="AG1592">
        <v>-1.1038552441545</v>
      </c>
      <c r="AH1592">
        <v>56.652661433086202</v>
      </c>
      <c r="AI1592">
        <v>91.116037799789396</v>
      </c>
      <c r="AJ1592">
        <v>91.103863160320302</v>
      </c>
      <c r="AK1592">
        <v>56.673928323523299</v>
      </c>
    </row>
    <row r="1593" spans="1:37" x14ac:dyDescent="0.2">
      <c r="A1593" t="str">
        <f>"20200111153431032"</f>
        <v>20200111153431032</v>
      </c>
      <c r="B1593" t="str">
        <f>"1578728071027686"</f>
        <v>1578728071027686</v>
      </c>
      <c r="C1593" t="s">
        <v>37</v>
      </c>
      <c r="D1593">
        <v>4.5583780000000003</v>
      </c>
      <c r="E1593">
        <v>0.49974299999999999</v>
      </c>
      <c r="F1593" t="s">
        <v>52</v>
      </c>
      <c r="G1593">
        <v>-365.74329999999998</v>
      </c>
      <c r="H1593" s="1">
        <v>1.519531E-6</v>
      </c>
      <c r="I1593">
        <v>283.06689999999998</v>
      </c>
      <c r="J1593">
        <v>-307.86860000000001</v>
      </c>
      <c r="K1593">
        <v>1.1038429999999999</v>
      </c>
      <c r="L1593">
        <v>284.14690000000002</v>
      </c>
      <c r="M1593">
        <v>-0.99989689999999998</v>
      </c>
      <c r="N1593">
        <v>0</v>
      </c>
      <c r="O1593" s="1">
        <v>8.8987520000000003E-5</v>
      </c>
      <c r="P1593">
        <v>-0.99946369999999896</v>
      </c>
      <c r="Q1593">
        <v>2.7917330000000001E-2</v>
      </c>
      <c r="R1593">
        <v>-1.7115470000000001E-2</v>
      </c>
      <c r="S1593">
        <v>-3.002319</v>
      </c>
      <c r="T1593">
        <v>-5.7033059999999997E-2</v>
      </c>
      <c r="U1593">
        <v>-5.5786130000000003E-2</v>
      </c>
      <c r="V1593">
        <v>-1.7133570000000001E-2</v>
      </c>
      <c r="W1593">
        <v>4.2296960000000002E-2</v>
      </c>
      <c r="X1593">
        <v>0.99895820000000002</v>
      </c>
      <c r="Y1593">
        <v>-1.8663409999999998E-2</v>
      </c>
      <c r="Z1593">
        <v>-1.7892719999999999E-4</v>
      </c>
      <c r="AA1593">
        <v>0.99982579999999999</v>
      </c>
      <c r="AB1593">
        <v>42</v>
      </c>
      <c r="AC1593">
        <v>-57.874699999999898</v>
      </c>
      <c r="AD1593">
        <v>-1.103841480469</v>
      </c>
      <c r="AE1593">
        <v>-1.08000000000004</v>
      </c>
      <c r="AF1593">
        <v>-1.0847561801630199</v>
      </c>
      <c r="AG1593">
        <v>-1.103841480469</v>
      </c>
      <c r="AH1593">
        <v>57.853565151477497</v>
      </c>
      <c r="AI1593">
        <v>91.092874301983699</v>
      </c>
      <c r="AJ1593">
        <v>91.074171813629107</v>
      </c>
      <c r="AK1593">
        <v>57.874261660263599</v>
      </c>
    </row>
    <row r="1594" spans="1:37" x14ac:dyDescent="0.2">
      <c r="A1594" t="str">
        <f>"20200111153431045"</f>
        <v>20200111153431045</v>
      </c>
      <c r="B1594" t="str">
        <f>"1578728071037446"</f>
        <v>1578728071037446</v>
      </c>
      <c r="C1594" t="s">
        <v>37</v>
      </c>
      <c r="D1594">
        <v>4.5851119999999996</v>
      </c>
      <c r="E1594">
        <v>0.49971689999999902</v>
      </c>
      <c r="F1594" t="s">
        <v>52</v>
      </c>
      <c r="G1594">
        <v>-365.09989999999999</v>
      </c>
      <c r="H1594" s="1">
        <v>1.1771450000000001E-6</v>
      </c>
      <c r="I1594">
        <v>283.1044</v>
      </c>
      <c r="J1594">
        <v>-308.11290000000002</v>
      </c>
      <c r="K1594">
        <v>1.103828</v>
      </c>
      <c r="L1594">
        <v>284.1472</v>
      </c>
      <c r="M1594">
        <v>-0.99989669999999897</v>
      </c>
      <c r="N1594">
        <v>0</v>
      </c>
      <c r="O1594">
        <v>5.0944399999999996E-4</v>
      </c>
      <c r="P1594">
        <v>-0.99947710000000001</v>
      </c>
      <c r="Q1594">
        <v>2.796856E-2</v>
      </c>
      <c r="R1594">
        <v>-1.6223689999999999E-2</v>
      </c>
      <c r="S1594">
        <v>-3.00228899999999</v>
      </c>
      <c r="T1594">
        <v>-5.7906270000000003E-2</v>
      </c>
      <c r="U1594">
        <v>-5.46875E-2</v>
      </c>
      <c r="V1594">
        <v>-1.6660040000000001E-2</v>
      </c>
      <c r="W1594">
        <v>4.2346509999999997E-2</v>
      </c>
      <c r="X1594">
        <v>0.99896409999999902</v>
      </c>
      <c r="Y1594">
        <v>-1.871809E-2</v>
      </c>
      <c r="Z1594">
        <v>-1.903048E-4</v>
      </c>
      <c r="AA1594">
        <v>0.99982479999999996</v>
      </c>
      <c r="AB1594">
        <v>42</v>
      </c>
      <c r="AC1594">
        <v>-56.986999999999902</v>
      </c>
      <c r="AD1594">
        <v>-1.1038268228549999</v>
      </c>
      <c r="AE1594">
        <v>-1.04279999999999</v>
      </c>
      <c r="AF1594">
        <v>-1.0714326900107101</v>
      </c>
      <c r="AG1594">
        <v>-1.1038268228549999</v>
      </c>
      <c r="AH1594">
        <v>56.965095767549201</v>
      </c>
      <c r="AI1594">
        <v>91.109899385109003</v>
      </c>
      <c r="AJ1594">
        <v>91.077525331646001</v>
      </c>
      <c r="AK1594">
        <v>56.985862610564503</v>
      </c>
    </row>
    <row r="1595" spans="1:37" x14ac:dyDescent="0.2">
      <c r="A1595" t="str">
        <f>"20200111153431056"</f>
        <v>20200111153431056</v>
      </c>
      <c r="B1595" t="str">
        <f>"1578728071048182"</f>
        <v>1578728071048182</v>
      </c>
      <c r="C1595" t="s">
        <v>37</v>
      </c>
      <c r="D1595">
        <v>4.5771579999999998</v>
      </c>
      <c r="E1595">
        <v>0.49970369999999997</v>
      </c>
      <c r="F1595" t="s">
        <v>52</v>
      </c>
      <c r="G1595">
        <v>-365.44229999999999</v>
      </c>
      <c r="H1595" s="1">
        <v>1.3593189999999999E-6</v>
      </c>
      <c r="I1595">
        <v>283.15010000000001</v>
      </c>
      <c r="J1595">
        <v>-308.3304</v>
      </c>
      <c r="K1595">
        <v>1.103815</v>
      </c>
      <c r="L1595">
        <v>284.14760000000001</v>
      </c>
      <c r="M1595">
        <v>-0.99989660000000002</v>
      </c>
      <c r="N1595">
        <v>0</v>
      </c>
      <c r="O1595">
        <v>8.8413689999999997E-4</v>
      </c>
      <c r="P1595">
        <v>-0.99948590000000004</v>
      </c>
      <c r="Q1595">
        <v>2.823525E-2</v>
      </c>
      <c r="R1595">
        <v>-1.519964E-2</v>
      </c>
      <c r="S1595">
        <v>-3.002319</v>
      </c>
      <c r="T1595">
        <v>-5.7806969999999999E-2</v>
      </c>
      <c r="U1595">
        <v>-5.2215579999999998E-2</v>
      </c>
      <c r="V1595">
        <v>-1.6008700000000001E-2</v>
      </c>
      <c r="W1595">
        <v>4.2611400000000001E-2</v>
      </c>
      <c r="X1595">
        <v>0.9989635</v>
      </c>
      <c r="Y1595">
        <v>-1.826966E-2</v>
      </c>
      <c r="Z1595">
        <v>-1.9287549999999999E-4</v>
      </c>
      <c r="AA1595">
        <v>0.99983310000000003</v>
      </c>
      <c r="AB1595">
        <v>42</v>
      </c>
      <c r="AC1595">
        <v>-57.111899999999899</v>
      </c>
      <c r="AD1595">
        <v>-1.103813640681</v>
      </c>
      <c r="AE1595">
        <v>-0.99750000000000205</v>
      </c>
      <c r="AF1595">
        <v>-1.0476083448722699</v>
      </c>
      <c r="AG1595">
        <v>-1.103813640681</v>
      </c>
      <c r="AH1595">
        <v>57.089676823271503</v>
      </c>
      <c r="AI1595">
        <v>91.1074741704291</v>
      </c>
      <c r="AJ1595">
        <v>91.051272387377693</v>
      </c>
      <c r="AK1595">
        <v>57.109956116102801</v>
      </c>
    </row>
    <row r="1596" spans="1:37" x14ac:dyDescent="0.2">
      <c r="A1596" t="str">
        <f>"20200111153431073"</f>
        <v>20200111153431073</v>
      </c>
      <c r="B1596" t="str">
        <f>"1578728071067701"</f>
        <v>1578728071067701</v>
      </c>
      <c r="C1596" t="s">
        <v>37</v>
      </c>
      <c r="D1596">
        <v>4.626271</v>
      </c>
      <c r="E1596">
        <v>0.4997219</v>
      </c>
      <c r="F1596" t="s">
        <v>52</v>
      </c>
      <c r="G1596">
        <v>-366.1635</v>
      </c>
      <c r="H1596" s="1">
        <v>1.743144E-6</v>
      </c>
      <c r="I1596">
        <v>283.19760000000002</v>
      </c>
      <c r="J1596">
        <v>-308.63830000000002</v>
      </c>
      <c r="K1596">
        <v>1.1037969999999999</v>
      </c>
      <c r="L1596">
        <v>284.14830000000001</v>
      </c>
      <c r="M1596">
        <v>-0.99989599999999901</v>
      </c>
      <c r="N1596">
        <v>0</v>
      </c>
      <c r="O1596">
        <v>1.4150879999999999E-3</v>
      </c>
      <c r="P1596">
        <v>-0.99950469999999902</v>
      </c>
      <c r="Q1596">
        <v>2.8207349999999999E-2</v>
      </c>
      <c r="R1596">
        <v>-1.395509E-2</v>
      </c>
      <c r="S1596">
        <v>-3.00238</v>
      </c>
      <c r="T1596">
        <v>-5.730391E-2</v>
      </c>
      <c r="U1596">
        <v>-4.9316409999999998E-2</v>
      </c>
      <c r="V1596">
        <v>-1.5292770000000001E-2</v>
      </c>
      <c r="W1596">
        <v>4.2581380000000002E-2</v>
      </c>
      <c r="X1596">
        <v>0.99897590000000003</v>
      </c>
      <c r="Y1596">
        <v>-1.783508E-2</v>
      </c>
      <c r="Z1596">
        <v>-1.971818E-4</v>
      </c>
      <c r="AA1596">
        <v>0.99984089999999903</v>
      </c>
      <c r="AB1596">
        <v>42</v>
      </c>
      <c r="AC1596">
        <v>-57.525199999999899</v>
      </c>
      <c r="AD1596">
        <v>-1.1037952568559899</v>
      </c>
      <c r="AE1596">
        <v>-0.950699999999983</v>
      </c>
      <c r="AF1596">
        <v>-1.03173089396812</v>
      </c>
      <c r="AG1596">
        <v>-1.1037952568559899</v>
      </c>
      <c r="AH1596">
        <v>57.502631362924703</v>
      </c>
      <c r="AI1596">
        <v>91.099512641768499</v>
      </c>
      <c r="AJ1596">
        <v>91.027909196426094</v>
      </c>
      <c r="AK1596">
        <v>57.522477747981597</v>
      </c>
    </row>
    <row r="1597" spans="1:37" x14ac:dyDescent="0.2">
      <c r="A1597" t="str">
        <f>"20200111153431087"</f>
        <v>20200111153431087</v>
      </c>
      <c r="B1597" t="str">
        <f>"1578728071077462"</f>
        <v>1578728071077462</v>
      </c>
      <c r="C1597" t="s">
        <v>37</v>
      </c>
      <c r="D1597">
        <v>4.5610739999999996</v>
      </c>
      <c r="E1597">
        <v>0.49962109999999899</v>
      </c>
      <c r="F1597" t="s">
        <v>52</v>
      </c>
      <c r="G1597">
        <v>-366.4667</v>
      </c>
      <c r="H1597" s="1">
        <v>1.90444799999999E-6</v>
      </c>
      <c r="I1597">
        <v>283.2731</v>
      </c>
      <c r="J1597">
        <v>-308.88310000000001</v>
      </c>
      <c r="K1597">
        <v>1.1037870000000001</v>
      </c>
      <c r="L1597">
        <v>284.149</v>
      </c>
      <c r="M1597">
        <v>-0.99989530000000004</v>
      </c>
      <c r="N1597">
        <v>0</v>
      </c>
      <c r="O1597">
        <v>1.836889E-3</v>
      </c>
      <c r="P1597">
        <v>-0.9995212</v>
      </c>
      <c r="Q1597">
        <v>2.8036390000000001E-2</v>
      </c>
      <c r="R1597">
        <v>-1.3093459999999999E-2</v>
      </c>
      <c r="S1597">
        <v>-3.0025019999999998</v>
      </c>
      <c r="T1597">
        <v>-5.7310100000000003E-2</v>
      </c>
      <c r="U1597">
        <v>-4.5440670000000002E-2</v>
      </c>
      <c r="V1597">
        <v>-1.4852260000000001E-2</v>
      </c>
      <c r="W1597">
        <v>4.240845E-2</v>
      </c>
      <c r="X1597">
        <v>0.99898989999999999</v>
      </c>
      <c r="Y1597">
        <v>-1.6965959999999999E-2</v>
      </c>
      <c r="Z1597">
        <v>-1.969544E-4</v>
      </c>
      <c r="AA1597">
        <v>0.99985609999999903</v>
      </c>
      <c r="AB1597">
        <v>42</v>
      </c>
      <c r="AC1597">
        <v>-57.583599999999898</v>
      </c>
      <c r="AD1597">
        <v>-1.1037850955520001</v>
      </c>
      <c r="AE1597">
        <v>-0.87590000000000101</v>
      </c>
      <c r="AF1597">
        <v>-0.98132361897754705</v>
      </c>
      <c r="AG1597">
        <v>-1.1037850955520001</v>
      </c>
      <c r="AH1597">
        <v>57.5607492362494</v>
      </c>
      <c r="AI1597">
        <v>91.098409817415799</v>
      </c>
      <c r="AJ1597">
        <v>90.9767116663689</v>
      </c>
      <c r="AK1597">
        <v>57.579694252581</v>
      </c>
    </row>
    <row r="1598" spans="1:37" x14ac:dyDescent="0.2">
      <c r="A1598" t="str">
        <f>"20200111153431098"</f>
        <v>20200111153431098</v>
      </c>
      <c r="B1598" t="str">
        <f>"1578728071088198"</f>
        <v>1578728071088198</v>
      </c>
      <c r="C1598" t="s">
        <v>37</v>
      </c>
      <c r="D1598">
        <v>4.6101830000000001</v>
      </c>
      <c r="E1598">
        <v>0.49958439999999998</v>
      </c>
      <c r="F1598" t="s">
        <v>52</v>
      </c>
      <c r="G1598">
        <v>-365.45339999999999</v>
      </c>
      <c r="H1598" s="1">
        <v>1.3652259999999999E-6</v>
      </c>
      <c r="I1598">
        <v>283.32440000000003</v>
      </c>
      <c r="J1598">
        <v>-309.1046</v>
      </c>
      <c r="K1598">
        <v>1.1037779999999999</v>
      </c>
      <c r="L1598">
        <v>284.1497</v>
      </c>
      <c r="M1598">
        <v>-0.99989459999999997</v>
      </c>
      <c r="N1598">
        <v>0</v>
      </c>
      <c r="O1598">
        <v>2.218608E-3</v>
      </c>
      <c r="P1598">
        <v>-0.99952779999999997</v>
      </c>
      <c r="Q1598">
        <v>2.8207309999999999E-2</v>
      </c>
      <c r="R1598">
        <v>-1.21969E-2</v>
      </c>
      <c r="S1598">
        <v>-3.0025019999999998</v>
      </c>
      <c r="T1598">
        <v>-5.8584089999999998E-2</v>
      </c>
      <c r="U1598">
        <v>-4.3762210000000003E-2</v>
      </c>
      <c r="V1598">
        <v>-1.433626E-2</v>
      </c>
      <c r="W1598">
        <v>4.2577570000000002E-2</v>
      </c>
      <c r="X1598">
        <v>0.9989903</v>
      </c>
      <c r="Y1598">
        <v>-1.6788640000000001E-2</v>
      </c>
      <c r="Z1598">
        <v>-2.0705079999999999E-4</v>
      </c>
      <c r="AA1598">
        <v>0.99985900000000005</v>
      </c>
      <c r="AB1598">
        <v>42</v>
      </c>
      <c r="AC1598">
        <v>-56.348799999999898</v>
      </c>
      <c r="AD1598">
        <v>-1.1037766347739999</v>
      </c>
      <c r="AE1598">
        <v>-0.82529999999996995</v>
      </c>
      <c r="AF1598">
        <v>-0.94996231377006302</v>
      </c>
      <c r="AG1598">
        <v>-1.1037766347739999</v>
      </c>
      <c r="AH1598">
        <v>56.325222669878102</v>
      </c>
      <c r="AI1598">
        <v>91.122492853878001</v>
      </c>
      <c r="AJ1598">
        <v>90.966239791062904</v>
      </c>
      <c r="AK1598">
        <v>56.344045471268799</v>
      </c>
    </row>
    <row r="1599" spans="1:37" x14ac:dyDescent="0.2">
      <c r="A1599" t="str">
        <f>"20200111153431111"</f>
        <v>20200111153431111</v>
      </c>
      <c r="B1599" t="str">
        <f>"1578728071107718"</f>
        <v>1578728071107718</v>
      </c>
      <c r="C1599" t="s">
        <v>37</v>
      </c>
      <c r="D1599">
        <v>4.573518</v>
      </c>
      <c r="E1599">
        <v>0.49939790000000001</v>
      </c>
      <c r="F1599" t="s">
        <v>52</v>
      </c>
      <c r="G1599">
        <v>-365.97039999999998</v>
      </c>
      <c r="H1599" s="1">
        <v>1.6403569999999899E-6</v>
      </c>
      <c r="I1599">
        <v>283.36770000000001</v>
      </c>
      <c r="J1599">
        <v>-309.3331</v>
      </c>
      <c r="K1599">
        <v>1.103769</v>
      </c>
      <c r="L1599">
        <v>284.15050000000002</v>
      </c>
      <c r="M1599">
        <v>-0.99989359999999905</v>
      </c>
      <c r="N1599">
        <v>0</v>
      </c>
      <c r="O1599">
        <v>2.6118679999999998E-3</v>
      </c>
      <c r="P1599">
        <v>-0.99953570000000003</v>
      </c>
      <c r="Q1599">
        <v>2.8192680000000001E-2</v>
      </c>
      <c r="R1599">
        <v>-1.155483E-2</v>
      </c>
      <c r="S1599">
        <v>-3.00259399999999</v>
      </c>
      <c r="T1599">
        <v>-5.8280940000000003E-2</v>
      </c>
      <c r="U1599">
        <v>-4.1290279999999999E-2</v>
      </c>
      <c r="V1599">
        <v>-1.408618E-2</v>
      </c>
      <c r="W1599">
        <v>4.2561370000000001E-2</v>
      </c>
      <c r="X1599">
        <v>0.99899450000000001</v>
      </c>
      <c r="Y1599">
        <v>-1.635851E-2</v>
      </c>
      <c r="Z1599">
        <v>-2.0943359999999999E-4</v>
      </c>
      <c r="AA1599">
        <v>0.99986620000000004</v>
      </c>
      <c r="AB1599">
        <v>42</v>
      </c>
      <c r="AC1599">
        <v>-56.637299999999897</v>
      </c>
      <c r="AD1599">
        <v>-1.103767359643</v>
      </c>
      <c r="AE1599">
        <v>-0.78280000000000804</v>
      </c>
      <c r="AF1599">
        <v>-0.93038842744102301</v>
      </c>
      <c r="AG1599">
        <v>-1.103767359643</v>
      </c>
      <c r="AH1599">
        <v>56.613564513163404</v>
      </c>
      <c r="AI1599">
        <v>91.116775911510402</v>
      </c>
      <c r="AJ1599">
        <v>90.941515207673802</v>
      </c>
      <c r="AK1599">
        <v>56.631966343190399</v>
      </c>
    </row>
    <row r="1600" spans="1:37" x14ac:dyDescent="0.2">
      <c r="A1600" t="str">
        <f>"20200111153431126"</f>
        <v>20200111153431126</v>
      </c>
      <c r="B1600" t="str">
        <f>"1578728071117478"</f>
        <v>1578728071117478</v>
      </c>
      <c r="C1600" t="s">
        <v>37</v>
      </c>
      <c r="D1600">
        <v>4.5796409999999996</v>
      </c>
      <c r="E1600">
        <v>0.49933119999999998</v>
      </c>
      <c r="F1600" t="s">
        <v>52</v>
      </c>
      <c r="G1600">
        <v>-365.2534</v>
      </c>
      <c r="H1600" s="1">
        <v>1.258832E-6</v>
      </c>
      <c r="I1600">
        <v>283.385999999999</v>
      </c>
      <c r="J1600">
        <v>-309.60059999999999</v>
      </c>
      <c r="K1600">
        <v>1.103761</v>
      </c>
      <c r="L1600">
        <v>284.1515</v>
      </c>
      <c r="M1600">
        <v>-0.99989240000000001</v>
      </c>
      <c r="N1600">
        <v>0</v>
      </c>
      <c r="O1600">
        <v>3.0718909999999898E-3</v>
      </c>
      <c r="P1600">
        <v>-0.99954799999999999</v>
      </c>
      <c r="Q1600">
        <v>2.8000919999999999E-2</v>
      </c>
      <c r="R1600">
        <v>-1.094353E-2</v>
      </c>
      <c r="S1600">
        <v>-3.0025629999999999</v>
      </c>
      <c r="T1600">
        <v>-5.926526E-2</v>
      </c>
      <c r="U1600">
        <v>-4.1046140000000002E-2</v>
      </c>
      <c r="V1600">
        <v>-1.3934810000000001E-2</v>
      </c>
      <c r="W1600">
        <v>4.2367950000000001E-2</v>
      </c>
      <c r="X1600">
        <v>0.99900489999999997</v>
      </c>
      <c r="Y1600">
        <v>-1.673709E-2</v>
      </c>
      <c r="Z1600">
        <v>-2.2578769999999999E-4</v>
      </c>
      <c r="AA1600">
        <v>0.99985990000000002</v>
      </c>
      <c r="AB1600">
        <v>42</v>
      </c>
      <c r="AC1600">
        <v>-55.652799999999999</v>
      </c>
      <c r="AD1600">
        <v>-1.103759741168</v>
      </c>
      <c r="AE1600">
        <v>-0.76550000000003104</v>
      </c>
      <c r="AF1600">
        <v>-0.936105169341514</v>
      </c>
      <c r="AG1600">
        <v>-1.103759741168</v>
      </c>
      <c r="AH1600">
        <v>55.628308536828101</v>
      </c>
      <c r="AI1600">
        <v>91.136535165448095</v>
      </c>
      <c r="AJ1600">
        <v>90.964074136673901</v>
      </c>
      <c r="AK1600">
        <v>55.647131903835202</v>
      </c>
    </row>
    <row r="1601" spans="1:37" x14ac:dyDescent="0.2">
      <c r="A1601" t="str">
        <f>"20200111153431140"</f>
        <v>20200111153431140</v>
      </c>
      <c r="B1601" t="str">
        <f>"1578728071128214"</f>
        <v>1578728071128214</v>
      </c>
      <c r="C1601" t="s">
        <v>37</v>
      </c>
      <c r="D1601">
        <v>4.5770019999999896</v>
      </c>
      <c r="E1601">
        <v>0.49920039999999999</v>
      </c>
      <c r="F1601" t="s">
        <v>52</v>
      </c>
      <c r="G1601">
        <v>-364.84390000000002</v>
      </c>
      <c r="H1601" s="1">
        <v>1.0408719999999999E-6</v>
      </c>
      <c r="I1601">
        <v>283.41930000000002</v>
      </c>
      <c r="J1601">
        <v>-309.8707</v>
      </c>
      <c r="K1601">
        <v>1.1037459999999999</v>
      </c>
      <c r="L1601">
        <v>284.15269999999998</v>
      </c>
      <c r="M1601">
        <v>-0.99989089999999903</v>
      </c>
      <c r="N1601">
        <v>0</v>
      </c>
      <c r="O1601">
        <v>3.5360109999999999E-3</v>
      </c>
      <c r="P1601">
        <v>-0.99956039999999902</v>
      </c>
      <c r="Q1601">
        <v>2.7768660000000001E-2</v>
      </c>
      <c r="R1601">
        <v>-1.0389229999999999E-2</v>
      </c>
      <c r="S1601">
        <v>-3.00259399999999</v>
      </c>
      <c r="T1601">
        <v>-5.9991839999999998E-2</v>
      </c>
      <c r="U1601">
        <v>-3.9794919999999998E-2</v>
      </c>
      <c r="V1601">
        <v>-1.3843970000000001E-2</v>
      </c>
      <c r="W1601">
        <v>4.2134039999999998E-2</v>
      </c>
      <c r="X1601">
        <v>0.99901600000000002</v>
      </c>
      <c r="Y1601">
        <v>-1.678427E-2</v>
      </c>
      <c r="Z1601">
        <v>-2.382978E-4</v>
      </c>
      <c r="AA1601">
        <v>0.9998591</v>
      </c>
      <c r="AB1601">
        <v>41</v>
      </c>
      <c r="AC1601">
        <v>-54.973199999999999</v>
      </c>
      <c r="AD1601">
        <v>-1.103744959128</v>
      </c>
      <c r="AE1601">
        <v>-0.73339999999995997</v>
      </c>
      <c r="AF1601">
        <v>-0.92742744918655196</v>
      </c>
      <c r="AG1601">
        <v>-1.103744959128</v>
      </c>
      <c r="AH1601">
        <v>54.948115877740001</v>
      </c>
      <c r="AI1601">
        <v>91.150583985344795</v>
      </c>
      <c r="AJ1601">
        <v>90.966960063903798</v>
      </c>
      <c r="AK1601">
        <v>54.967024779606298</v>
      </c>
    </row>
    <row r="1602" spans="1:37" x14ac:dyDescent="0.2">
      <c r="A1602" t="str">
        <f>"20200111153431155"</f>
        <v>20200111153431155</v>
      </c>
      <c r="B1602" t="str">
        <f>"1578728071147525"</f>
        <v>1578728071147525</v>
      </c>
      <c r="C1602" t="s">
        <v>37</v>
      </c>
      <c r="D1602">
        <v>4.6059019999999897</v>
      </c>
      <c r="E1602">
        <v>0.49906200000000001</v>
      </c>
      <c r="F1602" t="s">
        <v>52</v>
      </c>
      <c r="G1602">
        <v>-363.90300000000002</v>
      </c>
      <c r="H1602" s="1">
        <v>5.4017630000000004E-7</v>
      </c>
      <c r="I1602">
        <v>283.44819999999999</v>
      </c>
      <c r="J1602">
        <v>-310.16500000000002</v>
      </c>
      <c r="K1602">
        <v>1.1037399999999999</v>
      </c>
      <c r="L1602">
        <v>284.1542</v>
      </c>
      <c r="M1602">
        <v>-0.99988899999999903</v>
      </c>
      <c r="N1602">
        <v>0</v>
      </c>
      <c r="O1602">
        <v>4.0424299999999996E-3</v>
      </c>
      <c r="P1602">
        <v>-0.99956970000000001</v>
      </c>
      <c r="Q1602">
        <v>2.7528710000000001E-2</v>
      </c>
      <c r="R1602">
        <v>-1.014788E-2</v>
      </c>
      <c r="S1602">
        <v>-3.0026250000000001</v>
      </c>
      <c r="T1602">
        <v>-6.1336160000000001E-2</v>
      </c>
      <c r="U1602">
        <v>-3.9154050000000003E-2</v>
      </c>
      <c r="V1602">
        <v>-1.410849E-2</v>
      </c>
      <c r="W1602">
        <v>4.1892970000000002E-2</v>
      </c>
      <c r="X1602">
        <v>0.99902250000000004</v>
      </c>
      <c r="Y1602">
        <v>-1.7076830000000001E-2</v>
      </c>
      <c r="Z1602">
        <v>-2.5696660000000001E-4</v>
      </c>
      <c r="AA1602">
        <v>0.99985409999999997</v>
      </c>
      <c r="AB1602">
        <v>41</v>
      </c>
      <c r="AC1602">
        <v>-53.738</v>
      </c>
      <c r="AD1602">
        <v>-1.10373945982369</v>
      </c>
      <c r="AE1602">
        <v>-0.70600000000001695</v>
      </c>
      <c r="AF1602">
        <v>-0.92285942172538604</v>
      </c>
      <c r="AG1602">
        <v>-1.10373945982369</v>
      </c>
      <c r="AH1602">
        <v>53.712051436827402</v>
      </c>
      <c r="AI1602">
        <v>91.177042833099506</v>
      </c>
      <c r="AJ1602">
        <v>90.984336779686501</v>
      </c>
      <c r="AK1602">
        <v>53.73131656548</v>
      </c>
    </row>
    <row r="1603" spans="1:37" x14ac:dyDescent="0.2">
      <c r="A1603" t="str">
        <f>"20200111153431168"</f>
        <v>20200111153431168</v>
      </c>
      <c r="B1603" t="str">
        <f>"1578728071158261"</f>
        <v>1578728071158261</v>
      </c>
      <c r="C1603" t="s">
        <v>37</v>
      </c>
      <c r="D1603">
        <v>4.6208150000000003</v>
      </c>
      <c r="E1603">
        <v>0.49902219999999903</v>
      </c>
      <c r="F1603" t="s">
        <v>52</v>
      </c>
      <c r="G1603">
        <v>-362.99779999999998</v>
      </c>
      <c r="H1603" s="1">
        <v>5.85099E-8</v>
      </c>
      <c r="I1603">
        <v>283.45890000000003</v>
      </c>
      <c r="J1603">
        <v>-310.39150000000001</v>
      </c>
      <c r="K1603">
        <v>1.1037360000000001</v>
      </c>
      <c r="L1603">
        <v>284.15550000000002</v>
      </c>
      <c r="M1603">
        <v>-0.99988729999999904</v>
      </c>
      <c r="N1603">
        <v>0</v>
      </c>
      <c r="O1603">
        <v>4.432231E-3</v>
      </c>
      <c r="P1603">
        <v>-0.99957129999999905</v>
      </c>
      <c r="Q1603">
        <v>2.7540530000000001E-2</v>
      </c>
      <c r="R1603">
        <v>-9.9541850000000008E-3</v>
      </c>
      <c r="S1603">
        <v>-3.0026250000000001</v>
      </c>
      <c r="T1603">
        <v>-6.2728400000000004E-2</v>
      </c>
      <c r="U1603">
        <v>-3.9520260000000001E-2</v>
      </c>
      <c r="V1603">
        <v>-1.4304269999999999E-2</v>
      </c>
      <c r="W1603">
        <v>4.1904400000000001E-2</v>
      </c>
      <c r="X1603">
        <v>0.999019199999999</v>
      </c>
      <c r="Y1603">
        <v>-1.758813E-2</v>
      </c>
      <c r="Z1603">
        <v>-2.7628099999999899E-4</v>
      </c>
      <c r="AA1603">
        <v>0.99984530000000005</v>
      </c>
      <c r="AB1603">
        <v>41</v>
      </c>
      <c r="AC1603">
        <v>-52.606299999999898</v>
      </c>
      <c r="AD1603">
        <v>-1.1037359414901</v>
      </c>
      <c r="AE1603">
        <v>-0.69659999999998901</v>
      </c>
      <c r="AF1603">
        <v>-0.92937137739367204</v>
      </c>
      <c r="AG1603">
        <v>-1.1037359414901</v>
      </c>
      <c r="AH1603">
        <v>52.579553646134201</v>
      </c>
      <c r="AI1603">
        <v>91.202373322696403</v>
      </c>
      <c r="AJ1603">
        <v>91.012627712465601</v>
      </c>
      <c r="AK1603">
        <v>52.599348150070902</v>
      </c>
    </row>
    <row r="1604" spans="1:37" x14ac:dyDescent="0.2">
      <c r="A1604" t="str">
        <f>"20200111153431186"</f>
        <v>20200111153431186</v>
      </c>
      <c r="B1604" t="str">
        <f>"1578728071177781"</f>
        <v>1578728071177781</v>
      </c>
      <c r="C1604" t="s">
        <v>37</v>
      </c>
      <c r="D1604">
        <v>4.6307660000000004</v>
      </c>
      <c r="E1604">
        <v>0.4989384</v>
      </c>
      <c r="F1604" t="s">
        <v>52</v>
      </c>
      <c r="G1604">
        <v>-363.00029999999998</v>
      </c>
      <c r="H1604" s="1">
        <v>5.9804389999999996E-8</v>
      </c>
      <c r="I1604">
        <v>283.46730000000002</v>
      </c>
      <c r="J1604">
        <v>-310.72129999999999</v>
      </c>
      <c r="K1604">
        <v>1.1037319999999999</v>
      </c>
      <c r="L1604">
        <v>284.1574</v>
      </c>
      <c r="M1604">
        <v>-0.99988469999999996</v>
      </c>
      <c r="N1604">
        <v>0</v>
      </c>
      <c r="O1604">
        <v>5.0006109999999899E-3</v>
      </c>
      <c r="P1604">
        <v>-0.99956979999999995</v>
      </c>
      <c r="Q1604">
        <v>2.766791E-2</v>
      </c>
      <c r="R1604">
        <v>-9.7447450000000008E-3</v>
      </c>
      <c r="S1604">
        <v>-3.0026250000000001</v>
      </c>
      <c r="T1604">
        <v>-6.2995309999999999E-2</v>
      </c>
      <c r="U1604">
        <v>-3.9276119999999998E-2</v>
      </c>
      <c r="V1604">
        <v>-1.466195E-2</v>
      </c>
      <c r="W1604">
        <v>4.2030659999999997E-2</v>
      </c>
      <c r="X1604">
        <v>0.99900869999999997</v>
      </c>
      <c r="Y1604">
        <v>-1.8074929999999999E-2</v>
      </c>
      <c r="Z1604">
        <v>-2.9448629999999999E-4</v>
      </c>
      <c r="AA1604">
        <v>0.99983659999999996</v>
      </c>
      <c r="AB1604">
        <v>41</v>
      </c>
      <c r="AC1604">
        <v>-52.278999999999897</v>
      </c>
      <c r="AD1604">
        <v>-1.1037319401956001</v>
      </c>
      <c r="AE1604">
        <v>-0.69009999999997196</v>
      </c>
      <c r="AF1604">
        <v>-0.95112131834054203</v>
      </c>
      <c r="AG1604">
        <v>-1.1037319401956001</v>
      </c>
      <c r="AH1604">
        <v>52.251608842267999</v>
      </c>
      <c r="AI1604">
        <v>91.209901676491498</v>
      </c>
      <c r="AJ1604">
        <v>91.042823770427106</v>
      </c>
      <c r="AK1604">
        <v>52.271918680715999</v>
      </c>
    </row>
    <row r="1605" spans="1:37" x14ac:dyDescent="0.2">
      <c r="A1605" t="str">
        <f>"20200111153431207"</f>
        <v>20200111153431207</v>
      </c>
      <c r="B1605" t="str">
        <f>"1578728071198277"</f>
        <v>1578728071198277</v>
      </c>
      <c r="C1605" t="s">
        <v>37</v>
      </c>
      <c r="D1605">
        <v>4.5596620000000003</v>
      </c>
      <c r="E1605">
        <v>0.49881769999999998</v>
      </c>
      <c r="F1605" t="s">
        <v>52</v>
      </c>
      <c r="G1605">
        <v>-363.28390000000002</v>
      </c>
      <c r="H1605" s="1">
        <v>2.1072889999999999E-7</v>
      </c>
      <c r="I1605">
        <v>283.464</v>
      </c>
      <c r="J1605">
        <v>-311.1114</v>
      </c>
      <c r="K1605">
        <v>1.103731</v>
      </c>
      <c r="L1605">
        <v>284.16000000000003</v>
      </c>
      <c r="M1605">
        <v>-0.99988120000000003</v>
      </c>
      <c r="N1605">
        <v>0</v>
      </c>
      <c r="O1605">
        <v>5.6735240000000001E-3</v>
      </c>
      <c r="P1605">
        <v>-0.99957129999999905</v>
      </c>
      <c r="Q1605">
        <v>2.7704179999999998E-2</v>
      </c>
      <c r="R1605">
        <v>-9.4871720000000003E-3</v>
      </c>
      <c r="S1605">
        <v>-3.0026549999999999</v>
      </c>
      <c r="T1605">
        <v>-6.3051099999999999E-2</v>
      </c>
      <c r="U1605">
        <v>-3.9611819999999999E-2</v>
      </c>
      <c r="V1605">
        <v>-1.5076839999999999E-2</v>
      </c>
      <c r="W1605">
        <v>4.2064949999999997E-2</v>
      </c>
      <c r="X1605">
        <v>0.99900109999999998</v>
      </c>
      <c r="Y1605">
        <v>-1.8859109999999998E-2</v>
      </c>
      <c r="Z1605">
        <v>-3.1710540000000001E-4</v>
      </c>
      <c r="AA1605">
        <v>0.99982209999999905</v>
      </c>
      <c r="AB1605">
        <v>41</v>
      </c>
      <c r="AC1605">
        <v>-52.172499999999999</v>
      </c>
      <c r="AD1605">
        <v>-1.1037307892710999</v>
      </c>
      <c r="AE1605">
        <v>-0.69600000000002604</v>
      </c>
      <c r="AF1605">
        <v>-0.99157742740584398</v>
      </c>
      <c r="AG1605">
        <v>-1.1037307892710999</v>
      </c>
      <c r="AH1605">
        <v>52.144377813237803</v>
      </c>
      <c r="AI1605">
        <v>91.212369406384198</v>
      </c>
      <c r="AJ1605">
        <v>91.089405176135699</v>
      </c>
      <c r="AK1605">
        <v>52.165482696697197</v>
      </c>
    </row>
    <row r="1606" spans="1:37" x14ac:dyDescent="0.2">
      <c r="A1606" t="str">
        <f>"20200111153431220"</f>
        <v>20200111153431220</v>
      </c>
      <c r="B1606" t="str">
        <f>"1578728071217797"</f>
        <v>1578728071217797</v>
      </c>
      <c r="C1606" t="s">
        <v>37</v>
      </c>
      <c r="D1606">
        <v>6.0912709999999999</v>
      </c>
      <c r="E1606">
        <v>0.4987144</v>
      </c>
      <c r="F1606" t="s">
        <v>52</v>
      </c>
      <c r="G1606">
        <v>-363.09480000000002</v>
      </c>
      <c r="H1606" s="1">
        <v>1.1008189999999899E-7</v>
      </c>
      <c r="I1606">
        <v>283.471</v>
      </c>
      <c r="J1606">
        <v>-311.3571</v>
      </c>
      <c r="K1606">
        <v>1.103728</v>
      </c>
      <c r="L1606">
        <v>284.1617</v>
      </c>
      <c r="M1606">
        <v>-0.99987870000000001</v>
      </c>
      <c r="N1606">
        <v>0</v>
      </c>
      <c r="O1606">
        <v>6.0972689999999998E-3</v>
      </c>
      <c r="P1606">
        <v>-0.99957559999999901</v>
      </c>
      <c r="Q1606">
        <v>2.7652409999999999E-2</v>
      </c>
      <c r="R1606">
        <v>-9.1923030000000006E-3</v>
      </c>
      <c r="S1606">
        <v>-3.0026860000000002</v>
      </c>
      <c r="T1606">
        <v>-6.3754199999999997E-2</v>
      </c>
      <c r="U1606">
        <v>-3.9794919999999998E-2</v>
      </c>
      <c r="V1606">
        <v>-1.520549E-2</v>
      </c>
      <c r="W1606">
        <v>4.2012550000000003E-2</v>
      </c>
      <c r="X1606">
        <v>0.99900140000000004</v>
      </c>
      <c r="Y1606">
        <v>-1.9343320000000001E-2</v>
      </c>
      <c r="Z1606">
        <v>-3.3477369999999998E-4</v>
      </c>
      <c r="AA1606">
        <v>0.99981279999999995</v>
      </c>
      <c r="AB1606">
        <v>41</v>
      </c>
      <c r="AC1606">
        <v>-51.737699999999997</v>
      </c>
      <c r="AD1606">
        <v>-1.1037278899181</v>
      </c>
      <c r="AE1606">
        <v>-0.69069999999999199</v>
      </c>
      <c r="AF1606">
        <v>-1.0057206115563799</v>
      </c>
      <c r="AG1606">
        <v>-1.1037278899181</v>
      </c>
      <c r="AH1606">
        <v>51.708997527098198</v>
      </c>
      <c r="AI1606">
        <v>91.222560849673002</v>
      </c>
      <c r="AJ1606">
        <v>91.114240939074904</v>
      </c>
      <c r="AK1606">
        <v>51.730553007491999</v>
      </c>
    </row>
    <row r="1607" spans="1:37" x14ac:dyDescent="0.2">
      <c r="A1607" t="str">
        <f>"20200111153431233"</f>
        <v>20200111153431233</v>
      </c>
      <c r="B1607" t="str">
        <f>"1578728071227557"</f>
        <v>1578728071227557</v>
      </c>
      <c r="C1607" t="s">
        <v>37</v>
      </c>
      <c r="D1607">
        <v>4.5924370000000003</v>
      </c>
      <c r="E1607">
        <v>0.4987144</v>
      </c>
      <c r="F1607" t="s">
        <v>52</v>
      </c>
      <c r="G1607">
        <v>-362.80619999999999</v>
      </c>
      <c r="H1607" s="1">
        <v>-4.3502500000000002E-8</v>
      </c>
      <c r="I1607">
        <v>283.47879999999998</v>
      </c>
      <c r="J1607">
        <v>-311.59249999999997</v>
      </c>
      <c r="K1607">
        <v>1.1037239999999999</v>
      </c>
      <c r="L1607">
        <v>284.1635</v>
      </c>
      <c r="M1607">
        <v>-0.99987619999999899</v>
      </c>
      <c r="N1607">
        <v>0</v>
      </c>
      <c r="O1607">
        <v>6.5034849999999998E-3</v>
      </c>
      <c r="P1607">
        <v>-0.99957619999999903</v>
      </c>
      <c r="Q1607">
        <v>2.765395E-2</v>
      </c>
      <c r="R1607">
        <v>-9.1131010000000002E-3</v>
      </c>
      <c r="S1607">
        <v>-3.0026860000000002</v>
      </c>
      <c r="T1607">
        <v>-6.4416050000000002E-2</v>
      </c>
      <c r="U1607">
        <v>-3.9855960000000003E-2</v>
      </c>
      <c r="V1607">
        <v>-1.5532270000000001E-2</v>
      </c>
      <c r="W1607">
        <v>4.201303E-2</v>
      </c>
      <c r="X1607">
        <v>0.99899629999999995</v>
      </c>
      <c r="Y1607">
        <v>-1.976953E-2</v>
      </c>
      <c r="Z1607">
        <v>-3.5153319999999899E-4</v>
      </c>
      <c r="AA1607">
        <v>0.99980449999999998</v>
      </c>
      <c r="AB1607">
        <v>41</v>
      </c>
      <c r="AC1607">
        <v>-51.213700000000003</v>
      </c>
      <c r="AD1607">
        <v>-1.1037240435025</v>
      </c>
      <c r="AE1607">
        <v>-0.68470000000001996</v>
      </c>
      <c r="AF1607">
        <v>-1.01731482167346</v>
      </c>
      <c r="AG1607">
        <v>-1.1037240435025</v>
      </c>
      <c r="AH1607">
        <v>51.184394446726401</v>
      </c>
      <c r="AI1607">
        <v>91.235072716190501</v>
      </c>
      <c r="AJ1607">
        <v>91.138631665369104</v>
      </c>
      <c r="AK1607">
        <v>51.206399708324398</v>
      </c>
    </row>
    <row r="1608" spans="1:37" x14ac:dyDescent="0.2">
      <c r="A1608" t="str">
        <f>"20200111153431245"</f>
        <v>20200111153431245</v>
      </c>
      <c r="B1608" t="str">
        <f>"1578728071237384"</f>
        <v>1578728071237384</v>
      </c>
      <c r="C1608" t="s">
        <v>37</v>
      </c>
      <c r="D1608">
        <v>4.6357140000000001</v>
      </c>
      <c r="E1608">
        <v>0.48092629999999997</v>
      </c>
      <c r="F1608" t="s">
        <v>52</v>
      </c>
      <c r="G1608">
        <v>-363.04129999999998</v>
      </c>
      <c r="H1608" s="1">
        <v>8.1651759999999906E-8</v>
      </c>
      <c r="I1608">
        <v>283.48739999999998</v>
      </c>
      <c r="J1608">
        <v>-311.81610000000001</v>
      </c>
      <c r="K1608">
        <v>1.1037250000000001</v>
      </c>
      <c r="L1608">
        <v>284.16520000000003</v>
      </c>
      <c r="M1608">
        <v>-0.99987349999999997</v>
      </c>
      <c r="N1608">
        <v>0</v>
      </c>
      <c r="O1608">
        <v>6.8899059999999899E-3</v>
      </c>
      <c r="P1608">
        <v>-0.99958639999999999</v>
      </c>
      <c r="Q1608">
        <v>2.729614E-2</v>
      </c>
      <c r="R1608">
        <v>-9.0584059999999997E-3</v>
      </c>
      <c r="S1608">
        <v>-3.0027159999999999</v>
      </c>
      <c r="T1608">
        <v>-6.4416769999999998E-2</v>
      </c>
      <c r="U1608">
        <v>-3.9459229999999998E-2</v>
      </c>
      <c r="V1608">
        <v>-1.5864530000000002E-2</v>
      </c>
      <c r="W1608">
        <v>4.1654280000000002E-2</v>
      </c>
      <c r="X1608">
        <v>0.99900619999999996</v>
      </c>
      <c r="Y1608">
        <v>-2.0023559999999999E-2</v>
      </c>
      <c r="Z1608">
        <v>-3.6254769999999998E-4</v>
      </c>
      <c r="AA1608">
        <v>0.9997994</v>
      </c>
      <c r="AB1608">
        <v>41</v>
      </c>
      <c r="AC1608">
        <v>-51.225199999999901</v>
      </c>
      <c r="AD1608">
        <v>-1.10372491834824</v>
      </c>
      <c r="AE1608">
        <v>-0.67780000000004703</v>
      </c>
      <c r="AF1608">
        <v>-1.03027876775756</v>
      </c>
      <c r="AG1608">
        <v>-1.10372491834824</v>
      </c>
      <c r="AH1608">
        <v>51.195549918654301</v>
      </c>
      <c r="AI1608">
        <v>91.234798514250102</v>
      </c>
      <c r="AJ1608">
        <v>91.152886494865896</v>
      </c>
      <c r="AK1608">
        <v>51.217809544221097</v>
      </c>
    </row>
    <row r="1609" spans="1:37" x14ac:dyDescent="0.2">
      <c r="A1609" t="str">
        <f>"20200111153431256"</f>
        <v>20200111153431256</v>
      </c>
      <c r="B1609" t="str">
        <f>"1578728071248121"</f>
        <v>1578728071248121</v>
      </c>
      <c r="C1609" t="s">
        <v>37</v>
      </c>
      <c r="D1609">
        <v>4.6383330000000003</v>
      </c>
      <c r="E1609">
        <v>0.47874749999999999</v>
      </c>
      <c r="F1609" t="s">
        <v>52</v>
      </c>
      <c r="G1609">
        <v>-348.4991</v>
      </c>
      <c r="H1609" s="1">
        <v>2.986004E-6</v>
      </c>
      <c r="I1609">
        <v>281.94830000000002</v>
      </c>
      <c r="J1609">
        <v>-312.0446</v>
      </c>
      <c r="K1609">
        <v>1.1037239999999999</v>
      </c>
      <c r="L1609">
        <v>284.1671</v>
      </c>
      <c r="M1609">
        <v>-0.99987079999999995</v>
      </c>
      <c r="N1609">
        <v>0</v>
      </c>
      <c r="O1609">
        <v>7.2848459999999898E-3</v>
      </c>
      <c r="P1609">
        <v>-0.99959149999999997</v>
      </c>
      <c r="Q1609">
        <v>2.7143110000000002E-2</v>
      </c>
      <c r="R1609">
        <v>-8.9612670000000002E-3</v>
      </c>
      <c r="S1609">
        <v>-3.002075</v>
      </c>
      <c r="T1609">
        <v>-9.0326790000000004E-2</v>
      </c>
      <c r="U1609">
        <v>-0.181427</v>
      </c>
      <c r="V1609">
        <v>-1.6162360000000001E-2</v>
      </c>
      <c r="W1609">
        <v>4.1500389999999998E-2</v>
      </c>
      <c r="X1609">
        <v>0.9990078</v>
      </c>
      <c r="Y1609">
        <v>-6.7560780000000001E-2</v>
      </c>
      <c r="Z1609">
        <v>-1.234204E-3</v>
      </c>
      <c r="AA1609">
        <v>0.9977144</v>
      </c>
      <c r="AB1609">
        <v>41</v>
      </c>
      <c r="AC1609">
        <v>-36.454500000000003</v>
      </c>
      <c r="AD1609">
        <v>-1.1037210139960001</v>
      </c>
      <c r="AE1609">
        <v>-2.2187999999999799</v>
      </c>
      <c r="AF1609">
        <v>-2.4820669412963401</v>
      </c>
      <c r="AG1609">
        <v>-1.1037210139960001</v>
      </c>
      <c r="AH1609">
        <v>36.404119559451999</v>
      </c>
      <c r="AI1609">
        <v>91.732574464964301</v>
      </c>
      <c r="AJ1609">
        <v>93.9004434238839</v>
      </c>
      <c r="AK1609">
        <v>36.505325327637998</v>
      </c>
    </row>
    <row r="1610" spans="1:37" x14ac:dyDescent="0.2">
      <c r="A1610" t="str">
        <f>"20200111153431270"</f>
        <v>20200111153431270</v>
      </c>
      <c r="B1610" t="str">
        <f>"1578728071257880"</f>
        <v>1578728071257880</v>
      </c>
      <c r="C1610" t="s">
        <v>37</v>
      </c>
      <c r="D1610">
        <v>4.6295769999999896</v>
      </c>
      <c r="E1610">
        <v>0.47805950000000003</v>
      </c>
      <c r="F1610" t="s">
        <v>52</v>
      </c>
      <c r="G1610">
        <v>-347.12869999999998</v>
      </c>
      <c r="H1610" s="1">
        <v>2.256734E-6</v>
      </c>
      <c r="I1610">
        <v>281.8467</v>
      </c>
      <c r="J1610">
        <v>-312.2715</v>
      </c>
      <c r="K1610">
        <v>1.1037239999999999</v>
      </c>
      <c r="L1610">
        <v>284.16910000000001</v>
      </c>
      <c r="M1610">
        <v>-0.99986790000000003</v>
      </c>
      <c r="N1610">
        <v>0</v>
      </c>
      <c r="O1610">
        <v>7.6766859999999899E-3</v>
      </c>
      <c r="P1610">
        <v>-0.99959830000000005</v>
      </c>
      <c r="Q1610">
        <v>2.6970910000000001E-2</v>
      </c>
      <c r="R1610">
        <v>-8.7294350000000007E-3</v>
      </c>
      <c r="S1610">
        <v>-3.002014</v>
      </c>
      <c r="T1610">
        <v>-9.4441410000000003E-2</v>
      </c>
      <c r="U1610">
        <v>-0.19854739999999901</v>
      </c>
      <c r="V1610">
        <v>-1.6322059999999999E-2</v>
      </c>
      <c r="W1610">
        <v>4.1327450000000002E-2</v>
      </c>
      <c r="X1610">
        <v>0.99901240000000002</v>
      </c>
      <c r="Y1610">
        <v>-7.3612620000000004E-2</v>
      </c>
      <c r="Z1610">
        <v>-1.3975729999999901E-3</v>
      </c>
      <c r="AA1610">
        <v>0.99728589999999995</v>
      </c>
      <c r="AB1610">
        <v>41</v>
      </c>
      <c r="AC1610">
        <v>-34.857199999999899</v>
      </c>
      <c r="AD1610">
        <v>-1.103721743266</v>
      </c>
      <c r="AE1610">
        <v>-2.3224000000000098</v>
      </c>
      <c r="AF1610">
        <v>-2.58736413293102</v>
      </c>
      <c r="AG1610">
        <v>-1.103721743266</v>
      </c>
      <c r="AH1610">
        <v>34.803602115152103</v>
      </c>
      <c r="AI1610">
        <v>91.811408919758193</v>
      </c>
      <c r="AJ1610">
        <v>94.251653146807001</v>
      </c>
      <c r="AK1610">
        <v>34.917092877740501</v>
      </c>
    </row>
    <row r="1611" spans="1:37" x14ac:dyDescent="0.2">
      <c r="A1611" t="str">
        <f>"20200111153431286"</f>
        <v>20200111153431286</v>
      </c>
      <c r="B1611" t="str">
        <f>"1578728071278376"</f>
        <v>1578728071278376</v>
      </c>
      <c r="C1611" t="s">
        <v>37</v>
      </c>
      <c r="D1611">
        <v>4.6360799999999998</v>
      </c>
      <c r="E1611">
        <v>0.47848809999999897</v>
      </c>
      <c r="F1611" t="s">
        <v>52</v>
      </c>
      <c r="G1611">
        <v>-346.39269999999999</v>
      </c>
      <c r="H1611" s="1">
        <v>1.8650669999999899E-6</v>
      </c>
      <c r="I1611">
        <v>281.8569</v>
      </c>
      <c r="J1611">
        <v>-312.57479999999998</v>
      </c>
      <c r="K1611">
        <v>1.103726</v>
      </c>
      <c r="L1611">
        <v>284.17189999999999</v>
      </c>
      <c r="M1611">
        <v>-0.99986369999999902</v>
      </c>
      <c r="N1611">
        <v>0</v>
      </c>
      <c r="O1611">
        <v>8.2000659999999902E-3</v>
      </c>
      <c r="P1611">
        <v>-0.99960319999999903</v>
      </c>
      <c r="Q1611">
        <v>2.6830179999999999E-2</v>
      </c>
      <c r="R1611">
        <v>-8.5978749999999996E-3</v>
      </c>
      <c r="S1611">
        <v>-3.0020449999999999</v>
      </c>
      <c r="T1611">
        <v>-9.7107529999999997E-2</v>
      </c>
      <c r="U1611">
        <v>-0.20343020000000001</v>
      </c>
      <c r="V1611">
        <v>-1.6714690000000001E-2</v>
      </c>
      <c r="W1611">
        <v>4.1185949999999999E-2</v>
      </c>
      <c r="X1611">
        <v>0.99901169999999995</v>
      </c>
      <c r="Y1611">
        <v>-7.5744989999999998E-2</v>
      </c>
      <c r="Z1611">
        <v>-1.488264E-3</v>
      </c>
      <c r="AA1611">
        <v>0.99712610000000002</v>
      </c>
      <c r="AB1611">
        <v>41</v>
      </c>
      <c r="AC1611">
        <v>-33.817900000000002</v>
      </c>
      <c r="AD1611">
        <v>-1.103724134933</v>
      </c>
      <c r="AE1611">
        <v>-2.3149999999999902</v>
      </c>
      <c r="AF1611">
        <v>-2.5895141750969901</v>
      </c>
      <c r="AG1611">
        <v>-1.103724134933</v>
      </c>
      <c r="AH1611">
        <v>33.761982421944602</v>
      </c>
      <c r="AI1611">
        <v>91.866929048678202</v>
      </c>
      <c r="AJ1611">
        <v>94.385948551080503</v>
      </c>
      <c r="AK1611">
        <v>33.879127020759597</v>
      </c>
    </row>
    <row r="1612" spans="1:37" x14ac:dyDescent="0.2">
      <c r="A1612" t="str">
        <f>"20200111153431300"</f>
        <v>20200111153431300</v>
      </c>
      <c r="B1612" t="str">
        <f>"1578728071288137"</f>
        <v>1578728071288137</v>
      </c>
      <c r="C1612" t="s">
        <v>37</v>
      </c>
      <c r="D1612">
        <v>4.592104</v>
      </c>
      <c r="E1612">
        <v>0.47864609999999902</v>
      </c>
      <c r="F1612" t="s">
        <v>52</v>
      </c>
      <c r="G1612">
        <v>-346.221</v>
      </c>
      <c r="H1612" s="1">
        <v>1.773743E-6</v>
      </c>
      <c r="I1612">
        <v>281.93470000000002</v>
      </c>
      <c r="J1612">
        <v>-312.8304</v>
      </c>
      <c r="K1612">
        <v>1.1037269999999999</v>
      </c>
      <c r="L1612">
        <v>284.17430000000002</v>
      </c>
      <c r="M1612">
        <v>-0.99986019999999898</v>
      </c>
      <c r="N1612">
        <v>0</v>
      </c>
      <c r="O1612">
        <v>8.6405279999999998E-3</v>
      </c>
      <c r="P1612">
        <v>-0.99961199999999995</v>
      </c>
      <c r="Q1612">
        <v>2.6637350000000001E-2</v>
      </c>
      <c r="R1612">
        <v>-8.1667019999999996E-3</v>
      </c>
      <c r="S1612">
        <v>-3.002075</v>
      </c>
      <c r="T1612">
        <v>-9.8479269999999994E-2</v>
      </c>
      <c r="U1612">
        <v>-0.1996155</v>
      </c>
      <c r="V1612">
        <v>-1.6724340000000001E-2</v>
      </c>
      <c r="W1612">
        <v>4.0991569999999998E-2</v>
      </c>
      <c r="X1612">
        <v>0.99901949999999995</v>
      </c>
      <c r="Y1612">
        <v>-7.4921119999999994E-2</v>
      </c>
      <c r="Z1612">
        <v>-1.5102620000000001E-3</v>
      </c>
      <c r="AA1612">
        <v>0.99718830000000003</v>
      </c>
      <c r="AB1612">
        <v>41</v>
      </c>
      <c r="AC1612">
        <v>-33.390599999999999</v>
      </c>
      <c r="AD1612">
        <v>-1.1037252262570001</v>
      </c>
      <c r="AE1612">
        <v>-2.23959999999999</v>
      </c>
      <c r="AF1612">
        <v>-2.5253114825614702</v>
      </c>
      <c r="AG1612">
        <v>-1.1037252262570001</v>
      </c>
      <c r="AH1612">
        <v>33.333741602230099</v>
      </c>
      <c r="AI1612">
        <v>91.891032895402901</v>
      </c>
      <c r="AJ1612">
        <v>94.332361884002907</v>
      </c>
      <c r="AK1612">
        <v>33.447477283993798</v>
      </c>
    </row>
    <row r="1613" spans="1:37" x14ac:dyDescent="0.2">
      <c r="A1613" t="str">
        <f>"20200111153431312"</f>
        <v>20200111153431312</v>
      </c>
      <c r="B1613" t="str">
        <f>"1578728071307657"</f>
        <v>1578728071307657</v>
      </c>
      <c r="C1613" t="s">
        <v>37</v>
      </c>
      <c r="D1613">
        <v>4.5925050000000001</v>
      </c>
      <c r="E1613">
        <v>0.47906509999999902</v>
      </c>
      <c r="F1613" t="s">
        <v>52</v>
      </c>
      <c r="G1613">
        <v>-345.95870000000002</v>
      </c>
      <c r="H1613" s="1">
        <v>1.634132E-6</v>
      </c>
      <c r="I1613">
        <v>281.99889999999999</v>
      </c>
      <c r="J1613">
        <v>-313.06450000000001</v>
      </c>
      <c r="K1613">
        <v>1.103728</v>
      </c>
      <c r="L1613">
        <v>284.17669999999998</v>
      </c>
      <c r="M1613">
        <v>-0.99985650000000004</v>
      </c>
      <c r="N1613">
        <v>0</v>
      </c>
      <c r="O1613">
        <v>9.0429540000000006E-3</v>
      </c>
      <c r="P1613">
        <v>-0.99961359999999999</v>
      </c>
      <c r="Q1613">
        <v>2.668949E-2</v>
      </c>
      <c r="R1613">
        <v>-7.7890980000000004E-3</v>
      </c>
      <c r="S1613">
        <v>-3.0022279999999899</v>
      </c>
      <c r="T1613">
        <v>-0.1000243</v>
      </c>
      <c r="U1613">
        <v>-0.1971436</v>
      </c>
      <c r="V1613">
        <v>-1.6748610000000001E-2</v>
      </c>
      <c r="W1613">
        <v>4.1042059999999998E-2</v>
      </c>
      <c r="X1613">
        <v>0.99901709999999999</v>
      </c>
      <c r="Y1613">
        <v>-7.4500239999999995E-2</v>
      </c>
      <c r="Z1613">
        <v>-1.5402979999999901E-3</v>
      </c>
      <c r="AA1613">
        <v>0.99721979999999999</v>
      </c>
      <c r="AB1613">
        <v>41</v>
      </c>
      <c r="AC1613">
        <v>-32.894199999999998</v>
      </c>
      <c r="AD1613">
        <v>-1.1037263658680001</v>
      </c>
      <c r="AE1613">
        <v>-2.17779999999998</v>
      </c>
      <c r="AF1613">
        <v>-2.4724307359097</v>
      </c>
      <c r="AG1613">
        <v>-1.1037263658680001</v>
      </c>
      <c r="AH1613">
        <v>32.836351190256501</v>
      </c>
      <c r="AI1613">
        <v>91.919724808977506</v>
      </c>
      <c r="AJ1613">
        <v>94.305991333776802</v>
      </c>
      <c r="AK1613">
        <v>32.947793327087098</v>
      </c>
    </row>
    <row r="1614" spans="1:37" x14ac:dyDescent="0.2">
      <c r="A1614" t="str">
        <f>"20200111153431325"</f>
        <v>20200111153431325</v>
      </c>
      <c r="B1614" t="str">
        <f>"1578728071317417"</f>
        <v>1578728071317417</v>
      </c>
      <c r="C1614" t="s">
        <v>37</v>
      </c>
      <c r="D1614">
        <v>4.615189</v>
      </c>
      <c r="E1614">
        <v>0.479330599999999</v>
      </c>
      <c r="F1614" t="s">
        <v>52</v>
      </c>
      <c r="G1614">
        <v>-345.95780000000002</v>
      </c>
      <c r="H1614" s="1">
        <v>1.63364E-6</v>
      </c>
      <c r="I1614">
        <v>282.06670000000003</v>
      </c>
      <c r="J1614">
        <v>-313.28660000000002</v>
      </c>
      <c r="K1614">
        <v>1.103729</v>
      </c>
      <c r="L1614">
        <v>284.17899999999997</v>
      </c>
      <c r="M1614">
        <v>-0.99985309999999905</v>
      </c>
      <c r="N1614">
        <v>0</v>
      </c>
      <c r="O1614">
        <v>9.4236779999999996E-3</v>
      </c>
      <c r="P1614">
        <v>-0.99961630000000001</v>
      </c>
      <c r="Q1614">
        <v>2.666379E-2</v>
      </c>
      <c r="R1614">
        <v>-7.5285809999999899E-3</v>
      </c>
      <c r="S1614">
        <v>-3.00238</v>
      </c>
      <c r="T1614">
        <v>-0.1007441</v>
      </c>
      <c r="U1614">
        <v>-0.1925964</v>
      </c>
      <c r="V1614">
        <v>-1.6869140000000001E-2</v>
      </c>
      <c r="W1614">
        <v>4.1015389999999999E-2</v>
      </c>
      <c r="X1614">
        <v>0.99901609999999996</v>
      </c>
      <c r="Y1614">
        <v>-7.3372389999999996E-2</v>
      </c>
      <c r="Z1614">
        <v>-1.545236E-3</v>
      </c>
      <c r="AA1614">
        <v>0.99730339999999995</v>
      </c>
      <c r="AB1614">
        <v>41</v>
      </c>
      <c r="AC1614">
        <v>-32.671199999999999</v>
      </c>
      <c r="AD1614">
        <v>-1.10372736636</v>
      </c>
      <c r="AE1614">
        <v>-2.1122999999999998</v>
      </c>
      <c r="AF1614">
        <v>-2.4173731906457498</v>
      </c>
      <c r="AG1614">
        <v>-1.10372736636</v>
      </c>
      <c r="AH1614">
        <v>32.612775820574498</v>
      </c>
      <c r="AI1614">
        <v>91.933045382355004</v>
      </c>
      <c r="AJ1614">
        <v>94.239211410431096</v>
      </c>
      <c r="AK1614">
        <v>32.720865727623298</v>
      </c>
    </row>
    <row r="1615" spans="1:37" x14ac:dyDescent="0.2">
      <c r="A1615" t="str">
        <f>"20200111153431341"</f>
        <v>20200111153431341</v>
      </c>
      <c r="B1615" t="str">
        <f>"1578728071337912"</f>
        <v>1578728071337912</v>
      </c>
      <c r="C1615" t="s">
        <v>37</v>
      </c>
      <c r="D1615">
        <v>4.6373179999999996</v>
      </c>
      <c r="E1615">
        <v>0.47964449999999997</v>
      </c>
      <c r="F1615" t="s">
        <v>52</v>
      </c>
      <c r="G1615">
        <v>-345.61939999999998</v>
      </c>
      <c r="H1615" s="1">
        <v>1.453595E-6</v>
      </c>
      <c r="I1615">
        <v>282.13459999999998</v>
      </c>
      <c r="J1615">
        <v>-313.58600000000001</v>
      </c>
      <c r="K1615">
        <v>1.103731</v>
      </c>
      <c r="L1615">
        <v>284.18220000000002</v>
      </c>
      <c r="M1615">
        <v>-0.99984819999999996</v>
      </c>
      <c r="N1615">
        <v>0</v>
      </c>
      <c r="O1615">
        <v>9.9346739999999992E-3</v>
      </c>
      <c r="P1615">
        <v>-0.9996294</v>
      </c>
      <c r="Q1615">
        <v>2.629886E-2</v>
      </c>
      <c r="R1615">
        <v>-7.0660269999999999E-3</v>
      </c>
      <c r="S1615">
        <v>-3.0025019999999998</v>
      </c>
      <c r="T1615">
        <v>-0.10249460000000001</v>
      </c>
      <c r="U1615">
        <v>-0.18984989999999999</v>
      </c>
      <c r="V1615">
        <v>-1.6917990000000001E-2</v>
      </c>
      <c r="W1615">
        <v>4.0648999999999998E-2</v>
      </c>
      <c r="X1615">
        <v>0.99903019999999998</v>
      </c>
      <c r="Y1615">
        <v>-7.2969199999999998E-2</v>
      </c>
      <c r="Z1615">
        <v>-1.5826029999999999E-3</v>
      </c>
      <c r="AA1615">
        <v>0.99733289999999997</v>
      </c>
      <c r="AB1615">
        <v>41</v>
      </c>
      <c r="AC1615">
        <v>-32.033399999999901</v>
      </c>
      <c r="AD1615">
        <v>-1.1037295464050001</v>
      </c>
      <c r="AE1615">
        <v>-2.0476000000000401</v>
      </c>
      <c r="AF1615">
        <v>-2.3629790382796099</v>
      </c>
      <c r="AG1615">
        <v>-1.1037295464050001</v>
      </c>
      <c r="AH1615">
        <v>31.973670228270301</v>
      </c>
      <c r="AI1615">
        <v>91.9716895932673</v>
      </c>
      <c r="AJ1615">
        <v>94.226697826754801</v>
      </c>
      <c r="AK1615">
        <v>32.079860921037898</v>
      </c>
    </row>
    <row r="1616" spans="1:37" x14ac:dyDescent="0.2">
      <c r="A1616" t="str">
        <f>"20200111153431354"</f>
        <v>20200111153431354</v>
      </c>
      <c r="B1616" t="str">
        <f>"1578728071347672"</f>
        <v>1578728071347672</v>
      </c>
      <c r="C1616" t="s">
        <v>37</v>
      </c>
      <c r="D1616">
        <v>4.5922780000000003</v>
      </c>
      <c r="E1616">
        <v>0.47985689999999998</v>
      </c>
      <c r="F1616" t="s">
        <v>52</v>
      </c>
      <c r="G1616">
        <v>-344.7921</v>
      </c>
      <c r="H1616" s="1">
        <v>1.0133150000000001E-6</v>
      </c>
      <c r="I1616">
        <v>282.2516</v>
      </c>
      <c r="J1616">
        <v>-313.83199999999999</v>
      </c>
      <c r="K1616">
        <v>1.103734</v>
      </c>
      <c r="L1616">
        <v>284.185</v>
      </c>
      <c r="M1616">
        <v>-0.99984399999999996</v>
      </c>
      <c r="N1616">
        <v>0</v>
      </c>
      <c r="O1616">
        <v>1.0350710000000001E-2</v>
      </c>
      <c r="P1616">
        <v>-0.99963389999999996</v>
      </c>
      <c r="Q1616">
        <v>2.626879E-2</v>
      </c>
      <c r="R1616">
        <v>-6.5209259999999998E-3</v>
      </c>
      <c r="S1616">
        <v>-3.00259399999999</v>
      </c>
      <c r="T1616">
        <v>-0.1061989</v>
      </c>
      <c r="U1616">
        <v>-0.1857605</v>
      </c>
      <c r="V1616">
        <v>-1.6789390000000001E-2</v>
      </c>
      <c r="W1616">
        <v>4.0617090000000002E-2</v>
      </c>
      <c r="X1616">
        <v>0.99903369999999903</v>
      </c>
      <c r="Y1616">
        <v>-7.2026010000000001E-2</v>
      </c>
      <c r="Z1616">
        <v>-1.637826E-3</v>
      </c>
      <c r="AA1616">
        <v>0.99740139999999999</v>
      </c>
      <c r="AB1616">
        <v>41</v>
      </c>
      <c r="AC1616">
        <v>-30.960100000000001</v>
      </c>
      <c r="AD1616">
        <v>-1.1037329866850001</v>
      </c>
      <c r="AE1616">
        <v>-1.9334</v>
      </c>
      <c r="AF1616">
        <v>-2.2509385658858001</v>
      </c>
      <c r="AG1616">
        <v>-1.1037329866850001</v>
      </c>
      <c r="AH1616">
        <v>30.899308554555901</v>
      </c>
      <c r="AI1616">
        <v>92.040351332230799</v>
      </c>
      <c r="AJ1616">
        <v>94.166496693450895</v>
      </c>
      <c r="AK1616">
        <v>31.000842247960598</v>
      </c>
    </row>
    <row r="1617" spans="1:37" x14ac:dyDescent="0.2">
      <c r="A1617" t="str">
        <f>"20200111153431366"</f>
        <v>20200111153431366</v>
      </c>
      <c r="B1617" t="str">
        <f>"1578728071357432"</f>
        <v>1578728071357432</v>
      </c>
      <c r="C1617" t="s">
        <v>37</v>
      </c>
      <c r="D1617">
        <v>4.6484040000000002</v>
      </c>
      <c r="E1617">
        <v>0.47999389999999997</v>
      </c>
      <c r="F1617" t="s">
        <v>52</v>
      </c>
      <c r="G1617">
        <v>-344.58819999999997</v>
      </c>
      <c r="H1617" s="1">
        <v>9.0482719999999999E-7</v>
      </c>
      <c r="I1617">
        <v>282.31420000000003</v>
      </c>
      <c r="J1617">
        <v>-314.0496</v>
      </c>
      <c r="K1617">
        <v>1.103739</v>
      </c>
      <c r="L1617">
        <v>284.18759999999997</v>
      </c>
      <c r="M1617">
        <v>-0.99984010000000001</v>
      </c>
      <c r="N1617">
        <v>0</v>
      </c>
      <c r="O1617">
        <v>1.071656E-2</v>
      </c>
      <c r="P1617">
        <v>-0.99964259999999905</v>
      </c>
      <c r="Q1617">
        <v>2.6036139999999999E-2</v>
      </c>
      <c r="R1617">
        <v>-6.0771719999999996E-3</v>
      </c>
      <c r="S1617">
        <v>-3.0027469999999998</v>
      </c>
      <c r="T1617">
        <v>-0.107758199999999</v>
      </c>
      <c r="U1617">
        <v>-0.1826477</v>
      </c>
      <c r="V1617">
        <v>-1.6712850000000001E-2</v>
      </c>
      <c r="W1617">
        <v>4.0382679999999997E-2</v>
      </c>
      <c r="X1617">
        <v>0.9990445</v>
      </c>
      <c r="Y1617">
        <v>-7.1356420000000004E-2</v>
      </c>
      <c r="Z1617">
        <v>-1.6629419999999999E-3</v>
      </c>
      <c r="AA1617">
        <v>0.99744949999999999</v>
      </c>
      <c r="AB1617">
        <v>41</v>
      </c>
      <c r="AC1617">
        <v>-30.538599999999899</v>
      </c>
      <c r="AD1617">
        <v>-1.1037380951728</v>
      </c>
      <c r="AE1617">
        <v>-1.87339999999994</v>
      </c>
      <c r="AF1617">
        <v>-2.1977346004801701</v>
      </c>
      <c r="AG1617">
        <v>-1.1037380951728</v>
      </c>
      <c r="AH1617">
        <v>30.4771053824734</v>
      </c>
      <c r="AI1617">
        <v>92.068711513287397</v>
      </c>
      <c r="AJ1617">
        <v>94.124516787299896</v>
      </c>
      <c r="AK1617">
        <v>30.576170912186999</v>
      </c>
    </row>
    <row r="1618" spans="1:37" x14ac:dyDescent="0.2">
      <c r="A1618" t="str">
        <f>"20200111153431379"</f>
        <v>20200111153431379</v>
      </c>
      <c r="B1618" t="str">
        <f>"1578728071368168"</f>
        <v>1578728071368168</v>
      </c>
      <c r="C1618" t="s">
        <v>37</v>
      </c>
      <c r="D1618">
        <v>4.6160379999999996</v>
      </c>
      <c r="E1618">
        <v>0.48008709999999999</v>
      </c>
      <c r="F1618" t="s">
        <v>52</v>
      </c>
      <c r="G1618">
        <v>-344.23570000000001</v>
      </c>
      <c r="H1618" s="1">
        <v>7.1725150000000004E-7</v>
      </c>
      <c r="I1618">
        <v>282.37759999999997</v>
      </c>
      <c r="J1618">
        <v>-314.2885</v>
      </c>
      <c r="K1618">
        <v>1.103745</v>
      </c>
      <c r="L1618">
        <v>284.19049999999999</v>
      </c>
      <c r="M1618">
        <v>-0.99983580000000005</v>
      </c>
      <c r="N1618">
        <v>0</v>
      </c>
      <c r="O1618">
        <v>1.111637E-2</v>
      </c>
      <c r="P1618">
        <v>-0.9996488</v>
      </c>
      <c r="Q1618">
        <v>2.588265E-2</v>
      </c>
      <c r="R1618">
        <v>-5.71556699999999E-3</v>
      </c>
      <c r="S1618">
        <v>-3.0028079999999999</v>
      </c>
      <c r="T1618">
        <v>-0.109795899999999</v>
      </c>
      <c r="U1618">
        <v>-0.18005370000000001</v>
      </c>
      <c r="V1618">
        <v>-1.6751539999999999E-2</v>
      </c>
      <c r="W1618">
        <v>4.0227829999999999E-2</v>
      </c>
      <c r="X1618">
        <v>0.99905010000000005</v>
      </c>
      <c r="Y1618">
        <v>-7.0893559999999994E-2</v>
      </c>
      <c r="Z1618">
        <v>-1.7005289999999899E-3</v>
      </c>
      <c r="AA1618">
        <v>0.99748239999999999</v>
      </c>
      <c r="AB1618">
        <v>41</v>
      </c>
      <c r="AC1618">
        <v>-29.947199999999999</v>
      </c>
      <c r="AD1618">
        <v>-1.1037442827485</v>
      </c>
      <c r="AE1618">
        <v>-1.8129000000000099</v>
      </c>
      <c r="AF1618">
        <v>-2.1428260450135901</v>
      </c>
      <c r="AG1618">
        <v>-1.1037442827485</v>
      </c>
      <c r="AH1618">
        <v>29.8847473713761</v>
      </c>
      <c r="AI1618">
        <v>92.109752949869701</v>
      </c>
      <c r="AJ1618">
        <v>94.101260266291007</v>
      </c>
      <c r="AK1618">
        <v>29.981795815992399</v>
      </c>
    </row>
    <row r="1619" spans="1:37" x14ac:dyDescent="0.2">
      <c r="A1619" t="str">
        <f>"20200111153431394"</f>
        <v>20200111153431394</v>
      </c>
      <c r="B1619" t="str">
        <f>"1578728071387688"</f>
        <v>1578728071387688</v>
      </c>
      <c r="C1619" t="s">
        <v>37</v>
      </c>
      <c r="D1619">
        <v>4.6693939999999996</v>
      </c>
      <c r="E1619">
        <v>0.48017539999999997</v>
      </c>
      <c r="F1619" t="s">
        <v>52</v>
      </c>
      <c r="G1619">
        <v>-344.14729999999997</v>
      </c>
      <c r="H1619" s="1">
        <v>6.7018580000000001E-7</v>
      </c>
      <c r="I1619">
        <v>282.42020000000002</v>
      </c>
      <c r="J1619">
        <v>-314.5702</v>
      </c>
      <c r="K1619">
        <v>1.1037520000000001</v>
      </c>
      <c r="L1619">
        <v>284.19400000000002</v>
      </c>
      <c r="M1619">
        <v>-0.99983049999999996</v>
      </c>
      <c r="N1619">
        <v>0</v>
      </c>
      <c r="O1619">
        <v>1.158141E-2</v>
      </c>
      <c r="P1619">
        <v>-0.99965249999999894</v>
      </c>
      <c r="Q1619">
        <v>2.5852899999999901E-2</v>
      </c>
      <c r="R1619">
        <v>-5.1620800000000003E-3</v>
      </c>
      <c r="S1619">
        <v>-3.0028990000000002</v>
      </c>
      <c r="T1619">
        <v>-0.111003399999999</v>
      </c>
      <c r="U1619">
        <v>-0.17803959999999999</v>
      </c>
      <c r="V1619">
        <v>-1.666343E-2</v>
      </c>
      <c r="W1619">
        <v>4.01959E-2</v>
      </c>
      <c r="X1619">
        <v>0.99905290000000002</v>
      </c>
      <c r="Y1619">
        <v>-7.0687609999999998E-2</v>
      </c>
      <c r="Z1619">
        <v>-1.732571E-3</v>
      </c>
      <c r="AA1619">
        <v>0.99749699999999997</v>
      </c>
      <c r="AB1619">
        <v>41</v>
      </c>
      <c r="AC1619">
        <v>-29.577099999999898</v>
      </c>
      <c r="AD1619">
        <v>-1.1037513298142001</v>
      </c>
      <c r="AE1619">
        <v>-1.7737999999999901</v>
      </c>
      <c r="AF1619">
        <v>-2.1133281166604299</v>
      </c>
      <c r="AG1619">
        <v>-1.1037513298142001</v>
      </c>
      <c r="AH1619">
        <v>29.513616912390699</v>
      </c>
      <c r="AI1619">
        <v>92.136286940059605</v>
      </c>
      <c r="AJ1619">
        <v>94.095684726390402</v>
      </c>
      <c r="AK1619">
        <v>29.6097620047526</v>
      </c>
    </row>
    <row r="1620" spans="1:37" x14ac:dyDescent="0.2">
      <c r="A1620" t="str">
        <f>"20200111153431408"</f>
        <v>20200111153431408</v>
      </c>
      <c r="B1620" t="str">
        <f>"1578728071397451"</f>
        <v>1578728071397451</v>
      </c>
      <c r="C1620" t="s">
        <v>37</v>
      </c>
      <c r="D1620">
        <v>4.642792</v>
      </c>
      <c r="E1620">
        <v>0.48026369999999902</v>
      </c>
      <c r="F1620" t="s">
        <v>52</v>
      </c>
      <c r="G1620">
        <v>-343.9325</v>
      </c>
      <c r="H1620" s="1">
        <v>5.5589799999999999E-7</v>
      </c>
      <c r="I1620">
        <v>282.4744</v>
      </c>
      <c r="J1620">
        <v>-314.81670000000003</v>
      </c>
      <c r="K1620">
        <v>1.103758</v>
      </c>
      <c r="L1620">
        <v>284.19720000000001</v>
      </c>
      <c r="M1620">
        <v>-0.99982569999999904</v>
      </c>
      <c r="N1620">
        <v>0</v>
      </c>
      <c r="O1620">
        <v>1.1984170000000001E-2</v>
      </c>
      <c r="P1620">
        <v>-0.99965709999999997</v>
      </c>
      <c r="Q1620">
        <v>2.5705430000000001E-2</v>
      </c>
      <c r="R1620">
        <v>-5.0037809999999997E-3</v>
      </c>
      <c r="S1620">
        <v>-3.0030519999999998</v>
      </c>
      <c r="T1620">
        <v>-0.1128869</v>
      </c>
      <c r="U1620">
        <v>-0.1758728</v>
      </c>
      <c r="V1620">
        <v>-1.6908869999999999E-2</v>
      </c>
      <c r="W1620">
        <v>4.0046770000000002E-2</v>
      </c>
      <c r="X1620">
        <v>0.99905469999999896</v>
      </c>
      <c r="Y1620">
        <v>-7.0367239999999998E-2</v>
      </c>
      <c r="Z1620">
        <v>-1.7710079999999999E-3</v>
      </c>
      <c r="AA1620">
        <v>0.99751959999999995</v>
      </c>
      <c r="AB1620">
        <v>41</v>
      </c>
      <c r="AC1620">
        <v>-29.115799999999901</v>
      </c>
      <c r="AD1620">
        <v>-1.1037574441019999</v>
      </c>
      <c r="AE1620">
        <v>-1.7228000000000001</v>
      </c>
      <c r="AF1620">
        <v>-2.0686781698341798</v>
      </c>
      <c r="AG1620">
        <v>-1.1037574441019999</v>
      </c>
      <c r="AH1620">
        <v>29.051455784937399</v>
      </c>
      <c r="AI1620">
        <v>92.170312815029803</v>
      </c>
      <c r="AJ1620">
        <v>94.073007810247503</v>
      </c>
      <c r="AK1620">
        <v>29.145922409317102</v>
      </c>
    </row>
    <row r="1621" spans="1:37" x14ac:dyDescent="0.2">
      <c r="A1621" t="str">
        <f>"20200111153431431"</f>
        <v>20200111153431431</v>
      </c>
      <c r="B1621" t="str">
        <f>"1578728071427703"</f>
        <v>1578728071427703</v>
      </c>
      <c r="C1621" t="s">
        <v>37</v>
      </c>
      <c r="D1621">
        <v>4.6466240000000001</v>
      </c>
      <c r="E1621">
        <v>0.48030779999999901</v>
      </c>
      <c r="F1621" t="s">
        <v>52</v>
      </c>
      <c r="G1621">
        <v>-343.99829999999997</v>
      </c>
      <c r="H1621" s="1">
        <v>5.9089969999999905E-7</v>
      </c>
      <c r="I1621">
        <v>282.50130000000001</v>
      </c>
      <c r="J1621">
        <v>-315.22120000000001</v>
      </c>
      <c r="K1621">
        <v>1.1037680000000001</v>
      </c>
      <c r="L1621">
        <v>284.20269999999999</v>
      </c>
      <c r="M1621">
        <v>-0.99981769999999903</v>
      </c>
      <c r="N1621">
        <v>0</v>
      </c>
      <c r="O1621">
        <v>1.2636059999999999E-2</v>
      </c>
      <c r="P1621">
        <v>-0.99965569999999904</v>
      </c>
      <c r="Q1621">
        <v>2.583324E-2</v>
      </c>
      <c r="R1621">
        <v>-4.5973910000000002E-3</v>
      </c>
      <c r="S1621">
        <v>-3.0030519999999998</v>
      </c>
      <c r="T1621">
        <v>-0.1135867</v>
      </c>
      <c r="U1621">
        <v>-0.17452999999999999</v>
      </c>
      <c r="V1621">
        <v>-1.715508E-2</v>
      </c>
      <c r="W1621">
        <v>4.0172560000000003E-2</v>
      </c>
      <c r="X1621">
        <v>0.99904550000000003</v>
      </c>
      <c r="Y1621">
        <v>-7.0571770000000006E-2</v>
      </c>
      <c r="Z1621">
        <v>-1.81049799999999E-3</v>
      </c>
      <c r="AA1621">
        <v>0.99750509999999903</v>
      </c>
      <c r="AB1621">
        <v>41</v>
      </c>
      <c r="AC1621">
        <v>-28.777099999999901</v>
      </c>
      <c r="AD1621">
        <v>-1.1037674091003</v>
      </c>
      <c r="AE1621">
        <v>-1.70139999999997</v>
      </c>
      <c r="AF1621">
        <v>-2.0619077188363901</v>
      </c>
      <c r="AG1621">
        <v>-1.1037674091003</v>
      </c>
      <c r="AH1621">
        <v>28.711209060671798</v>
      </c>
      <c r="AI1621">
        <v>92.1959323168563</v>
      </c>
      <c r="AJ1621">
        <v>94.107668811688001</v>
      </c>
      <c r="AK1621">
        <v>28.806306456399302</v>
      </c>
    </row>
    <row r="1622" spans="1:37" x14ac:dyDescent="0.2">
      <c r="A1622" t="str">
        <f>"20200111153431445"</f>
        <v>20200111153431445</v>
      </c>
      <c r="B1622" t="str">
        <f>"1578728071437972"</f>
        <v>1578728071437972</v>
      </c>
      <c r="C1622" t="s">
        <v>37</v>
      </c>
      <c r="D1622">
        <v>4.6806299999999998</v>
      </c>
      <c r="E1622">
        <v>0.48032419999999998</v>
      </c>
      <c r="F1622" t="s">
        <v>52</v>
      </c>
      <c r="G1622">
        <v>-344.31950000000001</v>
      </c>
      <c r="H1622" s="1">
        <v>7.6186140000000002E-7</v>
      </c>
      <c r="I1622">
        <v>282.52640000000002</v>
      </c>
      <c r="J1622">
        <v>-315.5009</v>
      </c>
      <c r="K1622">
        <v>1.1037790000000001</v>
      </c>
      <c r="L1622">
        <v>284.20659999999998</v>
      </c>
      <c r="M1622">
        <v>-0.99981200000000003</v>
      </c>
      <c r="N1622">
        <v>0</v>
      </c>
      <c r="O1622">
        <v>1.307963E-2</v>
      </c>
      <c r="P1622">
        <v>-0.9996623</v>
      </c>
      <c r="Q1622">
        <v>2.5587240000000001E-2</v>
      </c>
      <c r="R1622">
        <v>-4.5290440000000003E-3</v>
      </c>
      <c r="S1622">
        <v>-3.0032040000000002</v>
      </c>
      <c r="T1622">
        <v>-0.11391849999999901</v>
      </c>
      <c r="U1622">
        <v>-0.1730042</v>
      </c>
      <c r="V1622">
        <v>-1.753159E-2</v>
      </c>
      <c r="W1622">
        <v>3.9924800000000003E-2</v>
      </c>
      <c r="X1622">
        <v>0.99904889999999902</v>
      </c>
      <c r="Y1622">
        <v>-7.0505639999999994E-2</v>
      </c>
      <c r="Z1622">
        <v>-1.8312739999999999E-3</v>
      </c>
      <c r="AA1622">
        <v>0.99750969999999906</v>
      </c>
      <c r="AB1622">
        <v>41</v>
      </c>
      <c r="AC1622">
        <v>-28.8186</v>
      </c>
      <c r="AD1622">
        <v>-1.1037782381386001</v>
      </c>
      <c r="AE1622">
        <v>-1.68019999999995</v>
      </c>
      <c r="AF1622">
        <v>-2.0540285213798399</v>
      </c>
      <c r="AG1622">
        <v>-1.1037782381386001</v>
      </c>
      <c r="AH1622">
        <v>28.7521203596887</v>
      </c>
      <c r="AI1622">
        <v>92.192891011017807</v>
      </c>
      <c r="AJ1622">
        <v>94.086222748958093</v>
      </c>
      <c r="AK1622">
        <v>28.846521189628</v>
      </c>
    </row>
    <row r="1623" spans="1:37" x14ac:dyDescent="0.2">
      <c r="A1623" t="str">
        <f>"20200111153431460"</f>
        <v>20200111153431460</v>
      </c>
      <c r="B1623" t="str">
        <f>"1578728071457492"</f>
        <v>1578728071457492</v>
      </c>
      <c r="C1623" t="s">
        <v>37</v>
      </c>
      <c r="D1623">
        <v>4.6784089999999896</v>
      </c>
      <c r="E1623">
        <v>0.48023949999999999</v>
      </c>
      <c r="F1623" t="s">
        <v>52</v>
      </c>
      <c r="G1623">
        <v>-344.3587</v>
      </c>
      <c r="H1623" s="1">
        <v>7.8269809999999897E-7</v>
      </c>
      <c r="I1623">
        <v>282.54790000000003</v>
      </c>
      <c r="J1623">
        <v>-315.75839999999999</v>
      </c>
      <c r="K1623">
        <v>1.1037859999999999</v>
      </c>
      <c r="L1623">
        <v>284.21030000000002</v>
      </c>
      <c r="M1623">
        <v>-0.9998068</v>
      </c>
      <c r="N1623">
        <v>0</v>
      </c>
      <c r="O1623">
        <v>1.348393E-2</v>
      </c>
      <c r="P1623">
        <v>-0.99965969999999904</v>
      </c>
      <c r="Q1623">
        <v>2.5749250000000001E-2</v>
      </c>
      <c r="R1623">
        <v>-4.2137529999999998E-3</v>
      </c>
      <c r="S1623">
        <v>-3.0031430000000001</v>
      </c>
      <c r="T1623">
        <v>-0.1148666</v>
      </c>
      <c r="U1623">
        <v>-0.17260739999999999</v>
      </c>
      <c r="V1623">
        <v>-1.7621040000000001E-2</v>
      </c>
      <c r="W1623">
        <v>4.0083939999999998E-2</v>
      </c>
      <c r="X1623">
        <v>0.99904090000000001</v>
      </c>
      <c r="Y1623">
        <v>-7.0777359999999997E-2</v>
      </c>
      <c r="Z1623">
        <v>-1.8671879999999899E-3</v>
      </c>
      <c r="AA1623">
        <v>0.9974904</v>
      </c>
      <c r="AB1623">
        <v>41</v>
      </c>
      <c r="AC1623">
        <v>-28.600300000000001</v>
      </c>
      <c r="AD1623">
        <v>-1.1037852173019</v>
      </c>
      <c r="AE1623">
        <v>-1.6623999999999901</v>
      </c>
      <c r="AF1623">
        <v>-2.0448971959882298</v>
      </c>
      <c r="AG1623">
        <v>-1.1037852173019</v>
      </c>
      <c r="AH1623">
        <v>28.5329259041089</v>
      </c>
      <c r="AI1623">
        <v>92.209698515917907</v>
      </c>
      <c r="AJ1623">
        <v>94.099264084124002</v>
      </c>
      <c r="AK1623">
        <v>28.627396091811502</v>
      </c>
    </row>
    <row r="1624" spans="1:37" x14ac:dyDescent="0.2">
      <c r="A1624" t="str">
        <f>"20200111153431476"</f>
        <v>20200111153431476</v>
      </c>
      <c r="B1624" t="str">
        <f>"1578728071468227"</f>
        <v>1578728071468227</v>
      </c>
      <c r="C1624" t="s">
        <v>37</v>
      </c>
      <c r="D1624">
        <v>4.6826679999999996</v>
      </c>
      <c r="E1624">
        <v>0.48024549999999999</v>
      </c>
      <c r="F1624" t="s">
        <v>52</v>
      </c>
      <c r="G1624">
        <v>-344.6773</v>
      </c>
      <c r="H1624" s="1">
        <v>9.522374E-7</v>
      </c>
      <c r="I1624">
        <v>282.5505</v>
      </c>
      <c r="J1624">
        <v>-316.06509999999997</v>
      </c>
      <c r="K1624">
        <v>1.103791</v>
      </c>
      <c r="L1624">
        <v>284.21480000000003</v>
      </c>
      <c r="M1624">
        <v>-0.99980029999999998</v>
      </c>
      <c r="N1624">
        <v>0</v>
      </c>
      <c r="O1624">
        <v>1.3957779999999999E-2</v>
      </c>
      <c r="P1624">
        <v>-0.99966309999999903</v>
      </c>
      <c r="Q1624">
        <v>2.559579E-2</v>
      </c>
      <c r="R1624">
        <v>-4.3637800000000003E-3</v>
      </c>
      <c r="S1624">
        <v>-3.0032040000000002</v>
      </c>
      <c r="T1624">
        <v>-0.1146271</v>
      </c>
      <c r="U1624">
        <v>-0.172363299999999</v>
      </c>
      <c r="V1624">
        <v>-1.824568E-2</v>
      </c>
      <c r="W1624">
        <v>3.9926700000000002E-2</v>
      </c>
      <c r="X1624">
        <v>0.99903600000000004</v>
      </c>
      <c r="Y1624">
        <v>-7.1167739999999993E-2</v>
      </c>
      <c r="Z1624">
        <v>-1.888774E-3</v>
      </c>
      <c r="AA1624">
        <v>0.99746259999999998</v>
      </c>
      <c r="AB1624">
        <v>41</v>
      </c>
      <c r="AC1624">
        <v>-28.612200000000001</v>
      </c>
      <c r="AD1624">
        <v>-1.1037900477625999</v>
      </c>
      <c r="AE1624">
        <v>-1.6643000000000201</v>
      </c>
      <c r="AF1624">
        <v>-2.0604853433659001</v>
      </c>
      <c r="AG1624">
        <v>-1.1037900477625999</v>
      </c>
      <c r="AH1624">
        <v>28.5438432778048</v>
      </c>
      <c r="AI1624">
        <v>92.208781947423603</v>
      </c>
      <c r="AJ1624">
        <v>94.128830500928501</v>
      </c>
      <c r="AK1624">
        <v>28.639394920068501</v>
      </c>
    </row>
    <row r="1625" spans="1:37" x14ac:dyDescent="0.2">
      <c r="A1625" t="str">
        <f>"20200111153431492"</f>
        <v>20200111153431492</v>
      </c>
      <c r="B1625" t="str">
        <f>"1578728071487749"</f>
        <v>1578728071487749</v>
      </c>
      <c r="C1625" t="s">
        <v>37</v>
      </c>
      <c r="D1625">
        <v>4.7031559999999999</v>
      </c>
      <c r="E1625">
        <v>0.48013119999999998</v>
      </c>
      <c r="F1625" t="s">
        <v>52</v>
      </c>
      <c r="G1625">
        <v>-344.77170000000001</v>
      </c>
      <c r="H1625" s="1">
        <v>1.0024600000000001E-6</v>
      </c>
      <c r="I1625">
        <v>282.56400000000002</v>
      </c>
      <c r="J1625">
        <v>-316.34100000000001</v>
      </c>
      <c r="K1625">
        <v>1.1037980000000001</v>
      </c>
      <c r="L1625">
        <v>284.21899999999999</v>
      </c>
      <c r="M1625">
        <v>-0.99979449999999903</v>
      </c>
      <c r="N1625">
        <v>0</v>
      </c>
      <c r="O1625">
        <v>1.4377839999999999E-2</v>
      </c>
      <c r="P1625">
        <v>-0.99966559999999904</v>
      </c>
      <c r="Q1625">
        <v>2.5543349999999999E-2</v>
      </c>
      <c r="R1625">
        <v>-4.0971719999999996E-3</v>
      </c>
      <c r="S1625">
        <v>-3.003174</v>
      </c>
      <c r="T1625">
        <v>-0.115474299999999</v>
      </c>
      <c r="U1625">
        <v>-0.17269899999999999</v>
      </c>
      <c r="V1625">
        <v>-1.8400070000000001E-2</v>
      </c>
      <c r="W1625">
        <v>3.9867630000000001E-2</v>
      </c>
      <c r="X1625">
        <v>0.99903549999999997</v>
      </c>
      <c r="Y1625">
        <v>-7.1696889999999999E-2</v>
      </c>
      <c r="Z1625">
        <v>-1.929032E-3</v>
      </c>
      <c r="AA1625">
        <v>0.997424599999999</v>
      </c>
      <c r="AB1625">
        <v>41</v>
      </c>
      <c r="AC1625">
        <v>-28.430700000000002</v>
      </c>
      <c r="AD1625">
        <v>-1.1037969975399999</v>
      </c>
      <c r="AE1625">
        <v>-1.6549999999999701</v>
      </c>
      <c r="AF1625">
        <v>-2.06054729879332</v>
      </c>
      <c r="AG1625">
        <v>-1.1037969975399999</v>
      </c>
      <c r="AH1625">
        <v>28.3613578041642</v>
      </c>
      <c r="AI1625">
        <v>92.222919023987004</v>
      </c>
      <c r="AJ1625">
        <v>94.155428379596501</v>
      </c>
      <c r="AK1625">
        <v>28.4575269388991</v>
      </c>
    </row>
    <row r="1626" spans="1:37" x14ac:dyDescent="0.2">
      <c r="A1626" t="str">
        <f>"20200111153431509"</f>
        <v>20200111153431509</v>
      </c>
      <c r="B1626" t="str">
        <f>"1578728071497508"</f>
        <v>1578728071497508</v>
      </c>
      <c r="C1626" t="s">
        <v>37</v>
      </c>
      <c r="D1626">
        <v>4.7121949999999897</v>
      </c>
      <c r="E1626">
        <v>0.48010909999999901</v>
      </c>
      <c r="F1626" t="s">
        <v>52</v>
      </c>
      <c r="G1626">
        <v>-344.91590000000002</v>
      </c>
      <c r="H1626" s="1">
        <v>1.0791989999999999E-6</v>
      </c>
      <c r="I1626">
        <v>282.57470000000001</v>
      </c>
      <c r="J1626">
        <v>-316.66370000000001</v>
      </c>
      <c r="K1626">
        <v>1.103804</v>
      </c>
      <c r="L1626">
        <v>284.22410000000002</v>
      </c>
      <c r="M1626">
        <v>-0.99978750000000005</v>
      </c>
      <c r="N1626">
        <v>0</v>
      </c>
      <c r="O1626">
        <v>1.486375E-2</v>
      </c>
      <c r="P1626">
        <v>-0.99967410000000001</v>
      </c>
      <c r="Q1626">
        <v>2.5215339999999999E-2</v>
      </c>
      <c r="R1626">
        <v>-3.9587709999999998E-3</v>
      </c>
      <c r="S1626">
        <v>-3.0032349999999899</v>
      </c>
      <c r="T1626">
        <v>-0.1160096</v>
      </c>
      <c r="U1626">
        <v>-0.172821</v>
      </c>
      <c r="V1626">
        <v>-1.8749040000000002E-2</v>
      </c>
      <c r="W1626">
        <v>3.9521239999999999E-2</v>
      </c>
      <c r="X1626">
        <v>0.99904280000000001</v>
      </c>
      <c r="Y1626">
        <v>-7.2219539999999999E-2</v>
      </c>
      <c r="Z1626">
        <v>-1.966761E-3</v>
      </c>
      <c r="AA1626">
        <v>0.99738680000000002</v>
      </c>
      <c r="AB1626">
        <v>41</v>
      </c>
      <c r="AC1626">
        <v>-28.252199999999998</v>
      </c>
      <c r="AD1626">
        <v>-1.1038029208010001</v>
      </c>
      <c r="AE1626">
        <v>-1.64940000000001</v>
      </c>
      <c r="AF1626">
        <v>-2.06605125136752</v>
      </c>
      <c r="AG1626">
        <v>-1.1038029208010001</v>
      </c>
      <c r="AH1626">
        <v>28.181688110943</v>
      </c>
      <c r="AI1626">
        <v>92.236981842815993</v>
      </c>
      <c r="AJ1626">
        <v>94.192957576148004</v>
      </c>
      <c r="AK1626">
        <v>28.2788700878185</v>
      </c>
    </row>
    <row r="1627" spans="1:37" x14ac:dyDescent="0.2">
      <c r="A1627" t="str">
        <f>"20200111153431525"</f>
        <v>20200111153431525</v>
      </c>
      <c r="B1627" t="str">
        <f>"1578728071518005"</f>
        <v>1578728071518005</v>
      </c>
      <c r="C1627" t="s">
        <v>37</v>
      </c>
      <c r="D1627">
        <v>4.7121019999999998</v>
      </c>
      <c r="E1627">
        <v>0.48011219999999999</v>
      </c>
      <c r="F1627" t="s">
        <v>52</v>
      </c>
      <c r="G1627">
        <v>-345.0224</v>
      </c>
      <c r="H1627" s="1">
        <v>1.1358669999999999E-6</v>
      </c>
      <c r="I1627">
        <v>282.59390000000002</v>
      </c>
      <c r="J1627">
        <v>-316.96190000000001</v>
      </c>
      <c r="K1627">
        <v>1.1038049999999999</v>
      </c>
      <c r="L1627">
        <v>284.22890000000001</v>
      </c>
      <c r="M1627">
        <v>-0.99978129999999998</v>
      </c>
      <c r="N1627">
        <v>0</v>
      </c>
      <c r="O1627">
        <v>1.5307690000000001E-2</v>
      </c>
      <c r="P1627">
        <v>-0.99967629999999996</v>
      </c>
      <c r="Q1627">
        <v>2.5198519999999999E-2</v>
      </c>
      <c r="R1627">
        <v>-3.5128E-3</v>
      </c>
      <c r="S1627">
        <v>-3.0032349999999899</v>
      </c>
      <c r="T1627">
        <v>-0.1168946</v>
      </c>
      <c r="U1627">
        <v>-0.17263789999999901</v>
      </c>
      <c r="V1627">
        <v>-1.874812E-2</v>
      </c>
      <c r="W1627">
        <v>3.947312E-2</v>
      </c>
      <c r="X1627">
        <v>0.99904470000000001</v>
      </c>
      <c r="Y1627">
        <v>-7.2600189999999995E-2</v>
      </c>
      <c r="Z1627">
        <v>-2.0064179999999998E-3</v>
      </c>
      <c r="AA1627">
        <v>0.99735910000000005</v>
      </c>
      <c r="AB1627">
        <v>41</v>
      </c>
      <c r="AC1627">
        <v>-28.060499999999902</v>
      </c>
      <c r="AD1627">
        <v>-1.1038038641329999</v>
      </c>
      <c r="AE1627">
        <v>-1.63499999999999</v>
      </c>
      <c r="AF1627">
        <v>-2.0612147732928698</v>
      </c>
      <c r="AG1627">
        <v>-1.1038038641329999</v>
      </c>
      <c r="AH1627">
        <v>27.989018169907201</v>
      </c>
      <c r="AI1627">
        <v>92.252312255819206</v>
      </c>
      <c r="AJ1627">
        <v>94.211869796400094</v>
      </c>
      <c r="AK1627">
        <v>28.086511485542498</v>
      </c>
    </row>
    <row r="1628" spans="1:37" x14ac:dyDescent="0.2">
      <c r="A1628" t="str">
        <f>"20200111153431538"</f>
        <v>20200111153431538</v>
      </c>
      <c r="B1628" t="str">
        <f>"1578728071527764"</f>
        <v>1578728071527764</v>
      </c>
      <c r="C1628" t="s">
        <v>37</v>
      </c>
      <c r="D1628">
        <v>4.7384409999999999</v>
      </c>
      <c r="E1628">
        <v>0.48006450000000001</v>
      </c>
      <c r="F1628" t="s">
        <v>52</v>
      </c>
      <c r="G1628">
        <v>-345.1223</v>
      </c>
      <c r="H1628" s="1">
        <v>1.1890269999999899E-6</v>
      </c>
      <c r="I1628">
        <v>282.62360000000001</v>
      </c>
      <c r="J1628">
        <v>-317.20119999999997</v>
      </c>
      <c r="K1628">
        <v>1.1038059999999901</v>
      </c>
      <c r="L1628">
        <v>284.2328</v>
      </c>
      <c r="M1628">
        <v>-0.99977640000000001</v>
      </c>
      <c r="N1628">
        <v>0</v>
      </c>
      <c r="O1628">
        <v>1.5660770000000001E-2</v>
      </c>
      <c r="P1628">
        <v>-0.99967809999999901</v>
      </c>
      <c r="Q1628">
        <v>2.5181309999999998E-2</v>
      </c>
      <c r="R1628">
        <v>-3.1552009999999998E-3</v>
      </c>
      <c r="S1628">
        <v>-3.0033259999999999</v>
      </c>
      <c r="T1628">
        <v>-0.1177216</v>
      </c>
      <c r="U1628">
        <v>-0.17120360000000001</v>
      </c>
      <c r="V1628">
        <v>-1.8743869999999999E-2</v>
      </c>
      <c r="W1628">
        <v>3.9423090000000001E-2</v>
      </c>
      <c r="X1628">
        <v>0.99904680000000001</v>
      </c>
      <c r="Y1628">
        <v>-7.2474769999999994E-2</v>
      </c>
      <c r="Z1628">
        <v>-2.0319380000000001E-3</v>
      </c>
      <c r="AA1628">
        <v>0.99736819999999904</v>
      </c>
      <c r="AB1628">
        <v>41</v>
      </c>
      <c r="AC1628">
        <v>-27.921099999999999</v>
      </c>
      <c r="AD1628">
        <v>-1.1038048109729901</v>
      </c>
      <c r="AE1628">
        <v>-1.60919999999998</v>
      </c>
      <c r="AF1628">
        <v>-2.0431301329773701</v>
      </c>
      <c r="AG1628">
        <v>-1.1038048109729901</v>
      </c>
      <c r="AH1628">
        <v>27.8490912017349</v>
      </c>
      <c r="AI1628">
        <v>92.263665315634398</v>
      </c>
      <c r="AJ1628">
        <v>94.195949704558402</v>
      </c>
      <c r="AK1628">
        <v>27.9457446950973</v>
      </c>
    </row>
    <row r="1629" spans="1:37" x14ac:dyDescent="0.2">
      <c r="A1629" t="str">
        <f>"20200111153431554"</f>
        <v>20200111153431554</v>
      </c>
      <c r="B1629" t="str">
        <f>"1578728071548260"</f>
        <v>1578728071548260</v>
      </c>
      <c r="C1629" t="s">
        <v>37</v>
      </c>
      <c r="D1629">
        <v>4.7506199999999996</v>
      </c>
      <c r="E1629">
        <v>0.48003630000000003</v>
      </c>
      <c r="F1629" t="s">
        <v>52</v>
      </c>
      <c r="G1629">
        <v>-345.22359999999998</v>
      </c>
      <c r="H1629" s="1">
        <v>1.242937E-6</v>
      </c>
      <c r="I1629">
        <v>282.64089999999999</v>
      </c>
      <c r="J1629">
        <v>-317.48820000000001</v>
      </c>
      <c r="K1629">
        <v>1.1038030000000001</v>
      </c>
      <c r="L1629">
        <v>284.23770000000002</v>
      </c>
      <c r="M1629">
        <v>-0.9997703</v>
      </c>
      <c r="N1629">
        <v>0</v>
      </c>
      <c r="O1629">
        <v>1.6078950000000002E-2</v>
      </c>
      <c r="P1629">
        <v>-0.99968769999999996</v>
      </c>
      <c r="Q1629">
        <v>2.4867739999999999E-2</v>
      </c>
      <c r="R1629">
        <v>-2.5023010000000002E-3</v>
      </c>
      <c r="S1629">
        <v>-3.0034480000000001</v>
      </c>
      <c r="T1629">
        <v>-0.1183061</v>
      </c>
      <c r="U1629">
        <v>-0.17062379999999999</v>
      </c>
      <c r="V1629">
        <v>-1.8510229999999999E-2</v>
      </c>
      <c r="W1629">
        <v>3.9056689999999998E-2</v>
      </c>
      <c r="X1629">
        <v>0.99906550000000005</v>
      </c>
      <c r="Y1629">
        <v>-7.2696540000000004E-2</v>
      </c>
      <c r="Z1629">
        <v>-2.0627670000000001E-3</v>
      </c>
      <c r="AA1629">
        <v>0.99735189999999996</v>
      </c>
      <c r="AB1629">
        <v>41</v>
      </c>
      <c r="AC1629">
        <v>-27.735399999999899</v>
      </c>
      <c r="AD1629">
        <v>-1.1038017570630001</v>
      </c>
      <c r="AE1629">
        <v>-1.59680000000003</v>
      </c>
      <c r="AF1629">
        <v>-2.0393750390248901</v>
      </c>
      <c r="AG1629">
        <v>-1.1038017570630001</v>
      </c>
      <c r="AH1629">
        <v>27.6624679690986</v>
      </c>
      <c r="AI1629">
        <v>92.278854841342906</v>
      </c>
      <c r="AJ1629">
        <v>94.216419709520594</v>
      </c>
      <c r="AK1629">
        <v>27.7594950063956</v>
      </c>
    </row>
    <row r="1630" spans="1:37" x14ac:dyDescent="0.2">
      <c r="A1630" t="str">
        <f>"20200111153431569"</f>
        <v>20200111153431569</v>
      </c>
      <c r="B1630" t="str">
        <f>"1578728071558019"</f>
        <v>1578728071558019</v>
      </c>
      <c r="C1630" t="s">
        <v>37</v>
      </c>
      <c r="D1630">
        <v>4.737946</v>
      </c>
      <c r="E1630">
        <v>0.48000199999999998</v>
      </c>
      <c r="F1630" t="s">
        <v>52</v>
      </c>
      <c r="G1630">
        <v>-344.99149999999997</v>
      </c>
      <c r="H1630" s="1">
        <v>1.1194489999999999E-6</v>
      </c>
      <c r="I1630">
        <v>282.69009999999997</v>
      </c>
      <c r="J1630">
        <v>-317.75889999999998</v>
      </c>
      <c r="K1630">
        <v>1.103793</v>
      </c>
      <c r="L1630">
        <v>284.24239999999998</v>
      </c>
      <c r="M1630">
        <v>-0.99976520000000002</v>
      </c>
      <c r="N1630">
        <v>0</v>
      </c>
      <c r="O1630">
        <v>1.6469370000000001E-2</v>
      </c>
      <c r="P1630">
        <v>-0.99968769999999996</v>
      </c>
      <c r="Q1630">
        <v>2.491239E-2</v>
      </c>
      <c r="R1630">
        <v>-2.0980109999999999E-3</v>
      </c>
      <c r="S1630">
        <v>-3.003479</v>
      </c>
      <c r="T1630">
        <v>-0.12053999999999999</v>
      </c>
      <c r="U1630">
        <v>-0.1690063</v>
      </c>
      <c r="V1630">
        <v>-1.849692E-2</v>
      </c>
      <c r="W1630">
        <v>3.9027149999999997E-2</v>
      </c>
      <c r="X1630">
        <v>0.99906689999999998</v>
      </c>
      <c r="Y1630">
        <v>-7.2547249999999994E-2</v>
      </c>
      <c r="Z1630">
        <v>-2.114356E-3</v>
      </c>
      <c r="AA1630">
        <v>0.99736270000000005</v>
      </c>
      <c r="AB1630">
        <v>41</v>
      </c>
      <c r="AC1630">
        <v>-27.232599999999898</v>
      </c>
      <c r="AD1630">
        <v>-1.1037918805510001</v>
      </c>
      <c r="AE1630">
        <v>-1.5523</v>
      </c>
      <c r="AF1630">
        <v>-1.9973669292481</v>
      </c>
      <c r="AG1630">
        <v>-1.1037918805510001</v>
      </c>
      <c r="AH1630">
        <v>27.1588645305238</v>
      </c>
      <c r="AI1630">
        <v>92.321075335885794</v>
      </c>
      <c r="AJ1630">
        <v>94.206178690241899</v>
      </c>
      <c r="AK1630">
        <v>27.254573079631399</v>
      </c>
    </row>
    <row r="1631" spans="1:37" x14ac:dyDescent="0.2">
      <c r="A1631" t="str">
        <f>"20200111153431583"</f>
        <v>20200111153431583</v>
      </c>
      <c r="B1631" t="str">
        <f>"1578728071577539"</f>
        <v>1578728071577539</v>
      </c>
      <c r="C1631" t="s">
        <v>37</v>
      </c>
      <c r="D1631">
        <v>4.7241599999999897</v>
      </c>
      <c r="E1631">
        <v>0.479929299999999</v>
      </c>
      <c r="F1631" t="s">
        <v>52</v>
      </c>
      <c r="G1631">
        <v>-345.23680000000002</v>
      </c>
      <c r="H1631" s="1">
        <v>1.2499530000000001E-6</v>
      </c>
      <c r="I1631">
        <v>282.70749999999998</v>
      </c>
      <c r="J1631">
        <v>-318.01209999999998</v>
      </c>
      <c r="K1631">
        <v>1.1037790000000001</v>
      </c>
      <c r="L1631">
        <v>284.24689999999998</v>
      </c>
      <c r="M1631">
        <v>-0.99976030000000005</v>
      </c>
      <c r="N1631">
        <v>0</v>
      </c>
      <c r="O1631">
        <v>1.6831459999999999E-2</v>
      </c>
      <c r="P1631">
        <v>-0.99968799999999902</v>
      </c>
      <c r="Q1631">
        <v>2.49243E-2</v>
      </c>
      <c r="R1631">
        <v>-1.6231729999999899E-3</v>
      </c>
      <c r="S1631">
        <v>-3.0036320000000001</v>
      </c>
      <c r="T1631">
        <v>-0.12065670000000001</v>
      </c>
      <c r="U1631">
        <v>-0.16778560000000001</v>
      </c>
      <c r="V1631">
        <v>-1.8385019999999998E-2</v>
      </c>
      <c r="W1631">
        <v>3.8951380000000001E-2</v>
      </c>
      <c r="X1631">
        <v>0.99907199999999996</v>
      </c>
      <c r="Y1631">
        <v>-7.250115E-2</v>
      </c>
      <c r="Z1631">
        <v>-2.1299240000000001E-3</v>
      </c>
      <c r="AA1631">
        <v>0.99736610000000003</v>
      </c>
      <c r="AB1631">
        <v>41</v>
      </c>
      <c r="AC1631">
        <v>-27.224699999999999</v>
      </c>
      <c r="AD1631">
        <v>-1.1037777500470001</v>
      </c>
      <c r="AE1631">
        <v>-1.5394000000000001</v>
      </c>
      <c r="AF1631">
        <v>-1.9941907460475801</v>
      </c>
      <c r="AG1631">
        <v>-1.1037777500470001</v>
      </c>
      <c r="AH1631">
        <v>27.150443288385102</v>
      </c>
      <c r="AI1631">
        <v>92.321780750756403</v>
      </c>
      <c r="AJ1631">
        <v>94.200811935030003</v>
      </c>
      <c r="AK1631">
        <v>27.245948190674898</v>
      </c>
    </row>
    <row r="1632" spans="1:37" x14ac:dyDescent="0.2">
      <c r="A1632" t="str">
        <f>"20200111153431598"</f>
        <v>20200111153431598</v>
      </c>
      <c r="B1632" t="str">
        <f>"1578728071588275"</f>
        <v>1578728071588275</v>
      </c>
      <c r="C1632" t="s">
        <v>37</v>
      </c>
      <c r="D1632">
        <v>4.705044</v>
      </c>
      <c r="E1632">
        <v>0.47989739999999997</v>
      </c>
      <c r="F1632" t="s">
        <v>52</v>
      </c>
      <c r="G1632">
        <v>-345.17790000000002</v>
      </c>
      <c r="H1632" s="1">
        <v>1.2186300000000001E-6</v>
      </c>
      <c r="I1632">
        <v>282.73770000000002</v>
      </c>
      <c r="J1632">
        <v>-318.28469999999999</v>
      </c>
      <c r="K1632">
        <v>1.1037629999999901</v>
      </c>
      <c r="L1632">
        <v>284.25189999999998</v>
      </c>
      <c r="M1632">
        <v>-0.99975559999999997</v>
      </c>
      <c r="N1632">
        <v>0</v>
      </c>
      <c r="O1632">
        <v>1.7215330000000001E-2</v>
      </c>
      <c r="P1632">
        <v>-0.99969390000000002</v>
      </c>
      <c r="Q1632">
        <v>2.472742E-2</v>
      </c>
      <c r="R1632">
        <v>-1.03878E-3</v>
      </c>
      <c r="S1632">
        <v>-3.0037229999999999</v>
      </c>
      <c r="T1632">
        <v>-0.122045</v>
      </c>
      <c r="U1632">
        <v>-0.16687009999999999</v>
      </c>
      <c r="V1632">
        <v>-1.8185630000000001E-2</v>
      </c>
      <c r="W1632">
        <v>3.8634050000000003E-2</v>
      </c>
      <c r="X1632">
        <v>0.99908790000000003</v>
      </c>
      <c r="Y1632">
        <v>-7.2577279999999994E-2</v>
      </c>
      <c r="Z1632">
        <v>-2.171489E-3</v>
      </c>
      <c r="AA1632">
        <v>0.99736039999999904</v>
      </c>
      <c r="AB1632">
        <v>41</v>
      </c>
      <c r="AC1632">
        <v>-26.8932</v>
      </c>
      <c r="AD1632">
        <v>-1.10376178136999</v>
      </c>
      <c r="AE1632">
        <v>-1.51419999999995</v>
      </c>
      <c r="AF1632">
        <v>-1.9736812919131499</v>
      </c>
      <c r="AG1632">
        <v>-1.10376178136999</v>
      </c>
      <c r="AH1632">
        <v>26.818112038042699</v>
      </c>
      <c r="AI1632">
        <v>92.350461352093205</v>
      </c>
      <c r="AJ1632">
        <v>94.209099669464095</v>
      </c>
      <c r="AK1632">
        <v>26.913283731218499</v>
      </c>
    </row>
    <row r="1633" spans="1:37" x14ac:dyDescent="0.2">
      <c r="A1633" t="str">
        <f>"20200111153431613"</f>
        <v>20200111153431613</v>
      </c>
      <c r="B1633" t="str">
        <f>"1578728071607796"</f>
        <v>1578728071607796</v>
      </c>
      <c r="C1633" t="s">
        <v>37</v>
      </c>
      <c r="D1633">
        <v>4.7650420000000002</v>
      </c>
      <c r="E1633">
        <v>0.47980909999999899</v>
      </c>
      <c r="F1633" t="s">
        <v>52</v>
      </c>
      <c r="G1633">
        <v>-345.17720000000003</v>
      </c>
      <c r="H1633" s="1">
        <v>1.2182879999999999E-6</v>
      </c>
      <c r="I1633">
        <v>282.76940000000002</v>
      </c>
      <c r="J1633">
        <v>-318.55500000000001</v>
      </c>
      <c r="K1633">
        <v>1.103747</v>
      </c>
      <c r="L1633">
        <v>284.2568</v>
      </c>
      <c r="M1633">
        <v>-0.9997509</v>
      </c>
      <c r="N1633">
        <v>0</v>
      </c>
      <c r="O1633">
        <v>1.759324E-2</v>
      </c>
      <c r="P1633">
        <v>-0.99969359999999996</v>
      </c>
      <c r="Q1633">
        <v>2.474701E-2</v>
      </c>
      <c r="R1633">
        <v>-7.8298799999999998E-4</v>
      </c>
      <c r="S1633">
        <v>-3.0038149999999999</v>
      </c>
      <c r="T1633">
        <v>-0.1232866</v>
      </c>
      <c r="U1633">
        <v>-0.1655884</v>
      </c>
      <c r="V1633">
        <v>-1.8308640000000001E-2</v>
      </c>
      <c r="W1633">
        <v>3.8505400000000002E-2</v>
      </c>
      <c r="X1633">
        <v>0.999090699999999</v>
      </c>
      <c r="Y1633">
        <v>-7.2526510000000002E-2</v>
      </c>
      <c r="Z1633">
        <v>-2.2079740000000001E-3</v>
      </c>
      <c r="AA1633">
        <v>0.99736399999999903</v>
      </c>
      <c r="AB1633">
        <v>41</v>
      </c>
      <c r="AC1633">
        <v>-26.622199999999999</v>
      </c>
      <c r="AD1633">
        <v>-1.103745781712</v>
      </c>
      <c r="AE1633">
        <v>-1.4873999999999701</v>
      </c>
      <c r="AF1633">
        <v>-1.9522394193639301</v>
      </c>
      <c r="AG1633">
        <v>-1.103745781712</v>
      </c>
      <c r="AH1633">
        <v>26.546419564418699</v>
      </c>
      <c r="AI1633">
        <v>92.374465108698004</v>
      </c>
      <c r="AJ1633">
        <v>94.205994156332906</v>
      </c>
      <c r="AK1633">
        <v>26.6409813105921</v>
      </c>
    </row>
    <row r="1634" spans="1:37" x14ac:dyDescent="0.2">
      <c r="A1634" t="str">
        <f>"20200111153431626"</f>
        <v>20200111153431626</v>
      </c>
      <c r="B1634" t="str">
        <f>"1578728071617556"</f>
        <v>1578728071617556</v>
      </c>
      <c r="C1634" t="s">
        <v>37</v>
      </c>
      <c r="D1634">
        <v>4.7606010000000003</v>
      </c>
      <c r="E1634">
        <v>0.47975640000000003</v>
      </c>
      <c r="F1634" t="s">
        <v>52</v>
      </c>
      <c r="G1634">
        <v>-345.37979999999999</v>
      </c>
      <c r="H1634" s="1">
        <v>1.32605799999999E-6</v>
      </c>
      <c r="I1634">
        <v>282.77999999999997</v>
      </c>
      <c r="J1634">
        <v>-318.80290000000002</v>
      </c>
      <c r="K1634">
        <v>1.103726</v>
      </c>
      <c r="L1634">
        <v>284.26150000000001</v>
      </c>
      <c r="M1634">
        <v>-0.9997471</v>
      </c>
      <c r="N1634">
        <v>0</v>
      </c>
      <c r="O1634">
        <v>1.7938429999999998E-2</v>
      </c>
      <c r="P1634">
        <v>-0.99968310000000005</v>
      </c>
      <c r="Q1634">
        <v>2.5168579999999999E-2</v>
      </c>
      <c r="R1634">
        <v>-4.4942849999999999E-4</v>
      </c>
      <c r="S1634">
        <v>-3.0038149999999999</v>
      </c>
      <c r="T1634">
        <v>-0.1235964</v>
      </c>
      <c r="U1634">
        <v>-0.16537479999999999</v>
      </c>
      <c r="V1634">
        <v>-1.8321319999999999E-2</v>
      </c>
      <c r="W1634">
        <v>3.8756020000000002E-2</v>
      </c>
      <c r="X1634">
        <v>0.99908069999999904</v>
      </c>
      <c r="Y1634">
        <v>-7.2799210000000003E-2</v>
      </c>
      <c r="Z1634">
        <v>-2.2333140000000001E-3</v>
      </c>
      <c r="AA1634">
        <v>0.99734409999999896</v>
      </c>
      <c r="AB1634">
        <v>41</v>
      </c>
      <c r="AC1634">
        <v>-26.576899999999899</v>
      </c>
      <c r="AD1634">
        <v>-1.1037246739419999</v>
      </c>
      <c r="AE1634">
        <v>-1.48150000000003</v>
      </c>
      <c r="AF1634">
        <v>-1.9546924786226001</v>
      </c>
      <c r="AG1634">
        <v>-1.1037246739419999</v>
      </c>
      <c r="AH1634">
        <v>26.500480865132499</v>
      </c>
      <c r="AI1634">
        <v>92.378492799727098</v>
      </c>
      <c r="AJ1634">
        <v>94.218534044222494</v>
      </c>
      <c r="AK1634">
        <v>26.595385256188798</v>
      </c>
    </row>
    <row r="1635" spans="1:37" x14ac:dyDescent="0.2">
      <c r="A1635" t="str">
        <f>"20200111153431639"</f>
        <v>20200111153431639</v>
      </c>
      <c r="B1635" t="str">
        <f>"1578728071628292"</f>
        <v>1578728071628292</v>
      </c>
      <c r="C1635" t="s">
        <v>37</v>
      </c>
      <c r="D1635">
        <v>4.7251799999999999</v>
      </c>
      <c r="E1635">
        <v>0.47971989999999998</v>
      </c>
      <c r="F1635" t="s">
        <v>52</v>
      </c>
      <c r="G1635">
        <v>-345.87189999999998</v>
      </c>
      <c r="H1635" s="1">
        <v>1.587975E-6</v>
      </c>
      <c r="I1635">
        <v>282.7765</v>
      </c>
      <c r="J1635">
        <v>-319.03359999999998</v>
      </c>
      <c r="K1635">
        <v>1.1036999999999999</v>
      </c>
      <c r="L1635">
        <v>284.26589999999999</v>
      </c>
      <c r="M1635">
        <v>-0.99974370000000001</v>
      </c>
      <c r="N1635">
        <v>0</v>
      </c>
      <c r="O1635">
        <v>1.8258770000000001E-2</v>
      </c>
      <c r="P1635">
        <v>-0.99968020000000002</v>
      </c>
      <c r="Q1635">
        <v>2.5291750000000002E-2</v>
      </c>
      <c r="R1635" s="1">
        <v>-9.991934E-5</v>
      </c>
      <c r="S1635">
        <v>-3.0039669999999998</v>
      </c>
      <c r="T1635">
        <v>-0.122485</v>
      </c>
      <c r="U1635">
        <v>-0.16479489999999999</v>
      </c>
      <c r="V1635">
        <v>-1.8292780000000002E-2</v>
      </c>
      <c r="W1635">
        <v>3.869504E-2</v>
      </c>
      <c r="X1635">
        <v>0.99908359999999996</v>
      </c>
      <c r="Y1635">
        <v>-7.2925019999999993E-2</v>
      </c>
      <c r="Z1635">
        <v>-2.2287560000000001E-3</v>
      </c>
      <c r="AA1635">
        <v>0.99733499999999997</v>
      </c>
      <c r="AB1635">
        <v>41</v>
      </c>
      <c r="AC1635">
        <v>-26.8383</v>
      </c>
      <c r="AD1635">
        <v>-1.103698412025</v>
      </c>
      <c r="AE1635">
        <v>-1.4893999999999801</v>
      </c>
      <c r="AF1635">
        <v>-1.9758985646060001</v>
      </c>
      <c r="AG1635">
        <v>-1.103698412025</v>
      </c>
      <c r="AH1635">
        <v>26.761508389735699</v>
      </c>
      <c r="AI1635">
        <v>92.355251034897705</v>
      </c>
      <c r="AJ1635">
        <v>94.222691719875897</v>
      </c>
      <c r="AK1635">
        <v>26.8570410994251</v>
      </c>
    </row>
    <row r="1636" spans="1:37" x14ac:dyDescent="0.2">
      <c r="A1636" t="str">
        <f>"20200111153431654"</f>
        <v>20200111153431654</v>
      </c>
      <c r="B1636" t="str">
        <f>"1578728071647811"</f>
        <v>1578728071647811</v>
      </c>
      <c r="C1636" t="s">
        <v>37</v>
      </c>
      <c r="D1636">
        <v>4.8212199999999896</v>
      </c>
      <c r="E1636">
        <v>0.4796472</v>
      </c>
      <c r="F1636" t="s">
        <v>52</v>
      </c>
      <c r="G1636">
        <v>-346.07920000000001</v>
      </c>
      <c r="H1636" s="1">
        <v>1.6982370000000001E-6</v>
      </c>
      <c r="I1636">
        <v>282.78989999999999</v>
      </c>
      <c r="J1636">
        <v>-319.33260000000001</v>
      </c>
      <c r="K1636">
        <v>1.103664</v>
      </c>
      <c r="L1636">
        <v>284.27170000000001</v>
      </c>
      <c r="M1636">
        <v>-0.99974010000000002</v>
      </c>
      <c r="N1636">
        <v>0</v>
      </c>
      <c r="O1636">
        <v>1.867096E-2</v>
      </c>
      <c r="P1636">
        <v>-0.9996678</v>
      </c>
      <c r="Q1636">
        <v>2.577395E-2</v>
      </c>
      <c r="R1636">
        <v>1.086552E-4</v>
      </c>
      <c r="S1636">
        <v>-3.0040589999999998</v>
      </c>
      <c r="T1636">
        <v>-0.1225923</v>
      </c>
      <c r="U1636">
        <v>-0.16394039999999999</v>
      </c>
      <c r="V1636">
        <v>-1.84975E-2</v>
      </c>
      <c r="W1636">
        <v>3.8879909999999997E-2</v>
      </c>
      <c r="X1636">
        <v>0.99907269999999904</v>
      </c>
      <c r="Y1636">
        <v>-7.3051069999999996E-2</v>
      </c>
      <c r="Z1636">
        <v>-2.2500279999999998E-3</v>
      </c>
      <c r="AA1636">
        <v>0.99732569999999998</v>
      </c>
      <c r="AB1636">
        <v>41</v>
      </c>
      <c r="AC1636">
        <v>-26.746600000000001</v>
      </c>
      <c r="AD1636">
        <v>-1.1036623017630001</v>
      </c>
      <c r="AE1636">
        <v>-1.48180000000002</v>
      </c>
      <c r="AF1636">
        <v>-1.97761213126853</v>
      </c>
      <c r="AG1636">
        <v>-1.1036623017630001</v>
      </c>
      <c r="AH1636">
        <v>26.668997750980701</v>
      </c>
      <c r="AI1636">
        <v>92.363278896747801</v>
      </c>
      <c r="AJ1636">
        <v>94.240947645063201</v>
      </c>
      <c r="AK1636">
        <v>26.7649857324806</v>
      </c>
    </row>
    <row r="1637" spans="1:37" x14ac:dyDescent="0.2">
      <c r="A1637" t="str">
        <f>"20200111153431677"</f>
        <v>20200111153431677</v>
      </c>
      <c r="B1637" t="str">
        <f>"1578728071668307"</f>
        <v>1578728071668307</v>
      </c>
      <c r="C1637" t="s">
        <v>37</v>
      </c>
      <c r="D1637">
        <v>4.8218019999999999</v>
      </c>
      <c r="E1637">
        <v>0.51239679999999999</v>
      </c>
      <c r="F1637" t="s">
        <v>52</v>
      </c>
      <c r="G1637">
        <v>-346.6397</v>
      </c>
      <c r="H1637" s="1">
        <v>1.9965150000000001E-6</v>
      </c>
      <c r="I1637">
        <v>282.78149999999999</v>
      </c>
      <c r="J1637">
        <v>-319.73270000000002</v>
      </c>
      <c r="K1637">
        <v>1.10361</v>
      </c>
      <c r="L1637">
        <v>284.27960000000002</v>
      </c>
      <c r="M1637">
        <v>-0.9997355</v>
      </c>
      <c r="N1637">
        <v>0</v>
      </c>
      <c r="O1637">
        <v>1.9216090000000002E-2</v>
      </c>
      <c r="P1637">
        <v>-0.99963899999999895</v>
      </c>
      <c r="Q1637">
        <v>2.6868690000000001E-2</v>
      </c>
      <c r="R1637">
        <v>4.8705550000000003E-4</v>
      </c>
      <c r="S1637">
        <v>-3.004181</v>
      </c>
      <c r="T1637">
        <v>-0.12141929999999999</v>
      </c>
      <c r="U1637">
        <v>-0.16394039999999999</v>
      </c>
      <c r="V1637">
        <v>-1.8664239999999999E-2</v>
      </c>
      <c r="W1637">
        <v>3.9532680000000001E-2</v>
      </c>
      <c r="X1637">
        <v>0.99904389999999998</v>
      </c>
      <c r="Y1637">
        <v>-7.3593140000000001E-2</v>
      </c>
      <c r="Z1637">
        <v>-2.2613749999999999E-3</v>
      </c>
      <c r="AA1637">
        <v>0.9972858</v>
      </c>
      <c r="AB1637">
        <v>41</v>
      </c>
      <c r="AC1637">
        <v>-26.906999999999901</v>
      </c>
      <c r="AD1637">
        <v>-1.103608003485</v>
      </c>
      <c r="AE1637">
        <v>-1.49810000000002</v>
      </c>
      <c r="AF1637">
        <v>-2.0115384352409298</v>
      </c>
      <c r="AG1637">
        <v>-1.103608003485</v>
      </c>
      <c r="AH1637">
        <v>26.8282477740741</v>
      </c>
      <c r="AI1637">
        <v>92.349007558983999</v>
      </c>
      <c r="AJ1637">
        <v>94.287921263811</v>
      </c>
      <c r="AK1637">
        <v>26.926179010935002</v>
      </c>
    </row>
    <row r="1638" spans="1:37" x14ac:dyDescent="0.2">
      <c r="A1638" t="str">
        <f>"20200111153431699"</f>
        <v>20200111153431699</v>
      </c>
      <c r="B1638" t="str">
        <f>"1578728071687827"</f>
        <v>1578728071687827</v>
      </c>
      <c r="C1638" t="s">
        <v>37</v>
      </c>
      <c r="D1638">
        <v>4.848033</v>
      </c>
      <c r="E1638">
        <v>0.5278311</v>
      </c>
      <c r="F1638" t="s">
        <v>52</v>
      </c>
      <c r="G1638">
        <v>-360.92610000000002</v>
      </c>
      <c r="H1638" s="1">
        <v>-1.0439459999999899E-6</v>
      </c>
      <c r="I1638">
        <v>285.63170000000002</v>
      </c>
      <c r="J1638">
        <v>-320.14280000000002</v>
      </c>
      <c r="K1638">
        <v>1.1035379999999999</v>
      </c>
      <c r="L1638">
        <v>284.28800000000001</v>
      </c>
      <c r="M1638">
        <v>-0.99973140000000005</v>
      </c>
      <c r="N1638">
        <v>0</v>
      </c>
      <c r="O1638">
        <v>1.9762310000000002E-2</v>
      </c>
      <c r="P1638">
        <v>-0.99962139999999999</v>
      </c>
      <c r="Q1638">
        <v>2.7501910000000001E-2</v>
      </c>
      <c r="R1638">
        <v>9.9344839999999999E-4</v>
      </c>
      <c r="S1638">
        <v>-3.003174</v>
      </c>
      <c r="T1638">
        <v>-8.0457929999999997E-2</v>
      </c>
      <c r="U1638">
        <v>9.8571779999999998E-2</v>
      </c>
      <c r="V1638">
        <v>-1.8705119999999999E-2</v>
      </c>
      <c r="W1638">
        <v>3.963941E-2</v>
      </c>
      <c r="X1638">
        <v>0.99903889999999995</v>
      </c>
      <c r="Y1638">
        <v>1.304774E-2</v>
      </c>
      <c r="Z1638">
        <v>-3.5448169999999999E-4</v>
      </c>
      <c r="AA1638">
        <v>0.99991479999999999</v>
      </c>
      <c r="AB1638">
        <v>41</v>
      </c>
      <c r="AC1638">
        <v>-40.783299999999997</v>
      </c>
      <c r="AD1638">
        <v>-1.103539043946</v>
      </c>
      <c r="AE1638">
        <v>1.3437000000000101</v>
      </c>
      <c r="AF1638">
        <v>0.53701349473532001</v>
      </c>
      <c r="AG1638">
        <v>-1.103539043946</v>
      </c>
      <c r="AH1638">
        <v>40.772071049167501</v>
      </c>
      <c r="AI1638">
        <v>91.550257702791896</v>
      </c>
      <c r="AJ1638">
        <v>89.245394532186396</v>
      </c>
      <c r="AK1638">
        <v>40.790537622755203</v>
      </c>
    </row>
    <row r="1639" spans="1:37" x14ac:dyDescent="0.2">
      <c r="A1639" t="str">
        <f>"20200111153431711"</f>
        <v>20200111153431711</v>
      </c>
      <c r="B1639" t="str">
        <f>"1578728071708324"</f>
        <v>1578728071708324</v>
      </c>
      <c r="C1639" t="s">
        <v>37</v>
      </c>
      <c r="D1639">
        <v>4.7917420000000002</v>
      </c>
      <c r="E1639">
        <v>0.53285389999999999</v>
      </c>
      <c r="F1639" t="s">
        <v>52</v>
      </c>
      <c r="G1639">
        <v>-363.32119999999998</v>
      </c>
      <c r="H1639" s="1">
        <v>2.305829E-7</v>
      </c>
      <c r="I1639">
        <v>287.49549999999999</v>
      </c>
      <c r="J1639">
        <v>-320.3612</v>
      </c>
      <c r="K1639">
        <v>1.1034930000000001</v>
      </c>
      <c r="L1639">
        <v>284.29250000000002</v>
      </c>
      <c r="M1639">
        <v>-0.99972929999999904</v>
      </c>
      <c r="N1639">
        <v>0</v>
      </c>
      <c r="O1639">
        <v>2.004529E-2</v>
      </c>
      <c r="P1639">
        <v>-0.99961169999999999</v>
      </c>
      <c r="Q1639">
        <v>2.7829429999999999E-2</v>
      </c>
      <c r="R1639">
        <v>1.5030829999999999E-3</v>
      </c>
      <c r="S1639">
        <v>-3.0030519999999998</v>
      </c>
      <c r="T1639">
        <v>-7.6750869999999999E-2</v>
      </c>
      <c r="U1639">
        <v>0.22308349999999999</v>
      </c>
      <c r="V1639">
        <v>-1.8478830000000002E-2</v>
      </c>
      <c r="W1639">
        <v>3.9653220000000003E-2</v>
      </c>
      <c r="X1639">
        <v>0.9990426</v>
      </c>
      <c r="Y1639">
        <v>5.406395E-2</v>
      </c>
      <c r="Z1639">
        <v>1.7837349999999999E-4</v>
      </c>
      <c r="AA1639">
        <v>0.99853749999999997</v>
      </c>
      <c r="AB1639">
        <v>41</v>
      </c>
      <c r="AC1639">
        <v>-42.959999999999901</v>
      </c>
      <c r="AD1639">
        <v>-1.1034927694171</v>
      </c>
      <c r="AE1639">
        <v>3.2029999999999701</v>
      </c>
      <c r="AF1639">
        <v>2.3396154677320302</v>
      </c>
      <c r="AG1639">
        <v>-1.1034927694171</v>
      </c>
      <c r="AH1639">
        <v>42.987370363360697</v>
      </c>
      <c r="AI1639">
        <v>91.468296920411703</v>
      </c>
      <c r="AJ1639">
        <v>86.884713656127602</v>
      </c>
      <c r="AK1639">
        <v>43.0651309946428</v>
      </c>
    </row>
    <row r="1640" spans="1:37" x14ac:dyDescent="0.2">
      <c r="A1640" t="str">
        <f>"20200111153431732"</f>
        <v>20200111153431732</v>
      </c>
      <c r="B1640" t="str">
        <f>"1578728071727844"</f>
        <v>1578728071727844</v>
      </c>
      <c r="C1640" t="s">
        <v>37</v>
      </c>
      <c r="D1640">
        <v>4.8414459999999897</v>
      </c>
      <c r="E1640">
        <v>0.53451539999999997</v>
      </c>
      <c r="F1640" t="s">
        <v>52</v>
      </c>
      <c r="G1640">
        <v>-367.41079999999999</v>
      </c>
      <c r="H1640" s="1">
        <v>2.406855E-6</v>
      </c>
      <c r="I1640">
        <v>288.44260000000003</v>
      </c>
      <c r="J1640">
        <v>-320.75880000000001</v>
      </c>
      <c r="K1640">
        <v>1.103418</v>
      </c>
      <c r="L1640">
        <v>284.30079999999998</v>
      </c>
      <c r="M1640">
        <v>-0.99972569999999905</v>
      </c>
      <c r="N1640">
        <v>0</v>
      </c>
      <c r="O1640">
        <v>2.0551989999999999E-2</v>
      </c>
      <c r="P1640">
        <v>-0.9995965</v>
      </c>
      <c r="Q1640">
        <v>2.831852E-2</v>
      </c>
      <c r="R1640">
        <v>2.2378160000000001E-3</v>
      </c>
      <c r="S1640">
        <v>-3.0027469999999998</v>
      </c>
      <c r="T1640">
        <v>-7.0425749999999995E-2</v>
      </c>
      <c r="U1640">
        <v>0.26486209999999999</v>
      </c>
      <c r="V1640">
        <v>-1.8251179999999999E-2</v>
      </c>
      <c r="W1640">
        <v>3.9570319999999999E-2</v>
      </c>
      <c r="X1640">
        <v>0.99905010000000005</v>
      </c>
      <c r="Y1640">
        <v>6.7360320000000001E-2</v>
      </c>
      <c r="Z1640">
        <v>3.0737039999999998E-4</v>
      </c>
      <c r="AA1640">
        <v>0.99772859999999997</v>
      </c>
      <c r="AB1640">
        <v>41</v>
      </c>
      <c r="AC1640">
        <v>-46.652000000000001</v>
      </c>
      <c r="AD1640">
        <v>-1.103415593145</v>
      </c>
      <c r="AE1640">
        <v>4.1418000000000399</v>
      </c>
      <c r="AF1640">
        <v>3.1803079539658499</v>
      </c>
      <c r="AG1640">
        <v>-1.103415593145</v>
      </c>
      <c r="AH1640">
        <v>46.701351441477897</v>
      </c>
      <c r="AI1640">
        <v>91.350352640692293</v>
      </c>
      <c r="AJ1640">
        <v>86.1042384692946</v>
      </c>
      <c r="AK1640">
        <v>46.822517137737101</v>
      </c>
    </row>
    <row r="1641" spans="1:37" x14ac:dyDescent="0.2">
      <c r="A1641" t="str">
        <f>"20200111153431745"</f>
        <v>20200111153431745</v>
      </c>
      <c r="B1641" t="str">
        <f>"1578728071737604"</f>
        <v>1578728071737604</v>
      </c>
      <c r="C1641" t="s">
        <v>37</v>
      </c>
      <c r="D1641">
        <v>4.7820580000000001</v>
      </c>
      <c r="E1641">
        <v>0.53495340000000002</v>
      </c>
      <c r="F1641" t="s">
        <v>52</v>
      </c>
      <c r="G1641">
        <v>-373.31380000000001</v>
      </c>
      <c r="H1641" s="1">
        <v>2.266376E-7</v>
      </c>
      <c r="I1641">
        <v>289.20949999999999</v>
      </c>
      <c r="J1641">
        <v>-320.98390000000001</v>
      </c>
      <c r="K1641">
        <v>1.1033740000000001</v>
      </c>
      <c r="L1641">
        <v>284.30560000000003</v>
      </c>
      <c r="M1641">
        <v>-0.99972359999999905</v>
      </c>
      <c r="N1641">
        <v>0</v>
      </c>
      <c r="O1641">
        <v>2.083314E-2</v>
      </c>
      <c r="P1641">
        <v>-0.99957229999999997</v>
      </c>
      <c r="Q1641">
        <v>2.911979E-2</v>
      </c>
      <c r="R1641">
        <v>2.7094829999999999E-3</v>
      </c>
      <c r="S1641">
        <v>-3.00238</v>
      </c>
      <c r="T1641">
        <v>-6.3036439999999999E-2</v>
      </c>
      <c r="U1641">
        <v>0.28042600000000001</v>
      </c>
      <c r="V1641">
        <v>-1.806029E-2</v>
      </c>
      <c r="W1641">
        <v>4.0045339999999999E-2</v>
      </c>
      <c r="X1641">
        <v>0.99903459999999999</v>
      </c>
      <c r="Y1641">
        <v>7.2220969999999995E-2</v>
      </c>
      <c r="Z1641">
        <v>3.2012749999999997E-4</v>
      </c>
      <c r="AA1641">
        <v>0.99738859999999996</v>
      </c>
      <c r="AB1641">
        <v>41</v>
      </c>
      <c r="AC1641">
        <v>-52.329900000000002</v>
      </c>
      <c r="AD1641">
        <v>-1.1033737733623901</v>
      </c>
      <c r="AE1641">
        <v>4.9038999999999602</v>
      </c>
      <c r="AF1641">
        <v>3.81089523787342</v>
      </c>
      <c r="AG1641">
        <v>-1.1033737733623901</v>
      </c>
      <c r="AH1641">
        <v>52.3976191060394</v>
      </c>
      <c r="AI1641">
        <v>91.203162470789806</v>
      </c>
      <c r="AJ1641">
        <v>85.840184428220795</v>
      </c>
      <c r="AK1641">
        <v>52.547605503765602</v>
      </c>
    </row>
    <row r="1642" spans="1:37" x14ac:dyDescent="0.2">
      <c r="A1642" t="str">
        <f>"20200111153431759"</f>
        <v>20200111153431759</v>
      </c>
      <c r="B1642" t="str">
        <f>"1578728071748340"</f>
        <v>1578728071748340</v>
      </c>
      <c r="C1642" t="s">
        <v>37</v>
      </c>
      <c r="D1642">
        <v>4.7799860000000001</v>
      </c>
      <c r="E1642">
        <v>0.53537309999999905</v>
      </c>
      <c r="F1642" t="s">
        <v>52</v>
      </c>
      <c r="G1642">
        <v>-376.24040000000002</v>
      </c>
      <c r="H1642" s="1">
        <v>1.784038E-6</v>
      </c>
      <c r="I1642">
        <v>289.5573</v>
      </c>
      <c r="J1642">
        <v>-321.24709999999999</v>
      </c>
      <c r="K1642">
        <v>1.1033280000000001</v>
      </c>
      <c r="L1642">
        <v>284.31130000000002</v>
      </c>
      <c r="M1642">
        <v>-0.99972079999999997</v>
      </c>
      <c r="N1642">
        <v>0</v>
      </c>
      <c r="O1642">
        <v>2.1158199999999999E-2</v>
      </c>
      <c r="P1642">
        <v>-0.99955759999999905</v>
      </c>
      <c r="Q1642">
        <v>2.9572870000000001E-2</v>
      </c>
      <c r="R1642">
        <v>3.1521309999999999E-3</v>
      </c>
      <c r="S1642">
        <v>-3.0022579999999999</v>
      </c>
      <c r="T1642">
        <v>-5.9949639999999998E-2</v>
      </c>
      <c r="U1642">
        <v>0.28533940000000002</v>
      </c>
      <c r="V1642">
        <v>-1.7943049999999999E-2</v>
      </c>
      <c r="W1642">
        <v>4.011443E-2</v>
      </c>
      <c r="X1642">
        <v>0.99903399999999998</v>
      </c>
      <c r="Y1642">
        <v>7.351924E-2</v>
      </c>
      <c r="Z1642">
        <v>3.109066E-4</v>
      </c>
      <c r="AA1642">
        <v>0.99729380000000001</v>
      </c>
      <c r="AB1642">
        <v>41</v>
      </c>
      <c r="AC1642">
        <v>-54.993299999999998</v>
      </c>
      <c r="AD1642">
        <v>-1.1033262159620001</v>
      </c>
      <c r="AE1642">
        <v>5.24599999999998</v>
      </c>
      <c r="AF1642">
        <v>4.0795745755895503</v>
      </c>
      <c r="AG1642">
        <v>-1.1033262159620001</v>
      </c>
      <c r="AH1642">
        <v>55.070022976790902</v>
      </c>
      <c r="AI1642">
        <v>91.144630002924899</v>
      </c>
      <c r="AJ1642">
        <v>85.763280692000393</v>
      </c>
      <c r="AK1642">
        <v>55.231944453557901</v>
      </c>
    </row>
    <row r="1643" spans="1:37" x14ac:dyDescent="0.2">
      <c r="A1643" t="str">
        <f>"20200111153431770"</f>
        <v>20200111153431770</v>
      </c>
      <c r="B1643" t="str">
        <f>"1578728071767860"</f>
        <v>1578728071767860</v>
      </c>
      <c r="C1643" t="s">
        <v>37</v>
      </c>
      <c r="D1643">
        <v>4.7687099999999996</v>
      </c>
      <c r="E1643">
        <v>0.53606379999999998</v>
      </c>
      <c r="F1643" t="s">
        <v>52</v>
      </c>
      <c r="G1643">
        <v>-376.17020000000002</v>
      </c>
      <c r="H1643">
        <v>2.9003540000000001E-2</v>
      </c>
      <c r="I1643">
        <v>289.61630000000002</v>
      </c>
      <c r="J1643">
        <v>-321.47550000000001</v>
      </c>
      <c r="K1643">
        <v>1.103289</v>
      </c>
      <c r="L1643">
        <v>284.31630000000001</v>
      </c>
      <c r="M1643">
        <v>-0.99971840000000001</v>
      </c>
      <c r="N1643">
        <v>0</v>
      </c>
      <c r="O1643">
        <v>2.1433520000000001E-2</v>
      </c>
      <c r="P1643">
        <v>-0.99954509999999996</v>
      </c>
      <c r="Q1643">
        <v>2.9941209999999999E-2</v>
      </c>
      <c r="R1643">
        <v>3.653983E-3</v>
      </c>
      <c r="S1643">
        <v>-3.0021360000000001</v>
      </c>
      <c r="T1643">
        <v>-5.8723329999999997E-2</v>
      </c>
      <c r="U1643">
        <v>0.28997800000000001</v>
      </c>
      <c r="V1643">
        <v>-1.7716269999999999E-2</v>
      </c>
      <c r="W1643">
        <v>4.014827E-2</v>
      </c>
      <c r="X1643">
        <v>0.9990367</v>
      </c>
      <c r="Y1643">
        <v>7.4775590000000003E-2</v>
      </c>
      <c r="Z1643">
        <v>3.114301E-4</v>
      </c>
      <c r="AA1643">
        <v>0.99720030000000004</v>
      </c>
      <c r="AB1643">
        <v>42</v>
      </c>
      <c r="AC1643">
        <v>-54.694699999999997</v>
      </c>
      <c r="AD1643">
        <v>-1.07428546</v>
      </c>
      <c r="AE1643">
        <v>5.3000000000000096</v>
      </c>
      <c r="AF1643">
        <v>4.1248450724609897</v>
      </c>
      <c r="AG1643">
        <v>-1.07428546</v>
      </c>
      <c r="AH1643">
        <v>54.774802649772603</v>
      </c>
      <c r="AI1643">
        <v>91.120413156963906</v>
      </c>
      <c r="AJ1643">
        <v>85.693439897603298</v>
      </c>
      <c r="AK1643">
        <v>54.940398992389099</v>
      </c>
    </row>
    <row r="1644" spans="1:37" x14ac:dyDescent="0.2">
      <c r="A1644" t="str">
        <f>"20200111153431783"</f>
        <v>20200111153431783</v>
      </c>
      <c r="B1644" t="str">
        <f>"1578728071777620"</f>
        <v>1578728071777620</v>
      </c>
      <c r="C1644" t="s">
        <v>37</v>
      </c>
      <c r="D1644">
        <v>4.8030220000000003</v>
      </c>
      <c r="E1644">
        <v>0.5363137</v>
      </c>
      <c r="F1644" t="s">
        <v>52</v>
      </c>
      <c r="G1644">
        <v>-375.81880000000001</v>
      </c>
      <c r="H1644">
        <v>8.0000260000000004E-2</v>
      </c>
      <c r="I1644">
        <v>289.69150000000002</v>
      </c>
      <c r="J1644">
        <v>-321.70119999999997</v>
      </c>
      <c r="K1644">
        <v>1.1032489999999999</v>
      </c>
      <c r="L1644">
        <v>284.32130000000001</v>
      </c>
      <c r="M1644">
        <v>-0.99971589999999999</v>
      </c>
      <c r="N1644">
        <v>0</v>
      </c>
      <c r="O1644">
        <v>2.1703750000000001E-2</v>
      </c>
      <c r="P1644">
        <v>-0.99952580000000002</v>
      </c>
      <c r="Q1644">
        <v>3.0519879999999999E-2</v>
      </c>
      <c r="R1644">
        <v>4.1135099999999999E-3</v>
      </c>
      <c r="S1644">
        <v>-3.002014</v>
      </c>
      <c r="T1644">
        <v>-5.6528090000000003E-2</v>
      </c>
      <c r="U1644">
        <v>0.29693599999999998</v>
      </c>
      <c r="V1644">
        <v>-1.7526489999999999E-2</v>
      </c>
      <c r="W1644">
        <v>4.0398400000000001E-2</v>
      </c>
      <c r="X1644">
        <v>0.99902990000000003</v>
      </c>
      <c r="Y1644">
        <v>7.6799679999999995E-2</v>
      </c>
      <c r="Z1644">
        <v>3.1370889999999998E-4</v>
      </c>
      <c r="AA1644">
        <v>0.99704649999999995</v>
      </c>
      <c r="AB1644">
        <v>42</v>
      </c>
      <c r="AC1644">
        <v>-54.117600000000003</v>
      </c>
      <c r="AD1644">
        <v>-1.0232487400000001</v>
      </c>
      <c r="AE1644">
        <v>5.3702000000000103</v>
      </c>
      <c r="AF1644">
        <v>4.1928386786993102</v>
      </c>
      <c r="AG1644">
        <v>-1.0232487400000001</v>
      </c>
      <c r="AH1644">
        <v>54.202221514843799</v>
      </c>
      <c r="AI1644">
        <v>91.078300923862997</v>
      </c>
      <c r="AJ1644">
        <v>85.576666517040096</v>
      </c>
      <c r="AK1644">
        <v>54.373778159271801</v>
      </c>
    </row>
    <row r="1645" spans="1:37" x14ac:dyDescent="0.2">
      <c r="A1645" t="str">
        <f>"20200111153431799"</f>
        <v>20200111153431799</v>
      </c>
      <c r="B1645" t="str">
        <f>"1578728071788356"</f>
        <v>1578728071788356</v>
      </c>
      <c r="C1645" t="s">
        <v>37</v>
      </c>
      <c r="D1645">
        <v>4.7958220000000003</v>
      </c>
      <c r="E1645">
        <v>0.53644569999999903</v>
      </c>
      <c r="F1645" t="s">
        <v>52</v>
      </c>
      <c r="G1645">
        <v>-377.94639999999998</v>
      </c>
      <c r="H1645">
        <v>8.0000879999999996E-2</v>
      </c>
      <c r="I1645">
        <v>289.94779999999997</v>
      </c>
      <c r="J1645">
        <v>-321.99020000000002</v>
      </c>
      <c r="K1645">
        <v>1.103205</v>
      </c>
      <c r="L1645">
        <v>284.32780000000002</v>
      </c>
      <c r="M1645">
        <v>-0.9997125</v>
      </c>
      <c r="N1645">
        <v>0</v>
      </c>
      <c r="O1645">
        <v>2.2045619999999998E-2</v>
      </c>
      <c r="P1645">
        <v>-0.9995134</v>
      </c>
      <c r="Q1645">
        <v>3.0858710000000001E-2</v>
      </c>
      <c r="R1645">
        <v>4.5956419999999996E-3</v>
      </c>
      <c r="S1645">
        <v>-3.001862</v>
      </c>
      <c r="T1645">
        <v>-5.4611680000000003E-2</v>
      </c>
      <c r="U1645">
        <v>0.30029299999999998</v>
      </c>
      <c r="V1645">
        <v>-1.7386019999999999E-2</v>
      </c>
      <c r="W1645">
        <v>4.0322160000000003E-2</v>
      </c>
      <c r="X1645">
        <v>0.99903549999999997</v>
      </c>
      <c r="Y1645">
        <v>7.7568369999999998E-2</v>
      </c>
      <c r="Z1645">
        <v>3.0385150000000001E-4</v>
      </c>
      <c r="AA1645">
        <v>0.99698699999999996</v>
      </c>
      <c r="AB1645">
        <v>42</v>
      </c>
      <c r="AC1645">
        <v>-55.956199999999903</v>
      </c>
      <c r="AD1645">
        <v>-1.0232041199999999</v>
      </c>
      <c r="AE1645">
        <v>5.6199999999999397</v>
      </c>
      <c r="AF1645">
        <v>4.3835389736928096</v>
      </c>
      <c r="AG1645">
        <v>-1.0232041199999999</v>
      </c>
      <c r="AH1645">
        <v>56.047947780643398</v>
      </c>
      <c r="AI1645">
        <v>91.042684774510306</v>
      </c>
      <c r="AJ1645">
        <v>85.527970931147607</v>
      </c>
      <c r="AK1645">
        <v>56.228416401556302</v>
      </c>
    </row>
    <row r="1646" spans="1:37" x14ac:dyDescent="0.2">
      <c r="A1646" t="str">
        <f>"20200111153431810"</f>
        <v>20200111153431810</v>
      </c>
      <c r="B1646" t="str">
        <f>"1578728071807877"</f>
        <v>1578728071807877</v>
      </c>
      <c r="C1646" t="s">
        <v>37</v>
      </c>
      <c r="D1646">
        <v>4.7794639999999999</v>
      </c>
      <c r="E1646">
        <v>0.53647990000000001</v>
      </c>
      <c r="F1646" t="s">
        <v>52</v>
      </c>
      <c r="G1646">
        <v>-381.22190000000001</v>
      </c>
      <c r="H1646">
        <v>8.0000370000000001E-2</v>
      </c>
      <c r="I1646">
        <v>290.30650000000003</v>
      </c>
      <c r="J1646">
        <v>-322.21089999999998</v>
      </c>
      <c r="K1646">
        <v>1.103175</v>
      </c>
      <c r="L1646">
        <v>284.33280000000002</v>
      </c>
      <c r="M1646">
        <v>-0.99970939999999997</v>
      </c>
      <c r="N1646">
        <v>0</v>
      </c>
      <c r="O1646">
        <v>2.230207E-2</v>
      </c>
      <c r="P1646">
        <v>-0.99950830000000002</v>
      </c>
      <c r="Q1646">
        <v>3.0953600000000001E-2</v>
      </c>
      <c r="R1646">
        <v>5.0229630000000001E-3</v>
      </c>
      <c r="S1646">
        <v>-3.001617</v>
      </c>
      <c r="T1646">
        <v>-5.1851750000000002E-2</v>
      </c>
      <c r="U1646">
        <v>0.30297849999999998</v>
      </c>
      <c r="V1646">
        <v>-1.7215620000000001E-2</v>
      </c>
      <c r="W1646">
        <v>4.0109190000000003E-2</v>
      </c>
      <c r="X1646">
        <v>0.99904699999999902</v>
      </c>
      <c r="Y1646">
        <v>7.8204620000000002E-2</v>
      </c>
      <c r="Z1646">
        <v>2.8957609999999997E-4</v>
      </c>
      <c r="AA1646">
        <v>0.99693729999999903</v>
      </c>
      <c r="AB1646">
        <v>42</v>
      </c>
      <c r="AC1646">
        <v>-59.011000000000003</v>
      </c>
      <c r="AD1646">
        <v>-1.02317463</v>
      </c>
      <c r="AE1646">
        <v>5.9737</v>
      </c>
      <c r="AF1646">
        <v>4.6547063748928403</v>
      </c>
      <c r="AG1646">
        <v>-1.02317463</v>
      </c>
      <c r="AH1646">
        <v>59.111962265158702</v>
      </c>
      <c r="AI1646">
        <v>90.988579575456995</v>
      </c>
      <c r="AJ1646">
        <v>85.497597466649694</v>
      </c>
      <c r="AK1646">
        <v>59.303771048707198</v>
      </c>
    </row>
    <row r="1647" spans="1:37" x14ac:dyDescent="0.2">
      <c r="A1647" t="str">
        <f>"20200111153431822"</f>
        <v>20200111153431822</v>
      </c>
      <c r="B1647" t="str">
        <f>"1578728071817638"</f>
        <v>1578728071817638</v>
      </c>
      <c r="C1647" t="s">
        <v>37</v>
      </c>
      <c r="D1647">
        <v>4.7442129999999896</v>
      </c>
      <c r="E1647">
        <v>0.53647309999999904</v>
      </c>
      <c r="F1647" t="s">
        <v>52</v>
      </c>
      <c r="G1647">
        <v>-382.98250000000002</v>
      </c>
      <c r="H1647">
        <v>8.0000890000000005E-2</v>
      </c>
      <c r="I1647">
        <v>290.49680000000001</v>
      </c>
      <c r="J1647">
        <v>-322.43110000000001</v>
      </c>
      <c r="K1647">
        <v>1.103143</v>
      </c>
      <c r="L1647">
        <v>284.33780000000002</v>
      </c>
      <c r="M1647">
        <v>-0.99970650000000005</v>
      </c>
      <c r="N1647">
        <v>0</v>
      </c>
      <c r="O1647">
        <v>2.2556619999999999E-2</v>
      </c>
      <c r="P1647">
        <v>-0.99949560000000004</v>
      </c>
      <c r="Q1647">
        <v>3.1323070000000001E-2</v>
      </c>
      <c r="R1647">
        <v>5.2510539999999998E-3</v>
      </c>
      <c r="S1647">
        <v>-3.0015559999999999</v>
      </c>
      <c r="T1647">
        <v>-5.0535320000000002E-2</v>
      </c>
      <c r="U1647">
        <v>0.30444339999999998</v>
      </c>
      <c r="V1647">
        <v>-1.7241780000000002E-2</v>
      </c>
      <c r="W1647">
        <v>4.0173510000000003E-2</v>
      </c>
      <c r="X1647">
        <v>0.99904389999999998</v>
      </c>
      <c r="Y1647">
        <v>7.8434879999999998E-2</v>
      </c>
      <c r="Z1647">
        <v>2.7988779999999999E-4</v>
      </c>
      <c r="AA1647">
        <v>0.99691919999999901</v>
      </c>
      <c r="AB1647">
        <v>42</v>
      </c>
      <c r="AC1647">
        <v>-60.551400000000001</v>
      </c>
      <c r="AD1647">
        <v>-1.02314211</v>
      </c>
      <c r="AE1647">
        <v>6.15899999999999</v>
      </c>
      <c r="AF1647">
        <v>4.7901909077075597</v>
      </c>
      <c r="AG1647">
        <v>-1.02314211</v>
      </c>
      <c r="AH1647">
        <v>60.657783025712803</v>
      </c>
      <c r="AI1647">
        <v>90.963343395404706</v>
      </c>
      <c r="AJ1647">
        <v>85.484679905517694</v>
      </c>
      <c r="AK1647">
        <v>60.855233056032198</v>
      </c>
    </row>
    <row r="1648" spans="1:37" x14ac:dyDescent="0.2">
      <c r="A1648" t="str">
        <f>"20200111153431835"</f>
        <v>20200111153431835</v>
      </c>
      <c r="B1648" t="str">
        <f>"1578728071827396"</f>
        <v>1578728071827396</v>
      </c>
      <c r="C1648" t="s">
        <v>37</v>
      </c>
      <c r="D1648">
        <v>4.7764259999999998</v>
      </c>
      <c r="E1648">
        <v>0.53648229999999997</v>
      </c>
      <c r="F1648" t="s">
        <v>52</v>
      </c>
      <c r="G1648">
        <v>-384.35410000000002</v>
      </c>
      <c r="H1648">
        <v>8.0001290000000003E-2</v>
      </c>
      <c r="I1648">
        <v>290.63319999999999</v>
      </c>
      <c r="J1648">
        <v>-322.68110000000001</v>
      </c>
      <c r="K1648">
        <v>1.10311</v>
      </c>
      <c r="L1648">
        <v>284.34359999999998</v>
      </c>
      <c r="M1648">
        <v>-0.99970309999999996</v>
      </c>
      <c r="N1648">
        <v>0</v>
      </c>
      <c r="O1648">
        <v>2.284218E-2</v>
      </c>
      <c r="P1648">
        <v>-0.99947640000000004</v>
      </c>
      <c r="Q1648">
        <v>3.1872119999999997E-2</v>
      </c>
      <c r="R1648">
        <v>5.5915139999999997E-3</v>
      </c>
      <c r="S1648">
        <v>-3.001465</v>
      </c>
      <c r="T1648">
        <v>-4.9592610000000002E-2</v>
      </c>
      <c r="U1648">
        <v>0.30514530000000001</v>
      </c>
      <c r="V1648">
        <v>-1.7186369999999999E-2</v>
      </c>
      <c r="W1648">
        <v>4.0382679999999997E-2</v>
      </c>
      <c r="X1648">
        <v>0.99903649999999999</v>
      </c>
      <c r="Y1648">
        <v>7.8384339999999997E-2</v>
      </c>
      <c r="Z1648">
        <v>2.6955490000000001E-4</v>
      </c>
      <c r="AA1648">
        <v>0.99692309999999995</v>
      </c>
      <c r="AB1648">
        <v>42</v>
      </c>
      <c r="AC1648">
        <v>-61.673000000000002</v>
      </c>
      <c r="AD1648">
        <v>-1.02310871</v>
      </c>
      <c r="AE1648">
        <v>6.2896000000000001</v>
      </c>
      <c r="AF1648">
        <v>4.8778337961560503</v>
      </c>
      <c r="AG1648">
        <v>-1.02310871</v>
      </c>
      <c r="AH1648">
        <v>61.7837526114577</v>
      </c>
      <c r="AI1648">
        <v>90.945760956451807</v>
      </c>
      <c r="AJ1648">
        <v>85.4858556817682</v>
      </c>
      <c r="AK1648">
        <v>61.984450475334498</v>
      </c>
    </row>
    <row r="1649" spans="1:37" x14ac:dyDescent="0.2">
      <c r="A1649" t="str">
        <f>"20200111153431847"</f>
        <v>20200111153431847</v>
      </c>
      <c r="B1649" t="str">
        <f>"1578728071838132"</f>
        <v>1578728071838132</v>
      </c>
      <c r="C1649" t="s">
        <v>37</v>
      </c>
      <c r="D1649">
        <v>4.7617719999999997</v>
      </c>
      <c r="E1649">
        <v>0.53638430000000004</v>
      </c>
      <c r="F1649" t="s">
        <v>52</v>
      </c>
      <c r="G1649">
        <v>-387.40359999999998</v>
      </c>
      <c r="H1649">
        <v>8.0000730000000006E-2</v>
      </c>
      <c r="I1649">
        <v>290.94630000000001</v>
      </c>
      <c r="J1649">
        <v>-322.90219999999999</v>
      </c>
      <c r="K1649">
        <v>1.1030819999999999</v>
      </c>
      <c r="L1649">
        <v>284.34879999999998</v>
      </c>
      <c r="M1649">
        <v>-0.99969969999999997</v>
      </c>
      <c r="N1649">
        <v>0</v>
      </c>
      <c r="O1649">
        <v>2.3092290000000001E-2</v>
      </c>
      <c r="P1649">
        <v>-0.99946999999999997</v>
      </c>
      <c r="Q1649">
        <v>3.2042399999999999E-2</v>
      </c>
      <c r="R1649">
        <v>5.7644609999999898E-3</v>
      </c>
      <c r="S1649">
        <v>-3.0013730000000001</v>
      </c>
      <c r="T1649">
        <v>-4.744458E-2</v>
      </c>
      <c r="U1649">
        <v>0.30618289999999998</v>
      </c>
      <c r="V1649">
        <v>-1.7263629999999999E-2</v>
      </c>
      <c r="W1649">
        <v>4.0261180000000001E-2</v>
      </c>
      <c r="X1649">
        <v>0.99904009999999999</v>
      </c>
      <c r="Y1649">
        <v>7.8479800000000002E-2</v>
      </c>
      <c r="Z1649">
        <v>2.5469769999999999E-4</v>
      </c>
      <c r="AA1649">
        <v>0.99691569999999996</v>
      </c>
      <c r="AB1649">
        <v>42</v>
      </c>
      <c r="AC1649">
        <v>-64.501399999999904</v>
      </c>
      <c r="AD1649">
        <v>-1.0230812699999901</v>
      </c>
      <c r="AE1649">
        <v>6.5975000000000197</v>
      </c>
      <c r="AF1649">
        <v>5.1049344316209302</v>
      </c>
      <c r="AG1649">
        <v>-1.0230812699999901</v>
      </c>
      <c r="AH1649">
        <v>64.620466136073105</v>
      </c>
      <c r="AI1649">
        <v>90.904223232814005</v>
      </c>
      <c r="AJ1649">
        <v>85.4830872665313</v>
      </c>
      <c r="AK1649">
        <v>64.829867302652602</v>
      </c>
    </row>
    <row r="1650" spans="1:37" x14ac:dyDescent="0.2">
      <c r="A1650" t="str">
        <f>"20200111153431860"</f>
        <v>20200111153431860</v>
      </c>
      <c r="B1650" t="str">
        <f>"1578728071857652"</f>
        <v>1578728071857652</v>
      </c>
      <c r="C1650" t="s">
        <v>37</v>
      </c>
      <c r="D1650">
        <v>4.7639079999999998</v>
      </c>
      <c r="E1650">
        <v>0.53583939999999997</v>
      </c>
      <c r="F1650" t="s">
        <v>52</v>
      </c>
      <c r="G1650">
        <v>-388.59589999999997</v>
      </c>
      <c r="H1650">
        <v>8.0001069999999994E-2</v>
      </c>
      <c r="I1650">
        <v>291.04539999999997</v>
      </c>
      <c r="J1650">
        <v>-323.149</v>
      </c>
      <c r="K1650">
        <v>1.1030530000000001</v>
      </c>
      <c r="L1650">
        <v>284.35469999999998</v>
      </c>
      <c r="M1650">
        <v>-0.99969580000000002</v>
      </c>
      <c r="N1650">
        <v>0</v>
      </c>
      <c r="O1650">
        <v>2.3369819999999999E-2</v>
      </c>
      <c r="P1650">
        <v>-0.99945799999999996</v>
      </c>
      <c r="Q1650">
        <v>3.2370629999999997E-2</v>
      </c>
      <c r="R1650">
        <v>5.9994810000000001E-3</v>
      </c>
      <c r="S1650">
        <v>-3.0012819999999998</v>
      </c>
      <c r="T1650">
        <v>-4.6740530000000002E-2</v>
      </c>
      <c r="U1650">
        <v>0.30593870000000001</v>
      </c>
      <c r="V1650">
        <v>-1.7306019999999998E-2</v>
      </c>
      <c r="W1650">
        <v>4.0269270000000003E-2</v>
      </c>
      <c r="X1650">
        <v>0.99903899999999901</v>
      </c>
      <c r="Y1650">
        <v>7.8126180000000003E-2</v>
      </c>
      <c r="Z1650">
        <v>2.438746E-4</v>
      </c>
      <c r="AA1650">
        <v>0.99694349999999998</v>
      </c>
      <c r="AB1650">
        <v>42</v>
      </c>
      <c r="AC1650">
        <v>-65.4468999999999</v>
      </c>
      <c r="AD1650">
        <v>-1.0230519300000001</v>
      </c>
      <c r="AE1650">
        <v>6.6906999999999899</v>
      </c>
      <c r="AF1650">
        <v>5.1580954103789702</v>
      </c>
      <c r="AG1650">
        <v>-1.0230519300000001</v>
      </c>
      <c r="AH1650">
        <v>65.569533522807603</v>
      </c>
      <c r="AI1650">
        <v>90.891135110315801</v>
      </c>
      <c r="AJ1650">
        <v>85.502031102935106</v>
      </c>
      <c r="AK1650">
        <v>65.780060123966393</v>
      </c>
    </row>
    <row r="1651" spans="1:37" x14ac:dyDescent="0.2">
      <c r="A1651" t="str">
        <f>"20200111153431877"</f>
        <v>20200111153431877</v>
      </c>
      <c r="B1651" t="str">
        <f>"1578728071868387"</f>
        <v>1578728071868387</v>
      </c>
      <c r="C1651" t="s">
        <v>37</v>
      </c>
      <c r="D1651">
        <v>4.7802910000000001</v>
      </c>
      <c r="E1651">
        <v>0.53577330000000001</v>
      </c>
      <c r="F1651" t="s">
        <v>52</v>
      </c>
      <c r="G1651">
        <v>-392.85149999999999</v>
      </c>
      <c r="H1651">
        <v>8.0000859999999993E-2</v>
      </c>
      <c r="I1651">
        <v>291.3784</v>
      </c>
      <c r="J1651">
        <v>-323.46460000000002</v>
      </c>
      <c r="K1651">
        <v>1.1030249999999999</v>
      </c>
      <c r="L1651">
        <v>284.36219999999997</v>
      </c>
      <c r="M1651">
        <v>-0.99969069999999904</v>
      </c>
      <c r="N1651">
        <v>0</v>
      </c>
      <c r="O1651">
        <v>2.3719560000000001E-2</v>
      </c>
      <c r="P1651">
        <v>-0.99945499999999998</v>
      </c>
      <c r="Q1651">
        <v>3.2478849999999997E-2</v>
      </c>
      <c r="R1651">
        <v>5.9421049999999996E-3</v>
      </c>
      <c r="S1651">
        <v>-3.0012509999999999</v>
      </c>
      <c r="T1651">
        <v>-4.4050569999999997E-2</v>
      </c>
      <c r="U1651">
        <v>0.30242920000000001</v>
      </c>
      <c r="V1651">
        <v>-1.771352E-2</v>
      </c>
      <c r="W1651">
        <v>3.9991029999999997E-2</v>
      </c>
      <c r="X1651">
        <v>0.99904300000000001</v>
      </c>
      <c r="Y1651">
        <v>7.662542E-2</v>
      </c>
      <c r="Z1651">
        <v>2.1375529999999901E-4</v>
      </c>
      <c r="AA1651">
        <v>0.9970599</v>
      </c>
      <c r="AB1651">
        <v>42</v>
      </c>
      <c r="AC1651">
        <v>-69.386899999999898</v>
      </c>
      <c r="AD1651">
        <v>-1.02302414</v>
      </c>
      <c r="AE1651">
        <v>7.01620000000002</v>
      </c>
      <c r="AF1651">
        <v>5.36719825818889</v>
      </c>
      <c r="AG1651">
        <v>-1.02302414</v>
      </c>
      <c r="AH1651">
        <v>69.518843888077498</v>
      </c>
      <c r="AI1651">
        <v>90.840590206857001</v>
      </c>
      <c r="AJ1651">
        <v>85.585240352962501</v>
      </c>
      <c r="AK1651">
        <v>69.733227740214502</v>
      </c>
    </row>
    <row r="1652" spans="1:37" x14ac:dyDescent="0.2">
      <c r="A1652" t="str">
        <f>"20200111153431889"</f>
        <v>20200111153431889</v>
      </c>
      <c r="B1652" t="str">
        <f>"1578728071878148"</f>
        <v>1578728071878148</v>
      </c>
      <c r="C1652" t="s">
        <v>37</v>
      </c>
      <c r="D1652">
        <v>4.7766859999999998</v>
      </c>
      <c r="E1652">
        <v>0.5355645</v>
      </c>
      <c r="F1652" t="s">
        <v>52</v>
      </c>
      <c r="G1652">
        <v>-394.8938</v>
      </c>
      <c r="H1652">
        <v>8.0001459999999996E-2</v>
      </c>
      <c r="I1652">
        <v>291.54340000000002</v>
      </c>
      <c r="J1652">
        <v>-323.69209999999998</v>
      </c>
      <c r="K1652">
        <v>1.103003</v>
      </c>
      <c r="L1652">
        <v>284.36779999999999</v>
      </c>
      <c r="M1652">
        <v>-0.99968659999999998</v>
      </c>
      <c r="N1652">
        <v>0</v>
      </c>
      <c r="O1652">
        <v>2.3968840000000002E-2</v>
      </c>
      <c r="P1652">
        <v>-0.99944480000000002</v>
      </c>
      <c r="Q1652">
        <v>3.2757189999999999E-2</v>
      </c>
      <c r="R1652">
        <v>6.098783E-3</v>
      </c>
      <c r="S1652">
        <v>-3.0012209999999899</v>
      </c>
      <c r="T1652">
        <v>-4.2984130000000002E-2</v>
      </c>
      <c r="U1652">
        <v>0.30172729999999998</v>
      </c>
      <c r="V1652">
        <v>-1.78064E-2</v>
      </c>
      <c r="W1652">
        <v>4.0009620000000003E-2</v>
      </c>
      <c r="X1652">
        <v>0.99904059999999995</v>
      </c>
      <c r="Y1652">
        <v>7.6147329999999999E-2</v>
      </c>
      <c r="Z1652">
        <v>2.0161259999999901E-4</v>
      </c>
      <c r="AA1652">
        <v>0.99709650000000005</v>
      </c>
      <c r="AB1652">
        <v>42</v>
      </c>
      <c r="AC1652">
        <v>-71.201700000000002</v>
      </c>
      <c r="AD1652">
        <v>-1.0230015400000001</v>
      </c>
      <c r="AE1652">
        <v>7.1756000000000304</v>
      </c>
      <c r="AF1652">
        <v>5.4657547403770597</v>
      </c>
      <c r="AG1652">
        <v>-1.0230015400000001</v>
      </c>
      <c r="AH1652">
        <v>71.338660069284103</v>
      </c>
      <c r="AI1652">
        <v>90.819168824262405</v>
      </c>
      <c r="AJ1652">
        <v>85.618728313573897</v>
      </c>
      <c r="AK1652">
        <v>71.555051726021901</v>
      </c>
    </row>
    <row r="1653" spans="1:37" x14ac:dyDescent="0.2">
      <c r="A1653" t="str">
        <f>"20200111153431902"</f>
        <v>20200111153431902</v>
      </c>
      <c r="B1653" t="str">
        <f>"1578728071897668"</f>
        <v>1578728071897668</v>
      </c>
      <c r="C1653" t="s">
        <v>37</v>
      </c>
      <c r="D1653">
        <v>4.7792760000000003</v>
      </c>
      <c r="E1653">
        <v>0.5354236</v>
      </c>
      <c r="F1653" t="s">
        <v>52</v>
      </c>
      <c r="G1653">
        <v>-398.16500000000002</v>
      </c>
      <c r="H1653">
        <v>8.0000940000000006E-2</v>
      </c>
      <c r="I1653">
        <v>291.82089999999999</v>
      </c>
      <c r="J1653">
        <v>-323.94979999999998</v>
      </c>
      <c r="K1653">
        <v>1.102978</v>
      </c>
      <c r="L1653">
        <v>284.3741</v>
      </c>
      <c r="M1653">
        <v>-0.99968179999999995</v>
      </c>
      <c r="N1653">
        <v>0</v>
      </c>
      <c r="O1653">
        <v>2.4249449999999999E-2</v>
      </c>
      <c r="P1653">
        <v>-0.99943819999999906</v>
      </c>
      <c r="Q1653">
        <v>3.2933450000000003E-2</v>
      </c>
      <c r="R1653">
        <v>6.2262230000000003E-3</v>
      </c>
      <c r="S1653">
        <v>-3.0011899999999998</v>
      </c>
      <c r="T1653">
        <v>-4.1226029999999997E-2</v>
      </c>
      <c r="U1653">
        <v>0.30035400000000001</v>
      </c>
      <c r="V1653">
        <v>-1.79594E-2</v>
      </c>
      <c r="W1653">
        <v>3.9902409999999999E-2</v>
      </c>
      <c r="X1653">
        <v>0.99904219999999899</v>
      </c>
      <c r="Y1653">
        <v>7.5417310000000001E-2</v>
      </c>
      <c r="Z1653">
        <v>1.8453069999999999E-4</v>
      </c>
      <c r="AA1653">
        <v>0.99715200000000004</v>
      </c>
      <c r="AB1653">
        <v>42</v>
      </c>
      <c r="AC1653">
        <v>-74.215199999999996</v>
      </c>
      <c r="AD1653">
        <v>-1.0229770600000001</v>
      </c>
      <c r="AE1653">
        <v>7.4467999999999899</v>
      </c>
      <c r="AF1653">
        <v>5.6438272477387201</v>
      </c>
      <c r="AG1653">
        <v>-1.0229770600000001</v>
      </c>
      <c r="AH1653">
        <v>74.359972979673501</v>
      </c>
      <c r="AI1653">
        <v>90.785913506465107</v>
      </c>
      <c r="AJ1653">
        <v>85.659644913692205</v>
      </c>
      <c r="AK1653">
        <v>74.580861148188504</v>
      </c>
    </row>
    <row r="1654" spans="1:37" x14ac:dyDescent="0.2">
      <c r="A1654" t="str">
        <f>"20200111153431915"</f>
        <v>20200111153431915</v>
      </c>
      <c r="B1654" t="str">
        <f>"1578728071907428"</f>
        <v>1578728071907428</v>
      </c>
      <c r="C1654" t="s">
        <v>37</v>
      </c>
      <c r="D1654">
        <v>4.7509600000000001</v>
      </c>
      <c r="E1654">
        <v>0.53530840000000002</v>
      </c>
      <c r="F1654" t="s">
        <v>56</v>
      </c>
      <c r="G1654">
        <v>-402.56979999999999</v>
      </c>
      <c r="H1654">
        <v>7.9999479999999998E-2</v>
      </c>
      <c r="I1654">
        <v>292.22730000000001</v>
      </c>
      <c r="J1654">
        <v>-324.19299999999998</v>
      </c>
      <c r="K1654">
        <v>1.1029610000000001</v>
      </c>
      <c r="L1654">
        <v>284.38010000000003</v>
      </c>
      <c r="M1654">
        <v>-0.99967719999999904</v>
      </c>
      <c r="N1654">
        <v>0</v>
      </c>
      <c r="O1654">
        <v>2.45110999999999E-2</v>
      </c>
      <c r="P1654">
        <v>-0.99943969999999904</v>
      </c>
      <c r="Q1654">
        <v>3.283954E-2</v>
      </c>
      <c r="R1654">
        <v>6.4922449999999998E-3</v>
      </c>
      <c r="S1654">
        <v>-3.0011290000000002</v>
      </c>
      <c r="T1654">
        <v>-3.9049739999999999E-2</v>
      </c>
      <c r="U1654">
        <v>0.29977419999999999</v>
      </c>
      <c r="V1654">
        <v>-1.7955349999999998E-2</v>
      </c>
      <c r="W1654">
        <v>3.9558400000000001E-2</v>
      </c>
      <c r="X1654">
        <v>0.9990559</v>
      </c>
      <c r="Y1654">
        <v>7.4968149999999997E-2</v>
      </c>
      <c r="Z1654">
        <v>1.6848819999999999E-4</v>
      </c>
      <c r="AA1654">
        <v>0.99718589999999996</v>
      </c>
      <c r="AB1654">
        <v>43</v>
      </c>
      <c r="AC1654">
        <v>-78.376800000000003</v>
      </c>
      <c r="AD1654">
        <v>-1.02296152</v>
      </c>
      <c r="AE1654">
        <v>7.8471999999999804</v>
      </c>
      <c r="AF1654">
        <v>5.9226988212444303</v>
      </c>
      <c r="AG1654">
        <v>-1.02296152</v>
      </c>
      <c r="AH1654">
        <v>78.532353801305504</v>
      </c>
      <c r="AI1654">
        <v>90.744178825107895</v>
      </c>
      <c r="AJ1654">
        <v>85.687071089369695</v>
      </c>
      <c r="AK1654">
        <v>78.7620175285778</v>
      </c>
    </row>
    <row r="1655" spans="1:37" x14ac:dyDescent="0.2">
      <c r="A1655" t="str">
        <f>"20200111153431927"</f>
        <v>20200111153431927</v>
      </c>
      <c r="B1655" t="str">
        <f>"1578728071918164"</f>
        <v>1578728071918164</v>
      </c>
      <c r="C1655" t="s">
        <v>37</v>
      </c>
      <c r="D1655">
        <v>4.7610609999999998</v>
      </c>
      <c r="E1655">
        <v>0.53523399999999999</v>
      </c>
      <c r="F1655" t="s">
        <v>56</v>
      </c>
      <c r="G1655">
        <v>-403.0822</v>
      </c>
      <c r="H1655">
        <v>7.9999570000000006E-2</v>
      </c>
      <c r="I1655">
        <v>292.25729999999999</v>
      </c>
      <c r="J1655">
        <v>-324.4348</v>
      </c>
      <c r="K1655">
        <v>1.1029439999999999</v>
      </c>
      <c r="L1655">
        <v>284.38619999999997</v>
      </c>
      <c r="M1655">
        <v>-0.99967240000000002</v>
      </c>
      <c r="N1655">
        <v>0</v>
      </c>
      <c r="O1655">
        <v>2.4768430000000001E-2</v>
      </c>
      <c r="P1655">
        <v>-0.99943369999999998</v>
      </c>
      <c r="Q1655">
        <v>3.2935140000000002E-2</v>
      </c>
      <c r="R1655">
        <v>6.9130509999999999E-3</v>
      </c>
      <c r="S1655">
        <v>-3.0009769999999998</v>
      </c>
      <c r="T1655">
        <v>-3.891385E-2</v>
      </c>
      <c r="U1655">
        <v>0.29965209999999998</v>
      </c>
      <c r="V1655">
        <v>-1.779205E-2</v>
      </c>
      <c r="W1655">
        <v>3.9418799999999997E-2</v>
      </c>
      <c r="X1655">
        <v>0.99906439999999996</v>
      </c>
      <c r="Y1655">
        <v>7.4676419999999993E-2</v>
      </c>
      <c r="Z1655">
        <v>1.6269860000000001E-4</v>
      </c>
      <c r="AA1655">
        <v>0.99720779999999998</v>
      </c>
      <c r="AB1655">
        <v>43</v>
      </c>
      <c r="AC1655">
        <v>-78.647400000000005</v>
      </c>
      <c r="AD1655">
        <v>-1.0229444299999999</v>
      </c>
      <c r="AE1655">
        <v>7.87110000000001</v>
      </c>
      <c r="AF1655">
        <v>5.9196804806059902</v>
      </c>
      <c r="AG1655">
        <v>-1.0229444299999999</v>
      </c>
      <c r="AH1655">
        <v>78.805030423575303</v>
      </c>
      <c r="AI1655">
        <v>90.741608368453498</v>
      </c>
      <c r="AJ1655">
        <v>85.704120605445297</v>
      </c>
      <c r="AK1655">
        <v>79.033675432438102</v>
      </c>
    </row>
    <row r="1656" spans="1:37" x14ac:dyDescent="0.2">
      <c r="A1656" t="str">
        <f>"20200111153431945"</f>
        <v>20200111153431945</v>
      </c>
      <c r="B1656" t="str">
        <f>"1578728071937686"</f>
        <v>1578728071937686</v>
      </c>
      <c r="C1656" t="s">
        <v>37</v>
      </c>
      <c r="D1656">
        <v>4.769876</v>
      </c>
      <c r="E1656">
        <v>0.535031699999999</v>
      </c>
      <c r="F1656" t="s">
        <v>56</v>
      </c>
      <c r="G1656">
        <v>-404.92950000000002</v>
      </c>
      <c r="H1656">
        <v>7.9999940000000005E-2</v>
      </c>
      <c r="I1656">
        <v>292.43860000000001</v>
      </c>
      <c r="J1656">
        <v>-324.75830000000002</v>
      </c>
      <c r="K1656">
        <v>1.102922</v>
      </c>
      <c r="L1656">
        <v>284.39440000000002</v>
      </c>
      <c r="M1656">
        <v>-0.99966569999999899</v>
      </c>
      <c r="N1656">
        <v>0</v>
      </c>
      <c r="O1656">
        <v>2.510917E-2</v>
      </c>
      <c r="P1656">
        <v>-0.99942489999999995</v>
      </c>
      <c r="Q1656">
        <v>3.313572E-2</v>
      </c>
      <c r="R1656">
        <v>7.1997959999999996E-3</v>
      </c>
      <c r="S1656">
        <v>-3.0009160000000001</v>
      </c>
      <c r="T1656">
        <v>-3.8136240000000002E-2</v>
      </c>
      <c r="U1656">
        <v>0.30020140000000001</v>
      </c>
      <c r="V1656">
        <v>-1.784643E-2</v>
      </c>
      <c r="W1656">
        <v>3.9322549999999998E-2</v>
      </c>
      <c r="X1656">
        <v>0.99906719999999904</v>
      </c>
      <c r="Y1656">
        <v>7.4519509999999997E-2</v>
      </c>
      <c r="Z1656">
        <v>1.541402E-4</v>
      </c>
      <c r="AA1656">
        <v>0.99721959999999998</v>
      </c>
      <c r="AB1656">
        <v>43</v>
      </c>
      <c r="AC1656">
        <v>-80.171199999999999</v>
      </c>
      <c r="AD1656">
        <v>-1.02292206</v>
      </c>
      <c r="AE1656">
        <v>8.0441999999999894</v>
      </c>
      <c r="AF1656">
        <v>6.0276216298257497</v>
      </c>
      <c r="AG1656">
        <v>-1.02292206</v>
      </c>
      <c r="AH1656">
        <v>80.334961301560995</v>
      </c>
      <c r="AI1656">
        <v>90.727475230971805</v>
      </c>
      <c r="AJ1656">
        <v>85.709073952947804</v>
      </c>
      <c r="AK1656">
        <v>80.567267543193296</v>
      </c>
    </row>
    <row r="1657" spans="1:37" x14ac:dyDescent="0.2">
      <c r="A1657" t="str">
        <f>"20200111153431957"</f>
        <v>20200111153431957</v>
      </c>
      <c r="B1657" t="str">
        <f>"1578728071947445"</f>
        <v>1578728071947445</v>
      </c>
      <c r="C1657" t="s">
        <v>37</v>
      </c>
      <c r="D1657">
        <v>4.6892100000000001</v>
      </c>
      <c r="E1657">
        <v>0.53497680000000003</v>
      </c>
      <c r="F1657" t="s">
        <v>56</v>
      </c>
      <c r="G1657">
        <v>-408.43439999999998</v>
      </c>
      <c r="H1657">
        <v>7.999995E-2</v>
      </c>
      <c r="I1657">
        <v>292.74669999999998</v>
      </c>
      <c r="J1657">
        <v>-325.0016</v>
      </c>
      <c r="K1657">
        <v>1.102908</v>
      </c>
      <c r="L1657">
        <v>284.40069999999997</v>
      </c>
      <c r="M1657">
        <v>-0.99966060000000001</v>
      </c>
      <c r="N1657">
        <v>0</v>
      </c>
      <c r="O1657">
        <v>2.5362340000000001E-2</v>
      </c>
      <c r="P1657">
        <v>-0.99942050000000004</v>
      </c>
      <c r="Q1657">
        <v>3.31889E-2</v>
      </c>
      <c r="R1657">
        <v>7.56938199999999E-3</v>
      </c>
      <c r="S1657">
        <v>-3.0007929999999998</v>
      </c>
      <c r="T1657">
        <v>-3.6684040000000001E-2</v>
      </c>
      <c r="U1657">
        <v>0.29953000000000002</v>
      </c>
      <c r="V1657">
        <v>-1.7730300000000001E-2</v>
      </c>
      <c r="W1657">
        <v>3.9165789999999999E-2</v>
      </c>
      <c r="X1657">
        <v>0.99907539999999995</v>
      </c>
      <c r="Y1657">
        <v>7.4050450000000004E-2</v>
      </c>
      <c r="Z1657">
        <v>1.423346E-4</v>
      </c>
      <c r="AA1657">
        <v>0.99725450000000004</v>
      </c>
      <c r="AB1657">
        <v>43</v>
      </c>
      <c r="AC1657">
        <v>-83.432799999999901</v>
      </c>
      <c r="AD1657">
        <v>-1.0229080500000001</v>
      </c>
      <c r="AE1657">
        <v>8.3460000000000001</v>
      </c>
      <c r="AF1657">
        <v>6.2263000354318203</v>
      </c>
      <c r="AG1657">
        <v>-1.0229080500000001</v>
      </c>
      <c r="AH1657">
        <v>83.605196040814803</v>
      </c>
      <c r="AI1657">
        <v>90.699042210206301</v>
      </c>
      <c r="AJ1657">
        <v>85.7408940898151</v>
      </c>
      <c r="AK1657">
        <v>83.842960098228005</v>
      </c>
    </row>
    <row r="1658" spans="1:37" x14ac:dyDescent="0.2">
      <c r="A1658" t="str">
        <f>"20200111153431971"</f>
        <v>20200111153431971</v>
      </c>
      <c r="B1658" t="str">
        <f>"1578728071967940"</f>
        <v>1578728071967940</v>
      </c>
      <c r="C1658" t="s">
        <v>37</v>
      </c>
      <c r="D1658">
        <v>4.7047179999999997</v>
      </c>
      <c r="E1658">
        <v>0.53474500000000003</v>
      </c>
      <c r="F1658" t="s">
        <v>56</v>
      </c>
      <c r="G1658">
        <v>-417.075999999999</v>
      </c>
      <c r="H1658" s="1">
        <v>1.8668409999999999E-6</v>
      </c>
      <c r="I1658">
        <v>293.6123</v>
      </c>
      <c r="J1658">
        <v>-325.26429999999999</v>
      </c>
      <c r="K1658">
        <v>1.1028910000000001</v>
      </c>
      <c r="L1658">
        <v>284.40750000000003</v>
      </c>
      <c r="M1658">
        <v>-0.99965509999999902</v>
      </c>
      <c r="N1658">
        <v>0</v>
      </c>
      <c r="O1658">
        <v>2.563091E-2</v>
      </c>
      <c r="P1658">
        <v>-0.99941170000000001</v>
      </c>
      <c r="Q1658">
        <v>3.337996E-2</v>
      </c>
      <c r="R1658">
        <v>7.8969969999999994E-3</v>
      </c>
      <c r="S1658">
        <v>-3.0006710000000001</v>
      </c>
      <c r="T1658">
        <v>-3.5943269999999999E-2</v>
      </c>
      <c r="U1658">
        <v>0.30020140000000001</v>
      </c>
      <c r="V1658">
        <v>-1.7671240000000001E-2</v>
      </c>
      <c r="W1658">
        <v>3.9149589999999998E-2</v>
      </c>
      <c r="X1658">
        <v>0.99907710000000005</v>
      </c>
      <c r="Y1658">
        <v>7.4007660000000003E-2</v>
      </c>
      <c r="Z1658">
        <v>1.360035E-4</v>
      </c>
      <c r="AA1658">
        <v>0.99725759999999997</v>
      </c>
      <c r="AB1658">
        <v>43</v>
      </c>
      <c r="AC1658">
        <v>-91.811699999999902</v>
      </c>
      <c r="AD1658">
        <v>-1.1028891331590001</v>
      </c>
      <c r="AE1658">
        <v>9.2047999999999703</v>
      </c>
      <c r="AF1658">
        <v>6.8475416772908204</v>
      </c>
      <c r="AG1658">
        <v>-1.1028891331590001</v>
      </c>
      <c r="AH1658">
        <v>92.0043236226104</v>
      </c>
      <c r="AI1658">
        <v>90.684898236066104</v>
      </c>
      <c r="AJ1658">
        <v>85.743534614967899</v>
      </c>
      <c r="AK1658">
        <v>92.265382222783302</v>
      </c>
    </row>
    <row r="1659" spans="1:37" x14ac:dyDescent="0.2">
      <c r="A1659" t="str">
        <f>"20200111153431985"</f>
        <v>20200111153431985</v>
      </c>
      <c r="B1659" t="str">
        <f>"1578728071977700"</f>
        <v>1578728071977700</v>
      </c>
      <c r="C1659" t="s">
        <v>37</v>
      </c>
      <c r="D1659">
        <v>4.688078</v>
      </c>
      <c r="E1659">
        <v>0.53468769999999999</v>
      </c>
      <c r="F1659" t="s">
        <v>56</v>
      </c>
      <c r="G1659">
        <v>-421.5736</v>
      </c>
      <c r="H1659" s="1">
        <v>1.7306549999999901E-6</v>
      </c>
      <c r="I1659">
        <v>294.01170000000002</v>
      </c>
      <c r="J1659">
        <v>-325.53410000000002</v>
      </c>
      <c r="K1659">
        <v>1.102878</v>
      </c>
      <c r="L1659">
        <v>284.41460000000001</v>
      </c>
      <c r="M1659">
        <v>-0.99964900000000001</v>
      </c>
      <c r="N1659">
        <v>0</v>
      </c>
      <c r="O1659">
        <v>2.5904030000000001E-2</v>
      </c>
      <c r="P1659">
        <v>-0.99939560000000005</v>
      </c>
      <c r="Q1659">
        <v>3.3725230000000002E-2</v>
      </c>
      <c r="R1659">
        <v>8.4357340000000003E-3</v>
      </c>
      <c r="S1659">
        <v>-3.0005489999999999</v>
      </c>
      <c r="T1659">
        <v>-3.4360889999999998E-2</v>
      </c>
      <c r="U1659">
        <v>0.29922490000000002</v>
      </c>
      <c r="V1659">
        <v>-1.740531E-2</v>
      </c>
      <c r="W1659">
        <v>3.929444E-2</v>
      </c>
      <c r="X1659">
        <v>0.99907610000000002</v>
      </c>
      <c r="Y1659">
        <v>7.3418230000000001E-2</v>
      </c>
      <c r="Z1659">
        <v>1.2354010000000001E-4</v>
      </c>
      <c r="AA1659">
        <v>0.997301199999999</v>
      </c>
      <c r="AB1659">
        <v>43</v>
      </c>
      <c r="AC1659">
        <v>-96.039499999999904</v>
      </c>
      <c r="AD1659">
        <v>-1.102876269345</v>
      </c>
      <c r="AE1659">
        <v>9.59710000000001</v>
      </c>
      <c r="AF1659">
        <v>7.1051032656261901</v>
      </c>
      <c r="AG1659">
        <v>-1.102876269345</v>
      </c>
      <c r="AH1659">
        <v>96.243312497422707</v>
      </c>
      <c r="AI1659">
        <v>90.6547563348674</v>
      </c>
      <c r="AJ1659">
        <v>85.777833576789305</v>
      </c>
      <c r="AK1659">
        <v>96.511522778149498</v>
      </c>
    </row>
    <row r="1660" spans="1:37" x14ac:dyDescent="0.2">
      <c r="A1660" t="str">
        <f>"20200111153432001"</f>
        <v>20200111153432001</v>
      </c>
      <c r="B1660" t="str">
        <f>"1578728071987460"</f>
        <v>1578728071987460</v>
      </c>
      <c r="C1660" t="s">
        <v>37</v>
      </c>
      <c r="D1660">
        <v>4.7263409999999997</v>
      </c>
      <c r="E1660">
        <v>0.53460659999999904</v>
      </c>
      <c r="F1660" t="s">
        <v>56</v>
      </c>
      <c r="G1660">
        <v>-425.73680000000002</v>
      </c>
      <c r="H1660" s="1">
        <v>1.2850519999999999E-6</v>
      </c>
      <c r="I1660">
        <v>294.44529999999997</v>
      </c>
      <c r="J1660">
        <v>-325.83049999999997</v>
      </c>
      <c r="K1660">
        <v>1.10287</v>
      </c>
      <c r="L1660">
        <v>284.42239999999998</v>
      </c>
      <c r="M1660">
        <v>-0.99964249999999899</v>
      </c>
      <c r="N1660">
        <v>0</v>
      </c>
      <c r="O1660">
        <v>2.619997E-2</v>
      </c>
      <c r="P1660">
        <v>-0.99937969999999898</v>
      </c>
      <c r="Q1660">
        <v>3.4046020000000003E-2</v>
      </c>
      <c r="R1660">
        <v>9.0244390000000004E-3</v>
      </c>
      <c r="S1660">
        <v>-3.000397</v>
      </c>
      <c r="T1660">
        <v>-3.3023719999999999E-2</v>
      </c>
      <c r="U1660">
        <v>0.30035400000000001</v>
      </c>
      <c r="V1660">
        <v>-1.7112240000000001E-2</v>
      </c>
      <c r="W1660">
        <v>3.9411649999999999E-2</v>
      </c>
      <c r="X1660">
        <v>0.99907649999999903</v>
      </c>
      <c r="Y1660">
        <v>7.3499850000000005E-2</v>
      </c>
      <c r="Z1660">
        <v>1.159392E-4</v>
      </c>
      <c r="AA1660">
        <v>0.99729519999999905</v>
      </c>
      <c r="AB1660">
        <v>43</v>
      </c>
      <c r="AC1660">
        <v>-99.906300000000002</v>
      </c>
      <c r="AD1660">
        <v>-1.1028687149480001</v>
      </c>
      <c r="AE1660">
        <v>10.0228999999999</v>
      </c>
      <c r="AF1660">
        <v>7.4009870838518701</v>
      </c>
      <c r="AG1660">
        <v>-1.1028687149480001</v>
      </c>
      <c r="AH1660">
        <v>100.122527413369</v>
      </c>
      <c r="AI1660">
        <v>90.629381394992194</v>
      </c>
      <c r="AJ1660">
        <v>85.772424842603399</v>
      </c>
      <c r="AK1660">
        <v>100.401750108545</v>
      </c>
    </row>
    <row r="1661" spans="1:37" x14ac:dyDescent="0.2">
      <c r="A1661" t="str">
        <f>"20200111153432013"</f>
        <v>20200111153432013</v>
      </c>
      <c r="B1661" t="str">
        <f>"1578728072007956"</f>
        <v>1578728072007956</v>
      </c>
      <c r="C1661" t="s">
        <v>37</v>
      </c>
      <c r="D1661">
        <v>4.6599709999999996</v>
      </c>
      <c r="E1661">
        <v>0.53445569999999998</v>
      </c>
      <c r="F1661" t="s">
        <v>56</v>
      </c>
      <c r="G1661">
        <v>-429.95780000000002</v>
      </c>
      <c r="H1661">
        <v>2.2630689999999999E-3</v>
      </c>
      <c r="I1661">
        <v>294.88459999999998</v>
      </c>
      <c r="J1661">
        <v>-326.09519999999998</v>
      </c>
      <c r="K1661">
        <v>1.102859</v>
      </c>
      <c r="L1661">
        <v>284.42939999999999</v>
      </c>
      <c r="M1661">
        <v>-0.99963639999999998</v>
      </c>
      <c r="N1661">
        <v>0</v>
      </c>
      <c r="O1661">
        <v>2.6460279999999999E-2</v>
      </c>
      <c r="P1661">
        <v>-0.999364699999999</v>
      </c>
      <c r="Q1661">
        <v>3.44024E-2</v>
      </c>
      <c r="R1661">
        <v>9.3218999999999993E-3</v>
      </c>
      <c r="S1661">
        <v>-3.0002439999999999</v>
      </c>
      <c r="T1661">
        <v>-3.171206E-2</v>
      </c>
      <c r="U1661">
        <v>0.30145259999999902</v>
      </c>
      <c r="V1661">
        <v>-1.7074949999999998E-2</v>
      </c>
      <c r="W1661">
        <v>3.9605099999999997E-2</v>
      </c>
      <c r="X1661">
        <v>0.99906949999999894</v>
      </c>
      <c r="Y1661">
        <v>7.360701E-2</v>
      </c>
      <c r="Z1661">
        <v>1.091615E-4</v>
      </c>
      <c r="AA1661">
        <v>0.99728729999999999</v>
      </c>
      <c r="AB1661">
        <v>43</v>
      </c>
      <c r="AC1661">
        <v>-103.8626</v>
      </c>
      <c r="AD1661">
        <v>-1.100595931</v>
      </c>
      <c r="AE1661">
        <v>10.4551999999999</v>
      </c>
      <c r="AF1661">
        <v>7.7024124833818002</v>
      </c>
      <c r="AG1661">
        <v>-1.100595931</v>
      </c>
      <c r="AH1661">
        <v>104.091313320694</v>
      </c>
      <c r="AI1661">
        <v>90.604135287278496</v>
      </c>
      <c r="AJ1661">
        <v>85.768014899306493</v>
      </c>
      <c r="AK1661">
        <v>104.381703273583</v>
      </c>
    </row>
    <row r="1662" spans="1:37" x14ac:dyDescent="0.2">
      <c r="A1662" t="str">
        <f>"20200111153432027"</f>
        <v>20200111153432027</v>
      </c>
      <c r="B1662" t="str">
        <f>"1578728072017716"</f>
        <v>1578728072017716</v>
      </c>
      <c r="C1662" t="s">
        <v>37</v>
      </c>
      <c r="D1662">
        <v>4.6972209999999999</v>
      </c>
      <c r="E1662">
        <v>0.53438430000000003</v>
      </c>
      <c r="F1662" t="s">
        <v>38</v>
      </c>
      <c r="G1662">
        <v>-450.86669999999998</v>
      </c>
      <c r="H1662">
        <v>-0.05</v>
      </c>
      <c r="I1662">
        <v>296.95909999999998</v>
      </c>
      <c r="J1662">
        <v>-326.34800000000001</v>
      </c>
      <c r="K1662">
        <v>1.1028500000000001</v>
      </c>
      <c r="L1662">
        <v>284.43619999999999</v>
      </c>
      <c r="M1662">
        <v>-0.99963080000000004</v>
      </c>
      <c r="N1662">
        <v>0</v>
      </c>
      <c r="O1662">
        <v>2.6705409999999999E-2</v>
      </c>
      <c r="P1662">
        <v>-0.99935379999999996</v>
      </c>
      <c r="Q1662">
        <v>3.4621850000000003E-2</v>
      </c>
      <c r="R1662">
        <v>9.6609290000000004E-3</v>
      </c>
      <c r="S1662">
        <v>-3.0000610000000001</v>
      </c>
      <c r="T1662">
        <v>-2.7719859999999999E-2</v>
      </c>
      <c r="U1662">
        <v>0.30126950000000002</v>
      </c>
      <c r="V1662">
        <v>-1.6981059999999999E-2</v>
      </c>
      <c r="W1662">
        <v>3.9680859999999998E-2</v>
      </c>
      <c r="X1662">
        <v>0.99906810000000001</v>
      </c>
      <c r="Y1662">
        <v>7.3308890000000002E-2</v>
      </c>
      <c r="Z1662" s="1">
        <v>9.1795309999999898E-5</v>
      </c>
      <c r="AA1662">
        <v>0.99730929999999995</v>
      </c>
      <c r="AB1662">
        <v>43</v>
      </c>
      <c r="AC1662">
        <v>-124.518699999999</v>
      </c>
      <c r="AD1662">
        <v>-1.1528499999999999</v>
      </c>
      <c r="AE1662">
        <v>12.5228999999999</v>
      </c>
      <c r="AF1662">
        <v>9.1922888501140001</v>
      </c>
      <c r="AG1662">
        <v>-1.1528499999999999</v>
      </c>
      <c r="AH1662">
        <v>124.79813184446201</v>
      </c>
      <c r="AI1662">
        <v>90.527837378077194</v>
      </c>
      <c r="AJ1662">
        <v>85.787357108139901</v>
      </c>
      <c r="AK1662">
        <v>125.141523681367</v>
      </c>
    </row>
    <row r="1663" spans="1:37" x14ac:dyDescent="0.2">
      <c r="A1663" t="str">
        <f>"20200111153432041"</f>
        <v>20200111153432041</v>
      </c>
      <c r="B1663" t="str">
        <f>"1578728072038211"</f>
        <v>1578728072038211</v>
      </c>
      <c r="C1663" t="s">
        <v>37</v>
      </c>
      <c r="D1663">
        <v>4.6726570000000001</v>
      </c>
      <c r="E1663">
        <v>0.53444480000000005</v>
      </c>
      <c r="F1663" t="s">
        <v>38</v>
      </c>
      <c r="G1663">
        <v>-460.33620000000002</v>
      </c>
      <c r="H1663">
        <v>-0.05</v>
      </c>
      <c r="I1663">
        <v>297.90719999999999</v>
      </c>
      <c r="J1663">
        <v>-326.61439999999999</v>
      </c>
      <c r="K1663">
        <v>1.1028420000000001</v>
      </c>
      <c r="L1663">
        <v>284.44349999999997</v>
      </c>
      <c r="M1663">
        <v>-0.99962459999999898</v>
      </c>
      <c r="N1663">
        <v>0</v>
      </c>
      <c r="O1663">
        <v>2.6961249999999999E-2</v>
      </c>
      <c r="P1663">
        <v>-0.99935569999999896</v>
      </c>
      <c r="Q1663">
        <v>3.4541040000000002E-2</v>
      </c>
      <c r="R1663">
        <v>9.7857359999999997E-3</v>
      </c>
      <c r="S1663">
        <v>-2.999908</v>
      </c>
      <c r="T1663">
        <v>-2.5811549999999999E-2</v>
      </c>
      <c r="U1663">
        <v>0.30160520000000002</v>
      </c>
      <c r="V1663">
        <v>-1.7112220000000001E-2</v>
      </c>
      <c r="W1663">
        <v>3.9458350000000003E-2</v>
      </c>
      <c r="X1663">
        <v>0.99907469999999998</v>
      </c>
      <c r="Y1663">
        <v>7.3169449999999997E-2</v>
      </c>
      <c r="Z1663" s="1">
        <v>8.2688169999999895E-5</v>
      </c>
      <c r="AA1663">
        <v>0.99731950000000003</v>
      </c>
      <c r="AB1663">
        <v>43</v>
      </c>
      <c r="AC1663">
        <v>-133.7218</v>
      </c>
      <c r="AD1663">
        <v>-1.1528419999999999</v>
      </c>
      <c r="AE1663">
        <v>13.463699999999999</v>
      </c>
      <c r="AF1663">
        <v>9.8527309021213494</v>
      </c>
      <c r="AG1663">
        <v>-1.1528419999999999</v>
      </c>
      <c r="AH1663">
        <v>134.02632916963501</v>
      </c>
      <c r="AI1663">
        <v>90.491497479423302</v>
      </c>
      <c r="AJ1663">
        <v>85.795555576574003</v>
      </c>
      <c r="AK1663">
        <v>134.392939775846</v>
      </c>
    </row>
    <row r="1664" spans="1:37" x14ac:dyDescent="0.2">
      <c r="A1664" t="str">
        <f>"20200111153432055"</f>
        <v>20200111153432055</v>
      </c>
      <c r="B1664" t="str">
        <f>"1578728072047972"</f>
        <v>1578728072047972</v>
      </c>
      <c r="C1664" t="s">
        <v>37</v>
      </c>
      <c r="D1664">
        <v>4.698461</v>
      </c>
      <c r="E1664">
        <v>0.51604050000000001</v>
      </c>
      <c r="F1664" t="s">
        <v>38</v>
      </c>
      <c r="G1664">
        <v>-464.16329999999999</v>
      </c>
      <c r="H1664">
        <v>-0.05</v>
      </c>
      <c r="I1664">
        <v>298.31760000000003</v>
      </c>
      <c r="J1664">
        <v>-326.92309999999998</v>
      </c>
      <c r="K1664">
        <v>1.102832</v>
      </c>
      <c r="L1664">
        <v>284.45190000000002</v>
      </c>
      <c r="M1664">
        <v>-0.99961739999999999</v>
      </c>
      <c r="N1664">
        <v>0</v>
      </c>
      <c r="O1664">
        <v>2.7252559999999999E-2</v>
      </c>
      <c r="P1664">
        <v>-0.99934999999999996</v>
      </c>
      <c r="Q1664">
        <v>3.469937E-2</v>
      </c>
      <c r="R1664">
        <v>9.8149929999999993E-3</v>
      </c>
      <c r="S1664">
        <v>-2.99981699999999</v>
      </c>
      <c r="T1664">
        <v>-2.514243E-2</v>
      </c>
      <c r="U1664">
        <v>0.30258179999999901</v>
      </c>
      <c r="V1664">
        <v>-1.73747E-2</v>
      </c>
      <c r="W1664">
        <v>3.9469789999999998E-2</v>
      </c>
      <c r="X1664">
        <v>0.99906969999999995</v>
      </c>
      <c r="Y1664">
        <v>7.3203379999999998E-2</v>
      </c>
      <c r="Z1664" s="1">
        <v>7.8255050000000006E-5</v>
      </c>
      <c r="AA1664">
        <v>0.99731700000000001</v>
      </c>
      <c r="AB1664">
        <v>44</v>
      </c>
      <c r="AC1664">
        <v>-137.24019999999999</v>
      </c>
      <c r="AD1664">
        <v>-1.1528320000000001</v>
      </c>
      <c r="AE1664">
        <v>13.8657</v>
      </c>
      <c r="AF1664">
        <v>10.119654456578701</v>
      </c>
      <c r="AG1664">
        <v>-1.1528320000000001</v>
      </c>
      <c r="AH1664">
        <v>137.55749692922799</v>
      </c>
      <c r="AI1664">
        <v>90.478875074221193</v>
      </c>
      <c r="AJ1664">
        <v>85.792516647692494</v>
      </c>
      <c r="AK1664">
        <v>137.93404724496199</v>
      </c>
    </row>
    <row r="1665" spans="1:37" x14ac:dyDescent="0.2">
      <c r="A1665" t="str">
        <f>"20200111153432078"</f>
        <v>20200111153432078</v>
      </c>
      <c r="B1665" t="str">
        <f>"1578728072067491"</f>
        <v>1578728072067491</v>
      </c>
      <c r="C1665" t="s">
        <v>37</v>
      </c>
      <c r="D1665">
        <v>4.7448040000000002</v>
      </c>
      <c r="E1665">
        <v>0.5105575</v>
      </c>
      <c r="F1665" t="s">
        <v>52</v>
      </c>
      <c r="G1665">
        <v>-383.80549999999999</v>
      </c>
      <c r="H1665" s="1">
        <v>4.8827620000000001E-7</v>
      </c>
      <c r="I1665">
        <v>287.4006</v>
      </c>
      <c r="J1665">
        <v>-327.34390000000002</v>
      </c>
      <c r="K1665">
        <v>1.1028199999999999</v>
      </c>
      <c r="L1665">
        <v>284.46370000000002</v>
      </c>
      <c r="M1665">
        <v>-0.99960740000000003</v>
      </c>
      <c r="N1665">
        <v>0</v>
      </c>
      <c r="O1665">
        <v>2.764368E-2</v>
      </c>
      <c r="P1665">
        <v>-0.9993457</v>
      </c>
      <c r="Q1665">
        <v>3.4838809999999998E-2</v>
      </c>
      <c r="R1665">
        <v>9.7394349999999994E-3</v>
      </c>
      <c r="S1665">
        <v>-3.0024410000000001</v>
      </c>
      <c r="T1665">
        <v>-5.8211209999999999E-2</v>
      </c>
      <c r="U1665">
        <v>0.15563959999999999</v>
      </c>
      <c r="V1665">
        <v>-1.7841119999999999E-2</v>
      </c>
      <c r="W1665">
        <v>3.9431670000000002E-2</v>
      </c>
      <c r="X1665">
        <v>0.99906299999999904</v>
      </c>
      <c r="Y1665">
        <v>2.4142159999999999E-2</v>
      </c>
      <c r="Z1665">
        <v>-3.0154869999999997E-4</v>
      </c>
      <c r="AA1665">
        <v>0.999708499999999</v>
      </c>
      <c r="AB1665">
        <v>44</v>
      </c>
      <c r="AC1665">
        <v>-56.461599999999898</v>
      </c>
      <c r="AD1665">
        <v>-1.1028195117238</v>
      </c>
      <c r="AE1665">
        <v>2.9368999999999801</v>
      </c>
      <c r="AF1665">
        <v>1.37443197950322</v>
      </c>
      <c r="AG1665">
        <v>-1.1028195117238</v>
      </c>
      <c r="AH1665">
        <v>56.499712907870503</v>
      </c>
      <c r="AI1665">
        <v>91.117885328914696</v>
      </c>
      <c r="AJ1665">
        <v>88.6064774619079</v>
      </c>
      <c r="AK1665">
        <v>56.5271866698981</v>
      </c>
    </row>
    <row r="1666" spans="1:37" x14ac:dyDescent="0.2">
      <c r="A1666" t="str">
        <f>"20200111153432090"</f>
        <v>20200111153432090</v>
      </c>
      <c r="B1666" t="str">
        <f>"1578728072087988"</f>
        <v>1578728072087988</v>
      </c>
      <c r="C1666" t="s">
        <v>37</v>
      </c>
      <c r="D1666">
        <v>4.6836500000000001</v>
      </c>
      <c r="E1666">
        <v>0.50945980000000002</v>
      </c>
      <c r="F1666" t="s">
        <v>52</v>
      </c>
      <c r="G1666">
        <v>-385.0129</v>
      </c>
      <c r="H1666" s="1">
        <v>1.1308090000000001E-6</v>
      </c>
      <c r="I1666">
        <v>286.60579999999999</v>
      </c>
      <c r="J1666">
        <v>-327.59350000000001</v>
      </c>
      <c r="K1666">
        <v>1.1028119999999999</v>
      </c>
      <c r="L1666">
        <v>284.47059999999999</v>
      </c>
      <c r="M1666">
        <v>-0.99960159999999998</v>
      </c>
      <c r="N1666">
        <v>0</v>
      </c>
      <c r="O1666">
        <v>2.7871090000000001E-2</v>
      </c>
      <c r="P1666">
        <v>-0.99933590000000005</v>
      </c>
      <c r="Q1666">
        <v>3.5043020000000001E-2</v>
      </c>
      <c r="R1666">
        <v>1.000205E-2</v>
      </c>
      <c r="S1666">
        <v>-3.002869</v>
      </c>
      <c r="T1666">
        <v>-5.7424660000000002E-2</v>
      </c>
      <c r="U1666">
        <v>0.11154169999999999</v>
      </c>
      <c r="V1666">
        <v>-1.780578E-2</v>
      </c>
      <c r="W1666">
        <v>3.9545070000000002E-2</v>
      </c>
      <c r="X1666">
        <v>0.99905909999999998</v>
      </c>
      <c r="Y1666">
        <v>9.2562809999999999E-3</v>
      </c>
      <c r="Z1666">
        <v>-4.4417220000000002E-4</v>
      </c>
      <c r="AA1666">
        <v>0.99995710000000004</v>
      </c>
      <c r="AB1666">
        <v>44</v>
      </c>
      <c r="AC1666">
        <v>-57.419400000000003</v>
      </c>
      <c r="AD1666">
        <v>-1.1028108691909999</v>
      </c>
      <c r="AE1666">
        <v>2.13519999999999</v>
      </c>
      <c r="AF1666">
        <v>0.53381672733347696</v>
      </c>
      <c r="AG1666">
        <v>-1.1028108691909999</v>
      </c>
      <c r="AH1666">
        <v>57.4354470239618</v>
      </c>
      <c r="AI1666">
        <v>91.099946469191707</v>
      </c>
      <c r="AJ1666">
        <v>89.467496703506995</v>
      </c>
      <c r="AK1666">
        <v>57.448513705351097</v>
      </c>
    </row>
    <row r="1667" spans="1:37" x14ac:dyDescent="0.2">
      <c r="A1667" t="str">
        <f>"20200111153432103"</f>
        <v>20200111153432103</v>
      </c>
      <c r="B1667" t="str">
        <f>"1578728072097748"</f>
        <v>1578728072097748</v>
      </c>
      <c r="C1667" t="s">
        <v>37</v>
      </c>
      <c r="D1667">
        <v>4.6277309999999998</v>
      </c>
      <c r="E1667">
        <v>0.5089709</v>
      </c>
      <c r="F1667" t="s">
        <v>52</v>
      </c>
      <c r="G1667">
        <v>-389.30650000000003</v>
      </c>
      <c r="H1667" s="1">
        <v>3.4156889999999899E-6</v>
      </c>
      <c r="I1667">
        <v>286.60059999999999</v>
      </c>
      <c r="J1667">
        <v>-327.84699999999998</v>
      </c>
      <c r="K1667">
        <v>1.1028039999999999</v>
      </c>
      <c r="L1667">
        <v>284.4778</v>
      </c>
      <c r="M1667">
        <v>-0.99959560000000003</v>
      </c>
      <c r="N1667">
        <v>0</v>
      </c>
      <c r="O1667">
        <v>2.810023E-2</v>
      </c>
      <c r="P1667">
        <v>-0.99933660000000002</v>
      </c>
      <c r="Q1667">
        <v>3.5021719999999999E-2</v>
      </c>
      <c r="R1667">
        <v>9.9968890000000001E-3</v>
      </c>
      <c r="S1667">
        <v>-3.0028380000000001</v>
      </c>
      <c r="T1667">
        <v>-5.3660510000000002E-2</v>
      </c>
      <c r="U1667">
        <v>0.1036377</v>
      </c>
      <c r="V1667">
        <v>-1.8040710000000001E-2</v>
      </c>
      <c r="W1667">
        <v>3.9436430000000001E-2</v>
      </c>
      <c r="X1667">
        <v>0.99905919999999904</v>
      </c>
      <c r="Y1667">
        <v>6.3987740000000003E-3</v>
      </c>
      <c r="Z1667">
        <v>-4.447028E-4</v>
      </c>
      <c r="AA1667">
        <v>0.99997939999999996</v>
      </c>
      <c r="AB1667">
        <v>44</v>
      </c>
      <c r="AC1667">
        <v>-61.459499999999998</v>
      </c>
      <c r="AD1667">
        <v>-1.102800584311</v>
      </c>
      <c r="AE1667">
        <v>2.1227999999999798</v>
      </c>
      <c r="AF1667">
        <v>0.39479224846793398</v>
      </c>
      <c r="AG1667">
        <v>-1.102800584311</v>
      </c>
      <c r="AH1667">
        <v>61.475111986247903</v>
      </c>
      <c r="AI1667">
        <v>91.027696217604301</v>
      </c>
      <c r="AJ1667">
        <v>89.632052420310302</v>
      </c>
      <c r="AK1667">
        <v>61.486270205387498</v>
      </c>
    </row>
    <row r="1668" spans="1:37" x14ac:dyDescent="0.2">
      <c r="A1668" t="str">
        <f>"20200111153432116"</f>
        <v>20200111153432116</v>
      </c>
      <c r="B1668" t="str">
        <f>"1578728072107508"</f>
        <v>1578728072107508</v>
      </c>
      <c r="C1668" t="s">
        <v>37</v>
      </c>
      <c r="D1668">
        <v>4.6283260000000004</v>
      </c>
      <c r="E1668">
        <v>0.50888670000000003</v>
      </c>
      <c r="F1668" t="s">
        <v>52</v>
      </c>
      <c r="G1668">
        <v>-390.17630000000003</v>
      </c>
      <c r="H1668" s="1">
        <v>-1.442969E-6</v>
      </c>
      <c r="I1668">
        <v>286.54730000000001</v>
      </c>
      <c r="J1668">
        <v>-328.09480000000002</v>
      </c>
      <c r="K1668">
        <v>1.1027979999999999</v>
      </c>
      <c r="L1668">
        <v>284.48489999999998</v>
      </c>
      <c r="M1668">
        <v>-0.99958969999999903</v>
      </c>
      <c r="N1668">
        <v>0</v>
      </c>
      <c r="O1668">
        <v>2.8321059999999999E-2</v>
      </c>
      <c r="P1668">
        <v>-0.9993339</v>
      </c>
      <c r="Q1668">
        <v>3.5066239999999999E-2</v>
      </c>
      <c r="R1668">
        <v>1.0123709999999999E-2</v>
      </c>
      <c r="S1668">
        <v>-3.0028380000000001</v>
      </c>
      <c r="T1668">
        <v>-5.3129790000000003E-2</v>
      </c>
      <c r="U1668">
        <v>9.9700929999999993E-2</v>
      </c>
      <c r="V1668">
        <v>-1.8135539999999999E-2</v>
      </c>
      <c r="W1668">
        <v>3.9403550000000002E-2</v>
      </c>
      <c r="X1668">
        <v>0.99905880000000002</v>
      </c>
      <c r="Y1668">
        <v>4.8685819999999998E-3</v>
      </c>
      <c r="Z1668">
        <v>-4.5775309999999898E-4</v>
      </c>
      <c r="AA1668">
        <v>0.99998799999999899</v>
      </c>
      <c r="AB1668">
        <v>44</v>
      </c>
      <c r="AC1668">
        <v>-62.081499999999998</v>
      </c>
      <c r="AD1668">
        <v>-1.102799442969</v>
      </c>
      <c r="AE1668">
        <v>2.0624000000000202</v>
      </c>
      <c r="AF1668">
        <v>0.30324710970894397</v>
      </c>
      <c r="AG1668">
        <v>-1.102799442969</v>
      </c>
      <c r="AH1668">
        <v>62.095434562540298</v>
      </c>
      <c r="AI1668">
        <v>91.017439673402905</v>
      </c>
      <c r="AJ1668">
        <v>89.720194543522794</v>
      </c>
      <c r="AK1668">
        <v>62.105966854495399</v>
      </c>
    </row>
    <row r="1669" spans="1:37" x14ac:dyDescent="0.2">
      <c r="A1669" t="str">
        <f>"20200111153432128"</f>
        <v>20200111153432128</v>
      </c>
      <c r="B1669" t="str">
        <f>"1578728072118244"</f>
        <v>1578728072118244</v>
      </c>
      <c r="C1669" t="s">
        <v>37</v>
      </c>
      <c r="D1669">
        <v>4.6562769999999896</v>
      </c>
      <c r="E1669">
        <v>0.50876469999999996</v>
      </c>
      <c r="F1669" t="s">
        <v>52</v>
      </c>
      <c r="G1669">
        <v>-390.82150000000001</v>
      </c>
      <c r="H1669" s="1">
        <v>-1.0996250000000001E-6</v>
      </c>
      <c r="I1669">
        <v>286.56310000000002</v>
      </c>
      <c r="J1669">
        <v>-328.34980000000002</v>
      </c>
      <c r="K1669">
        <v>1.102792</v>
      </c>
      <c r="L1669">
        <v>284.49220000000003</v>
      </c>
      <c r="M1669">
        <v>-0.99958359999999902</v>
      </c>
      <c r="N1669">
        <v>0</v>
      </c>
      <c r="O1669">
        <v>2.854485E-2</v>
      </c>
      <c r="P1669">
        <v>-0.99932759999999998</v>
      </c>
      <c r="Q1669">
        <v>3.5198649999999998E-2</v>
      </c>
      <c r="R1669">
        <v>1.027205E-2</v>
      </c>
      <c r="S1669">
        <v>-3.002869</v>
      </c>
      <c r="T1669">
        <v>-5.2793499999999903E-2</v>
      </c>
      <c r="U1669">
        <v>9.9487300000000001E-2</v>
      </c>
      <c r="V1669">
        <v>-1.8210290000000001E-2</v>
      </c>
      <c r="W1669">
        <v>3.9464060000000002E-2</v>
      </c>
      <c r="X1669">
        <v>0.99905499999999903</v>
      </c>
      <c r="Y1669">
        <v>4.5733409999999999E-3</v>
      </c>
      <c r="Z1669">
        <v>-4.613776E-4</v>
      </c>
      <c r="AA1669">
        <v>0.99998940000000003</v>
      </c>
      <c r="AB1669">
        <v>44</v>
      </c>
      <c r="AC1669">
        <v>-62.471699999999998</v>
      </c>
      <c r="AD1669">
        <v>-1.1027930996249999</v>
      </c>
      <c r="AE1669">
        <v>2.0708999999999902</v>
      </c>
      <c r="AF1669">
        <v>0.28670568222887999</v>
      </c>
      <c r="AG1669">
        <v>-1.1027930996249999</v>
      </c>
      <c r="AH1669">
        <v>62.485906871179601</v>
      </c>
      <c r="AI1669">
        <v>91.011078650287303</v>
      </c>
      <c r="AJ1669">
        <v>89.737110156510298</v>
      </c>
      <c r="AK1669">
        <v>62.496295172454303</v>
      </c>
    </row>
    <row r="1670" spans="1:37" x14ac:dyDescent="0.2">
      <c r="A1670" t="str">
        <f>"20200111153432142"</f>
        <v>20200111153432142</v>
      </c>
      <c r="B1670" t="str">
        <f>"1578728072137764"</f>
        <v>1578728072137764</v>
      </c>
      <c r="C1670" t="s">
        <v>37</v>
      </c>
      <c r="D1670">
        <v>4.600606</v>
      </c>
      <c r="E1670">
        <v>0.50866160000000005</v>
      </c>
      <c r="F1670" t="s">
        <v>52</v>
      </c>
      <c r="G1670">
        <v>-391.55930000000001</v>
      </c>
      <c r="H1670" s="1">
        <v>-7.0703300000000003E-7</v>
      </c>
      <c r="I1670">
        <v>286.57619999999997</v>
      </c>
      <c r="J1670">
        <v>-328.62509999999997</v>
      </c>
      <c r="K1670">
        <v>1.1027849999999999</v>
      </c>
      <c r="L1670">
        <v>284.50020000000001</v>
      </c>
      <c r="M1670">
        <v>-0.99957700000000005</v>
      </c>
      <c r="N1670">
        <v>0</v>
      </c>
      <c r="O1670">
        <v>2.878354E-2</v>
      </c>
      <c r="P1670">
        <v>-0.99931970000000003</v>
      </c>
      <c r="Q1670">
        <v>3.5332559999999999E-2</v>
      </c>
      <c r="R1670">
        <v>1.0592270000000001E-2</v>
      </c>
      <c r="S1670">
        <v>-3.0028079999999999</v>
      </c>
      <c r="T1670">
        <v>-5.2388909999999997E-2</v>
      </c>
      <c r="U1670">
        <v>9.8999019999999993E-2</v>
      </c>
      <c r="V1670">
        <v>-1.8128789999999999E-2</v>
      </c>
      <c r="W1670">
        <v>3.9526480000000003E-2</v>
      </c>
      <c r="X1670">
        <v>0.99905409999999994</v>
      </c>
      <c r="Y1670">
        <v>4.1728420000000004E-3</v>
      </c>
      <c r="Z1670">
        <v>-4.65505999999999E-4</v>
      </c>
      <c r="AA1670">
        <v>0.99999119999999997</v>
      </c>
      <c r="AB1670">
        <v>44</v>
      </c>
      <c r="AC1670">
        <v>-62.934199999999997</v>
      </c>
      <c r="AD1670">
        <v>-1.1027857070330001</v>
      </c>
      <c r="AE1670">
        <v>2.0759999999999601</v>
      </c>
      <c r="AF1670">
        <v>0.26357423091861398</v>
      </c>
      <c r="AG1670">
        <v>-1.1027857070330001</v>
      </c>
      <c r="AH1670">
        <v>62.948571708988503</v>
      </c>
      <c r="AI1670">
        <v>91.003643902712099</v>
      </c>
      <c r="AJ1670">
        <v>89.760096180800403</v>
      </c>
      <c r="AK1670">
        <v>62.958782452430803</v>
      </c>
    </row>
    <row r="1671" spans="1:37" x14ac:dyDescent="0.2">
      <c r="A1671" t="str">
        <f>"20200111153432156"</f>
        <v>20200111153432156</v>
      </c>
      <c r="B1671" t="str">
        <f>"1578728072147524"</f>
        <v>1578728072147524</v>
      </c>
      <c r="C1671" t="s">
        <v>37</v>
      </c>
      <c r="D1671">
        <v>4.5952400000000004</v>
      </c>
      <c r="E1671">
        <v>0.508725599999999</v>
      </c>
      <c r="F1671" t="s">
        <v>52</v>
      </c>
      <c r="G1671">
        <v>-394.74020000000002</v>
      </c>
      <c r="H1671" s="1">
        <v>9.8572010000000001E-7</v>
      </c>
      <c r="I1671">
        <v>286.68270000000001</v>
      </c>
      <c r="J1671">
        <v>-328.8972</v>
      </c>
      <c r="K1671">
        <v>1.102778</v>
      </c>
      <c r="L1671">
        <v>284.50819999999999</v>
      </c>
      <c r="M1671">
        <v>-0.99957050000000003</v>
      </c>
      <c r="N1671">
        <v>0</v>
      </c>
      <c r="O1671">
        <v>2.9014829999999998E-2</v>
      </c>
      <c r="P1671">
        <v>-0.99931569999999903</v>
      </c>
      <c r="Q1671">
        <v>3.5332429999999998E-2</v>
      </c>
      <c r="R1671">
        <v>1.094756E-2</v>
      </c>
      <c r="S1671">
        <v>-3.0027469999999998</v>
      </c>
      <c r="T1671">
        <v>-5.0085070000000002E-2</v>
      </c>
      <c r="U1671">
        <v>9.9121089999999995E-2</v>
      </c>
      <c r="V1671">
        <v>-1.8005440000000001E-2</v>
      </c>
      <c r="W1671">
        <v>3.946264E-2</v>
      </c>
      <c r="X1671">
        <v>0.99905880000000002</v>
      </c>
      <c r="Y1671">
        <v>3.9824750000000001E-3</v>
      </c>
      <c r="Z1671">
        <v>-4.5048809999999898E-4</v>
      </c>
      <c r="AA1671">
        <v>0.99999199999999999</v>
      </c>
      <c r="AB1671">
        <v>44</v>
      </c>
      <c r="AC1671">
        <v>-65.843000000000004</v>
      </c>
      <c r="AD1671">
        <v>-1.1027770142798901</v>
      </c>
      <c r="AE1671">
        <v>2.1745000000000201</v>
      </c>
      <c r="AF1671">
        <v>0.26307111639073</v>
      </c>
      <c r="AG1671">
        <v>-1.1027770142798901</v>
      </c>
      <c r="AH1671">
        <v>65.859917100403194</v>
      </c>
      <c r="AI1671">
        <v>90.959279384054895</v>
      </c>
      <c r="AJ1671">
        <v>89.771138726231101</v>
      </c>
      <c r="AK1671">
        <v>65.869674388351797</v>
      </c>
    </row>
    <row r="1672" spans="1:37" x14ac:dyDescent="0.2">
      <c r="A1672" t="str">
        <f>"20200111153432168"</f>
        <v>20200111153432168</v>
      </c>
      <c r="B1672" t="str">
        <f>"1578728072158259"</f>
        <v>1578728072158259</v>
      </c>
      <c r="C1672" t="s">
        <v>37</v>
      </c>
      <c r="D1672">
        <v>4.6236990000000002</v>
      </c>
      <c r="E1672">
        <v>0.508546099999999</v>
      </c>
      <c r="F1672" t="s">
        <v>52</v>
      </c>
      <c r="G1672">
        <v>-396.21190000000001</v>
      </c>
      <c r="H1672" s="1">
        <v>1.7688910000000001E-6</v>
      </c>
      <c r="I1672">
        <v>286.7645</v>
      </c>
      <c r="J1672">
        <v>-329.1447</v>
      </c>
      <c r="K1672">
        <v>1.1027739999999999</v>
      </c>
      <c r="L1672">
        <v>284.51549999999997</v>
      </c>
      <c r="M1672">
        <v>-0.99956480000000003</v>
      </c>
      <c r="N1672">
        <v>0</v>
      </c>
      <c r="O1672">
        <v>2.9219749999999999E-2</v>
      </c>
      <c r="P1672">
        <v>-0.99930849999999904</v>
      </c>
      <c r="Q1672">
        <v>3.5429679999999998E-2</v>
      </c>
      <c r="R1672">
        <v>1.129113E-2</v>
      </c>
      <c r="S1672">
        <v>-3.0027159999999999</v>
      </c>
      <c r="T1672">
        <v>-4.919171E-2</v>
      </c>
      <c r="U1672">
        <v>0.100647</v>
      </c>
      <c r="V1672">
        <v>-1.7867259999999999E-2</v>
      </c>
      <c r="W1672">
        <v>3.9508849999999998E-2</v>
      </c>
      <c r="X1672">
        <v>0.99905940000000004</v>
      </c>
      <c r="Y1672">
        <v>4.2852740000000004E-3</v>
      </c>
      <c r="Z1672">
        <v>-4.4332839999999899E-4</v>
      </c>
      <c r="AA1672">
        <v>0.99999069999999901</v>
      </c>
      <c r="AB1672">
        <v>44</v>
      </c>
      <c r="AC1672">
        <v>-67.0672</v>
      </c>
      <c r="AD1672">
        <v>-1.102772231109</v>
      </c>
      <c r="AE1672">
        <v>2.2490000000000201</v>
      </c>
      <c r="AF1672">
        <v>0.28825893705933198</v>
      </c>
      <c r="AG1672">
        <v>-1.102772231109</v>
      </c>
      <c r="AH1672">
        <v>67.086160982389202</v>
      </c>
      <c r="AI1672">
        <v>90.941742982918996</v>
      </c>
      <c r="AJ1672">
        <v>89.753810344559696</v>
      </c>
      <c r="AK1672">
        <v>67.095843352353398</v>
      </c>
    </row>
    <row r="1673" spans="1:37" x14ac:dyDescent="0.2">
      <c r="A1673" t="str">
        <f>"20200111153432182"</f>
        <v>20200111153432182</v>
      </c>
      <c r="B1673" t="str">
        <f>"1578728072177781"</f>
        <v>1578728072177781</v>
      </c>
      <c r="C1673" t="s">
        <v>37</v>
      </c>
      <c r="D1673">
        <v>4.6600400000000004</v>
      </c>
      <c r="E1673">
        <v>0.50847209999999998</v>
      </c>
      <c r="F1673" t="s">
        <v>52</v>
      </c>
      <c r="G1673">
        <v>-395.42590000000001</v>
      </c>
      <c r="H1673" s="1">
        <v>1.350583E-6</v>
      </c>
      <c r="I1673">
        <v>286.73039999999997</v>
      </c>
      <c r="J1673">
        <v>-329.3972</v>
      </c>
      <c r="K1673">
        <v>1.10277</v>
      </c>
      <c r="L1673">
        <v>284.52289999999999</v>
      </c>
      <c r="M1673">
        <v>-0.99955899999999998</v>
      </c>
      <c r="N1673">
        <v>0</v>
      </c>
      <c r="O1673">
        <v>2.942556E-2</v>
      </c>
      <c r="P1673">
        <v>-0.99930769999999902</v>
      </c>
      <c r="Q1673">
        <v>3.5353139999999998E-2</v>
      </c>
      <c r="R1673">
        <v>1.159318E-2</v>
      </c>
      <c r="S1673">
        <v>-3.0027469999999998</v>
      </c>
      <c r="T1673">
        <v>-4.995906E-2</v>
      </c>
      <c r="U1673">
        <v>0.10034179999999999</v>
      </c>
      <c r="V1673">
        <v>-1.777159E-2</v>
      </c>
      <c r="W1673">
        <v>3.9384009999999997E-2</v>
      </c>
      <c r="X1673">
        <v>0.99906609999999996</v>
      </c>
      <c r="Y1673">
        <v>3.9777019999999996E-3</v>
      </c>
      <c r="Z1673">
        <v>-4.5621809999999899E-4</v>
      </c>
      <c r="AA1673">
        <v>0.99999199999999999</v>
      </c>
      <c r="AB1673">
        <v>44</v>
      </c>
      <c r="AC1673">
        <v>-66.028700000000001</v>
      </c>
      <c r="AD1673">
        <v>-1.1027686494169999</v>
      </c>
      <c r="AE1673">
        <v>2.20749999999998</v>
      </c>
      <c r="AF1673">
        <v>0.26352369609298798</v>
      </c>
      <c r="AG1673">
        <v>-1.1027686494169999</v>
      </c>
      <c r="AH1673">
        <v>66.046662700986303</v>
      </c>
      <c r="AI1673">
        <v>90.956560308211394</v>
      </c>
      <c r="AJ1673">
        <v>89.771393211286494</v>
      </c>
      <c r="AK1673">
        <v>66.056394068783305</v>
      </c>
    </row>
    <row r="1674" spans="1:37" x14ac:dyDescent="0.2">
      <c r="A1674" t="str">
        <f>"20200111153432195"</f>
        <v>20200111153432195</v>
      </c>
      <c r="B1674" t="str">
        <f>"1578728072187540"</f>
        <v>1578728072187540</v>
      </c>
      <c r="C1674" t="s">
        <v>37</v>
      </c>
      <c r="D1674">
        <v>4.5415539999999996</v>
      </c>
      <c r="E1674">
        <v>0.50816539999999999</v>
      </c>
      <c r="F1674" t="s">
        <v>52</v>
      </c>
      <c r="G1674">
        <v>-395.68639999999999</v>
      </c>
      <c r="H1674" s="1">
        <v>1.4892399999999999E-6</v>
      </c>
      <c r="I1674">
        <v>286.74360000000001</v>
      </c>
      <c r="J1674">
        <v>-329.67930000000001</v>
      </c>
      <c r="K1674">
        <v>1.1027659999999999</v>
      </c>
      <c r="L1674">
        <v>284.53140000000002</v>
      </c>
      <c r="M1674">
        <v>-0.99955239999999901</v>
      </c>
      <c r="N1674">
        <v>0</v>
      </c>
      <c r="O1674">
        <v>2.9648819999999999E-2</v>
      </c>
      <c r="P1674">
        <v>-0.99930129999999995</v>
      </c>
      <c r="Q1674">
        <v>3.5481619999999998E-2</v>
      </c>
      <c r="R1674">
        <v>1.175226E-2</v>
      </c>
      <c r="S1674">
        <v>-3.0026549999999999</v>
      </c>
      <c r="T1674">
        <v>-4.9951309999999999E-2</v>
      </c>
      <c r="U1674">
        <v>0.10058589999999901</v>
      </c>
      <c r="V1674">
        <v>-1.783585E-2</v>
      </c>
      <c r="W1674">
        <v>3.9464060000000002E-2</v>
      </c>
      <c r="X1674">
        <v>0.9990618</v>
      </c>
      <c r="Y1674">
        <v>3.8366289999999998E-3</v>
      </c>
      <c r="Z1674">
        <v>-4.6104419999999999E-4</v>
      </c>
      <c r="AA1674">
        <v>0.99999249999999995</v>
      </c>
      <c r="AB1674">
        <v>45</v>
      </c>
      <c r="AC1674">
        <v>-66.007099999999895</v>
      </c>
      <c r="AD1674">
        <v>-1.1027645107599999</v>
      </c>
      <c r="AE1674">
        <v>2.21219999999999</v>
      </c>
      <c r="AF1674">
        <v>0.25410837332132002</v>
      </c>
      <c r="AG1674">
        <v>-1.1027645107599999</v>
      </c>
      <c r="AH1674">
        <v>66.025262936400395</v>
      </c>
      <c r="AI1674">
        <v>90.956867225324601</v>
      </c>
      <c r="AJ1674">
        <v>89.779489474203899</v>
      </c>
      <c r="AK1674">
        <v>66.034960486490704</v>
      </c>
    </row>
    <row r="1675" spans="1:37" x14ac:dyDescent="0.2">
      <c r="A1675" t="str">
        <f>"20200111153432212"</f>
        <v>20200111153432212</v>
      </c>
      <c r="B1675" t="str">
        <f>"1578728072208036"</f>
        <v>1578728072208036</v>
      </c>
      <c r="C1675" t="s">
        <v>37</v>
      </c>
      <c r="D1675">
        <v>4.6056330000000001</v>
      </c>
      <c r="E1675">
        <v>0.50802979999999998</v>
      </c>
      <c r="F1675" t="s">
        <v>52</v>
      </c>
      <c r="G1675">
        <v>-395.27620000000002</v>
      </c>
      <c r="H1675" s="1">
        <v>1.2709569999999899E-6</v>
      </c>
      <c r="I1675">
        <v>286.69</v>
      </c>
      <c r="J1675">
        <v>-330.01350000000002</v>
      </c>
      <c r="K1675">
        <v>1.102768</v>
      </c>
      <c r="L1675">
        <v>284.54140000000001</v>
      </c>
      <c r="M1675">
        <v>-0.99954529999999997</v>
      </c>
      <c r="N1675">
        <v>0</v>
      </c>
      <c r="O1675">
        <v>2.9902419999999999E-2</v>
      </c>
      <c r="P1675">
        <v>-0.99930200000000002</v>
      </c>
      <c r="Q1675">
        <v>3.5296420000000002E-2</v>
      </c>
      <c r="R1675">
        <v>1.2238870000000001E-2</v>
      </c>
      <c r="S1675">
        <v>-3.002777</v>
      </c>
      <c r="T1675">
        <v>-5.0480369999999997E-2</v>
      </c>
      <c r="U1675">
        <v>9.8815920000000002E-2</v>
      </c>
      <c r="V1675">
        <v>-1.760449E-2</v>
      </c>
      <c r="W1675">
        <v>3.9229640000000003E-2</v>
      </c>
      <c r="X1675">
        <v>0.99907509999999999</v>
      </c>
      <c r="Y1675">
        <v>2.992995E-3</v>
      </c>
      <c r="Z1675">
        <v>-4.7726149999999999E-4</v>
      </c>
      <c r="AA1675">
        <v>0.99999539999999998</v>
      </c>
      <c r="AB1675">
        <v>45</v>
      </c>
      <c r="AC1675">
        <v>-65.262699999999995</v>
      </c>
      <c r="AD1675">
        <v>-1.1027667290430001</v>
      </c>
      <c r="AE1675">
        <v>2.1485999999999801</v>
      </c>
      <c r="AF1675">
        <v>0.19605592309830999</v>
      </c>
      <c r="AG1675">
        <v>-1.1027667290430001</v>
      </c>
      <c r="AH1675">
        <v>65.279146031055205</v>
      </c>
      <c r="AI1675">
        <v>90.967806550057503</v>
      </c>
      <c r="AJ1675">
        <v>89.827921413644901</v>
      </c>
      <c r="AK1675">
        <v>65.288754306752494</v>
      </c>
    </row>
    <row r="1676" spans="1:37" x14ac:dyDescent="0.2">
      <c r="A1676" t="str">
        <f>"20200111153432225"</f>
        <v>20200111153432225</v>
      </c>
      <c r="B1676" t="str">
        <f>"1578728072217796"</f>
        <v>1578728072217796</v>
      </c>
      <c r="C1676" t="s">
        <v>37</v>
      </c>
      <c r="D1676">
        <v>4.5260550000000004</v>
      </c>
      <c r="E1676">
        <v>0.50785270000000005</v>
      </c>
      <c r="F1676" t="s">
        <v>52</v>
      </c>
      <c r="G1676">
        <v>-394.30340000000001</v>
      </c>
      <c r="H1676" s="1">
        <v>7.5328389999999999E-7</v>
      </c>
      <c r="I1676">
        <v>286.66629999999998</v>
      </c>
      <c r="J1676">
        <v>-330.2792</v>
      </c>
      <c r="K1676">
        <v>1.1027670000000001</v>
      </c>
      <c r="L1676">
        <v>284.54939999999999</v>
      </c>
      <c r="M1676">
        <v>-0.99953959999999997</v>
      </c>
      <c r="N1676">
        <v>0</v>
      </c>
      <c r="O1676">
        <v>3.0095920000000002E-2</v>
      </c>
      <c r="P1676">
        <v>-0.99928799999999995</v>
      </c>
      <c r="Q1676">
        <v>3.5611759999999999E-2</v>
      </c>
      <c r="R1676">
        <v>1.246996E-2</v>
      </c>
      <c r="S1676">
        <v>-3.0027159999999999</v>
      </c>
      <c r="T1676">
        <v>-5.1505679999999998E-2</v>
      </c>
      <c r="U1676">
        <v>9.9243159999999997E-2</v>
      </c>
      <c r="V1676">
        <v>-1.756713E-2</v>
      </c>
      <c r="W1676">
        <v>3.9509809999999999E-2</v>
      </c>
      <c r="X1676">
        <v>0.99906469999999903</v>
      </c>
      <c r="Y1676">
        <v>2.9424080000000001E-3</v>
      </c>
      <c r="Z1676">
        <v>-4.9071189999999999E-4</v>
      </c>
      <c r="AA1676">
        <v>0.99999550000000004</v>
      </c>
      <c r="AB1676">
        <v>45</v>
      </c>
      <c r="AC1676">
        <v>-64.024199999999993</v>
      </c>
      <c r="AD1676">
        <v>-1.1027662467160999</v>
      </c>
      <c r="AE1676">
        <v>2.1168999999999798</v>
      </c>
      <c r="AF1676">
        <v>0.18900356815790401</v>
      </c>
      <c r="AG1676">
        <v>-1.1027662467160999</v>
      </c>
      <c r="AH1676">
        <v>64.039929909784405</v>
      </c>
      <c r="AI1676">
        <v>90.986530319092594</v>
      </c>
      <c r="AJ1676">
        <v>89.830901199582598</v>
      </c>
      <c r="AK1676">
        <v>64.049702876701701</v>
      </c>
    </row>
    <row r="1677" spans="1:37" x14ac:dyDescent="0.2">
      <c r="A1677" t="str">
        <f>"20200111153432237"</f>
        <v>20200111153432237</v>
      </c>
      <c r="B1677" t="str">
        <f>"1578728072227555"</f>
        <v>1578728072227555</v>
      </c>
      <c r="C1677" t="s">
        <v>37</v>
      </c>
      <c r="D1677">
        <v>4.5501269999999998</v>
      </c>
      <c r="E1677">
        <v>0.5078087</v>
      </c>
      <c r="F1677" t="s">
        <v>52</v>
      </c>
      <c r="G1677">
        <v>-394.61340000000001</v>
      </c>
      <c r="H1677" s="1">
        <v>9.1824089999999998E-7</v>
      </c>
      <c r="I1677">
        <v>286.65219999999999</v>
      </c>
      <c r="J1677">
        <v>-330.53289999999998</v>
      </c>
      <c r="K1677">
        <v>1.1027670000000001</v>
      </c>
      <c r="L1677">
        <v>284.55720000000002</v>
      </c>
      <c r="M1677">
        <v>-0.99953440000000005</v>
      </c>
      <c r="N1677">
        <v>0</v>
      </c>
      <c r="O1677">
        <v>3.027504E-2</v>
      </c>
      <c r="P1677">
        <v>-0.99928309999999998</v>
      </c>
      <c r="Q1677">
        <v>3.5710859999999997E-2</v>
      </c>
      <c r="R1677">
        <v>1.259216E-2</v>
      </c>
      <c r="S1677">
        <v>-3.002777</v>
      </c>
      <c r="T1677">
        <v>-5.147123E-2</v>
      </c>
      <c r="U1677">
        <v>9.8144529999999994E-2</v>
      </c>
      <c r="V1677">
        <v>-1.7624730000000002E-2</v>
      </c>
      <c r="W1677">
        <v>3.95789E-2</v>
      </c>
      <c r="X1677">
        <v>0.99906099999999998</v>
      </c>
      <c r="Y1677">
        <v>2.3971610000000001E-3</v>
      </c>
      <c r="Z1677">
        <v>-4.9811629999999896E-4</v>
      </c>
      <c r="AA1677">
        <v>0.99999699999999903</v>
      </c>
      <c r="AB1677">
        <v>45</v>
      </c>
      <c r="AC1677">
        <v>-64.080500000000001</v>
      </c>
      <c r="AD1677">
        <v>-1.1027660817591001</v>
      </c>
      <c r="AE1677">
        <v>2.09499999999997</v>
      </c>
      <c r="AF1677">
        <v>0.15394043525346399</v>
      </c>
      <c r="AG1677">
        <v>-1.1027660817591001</v>
      </c>
      <c r="AH1677">
        <v>64.095590335038494</v>
      </c>
      <c r="AI1677">
        <v>90.985675090369199</v>
      </c>
      <c r="AJ1677">
        <v>89.862391153100006</v>
      </c>
      <c r="AK1677">
        <v>64.105261025018606</v>
      </c>
    </row>
    <row r="1678" spans="1:37" x14ac:dyDescent="0.2">
      <c r="A1678" t="str">
        <f>"20200111153432250"</f>
        <v>20200111153432250</v>
      </c>
      <c r="B1678" t="str">
        <f>"1578728072238292"</f>
        <v>1578728072238292</v>
      </c>
      <c r="C1678" t="s">
        <v>37</v>
      </c>
      <c r="D1678">
        <v>4.5638050000000003</v>
      </c>
      <c r="E1678">
        <v>0.50779180000000002</v>
      </c>
      <c r="F1678" t="s">
        <v>52</v>
      </c>
      <c r="G1678">
        <v>-394.85090000000002</v>
      </c>
      <c r="H1678" s="1">
        <v>1.0445929999999999E-6</v>
      </c>
      <c r="I1678">
        <v>286.66129999999998</v>
      </c>
      <c r="J1678">
        <v>-330.77080000000001</v>
      </c>
      <c r="K1678">
        <v>1.10277</v>
      </c>
      <c r="L1678">
        <v>284.56450000000001</v>
      </c>
      <c r="M1678">
        <v>-0.99952960000000002</v>
      </c>
      <c r="N1678">
        <v>0</v>
      </c>
      <c r="O1678">
        <v>3.0431440000000001E-2</v>
      </c>
      <c r="P1678">
        <v>-0.99927719999999898</v>
      </c>
      <c r="Q1678">
        <v>3.5769969999999998E-2</v>
      </c>
      <c r="R1678">
        <v>1.287894E-2</v>
      </c>
      <c r="S1678">
        <v>-3.002777</v>
      </c>
      <c r="T1678">
        <v>-5.1484229999999999E-2</v>
      </c>
      <c r="U1678">
        <v>9.8236080000000003E-2</v>
      </c>
      <c r="V1678">
        <v>-1.7495119999999999E-2</v>
      </c>
      <c r="W1678">
        <v>3.9614150000000001E-2</v>
      </c>
      <c r="X1678">
        <v>0.99906189999999995</v>
      </c>
      <c r="Y1678">
        <v>2.2711849999999998E-3</v>
      </c>
      <c r="Z1678">
        <v>-5.0200039999999998E-4</v>
      </c>
      <c r="AA1678">
        <v>0.99999729999999998</v>
      </c>
      <c r="AB1678">
        <v>45</v>
      </c>
      <c r="AC1678">
        <v>-64.080100000000002</v>
      </c>
      <c r="AD1678">
        <v>-1.1027689554069999</v>
      </c>
      <c r="AE1678">
        <v>2.0967999999999698</v>
      </c>
      <c r="AF1678">
        <v>0.145721893716735</v>
      </c>
      <c r="AG1678">
        <v>-1.1027689554069999</v>
      </c>
      <c r="AH1678">
        <v>64.095268402053094</v>
      </c>
      <c r="AI1678">
        <v>90.9856829035608</v>
      </c>
      <c r="AJ1678">
        <v>89.869737106726305</v>
      </c>
      <c r="AK1678">
        <v>64.104919981001004</v>
      </c>
    </row>
    <row r="1679" spans="1:37" x14ac:dyDescent="0.2">
      <c r="A1679" t="str">
        <f>"20200111153432263"</f>
        <v>20200111153432263</v>
      </c>
      <c r="B1679" t="str">
        <f>"1578728072257812"</f>
        <v>1578728072257812</v>
      </c>
      <c r="C1679" t="s">
        <v>37</v>
      </c>
      <c r="D1679">
        <v>4.5688620000000002</v>
      </c>
      <c r="E1679">
        <v>0.50758019999999904</v>
      </c>
      <c r="F1679" t="s">
        <v>52</v>
      </c>
      <c r="G1679">
        <v>-396.08030000000002</v>
      </c>
      <c r="H1679" s="1">
        <v>1.698857E-6</v>
      </c>
      <c r="I1679">
        <v>286.721</v>
      </c>
      <c r="J1679">
        <v>-331.03579999999999</v>
      </c>
      <c r="K1679">
        <v>1.102773</v>
      </c>
      <c r="L1679">
        <v>284.57260000000002</v>
      </c>
      <c r="M1679">
        <v>-0.99952459999999899</v>
      </c>
      <c r="N1679">
        <v>0</v>
      </c>
      <c r="O1679">
        <v>3.0599399999999999E-2</v>
      </c>
      <c r="P1679">
        <v>-0.9992626</v>
      </c>
      <c r="Q1679">
        <v>3.6079689999999998E-2</v>
      </c>
      <c r="R1679">
        <v>1.3147799999999901E-2</v>
      </c>
      <c r="S1679">
        <v>-3.0026860000000002</v>
      </c>
      <c r="T1679">
        <v>-5.0701139999999999E-2</v>
      </c>
      <c r="U1679">
        <v>9.9151610000000001E-2</v>
      </c>
      <c r="V1679">
        <v>-1.739489E-2</v>
      </c>
      <c r="W1679">
        <v>3.9899070000000002E-2</v>
      </c>
      <c r="X1679">
        <v>0.9990523</v>
      </c>
      <c r="Y1679">
        <v>2.408599E-3</v>
      </c>
      <c r="Z1679">
        <v>-4.9605160000000005E-4</v>
      </c>
      <c r="AA1679">
        <v>0.99999699999999903</v>
      </c>
      <c r="AB1679">
        <v>45</v>
      </c>
      <c r="AC1679">
        <v>-65.044499999999999</v>
      </c>
      <c r="AD1679">
        <v>-1.102771301143</v>
      </c>
      <c r="AE1679">
        <v>2.1483999999999801</v>
      </c>
      <c r="AF1679">
        <v>0.157012013817278</v>
      </c>
      <c r="AG1679">
        <v>-1.102771301143</v>
      </c>
      <c r="AH1679">
        <v>65.061100421726493</v>
      </c>
      <c r="AI1679">
        <v>90.971055011180496</v>
      </c>
      <c r="AJ1679">
        <v>89.861728310744994</v>
      </c>
      <c r="AK1679">
        <v>65.070635046855699</v>
      </c>
    </row>
    <row r="1680" spans="1:37" x14ac:dyDescent="0.2">
      <c r="A1680" t="str">
        <f>"20200111153432275"</f>
        <v>20200111153432275</v>
      </c>
      <c r="B1680" t="str">
        <f>"1578728072267572"</f>
        <v>1578728072267572</v>
      </c>
      <c r="C1680" t="s">
        <v>37</v>
      </c>
      <c r="D1680">
        <v>4.5307250000000003</v>
      </c>
      <c r="E1680">
        <v>0.50753029999999999</v>
      </c>
      <c r="F1680" t="s">
        <v>52</v>
      </c>
      <c r="G1680">
        <v>-397.51949999999999</v>
      </c>
      <c r="H1680" s="1">
        <v>2.464713E-6</v>
      </c>
      <c r="I1680">
        <v>286.74290000000002</v>
      </c>
      <c r="J1680">
        <v>-331.29239999999999</v>
      </c>
      <c r="K1680">
        <v>1.1027750000000001</v>
      </c>
      <c r="L1680">
        <v>284.58049999999997</v>
      </c>
      <c r="M1680">
        <v>-0.99951990000000002</v>
      </c>
      <c r="N1680">
        <v>0</v>
      </c>
      <c r="O1680">
        <v>3.0751069999999998E-2</v>
      </c>
      <c r="P1680">
        <v>-0.99926630000000005</v>
      </c>
      <c r="Q1680">
        <v>3.5983559999999998E-2</v>
      </c>
      <c r="R1680">
        <v>1.3121270000000001E-2</v>
      </c>
      <c r="S1680">
        <v>-3.0026860000000002</v>
      </c>
      <c r="T1680">
        <v>-4.9805759999999998E-2</v>
      </c>
      <c r="U1680">
        <v>9.8022460000000006E-2</v>
      </c>
      <c r="V1680">
        <v>-1.7574570000000001E-2</v>
      </c>
      <c r="W1680">
        <v>3.9781869999999997E-2</v>
      </c>
      <c r="X1680">
        <v>0.99905379999999999</v>
      </c>
      <c r="Y1680">
        <v>1.881162E-3</v>
      </c>
      <c r="Z1680">
        <v>-4.9418260000000001E-4</v>
      </c>
      <c r="AA1680">
        <v>0.9999981</v>
      </c>
      <c r="AB1680">
        <v>45</v>
      </c>
      <c r="AC1680">
        <v>-66.227099999999993</v>
      </c>
      <c r="AD1680">
        <v>-1.1027725352869999</v>
      </c>
      <c r="AE1680">
        <v>2.1624000000000398</v>
      </c>
      <c r="AF1680">
        <v>0.124773979677752</v>
      </c>
      <c r="AG1680">
        <v>-1.1027725352869999</v>
      </c>
      <c r="AH1680">
        <v>66.243927836511304</v>
      </c>
      <c r="AI1680">
        <v>90.953721591134197</v>
      </c>
      <c r="AJ1680">
        <v>89.892080463708595</v>
      </c>
      <c r="AK1680">
        <v>66.253223702847095</v>
      </c>
    </row>
    <row r="1681" spans="1:37" x14ac:dyDescent="0.2">
      <c r="A1681" t="str">
        <f>"20200111153432290"</f>
        <v>20200111153432290</v>
      </c>
      <c r="B1681" t="str">
        <f>"1578728072288068"</f>
        <v>1578728072288068</v>
      </c>
      <c r="C1681" t="s">
        <v>37</v>
      </c>
      <c r="D1681">
        <v>4.543221</v>
      </c>
      <c r="E1681">
        <v>0.50764299999999996</v>
      </c>
      <c r="F1681" t="s">
        <v>52</v>
      </c>
      <c r="G1681">
        <v>-397.36079999999998</v>
      </c>
      <c r="H1681" s="1">
        <v>2.38026399999999E-6</v>
      </c>
      <c r="I1681">
        <v>286.7312</v>
      </c>
      <c r="J1681">
        <v>-331.5847</v>
      </c>
      <c r="K1681">
        <v>1.102781</v>
      </c>
      <c r="L1681">
        <v>284.58949999999999</v>
      </c>
      <c r="M1681">
        <v>-0.99951520000000005</v>
      </c>
      <c r="N1681">
        <v>0</v>
      </c>
      <c r="O1681">
        <v>3.0908939999999999E-2</v>
      </c>
      <c r="P1681">
        <v>-0.99926610000000005</v>
      </c>
      <c r="Q1681">
        <v>3.5958480000000001E-2</v>
      </c>
      <c r="R1681">
        <v>1.321899E-2</v>
      </c>
      <c r="S1681">
        <v>-3.002777</v>
      </c>
      <c r="T1681">
        <v>-5.012047E-2</v>
      </c>
      <c r="U1681">
        <v>9.7747799999999996E-2</v>
      </c>
      <c r="V1681">
        <v>-1.763605E-2</v>
      </c>
      <c r="W1681">
        <v>3.9736130000000001E-2</v>
      </c>
      <c r="X1681">
        <v>0.99905460000000001</v>
      </c>
      <c r="Y1681">
        <v>1.63097E-3</v>
      </c>
      <c r="Z1681">
        <v>-5.0201019999999996E-4</v>
      </c>
      <c r="AA1681">
        <v>0.99999859999999896</v>
      </c>
      <c r="AB1681">
        <v>45</v>
      </c>
      <c r="AC1681">
        <v>-65.7760999999999</v>
      </c>
      <c r="AD1681">
        <v>-1.1027786197360001</v>
      </c>
      <c r="AE1681">
        <v>2.1417000000000099</v>
      </c>
      <c r="AF1681">
        <v>0.107562726346773</v>
      </c>
      <c r="AG1681">
        <v>-1.1027786197360001</v>
      </c>
      <c r="AH1681">
        <v>65.792396392201098</v>
      </c>
      <c r="AI1681">
        <v>90.960271452478693</v>
      </c>
      <c r="AJ1681">
        <v>89.906328313000401</v>
      </c>
      <c r="AK1681">
        <v>65.801725763484001</v>
      </c>
    </row>
    <row r="1682" spans="1:37" x14ac:dyDescent="0.2">
      <c r="A1682" t="str">
        <f>"20200111153432303"</f>
        <v>20200111153432303</v>
      </c>
      <c r="B1682" t="str">
        <f>"1578728072297828"</f>
        <v>1578728072297828</v>
      </c>
      <c r="C1682" t="s">
        <v>37</v>
      </c>
      <c r="D1682">
        <v>4.4831629999999896</v>
      </c>
      <c r="E1682">
        <v>0.50772519999999999</v>
      </c>
      <c r="F1682" t="s">
        <v>56</v>
      </c>
      <c r="G1682">
        <v>-401.72219999999999</v>
      </c>
      <c r="H1682" s="1">
        <v>7.1669830000000003E-6</v>
      </c>
      <c r="I1682">
        <v>286.89850000000001</v>
      </c>
      <c r="J1682">
        <v>-331.86020000000002</v>
      </c>
      <c r="K1682">
        <v>1.102787</v>
      </c>
      <c r="L1682">
        <v>284.59809999999999</v>
      </c>
      <c r="M1682">
        <v>-0.99951100000000004</v>
      </c>
      <c r="N1682">
        <v>0</v>
      </c>
      <c r="O1682">
        <v>3.104695E-2</v>
      </c>
      <c r="P1682">
        <v>-0.99925429999999904</v>
      </c>
      <c r="Q1682">
        <v>3.631674E-2</v>
      </c>
      <c r="R1682">
        <v>1.312835E-2</v>
      </c>
      <c r="S1682">
        <v>-3.00259399999999</v>
      </c>
      <c r="T1682">
        <v>-4.7209859999999999E-2</v>
      </c>
      <c r="U1682">
        <v>9.8846439999999994E-2</v>
      </c>
      <c r="V1682">
        <v>-1.7865900000000001E-2</v>
      </c>
      <c r="W1682">
        <v>4.0077740000000001E-2</v>
      </c>
      <c r="X1682">
        <v>0.99903679999999995</v>
      </c>
      <c r="Y1682">
        <v>1.8599139999999901E-3</v>
      </c>
      <c r="Z1682">
        <v>-4.7325500000000001E-4</v>
      </c>
      <c r="AA1682">
        <v>0.99999819999999995</v>
      </c>
      <c r="AB1682">
        <v>45</v>
      </c>
      <c r="AC1682">
        <v>-69.861999999999895</v>
      </c>
      <c r="AD1682">
        <v>-1.102779833017</v>
      </c>
      <c r="AE1682">
        <v>2.3004000000000202</v>
      </c>
      <c r="AF1682">
        <v>0.13024156837307499</v>
      </c>
      <c r="AG1682">
        <v>-1.102779833017</v>
      </c>
      <c r="AH1682">
        <v>69.882348145664494</v>
      </c>
      <c r="AI1682">
        <v>90.904080616482005</v>
      </c>
      <c r="AJ1682">
        <v>89.893216473931602</v>
      </c>
      <c r="AK1682">
        <v>69.891170176053706</v>
      </c>
    </row>
    <row r="1683" spans="1:37" x14ac:dyDescent="0.2">
      <c r="A1683" t="str">
        <f>"20200111153432315"</f>
        <v>20200111153432315</v>
      </c>
      <c r="B1683" t="str">
        <f>"1578728072307587"</f>
        <v>1578728072307587</v>
      </c>
      <c r="C1683" t="s">
        <v>37</v>
      </c>
      <c r="D1683">
        <v>4.5401829999999999</v>
      </c>
      <c r="E1683">
        <v>0.50788909999999998</v>
      </c>
      <c r="F1683" t="s">
        <v>56</v>
      </c>
      <c r="G1683">
        <v>-405.35210000000001</v>
      </c>
      <c r="H1683" s="1">
        <v>5.5297090000000002E-6</v>
      </c>
      <c r="I1683">
        <v>287.0317</v>
      </c>
      <c r="J1683">
        <v>-332.1071</v>
      </c>
      <c r="K1683">
        <v>1.102797</v>
      </c>
      <c r="L1683">
        <v>284.60579999999999</v>
      </c>
      <c r="M1683">
        <v>-0.99950749999999999</v>
      </c>
      <c r="N1683">
        <v>0</v>
      </c>
      <c r="O1683">
        <v>3.115944E-2</v>
      </c>
      <c r="P1683">
        <v>-0.99925450000000005</v>
      </c>
      <c r="Q1683">
        <v>3.6226620000000001E-2</v>
      </c>
      <c r="R1683">
        <v>1.3356700000000001E-2</v>
      </c>
      <c r="S1683">
        <v>-3.0025629999999999</v>
      </c>
      <c r="T1683">
        <v>-4.5054909999999997E-2</v>
      </c>
      <c r="U1683">
        <v>9.9426269999999997E-2</v>
      </c>
      <c r="V1683">
        <v>-1.775212E-2</v>
      </c>
      <c r="W1683">
        <v>3.9974830000000003E-2</v>
      </c>
      <c r="X1683">
        <v>0.99904300000000001</v>
      </c>
      <c r="Y1683">
        <v>1.940282E-3</v>
      </c>
      <c r="Z1683">
        <v>-4.5274169999999899E-4</v>
      </c>
      <c r="AA1683">
        <v>0.99999799999999905</v>
      </c>
      <c r="AB1683">
        <v>46</v>
      </c>
      <c r="AC1683">
        <v>-73.245000000000005</v>
      </c>
      <c r="AD1683">
        <v>-1.102791470291</v>
      </c>
      <c r="AE1683">
        <v>2.4259000000000102</v>
      </c>
      <c r="AF1683">
        <v>0.142400802218139</v>
      </c>
      <c r="AG1683">
        <v>-1.102791470291</v>
      </c>
      <c r="AH1683">
        <v>73.268432941312099</v>
      </c>
      <c r="AI1683">
        <v>90.862314155105096</v>
      </c>
      <c r="AJ1683">
        <v>89.888642975348503</v>
      </c>
      <c r="AK1683">
        <v>73.276870107087504</v>
      </c>
    </row>
    <row r="1684" spans="1:37" x14ac:dyDescent="0.2">
      <c r="A1684" t="str">
        <f>"20200111153432328"</f>
        <v>20200111153432328</v>
      </c>
      <c r="B1684" t="str">
        <f>"1578728072318324"</f>
        <v>1578728072318324</v>
      </c>
      <c r="C1684" t="s">
        <v>37</v>
      </c>
      <c r="D1684">
        <v>4.5669490000000001</v>
      </c>
      <c r="E1684">
        <v>0.50788909999999998</v>
      </c>
      <c r="F1684" t="s">
        <v>56</v>
      </c>
      <c r="G1684">
        <v>-406.18860000000001</v>
      </c>
      <c r="H1684" s="1">
        <v>5.1441279999999902E-6</v>
      </c>
      <c r="I1684">
        <v>287.10270000000003</v>
      </c>
      <c r="J1684">
        <v>-332.35430000000002</v>
      </c>
      <c r="K1684">
        <v>1.1028089999999999</v>
      </c>
      <c r="L1684">
        <v>284.61360000000002</v>
      </c>
      <c r="M1684">
        <v>-0.99950439999999996</v>
      </c>
      <c r="N1684">
        <v>0</v>
      </c>
      <c r="O1684">
        <v>3.1259120000000001E-2</v>
      </c>
      <c r="P1684">
        <v>-0.99925200000000003</v>
      </c>
      <c r="Q1684">
        <v>3.6329550000000002E-2</v>
      </c>
      <c r="R1684">
        <v>1.32514E-2</v>
      </c>
      <c r="S1684">
        <v>-3.0025330000000001</v>
      </c>
      <c r="T1684">
        <v>-4.4696329999999999E-2</v>
      </c>
      <c r="U1684">
        <v>0.1011963</v>
      </c>
      <c r="V1684">
        <v>-1.7958330000000002E-2</v>
      </c>
      <c r="W1684">
        <v>4.0066789999999998E-2</v>
      </c>
      <c r="X1684">
        <v>0.99903560000000002</v>
      </c>
      <c r="Y1684">
        <v>2.429648E-3</v>
      </c>
      <c r="Z1684">
        <v>-4.469791E-4</v>
      </c>
      <c r="AA1684">
        <v>0.99999699999999903</v>
      </c>
      <c r="AB1684">
        <v>46</v>
      </c>
      <c r="AC1684">
        <v>-73.834299999999899</v>
      </c>
      <c r="AD1684">
        <v>-1.1028038558719999</v>
      </c>
      <c r="AE1684">
        <v>2.4891000000000001</v>
      </c>
      <c r="AF1684">
        <v>0.179832328045821</v>
      </c>
      <c r="AG1684">
        <v>-1.1028038558719999</v>
      </c>
      <c r="AH1684">
        <v>73.859566717723197</v>
      </c>
      <c r="AI1684">
        <v>90.855422354232999</v>
      </c>
      <c r="AJ1684">
        <v>89.860497244779907</v>
      </c>
      <c r="AK1684">
        <v>73.868018192858997</v>
      </c>
    </row>
    <row r="1685" spans="1:37" x14ac:dyDescent="0.2">
      <c r="A1685" t="str">
        <f>"20200111153432346"</f>
        <v>20200111153432346</v>
      </c>
      <c r="B1685" t="str">
        <f>"1578728072337846"</f>
        <v>1578728072337846</v>
      </c>
      <c r="C1685" t="s">
        <v>37</v>
      </c>
      <c r="D1685">
        <v>4.5634199999999998</v>
      </c>
      <c r="E1685">
        <v>0.4905294</v>
      </c>
      <c r="F1685" t="s">
        <v>56</v>
      </c>
      <c r="G1685">
        <v>-406.92230000000001</v>
      </c>
      <c r="H1685" s="1">
        <v>4.8143970000000001E-6</v>
      </c>
      <c r="I1685">
        <v>287.12380000000002</v>
      </c>
      <c r="J1685">
        <v>-332.74220000000003</v>
      </c>
      <c r="K1685">
        <v>1.1028249999999999</v>
      </c>
      <c r="L1685">
        <v>284.62569999999999</v>
      </c>
      <c r="M1685">
        <v>-0.99950019999999995</v>
      </c>
      <c r="N1685">
        <v>0</v>
      </c>
      <c r="O1685">
        <v>3.1396899999999998E-2</v>
      </c>
      <c r="P1685">
        <v>-0.99924329999999995</v>
      </c>
      <c r="Q1685">
        <v>3.6462840000000003E-2</v>
      </c>
      <c r="R1685">
        <v>1.353642E-2</v>
      </c>
      <c r="S1685">
        <v>-3.0025019999999998</v>
      </c>
      <c r="T1685">
        <v>-4.440475E-2</v>
      </c>
      <c r="U1685">
        <v>0.1010742</v>
      </c>
      <c r="V1685">
        <v>-1.7812950000000001E-2</v>
      </c>
      <c r="W1685">
        <v>4.0186380000000001E-2</v>
      </c>
      <c r="X1685">
        <v>0.99903339999999996</v>
      </c>
      <c r="Y1685">
        <v>2.2515209999999998E-3</v>
      </c>
      <c r="Z1685">
        <v>-4.4742089999999897E-4</v>
      </c>
      <c r="AA1685">
        <v>0.99999740000000004</v>
      </c>
      <c r="AB1685">
        <v>46</v>
      </c>
      <c r="AC1685">
        <v>-74.180099999999896</v>
      </c>
      <c r="AD1685">
        <v>-1.102820185603</v>
      </c>
      <c r="AE1685">
        <v>2.49810000000002</v>
      </c>
      <c r="AF1685">
        <v>0.167790364617422</v>
      </c>
      <c r="AG1685">
        <v>-1.102820185603</v>
      </c>
      <c r="AH1685">
        <v>74.205579079788706</v>
      </c>
      <c r="AI1685">
        <v>90.8514471562994</v>
      </c>
      <c r="AJ1685">
        <v>89.870445545059297</v>
      </c>
      <c r="AK1685">
        <v>74.213963191134098</v>
      </c>
    </row>
    <row r="1686" spans="1:37" x14ac:dyDescent="0.2">
      <c r="A1686" t="str">
        <f>"20200111153432359"</f>
        <v>20200111153432359</v>
      </c>
      <c r="B1686" t="str">
        <f>"1578728072347604"</f>
        <v>1578728072347604</v>
      </c>
      <c r="C1686" t="s">
        <v>37</v>
      </c>
      <c r="D1686">
        <v>4.5717040000000004</v>
      </c>
      <c r="E1686">
        <v>0.48878719999999998</v>
      </c>
      <c r="F1686" t="s">
        <v>52</v>
      </c>
      <c r="G1686">
        <v>-388.12610000000001</v>
      </c>
      <c r="H1686" s="1">
        <v>2.7875180000000001E-6</v>
      </c>
      <c r="I1686">
        <v>283.94850000000002</v>
      </c>
      <c r="J1686">
        <v>-332.99869999999999</v>
      </c>
      <c r="K1686">
        <v>1.1028420000000001</v>
      </c>
      <c r="L1686">
        <v>284.63380000000001</v>
      </c>
      <c r="M1686">
        <v>-0.99949769999999905</v>
      </c>
      <c r="N1686">
        <v>0</v>
      </c>
      <c r="O1686">
        <v>3.1476659999999997E-2</v>
      </c>
      <c r="P1686">
        <v>-0.99924599999999997</v>
      </c>
      <c r="Q1686">
        <v>3.6412130000000001E-2</v>
      </c>
      <c r="R1686">
        <v>1.348691E-2</v>
      </c>
      <c r="S1686">
        <v>-3.0049440000000001</v>
      </c>
      <c r="T1686">
        <v>-5.9835430000000002E-2</v>
      </c>
      <c r="U1686">
        <v>-3.6743159999999997E-2</v>
      </c>
      <c r="V1686">
        <v>-1.794399E-2</v>
      </c>
      <c r="W1686">
        <v>4.0127780000000002E-2</v>
      </c>
      <c r="X1686">
        <v>0.99903339999999996</v>
      </c>
      <c r="Y1686">
        <v>-4.3680219999999999E-2</v>
      </c>
      <c r="Z1686">
        <v>-1.0614730000000001E-3</v>
      </c>
      <c r="AA1686">
        <v>0.99904499999999996</v>
      </c>
      <c r="AB1686">
        <v>46</v>
      </c>
      <c r="AC1686">
        <v>-55.127400000000002</v>
      </c>
      <c r="AD1686">
        <v>-1.1028392124819999</v>
      </c>
      <c r="AE1686">
        <v>-0.68529999999998303</v>
      </c>
      <c r="AF1686">
        <v>-2.41923056457451</v>
      </c>
      <c r="AG1686">
        <v>-1.1028392124819999</v>
      </c>
      <c r="AH1686">
        <v>55.056481370864098</v>
      </c>
      <c r="AI1686">
        <v>91.146435304202797</v>
      </c>
      <c r="AJ1686">
        <v>92.516008837081998</v>
      </c>
      <c r="AK1686">
        <v>55.120641068418898</v>
      </c>
    </row>
    <row r="1687" spans="1:37" x14ac:dyDescent="0.2">
      <c r="A1687" t="str">
        <f>"20200111153432372"</f>
        <v>20200111153432372</v>
      </c>
      <c r="B1687" t="str">
        <f>"1578728072368100"</f>
        <v>1578728072368100</v>
      </c>
      <c r="C1687" t="s">
        <v>37</v>
      </c>
      <c r="D1687">
        <v>4.4907320000000004</v>
      </c>
      <c r="E1687">
        <v>0.48717359999999998</v>
      </c>
      <c r="F1687" t="s">
        <v>52</v>
      </c>
      <c r="G1687">
        <v>-387.96129999999999</v>
      </c>
      <c r="H1687" s="1">
        <v>2.6998439999999999E-6</v>
      </c>
      <c r="I1687">
        <v>283.70170000000002</v>
      </c>
      <c r="J1687">
        <v>-333.2654</v>
      </c>
      <c r="K1687">
        <v>1.102854</v>
      </c>
      <c r="L1687">
        <v>284.6422</v>
      </c>
      <c r="M1687">
        <v>-0.99949569999999999</v>
      </c>
      <c r="N1687">
        <v>0</v>
      </c>
      <c r="O1687">
        <v>3.1541619999999999E-2</v>
      </c>
      <c r="P1687">
        <v>-0.99924099999999905</v>
      </c>
      <c r="Q1687">
        <v>3.6542379999999999E-2</v>
      </c>
      <c r="R1687">
        <v>1.350749E-2</v>
      </c>
      <c r="S1687">
        <v>-3.005188</v>
      </c>
      <c r="T1687">
        <v>-6.0299869999999998E-2</v>
      </c>
      <c r="U1687">
        <v>-5.096436E-2</v>
      </c>
      <c r="V1687">
        <v>-1.799011E-2</v>
      </c>
      <c r="W1687">
        <v>4.0253079999999997E-2</v>
      </c>
      <c r="X1687">
        <v>0.99902760000000002</v>
      </c>
      <c r="Y1687">
        <v>-4.8469110000000003E-2</v>
      </c>
      <c r="Z1687">
        <v>-1.1189380000000001E-3</v>
      </c>
      <c r="AA1687">
        <v>0.99882409999999999</v>
      </c>
      <c r="AB1687">
        <v>46</v>
      </c>
      <c r="AC1687">
        <v>-54.695900000000002</v>
      </c>
      <c r="AD1687">
        <v>-1.1028513001560001</v>
      </c>
      <c r="AE1687">
        <v>-0.94049999999998601</v>
      </c>
      <c r="AF1687">
        <v>-2.6641581328956399</v>
      </c>
      <c r="AG1687">
        <v>-1.1028513001560001</v>
      </c>
      <c r="AH1687">
        <v>54.616821573149998</v>
      </c>
      <c r="AI1687">
        <v>91.155415601469599</v>
      </c>
      <c r="AJ1687">
        <v>92.792621711750897</v>
      </c>
      <c r="AK1687">
        <v>54.692880874028198</v>
      </c>
    </row>
    <row r="1688" spans="1:37" x14ac:dyDescent="0.2">
      <c r="A1688" t="str">
        <f>"20200111153432384"</f>
        <v>20200111153432384</v>
      </c>
      <c r="B1688" t="str">
        <f>"1578728072377860"</f>
        <v>1578728072377860</v>
      </c>
      <c r="C1688" t="s">
        <v>37</v>
      </c>
      <c r="D1688">
        <v>4.4959870000000004</v>
      </c>
      <c r="E1688">
        <v>0.4869967</v>
      </c>
      <c r="F1688" t="s">
        <v>52</v>
      </c>
      <c r="G1688">
        <v>-387.91250000000002</v>
      </c>
      <c r="H1688" s="1">
        <v>2.6738659999999998E-6</v>
      </c>
      <c r="I1688">
        <v>283.4853</v>
      </c>
      <c r="J1688">
        <v>-333.52080000000001</v>
      </c>
      <c r="K1688">
        <v>1.102865</v>
      </c>
      <c r="L1688">
        <v>284.65030000000002</v>
      </c>
      <c r="M1688">
        <v>-0.99949399999999999</v>
      </c>
      <c r="N1688">
        <v>0</v>
      </c>
      <c r="O1688">
        <v>3.1597170000000001E-2</v>
      </c>
      <c r="P1688">
        <v>-0.99924489999999999</v>
      </c>
      <c r="Q1688">
        <v>3.6487609999999997E-2</v>
      </c>
      <c r="R1688">
        <v>1.337087E-2</v>
      </c>
      <c r="S1688">
        <v>-3.0053709999999998</v>
      </c>
      <c r="T1688">
        <v>-6.0652379999999999E-2</v>
      </c>
      <c r="U1688">
        <v>-6.3629149999999995E-2</v>
      </c>
      <c r="V1688">
        <v>-1.8184039999999999E-2</v>
      </c>
      <c r="W1688">
        <v>4.0194000000000001E-2</v>
      </c>
      <c r="X1688">
        <v>0.99902639999999998</v>
      </c>
      <c r="Y1688">
        <v>-5.2729640000000001E-2</v>
      </c>
      <c r="Z1688">
        <v>-1.1694780000000001E-3</v>
      </c>
      <c r="AA1688">
        <v>0.9986081</v>
      </c>
      <c r="AB1688">
        <v>46</v>
      </c>
      <c r="AC1688">
        <v>-54.3917</v>
      </c>
      <c r="AD1688">
        <v>-1.102862326134</v>
      </c>
      <c r="AE1688">
        <v>-1.16500000000002</v>
      </c>
      <c r="AF1688">
        <v>-2.8818692897778999</v>
      </c>
      <c r="AG1688">
        <v>-1.102862326134</v>
      </c>
      <c r="AH1688">
        <v>54.305413830751903</v>
      </c>
      <c r="AI1688">
        <v>91.161797959757394</v>
      </c>
      <c r="AJ1688">
        <v>93.037711987168805</v>
      </c>
      <c r="AK1688">
        <v>54.393009176207499</v>
      </c>
    </row>
    <row r="1689" spans="1:37" x14ac:dyDescent="0.2">
      <c r="A1689" t="str">
        <f>"20200111153432397"</f>
        <v>20200111153432397</v>
      </c>
      <c r="B1689" t="str">
        <f>"1578728072387619"</f>
        <v>1578728072387619</v>
      </c>
      <c r="C1689" t="s">
        <v>37</v>
      </c>
      <c r="D1689">
        <v>4.4971220000000001</v>
      </c>
      <c r="E1689">
        <v>0.48686629999999997</v>
      </c>
      <c r="F1689" t="s">
        <v>52</v>
      </c>
      <c r="G1689">
        <v>-387.89260000000002</v>
      </c>
      <c r="H1689" s="1">
        <v>2.6632869999999998E-6</v>
      </c>
      <c r="I1689">
        <v>283.4649</v>
      </c>
      <c r="J1689">
        <v>-333.7878</v>
      </c>
      <c r="K1689">
        <v>1.102876</v>
      </c>
      <c r="L1689">
        <v>284.65879999999999</v>
      </c>
      <c r="M1689">
        <v>-0.9994923</v>
      </c>
      <c r="N1689">
        <v>0</v>
      </c>
      <c r="O1689">
        <v>3.1646510000000003E-2</v>
      </c>
      <c r="P1689">
        <v>-0.99925370000000002</v>
      </c>
      <c r="Q1689">
        <v>3.6313560000000002E-2</v>
      </c>
      <c r="R1689">
        <v>1.3167399999999999E-2</v>
      </c>
      <c r="S1689">
        <v>-3.005341</v>
      </c>
      <c r="T1689">
        <v>-6.095946E-2</v>
      </c>
      <c r="U1689">
        <v>-6.5521239999999994E-2</v>
      </c>
      <c r="V1689">
        <v>-1.8439500000000001E-2</v>
      </c>
      <c r="W1689">
        <v>4.0017240000000003E-2</v>
      </c>
      <c r="X1689">
        <v>0.99902880000000005</v>
      </c>
      <c r="Y1689">
        <v>-5.340723E-2</v>
      </c>
      <c r="Z1689">
        <v>-1.183274E-3</v>
      </c>
      <c r="AA1689">
        <v>0.99857209999999996</v>
      </c>
      <c r="AB1689">
        <v>46</v>
      </c>
      <c r="AC1689">
        <v>-54.104799999999997</v>
      </c>
      <c r="AD1689">
        <v>-1.1028733367129999</v>
      </c>
      <c r="AE1689">
        <v>-1.19389999999998</v>
      </c>
      <c r="AF1689">
        <v>-2.9043355798631998</v>
      </c>
      <c r="AG1689">
        <v>-1.1028733367129999</v>
      </c>
      <c r="AH1689">
        <v>54.017483007858502</v>
      </c>
      <c r="AI1689">
        <v>91.1679572081636</v>
      </c>
      <c r="AJ1689">
        <v>93.077635013678602</v>
      </c>
      <c r="AK1689">
        <v>54.106746023592798</v>
      </c>
    </row>
    <row r="1690" spans="1:37" x14ac:dyDescent="0.2">
      <c r="A1690" t="str">
        <f>"20200111153432411"</f>
        <v>20200111153432411</v>
      </c>
      <c r="B1690" t="str">
        <f>"1578728072408116"</f>
        <v>1578728072408116</v>
      </c>
      <c r="C1690" t="s">
        <v>37</v>
      </c>
      <c r="D1690">
        <v>4.4782250000000001</v>
      </c>
      <c r="E1690">
        <v>0.4868304</v>
      </c>
      <c r="F1690" t="s">
        <v>52</v>
      </c>
      <c r="G1690">
        <v>-385.82569999999998</v>
      </c>
      <c r="H1690" s="1">
        <v>1.563364E-6</v>
      </c>
      <c r="I1690">
        <v>283.4984</v>
      </c>
      <c r="J1690">
        <v>-334.06110000000001</v>
      </c>
      <c r="K1690">
        <v>1.102887</v>
      </c>
      <c r="L1690">
        <v>284.66750000000002</v>
      </c>
      <c r="M1690">
        <v>-0.99949109999999997</v>
      </c>
      <c r="N1690">
        <v>0</v>
      </c>
      <c r="O1690">
        <v>3.1684770000000001E-2</v>
      </c>
      <c r="P1690">
        <v>-0.99925819999999999</v>
      </c>
      <c r="Q1690">
        <v>3.625797E-2</v>
      </c>
      <c r="R1690">
        <v>1.299433E-2</v>
      </c>
      <c r="S1690">
        <v>-3.0054630000000002</v>
      </c>
      <c r="T1690">
        <v>-6.3696859999999994E-2</v>
      </c>
      <c r="U1690">
        <v>-6.7016599999999996E-2</v>
      </c>
      <c r="V1690">
        <v>-1.8652490000000001E-2</v>
      </c>
      <c r="W1690">
        <v>3.9960059999999999E-2</v>
      </c>
      <c r="X1690">
        <v>0.999027199999999</v>
      </c>
      <c r="Y1690">
        <v>-5.3939429999999997E-2</v>
      </c>
      <c r="Z1690">
        <v>-1.242791E-3</v>
      </c>
      <c r="AA1690">
        <v>0.99854339999999997</v>
      </c>
      <c r="AB1690">
        <v>46</v>
      </c>
      <c r="AC1690">
        <v>-51.764599999999902</v>
      </c>
      <c r="AD1690">
        <v>-1.1028854366359999</v>
      </c>
      <c r="AE1690">
        <v>-1.16910000000001</v>
      </c>
      <c r="AF1690">
        <v>-2.80739988069113</v>
      </c>
      <c r="AG1690">
        <v>-1.1028854366359999</v>
      </c>
      <c r="AH1690">
        <v>51.678119701738296</v>
      </c>
      <c r="AI1690">
        <v>91.220789281734298</v>
      </c>
      <c r="AJ1690">
        <v>93.109521219642104</v>
      </c>
      <c r="AK1690">
        <v>51.766069063467</v>
      </c>
    </row>
    <row r="1691" spans="1:37" x14ac:dyDescent="0.2">
      <c r="A1691" t="str">
        <f>"20200111153432424"</f>
        <v>20200111153432424</v>
      </c>
      <c r="B1691" t="str">
        <f>"1578728072417878"</f>
        <v>1578728072417878</v>
      </c>
      <c r="C1691" t="s">
        <v>37</v>
      </c>
      <c r="D1691">
        <v>4.4737419999999997</v>
      </c>
      <c r="E1691">
        <v>0.4867804</v>
      </c>
      <c r="F1691" t="s">
        <v>52</v>
      </c>
      <c r="G1691">
        <v>-384.77839999999998</v>
      </c>
      <c r="H1691" s="1">
        <v>1.0060209999999999E-6</v>
      </c>
      <c r="I1691">
        <v>283.52530000000002</v>
      </c>
      <c r="J1691">
        <v>-334.35520000000002</v>
      </c>
      <c r="K1691">
        <v>1.1028990000000001</v>
      </c>
      <c r="L1691">
        <v>284.67680000000001</v>
      </c>
      <c r="M1691">
        <v>-0.99949009999999905</v>
      </c>
      <c r="N1691">
        <v>0</v>
      </c>
      <c r="O1691">
        <v>3.1719379999999998E-2</v>
      </c>
      <c r="P1691">
        <v>-0.99926280000000001</v>
      </c>
      <c r="Q1691">
        <v>3.6156399999999998E-2</v>
      </c>
      <c r="R1691">
        <v>1.293093E-2</v>
      </c>
      <c r="S1691">
        <v>-3.005493</v>
      </c>
      <c r="T1691">
        <v>-6.5356730000000002E-2</v>
      </c>
      <c r="U1691">
        <v>-6.7687990000000003E-2</v>
      </c>
      <c r="V1691">
        <v>-1.8752599999999901E-2</v>
      </c>
      <c r="W1691">
        <v>3.9858099999999903E-2</v>
      </c>
      <c r="X1691">
        <v>0.99902930000000001</v>
      </c>
      <c r="Y1691">
        <v>-5.4195649999999998E-2</v>
      </c>
      <c r="Z1691">
        <v>-1.278691E-3</v>
      </c>
      <c r="AA1691">
        <v>0.99852949999999996</v>
      </c>
      <c r="AB1691">
        <v>46</v>
      </c>
      <c r="AC1691">
        <v>-50.423199999999902</v>
      </c>
      <c r="AD1691">
        <v>-1.102897993979</v>
      </c>
      <c r="AE1691">
        <v>-1.15149999999999</v>
      </c>
      <c r="AF1691">
        <v>-2.7490094505219398</v>
      </c>
      <c r="AG1691">
        <v>-1.102897993979</v>
      </c>
      <c r="AH1691">
        <v>50.337232476253398</v>
      </c>
      <c r="AI1691">
        <v>91.253293255646895</v>
      </c>
      <c r="AJ1691">
        <v>93.125923412448699</v>
      </c>
      <c r="AK1691">
        <v>50.424303766264998</v>
      </c>
    </row>
    <row r="1692" spans="1:37" x14ac:dyDescent="0.2">
      <c r="A1692" t="str">
        <f>"20200111153432437"</f>
        <v>20200111153432437</v>
      </c>
      <c r="B1692" t="str">
        <f>"1578728072427636"</f>
        <v>1578728072427636</v>
      </c>
      <c r="C1692" t="s">
        <v>37</v>
      </c>
      <c r="D1692">
        <v>4.49688</v>
      </c>
      <c r="E1692">
        <v>0.48671490000000001</v>
      </c>
      <c r="F1692" t="s">
        <v>52</v>
      </c>
      <c r="G1692">
        <v>-384.91759999999999</v>
      </c>
      <c r="H1692" s="1">
        <v>1.0801309999999901E-6</v>
      </c>
      <c r="I1692">
        <v>283.52879999999999</v>
      </c>
      <c r="J1692">
        <v>-334.62439999999998</v>
      </c>
      <c r="K1692">
        <v>1.102908</v>
      </c>
      <c r="L1692">
        <v>284.68540000000002</v>
      </c>
      <c r="M1692">
        <v>-0.99948919999999997</v>
      </c>
      <c r="N1692">
        <v>0</v>
      </c>
      <c r="O1692">
        <v>3.174482E-2</v>
      </c>
      <c r="P1692">
        <v>-0.99926939999999997</v>
      </c>
      <c r="Q1692">
        <v>3.5966829999999998E-2</v>
      </c>
      <c r="R1692">
        <v>1.293656E-2</v>
      </c>
      <c r="S1692">
        <v>-3.0054630000000002</v>
      </c>
      <c r="T1692">
        <v>-6.5556879999999998E-2</v>
      </c>
      <c r="U1692">
        <v>-6.8237300000000001E-2</v>
      </c>
      <c r="V1692">
        <v>-1.8774180000000001E-2</v>
      </c>
      <c r="W1692">
        <v>3.966894E-2</v>
      </c>
      <c r="X1692">
        <v>0.99903649999999999</v>
      </c>
      <c r="Y1692">
        <v>-5.4403510000000002E-2</v>
      </c>
      <c r="Z1692">
        <v>-1.2854380000000001E-3</v>
      </c>
      <c r="AA1692">
        <v>0.99851819999999902</v>
      </c>
      <c r="AB1692">
        <v>46</v>
      </c>
      <c r="AC1692">
        <v>-50.293199999999999</v>
      </c>
      <c r="AD1692">
        <v>-1.102906919869</v>
      </c>
      <c r="AE1692">
        <v>-1.1566000000000201</v>
      </c>
      <c r="AF1692">
        <v>-2.75125412291567</v>
      </c>
      <c r="AG1692">
        <v>-1.102906919869</v>
      </c>
      <c r="AH1692">
        <v>50.207003854798003</v>
      </c>
      <c r="AI1692">
        <v>91.2565404470689</v>
      </c>
      <c r="AJ1692">
        <v>93.136569332849106</v>
      </c>
      <c r="AK1692">
        <v>50.294423537788497</v>
      </c>
    </row>
    <row r="1693" spans="1:37" x14ac:dyDescent="0.2">
      <c r="A1693" t="str">
        <f>"20200111153432450"</f>
        <v>20200111153432450</v>
      </c>
      <c r="B1693" t="str">
        <f>"1578728072437395"</f>
        <v>1578728072437395</v>
      </c>
      <c r="C1693" t="s">
        <v>37</v>
      </c>
      <c r="D1693">
        <v>4.4889429999999999</v>
      </c>
      <c r="E1693">
        <v>0.48667719999999998</v>
      </c>
      <c r="F1693" t="s">
        <v>52</v>
      </c>
      <c r="G1693">
        <v>-384.10120000000001</v>
      </c>
      <c r="H1693" s="1">
        <v>6.4564899999999999E-7</v>
      </c>
      <c r="I1693">
        <v>283.55149999999998</v>
      </c>
      <c r="J1693">
        <v>-334.8775</v>
      </c>
      <c r="K1693">
        <v>1.1029149999999901</v>
      </c>
      <c r="L1693">
        <v>284.6934</v>
      </c>
      <c r="M1693">
        <v>-0.99948879999999996</v>
      </c>
      <c r="N1693">
        <v>0</v>
      </c>
      <c r="O1693">
        <v>3.176205E-2</v>
      </c>
      <c r="P1693">
        <v>-0.99927469999999996</v>
      </c>
      <c r="Q1693">
        <v>3.5905220000000002E-2</v>
      </c>
      <c r="R1693">
        <v>1.26912E-2</v>
      </c>
      <c r="S1693">
        <v>-3.005493</v>
      </c>
      <c r="T1693">
        <v>-6.6996689999999998E-2</v>
      </c>
      <c r="U1693">
        <v>-6.8878170000000002E-2</v>
      </c>
      <c r="V1693">
        <v>-1.903813E-2</v>
      </c>
      <c r="W1693">
        <v>3.9608909999999997E-2</v>
      </c>
      <c r="X1693">
        <v>0.99903390000000003</v>
      </c>
      <c r="Y1693">
        <v>-5.4632319999999998E-2</v>
      </c>
      <c r="Z1693">
        <v>-1.3165799999999999E-3</v>
      </c>
      <c r="AA1693">
        <v>0.99850569999999905</v>
      </c>
      <c r="AB1693">
        <v>46</v>
      </c>
      <c r="AC1693">
        <v>-49.223700000000001</v>
      </c>
      <c r="AD1693">
        <v>-1.1029143543509901</v>
      </c>
      <c r="AE1693">
        <v>-1.1419000000000199</v>
      </c>
      <c r="AF1693">
        <v>-2.70342339631569</v>
      </c>
      <c r="AG1693">
        <v>-1.1029143543509901</v>
      </c>
      <c r="AH1693">
        <v>49.137939201246503</v>
      </c>
      <c r="AI1693">
        <v>91.283862468505802</v>
      </c>
      <c r="AJ1693">
        <v>93.149068811374207</v>
      </c>
      <c r="AK1693">
        <v>49.2246075360503</v>
      </c>
    </row>
    <row r="1694" spans="1:37" x14ac:dyDescent="0.2">
      <c r="A1694" t="str">
        <f>"20200111153432463"</f>
        <v>20200111153432463</v>
      </c>
      <c r="B1694" t="str">
        <f>"1578728072457892"</f>
        <v>1578728072457892</v>
      </c>
      <c r="C1694" t="s">
        <v>37</v>
      </c>
      <c r="D1694">
        <v>4.5207160000000002</v>
      </c>
      <c r="E1694">
        <v>0.4866587</v>
      </c>
      <c r="F1694" t="s">
        <v>52</v>
      </c>
      <c r="G1694">
        <v>-383.57249999999999</v>
      </c>
      <c r="H1694" s="1">
        <v>3.6432579999999999E-7</v>
      </c>
      <c r="I1694">
        <v>283.56009999999998</v>
      </c>
      <c r="J1694">
        <v>-335.1739</v>
      </c>
      <c r="K1694">
        <v>1.102922</v>
      </c>
      <c r="L1694">
        <v>284.70280000000002</v>
      </c>
      <c r="M1694">
        <v>-0.99948809999999999</v>
      </c>
      <c r="N1694">
        <v>0</v>
      </c>
      <c r="O1694">
        <v>3.1779389999999998E-2</v>
      </c>
      <c r="P1694">
        <v>-0.99927189999999999</v>
      </c>
      <c r="Q1694">
        <v>3.5982930000000003E-2</v>
      </c>
      <c r="R1694">
        <v>1.2689539999999999E-2</v>
      </c>
      <c r="S1694">
        <v>-3.005493</v>
      </c>
      <c r="T1694">
        <v>-6.8072679999999997E-2</v>
      </c>
      <c r="U1694">
        <v>-6.9946289999999994E-2</v>
      </c>
      <c r="V1694">
        <v>-1.9058559999999999E-2</v>
      </c>
      <c r="W1694">
        <v>3.96899E-2</v>
      </c>
      <c r="X1694">
        <v>0.99903030000000004</v>
      </c>
      <c r="Y1694">
        <v>-5.500352E-2</v>
      </c>
      <c r="Z1694">
        <v>-1.34231E-3</v>
      </c>
      <c r="AA1694">
        <v>0.99848530000000002</v>
      </c>
      <c r="AB1694">
        <v>47</v>
      </c>
      <c r="AC1694">
        <v>-48.398599999999902</v>
      </c>
      <c r="AD1694">
        <v>-1.1029216356742</v>
      </c>
      <c r="AE1694">
        <v>-1.14270000000004</v>
      </c>
      <c r="AF1694">
        <v>-2.67882091945242</v>
      </c>
      <c r="AG1694">
        <v>-1.1029216356742</v>
      </c>
      <c r="AH1694">
        <v>48.312764195461902</v>
      </c>
      <c r="AI1694">
        <v>91.305760803227997</v>
      </c>
      <c r="AJ1694">
        <v>93.173656736353195</v>
      </c>
      <c r="AK1694">
        <v>48.399542372415397</v>
      </c>
    </row>
    <row r="1695" spans="1:37" x14ac:dyDescent="0.2">
      <c r="A1695" t="str">
        <f>"20200111153432476"</f>
        <v>20200111153432476</v>
      </c>
      <c r="B1695" t="str">
        <f>"1578728072467652"</f>
        <v>1578728072467652</v>
      </c>
      <c r="C1695" t="s">
        <v>37</v>
      </c>
      <c r="D1695">
        <v>4.5097329999999998</v>
      </c>
      <c r="E1695">
        <v>0.48666389999999998</v>
      </c>
      <c r="F1695" t="s">
        <v>52</v>
      </c>
      <c r="G1695">
        <v>-382.9332</v>
      </c>
      <c r="H1695" s="1">
        <v>2.4089299999999899E-8</v>
      </c>
      <c r="I1695">
        <v>283.589</v>
      </c>
      <c r="J1695">
        <v>-335.45150000000001</v>
      </c>
      <c r="K1695">
        <v>1.1029279999999999</v>
      </c>
      <c r="L1695">
        <v>284.71159999999998</v>
      </c>
      <c r="M1695">
        <v>-0.99948780000000004</v>
      </c>
      <c r="N1695">
        <v>0</v>
      </c>
      <c r="O1695">
        <v>3.1791599999999899E-2</v>
      </c>
      <c r="P1695">
        <v>-0.99926959999999998</v>
      </c>
      <c r="Q1695">
        <v>3.6160770000000002E-2</v>
      </c>
      <c r="R1695">
        <v>1.2369959999999999E-2</v>
      </c>
      <c r="S1695">
        <v>-3.0056150000000001</v>
      </c>
      <c r="T1695">
        <v>-6.9409730000000003E-2</v>
      </c>
      <c r="U1695">
        <v>-7.0098880000000002E-2</v>
      </c>
      <c r="V1695">
        <v>-1.93914E-2</v>
      </c>
      <c r="W1695">
        <v>3.9870959999999997E-2</v>
      </c>
      <c r="X1695">
        <v>0.99901659999999903</v>
      </c>
      <c r="Y1695">
        <v>-5.5064540000000002E-2</v>
      </c>
      <c r="Z1695">
        <v>-1.3695979999999901E-3</v>
      </c>
      <c r="AA1695">
        <v>0.99848189999999903</v>
      </c>
      <c r="AB1695">
        <v>47</v>
      </c>
      <c r="AC1695">
        <v>-47.481699999999897</v>
      </c>
      <c r="AD1695">
        <v>-1.1029279759107</v>
      </c>
      <c r="AE1695">
        <v>-1.1225999999999701</v>
      </c>
      <c r="AF1695">
        <v>-2.6301435572913898</v>
      </c>
      <c r="AG1695">
        <v>-1.1029279759107</v>
      </c>
      <c r="AH1695">
        <v>47.396450044455698</v>
      </c>
      <c r="AI1695">
        <v>91.3310003849613</v>
      </c>
      <c r="AJ1695">
        <v>93.176223649952107</v>
      </c>
      <c r="AK1695">
        <v>47.482181732399297</v>
      </c>
    </row>
    <row r="1696" spans="1:37" x14ac:dyDescent="0.2">
      <c r="A1696" t="str">
        <f>"20200111153432492"</f>
        <v>20200111153432492</v>
      </c>
      <c r="B1696" t="str">
        <f>"1578728072488149"</f>
        <v>1578728072488149</v>
      </c>
      <c r="C1696" t="s">
        <v>37</v>
      </c>
      <c r="D1696">
        <v>4.5360680000000002</v>
      </c>
      <c r="E1696">
        <v>0.48664289999999999</v>
      </c>
      <c r="F1696" t="s">
        <v>52</v>
      </c>
      <c r="G1696">
        <v>-383.24340000000001</v>
      </c>
      <c r="H1696" s="1">
        <v>1.8919769999999999E-7</v>
      </c>
      <c r="I1696">
        <v>283.58139999999997</v>
      </c>
      <c r="J1696">
        <v>-335.75699999999898</v>
      </c>
      <c r="K1696">
        <v>1.1029309999999899</v>
      </c>
      <c r="L1696">
        <v>284.72140000000002</v>
      </c>
      <c r="M1696">
        <v>-0.99948740000000003</v>
      </c>
      <c r="N1696">
        <v>0</v>
      </c>
      <c r="O1696">
        <v>3.1801019999999999E-2</v>
      </c>
      <c r="P1696">
        <v>-0.99926059999999906</v>
      </c>
      <c r="Q1696">
        <v>3.6414599999999998E-2</v>
      </c>
      <c r="R1696">
        <v>1.234445E-2</v>
      </c>
      <c r="S1696">
        <v>-3.0055540000000001</v>
      </c>
      <c r="T1696">
        <v>-6.9361329999999999E-2</v>
      </c>
      <c r="U1696">
        <v>-7.1075440000000004E-2</v>
      </c>
      <c r="V1696">
        <v>-1.9427400000000001E-2</v>
      </c>
      <c r="W1696">
        <v>4.0130150000000003E-2</v>
      </c>
      <c r="X1696">
        <v>0.99900560000000005</v>
      </c>
      <c r="Y1696">
        <v>-5.5398610000000001E-2</v>
      </c>
      <c r="Z1696">
        <v>-1.3727379999999901E-3</v>
      </c>
      <c r="AA1696">
        <v>0.9984634</v>
      </c>
      <c r="AB1696">
        <v>47</v>
      </c>
      <c r="AC1696">
        <v>-47.486400000000003</v>
      </c>
      <c r="AD1696">
        <v>-1.1029308108022999</v>
      </c>
      <c r="AE1696">
        <v>-1.1400000000000401</v>
      </c>
      <c r="AF1696">
        <v>-2.6481219229547501</v>
      </c>
      <c r="AG1696">
        <v>-1.1029308108022999</v>
      </c>
      <c r="AH1696">
        <v>47.400572661415602</v>
      </c>
      <c r="AI1696">
        <v>91.330860431059193</v>
      </c>
      <c r="AJ1696">
        <v>93.197612285422693</v>
      </c>
      <c r="AK1696">
        <v>47.487296140361501</v>
      </c>
    </row>
    <row r="1697" spans="1:37" x14ac:dyDescent="0.2">
      <c r="A1697" t="str">
        <f>"20200111153432515"</f>
        <v>20200111153432515</v>
      </c>
      <c r="B1697" t="str">
        <f>"1578728072507668"</f>
        <v>1578728072507668</v>
      </c>
      <c r="C1697" t="s">
        <v>37</v>
      </c>
      <c r="D1697">
        <v>4.5371959999999998</v>
      </c>
      <c r="E1697">
        <v>0.4868054</v>
      </c>
      <c r="F1697" t="s">
        <v>52</v>
      </c>
      <c r="G1697">
        <v>-382.45609999999999</v>
      </c>
      <c r="H1697" s="1">
        <v>-2.2974860000000001E-7</v>
      </c>
      <c r="I1697">
        <v>283.61520000000002</v>
      </c>
      <c r="J1697">
        <v>-336.24119999999999</v>
      </c>
      <c r="K1697">
        <v>1.1029389999999999</v>
      </c>
      <c r="L1697">
        <v>284.73680000000002</v>
      </c>
      <c r="M1697">
        <v>-0.99948700000000001</v>
      </c>
      <c r="N1697">
        <v>0</v>
      </c>
      <c r="O1697">
        <v>3.181237E-2</v>
      </c>
      <c r="P1697">
        <v>-0.99925219999999904</v>
      </c>
      <c r="Q1697">
        <v>3.6693509999999999E-2</v>
      </c>
      <c r="R1697">
        <v>1.220622E-2</v>
      </c>
      <c r="S1697">
        <v>-3.0056759999999998</v>
      </c>
      <c r="T1697">
        <v>-7.0987460000000002E-2</v>
      </c>
      <c r="U1697">
        <v>-7.1197510000000006E-2</v>
      </c>
      <c r="V1697">
        <v>-1.9577710000000002E-2</v>
      </c>
      <c r="W1697">
        <v>4.0418410000000002E-2</v>
      </c>
      <c r="X1697">
        <v>0.99899099999999996</v>
      </c>
      <c r="Y1697">
        <v>-5.5448400000000002E-2</v>
      </c>
      <c r="Z1697">
        <v>-1.405711E-3</v>
      </c>
      <c r="AA1697">
        <v>0.99846060000000003</v>
      </c>
      <c r="AB1697">
        <v>47</v>
      </c>
      <c r="AC1697">
        <v>-46.2149</v>
      </c>
      <c r="AD1697">
        <v>-1.10293922974859</v>
      </c>
      <c r="AE1697">
        <v>-1.1215999999999999</v>
      </c>
      <c r="AF1697">
        <v>-2.5897737184469798</v>
      </c>
      <c r="AG1697">
        <v>-1.10293922974859</v>
      </c>
      <c r="AH1697">
        <v>46.129569329594702</v>
      </c>
      <c r="AI1697">
        <v>91.367505246857206</v>
      </c>
      <c r="AJ1697">
        <v>93.213286114618896</v>
      </c>
      <c r="AK1697">
        <v>46.215371570411101</v>
      </c>
    </row>
    <row r="1698" spans="1:37" x14ac:dyDescent="0.2">
      <c r="A1698" t="str">
        <f>"20200111153432529"</f>
        <v>20200111153432529</v>
      </c>
      <c r="B1698" t="str">
        <f>"1578728072518403"</f>
        <v>1578728072518403</v>
      </c>
      <c r="C1698" t="s">
        <v>37</v>
      </c>
      <c r="D1698">
        <v>4.5345379999999897</v>
      </c>
      <c r="E1698">
        <v>0.48681679999999999</v>
      </c>
      <c r="F1698" t="s">
        <v>52</v>
      </c>
      <c r="G1698">
        <v>-382.01159999999999</v>
      </c>
      <c r="H1698" s="1">
        <v>-4.6630240000000001E-7</v>
      </c>
      <c r="I1698">
        <v>283.66430000000003</v>
      </c>
      <c r="J1698">
        <v>-336.53829999999999</v>
      </c>
      <c r="K1698">
        <v>1.102948</v>
      </c>
      <c r="L1698">
        <v>284.74630000000002</v>
      </c>
      <c r="M1698">
        <v>-0.99948680000000001</v>
      </c>
      <c r="N1698">
        <v>0</v>
      </c>
      <c r="O1698">
        <v>3.1817079999999998E-2</v>
      </c>
      <c r="P1698">
        <v>-0.999256699999999</v>
      </c>
      <c r="Q1698">
        <v>3.656943E-2</v>
      </c>
      <c r="R1698">
        <v>1.220592E-2</v>
      </c>
      <c r="S1698">
        <v>-3.005798</v>
      </c>
      <c r="T1698">
        <v>-7.2431330000000002E-2</v>
      </c>
      <c r="U1698">
        <v>-7.0434570000000002E-2</v>
      </c>
      <c r="V1698">
        <v>-1.958447E-2</v>
      </c>
      <c r="W1698">
        <v>4.0301199999999898E-2</v>
      </c>
      <c r="X1698">
        <v>0.99899559999999998</v>
      </c>
      <c r="Y1698">
        <v>-5.5197940000000001E-2</v>
      </c>
      <c r="Z1698">
        <v>-1.4313360000000001E-3</v>
      </c>
      <c r="AA1698">
        <v>0.99847439999999998</v>
      </c>
      <c r="AB1698">
        <v>47</v>
      </c>
      <c r="AC1698">
        <v>-45.473300000000002</v>
      </c>
      <c r="AD1698">
        <v>-1.1029484663023901</v>
      </c>
      <c r="AE1698">
        <v>-1.0819999999999901</v>
      </c>
      <c r="AF1698">
        <v>-2.5268041264114398</v>
      </c>
      <c r="AG1698">
        <v>-1.1029484663023901</v>
      </c>
      <c r="AH1698">
        <v>45.389163368013499</v>
      </c>
      <c r="AI1698">
        <v>91.389851996887899</v>
      </c>
      <c r="AJ1698">
        <v>93.186353748982</v>
      </c>
      <c r="AK1698">
        <v>45.472820295873298</v>
      </c>
    </row>
    <row r="1699" spans="1:37" x14ac:dyDescent="0.2">
      <c r="A1699" t="str">
        <f>"20200111153432542"</f>
        <v>20200111153432542</v>
      </c>
      <c r="B1699" t="str">
        <f>"1578728072537923"</f>
        <v>1578728072537923</v>
      </c>
      <c r="C1699" t="s">
        <v>37</v>
      </c>
      <c r="D1699">
        <v>4.5520639999999997</v>
      </c>
      <c r="E1699">
        <v>0.4867785</v>
      </c>
      <c r="F1699" t="s">
        <v>52</v>
      </c>
      <c r="G1699">
        <v>-381.63709999999998</v>
      </c>
      <c r="H1699" s="1">
        <v>-6.6562829999999999E-7</v>
      </c>
      <c r="I1699">
        <v>283.69310000000002</v>
      </c>
      <c r="J1699">
        <v>-336.83030000000002</v>
      </c>
      <c r="K1699">
        <v>1.102951</v>
      </c>
      <c r="L1699">
        <v>284.75560000000002</v>
      </c>
      <c r="M1699">
        <v>-0.99948669999999995</v>
      </c>
      <c r="N1699">
        <v>0</v>
      </c>
      <c r="O1699">
        <v>3.1820540000000001E-2</v>
      </c>
      <c r="P1699">
        <v>-0.99925069999999905</v>
      </c>
      <c r="Q1699">
        <v>3.671493E-2</v>
      </c>
      <c r="R1699">
        <v>1.2274490000000001E-2</v>
      </c>
      <c r="S1699">
        <v>-3.0057680000000002</v>
      </c>
      <c r="T1699">
        <v>-7.3509930000000001E-2</v>
      </c>
      <c r="U1699">
        <v>-7.0190429999999998E-2</v>
      </c>
      <c r="V1699">
        <v>-1.9519559999999998E-2</v>
      </c>
      <c r="W1699">
        <v>4.0454610000000002E-2</v>
      </c>
      <c r="X1699">
        <v>0.99899069999999901</v>
      </c>
      <c r="Y1699">
        <v>-5.5119830000000002E-2</v>
      </c>
      <c r="Z1699">
        <v>-1.4517899999999999E-3</v>
      </c>
      <c r="AA1699">
        <v>0.99847870000000005</v>
      </c>
      <c r="AB1699">
        <v>47</v>
      </c>
      <c r="AC1699">
        <v>-44.806799999999903</v>
      </c>
      <c r="AD1699">
        <v>-1.1029516656283</v>
      </c>
      <c r="AE1699">
        <v>-1.0625</v>
      </c>
      <c r="AF1699">
        <v>-2.4862426916121101</v>
      </c>
      <c r="AG1699">
        <v>-1.1029516656283</v>
      </c>
      <c r="AH1699">
        <v>44.723215820738297</v>
      </c>
      <c r="AI1699">
        <v>91.410549368655595</v>
      </c>
      <c r="AJ1699">
        <v>93.181898620203199</v>
      </c>
      <c r="AK1699">
        <v>44.805847145731398</v>
      </c>
    </row>
    <row r="1700" spans="1:37" x14ac:dyDescent="0.2">
      <c r="A1700" t="str">
        <f>"20200111153432554"</f>
        <v>20200111153432554</v>
      </c>
      <c r="B1700" t="str">
        <f>"1578728072547685"</f>
        <v>1578728072547685</v>
      </c>
      <c r="C1700" t="s">
        <v>37</v>
      </c>
      <c r="D1700">
        <v>4.6651220000000002</v>
      </c>
      <c r="E1700">
        <v>0.48652570000000001</v>
      </c>
      <c r="F1700" t="s">
        <v>52</v>
      </c>
      <c r="G1700">
        <v>-381.185</v>
      </c>
      <c r="H1700" s="1">
        <v>-9.0620520000000002E-7</v>
      </c>
      <c r="I1700">
        <v>283.7176</v>
      </c>
      <c r="J1700">
        <v>-337.0883</v>
      </c>
      <c r="K1700">
        <v>1.102954</v>
      </c>
      <c r="L1700">
        <v>284.7638</v>
      </c>
      <c r="M1700">
        <v>-0.9994864</v>
      </c>
      <c r="N1700">
        <v>0</v>
      </c>
      <c r="O1700">
        <v>3.1823480000000001E-2</v>
      </c>
      <c r="P1700">
        <v>-0.99925209999999998</v>
      </c>
      <c r="Q1700">
        <v>3.676749E-2</v>
      </c>
      <c r="R1700">
        <v>1.197456E-2</v>
      </c>
      <c r="S1700">
        <v>-3.0058590000000001</v>
      </c>
      <c r="T1700">
        <v>-7.4745660000000005E-2</v>
      </c>
      <c r="U1700">
        <v>-7.0343020000000006E-2</v>
      </c>
      <c r="V1700">
        <v>-1.982343E-2</v>
      </c>
      <c r="W1700">
        <v>4.0514170000000002E-2</v>
      </c>
      <c r="X1700">
        <v>0.99898229999999999</v>
      </c>
      <c r="Y1700">
        <v>-5.5171829999999998E-2</v>
      </c>
      <c r="Z1700">
        <v>-1.4768610000000001E-3</v>
      </c>
      <c r="AA1700">
        <v>0.99847580000000002</v>
      </c>
      <c r="AB1700">
        <v>47</v>
      </c>
      <c r="AC1700">
        <v>-44.096699999999998</v>
      </c>
      <c r="AD1700">
        <v>-1.1029549062052</v>
      </c>
      <c r="AE1700">
        <v>-1.04619999999999</v>
      </c>
      <c r="AF1700">
        <v>-2.4474602199645399</v>
      </c>
      <c r="AG1700">
        <v>-1.1029549062052</v>
      </c>
      <c r="AH1700">
        <v>44.013551149002602</v>
      </c>
      <c r="AI1700">
        <v>91.433286342223198</v>
      </c>
      <c r="AJ1700">
        <v>93.182766880190698</v>
      </c>
      <c r="AK1700">
        <v>44.095342790359403</v>
      </c>
    </row>
    <row r="1701" spans="1:37" x14ac:dyDescent="0.2">
      <c r="A1701" t="str">
        <f>"20200111153432570"</f>
        <v>20200111153432570</v>
      </c>
      <c r="B1701" t="str">
        <f>"1578728072557444"</f>
        <v>1578728072557444</v>
      </c>
      <c r="C1701" t="s">
        <v>37</v>
      </c>
      <c r="D1701">
        <v>4.567069</v>
      </c>
      <c r="E1701">
        <v>0.4865218</v>
      </c>
      <c r="F1701" t="s">
        <v>52</v>
      </c>
      <c r="G1701">
        <v>-381.69709999999998</v>
      </c>
      <c r="H1701" s="1">
        <v>-6.3365719999999897E-7</v>
      </c>
      <c r="I1701">
        <v>283.67860000000002</v>
      </c>
      <c r="J1701">
        <v>-337.40109999999999</v>
      </c>
      <c r="K1701">
        <v>1.1029549999999999</v>
      </c>
      <c r="L1701">
        <v>284.77370000000002</v>
      </c>
      <c r="M1701">
        <v>-0.99948649999999895</v>
      </c>
      <c r="N1701">
        <v>0</v>
      </c>
      <c r="O1701">
        <v>3.1826409999999999E-2</v>
      </c>
      <c r="P1701">
        <v>-0.99923709999999899</v>
      </c>
      <c r="Q1701">
        <v>3.727109E-2</v>
      </c>
      <c r="R1701">
        <v>1.167903E-2</v>
      </c>
      <c r="S1701">
        <v>-3.0058289999999999</v>
      </c>
      <c r="T1701">
        <v>-7.4319239999999995E-2</v>
      </c>
      <c r="U1701">
        <v>-7.3120119999999997E-2</v>
      </c>
      <c r="V1701">
        <v>-2.0121679999999999E-2</v>
      </c>
      <c r="W1701">
        <v>4.1027300000000003E-2</v>
      </c>
      <c r="X1701">
        <v>0.99895540000000005</v>
      </c>
      <c r="Y1701">
        <v>-5.6096939999999998E-2</v>
      </c>
      <c r="Z1701">
        <v>-1.479946E-3</v>
      </c>
      <c r="AA1701">
        <v>0.99842419999999998</v>
      </c>
      <c r="AB1701">
        <v>47</v>
      </c>
      <c r="AC1701">
        <v>-44.2959999999999</v>
      </c>
      <c r="AD1701">
        <v>-1.1029556336572</v>
      </c>
      <c r="AE1701">
        <v>-1.0951</v>
      </c>
      <c r="AF1701">
        <v>-2.5027868599482099</v>
      </c>
      <c r="AG1701">
        <v>-1.1029556336572</v>
      </c>
      <c r="AH1701">
        <v>44.211312524305498</v>
      </c>
      <c r="AI1701">
        <v>91.426798727297097</v>
      </c>
      <c r="AJ1701">
        <v>93.240035826493298</v>
      </c>
      <c r="AK1701">
        <v>44.295830597449701</v>
      </c>
    </row>
    <row r="1702" spans="1:37" x14ac:dyDescent="0.2">
      <c r="A1702" t="str">
        <f>"20200111153432580"</f>
        <v>20200111153432580</v>
      </c>
      <c r="B1702" t="str">
        <f>"1578728072577940"</f>
        <v>1578728072577940</v>
      </c>
      <c r="C1702" t="s">
        <v>37</v>
      </c>
      <c r="D1702">
        <v>4.5652540000000004</v>
      </c>
      <c r="E1702">
        <v>0.48656319999999997</v>
      </c>
      <c r="F1702" t="s">
        <v>52</v>
      </c>
      <c r="G1702">
        <v>-382.1395</v>
      </c>
      <c r="H1702" s="1">
        <v>-3.9825029999999999E-7</v>
      </c>
      <c r="I1702">
        <v>283.6728</v>
      </c>
      <c r="J1702">
        <v>-337.64370000000002</v>
      </c>
      <c r="K1702">
        <v>1.1029579999999899</v>
      </c>
      <c r="L1702">
        <v>284.78149999999999</v>
      </c>
      <c r="M1702">
        <v>-0.9994864</v>
      </c>
      <c r="N1702">
        <v>0</v>
      </c>
      <c r="O1702">
        <v>3.1828509999999997E-2</v>
      </c>
      <c r="P1702">
        <v>-0.99923059999999997</v>
      </c>
      <c r="Q1702">
        <v>3.7504969999999999E-2</v>
      </c>
      <c r="R1702">
        <v>1.1483139999999999E-2</v>
      </c>
      <c r="S1702">
        <v>-3.0059200000000001</v>
      </c>
      <c r="T1702">
        <v>-7.410622E-2</v>
      </c>
      <c r="U1702">
        <v>-7.3974609999999996E-2</v>
      </c>
      <c r="V1702">
        <v>-2.0320109999999999E-2</v>
      </c>
      <c r="W1702">
        <v>4.1268369999999999E-2</v>
      </c>
      <c r="X1702">
        <v>0.99894139999999998</v>
      </c>
      <c r="Y1702">
        <v>-5.6382050000000003E-2</v>
      </c>
      <c r="Z1702">
        <v>-1.479221E-3</v>
      </c>
      <c r="AA1702">
        <v>0.99840819999999997</v>
      </c>
      <c r="AB1702">
        <v>47</v>
      </c>
      <c r="AC1702">
        <v>-44.495799999999903</v>
      </c>
      <c r="AD1702">
        <v>-1.1029583982503</v>
      </c>
      <c r="AE1702">
        <v>-1.10869999999999</v>
      </c>
      <c r="AF1702">
        <v>-2.5228339380202098</v>
      </c>
      <c r="AG1702">
        <v>-1.1029583982503</v>
      </c>
      <c r="AH1702">
        <v>44.410696312985301</v>
      </c>
      <c r="AI1702">
        <v>91.420383409396507</v>
      </c>
      <c r="AJ1702">
        <v>93.251301219827994</v>
      </c>
      <c r="AK1702">
        <v>44.495967854529297</v>
      </c>
    </row>
    <row r="1703" spans="1:37" x14ac:dyDescent="0.2">
      <c r="A1703" t="str">
        <f>"20200111153432592"</f>
        <v>20200111153432592</v>
      </c>
      <c r="B1703" t="str">
        <f>"1578728072587701"</f>
        <v>1578728072587701</v>
      </c>
      <c r="C1703" t="s">
        <v>37</v>
      </c>
      <c r="D1703">
        <v>4.5575169999999998</v>
      </c>
      <c r="E1703">
        <v>0.4866491</v>
      </c>
      <c r="F1703" t="s">
        <v>52</v>
      </c>
      <c r="G1703">
        <v>-382.1069</v>
      </c>
      <c r="H1703" s="1">
        <v>-4.1559799999999999E-7</v>
      </c>
      <c r="I1703">
        <v>283.68369999999999</v>
      </c>
      <c r="J1703">
        <v>-337.90100000000001</v>
      </c>
      <c r="K1703">
        <v>1.1029639999999901</v>
      </c>
      <c r="L1703">
        <v>284.78969999999998</v>
      </c>
      <c r="M1703">
        <v>-0.99948619999999899</v>
      </c>
      <c r="N1703">
        <v>0</v>
      </c>
      <c r="O1703">
        <v>3.1830619999999997E-2</v>
      </c>
      <c r="P1703">
        <v>-0.99923300000000004</v>
      </c>
      <c r="Q1703">
        <v>3.7465859999999997E-2</v>
      </c>
      <c r="R1703">
        <v>1.139503E-2</v>
      </c>
      <c r="S1703">
        <v>-3.0059809999999998</v>
      </c>
      <c r="T1703">
        <v>-7.4566599999999997E-2</v>
      </c>
      <c r="U1703">
        <v>-7.421875E-2</v>
      </c>
      <c r="V1703">
        <v>-2.0411120000000001E-2</v>
      </c>
      <c r="W1703">
        <v>4.1237410000000002E-2</v>
      </c>
      <c r="X1703">
        <v>0.99894090000000002</v>
      </c>
      <c r="Y1703">
        <v>-5.6464319999999998E-2</v>
      </c>
      <c r="Z1703">
        <v>-1.4894489999999999E-3</v>
      </c>
      <c r="AA1703">
        <v>0.9984035</v>
      </c>
      <c r="AB1703">
        <v>48</v>
      </c>
      <c r="AC1703">
        <v>-44.2058999999999</v>
      </c>
      <c r="AD1703">
        <v>-1.1029644155979901</v>
      </c>
      <c r="AE1703">
        <v>-1.1059999999999901</v>
      </c>
      <c r="AF1703">
        <v>-2.5109885193735102</v>
      </c>
      <c r="AG1703">
        <v>-1.1029644155979901</v>
      </c>
      <c r="AH1703">
        <v>44.120845131865103</v>
      </c>
      <c r="AI1703">
        <v>91.429710050129998</v>
      </c>
      <c r="AJ1703">
        <v>93.257281630793202</v>
      </c>
      <c r="AK1703">
        <v>44.206001504281403</v>
      </c>
    </row>
    <row r="1704" spans="1:37" x14ac:dyDescent="0.2">
      <c r="A1704" t="str">
        <f>"20200111153432605"</f>
        <v>20200111153432605</v>
      </c>
      <c r="B1704" t="str">
        <f>"1578728072597460"</f>
        <v>1578728072597460</v>
      </c>
      <c r="C1704" t="s">
        <v>37</v>
      </c>
      <c r="D1704">
        <v>4.5570449999999996</v>
      </c>
      <c r="E1704">
        <v>0.48662860000000002</v>
      </c>
      <c r="F1704" t="s">
        <v>52</v>
      </c>
      <c r="G1704">
        <v>-381.99189999999999</v>
      </c>
      <c r="H1704" s="1">
        <v>-4.7681109999999901E-7</v>
      </c>
      <c r="I1704">
        <v>283.70679999999999</v>
      </c>
      <c r="J1704">
        <v>-338.14839999999998</v>
      </c>
      <c r="K1704">
        <v>1.102965</v>
      </c>
      <c r="L1704">
        <v>284.79750000000001</v>
      </c>
      <c r="M1704">
        <v>-0.99948609999999904</v>
      </c>
      <c r="N1704">
        <v>0</v>
      </c>
      <c r="O1704">
        <v>3.1832430000000002E-2</v>
      </c>
      <c r="P1704">
        <v>-0.99924629999999903</v>
      </c>
      <c r="Q1704">
        <v>3.715429E-2</v>
      </c>
      <c r="R1704">
        <v>1.125044E-2</v>
      </c>
      <c r="S1704">
        <v>-3.005951</v>
      </c>
      <c r="T1704">
        <v>-7.5195910000000005E-2</v>
      </c>
      <c r="U1704">
        <v>-7.3822020000000002E-2</v>
      </c>
      <c r="V1704">
        <v>-2.0558079999999999E-2</v>
      </c>
      <c r="W1704">
        <v>4.0934869999999998E-2</v>
      </c>
      <c r="X1704">
        <v>0.99895029999999996</v>
      </c>
      <c r="Y1704">
        <v>-5.6334269999999999E-2</v>
      </c>
      <c r="Z1704">
        <v>-1.500452E-3</v>
      </c>
      <c r="AA1704">
        <v>0.99841080000000004</v>
      </c>
      <c r="AB1704">
        <v>48</v>
      </c>
      <c r="AC1704">
        <v>-43.843499999999999</v>
      </c>
      <c r="AD1704">
        <v>-1.1029654768110999</v>
      </c>
      <c r="AE1704">
        <v>-1.09070000000002</v>
      </c>
      <c r="AF1704">
        <v>-2.4842311044275198</v>
      </c>
      <c r="AG1704">
        <v>-1.1029654768110999</v>
      </c>
      <c r="AH1704">
        <v>43.758884300398798</v>
      </c>
      <c r="AI1704">
        <v>91.441544103134902</v>
      </c>
      <c r="AJ1704">
        <v>93.249245078885394</v>
      </c>
      <c r="AK1704">
        <v>43.843219455680199</v>
      </c>
    </row>
    <row r="1705" spans="1:37" x14ac:dyDescent="0.2">
      <c r="A1705" t="str">
        <f>"20200111153432617"</f>
        <v>20200111153432617</v>
      </c>
      <c r="B1705" t="str">
        <f>"1578728072608196"</f>
        <v>1578728072608196</v>
      </c>
      <c r="C1705" t="s">
        <v>37</v>
      </c>
      <c r="D1705">
        <v>4.6281530000000002</v>
      </c>
      <c r="E1705">
        <v>0.48648940000000002</v>
      </c>
      <c r="F1705" t="s">
        <v>52</v>
      </c>
      <c r="G1705">
        <v>-381.3177</v>
      </c>
      <c r="H1705" s="1">
        <v>-8.3558009999999896E-7</v>
      </c>
      <c r="I1705">
        <v>283.72730000000001</v>
      </c>
      <c r="J1705">
        <v>-338.43819999999999</v>
      </c>
      <c r="K1705">
        <v>1.102965</v>
      </c>
      <c r="L1705">
        <v>284.80680000000001</v>
      </c>
      <c r="M1705">
        <v>-0.99948599999999999</v>
      </c>
      <c r="N1705">
        <v>0</v>
      </c>
      <c r="O1705">
        <v>3.183453E-2</v>
      </c>
      <c r="P1705">
        <v>-0.99925090000000005</v>
      </c>
      <c r="Q1705">
        <v>3.7034160000000003E-2</v>
      </c>
      <c r="R1705">
        <v>1.123799E-2</v>
      </c>
      <c r="S1705">
        <v>-3.005951</v>
      </c>
      <c r="T1705">
        <v>-7.6801419999999995E-2</v>
      </c>
      <c r="U1705">
        <v>-7.4523930000000002E-2</v>
      </c>
      <c r="V1705">
        <v>-2.0573419999999999E-2</v>
      </c>
      <c r="W1705">
        <v>4.0824329999999999E-2</v>
      </c>
      <c r="X1705">
        <v>0.99895449999999997</v>
      </c>
      <c r="Y1705">
        <v>-5.6568090000000001E-2</v>
      </c>
      <c r="Z1705">
        <v>-1.5355129999999901E-3</v>
      </c>
      <c r="AA1705">
        <v>0.9983976</v>
      </c>
      <c r="AB1705">
        <v>48</v>
      </c>
      <c r="AC1705">
        <v>-42.8795</v>
      </c>
      <c r="AD1705">
        <v>-1.1029658355801</v>
      </c>
      <c r="AE1705">
        <v>-1.0794999999999899</v>
      </c>
      <c r="AF1705">
        <v>-2.4423963645260698</v>
      </c>
      <c r="AG1705">
        <v>-1.1029658355801</v>
      </c>
      <c r="AH1705">
        <v>42.795103508610097</v>
      </c>
      <c r="AI1705">
        <v>91.473970013099304</v>
      </c>
      <c r="AJ1705">
        <v>93.266433587756595</v>
      </c>
      <c r="AK1705">
        <v>42.878930932901802</v>
      </c>
    </row>
    <row r="1706" spans="1:37" x14ac:dyDescent="0.2">
      <c r="A1706" t="str">
        <f>"20200111153432630"</f>
        <v>20200111153432630</v>
      </c>
      <c r="B1706" t="str">
        <f>"1578728072617956"</f>
        <v>1578728072617956</v>
      </c>
      <c r="C1706" t="s">
        <v>37</v>
      </c>
      <c r="D1706">
        <v>4.561356</v>
      </c>
      <c r="E1706">
        <v>0.4865448</v>
      </c>
      <c r="F1706" t="s">
        <v>52</v>
      </c>
      <c r="G1706">
        <v>-381.31049999999999</v>
      </c>
      <c r="H1706" s="1">
        <v>-8.394198E-7</v>
      </c>
      <c r="I1706">
        <v>283.72559999999999</v>
      </c>
      <c r="J1706">
        <v>-338.702</v>
      </c>
      <c r="K1706">
        <v>1.1029659999999999</v>
      </c>
      <c r="L1706">
        <v>284.8152</v>
      </c>
      <c r="M1706">
        <v>-0.99948599999999999</v>
      </c>
      <c r="N1706">
        <v>0</v>
      </c>
      <c r="O1706">
        <v>3.183598E-2</v>
      </c>
      <c r="P1706">
        <v>-0.99926319999999902</v>
      </c>
      <c r="Q1706">
        <v>3.6738149999999997E-2</v>
      </c>
      <c r="R1706">
        <v>1.1128030000000001E-2</v>
      </c>
      <c r="S1706">
        <v>-3.0059809999999998</v>
      </c>
      <c r="T1706">
        <v>-7.7334280000000005E-2</v>
      </c>
      <c r="U1706">
        <v>-7.5805659999999997E-2</v>
      </c>
      <c r="V1706">
        <v>-2.0685599999999998E-2</v>
      </c>
      <c r="W1706">
        <v>4.0537990000000003E-2</v>
      </c>
      <c r="X1706">
        <v>0.99896379999999996</v>
      </c>
      <c r="Y1706">
        <v>-5.6994200000000002E-2</v>
      </c>
      <c r="Z1706">
        <v>-1.5516579999999901E-3</v>
      </c>
      <c r="AA1706">
        <v>0.99837330000000002</v>
      </c>
      <c r="AB1706">
        <v>48</v>
      </c>
      <c r="AC1706">
        <v>-42.6084999999999</v>
      </c>
      <c r="AD1706">
        <v>-1.10296683941979</v>
      </c>
      <c r="AE1706">
        <v>-1.0896000000000099</v>
      </c>
      <c r="AF1706">
        <v>-2.4439041076105799</v>
      </c>
      <c r="AG1706">
        <v>-1.10296683941979</v>
      </c>
      <c r="AH1706">
        <v>42.523736938421102</v>
      </c>
      <c r="AI1706">
        <v>91.4833395325157</v>
      </c>
      <c r="AJ1706">
        <v>93.289257692802195</v>
      </c>
      <c r="AK1706">
        <v>42.6081847342044</v>
      </c>
    </row>
    <row r="1707" spans="1:37" x14ac:dyDescent="0.2">
      <c r="A1707" t="str">
        <f>"20200111153432644"</f>
        <v>20200111153432644</v>
      </c>
      <c r="B1707" t="str">
        <f>"1578728072637475"</f>
        <v>1578728072637475</v>
      </c>
      <c r="C1707" t="s">
        <v>37</v>
      </c>
      <c r="D1707">
        <v>4.556133</v>
      </c>
      <c r="E1707">
        <v>0.48660959999999998</v>
      </c>
      <c r="F1707" t="s">
        <v>52</v>
      </c>
      <c r="G1707">
        <v>-380.70659999999998</v>
      </c>
      <c r="H1707" s="1">
        <v>-1.1607880000000001E-6</v>
      </c>
      <c r="I1707">
        <v>283.75720000000001</v>
      </c>
      <c r="J1707">
        <v>-338.991999999999</v>
      </c>
      <c r="K1707">
        <v>1.102965</v>
      </c>
      <c r="L1707">
        <v>284.82440000000003</v>
      </c>
      <c r="M1707">
        <v>-0.99948599999999999</v>
      </c>
      <c r="N1707">
        <v>0</v>
      </c>
      <c r="O1707">
        <v>3.183743E-2</v>
      </c>
      <c r="P1707">
        <v>-0.99927659999999996</v>
      </c>
      <c r="Q1707">
        <v>3.6353360000000001E-2</v>
      </c>
      <c r="R1707">
        <v>1.118975E-2</v>
      </c>
      <c r="S1707">
        <v>-3.005951</v>
      </c>
      <c r="T1707">
        <v>-7.8931089999999995E-2</v>
      </c>
      <c r="U1707">
        <v>-7.5714110000000001E-2</v>
      </c>
      <c r="V1707">
        <v>-2.0626370000000002E-2</v>
      </c>
      <c r="W1707">
        <v>4.0164459999999999E-2</v>
      </c>
      <c r="X1707">
        <v>0.99898019999999998</v>
      </c>
      <c r="Y1707">
        <v>-5.6964290000000001E-2</v>
      </c>
      <c r="Z1707">
        <v>-1.5833479999999901E-3</v>
      </c>
      <c r="AA1707">
        <v>0.99837489999999995</v>
      </c>
      <c r="AB1707">
        <v>48</v>
      </c>
      <c r="AC1707">
        <v>-41.714599999999997</v>
      </c>
      <c r="AD1707">
        <v>-1.1029661607879999</v>
      </c>
      <c r="AE1707">
        <v>-1.0672000000000099</v>
      </c>
      <c r="AF1707">
        <v>-2.3930820726531099</v>
      </c>
      <c r="AG1707">
        <v>-1.1029661607879999</v>
      </c>
      <c r="AH1707">
        <v>41.630390412985697</v>
      </c>
      <c r="AI1707">
        <v>91.515153817333399</v>
      </c>
      <c r="AJ1707">
        <v>93.289970947878402</v>
      </c>
      <c r="AK1707">
        <v>41.713700172675999</v>
      </c>
    </row>
    <row r="1708" spans="1:37" x14ac:dyDescent="0.2">
      <c r="A1708" t="str">
        <f>"20200111153432657"</f>
        <v>20200111153432657</v>
      </c>
      <c r="B1708" t="str">
        <f>"1578728072648212"</f>
        <v>1578728072648212</v>
      </c>
      <c r="C1708" t="s">
        <v>37</v>
      </c>
      <c r="D1708">
        <v>4.5661740000000002</v>
      </c>
      <c r="E1708">
        <v>0.48656749999999999</v>
      </c>
      <c r="F1708" t="s">
        <v>52</v>
      </c>
      <c r="G1708">
        <v>-379.95170000000002</v>
      </c>
      <c r="H1708" s="1">
        <v>3.7589979999999999E-6</v>
      </c>
      <c r="I1708">
        <v>283.80360000000002</v>
      </c>
      <c r="J1708">
        <v>-339.30779999999999</v>
      </c>
      <c r="K1708">
        <v>1.1029599999999999</v>
      </c>
      <c r="L1708">
        <v>284.83449999999999</v>
      </c>
      <c r="M1708">
        <v>-0.99948590000000004</v>
      </c>
      <c r="N1708">
        <v>0</v>
      </c>
      <c r="O1708">
        <v>3.1839239999999998E-2</v>
      </c>
      <c r="P1708">
        <v>-0.99928919999999999</v>
      </c>
      <c r="Q1708">
        <v>3.5941819999999999E-2</v>
      </c>
      <c r="R1708">
        <v>1.13832999999999E-2</v>
      </c>
      <c r="S1708">
        <v>-3.005951</v>
      </c>
      <c r="T1708">
        <v>-8.0944180000000004E-2</v>
      </c>
      <c r="U1708">
        <v>-7.4920650000000005E-2</v>
      </c>
      <c r="V1708">
        <v>-2.0435680000000001E-2</v>
      </c>
      <c r="W1708">
        <v>3.9764710000000002E-2</v>
      </c>
      <c r="X1708">
        <v>0.99900009999999995</v>
      </c>
      <c r="Y1708">
        <v>-5.670124E-2</v>
      </c>
      <c r="Z1708">
        <v>-1.6202279999999901E-3</v>
      </c>
      <c r="AA1708">
        <v>0.99838989999999905</v>
      </c>
      <c r="AB1708">
        <v>48</v>
      </c>
      <c r="AC1708">
        <v>-40.643900000000002</v>
      </c>
      <c r="AD1708">
        <v>-1.102956241002</v>
      </c>
      <c r="AE1708">
        <v>-1.03089999999997</v>
      </c>
      <c r="AF1708">
        <v>-2.3227479836253502</v>
      </c>
      <c r="AG1708">
        <v>-1.102956241002</v>
      </c>
      <c r="AH1708">
        <v>40.560619597316503</v>
      </c>
      <c r="AI1708">
        <v>91.555101440471006</v>
      </c>
      <c r="AJ1708">
        <v>93.277525462946002</v>
      </c>
      <c r="AK1708">
        <v>40.642041444583199</v>
      </c>
    </row>
    <row r="1709" spans="1:37" x14ac:dyDescent="0.2">
      <c r="A1709" t="str">
        <f>"20200111153432670"</f>
        <v>20200111153432670</v>
      </c>
      <c r="B1709" t="str">
        <f>"1578728072667731"</f>
        <v>1578728072667731</v>
      </c>
      <c r="C1709" t="s">
        <v>37</v>
      </c>
      <c r="D1709">
        <v>4.5559649999999996</v>
      </c>
      <c r="E1709">
        <v>0.48662899999999998</v>
      </c>
      <c r="F1709" t="s">
        <v>52</v>
      </c>
      <c r="G1709">
        <v>-379.31509999999997</v>
      </c>
      <c r="H1709" s="1">
        <v>3.420229E-6</v>
      </c>
      <c r="I1709">
        <v>283.83859999999999</v>
      </c>
      <c r="J1709">
        <v>-339.56990000000002</v>
      </c>
      <c r="K1709">
        <v>1.1029579999999899</v>
      </c>
      <c r="L1709">
        <v>284.84280000000001</v>
      </c>
      <c r="M1709">
        <v>-0.99948570000000003</v>
      </c>
      <c r="N1709">
        <v>0</v>
      </c>
      <c r="O1709">
        <v>3.1840340000000002E-2</v>
      </c>
      <c r="P1709">
        <v>-0.99929519999999905</v>
      </c>
      <c r="Q1709">
        <v>3.5705679999999997E-2</v>
      </c>
      <c r="R1709">
        <v>1.16046E-2</v>
      </c>
      <c r="S1709">
        <v>-3.0059809999999998</v>
      </c>
      <c r="T1709">
        <v>-8.2871680000000003E-2</v>
      </c>
      <c r="U1709">
        <v>-7.4829099999999996E-2</v>
      </c>
      <c r="V1709">
        <v>-2.0215779999999999E-2</v>
      </c>
      <c r="W1709">
        <v>3.9539339999999999E-2</v>
      </c>
      <c r="X1709">
        <v>0.9990135</v>
      </c>
      <c r="Y1709">
        <v>-5.6670169999999999E-2</v>
      </c>
      <c r="Z1709">
        <v>-1.6583819999999999E-3</v>
      </c>
      <c r="AA1709">
        <v>0.99839159999999905</v>
      </c>
      <c r="AB1709">
        <v>48</v>
      </c>
      <c r="AC1709">
        <v>-39.745199999999897</v>
      </c>
      <c r="AD1709">
        <v>-1.1029545797710001</v>
      </c>
      <c r="AE1709">
        <v>-1.00420000000002</v>
      </c>
      <c r="AF1709">
        <v>-2.2674556564871402</v>
      </c>
      <c r="AG1709">
        <v>-1.1029545797710001</v>
      </c>
      <c r="AH1709">
        <v>39.662548754911199</v>
      </c>
      <c r="AI1709">
        <v>91.590301832860405</v>
      </c>
      <c r="AJ1709">
        <v>93.271962788477495</v>
      </c>
      <c r="AK1709">
        <v>39.742617398642501</v>
      </c>
    </row>
    <row r="1710" spans="1:37" x14ac:dyDescent="0.2">
      <c r="A1710" t="str">
        <f>"20200111153432683"</f>
        <v>20200111153432683</v>
      </c>
      <c r="B1710" t="str">
        <f>"1578728072677492"</f>
        <v>1578728072677492</v>
      </c>
      <c r="C1710" t="s">
        <v>37</v>
      </c>
      <c r="D1710">
        <v>4.5623259999999997</v>
      </c>
      <c r="E1710">
        <v>0.48657460000000002</v>
      </c>
      <c r="F1710" t="s">
        <v>52</v>
      </c>
      <c r="G1710">
        <v>-379.05889999999999</v>
      </c>
      <c r="H1710" s="1">
        <v>3.2839220000000002E-6</v>
      </c>
      <c r="I1710">
        <v>283.87709999999998</v>
      </c>
      <c r="J1710">
        <v>-339.82339999999999</v>
      </c>
      <c r="K1710">
        <v>1.1029549999999999</v>
      </c>
      <c r="L1710">
        <v>284.851</v>
      </c>
      <c r="M1710">
        <v>-0.99948559999999997</v>
      </c>
      <c r="N1710">
        <v>0</v>
      </c>
      <c r="O1710">
        <v>3.1841319999999999E-2</v>
      </c>
      <c r="P1710">
        <v>-0.99930229999999998</v>
      </c>
      <c r="Q1710">
        <v>3.5427510000000002E-2</v>
      </c>
      <c r="R1710">
        <v>1.183069E-2</v>
      </c>
      <c r="S1710">
        <v>-3.0060119999999899</v>
      </c>
      <c r="T1710">
        <v>-8.3959820000000004E-2</v>
      </c>
      <c r="U1710">
        <v>-7.3516849999999995E-2</v>
      </c>
      <c r="V1710">
        <v>-1.9991620000000002E-2</v>
      </c>
      <c r="W1710">
        <v>3.9271090000000002E-2</v>
      </c>
      <c r="X1710">
        <v>0.99902860000000004</v>
      </c>
      <c r="Y1710">
        <v>-5.6234609999999997E-2</v>
      </c>
      <c r="Z1710">
        <v>-1.674086E-3</v>
      </c>
      <c r="AA1710">
        <v>0.99841619999999998</v>
      </c>
      <c r="AB1710">
        <v>48</v>
      </c>
      <c r="AC1710">
        <v>-39.235500000000002</v>
      </c>
      <c r="AD1710">
        <v>-1.10295171607799</v>
      </c>
      <c r="AE1710">
        <v>-0.97390000000001398</v>
      </c>
      <c r="AF1710">
        <v>-2.2209714336734301</v>
      </c>
      <c r="AG1710">
        <v>-1.10295171607799</v>
      </c>
      <c r="AH1710">
        <v>39.153672899546898</v>
      </c>
      <c r="AI1710">
        <v>91.610996402274097</v>
      </c>
      <c r="AJ1710">
        <v>93.246593689362498</v>
      </c>
      <c r="AK1710">
        <v>39.232120999531801</v>
      </c>
    </row>
    <row r="1711" spans="1:37" x14ac:dyDescent="0.2">
      <c r="A1711" t="str">
        <f>"20200111153432695"</f>
        <v>20200111153432695</v>
      </c>
      <c r="B1711" t="str">
        <f>"1578728072688228"</f>
        <v>1578728072688228</v>
      </c>
      <c r="C1711" t="s">
        <v>37</v>
      </c>
      <c r="D1711">
        <v>4.5645809999999898</v>
      </c>
      <c r="E1711">
        <v>0.48657269999999903</v>
      </c>
      <c r="F1711" t="s">
        <v>52</v>
      </c>
      <c r="G1711">
        <v>-378.6497</v>
      </c>
      <c r="H1711" s="1">
        <v>3.066126E-6</v>
      </c>
      <c r="I1711">
        <v>283.9049</v>
      </c>
      <c r="J1711">
        <v>-340.11520000000002</v>
      </c>
      <c r="K1711">
        <v>1.102948</v>
      </c>
      <c r="L1711">
        <v>284.86020000000002</v>
      </c>
      <c r="M1711">
        <v>-0.99948559999999997</v>
      </c>
      <c r="N1711">
        <v>0</v>
      </c>
      <c r="O1711">
        <v>3.1842299999999997E-2</v>
      </c>
      <c r="P1711">
        <v>-0.99930529999999995</v>
      </c>
      <c r="Q1711">
        <v>3.5285030000000002E-2</v>
      </c>
      <c r="R1711">
        <v>1.200089E-2</v>
      </c>
      <c r="S1711">
        <v>-3.0059809999999998</v>
      </c>
      <c r="T1711">
        <v>-8.5391999999999996E-2</v>
      </c>
      <c r="U1711">
        <v>-7.3242189999999999E-2</v>
      </c>
      <c r="V1711">
        <v>-1.9822610000000001E-2</v>
      </c>
      <c r="W1711">
        <v>3.9140540000000001E-2</v>
      </c>
      <c r="X1711">
        <v>0.99903709999999901</v>
      </c>
      <c r="Y1711">
        <v>-5.6143510000000001E-2</v>
      </c>
      <c r="Z1711">
        <v>-1.701384E-3</v>
      </c>
      <c r="AA1711">
        <v>0.99842129999999996</v>
      </c>
      <c r="AB1711">
        <v>48</v>
      </c>
      <c r="AC1711">
        <v>-38.534499999999902</v>
      </c>
      <c r="AD1711">
        <v>-1.1029449338740001</v>
      </c>
      <c r="AE1711">
        <v>-0.95530000000002202</v>
      </c>
      <c r="AF1711">
        <v>-2.1800667454220801</v>
      </c>
      <c r="AG1711">
        <v>-1.1029449338740001</v>
      </c>
      <c r="AH1711">
        <v>38.4530571858974</v>
      </c>
      <c r="AI1711">
        <v>91.640325627168906</v>
      </c>
      <c r="AJ1711">
        <v>93.244866899631802</v>
      </c>
      <c r="AK1711">
        <v>38.530595446781597</v>
      </c>
    </row>
    <row r="1712" spans="1:37" x14ac:dyDescent="0.2">
      <c r="A1712" t="str">
        <f>"20200111153432707"</f>
        <v>20200111153432707</v>
      </c>
      <c r="B1712" t="str">
        <f>"1578728072697988"</f>
        <v>1578728072697988</v>
      </c>
      <c r="C1712" t="s">
        <v>37</v>
      </c>
      <c r="D1712">
        <v>4.5562620000000003</v>
      </c>
      <c r="E1712">
        <v>0.4865449</v>
      </c>
      <c r="F1712" t="s">
        <v>52</v>
      </c>
      <c r="G1712">
        <v>-378.69220000000001</v>
      </c>
      <c r="H1712" s="1">
        <v>3.0887479999999998E-6</v>
      </c>
      <c r="I1712">
        <v>283.92340000000002</v>
      </c>
      <c r="J1712">
        <v>-340.37699999999899</v>
      </c>
      <c r="K1712">
        <v>1.1029450000000001</v>
      </c>
      <c r="L1712">
        <v>284.86860000000001</v>
      </c>
      <c r="M1712">
        <v>-0.99948549999999903</v>
      </c>
      <c r="N1712">
        <v>0</v>
      </c>
      <c r="O1712">
        <v>3.1842919999999997E-2</v>
      </c>
      <c r="P1712">
        <v>-0.999304999999999</v>
      </c>
      <c r="Q1712">
        <v>3.513811E-2</v>
      </c>
      <c r="R1712">
        <v>1.245068E-2</v>
      </c>
      <c r="S1712">
        <v>-3.0060419999999999</v>
      </c>
      <c r="T1712">
        <v>-8.5945129999999995E-2</v>
      </c>
      <c r="U1712">
        <v>-7.2998049999999995E-2</v>
      </c>
      <c r="V1712">
        <v>-1.9373959999999999E-2</v>
      </c>
      <c r="W1712">
        <v>3.9004270000000001E-2</v>
      </c>
      <c r="X1712">
        <v>0.99905119999999903</v>
      </c>
      <c r="Y1712">
        <v>-5.6062180000000003E-2</v>
      </c>
      <c r="Z1712">
        <v>-1.71122299999999E-3</v>
      </c>
      <c r="AA1712">
        <v>0.99842580000000003</v>
      </c>
      <c r="AB1712">
        <v>48</v>
      </c>
      <c r="AC1712">
        <v>-38.315199999999997</v>
      </c>
      <c r="AD1712">
        <v>-1.102941911252</v>
      </c>
      <c r="AE1712">
        <v>-0.94519999999999904</v>
      </c>
      <c r="AF1712">
        <v>-2.1630062714502301</v>
      </c>
      <c r="AG1712">
        <v>-1.102941911252</v>
      </c>
      <c r="AH1712">
        <v>38.234008619450499</v>
      </c>
      <c r="AI1712">
        <v>91.6497249102095</v>
      </c>
      <c r="AJ1712">
        <v>93.237933319674099</v>
      </c>
      <c r="AK1712">
        <v>38.311023114792199</v>
      </c>
    </row>
    <row r="1713" spans="1:37" x14ac:dyDescent="0.2">
      <c r="A1713" t="str">
        <f>"20200111153432721"</f>
        <v>20200111153432721</v>
      </c>
      <c r="B1713" t="str">
        <f>"1578728072717508"</f>
        <v>1578728072717508</v>
      </c>
      <c r="C1713" t="s">
        <v>37</v>
      </c>
      <c r="D1713">
        <v>4.5544580000000003</v>
      </c>
      <c r="E1713">
        <v>0.4865236</v>
      </c>
      <c r="F1713" t="s">
        <v>52</v>
      </c>
      <c r="G1713">
        <v>-378.49599999999998</v>
      </c>
      <c r="H1713" s="1">
        <v>2.9843719999999998E-6</v>
      </c>
      <c r="I1713">
        <v>283.9588</v>
      </c>
      <c r="J1713">
        <v>-340.65629999999999</v>
      </c>
      <c r="K1713">
        <v>1.1029439999999999</v>
      </c>
      <c r="L1713">
        <v>284.8775</v>
      </c>
      <c r="M1713">
        <v>-0.99948539999999997</v>
      </c>
      <c r="N1713">
        <v>0</v>
      </c>
      <c r="O1713">
        <v>3.1843719999999999E-2</v>
      </c>
      <c r="P1713">
        <v>-0.99931789999999998</v>
      </c>
      <c r="Q1713">
        <v>3.4715910000000003E-2</v>
      </c>
      <c r="R1713">
        <v>1.260269E-2</v>
      </c>
      <c r="S1713">
        <v>-3.00607299999999</v>
      </c>
      <c r="T1713">
        <v>-8.6978079999999999E-2</v>
      </c>
      <c r="U1713">
        <v>-7.1746829999999998E-2</v>
      </c>
      <c r="V1713">
        <v>-1.9223250000000001E-2</v>
      </c>
      <c r="W1713">
        <v>3.8594030000000001E-2</v>
      </c>
      <c r="X1713">
        <v>0.99907000000000001</v>
      </c>
      <c r="Y1713">
        <v>-5.5646689999999999E-2</v>
      </c>
      <c r="Z1713">
        <v>-1.7257850000000001E-3</v>
      </c>
      <c r="AA1713">
        <v>0.99844900000000003</v>
      </c>
      <c r="AB1713">
        <v>48</v>
      </c>
      <c r="AC1713">
        <v>-37.839699999999901</v>
      </c>
      <c r="AD1713">
        <v>-1.102941015628</v>
      </c>
      <c r="AE1713">
        <v>-0.91870000000000096</v>
      </c>
      <c r="AF1713">
        <v>-2.1213986235069702</v>
      </c>
      <c r="AG1713">
        <v>-1.102941015628</v>
      </c>
      <c r="AH1713">
        <v>37.759193729274799</v>
      </c>
      <c r="AI1713">
        <v>91.670493501510194</v>
      </c>
      <c r="AJ1713">
        <v>93.215628606286401</v>
      </c>
      <c r="AK1713">
        <v>37.834818911799701</v>
      </c>
    </row>
    <row r="1714" spans="1:37" x14ac:dyDescent="0.2">
      <c r="A1714" t="str">
        <f>"20200111153432734"</f>
        <v>20200111153432734</v>
      </c>
      <c r="B1714" t="str">
        <f>"1578728072728244"</f>
        <v>1578728072728244</v>
      </c>
      <c r="C1714" t="s">
        <v>37</v>
      </c>
      <c r="D1714">
        <v>4.5608940000000002</v>
      </c>
      <c r="E1714">
        <v>0.48651919999999999</v>
      </c>
      <c r="F1714" t="s">
        <v>52</v>
      </c>
      <c r="G1714">
        <v>-378.02080000000001</v>
      </c>
      <c r="H1714" s="1">
        <v>2.7314479999999999E-6</v>
      </c>
      <c r="I1714">
        <v>283.98989999999998</v>
      </c>
      <c r="J1714">
        <v>-340.94310000000002</v>
      </c>
      <c r="K1714">
        <v>1.102943</v>
      </c>
      <c r="L1714">
        <v>284.88659999999999</v>
      </c>
      <c r="M1714">
        <v>-0.99948530000000002</v>
      </c>
      <c r="N1714">
        <v>0</v>
      </c>
      <c r="O1714">
        <v>3.1844169999999998E-2</v>
      </c>
      <c r="P1714">
        <v>-0.99931479999999995</v>
      </c>
      <c r="Q1714">
        <v>3.4717169999999999E-2</v>
      </c>
      <c r="R1714">
        <v>1.283961E-2</v>
      </c>
      <c r="S1714">
        <v>-3.0060119999999899</v>
      </c>
      <c r="T1714">
        <v>-8.8732839999999993E-2</v>
      </c>
      <c r="U1714">
        <v>-7.1411130000000003E-2</v>
      </c>
      <c r="V1714">
        <v>-1.8986960000000001E-2</v>
      </c>
      <c r="W1714">
        <v>3.8607839999999997E-2</v>
      </c>
      <c r="X1714">
        <v>0.99907400000000002</v>
      </c>
      <c r="Y1714">
        <v>-5.5534750000000001E-2</v>
      </c>
      <c r="Z1714">
        <v>-1.7589870000000001E-3</v>
      </c>
      <c r="AA1714">
        <v>0.99845519999999999</v>
      </c>
      <c r="AB1714">
        <v>49</v>
      </c>
      <c r="AC1714">
        <v>-37.077699999999901</v>
      </c>
      <c r="AD1714">
        <v>-1.102940268552</v>
      </c>
      <c r="AE1714">
        <v>-0.89670000000000905</v>
      </c>
      <c r="AF1714">
        <v>-2.0751275746242199</v>
      </c>
      <c r="AG1714">
        <v>-1.102940268552</v>
      </c>
      <c r="AH1714">
        <v>36.997621853747198</v>
      </c>
      <c r="AI1714">
        <v>91.704867255327599</v>
      </c>
      <c r="AJ1714">
        <v>93.210249829812696</v>
      </c>
      <c r="AK1714">
        <v>37.072181680066102</v>
      </c>
    </row>
    <row r="1715" spans="1:37" x14ac:dyDescent="0.2">
      <c r="A1715" t="str">
        <f>"20200111153432747"</f>
        <v>20200111153432747</v>
      </c>
      <c r="B1715" t="str">
        <f>"1578728072738003"</f>
        <v>1578728072738003</v>
      </c>
      <c r="C1715" t="s">
        <v>37</v>
      </c>
      <c r="D1715">
        <v>4.5574120000000002</v>
      </c>
      <c r="E1715">
        <v>0.48650260000000001</v>
      </c>
      <c r="F1715" t="s">
        <v>52</v>
      </c>
      <c r="G1715">
        <v>-378.07830000000001</v>
      </c>
      <c r="H1715" s="1">
        <v>2.762085E-6</v>
      </c>
      <c r="I1715">
        <v>284.012</v>
      </c>
      <c r="J1715">
        <v>-341.24220000000003</v>
      </c>
      <c r="K1715">
        <v>1.1029409999999999</v>
      </c>
      <c r="L1715">
        <v>284.89609999999999</v>
      </c>
      <c r="M1715">
        <v>-0.99948530000000002</v>
      </c>
      <c r="N1715">
        <v>0</v>
      </c>
      <c r="O1715">
        <v>3.1844610000000002E-2</v>
      </c>
      <c r="P1715">
        <v>-0.99931289999999995</v>
      </c>
      <c r="Q1715">
        <v>3.4684520000000003E-2</v>
      </c>
      <c r="R1715">
        <v>1.3073120000000001E-2</v>
      </c>
      <c r="S1715">
        <v>-3.00607299999999</v>
      </c>
      <c r="T1715">
        <v>-8.9282390000000003E-2</v>
      </c>
      <c r="U1715">
        <v>-7.0800779999999994E-2</v>
      </c>
      <c r="V1715">
        <v>-1.8754489999999999E-2</v>
      </c>
      <c r="W1715">
        <v>3.8588310000000001E-2</v>
      </c>
      <c r="X1715">
        <v>0.99907919999999995</v>
      </c>
      <c r="Y1715">
        <v>-5.5331709999999999E-2</v>
      </c>
      <c r="Z1715">
        <v>-1.7668429999999999E-3</v>
      </c>
      <c r="AA1715">
        <v>0.99846650000000003</v>
      </c>
      <c r="AB1715">
        <v>49</v>
      </c>
      <c r="AC1715">
        <v>-36.836099999999902</v>
      </c>
      <c r="AD1715">
        <v>-1.1029382379149999</v>
      </c>
      <c r="AE1715">
        <v>-0.88409999999998901</v>
      </c>
      <c r="AF1715">
        <v>-2.0548505415530101</v>
      </c>
      <c r="AG1715">
        <v>-1.1029382379149999</v>
      </c>
      <c r="AH1715">
        <v>36.7563301447884</v>
      </c>
      <c r="AI1715">
        <v>91.716066814419506</v>
      </c>
      <c r="AJ1715">
        <v>93.199771024148504</v>
      </c>
      <c r="AK1715">
        <v>36.830241503653802</v>
      </c>
    </row>
    <row r="1716" spans="1:37" x14ac:dyDescent="0.2">
      <c r="A1716" t="str">
        <f>"20200111153432760"</f>
        <v>20200111153432760</v>
      </c>
      <c r="B1716" t="str">
        <f>"1578728072747764"</f>
        <v>1578728072747764</v>
      </c>
      <c r="C1716" t="s">
        <v>37</v>
      </c>
      <c r="D1716">
        <v>4.5505089999999999</v>
      </c>
      <c r="E1716">
        <v>0.4864657</v>
      </c>
      <c r="F1716" t="s">
        <v>52</v>
      </c>
      <c r="G1716">
        <v>-378.31540000000001</v>
      </c>
      <c r="H1716" s="1">
        <v>2.88822999999999E-6</v>
      </c>
      <c r="I1716">
        <v>284.03089999999997</v>
      </c>
      <c r="J1716">
        <v>-341.51819999999998</v>
      </c>
      <c r="K1716">
        <v>1.10294</v>
      </c>
      <c r="L1716">
        <v>284.90499999999997</v>
      </c>
      <c r="M1716">
        <v>-0.99948530000000002</v>
      </c>
      <c r="N1716">
        <v>0</v>
      </c>
      <c r="O1716">
        <v>3.184476E-2</v>
      </c>
      <c r="P1716">
        <v>-0.99930849999999904</v>
      </c>
      <c r="Q1716">
        <v>3.4793879999999999E-2</v>
      </c>
      <c r="R1716">
        <v>1.313333E-2</v>
      </c>
      <c r="S1716">
        <v>-3.00607299999999</v>
      </c>
      <c r="T1716">
        <v>-8.9431759999999999E-2</v>
      </c>
      <c r="U1716">
        <v>-7.0159910000000006E-2</v>
      </c>
      <c r="V1716">
        <v>-1.8694369999999998E-2</v>
      </c>
      <c r="W1716">
        <v>3.871028E-2</v>
      </c>
      <c r="X1716">
        <v>0.99907559999999995</v>
      </c>
      <c r="Y1716">
        <v>-5.5119080000000001E-2</v>
      </c>
      <c r="Z1716">
        <v>-1.7666429999999901E-3</v>
      </c>
      <c r="AA1716">
        <v>0.99847819999999898</v>
      </c>
      <c r="AB1716">
        <v>49</v>
      </c>
      <c r="AC1716">
        <v>-36.797199999999997</v>
      </c>
      <c r="AD1716">
        <v>-1.10293711177</v>
      </c>
      <c r="AE1716">
        <v>-0.87409999999999799</v>
      </c>
      <c r="AF1716">
        <v>-2.0436285220567201</v>
      </c>
      <c r="AG1716">
        <v>-1.10293711177</v>
      </c>
      <c r="AH1716">
        <v>36.717732683930301</v>
      </c>
      <c r="AI1716">
        <v>91.717891468523803</v>
      </c>
      <c r="AJ1716">
        <v>93.185670703264705</v>
      </c>
      <c r="AK1716">
        <v>36.791096494359202</v>
      </c>
    </row>
    <row r="1717" spans="1:37" x14ac:dyDescent="0.2">
      <c r="A1717" t="str">
        <f>"20200111153432772"</f>
        <v>20200111153432772</v>
      </c>
      <c r="B1717" t="str">
        <f>"1578728072768261"</f>
        <v>1578728072768261</v>
      </c>
      <c r="C1717" t="s">
        <v>37</v>
      </c>
      <c r="D1717">
        <v>4.5687829999999998</v>
      </c>
      <c r="E1717">
        <v>0.48643249999999999</v>
      </c>
      <c r="F1717" t="s">
        <v>52</v>
      </c>
      <c r="G1717">
        <v>-378.66160000000002</v>
      </c>
      <c r="H1717" s="1">
        <v>3.0724629999999998E-6</v>
      </c>
      <c r="I1717">
        <v>284.03769999999997</v>
      </c>
      <c r="J1717">
        <v>-341.78149999999999</v>
      </c>
      <c r="K1717">
        <v>1.10294</v>
      </c>
      <c r="L1717">
        <v>284.91329999999999</v>
      </c>
      <c r="M1717">
        <v>-0.99948510000000002</v>
      </c>
      <c r="N1717">
        <v>0</v>
      </c>
      <c r="O1717">
        <v>3.184509E-2</v>
      </c>
      <c r="P1717">
        <v>-0.99931630000000005</v>
      </c>
      <c r="Q1717">
        <v>3.4552060000000002E-2</v>
      </c>
      <c r="R1717">
        <v>1.315651E-2</v>
      </c>
      <c r="S1717">
        <v>-3.0061040000000001</v>
      </c>
      <c r="T1717">
        <v>-8.9263560000000006E-2</v>
      </c>
      <c r="U1717">
        <v>-7.0190429999999998E-2</v>
      </c>
      <c r="V1717">
        <v>-1.8671670000000001E-2</v>
      </c>
      <c r="W1717">
        <v>3.8479670000000001E-2</v>
      </c>
      <c r="X1717">
        <v>0.99908490000000005</v>
      </c>
      <c r="Y1717">
        <v>-5.5129450000000003E-2</v>
      </c>
      <c r="Z1717">
        <v>-1.76346799999999E-3</v>
      </c>
      <c r="AA1717">
        <v>0.99847759999999997</v>
      </c>
      <c r="AB1717">
        <v>49</v>
      </c>
      <c r="AC1717">
        <v>-36.880099999999999</v>
      </c>
      <c r="AD1717">
        <v>-1.102936927537</v>
      </c>
      <c r="AE1717">
        <v>-0.87560000000001903</v>
      </c>
      <c r="AF1717">
        <v>-2.0477846199541099</v>
      </c>
      <c r="AG1717">
        <v>-1.102936927537</v>
      </c>
      <c r="AH1717">
        <v>36.800616135981997</v>
      </c>
      <c r="AI1717">
        <v>91.7140255864593</v>
      </c>
      <c r="AJ1717">
        <v>93.184961364850295</v>
      </c>
      <c r="AK1717">
        <v>36.874045610750997</v>
      </c>
    </row>
    <row r="1718" spans="1:37" x14ac:dyDescent="0.2">
      <c r="A1718" t="str">
        <f>"20200111153432783"</f>
        <v>20200111153432783</v>
      </c>
      <c r="B1718" t="str">
        <f>"1578728072778020"</f>
        <v>1578728072778020</v>
      </c>
      <c r="C1718" t="s">
        <v>37</v>
      </c>
      <c r="D1718">
        <v>4.5942829999999999</v>
      </c>
      <c r="E1718">
        <v>0.48641059999999903</v>
      </c>
      <c r="F1718" t="s">
        <v>52</v>
      </c>
      <c r="G1718">
        <v>-378.2432</v>
      </c>
      <c r="H1718" s="1">
        <v>2.849852E-6</v>
      </c>
      <c r="I1718">
        <v>284.05759999999998</v>
      </c>
      <c r="J1718">
        <v>-342.03019999999998</v>
      </c>
      <c r="K1718">
        <v>1.10294</v>
      </c>
      <c r="L1718">
        <v>284.92129999999997</v>
      </c>
      <c r="M1718">
        <v>-0.99948510000000002</v>
      </c>
      <c r="N1718">
        <v>0</v>
      </c>
      <c r="O1718">
        <v>3.1845239999999997E-2</v>
      </c>
      <c r="P1718">
        <v>-0.99931449999999999</v>
      </c>
      <c r="Q1718">
        <v>3.457143E-2</v>
      </c>
      <c r="R1718">
        <v>1.3243609999999999E-2</v>
      </c>
      <c r="S1718">
        <v>-3.0061339999999999</v>
      </c>
      <c r="T1718">
        <v>-9.0933079999999999E-2</v>
      </c>
      <c r="U1718">
        <v>-7.0556640000000004E-2</v>
      </c>
      <c r="V1718">
        <v>-1.8584460000000001E-2</v>
      </c>
      <c r="W1718">
        <v>3.8510639999999999E-2</v>
      </c>
      <c r="X1718">
        <v>0.99908539999999901</v>
      </c>
      <c r="Y1718">
        <v>-5.5249439999999997E-2</v>
      </c>
      <c r="Z1718">
        <v>-1.7982339999999999E-3</v>
      </c>
      <c r="AA1718">
        <v>0.998470999999999</v>
      </c>
      <c r="AB1718">
        <v>49</v>
      </c>
      <c r="AC1718">
        <v>-36.213000000000001</v>
      </c>
      <c r="AD1718">
        <v>-1.1029371501480001</v>
      </c>
      <c r="AE1718">
        <v>-0.86369999999999403</v>
      </c>
      <c r="AF1718">
        <v>-2.01461475478333</v>
      </c>
      <c r="AG1718">
        <v>-1.1029371501480001</v>
      </c>
      <c r="AH1718">
        <v>36.133628554975502</v>
      </c>
      <c r="AI1718">
        <v>91.745635016781705</v>
      </c>
      <c r="AJ1718">
        <v>93.191197331643096</v>
      </c>
      <c r="AK1718">
        <v>36.206549897999302</v>
      </c>
    </row>
    <row r="1719" spans="1:37" x14ac:dyDescent="0.2">
      <c r="A1719" t="str">
        <f>"20200111153432795"</f>
        <v>20200111153432795</v>
      </c>
      <c r="B1719" t="str">
        <f>"1578728072787779"</f>
        <v>1578728072787779</v>
      </c>
      <c r="C1719" t="s">
        <v>37</v>
      </c>
      <c r="D1719">
        <v>4.5821300000000003</v>
      </c>
      <c r="E1719">
        <v>0.48639009999999999</v>
      </c>
      <c r="F1719" t="s">
        <v>52</v>
      </c>
      <c r="G1719">
        <v>-378.54360000000003</v>
      </c>
      <c r="H1719" s="1">
        <v>3.009694E-6</v>
      </c>
      <c r="I1719">
        <v>284.065</v>
      </c>
      <c r="J1719">
        <v>-342.29719999999998</v>
      </c>
      <c r="K1719">
        <v>1.1029389999999999</v>
      </c>
      <c r="L1719">
        <v>284.92970000000003</v>
      </c>
      <c r="M1719">
        <v>-0.99948499999999996</v>
      </c>
      <c r="N1719">
        <v>0</v>
      </c>
      <c r="O1719">
        <v>3.1845030000000003E-2</v>
      </c>
      <c r="P1719">
        <v>-0.99930759999999996</v>
      </c>
      <c r="Q1719">
        <v>3.4762290000000001E-2</v>
      </c>
      <c r="R1719">
        <v>1.327131E-2</v>
      </c>
      <c r="S1719">
        <v>-3.0061339999999999</v>
      </c>
      <c r="T1719">
        <v>-9.0804460000000004E-2</v>
      </c>
      <c r="U1719">
        <v>-7.049561E-2</v>
      </c>
      <c r="V1719">
        <v>-1.855621E-2</v>
      </c>
      <c r="W1719">
        <v>3.871314E-2</v>
      </c>
      <c r="X1719">
        <v>0.99907800000000002</v>
      </c>
      <c r="Y1719">
        <v>-5.5229090000000002E-2</v>
      </c>
      <c r="Z1719">
        <v>-1.7953789999999999E-3</v>
      </c>
      <c r="AA1719">
        <v>0.99847209999999997</v>
      </c>
      <c r="AB1719">
        <v>49</v>
      </c>
      <c r="AC1719">
        <v>-36.246400000000001</v>
      </c>
      <c r="AD1719">
        <v>-1.1029359903059901</v>
      </c>
      <c r="AE1719">
        <v>-0.864700000000027</v>
      </c>
      <c r="AF1719">
        <v>-2.0166719450602901</v>
      </c>
      <c r="AG1719">
        <v>-1.1029359903059901</v>
      </c>
      <c r="AH1719">
        <v>36.167011082890099</v>
      </c>
      <c r="AI1719">
        <v>91.744022415200106</v>
      </c>
      <c r="AJ1719">
        <v>93.191506812418993</v>
      </c>
      <c r="AK1719">
        <v>36.239979638551098</v>
      </c>
    </row>
    <row r="1720" spans="1:37" x14ac:dyDescent="0.2">
      <c r="A1720" t="str">
        <f>"20200111153432810"</f>
        <v>20200111153432810</v>
      </c>
      <c r="B1720" t="str">
        <f>"1578728072797541"</f>
        <v>1578728072797541</v>
      </c>
      <c r="C1720" t="s">
        <v>37</v>
      </c>
      <c r="D1720">
        <v>4.5885179999999997</v>
      </c>
      <c r="E1720">
        <v>0.48631199999999902</v>
      </c>
      <c r="F1720" t="s">
        <v>52</v>
      </c>
      <c r="G1720">
        <v>-378.8947</v>
      </c>
      <c r="H1720" s="1">
        <v>3.196508E-6</v>
      </c>
      <c r="I1720">
        <v>284.07</v>
      </c>
      <c r="J1720">
        <v>-342.60750000000002</v>
      </c>
      <c r="K1720">
        <v>1.1029389999999999</v>
      </c>
      <c r="L1720">
        <v>284.93959999999998</v>
      </c>
      <c r="M1720">
        <v>-0.99948510000000002</v>
      </c>
      <c r="N1720">
        <v>0</v>
      </c>
      <c r="O1720">
        <v>3.1843150000000001E-2</v>
      </c>
      <c r="P1720">
        <v>-0.99931009999999998</v>
      </c>
      <c r="Q1720">
        <v>3.4679000000000001E-2</v>
      </c>
      <c r="R1720">
        <v>1.330658E-2</v>
      </c>
      <c r="S1720">
        <v>-3.0061650000000002</v>
      </c>
      <c r="T1720">
        <v>-9.0596560000000007E-2</v>
      </c>
      <c r="U1720">
        <v>-7.0617680000000002E-2</v>
      </c>
      <c r="V1720">
        <v>-1.8519580000000001E-2</v>
      </c>
      <c r="W1720">
        <v>3.8644049999999999E-2</v>
      </c>
      <c r="X1720">
        <v>0.99908140000000001</v>
      </c>
      <c r="Y1720">
        <v>-5.5267650000000001E-2</v>
      </c>
      <c r="Z1720">
        <v>-1.791775E-3</v>
      </c>
      <c r="AA1720">
        <v>0.99846990000000002</v>
      </c>
      <c r="AB1720">
        <v>49</v>
      </c>
      <c r="AC1720">
        <v>-36.287199999999899</v>
      </c>
      <c r="AD1720">
        <v>-1.1029358034919901</v>
      </c>
      <c r="AE1720">
        <v>-0.86959999999999105</v>
      </c>
      <c r="AF1720">
        <v>-2.0227990798291899</v>
      </c>
      <c r="AG1720">
        <v>-1.1029358034919901</v>
      </c>
      <c r="AH1720">
        <v>36.207676015864102</v>
      </c>
      <c r="AI1720">
        <v>91.742054285959</v>
      </c>
      <c r="AJ1720">
        <v>93.197595449870704</v>
      </c>
      <c r="AK1720">
        <v>36.280903874817703</v>
      </c>
    </row>
    <row r="1721" spans="1:37" x14ac:dyDescent="0.2">
      <c r="A1721" t="str">
        <f>"20200111153432824"</f>
        <v>20200111153432824</v>
      </c>
      <c r="B1721" t="str">
        <f>"1578728072818037"</f>
        <v>1578728072818037</v>
      </c>
      <c r="C1721" t="s">
        <v>37</v>
      </c>
      <c r="D1721">
        <v>4.5719059999999896</v>
      </c>
      <c r="E1721">
        <v>0.48627280000000001</v>
      </c>
      <c r="F1721" t="s">
        <v>52</v>
      </c>
      <c r="G1721">
        <v>-378.87360000000001</v>
      </c>
      <c r="H1721" s="1">
        <v>3.1853030000000001E-6</v>
      </c>
      <c r="I1721">
        <v>284.0829</v>
      </c>
      <c r="J1721">
        <v>-342.93849999999998</v>
      </c>
      <c r="K1721">
        <v>1.10294</v>
      </c>
      <c r="L1721">
        <v>284.9502</v>
      </c>
      <c r="M1721">
        <v>-0.99948510000000002</v>
      </c>
      <c r="N1721">
        <v>0</v>
      </c>
      <c r="O1721">
        <v>3.1839109999999997E-2</v>
      </c>
      <c r="P1721">
        <v>-0.99929950000000001</v>
      </c>
      <c r="Q1721">
        <v>3.496958E-2</v>
      </c>
      <c r="R1721">
        <v>1.334862E-2</v>
      </c>
      <c r="S1721">
        <v>-3.006195</v>
      </c>
      <c r="T1721">
        <v>-9.1425419999999993E-2</v>
      </c>
      <c r="U1721">
        <v>-7.1014399999999894E-2</v>
      </c>
      <c r="V1721">
        <v>-1.8473630000000001E-2</v>
      </c>
      <c r="W1721">
        <v>3.8949480000000002E-2</v>
      </c>
      <c r="X1721">
        <v>0.99907040000000003</v>
      </c>
      <c r="Y1721">
        <v>-5.53943E-2</v>
      </c>
      <c r="Z1721">
        <v>-1.8099419999999999E-3</v>
      </c>
      <c r="AA1721">
        <v>0.99846290000000004</v>
      </c>
      <c r="AB1721">
        <v>49</v>
      </c>
      <c r="AC1721">
        <v>-35.935099999999998</v>
      </c>
      <c r="AD1721">
        <v>-1.102936814697</v>
      </c>
      <c r="AE1721">
        <v>-0.86729999999999996</v>
      </c>
      <c r="AF1721">
        <v>-2.0091193782886401</v>
      </c>
      <c r="AG1721">
        <v>-1.102936814697</v>
      </c>
      <c r="AH1721">
        <v>35.855509380334503</v>
      </c>
      <c r="AI1721">
        <v>91.759138962374095</v>
      </c>
      <c r="AJ1721">
        <v>93.207144776854307</v>
      </c>
      <c r="AK1721">
        <v>35.928687468604799</v>
      </c>
    </row>
    <row r="1722" spans="1:37" x14ac:dyDescent="0.2">
      <c r="A1722" t="str">
        <f>"20200111153432836"</f>
        <v>20200111153432836</v>
      </c>
      <c r="B1722" t="str">
        <f>"1578728072827796"</f>
        <v>1578728072827796</v>
      </c>
      <c r="C1722" t="s">
        <v>37</v>
      </c>
      <c r="D1722">
        <v>4.5165160000000002</v>
      </c>
      <c r="E1722">
        <v>0.46917999999999999</v>
      </c>
      <c r="F1722" t="s">
        <v>52</v>
      </c>
      <c r="G1722">
        <v>-379.61610000000002</v>
      </c>
      <c r="H1722" s="1">
        <v>3.580453E-6</v>
      </c>
      <c r="I1722">
        <v>284.08</v>
      </c>
      <c r="J1722">
        <v>-343.20800000000003</v>
      </c>
      <c r="K1722">
        <v>1.10294</v>
      </c>
      <c r="L1722">
        <v>284.9588</v>
      </c>
      <c r="M1722">
        <v>-0.99948519999999896</v>
      </c>
      <c r="N1722">
        <v>0</v>
      </c>
      <c r="O1722">
        <v>3.1834130000000002E-2</v>
      </c>
      <c r="P1722">
        <v>-0.99930370000000002</v>
      </c>
      <c r="Q1722">
        <v>3.5046960000000002E-2</v>
      </c>
      <c r="R1722">
        <v>1.280629E-2</v>
      </c>
      <c r="S1722">
        <v>-3.0062259999999998</v>
      </c>
      <c r="T1722">
        <v>-9.0400339999999996E-2</v>
      </c>
      <c r="U1722">
        <v>-7.1319579999999994E-2</v>
      </c>
      <c r="V1722">
        <v>-1.9010929999999999E-2</v>
      </c>
      <c r="W1722">
        <v>3.9039530000000003E-2</v>
      </c>
      <c r="X1722">
        <v>0.99905679999999997</v>
      </c>
      <c r="Y1722">
        <v>-5.5491249999999999E-2</v>
      </c>
      <c r="Z1722">
        <v>-1.790945E-3</v>
      </c>
      <c r="AA1722">
        <v>0.99845759999999995</v>
      </c>
      <c r="AB1722">
        <v>49</v>
      </c>
      <c r="AC1722">
        <v>-36.408099999999898</v>
      </c>
      <c r="AD1722">
        <v>-1.1029364195469999</v>
      </c>
      <c r="AE1722">
        <v>-0.87880000000001202</v>
      </c>
      <c r="AF1722">
        <v>-2.0355170787080801</v>
      </c>
      <c r="AG1722">
        <v>-1.1029364195469999</v>
      </c>
      <c r="AH1722">
        <v>36.328351336593201</v>
      </c>
      <c r="AI1722">
        <v>91.736256135669805</v>
      </c>
      <c r="AJ1722">
        <v>93.206991614845407</v>
      </c>
      <c r="AK1722">
        <v>36.4020454007496</v>
      </c>
    </row>
    <row r="1723" spans="1:37" x14ac:dyDescent="0.2">
      <c r="A1723" t="str">
        <f>"20200111153432850"</f>
        <v>20200111153432850</v>
      </c>
      <c r="B1723" t="str">
        <f>"1578728072838121"</f>
        <v>1578728072838121</v>
      </c>
      <c r="C1723" t="s">
        <v>37</v>
      </c>
      <c r="D1723">
        <v>4.5338440000000002</v>
      </c>
      <c r="E1723">
        <v>0.46809289999999998</v>
      </c>
      <c r="F1723" t="s">
        <v>52</v>
      </c>
      <c r="G1723">
        <v>-373.53179999999998</v>
      </c>
      <c r="H1723" s="1">
        <v>3.4266210000000002E-7</v>
      </c>
      <c r="I1723">
        <v>282.85090000000002</v>
      </c>
      <c r="J1723">
        <v>-343.49149999999997</v>
      </c>
      <c r="K1723">
        <v>1.102943</v>
      </c>
      <c r="L1723">
        <v>284.96780000000001</v>
      </c>
      <c r="M1723">
        <v>-0.99948559999999997</v>
      </c>
      <c r="N1723">
        <v>0</v>
      </c>
      <c r="O1723">
        <v>3.1825449999999998E-2</v>
      </c>
      <c r="P1723">
        <v>-0.99929449999999997</v>
      </c>
      <c r="Q1723">
        <v>3.535924E-2</v>
      </c>
      <c r="R1723">
        <v>1.2673500000000001E-2</v>
      </c>
      <c r="S1723">
        <v>-3.0086059999999999</v>
      </c>
      <c r="T1723">
        <v>-0.109429399999999</v>
      </c>
      <c r="U1723">
        <v>-0.20913699999999999</v>
      </c>
      <c r="V1723">
        <v>-1.91355E-2</v>
      </c>
      <c r="W1723">
        <v>3.936448E-2</v>
      </c>
      <c r="X1723">
        <v>0.99904169999999903</v>
      </c>
      <c r="Y1723">
        <v>-0.1009721</v>
      </c>
      <c r="Z1723">
        <v>-2.9894329999999901E-3</v>
      </c>
      <c r="AA1723">
        <v>0.99488480000000001</v>
      </c>
      <c r="AB1723">
        <v>49</v>
      </c>
      <c r="AC1723">
        <v>-30.040299999999998</v>
      </c>
      <c r="AD1723">
        <v>-1.1029426573379</v>
      </c>
      <c r="AE1723">
        <v>-2.1168999999999798</v>
      </c>
      <c r="AF1723">
        <v>-3.0677662245414901</v>
      </c>
      <c r="AG1723">
        <v>-1.1029426573379</v>
      </c>
      <c r="AH1723">
        <v>29.917580476554399</v>
      </c>
      <c r="AI1723">
        <v>92.100309119528902</v>
      </c>
      <c r="AJ1723">
        <v>95.854680191172406</v>
      </c>
      <c r="AK1723">
        <v>30.0946721810509</v>
      </c>
    </row>
    <row r="1724" spans="1:37" x14ac:dyDescent="0.2">
      <c r="A1724" t="str">
        <f>"20200111153432863"</f>
        <v>20200111153432863</v>
      </c>
      <c r="B1724" t="str">
        <f>"1578728072857630"</f>
        <v>1578728072857630</v>
      </c>
      <c r="C1724" t="s">
        <v>37</v>
      </c>
      <c r="D1724">
        <v>4.5856089999999998</v>
      </c>
      <c r="E1724">
        <v>0.4662018</v>
      </c>
      <c r="F1724" t="s">
        <v>52</v>
      </c>
      <c r="G1724">
        <v>-375.7199</v>
      </c>
      <c r="H1724" s="1">
        <v>1.507063E-6</v>
      </c>
      <c r="I1724">
        <v>282.63029999999998</v>
      </c>
      <c r="J1724">
        <v>-343.77910000000003</v>
      </c>
      <c r="K1724">
        <v>1.102954</v>
      </c>
      <c r="L1724">
        <v>284.9769</v>
      </c>
      <c r="M1724">
        <v>-0.99948579999999998</v>
      </c>
      <c r="N1724">
        <v>0</v>
      </c>
      <c r="O1724">
        <v>3.1814969999999998E-2</v>
      </c>
      <c r="P1724">
        <v>-0.99929650000000003</v>
      </c>
      <c r="Q1724">
        <v>3.5396619999999997E-2</v>
      </c>
      <c r="R1724">
        <v>1.241515E-2</v>
      </c>
      <c r="S1724">
        <v>-3.0085449999999998</v>
      </c>
      <c r="T1724">
        <v>-0.1029603</v>
      </c>
      <c r="U1724">
        <v>-0.2182007</v>
      </c>
      <c r="V1724">
        <v>-1.938318E-2</v>
      </c>
      <c r="W1724">
        <v>3.9415470000000001E-2</v>
      </c>
      <c r="X1724">
        <v>0.99903489999999995</v>
      </c>
      <c r="Y1724">
        <v>-0.10395309999999899</v>
      </c>
      <c r="Z1724">
        <v>-2.8631559999999999E-3</v>
      </c>
      <c r="AA1724">
        <v>0.99457809999999902</v>
      </c>
      <c r="AB1724">
        <v>49</v>
      </c>
      <c r="AC1724">
        <v>-31.9407999999999</v>
      </c>
      <c r="AD1724">
        <v>-1.102952492937</v>
      </c>
      <c r="AE1724">
        <v>-2.34660000000002</v>
      </c>
      <c r="AF1724">
        <v>-3.3576336201611001</v>
      </c>
      <c r="AG1724">
        <v>-1.102952492937</v>
      </c>
      <c r="AH1724">
        <v>31.812243645376</v>
      </c>
      <c r="AI1724">
        <v>91.974729087132005</v>
      </c>
      <c r="AJ1724">
        <v>96.024995344844399</v>
      </c>
      <c r="AK1724">
        <v>32.007952972373602</v>
      </c>
    </row>
    <row r="1725" spans="1:37" x14ac:dyDescent="0.2">
      <c r="A1725" t="str">
        <f>"20200111153432875"</f>
        <v>20200111153432875</v>
      </c>
      <c r="B1725" t="str">
        <f>"1578728072868366"</f>
        <v>1578728072868366</v>
      </c>
      <c r="C1725" t="s">
        <v>37</v>
      </c>
      <c r="D1725">
        <v>4.5731159999999997</v>
      </c>
      <c r="E1725">
        <v>0.46580929999999998</v>
      </c>
      <c r="F1725" t="s">
        <v>52</v>
      </c>
      <c r="G1725">
        <v>-374.94209999999998</v>
      </c>
      <c r="H1725" s="1">
        <v>1.0931430000000001E-6</v>
      </c>
      <c r="I1725">
        <v>282.55290000000002</v>
      </c>
      <c r="J1725">
        <v>-344.0609</v>
      </c>
      <c r="K1725">
        <v>1.1029610000000001</v>
      </c>
      <c r="L1725">
        <v>284.98590000000002</v>
      </c>
      <c r="M1725">
        <v>-0.99948609999999904</v>
      </c>
      <c r="N1725">
        <v>0</v>
      </c>
      <c r="O1725">
        <v>3.1801990000000002E-2</v>
      </c>
      <c r="P1725">
        <v>-0.9992936</v>
      </c>
      <c r="Q1725">
        <v>3.5533839999999997E-2</v>
      </c>
      <c r="R1725">
        <v>1.2249329999999999E-2</v>
      </c>
      <c r="S1725">
        <v>-3.0088200000000001</v>
      </c>
      <c r="T1725">
        <v>-0.10649119999999999</v>
      </c>
      <c r="U1725">
        <v>-0.23403930000000001</v>
      </c>
      <c r="V1725">
        <v>-1.9536459999999999E-2</v>
      </c>
      <c r="W1725">
        <v>3.9566030000000002E-2</v>
      </c>
      <c r="X1725">
        <v>0.99902590000000002</v>
      </c>
      <c r="Y1725">
        <v>-0.1091297</v>
      </c>
      <c r="Z1725">
        <v>-3.0514359999999998E-3</v>
      </c>
      <c r="AA1725">
        <v>0.99402279999999998</v>
      </c>
      <c r="AB1725">
        <v>50</v>
      </c>
      <c r="AC1725">
        <v>-30.8811999999999</v>
      </c>
      <c r="AD1725">
        <v>-1.102959906857</v>
      </c>
      <c r="AE1725">
        <v>-2.4329999999999901</v>
      </c>
      <c r="AF1725">
        <v>-3.40953835241501</v>
      </c>
      <c r="AG1725">
        <v>-1.102959906857</v>
      </c>
      <c r="AH1725">
        <v>30.749221593100099</v>
      </c>
      <c r="AI1725">
        <v>92.041788841895595</v>
      </c>
      <c r="AJ1725">
        <v>96.327230230381005</v>
      </c>
      <c r="AK1725">
        <v>30.9573270957668</v>
      </c>
    </row>
    <row r="1726" spans="1:37" x14ac:dyDescent="0.2">
      <c r="A1726" t="str">
        <f>"20200111153432887"</f>
        <v>20200111153432887</v>
      </c>
      <c r="B1726" t="str">
        <f>"1578728072878127"</f>
        <v>1578728072878127</v>
      </c>
      <c r="C1726" t="s">
        <v>37</v>
      </c>
      <c r="D1726">
        <v>4.5488530000000003</v>
      </c>
      <c r="E1726">
        <v>0.46553040000000001</v>
      </c>
      <c r="F1726" t="s">
        <v>52</v>
      </c>
      <c r="G1726">
        <v>-374.90719999999999</v>
      </c>
      <c r="H1726" s="1">
        <v>1.074561E-6</v>
      </c>
      <c r="I1726">
        <v>282.55</v>
      </c>
      <c r="J1726">
        <v>-344.32260000000002</v>
      </c>
      <c r="K1726">
        <v>1.1029679999999999</v>
      </c>
      <c r="L1726">
        <v>284.99419999999998</v>
      </c>
      <c r="M1726">
        <v>-0.9994864</v>
      </c>
      <c r="N1726">
        <v>0</v>
      </c>
      <c r="O1726">
        <v>3.1787339999999997E-2</v>
      </c>
      <c r="P1726">
        <v>-0.99928950000000005</v>
      </c>
      <c r="Q1726">
        <v>3.5708869999999997E-2</v>
      </c>
      <c r="R1726">
        <v>1.2067359999999999E-2</v>
      </c>
      <c r="S1726">
        <v>-3.0088499999999998</v>
      </c>
      <c r="T1726">
        <v>-0.1075866</v>
      </c>
      <c r="U1726">
        <v>-0.23760990000000001</v>
      </c>
      <c r="V1726">
        <v>-1.9703990000000001E-2</v>
      </c>
      <c r="W1726">
        <v>3.9753280000000002E-2</v>
      </c>
      <c r="X1726">
        <v>0.99901519999999999</v>
      </c>
      <c r="Y1726">
        <v>-0.1102841</v>
      </c>
      <c r="Z1726">
        <v>-3.1027139999999999E-3</v>
      </c>
      <c r="AA1726">
        <v>0.99389519999999998</v>
      </c>
      <c r="AB1726">
        <v>50</v>
      </c>
      <c r="AC1726">
        <v>-30.584599999999899</v>
      </c>
      <c r="AD1726">
        <v>-1.102966925439</v>
      </c>
      <c r="AE1726">
        <v>-2.44419999999996</v>
      </c>
      <c r="AF1726">
        <v>-3.4107682688333201</v>
      </c>
      <c r="AG1726">
        <v>-1.102966925439</v>
      </c>
      <c r="AH1726">
        <v>30.452096261485501</v>
      </c>
      <c r="AI1726">
        <v>92.061452397782901</v>
      </c>
      <c r="AJ1726">
        <v>96.390743360559895</v>
      </c>
      <c r="AK1726">
        <v>30.662355469550501</v>
      </c>
    </row>
    <row r="1727" spans="1:37" x14ac:dyDescent="0.2">
      <c r="A1727" t="str">
        <f>"20200111153432905"</f>
        <v>20200111153432905</v>
      </c>
      <c r="B1727" t="str">
        <f>"1578728072897646"</f>
        <v>1578728072897646</v>
      </c>
      <c r="C1727" t="s">
        <v>37</v>
      </c>
      <c r="D1727">
        <v>4.5682400000000003</v>
      </c>
      <c r="E1727">
        <v>0.46539839999999999</v>
      </c>
      <c r="F1727" t="s">
        <v>52</v>
      </c>
      <c r="G1727">
        <v>-374.97149999999999</v>
      </c>
      <c r="H1727" s="1">
        <v>1.108798E-6</v>
      </c>
      <c r="I1727">
        <v>282.54469999999998</v>
      </c>
      <c r="J1727">
        <v>-344.72809999999998</v>
      </c>
      <c r="K1727">
        <v>1.102986</v>
      </c>
      <c r="L1727">
        <v>285.00709999999998</v>
      </c>
      <c r="M1727">
        <v>-0.99948729999999997</v>
      </c>
      <c r="N1727">
        <v>0</v>
      </c>
      <c r="O1727">
        <v>3.1761400000000002E-2</v>
      </c>
      <c r="P1727">
        <v>-0.99927730000000003</v>
      </c>
      <c r="Q1727">
        <v>3.618209E-2</v>
      </c>
      <c r="R1727">
        <v>1.1656089999999999E-2</v>
      </c>
      <c r="S1727">
        <v>-3.0089109999999999</v>
      </c>
      <c r="T1727">
        <v>-0.108281999999999</v>
      </c>
      <c r="U1727">
        <v>-0.24047849999999901</v>
      </c>
      <c r="V1727">
        <v>-2.0089449999999998E-2</v>
      </c>
      <c r="W1727">
        <v>4.024498E-2</v>
      </c>
      <c r="X1727">
        <v>0.99898790000000004</v>
      </c>
      <c r="Y1727">
        <v>-0.11119660000000001</v>
      </c>
      <c r="Z1727">
        <v>-3.138034E-3</v>
      </c>
      <c r="AA1727">
        <v>0.9937935</v>
      </c>
      <c r="AB1727">
        <v>50</v>
      </c>
      <c r="AC1727">
        <v>-30.243400000000001</v>
      </c>
      <c r="AD1727">
        <v>-1.1029848912019999</v>
      </c>
      <c r="AE1727">
        <v>-2.4624000000000001</v>
      </c>
      <c r="AF1727">
        <v>-3.4172229769126599</v>
      </c>
      <c r="AG1727">
        <v>-1.1029848912019999</v>
      </c>
      <c r="AH1727">
        <v>30.110146248156099</v>
      </c>
      <c r="AI1727">
        <v>92.084532277951595</v>
      </c>
      <c r="AJ1727">
        <v>96.474836679484994</v>
      </c>
      <c r="AK1727">
        <v>30.323504013050801</v>
      </c>
    </row>
    <row r="1728" spans="1:37" x14ac:dyDescent="0.2">
      <c r="A1728" t="str">
        <f>"20200111153432920"</f>
        <v>20200111153432920</v>
      </c>
      <c r="B1728" t="str">
        <f>"1578728072908382"</f>
        <v>1578728072908382</v>
      </c>
      <c r="C1728" t="s">
        <v>37</v>
      </c>
      <c r="D1728">
        <v>4.5739049999999999</v>
      </c>
      <c r="E1728">
        <v>0.46543980000000001</v>
      </c>
      <c r="F1728" t="s">
        <v>52</v>
      </c>
      <c r="G1728">
        <v>-374.98050000000001</v>
      </c>
      <c r="H1728" s="1">
        <v>1.1135659999999999E-6</v>
      </c>
      <c r="I1728">
        <v>282.56689999999998</v>
      </c>
      <c r="J1728">
        <v>-345.04109999999997</v>
      </c>
      <c r="K1728">
        <v>1.1029979999999999</v>
      </c>
      <c r="L1728">
        <v>285.01710000000003</v>
      </c>
      <c r="M1728">
        <v>-0.99948780000000004</v>
      </c>
      <c r="N1728">
        <v>0</v>
      </c>
      <c r="O1728">
        <v>3.1739410000000003E-2</v>
      </c>
      <c r="P1728">
        <v>-0.99927379999999999</v>
      </c>
      <c r="Q1728">
        <v>3.6333709999999998E-2</v>
      </c>
      <c r="R1728">
        <v>1.1483780000000001E-2</v>
      </c>
      <c r="S1728">
        <v>-3.0089419999999998</v>
      </c>
      <c r="T1728">
        <v>-0.1097043</v>
      </c>
      <c r="U1728">
        <v>-0.24270630000000001</v>
      </c>
      <c r="V1728">
        <v>-2.0239839999999999E-2</v>
      </c>
      <c r="W1728">
        <v>4.0411740000000002E-2</v>
      </c>
      <c r="X1728">
        <v>0.99897809999999898</v>
      </c>
      <c r="Y1728">
        <v>-0.11190209999999901</v>
      </c>
      <c r="Z1728">
        <v>-3.191138E-3</v>
      </c>
      <c r="AA1728">
        <v>0.99371409999999905</v>
      </c>
      <c r="AB1728">
        <v>50</v>
      </c>
      <c r="AC1728">
        <v>-29.939399999999999</v>
      </c>
      <c r="AD1728">
        <v>-1.1029968864339901</v>
      </c>
      <c r="AE1728">
        <v>-2.4502000000000499</v>
      </c>
      <c r="AF1728">
        <v>-3.3946555937489298</v>
      </c>
      <c r="AG1728">
        <v>-1.1029968864339901</v>
      </c>
      <c r="AH1728">
        <v>29.806361292138199</v>
      </c>
      <c r="AI1728">
        <v>92.105687228094396</v>
      </c>
      <c r="AJ1728">
        <v>96.497437591553606</v>
      </c>
      <c r="AK1728">
        <v>30.019318150303199</v>
      </c>
    </row>
    <row r="1729" spans="1:37" x14ac:dyDescent="0.2">
      <c r="A1729" t="str">
        <f>"20200111153432933"</f>
        <v>20200111153432933</v>
      </c>
      <c r="B1729" t="str">
        <f>"1578728072927901"</f>
        <v>1578728072927901</v>
      </c>
      <c r="C1729" t="s">
        <v>37</v>
      </c>
      <c r="D1729">
        <v>4.5444820000000004</v>
      </c>
      <c r="E1729">
        <v>0.4651594</v>
      </c>
      <c r="F1729" t="s">
        <v>52</v>
      </c>
      <c r="G1729">
        <v>-375.31139999999999</v>
      </c>
      <c r="H1729" s="1">
        <v>1.289657E-6</v>
      </c>
      <c r="I1729">
        <v>282.57510000000002</v>
      </c>
      <c r="J1729">
        <v>-345.35930000000002</v>
      </c>
      <c r="K1729">
        <v>1.10301</v>
      </c>
      <c r="L1729">
        <v>285.02710000000002</v>
      </c>
      <c r="M1729">
        <v>-0.9994885</v>
      </c>
      <c r="N1729">
        <v>0</v>
      </c>
      <c r="O1729">
        <v>3.1713970000000001E-2</v>
      </c>
      <c r="P1729">
        <v>-0.99926459999999995</v>
      </c>
      <c r="Q1729">
        <v>3.6630030000000001E-2</v>
      </c>
      <c r="R1729">
        <v>1.1331580000000001E-2</v>
      </c>
      <c r="S1729">
        <v>-3.0089419999999998</v>
      </c>
      <c r="T1729">
        <v>-0.10964069999999999</v>
      </c>
      <c r="U1729">
        <v>-0.2427368</v>
      </c>
      <c r="V1729">
        <v>-2.0366769999999999E-2</v>
      </c>
      <c r="W1729">
        <v>4.072286E-2</v>
      </c>
      <c r="X1729">
        <v>0.99896289999999999</v>
      </c>
      <c r="Y1729">
        <v>-0.1118869</v>
      </c>
      <c r="Z1729">
        <v>-3.188087E-3</v>
      </c>
      <c r="AA1729">
        <v>0.99371580000000004</v>
      </c>
      <c r="AB1729">
        <v>50</v>
      </c>
      <c r="AC1729">
        <v>-29.952099999999898</v>
      </c>
      <c r="AD1729">
        <v>-1.103008710343</v>
      </c>
      <c r="AE1729">
        <v>-2.4519999999999902</v>
      </c>
      <c r="AF1729">
        <v>-3.3960997306820002</v>
      </c>
      <c r="AG1729">
        <v>-1.103008710343</v>
      </c>
      <c r="AH1729">
        <v>29.819100532588699</v>
      </c>
      <c r="AI1729">
        <v>92.104811047077504</v>
      </c>
      <c r="AJ1729">
        <v>96.497424808635202</v>
      </c>
      <c r="AK1729">
        <v>30.032130763042101</v>
      </c>
    </row>
    <row r="1730" spans="1:37" x14ac:dyDescent="0.2">
      <c r="A1730" t="str">
        <f>"20200111153432946"</f>
        <v>20200111153432946</v>
      </c>
      <c r="B1730" t="str">
        <f>"1578728072938529"</f>
        <v>1578728072938529</v>
      </c>
      <c r="C1730" t="s">
        <v>37</v>
      </c>
      <c r="D1730">
        <v>4.5570760000000003</v>
      </c>
      <c r="E1730">
        <v>0.4652483</v>
      </c>
      <c r="F1730" t="s">
        <v>52</v>
      </c>
      <c r="G1730">
        <v>-375.69779999999997</v>
      </c>
      <c r="H1730" s="1">
        <v>1.49532E-6</v>
      </c>
      <c r="I1730">
        <v>282.55329999999998</v>
      </c>
      <c r="J1730">
        <v>-345.64269999999999</v>
      </c>
      <c r="K1730">
        <v>1.103024</v>
      </c>
      <c r="L1730">
        <v>285.03609999999998</v>
      </c>
      <c r="M1730">
        <v>-0.99948930000000002</v>
      </c>
      <c r="N1730">
        <v>0</v>
      </c>
      <c r="O1730">
        <v>3.1690080000000002E-2</v>
      </c>
      <c r="P1730">
        <v>-0.99926099999999995</v>
      </c>
      <c r="Q1730">
        <v>3.6726340000000003E-2</v>
      </c>
      <c r="R1730">
        <v>1.135012E-2</v>
      </c>
      <c r="S1730">
        <v>-3.0090330000000001</v>
      </c>
      <c r="T1730">
        <v>-0.10939839999999899</v>
      </c>
      <c r="U1730">
        <v>-0.24536129999999901</v>
      </c>
      <c r="V1730">
        <v>-2.0323810000000001E-2</v>
      </c>
      <c r="W1730">
        <v>4.0832430000000003E-2</v>
      </c>
      <c r="X1730">
        <v>0.99895929999999999</v>
      </c>
      <c r="Y1730">
        <v>-0.11272169999999899</v>
      </c>
      <c r="Z1730">
        <v>-3.1951219999999999E-3</v>
      </c>
      <c r="AA1730">
        <v>0.99362150000000005</v>
      </c>
      <c r="AB1730">
        <v>50</v>
      </c>
      <c r="AC1730">
        <v>-30.0550999999999</v>
      </c>
      <c r="AD1730">
        <v>-1.10302250468</v>
      </c>
      <c r="AE1730">
        <v>-2.4827999999999899</v>
      </c>
      <c r="AF1730">
        <v>-3.4294217878731699</v>
      </c>
      <c r="AG1730">
        <v>-1.10302250468</v>
      </c>
      <c r="AH1730">
        <v>29.9212960090737</v>
      </c>
      <c r="AI1730">
        <v>92.097483480135807</v>
      </c>
      <c r="AJ1730">
        <v>96.538410218147504</v>
      </c>
      <c r="AK1730">
        <v>30.1373779102891</v>
      </c>
    </row>
    <row r="1731" spans="1:37" x14ac:dyDescent="0.2">
      <c r="A1731" t="str">
        <f>"20200111153432959"</f>
        <v>20200111153432959</v>
      </c>
      <c r="B1731" t="str">
        <f>"1578728072948267"</f>
        <v>1578728072948267</v>
      </c>
      <c r="C1731" t="s">
        <v>37</v>
      </c>
      <c r="D1731">
        <v>4.5558750000000003</v>
      </c>
      <c r="E1731">
        <v>0.46531919999999999</v>
      </c>
      <c r="F1731" t="s">
        <v>52</v>
      </c>
      <c r="G1731">
        <v>-375.82299999999998</v>
      </c>
      <c r="H1731" s="1">
        <v>1.561921E-6</v>
      </c>
      <c r="I1731">
        <v>282.58339999999998</v>
      </c>
      <c r="J1731">
        <v>-345.950999999999</v>
      </c>
      <c r="K1731">
        <v>1.103056</v>
      </c>
      <c r="L1731">
        <v>285.04590000000002</v>
      </c>
      <c r="M1731">
        <v>-0.99949009999999905</v>
      </c>
      <c r="N1731">
        <v>0</v>
      </c>
      <c r="O1731">
        <v>3.1663150000000001E-2</v>
      </c>
      <c r="P1731">
        <v>-0.99924099999999905</v>
      </c>
      <c r="Q1731">
        <v>3.7338690000000001E-2</v>
      </c>
      <c r="R1731">
        <v>1.11159E-2</v>
      </c>
      <c r="S1731">
        <v>-3.0090330000000001</v>
      </c>
      <c r="T1731">
        <v>-0.109973499999999</v>
      </c>
      <c r="U1731">
        <v>-0.24453739999999999</v>
      </c>
      <c r="V1731">
        <v>-2.0530960000000001E-2</v>
      </c>
      <c r="W1731">
        <v>4.1459419999999997E-2</v>
      </c>
      <c r="X1731">
        <v>0.99892919999999996</v>
      </c>
      <c r="Y1731">
        <v>-0.11242389999999999</v>
      </c>
      <c r="Z1731">
        <v>-3.2055270000000001E-3</v>
      </c>
      <c r="AA1731">
        <v>0.99365509999999901</v>
      </c>
      <c r="AB1731">
        <v>50</v>
      </c>
      <c r="AC1731">
        <v>-29.872</v>
      </c>
      <c r="AD1731">
        <v>-1.1030544380789999</v>
      </c>
      <c r="AE1731">
        <v>-2.4625000000000301</v>
      </c>
      <c r="AF1731">
        <v>-3.4025068111296801</v>
      </c>
      <c r="AG1731">
        <v>-1.1030544380789999</v>
      </c>
      <c r="AH1731">
        <v>29.738774589821499</v>
      </c>
      <c r="AI1731">
        <v>92.110454247099</v>
      </c>
      <c r="AJ1731">
        <v>96.527008912141</v>
      </c>
      <c r="AK1731">
        <v>29.9531049441851</v>
      </c>
    </row>
    <row r="1732" spans="1:37" x14ac:dyDescent="0.2">
      <c r="A1732" t="str">
        <f>"20200111153432972"</f>
        <v>20200111153432972</v>
      </c>
      <c r="B1732" t="str">
        <f>"1578728072967787"</f>
        <v>1578728072967787</v>
      </c>
      <c r="C1732" t="s">
        <v>37</v>
      </c>
      <c r="D1732">
        <v>4.5968640000000001</v>
      </c>
      <c r="E1732">
        <v>0.46539179999999902</v>
      </c>
      <c r="F1732" t="s">
        <v>52</v>
      </c>
      <c r="G1732">
        <v>-376.57749999999999</v>
      </c>
      <c r="H1732" s="1">
        <v>1.963403E-6</v>
      </c>
      <c r="I1732">
        <v>282.5557</v>
      </c>
      <c r="J1732">
        <v>-346.24009999999998</v>
      </c>
      <c r="K1732">
        <v>1.1030709999999999</v>
      </c>
      <c r="L1732">
        <v>285.05500000000001</v>
      </c>
      <c r="M1732">
        <v>-0.99949089999999996</v>
      </c>
      <c r="N1732">
        <v>0</v>
      </c>
      <c r="O1732">
        <v>3.1636230000000001E-2</v>
      </c>
      <c r="P1732">
        <v>-0.9992278</v>
      </c>
      <c r="Q1732">
        <v>3.7655639999999997E-2</v>
      </c>
      <c r="R1732">
        <v>1.121982E-2</v>
      </c>
      <c r="S1732">
        <v>-3.0090330000000001</v>
      </c>
      <c r="T1732">
        <v>-0.1083747</v>
      </c>
      <c r="U1732">
        <v>-0.2446594</v>
      </c>
      <c r="V1732">
        <v>-2.0400169999999999E-2</v>
      </c>
      <c r="W1732">
        <v>4.1790529999999999E-2</v>
      </c>
      <c r="X1732">
        <v>0.99891810000000003</v>
      </c>
      <c r="Y1732">
        <v>-0.1124399</v>
      </c>
      <c r="Z1732">
        <v>-3.1582699999999999E-3</v>
      </c>
      <c r="AA1732">
        <v>0.99365349999999997</v>
      </c>
      <c r="AB1732">
        <v>50</v>
      </c>
      <c r="AC1732">
        <v>-30.337399999999999</v>
      </c>
      <c r="AD1732">
        <v>-1.103069036597</v>
      </c>
      <c r="AE1732">
        <v>-2.4992999999999999</v>
      </c>
      <c r="AF1732">
        <v>-3.4532834722065799</v>
      </c>
      <c r="AG1732">
        <v>-1.103069036597</v>
      </c>
      <c r="AH1732">
        <v>30.203483820033298</v>
      </c>
      <c r="AI1732">
        <v>92.078057639778606</v>
      </c>
      <c r="AJ1732">
        <v>96.522529551743105</v>
      </c>
      <c r="AK1732">
        <v>30.4202623740482</v>
      </c>
    </row>
    <row r="1733" spans="1:37" x14ac:dyDescent="0.2">
      <c r="A1733" t="str">
        <f>"20200111153432985"</f>
        <v>20200111153432985</v>
      </c>
      <c r="B1733" t="str">
        <f>"1578728072977546"</f>
        <v>1578728072977546</v>
      </c>
      <c r="C1733" t="s">
        <v>37</v>
      </c>
      <c r="D1733">
        <v>4.5899809999999999</v>
      </c>
      <c r="E1733">
        <v>0.46534359999999902</v>
      </c>
      <c r="F1733" t="s">
        <v>52</v>
      </c>
      <c r="G1733">
        <v>-377.1696</v>
      </c>
      <c r="H1733" s="1">
        <v>2.2785299999999998E-6</v>
      </c>
      <c r="I1733">
        <v>282.55119999999999</v>
      </c>
      <c r="J1733">
        <v>-346.51850000000002</v>
      </c>
      <c r="K1733">
        <v>1.1030899999999999</v>
      </c>
      <c r="L1733">
        <v>285.06380000000001</v>
      </c>
      <c r="M1733">
        <v>-0.99949169999999998</v>
      </c>
      <c r="N1733">
        <v>0</v>
      </c>
      <c r="O1733">
        <v>3.1609779999999997E-2</v>
      </c>
      <c r="P1733">
        <v>-0.99922099999999903</v>
      </c>
      <c r="Q1733">
        <v>3.7873030000000002E-2</v>
      </c>
      <c r="R1733">
        <v>1.110007E-2</v>
      </c>
      <c r="S1733">
        <v>-3.0090939999999899</v>
      </c>
      <c r="T1733">
        <v>-0.1073161</v>
      </c>
      <c r="U1733">
        <v>-0.24359130000000001</v>
      </c>
      <c r="V1733">
        <v>-2.04938E-2</v>
      </c>
      <c r="W1733">
        <v>4.2022549999999999E-2</v>
      </c>
      <c r="X1733">
        <v>0.99890639999999997</v>
      </c>
      <c r="Y1733">
        <v>-0.1120636</v>
      </c>
      <c r="Z1733">
        <v>-3.1197820000000002E-3</v>
      </c>
      <c r="AA1733">
        <v>0.99369619999999903</v>
      </c>
      <c r="AB1733">
        <v>50</v>
      </c>
      <c r="AC1733">
        <v>-30.6510999999999</v>
      </c>
      <c r="AD1733">
        <v>-1.1030877214699999</v>
      </c>
      <c r="AE1733">
        <v>-2.5126000000000199</v>
      </c>
      <c r="AF1733">
        <v>-3.4757555814283498</v>
      </c>
      <c r="AG1733">
        <v>-1.1030877214699999</v>
      </c>
      <c r="AH1733">
        <v>30.517098426546799</v>
      </c>
      <c r="AI1733">
        <v>92.0568568736565</v>
      </c>
      <c r="AJ1733">
        <v>96.497722872260397</v>
      </c>
      <c r="AK1733">
        <v>30.7341987980593</v>
      </c>
    </row>
    <row r="1734" spans="1:37" x14ac:dyDescent="0.2">
      <c r="A1734" t="str">
        <f>"20200111153432998"</f>
        <v>20200111153432998</v>
      </c>
      <c r="B1734" t="str">
        <f>"1578728072988284"</f>
        <v>1578728072988284</v>
      </c>
      <c r="C1734" t="s">
        <v>37</v>
      </c>
      <c r="D1734">
        <v>4.6057959999999998</v>
      </c>
      <c r="E1734">
        <v>0.46540690000000001</v>
      </c>
      <c r="F1734" t="s">
        <v>52</v>
      </c>
      <c r="G1734">
        <v>-377.35770000000002</v>
      </c>
      <c r="H1734" s="1">
        <v>2.3786119999999999E-6</v>
      </c>
      <c r="I1734">
        <v>282.56200000000001</v>
      </c>
      <c r="J1734">
        <v>-346.80840000000001</v>
      </c>
      <c r="K1734">
        <v>1.103108</v>
      </c>
      <c r="L1734">
        <v>285.0729</v>
      </c>
      <c r="M1734">
        <v>-0.99949259999999995</v>
      </c>
      <c r="N1734">
        <v>0</v>
      </c>
      <c r="O1734">
        <v>3.1581890000000001E-2</v>
      </c>
      <c r="P1734">
        <v>-0.99920929999999997</v>
      </c>
      <c r="Q1734">
        <v>3.8244640000000003E-2</v>
      </c>
      <c r="R1734">
        <v>1.0886710000000001E-2</v>
      </c>
      <c r="S1734">
        <v>-3.009125</v>
      </c>
      <c r="T1734">
        <v>-0.107633399999999</v>
      </c>
      <c r="U1734">
        <v>-0.2441101</v>
      </c>
      <c r="V1734">
        <v>-2.0678749999999999E-2</v>
      </c>
      <c r="W1734">
        <v>4.2410829999999997E-2</v>
      </c>
      <c r="X1734">
        <v>0.99888619999999995</v>
      </c>
      <c r="Y1734">
        <v>-0.1122047</v>
      </c>
      <c r="Z1734">
        <v>-3.1304670000000001E-3</v>
      </c>
      <c r="AA1734">
        <v>0.99368020000000001</v>
      </c>
      <c r="AB1734">
        <v>50</v>
      </c>
      <c r="AC1734">
        <v>-30.549299999999999</v>
      </c>
      <c r="AD1734">
        <v>-1.1031056213879999</v>
      </c>
      <c r="AE1734">
        <v>-2.5108999999999901</v>
      </c>
      <c r="AF1734">
        <v>-3.4699663562147198</v>
      </c>
      <c r="AG1734">
        <v>-1.1031056213879999</v>
      </c>
      <c r="AH1734">
        <v>30.415369773449999</v>
      </c>
      <c r="AI1734">
        <v>92.063719628187002</v>
      </c>
      <c r="AJ1734">
        <v>96.508503415400796</v>
      </c>
      <c r="AK1734">
        <v>30.632535431806701</v>
      </c>
    </row>
    <row r="1735" spans="1:37" x14ac:dyDescent="0.2">
      <c r="A1735" t="str">
        <f>"20200111153433011"</f>
        <v>20200111153433011</v>
      </c>
      <c r="B1735" t="str">
        <f>"1578728073007802"</f>
        <v>1578728073007802</v>
      </c>
      <c r="C1735" t="s">
        <v>37</v>
      </c>
      <c r="D1735">
        <v>4.6087989999999897</v>
      </c>
      <c r="E1735">
        <v>0.46541629999999901</v>
      </c>
      <c r="F1735" t="s">
        <v>52</v>
      </c>
      <c r="G1735">
        <v>-377.84339999999997</v>
      </c>
      <c r="H1735" s="1">
        <v>2.6370749999999899E-6</v>
      </c>
      <c r="I1735">
        <v>282.55399999999997</v>
      </c>
      <c r="J1735">
        <v>-347.11149999999998</v>
      </c>
      <c r="K1735">
        <v>1.1031260000000001</v>
      </c>
      <c r="L1735">
        <v>285.08249999999998</v>
      </c>
      <c r="M1735">
        <v>-0.99949330000000003</v>
      </c>
      <c r="N1735">
        <v>0</v>
      </c>
      <c r="O1735">
        <v>3.1552440000000001E-2</v>
      </c>
      <c r="P1735">
        <v>-0.99916870000000002</v>
      </c>
      <c r="Q1735">
        <v>3.935193E-2</v>
      </c>
      <c r="R1735">
        <v>1.064262E-2</v>
      </c>
      <c r="S1735">
        <v>-3.009125</v>
      </c>
      <c r="T1735">
        <v>-0.106956</v>
      </c>
      <c r="U1735">
        <v>-0.24423220000000001</v>
      </c>
      <c r="V1735">
        <v>-2.0892540000000001E-2</v>
      </c>
      <c r="W1735">
        <v>4.3543230000000002E-2</v>
      </c>
      <c r="X1735">
        <v>0.99883310000000003</v>
      </c>
      <c r="Y1735">
        <v>-0.1122166</v>
      </c>
      <c r="Z1735">
        <v>-3.1099409999999902E-3</v>
      </c>
      <c r="AA1735">
        <v>0.99367890000000003</v>
      </c>
      <c r="AB1735">
        <v>50</v>
      </c>
      <c r="AC1735">
        <v>-30.7319</v>
      </c>
      <c r="AD1735">
        <v>-1.1031233629249999</v>
      </c>
      <c r="AE1735">
        <v>-2.52849999999995</v>
      </c>
      <c r="AF1735">
        <v>-3.4924463851914598</v>
      </c>
      <c r="AG1735">
        <v>-1.1031233629249999</v>
      </c>
      <c r="AH1735">
        <v>30.5976585689689</v>
      </c>
      <c r="AI1735">
        <v>92.051455598159805</v>
      </c>
      <c r="AJ1735">
        <v>96.511615224041407</v>
      </c>
      <c r="AK1735">
        <v>30.8160797768058</v>
      </c>
    </row>
    <row r="1736" spans="1:37" x14ac:dyDescent="0.2">
      <c r="A1736" t="str">
        <f>"20200111153433025"</f>
        <v>20200111153433025</v>
      </c>
      <c r="B1736" t="str">
        <f>"1578728073017563"</f>
        <v>1578728073017563</v>
      </c>
      <c r="C1736" t="s">
        <v>37</v>
      </c>
      <c r="D1736">
        <v>4.6134399999999998</v>
      </c>
      <c r="E1736">
        <v>0.46547630000000001</v>
      </c>
      <c r="F1736" t="s">
        <v>52</v>
      </c>
      <c r="G1736">
        <v>-378.46409999999997</v>
      </c>
      <c r="H1736" s="1">
        <v>2.9673680000000001E-6</v>
      </c>
      <c r="I1736">
        <v>282.53379999999999</v>
      </c>
      <c r="J1736">
        <v>-347.42529999999999</v>
      </c>
      <c r="K1736">
        <v>1.103148</v>
      </c>
      <c r="L1736">
        <v>285.0924</v>
      </c>
      <c r="M1736">
        <v>-0.99949429999999995</v>
      </c>
      <c r="N1736">
        <v>0</v>
      </c>
      <c r="O1736">
        <v>3.1521649999999998E-2</v>
      </c>
      <c r="P1736">
        <v>-0.99913159999999901</v>
      </c>
      <c r="Q1736">
        <v>4.0408300000000001E-2</v>
      </c>
      <c r="R1736">
        <v>1.017792E-2</v>
      </c>
      <c r="S1736">
        <v>-3.009277</v>
      </c>
      <c r="T1736">
        <v>-0.1058798</v>
      </c>
      <c r="U1736">
        <v>-0.24462889999999901</v>
      </c>
      <c r="V1736">
        <v>-2.1324929999999999E-2</v>
      </c>
      <c r="W1736">
        <v>4.4635550000000003E-2</v>
      </c>
      <c r="X1736">
        <v>0.99877569999999904</v>
      </c>
      <c r="Y1736">
        <v>-0.11231389999999999</v>
      </c>
      <c r="Z1736">
        <v>-3.079123E-3</v>
      </c>
      <c r="AA1736">
        <v>0.993668</v>
      </c>
      <c r="AB1736">
        <v>51</v>
      </c>
      <c r="AC1736">
        <v>-31.038799999999899</v>
      </c>
      <c r="AD1736">
        <v>-1.103145032632</v>
      </c>
      <c r="AE1736">
        <v>-2.55860000000001</v>
      </c>
      <c r="AF1736">
        <v>-3.5313008345897301</v>
      </c>
      <c r="AG1736">
        <v>-1.103145032632</v>
      </c>
      <c r="AH1736">
        <v>30.903950695852</v>
      </c>
      <c r="AI1736">
        <v>92.031151571376</v>
      </c>
      <c r="AJ1736">
        <v>96.518741677855701</v>
      </c>
      <c r="AK1736">
        <v>31.124607357508101</v>
      </c>
    </row>
    <row r="1737" spans="1:37" x14ac:dyDescent="0.2">
      <c r="A1737" t="str">
        <f>"20200111153433038"</f>
        <v>20200111153433038</v>
      </c>
      <c r="B1737" t="str">
        <f>"1578728073028299"</f>
        <v>1578728073028299</v>
      </c>
      <c r="C1737" t="s">
        <v>37</v>
      </c>
      <c r="D1737">
        <v>4.6506030000000003</v>
      </c>
      <c r="E1737">
        <v>0.46547899999999998</v>
      </c>
      <c r="F1737" t="s">
        <v>52</v>
      </c>
      <c r="G1737">
        <v>-379.54349999999999</v>
      </c>
      <c r="H1737" s="1">
        <v>3.5417720000000002E-6</v>
      </c>
      <c r="I1737">
        <v>282.47340000000003</v>
      </c>
      <c r="J1737">
        <v>-347.71600000000001</v>
      </c>
      <c r="K1737">
        <v>1.1031789999999999</v>
      </c>
      <c r="L1737">
        <v>285.10160000000002</v>
      </c>
      <c r="M1737">
        <v>-0.99949489999999996</v>
      </c>
      <c r="N1737">
        <v>0</v>
      </c>
      <c r="O1737">
        <v>3.1492510000000001E-2</v>
      </c>
      <c r="P1737">
        <v>-0.99903259999999905</v>
      </c>
      <c r="Q1737">
        <v>4.2988770000000003E-2</v>
      </c>
      <c r="R1737">
        <v>9.2887049999999995E-3</v>
      </c>
      <c r="S1737">
        <v>-3.009277</v>
      </c>
      <c r="T1737">
        <v>-0.10335799999999901</v>
      </c>
      <c r="U1737">
        <v>-0.24539179999999899</v>
      </c>
      <c r="V1737">
        <v>-2.2181880000000001E-2</v>
      </c>
      <c r="W1737">
        <v>4.725919E-2</v>
      </c>
      <c r="X1737">
        <v>0.99863639999999998</v>
      </c>
      <c r="Y1737">
        <v>-0.11253920000000001</v>
      </c>
      <c r="Z1737">
        <v>-3.008663E-3</v>
      </c>
      <c r="AA1737">
        <v>0.99364269999999999</v>
      </c>
      <c r="AB1737">
        <v>51</v>
      </c>
      <c r="AC1737">
        <v>-31.827499999999901</v>
      </c>
      <c r="AD1737">
        <v>-1.103175458228</v>
      </c>
      <c r="AE1737">
        <v>-2.6281999999999899</v>
      </c>
      <c r="AF1737">
        <v>-3.6249078891986599</v>
      </c>
      <c r="AG1737">
        <v>-1.103175458228</v>
      </c>
      <c r="AH1737">
        <v>31.6911279656597</v>
      </c>
      <c r="AI1737">
        <v>91.980769211325907</v>
      </c>
      <c r="AJ1737">
        <v>96.525271048525596</v>
      </c>
      <c r="AK1737">
        <v>31.916837954794801</v>
      </c>
    </row>
    <row r="1738" spans="1:37" x14ac:dyDescent="0.2">
      <c r="A1738" t="str">
        <f>"20200111153433051"</f>
        <v>20200111153433051</v>
      </c>
      <c r="B1738" t="str">
        <f>"1578728073047818"</f>
        <v>1578728073047818</v>
      </c>
      <c r="C1738" t="s">
        <v>37</v>
      </c>
      <c r="D1738">
        <v>4.6162199999999904</v>
      </c>
      <c r="E1738">
        <v>0.46547240000000001</v>
      </c>
      <c r="F1738" t="s">
        <v>52</v>
      </c>
      <c r="G1738">
        <v>-381.92140000000001</v>
      </c>
      <c r="H1738" s="1">
        <v>-5.1434379999999995E-7</v>
      </c>
      <c r="I1738">
        <v>282.28739999999999</v>
      </c>
      <c r="J1738">
        <v>-348.01459999999997</v>
      </c>
      <c r="K1738">
        <v>1.103205</v>
      </c>
      <c r="L1738">
        <v>285.11099999999999</v>
      </c>
      <c r="M1738">
        <v>-0.99949549999999998</v>
      </c>
      <c r="N1738">
        <v>0</v>
      </c>
      <c r="O1738">
        <v>3.1463129999999999E-2</v>
      </c>
      <c r="P1738">
        <v>-0.999021099999999</v>
      </c>
      <c r="Q1738">
        <v>4.336603E-2</v>
      </c>
      <c r="R1738">
        <v>8.7302869999999998E-3</v>
      </c>
      <c r="S1738">
        <v>-3.009369</v>
      </c>
      <c r="T1738">
        <v>-9.7057099999999993E-2</v>
      </c>
      <c r="U1738">
        <v>-0.24758910000000001</v>
      </c>
      <c r="V1738">
        <v>-2.271138E-2</v>
      </c>
      <c r="W1738">
        <v>4.7709290000000001E-2</v>
      </c>
      <c r="X1738">
        <v>0.99860300000000002</v>
      </c>
      <c r="Y1738">
        <v>-0.1132378</v>
      </c>
      <c r="Z1738">
        <v>-2.8354779999999998E-3</v>
      </c>
      <c r="AA1738">
        <v>0.99356390000000006</v>
      </c>
      <c r="AB1738">
        <v>51</v>
      </c>
      <c r="AC1738">
        <v>-33.906799999999997</v>
      </c>
      <c r="AD1738">
        <v>-1.1032055143438</v>
      </c>
      <c r="AE1738">
        <v>-2.8235999999999901</v>
      </c>
      <c r="AF1738">
        <v>-3.8849417950815899</v>
      </c>
      <c r="AG1738">
        <v>-1.1032055143438</v>
      </c>
      <c r="AH1738">
        <v>33.765673973041203</v>
      </c>
      <c r="AI1738">
        <v>91.859068878455105</v>
      </c>
      <c r="AJ1738">
        <v>96.563360402664699</v>
      </c>
      <c r="AK1738">
        <v>34.006331381255499</v>
      </c>
    </row>
    <row r="1739" spans="1:37" x14ac:dyDescent="0.2">
      <c r="A1739" t="str">
        <f>"20200111153433065"</f>
        <v>20200111153433065</v>
      </c>
      <c r="B1739" t="str">
        <f>"1578728073057578"</f>
        <v>1578728073057578</v>
      </c>
      <c r="C1739" t="s">
        <v>37</v>
      </c>
      <c r="D1739">
        <v>4.6505900000000002</v>
      </c>
      <c r="E1739">
        <v>0.4654161</v>
      </c>
      <c r="F1739" t="s">
        <v>52</v>
      </c>
      <c r="G1739">
        <v>-382.10169999999999</v>
      </c>
      <c r="H1739" s="1">
        <v>-4.1838979999999999E-7</v>
      </c>
      <c r="I1739">
        <v>282.28960000000001</v>
      </c>
      <c r="J1739">
        <v>-348.32900000000001</v>
      </c>
      <c r="K1739">
        <v>1.1032299999999999</v>
      </c>
      <c r="L1739">
        <v>285.12079999999997</v>
      </c>
      <c r="M1739">
        <v>-0.999496099999999</v>
      </c>
      <c r="N1739">
        <v>0</v>
      </c>
      <c r="O1739">
        <v>3.1432170000000002E-2</v>
      </c>
      <c r="P1739">
        <v>-0.99902049999999998</v>
      </c>
      <c r="Q1739">
        <v>4.352487E-2</v>
      </c>
      <c r="R1739">
        <v>8.0080120000000001E-3</v>
      </c>
      <c r="S1739">
        <v>-3.0093380000000001</v>
      </c>
      <c r="T1739">
        <v>-9.7395419999999996E-2</v>
      </c>
      <c r="U1739">
        <v>-0.24908449999999999</v>
      </c>
      <c r="V1739">
        <v>-2.340248E-2</v>
      </c>
      <c r="W1739">
        <v>4.7975070000000002E-2</v>
      </c>
      <c r="X1739">
        <v>0.99857430000000003</v>
      </c>
      <c r="Y1739">
        <v>-0.11369749999999899</v>
      </c>
      <c r="Z1739">
        <v>-2.8517529999999998E-3</v>
      </c>
      <c r="AA1739">
        <v>0.99351129999999999</v>
      </c>
      <c r="AB1739">
        <v>51</v>
      </c>
      <c r="AC1739">
        <v>-33.772699999999901</v>
      </c>
      <c r="AD1739">
        <v>-1.1032304183897901</v>
      </c>
      <c r="AE1739">
        <v>-2.83119999999996</v>
      </c>
      <c r="AF1739">
        <v>-3.8872415854231201</v>
      </c>
      <c r="AG1739">
        <v>-1.1032304183897901</v>
      </c>
      <c r="AH1739">
        <v>33.631383268372097</v>
      </c>
      <c r="AI1739">
        <v>91.866417002928202</v>
      </c>
      <c r="AJ1739">
        <v>96.593204384655394</v>
      </c>
      <c r="AK1739">
        <v>33.873259439322403</v>
      </c>
    </row>
    <row r="1740" spans="1:37" x14ac:dyDescent="0.2">
      <c r="A1740" t="str">
        <f>"20200111153433078"</f>
        <v>20200111153433078</v>
      </c>
      <c r="B1740" t="str">
        <f>"1578728073068315"</f>
        <v>1578728073068315</v>
      </c>
      <c r="C1740" t="s">
        <v>37</v>
      </c>
      <c r="D1740">
        <v>4.6526059999999996</v>
      </c>
      <c r="E1740">
        <v>0.46541260000000001</v>
      </c>
      <c r="F1740" t="s">
        <v>52</v>
      </c>
      <c r="G1740">
        <v>-382.32690000000002</v>
      </c>
      <c r="H1740" s="1">
        <v>-2.9851970000000003E-7</v>
      </c>
      <c r="I1740">
        <v>282.27609999999999</v>
      </c>
      <c r="J1740">
        <v>-348.63560000000001</v>
      </c>
      <c r="K1740">
        <v>1.1032629999999899</v>
      </c>
      <c r="L1740">
        <v>285.13049999999998</v>
      </c>
      <c r="M1740">
        <v>-0.99949650000000001</v>
      </c>
      <c r="N1740">
        <v>0</v>
      </c>
      <c r="O1740">
        <v>3.1401970000000001E-2</v>
      </c>
      <c r="P1740">
        <v>-0.99902579999999996</v>
      </c>
      <c r="Q1740">
        <v>4.3519429999999998E-2</v>
      </c>
      <c r="R1740">
        <v>7.3365189999999997E-3</v>
      </c>
      <c r="S1740">
        <v>-3.0092469999999998</v>
      </c>
      <c r="T1740">
        <v>-9.7649810000000004E-2</v>
      </c>
      <c r="U1740">
        <v>-0.25180049999999998</v>
      </c>
      <c r="V1740">
        <v>-2.4043709999999999E-2</v>
      </c>
      <c r="W1740">
        <v>4.8108419999999999E-2</v>
      </c>
      <c r="X1740">
        <v>0.99855269999999996</v>
      </c>
      <c r="Y1740">
        <v>-0.1145597</v>
      </c>
      <c r="Z1740">
        <v>-2.872164E-3</v>
      </c>
      <c r="AA1740">
        <v>0.99341219999999997</v>
      </c>
      <c r="AB1740">
        <v>51</v>
      </c>
      <c r="AC1740">
        <v>-33.691299999999998</v>
      </c>
      <c r="AD1740">
        <v>-1.1032632985197</v>
      </c>
      <c r="AE1740">
        <v>-2.8543999999999898</v>
      </c>
      <c r="AF1740">
        <v>-3.9068169211499599</v>
      </c>
      <c r="AG1740">
        <v>-1.1032632985197</v>
      </c>
      <c r="AH1740">
        <v>33.549330529872002</v>
      </c>
      <c r="AI1740">
        <v>91.870848862342896</v>
      </c>
      <c r="AJ1740">
        <v>96.642172942718403</v>
      </c>
      <c r="AK1740">
        <v>33.794052544254697</v>
      </c>
    </row>
    <row r="1741" spans="1:37" x14ac:dyDescent="0.2">
      <c r="A1741" t="str">
        <f>"20200111153433091"</f>
        <v>20200111153433091</v>
      </c>
      <c r="B1741" t="str">
        <f>"1578728073087834"</f>
        <v>1578728073087834</v>
      </c>
      <c r="C1741" t="s">
        <v>37</v>
      </c>
      <c r="D1741">
        <v>4.6664269999999997</v>
      </c>
      <c r="E1741">
        <v>0.465315799999999</v>
      </c>
      <c r="F1741" t="s">
        <v>52</v>
      </c>
      <c r="G1741">
        <v>-382.25490000000002</v>
      </c>
      <c r="H1741" s="1">
        <v>-3.3687430000000001E-7</v>
      </c>
      <c r="I1741">
        <v>282.29610000000002</v>
      </c>
      <c r="J1741">
        <v>-348.92669999999998</v>
      </c>
      <c r="K1741">
        <v>1.10331</v>
      </c>
      <c r="L1741">
        <v>285.13959999999997</v>
      </c>
      <c r="M1741">
        <v>-0.99949619999999995</v>
      </c>
      <c r="N1741">
        <v>0</v>
      </c>
      <c r="O1741">
        <v>3.1373249999999998E-2</v>
      </c>
      <c r="P1741">
        <v>-0.99904850000000001</v>
      </c>
      <c r="Q1741">
        <v>4.3090129999999997E-2</v>
      </c>
      <c r="R1741">
        <v>6.7248550000000001E-3</v>
      </c>
      <c r="S1741">
        <v>-3.009064</v>
      </c>
      <c r="T1741">
        <v>-9.8746780000000006E-2</v>
      </c>
      <c r="U1741">
        <v>-0.25369259999999999</v>
      </c>
      <c r="V1741">
        <v>-2.462725E-2</v>
      </c>
      <c r="W1741">
        <v>4.7885049999999998E-2</v>
      </c>
      <c r="X1741">
        <v>0.99854920000000003</v>
      </c>
      <c r="Y1741">
        <v>-0.115154399999999</v>
      </c>
      <c r="Z1741">
        <v>-2.9133140000000002E-3</v>
      </c>
      <c r="AA1741">
        <v>0.99334339999999999</v>
      </c>
      <c r="AB1741">
        <v>51</v>
      </c>
      <c r="AC1741">
        <v>-33.328200000000002</v>
      </c>
      <c r="AD1741">
        <v>-1.1033103368743</v>
      </c>
      <c r="AE1741">
        <v>-2.8434999999999402</v>
      </c>
      <c r="AF1741">
        <v>-3.8835010514444002</v>
      </c>
      <c r="AG1741">
        <v>-1.1033103368743</v>
      </c>
      <c r="AH1741">
        <v>33.1864762682087</v>
      </c>
      <c r="AI1741">
        <v>91.891245940678502</v>
      </c>
      <c r="AJ1741">
        <v>96.674430271045097</v>
      </c>
      <c r="AK1741">
        <v>33.4311393945286</v>
      </c>
    </row>
    <row r="1742" spans="1:37" x14ac:dyDescent="0.2">
      <c r="A1742" t="str">
        <f>"20200111153433106"</f>
        <v>20200111153433106</v>
      </c>
      <c r="B1742" t="str">
        <f>"1578728073097595"</f>
        <v>1578728073097595</v>
      </c>
      <c r="C1742" t="s">
        <v>37</v>
      </c>
      <c r="D1742">
        <v>4.6808430000000003</v>
      </c>
      <c r="E1742">
        <v>0.46527950000000001</v>
      </c>
      <c r="F1742" t="s">
        <v>52</v>
      </c>
      <c r="G1742">
        <v>-381.9076</v>
      </c>
      <c r="H1742" s="1">
        <v>-5.2167519999999995E-7</v>
      </c>
      <c r="I1742">
        <v>282.3338</v>
      </c>
      <c r="J1742">
        <v>-349.25970000000001</v>
      </c>
      <c r="K1742">
        <v>1.103378</v>
      </c>
      <c r="L1742">
        <v>285.14999999999998</v>
      </c>
      <c r="M1742">
        <v>-0.99949569999999999</v>
      </c>
      <c r="N1742">
        <v>0</v>
      </c>
      <c r="O1742">
        <v>3.1340590000000002E-2</v>
      </c>
      <c r="P1742">
        <v>-0.99910309999999902</v>
      </c>
      <c r="Q1742">
        <v>4.1964599999999998E-2</v>
      </c>
      <c r="R1742">
        <v>5.6698119999999998E-3</v>
      </c>
      <c r="S1742">
        <v>-3.0089109999999999</v>
      </c>
      <c r="T1742">
        <v>-0.10065729999999901</v>
      </c>
      <c r="U1742">
        <v>-0.25598139999999903</v>
      </c>
      <c r="V1742">
        <v>-2.565102E-2</v>
      </c>
      <c r="W1742">
        <v>4.7049149999999998E-2</v>
      </c>
      <c r="X1742">
        <v>0.99856319999999998</v>
      </c>
      <c r="Y1742">
        <v>-0.115873</v>
      </c>
      <c r="Z1742">
        <v>-2.980613E-3</v>
      </c>
      <c r="AA1742">
        <v>0.99325949999999996</v>
      </c>
      <c r="AB1742">
        <v>51</v>
      </c>
      <c r="AC1742">
        <v>-32.6478999999999</v>
      </c>
      <c r="AD1742">
        <v>-1.1033785216751999</v>
      </c>
      <c r="AE1742">
        <v>-2.8161999999999798</v>
      </c>
      <c r="AF1742">
        <v>-3.8336878893930799</v>
      </c>
      <c r="AG1742">
        <v>-1.1033785216751999</v>
      </c>
      <c r="AH1742">
        <v>32.506744535408203</v>
      </c>
      <c r="AI1742">
        <v>91.930677946693194</v>
      </c>
      <c r="AJ1742">
        <v>96.726117496046598</v>
      </c>
      <c r="AK1742">
        <v>32.750619036678799</v>
      </c>
    </row>
    <row r="1743" spans="1:37" x14ac:dyDescent="0.2">
      <c r="A1743" t="str">
        <f>"20200111153433120"</f>
        <v>20200111153433120</v>
      </c>
      <c r="B1743" t="str">
        <f>"1578728073108330"</f>
        <v>1578728073108330</v>
      </c>
      <c r="C1743" t="s">
        <v>37</v>
      </c>
      <c r="D1743">
        <v>4.6947650000000003</v>
      </c>
      <c r="E1743">
        <v>0.46526519999999999</v>
      </c>
      <c r="F1743" t="s">
        <v>52</v>
      </c>
      <c r="G1743">
        <v>-380.73970000000003</v>
      </c>
      <c r="H1743" s="1">
        <v>-1.1431449999999899E-6</v>
      </c>
      <c r="I1743">
        <v>282.43869999999998</v>
      </c>
      <c r="J1743">
        <v>-349.57089999999999</v>
      </c>
      <c r="K1743">
        <v>1.1034489999999999</v>
      </c>
      <c r="L1743">
        <v>285.15980000000002</v>
      </c>
      <c r="M1743">
        <v>-0.99949519999999903</v>
      </c>
      <c r="N1743">
        <v>0</v>
      </c>
      <c r="O1743">
        <v>3.1310339999999999E-2</v>
      </c>
      <c r="P1743">
        <v>-0.9991428</v>
      </c>
      <c r="Q1743">
        <v>4.104609E-2</v>
      </c>
      <c r="R1743">
        <v>5.4411669999999898E-3</v>
      </c>
      <c r="S1743">
        <v>-3.0086059999999999</v>
      </c>
      <c r="T1743">
        <v>-0.105452</v>
      </c>
      <c r="U1743">
        <v>-0.25912479999999999</v>
      </c>
      <c r="V1743">
        <v>-2.585076E-2</v>
      </c>
      <c r="W1743">
        <v>4.6458989999999999E-2</v>
      </c>
      <c r="X1743">
        <v>0.99858559999999996</v>
      </c>
      <c r="Y1743">
        <v>-0.116873</v>
      </c>
      <c r="Z1743">
        <v>-3.1391169999999999E-3</v>
      </c>
      <c r="AA1743">
        <v>0.99314190000000002</v>
      </c>
      <c r="AB1743">
        <v>51</v>
      </c>
      <c r="AC1743">
        <v>-31.168800000000001</v>
      </c>
      <c r="AD1743">
        <v>-1.1034501431449999</v>
      </c>
      <c r="AE1743">
        <v>-2.7211000000000301</v>
      </c>
      <c r="AF1743">
        <v>-3.6910945508409698</v>
      </c>
      <c r="AG1743">
        <v>-1.1034501431449999</v>
      </c>
      <c r="AH1743">
        <v>31.029721739768199</v>
      </c>
      <c r="AI1743">
        <v>92.022394920410207</v>
      </c>
      <c r="AJ1743">
        <v>96.783658243461502</v>
      </c>
      <c r="AK1743">
        <v>31.267961437373899</v>
      </c>
    </row>
    <row r="1744" spans="1:37" x14ac:dyDescent="0.2">
      <c r="A1744" t="str">
        <f>"20200111153433139"</f>
        <v>20200111153433139</v>
      </c>
      <c r="B1744" t="str">
        <f>"1578728073127850"</f>
        <v>1578728073127850</v>
      </c>
      <c r="C1744" t="s">
        <v>37</v>
      </c>
      <c r="D1744">
        <v>4.6700339999999896</v>
      </c>
      <c r="E1744">
        <v>0.46524779999999999</v>
      </c>
      <c r="F1744" t="s">
        <v>52</v>
      </c>
      <c r="G1744">
        <v>-380.07459999999998</v>
      </c>
      <c r="H1744" s="1">
        <v>-1.4971019999999899E-6</v>
      </c>
      <c r="I1744">
        <v>282.52350000000001</v>
      </c>
      <c r="J1744">
        <v>-350.02190000000002</v>
      </c>
      <c r="K1744">
        <v>1.1035740000000001</v>
      </c>
      <c r="L1744">
        <v>285.1739</v>
      </c>
      <c r="M1744">
        <v>-0.99949279999999996</v>
      </c>
      <c r="N1744">
        <v>0</v>
      </c>
      <c r="O1744">
        <v>3.1266269999999999E-2</v>
      </c>
      <c r="P1744">
        <v>-0.99923449999999903</v>
      </c>
      <c r="Q1744">
        <v>3.8774530000000001E-2</v>
      </c>
      <c r="R1744">
        <v>5.1942439999999998E-3</v>
      </c>
      <c r="S1744">
        <v>-3.0084529999999998</v>
      </c>
      <c r="T1744">
        <v>-0.1088287</v>
      </c>
      <c r="U1744">
        <v>-0.26000980000000001</v>
      </c>
      <c r="V1744">
        <v>-2.6056989999999999E-2</v>
      </c>
      <c r="W1744">
        <v>4.4818459999999997E-2</v>
      </c>
      <c r="X1744">
        <v>0.99865530000000002</v>
      </c>
      <c r="Y1744">
        <v>-0.1171176</v>
      </c>
      <c r="Z1744">
        <v>-3.2425219999999999E-3</v>
      </c>
      <c r="AA1744">
        <v>0.99311269999999996</v>
      </c>
      <c r="AB1744">
        <v>51</v>
      </c>
      <c r="AC1744">
        <v>-30.052699999999898</v>
      </c>
      <c r="AD1744">
        <v>-1.103575497102</v>
      </c>
      <c r="AE1744">
        <v>-2.6503999999999901</v>
      </c>
      <c r="AF1744">
        <v>-3.5839616385158499</v>
      </c>
      <c r="AG1744">
        <v>-1.103575497102</v>
      </c>
      <c r="AH1744">
        <v>29.915108870085401</v>
      </c>
      <c r="AI1744">
        <v>92.097709796035303</v>
      </c>
      <c r="AJ1744">
        <v>96.831725135553995</v>
      </c>
      <c r="AK1744">
        <v>30.149235456528899</v>
      </c>
    </row>
    <row r="1745" spans="1:37" x14ac:dyDescent="0.2">
      <c r="A1745" t="str">
        <f>"20200111153433153"</f>
        <v>20200111153433153</v>
      </c>
      <c r="B1745" t="str">
        <f>"1578728073148347"</f>
        <v>1578728073148347</v>
      </c>
      <c r="C1745" t="s">
        <v>37</v>
      </c>
      <c r="D1745">
        <v>4.6856269999999904</v>
      </c>
      <c r="E1745">
        <v>0.4652405</v>
      </c>
      <c r="F1745" t="s">
        <v>52</v>
      </c>
      <c r="G1745">
        <v>-378.49599999999998</v>
      </c>
      <c r="H1745" s="1">
        <v>2.984364E-6</v>
      </c>
      <c r="I1745">
        <v>282.70780000000002</v>
      </c>
      <c r="J1745">
        <v>-350.34589999999997</v>
      </c>
      <c r="K1745">
        <v>1.1036790000000001</v>
      </c>
      <c r="L1745">
        <v>285.18400000000003</v>
      </c>
      <c r="M1745">
        <v>-0.99949009999999905</v>
      </c>
      <c r="N1745">
        <v>0</v>
      </c>
      <c r="O1745">
        <v>3.1240649999999998E-2</v>
      </c>
      <c r="P1745">
        <v>-0.99928839999999997</v>
      </c>
      <c r="Q1745">
        <v>3.7373799999999999E-2</v>
      </c>
      <c r="R1745">
        <v>5.0835109999999998E-3</v>
      </c>
      <c r="S1745">
        <v>-3.0081479999999998</v>
      </c>
      <c r="T1745">
        <v>-0.1165866</v>
      </c>
      <c r="U1745">
        <v>-0.2605286</v>
      </c>
      <c r="V1745">
        <v>-2.614418E-2</v>
      </c>
      <c r="W1745">
        <v>4.3958629999999999E-2</v>
      </c>
      <c r="X1745">
        <v>0.9986912</v>
      </c>
      <c r="Y1745">
        <v>-0.1172566</v>
      </c>
      <c r="Z1745">
        <v>-3.475527E-3</v>
      </c>
      <c r="AA1745">
        <v>0.99309559999999997</v>
      </c>
      <c r="AB1745">
        <v>51</v>
      </c>
      <c r="AC1745">
        <v>-28.150099999999998</v>
      </c>
      <c r="AD1745">
        <v>-1.1036760156359999</v>
      </c>
      <c r="AE1745">
        <v>-2.4762</v>
      </c>
      <c r="AF1745">
        <v>-3.3493288975067901</v>
      </c>
      <c r="AG1745">
        <v>-1.1036760156359999</v>
      </c>
      <c r="AH1745">
        <v>28.0162640933261</v>
      </c>
      <c r="AI1745">
        <v>92.240016161931607</v>
      </c>
      <c r="AJ1745">
        <v>96.817323765044506</v>
      </c>
      <c r="AK1745">
        <v>28.237336251108399</v>
      </c>
    </row>
    <row r="1746" spans="1:37" x14ac:dyDescent="0.2">
      <c r="A1746" t="str">
        <f>"20200111153433165"</f>
        <v>20200111153433165</v>
      </c>
      <c r="B1746" t="str">
        <f>"1578728073158106"</f>
        <v>1578728073158106</v>
      </c>
      <c r="C1746" t="s">
        <v>37</v>
      </c>
      <c r="D1746">
        <v>4.6862349999999999</v>
      </c>
      <c r="E1746">
        <v>0.46529809999999999</v>
      </c>
      <c r="F1746" t="s">
        <v>52</v>
      </c>
      <c r="G1746">
        <v>-377.59120000000001</v>
      </c>
      <c r="H1746" s="1">
        <v>2.5028899999999999E-6</v>
      </c>
      <c r="I1746">
        <v>282.822</v>
      </c>
      <c r="J1746">
        <v>-350.61590000000001</v>
      </c>
      <c r="K1746">
        <v>1.103769</v>
      </c>
      <c r="L1746">
        <v>285.19240000000002</v>
      </c>
      <c r="M1746">
        <v>-0.99948760000000003</v>
      </c>
      <c r="N1746">
        <v>0</v>
      </c>
      <c r="O1746">
        <v>3.1219420000000001E-2</v>
      </c>
      <c r="P1746">
        <v>-0.99933300000000003</v>
      </c>
      <c r="Q1746">
        <v>3.6154110000000003E-2</v>
      </c>
      <c r="R1746">
        <v>5.1535390000000004E-3</v>
      </c>
      <c r="S1746">
        <v>-3.0080259999999899</v>
      </c>
      <c r="T1746">
        <v>-0.121851399999999</v>
      </c>
      <c r="U1746">
        <v>-0.26077270000000002</v>
      </c>
      <c r="V1746">
        <v>-2.6054560000000001E-2</v>
      </c>
      <c r="W1746">
        <v>4.320069E-2</v>
      </c>
      <c r="X1746">
        <v>0.99872659999999902</v>
      </c>
      <c r="Y1746">
        <v>-0.11730879999999901</v>
      </c>
      <c r="Z1746">
        <v>-3.63268599999999E-3</v>
      </c>
      <c r="AA1746">
        <v>0.99308879999999999</v>
      </c>
      <c r="AB1746">
        <v>51</v>
      </c>
      <c r="AC1746">
        <v>-26.975300000000001</v>
      </c>
      <c r="AD1746">
        <v>-1.1037664971100001</v>
      </c>
      <c r="AE1746">
        <v>-2.3704000000000098</v>
      </c>
      <c r="AF1746">
        <v>-3.2060920418215599</v>
      </c>
      <c r="AG1746">
        <v>-1.1037664971100001</v>
      </c>
      <c r="AH1746">
        <v>26.8435474190183</v>
      </c>
      <c r="AI1746">
        <v>92.337992253492104</v>
      </c>
      <c r="AJ1746">
        <v>96.810928061214895</v>
      </c>
      <c r="AK1746">
        <v>27.056854301597099</v>
      </c>
    </row>
    <row r="1747" spans="1:37" x14ac:dyDescent="0.2">
      <c r="A1747" t="str">
        <f>"20200111153433177"</f>
        <v>20200111153433177</v>
      </c>
      <c r="B1747" t="str">
        <f>"1578728073167866"</f>
        <v>1578728073167866</v>
      </c>
      <c r="C1747" t="s">
        <v>37</v>
      </c>
      <c r="D1747">
        <v>4.6919360000000001</v>
      </c>
      <c r="E1747">
        <v>0.46532559999999901</v>
      </c>
      <c r="F1747" t="s">
        <v>52</v>
      </c>
      <c r="G1747">
        <v>-376.89659999999998</v>
      </c>
      <c r="H1747" s="1">
        <v>2.1332210000000001E-6</v>
      </c>
      <c r="I1747">
        <v>282.92140000000001</v>
      </c>
      <c r="J1747">
        <v>-350.90390000000002</v>
      </c>
      <c r="K1747">
        <v>1.103858</v>
      </c>
      <c r="L1747">
        <v>285.20139999999998</v>
      </c>
      <c r="M1747">
        <v>-0.99948479999999995</v>
      </c>
      <c r="N1747">
        <v>0</v>
      </c>
      <c r="O1747">
        <v>3.1196370000000001E-2</v>
      </c>
      <c r="P1747">
        <v>-0.99938169999999904</v>
      </c>
      <c r="Q1747">
        <v>3.4779280000000003E-2</v>
      </c>
      <c r="R1747">
        <v>5.175008E-3</v>
      </c>
      <c r="S1747">
        <v>-3.0078740000000002</v>
      </c>
      <c r="T1747">
        <v>-0.1263282</v>
      </c>
      <c r="U1747">
        <v>-0.25991819999999999</v>
      </c>
      <c r="V1747">
        <v>-2.6011719999999999E-2</v>
      </c>
      <c r="W1747">
        <v>4.2328890000000001E-2</v>
      </c>
      <c r="X1747">
        <v>0.99876509999999996</v>
      </c>
      <c r="Y1747">
        <v>-0.11700149999999999</v>
      </c>
      <c r="Z1747">
        <v>-3.7588690000000002E-3</v>
      </c>
      <c r="AA1747">
        <v>0.99312459999999902</v>
      </c>
      <c r="AB1747">
        <v>51</v>
      </c>
      <c r="AC1747">
        <v>-25.9926999999999</v>
      </c>
      <c r="AD1747">
        <v>-1.1038558667789999</v>
      </c>
      <c r="AE1747">
        <v>-2.2799999999999701</v>
      </c>
      <c r="AF1747">
        <v>-3.0842710845717898</v>
      </c>
      <c r="AG1747">
        <v>-1.1038558667789999</v>
      </c>
      <c r="AH1747">
        <v>25.862630501771999</v>
      </c>
      <c r="AI1747">
        <v>92.426811149304797</v>
      </c>
      <c r="AJ1747">
        <v>96.800740722279201</v>
      </c>
      <c r="AK1747">
        <v>26.069270844596598</v>
      </c>
    </row>
    <row r="1748" spans="1:37" x14ac:dyDescent="0.2">
      <c r="A1748" t="str">
        <f>"20200111153433190"</f>
        <v>20200111153433190</v>
      </c>
      <c r="B1748" t="str">
        <f>"1578728073177627"</f>
        <v>1578728073177627</v>
      </c>
      <c r="C1748" t="s">
        <v>37</v>
      </c>
      <c r="D1748">
        <v>4.6926709999999998</v>
      </c>
      <c r="E1748">
        <v>0.46529789999999999</v>
      </c>
      <c r="F1748" t="s">
        <v>52</v>
      </c>
      <c r="G1748">
        <v>-376.2321</v>
      </c>
      <c r="H1748" s="1">
        <v>1.7796099999999999E-6</v>
      </c>
      <c r="I1748">
        <v>283.0188</v>
      </c>
      <c r="J1748">
        <v>-351.17669999999998</v>
      </c>
      <c r="K1748">
        <v>1.1039270000000001</v>
      </c>
      <c r="L1748">
        <v>285.2099</v>
      </c>
      <c r="M1748">
        <v>-0.99948199999999998</v>
      </c>
      <c r="N1748">
        <v>0</v>
      </c>
      <c r="O1748">
        <v>3.1171790000000001E-2</v>
      </c>
      <c r="P1748">
        <v>-0.99942359999999897</v>
      </c>
      <c r="Q1748">
        <v>3.3575699999999903E-2</v>
      </c>
      <c r="R1748">
        <v>5.0495269999999998E-3</v>
      </c>
      <c r="S1748">
        <v>-3.0077820000000002</v>
      </c>
      <c r="T1748">
        <v>-0.13108539999999999</v>
      </c>
      <c r="U1748">
        <v>-0.25918579999999902</v>
      </c>
      <c r="V1748">
        <v>-2.6113979999999998E-2</v>
      </c>
      <c r="W1748">
        <v>4.1583769999999999E-2</v>
      </c>
      <c r="X1748">
        <v>0.99879370000000001</v>
      </c>
      <c r="Y1748">
        <v>-0.1167301</v>
      </c>
      <c r="Z1748">
        <v>-3.8934809999999999E-3</v>
      </c>
      <c r="AA1748">
        <v>0.99315599999999904</v>
      </c>
      <c r="AB1748">
        <v>51</v>
      </c>
      <c r="AC1748">
        <v>-25.055399999999999</v>
      </c>
      <c r="AD1748">
        <v>-1.1039252203900001</v>
      </c>
      <c r="AE1748">
        <v>-2.1911</v>
      </c>
      <c r="AF1748">
        <v>-2.9653690596286699</v>
      </c>
      <c r="AG1748">
        <v>-1.1039252203900001</v>
      </c>
      <c r="AH1748">
        <v>24.926899086203999</v>
      </c>
      <c r="AI1748">
        <v>92.518040751733295</v>
      </c>
      <c r="AJ1748">
        <v>96.784172123813093</v>
      </c>
      <c r="AK1748">
        <v>25.126925052736102</v>
      </c>
    </row>
    <row r="1749" spans="1:37" x14ac:dyDescent="0.2">
      <c r="A1749" t="str">
        <f>"20200111153433206"</f>
        <v>20200111153433206</v>
      </c>
      <c r="B1749" t="str">
        <f>"1578728073198125"</f>
        <v>1578728073198125</v>
      </c>
      <c r="C1749" t="s">
        <v>37</v>
      </c>
      <c r="D1749">
        <v>4.7328039999999998</v>
      </c>
      <c r="E1749">
        <v>0.46527649999999998</v>
      </c>
      <c r="F1749" t="s">
        <v>52</v>
      </c>
      <c r="G1749">
        <v>-375.66649999999998</v>
      </c>
      <c r="H1749" s="1">
        <v>1.478656E-6</v>
      </c>
      <c r="I1749">
        <v>283.09440000000001</v>
      </c>
      <c r="J1749">
        <v>-351.54939999999999</v>
      </c>
      <c r="K1749">
        <v>1.1040099999999999</v>
      </c>
      <c r="L1749">
        <v>285.22149999999999</v>
      </c>
      <c r="M1749">
        <v>-0.99947790000000003</v>
      </c>
      <c r="N1749">
        <v>0</v>
      </c>
      <c r="O1749">
        <v>3.113664E-2</v>
      </c>
      <c r="P1749">
        <v>-0.99946389999999996</v>
      </c>
      <c r="Q1749">
        <v>3.2359020000000002E-2</v>
      </c>
      <c r="R1749">
        <v>4.9809889999999999E-3</v>
      </c>
      <c r="S1749">
        <v>-3.007568</v>
      </c>
      <c r="T1749">
        <v>-0.135572</v>
      </c>
      <c r="U1749">
        <v>-0.25979609999999997</v>
      </c>
      <c r="V1749">
        <v>-2.6148459999999998E-2</v>
      </c>
      <c r="W1749">
        <v>4.0968699999999997E-2</v>
      </c>
      <c r="X1749">
        <v>0.99881819999999899</v>
      </c>
      <c r="Y1749">
        <v>-0.1168916</v>
      </c>
      <c r="Z1749">
        <v>-4.0289139999999998E-3</v>
      </c>
      <c r="AA1749">
        <v>0.99313649999999998</v>
      </c>
      <c r="AB1749">
        <v>51</v>
      </c>
      <c r="AC1749">
        <v>-24.117099999999901</v>
      </c>
      <c r="AD1749">
        <v>-1.1040085213439901</v>
      </c>
      <c r="AE1749">
        <v>-2.12709999999998</v>
      </c>
      <c r="AF1749">
        <v>-2.8710520358140301</v>
      </c>
      <c r="AG1749">
        <v>-1.1040085213439901</v>
      </c>
      <c r="AH1749">
        <v>23.989290101120101</v>
      </c>
      <c r="AI1749">
        <v>92.616299346455506</v>
      </c>
      <c r="AJ1749">
        <v>96.824730836745303</v>
      </c>
      <c r="AK1749">
        <v>24.185694411433602</v>
      </c>
    </row>
    <row r="1750" spans="1:37" x14ac:dyDescent="0.2">
      <c r="A1750" t="str">
        <f>"20200111153433219"</f>
        <v>20200111153433219</v>
      </c>
      <c r="B1750" t="str">
        <f>"1578728073207883"</f>
        <v>1578728073207883</v>
      </c>
      <c r="C1750" t="s">
        <v>37</v>
      </c>
      <c r="D1750">
        <v>4.6885909999999997</v>
      </c>
      <c r="E1750">
        <v>0.46527049999999998</v>
      </c>
      <c r="F1750" t="s">
        <v>52</v>
      </c>
      <c r="G1750">
        <v>-375.25029999999998</v>
      </c>
      <c r="H1750" s="1">
        <v>1.257153E-6</v>
      </c>
      <c r="I1750">
        <v>283.1746</v>
      </c>
      <c r="J1750">
        <v>-351.83949999999999</v>
      </c>
      <c r="K1750">
        <v>1.1040639999999999</v>
      </c>
      <c r="L1750">
        <v>285.23050000000001</v>
      </c>
      <c r="M1750">
        <v>-0.99947509999999995</v>
      </c>
      <c r="N1750">
        <v>0</v>
      </c>
      <c r="O1750">
        <v>3.1107699999999999E-2</v>
      </c>
      <c r="P1750">
        <v>-0.9994767</v>
      </c>
      <c r="Q1750">
        <v>3.200828E-2</v>
      </c>
      <c r="R1750">
        <v>4.72075599999999E-3</v>
      </c>
      <c r="S1750">
        <v>-3.0074459999999998</v>
      </c>
      <c r="T1750">
        <v>-0.1400894</v>
      </c>
      <c r="U1750">
        <v>-0.2597351</v>
      </c>
      <c r="V1750">
        <v>-2.6379819999999998E-2</v>
      </c>
      <c r="W1750">
        <v>4.1064459999999997E-2</v>
      </c>
      <c r="X1750">
        <v>0.99880820000000003</v>
      </c>
      <c r="Y1750">
        <v>-0.1168363</v>
      </c>
      <c r="Z1750">
        <v>-4.1605690000000002E-3</v>
      </c>
      <c r="AA1750">
        <v>0.99314249999999904</v>
      </c>
      <c r="AB1750">
        <v>51</v>
      </c>
      <c r="AC1750">
        <v>-23.410799999999899</v>
      </c>
      <c r="AD1750">
        <v>-1.104062742847</v>
      </c>
      <c r="AE1750">
        <v>-2.0558999999999998</v>
      </c>
      <c r="AF1750">
        <v>-2.7770616816711202</v>
      </c>
      <c r="AG1750">
        <v>-1.104062742847</v>
      </c>
      <c r="AH1750">
        <v>23.2841222316673</v>
      </c>
      <c r="AI1750">
        <v>92.695682601849597</v>
      </c>
      <c r="AJ1750">
        <v>96.801451366034001</v>
      </c>
      <c r="AK1750">
        <v>23.4751224538483</v>
      </c>
    </row>
    <row r="1751" spans="1:37" x14ac:dyDescent="0.2">
      <c r="A1751" t="str">
        <f>"20200111153433233"</f>
        <v>20200111153433233</v>
      </c>
      <c r="B1751" t="str">
        <f>"1578728073228379"</f>
        <v>1578728073228379</v>
      </c>
      <c r="C1751" t="s">
        <v>37</v>
      </c>
      <c r="D1751">
        <v>4.7014469999999999</v>
      </c>
      <c r="E1751">
        <v>0.46521949999999901</v>
      </c>
      <c r="F1751" t="s">
        <v>52</v>
      </c>
      <c r="G1751">
        <v>-375.29750000000001</v>
      </c>
      <c r="H1751" s="1">
        <v>1.282301E-6</v>
      </c>
      <c r="I1751">
        <v>283.19810000000001</v>
      </c>
      <c r="J1751">
        <v>-352.15730000000002</v>
      </c>
      <c r="K1751">
        <v>1.104112</v>
      </c>
      <c r="L1751">
        <v>285.24040000000002</v>
      </c>
      <c r="M1751">
        <v>-0.99947189999999997</v>
      </c>
      <c r="N1751">
        <v>0</v>
      </c>
      <c r="O1751">
        <v>3.1074359999999999E-2</v>
      </c>
      <c r="P1751">
        <v>-0.99947399999999997</v>
      </c>
      <c r="Q1751">
        <v>3.2121160000000003E-2</v>
      </c>
      <c r="R1751">
        <v>4.5013450000000003E-3</v>
      </c>
      <c r="S1751">
        <v>-3.0073240000000001</v>
      </c>
      <c r="T1751">
        <v>-0.14154079999999999</v>
      </c>
      <c r="U1751">
        <v>-0.26055909999999999</v>
      </c>
      <c r="V1751">
        <v>-2.65659E-2</v>
      </c>
      <c r="W1751">
        <v>4.1626650000000001E-2</v>
      </c>
      <c r="X1751">
        <v>0.998779999999999</v>
      </c>
      <c r="Y1751">
        <v>-0.11707329999999901</v>
      </c>
      <c r="Z1751">
        <v>-4.2077540000000002E-3</v>
      </c>
      <c r="AA1751">
        <v>0.99311439999999995</v>
      </c>
      <c r="AB1751">
        <v>51</v>
      </c>
      <c r="AC1751">
        <v>-23.1402</v>
      </c>
      <c r="AD1751">
        <v>-1.1041107176989999</v>
      </c>
      <c r="AE1751">
        <v>-2.0423000000000102</v>
      </c>
      <c r="AF1751">
        <v>-2.75419121960838</v>
      </c>
      <c r="AG1751">
        <v>-1.1041107176989999</v>
      </c>
      <c r="AH1751">
        <v>23.013569735175398</v>
      </c>
      <c r="AI1751">
        <v>92.727313394527798</v>
      </c>
      <c r="AJ1751">
        <v>96.824519647809595</v>
      </c>
      <c r="AK1751">
        <v>23.204073386086499</v>
      </c>
    </row>
    <row r="1752" spans="1:37" x14ac:dyDescent="0.2">
      <c r="A1752" t="str">
        <f>"20200111153433245"</f>
        <v>20200111153433245</v>
      </c>
      <c r="B1752" t="str">
        <f>"1578728073238138"</f>
        <v>1578728073238138</v>
      </c>
      <c r="C1752" t="s">
        <v>37</v>
      </c>
      <c r="D1752">
        <v>4.6573149999999996</v>
      </c>
      <c r="E1752">
        <v>0.46523819999999999</v>
      </c>
      <c r="F1752" t="s">
        <v>52</v>
      </c>
      <c r="G1752">
        <v>-375.5455</v>
      </c>
      <c r="H1752" s="1">
        <v>1.4142289999999999E-6</v>
      </c>
      <c r="I1752">
        <v>283.20499999999998</v>
      </c>
      <c r="J1752">
        <v>-352.44619999999998</v>
      </c>
      <c r="K1752">
        <v>1.1041529999999999</v>
      </c>
      <c r="L1752">
        <v>285.24930000000001</v>
      </c>
      <c r="M1752">
        <v>-0.99946889999999999</v>
      </c>
      <c r="N1752">
        <v>0</v>
      </c>
      <c r="O1752">
        <v>3.1044019999999999E-2</v>
      </c>
      <c r="P1752">
        <v>-0.99946889999999999</v>
      </c>
      <c r="Q1752">
        <v>3.2323030000000003E-2</v>
      </c>
      <c r="R1752">
        <v>4.1630950000000003E-3</v>
      </c>
      <c r="S1752">
        <v>-3.0073240000000001</v>
      </c>
      <c r="T1752">
        <v>-0.14197019999999999</v>
      </c>
      <c r="U1752">
        <v>-0.26171879999999997</v>
      </c>
      <c r="V1752">
        <v>-2.6873379999999999E-2</v>
      </c>
      <c r="W1752">
        <v>4.221693E-2</v>
      </c>
      <c r="X1752">
        <v>0.99874699999999905</v>
      </c>
      <c r="Y1752">
        <v>-0.1174221</v>
      </c>
      <c r="Z1752">
        <v>-4.2272229999999996E-3</v>
      </c>
      <c r="AA1752">
        <v>0.99307309999999904</v>
      </c>
      <c r="AB1752">
        <v>51</v>
      </c>
      <c r="AC1752">
        <v>-23.099299999999999</v>
      </c>
      <c r="AD1752">
        <v>-1.104151585771</v>
      </c>
      <c r="AE1752">
        <v>-2.0443000000000202</v>
      </c>
      <c r="AF1752">
        <v>-2.75420086613769</v>
      </c>
      <c r="AG1752">
        <v>-1.104151585771</v>
      </c>
      <c r="AH1752">
        <v>22.972617742684498</v>
      </c>
      <c r="AI1752">
        <v>92.732199973776702</v>
      </c>
      <c r="AJ1752">
        <v>96.836594010480198</v>
      </c>
      <c r="AK1752">
        <v>23.163461293314899</v>
      </c>
    </row>
    <row r="1753" spans="1:37" x14ac:dyDescent="0.2">
      <c r="A1753" t="str">
        <f>"20200111153433259"</f>
        <v>20200111153433259</v>
      </c>
      <c r="B1753" t="str">
        <f>"1578728073247899"</f>
        <v>1578728073247899</v>
      </c>
      <c r="C1753" t="s">
        <v>37</v>
      </c>
      <c r="D1753">
        <v>4.7032480000000003</v>
      </c>
      <c r="E1753">
        <v>0.4652309</v>
      </c>
      <c r="F1753" t="s">
        <v>52</v>
      </c>
      <c r="G1753">
        <v>-375.90620000000001</v>
      </c>
      <c r="H1753" s="1">
        <v>1.606202E-6</v>
      </c>
      <c r="I1753">
        <v>283.20240000000001</v>
      </c>
      <c r="J1753">
        <v>-352.74699999999899</v>
      </c>
      <c r="K1753">
        <v>1.10419</v>
      </c>
      <c r="L1753">
        <v>285.25869999999998</v>
      </c>
      <c r="M1753">
        <v>-0.99946610000000002</v>
      </c>
      <c r="N1753">
        <v>0</v>
      </c>
      <c r="O1753">
        <v>3.1012120000000001E-2</v>
      </c>
      <c r="P1753">
        <v>-0.99944869999999997</v>
      </c>
      <c r="Q1753">
        <v>3.3002749999999997E-2</v>
      </c>
      <c r="R1753">
        <v>3.6767369999999998E-3</v>
      </c>
      <c r="S1753">
        <v>-3.007263</v>
      </c>
      <c r="T1753">
        <v>-0.14153750000000001</v>
      </c>
      <c r="U1753">
        <v>-0.26239009999999902</v>
      </c>
      <c r="V1753">
        <v>-2.732741E-2</v>
      </c>
      <c r="W1753">
        <v>4.3284070000000001E-2</v>
      </c>
      <c r="X1753">
        <v>0.99868899999999905</v>
      </c>
      <c r="Y1753">
        <v>-0.1176131</v>
      </c>
      <c r="Z1753">
        <v>-4.2173949999999997E-3</v>
      </c>
      <c r="AA1753">
        <v>0.99305049999999995</v>
      </c>
      <c r="AB1753">
        <v>51</v>
      </c>
      <c r="AC1753">
        <v>-23.159199999999998</v>
      </c>
      <c r="AD1753">
        <v>-1.1041883937979999</v>
      </c>
      <c r="AE1753">
        <v>-2.0562999999999598</v>
      </c>
      <c r="AF1753">
        <v>-2.7673232088629698</v>
      </c>
      <c r="AG1753">
        <v>-1.1041883937979999</v>
      </c>
      <c r="AH1753">
        <v>23.032338081461699</v>
      </c>
      <c r="AI1753">
        <v>92.7251337357267</v>
      </c>
      <c r="AJ1753">
        <v>96.851215681479502</v>
      </c>
      <c r="AK1753">
        <v>23.2242525660151</v>
      </c>
    </row>
    <row r="1754" spans="1:37" x14ac:dyDescent="0.2">
      <c r="A1754" t="str">
        <f>"20200111153433274"</f>
        <v>20200111153433274</v>
      </c>
      <c r="B1754" t="str">
        <f>"1578728073268394"</f>
        <v>1578728073268394</v>
      </c>
      <c r="C1754" t="s">
        <v>37</v>
      </c>
      <c r="D1754">
        <v>4.7039910000000003</v>
      </c>
      <c r="E1754">
        <v>0.46521759999999901</v>
      </c>
      <c r="F1754" t="s">
        <v>52</v>
      </c>
      <c r="G1754">
        <v>-376.44529999999997</v>
      </c>
      <c r="H1754" s="1">
        <v>1.8930750000000001E-6</v>
      </c>
      <c r="I1754">
        <v>283.18110000000001</v>
      </c>
      <c r="J1754">
        <v>-353.08580000000001</v>
      </c>
      <c r="K1754">
        <v>1.1042419999999999</v>
      </c>
      <c r="L1754">
        <v>285.26920000000001</v>
      </c>
      <c r="M1754">
        <v>-0.99946299999999899</v>
      </c>
      <c r="N1754">
        <v>0</v>
      </c>
      <c r="O1754">
        <v>3.097739E-2</v>
      </c>
      <c r="P1754">
        <v>-0.99937980000000004</v>
      </c>
      <c r="Q1754">
        <v>3.5133089999999999E-2</v>
      </c>
      <c r="R1754">
        <v>2.4544649999999999E-3</v>
      </c>
      <c r="S1754">
        <v>-3.007263</v>
      </c>
      <c r="T1754">
        <v>-0.1401193</v>
      </c>
      <c r="U1754">
        <v>-0.26364140000000003</v>
      </c>
      <c r="V1754">
        <v>-2.851279E-2</v>
      </c>
      <c r="W1754">
        <v>4.581118E-2</v>
      </c>
      <c r="X1754">
        <v>0.99854310000000002</v>
      </c>
      <c r="Y1754">
        <v>-0.1179916</v>
      </c>
      <c r="Z1754">
        <v>-4.1822939999999996E-3</v>
      </c>
      <c r="AA1754">
        <v>0.99300580000000005</v>
      </c>
      <c r="AB1754">
        <v>51</v>
      </c>
      <c r="AC1754">
        <v>-23.359499999999901</v>
      </c>
      <c r="AD1754">
        <v>-1.1042401069249901</v>
      </c>
      <c r="AE1754">
        <v>-2.0880999999999901</v>
      </c>
      <c r="AF1754">
        <v>-2.8045380652313301</v>
      </c>
      <c r="AG1754">
        <v>-1.1042401069249901</v>
      </c>
      <c r="AH1754">
        <v>23.232097650154198</v>
      </c>
      <c r="AI1754">
        <v>92.701680922472903</v>
      </c>
      <c r="AJ1754">
        <v>96.8833382064023</v>
      </c>
      <c r="AK1754">
        <v>23.426803904915701</v>
      </c>
    </row>
    <row r="1755" spans="1:37" x14ac:dyDescent="0.2">
      <c r="A1755" t="str">
        <f>"20200111153433287"</f>
        <v>20200111153433287</v>
      </c>
      <c r="B1755" t="str">
        <f>"1578728073278156"</f>
        <v>1578728073278156</v>
      </c>
      <c r="C1755" t="s">
        <v>37</v>
      </c>
      <c r="D1755">
        <v>4.6652009999999997</v>
      </c>
      <c r="E1755">
        <v>0.46519079999999902</v>
      </c>
      <c r="F1755" t="s">
        <v>52</v>
      </c>
      <c r="G1755">
        <v>-377.71969999999999</v>
      </c>
      <c r="H1755" s="1">
        <v>2.5712399999999999E-6</v>
      </c>
      <c r="I1755">
        <v>283.07859999999999</v>
      </c>
      <c r="J1755">
        <v>-353.38170000000002</v>
      </c>
      <c r="K1755">
        <v>1.104271</v>
      </c>
      <c r="L1755">
        <v>285.2783</v>
      </c>
      <c r="M1755">
        <v>-0.99946029999999997</v>
      </c>
      <c r="N1755">
        <v>0</v>
      </c>
      <c r="O1755">
        <v>3.0947470000000001E-2</v>
      </c>
      <c r="P1755">
        <v>-0.99934230000000002</v>
      </c>
      <c r="Q1755">
        <v>3.6231380000000001E-2</v>
      </c>
      <c r="R1755">
        <v>1.5376470000000001E-3</v>
      </c>
      <c r="S1755">
        <v>-3.007263</v>
      </c>
      <c r="T1755">
        <v>-0.13480400000000001</v>
      </c>
      <c r="U1755">
        <v>-0.26742549999999998</v>
      </c>
      <c r="V1755">
        <v>-2.9398359999999998E-2</v>
      </c>
      <c r="W1755">
        <v>4.7234899999999899E-2</v>
      </c>
      <c r="X1755">
        <v>0.99845110000000004</v>
      </c>
      <c r="Y1755">
        <v>-0.1192126</v>
      </c>
      <c r="Z1755">
        <v>-4.0495540000000003E-3</v>
      </c>
      <c r="AA1755">
        <v>0.99286049999999904</v>
      </c>
      <c r="AB1755">
        <v>51</v>
      </c>
      <c r="AC1755">
        <v>-24.337999999999901</v>
      </c>
      <c r="AD1755">
        <v>-1.10426842876</v>
      </c>
      <c r="AE1755">
        <v>-2.1997</v>
      </c>
      <c r="AF1755">
        <v>-2.94587612889825</v>
      </c>
      <c r="AG1755">
        <v>-1.10426842876</v>
      </c>
      <c r="AH1755">
        <v>24.208828349331501</v>
      </c>
      <c r="AI1755">
        <v>92.592597732606706</v>
      </c>
      <c r="AJ1755">
        <v>96.9379852148071</v>
      </c>
      <c r="AK1755">
        <v>24.412393675692002</v>
      </c>
    </row>
    <row r="1756" spans="1:37" x14ac:dyDescent="0.2">
      <c r="A1756" t="str">
        <f>"20200111153433307"</f>
        <v>20200111153433307</v>
      </c>
      <c r="B1756" t="str">
        <f>"1578728073297674"</f>
        <v>1578728073297674</v>
      </c>
      <c r="C1756" t="s">
        <v>37</v>
      </c>
      <c r="D1756">
        <v>4.6980620000000002</v>
      </c>
      <c r="E1756">
        <v>0.46518789999999999</v>
      </c>
      <c r="F1756" t="s">
        <v>52</v>
      </c>
      <c r="G1756">
        <v>-378.55</v>
      </c>
      <c r="H1756" s="1">
        <v>3.0131029999999999E-6</v>
      </c>
      <c r="I1756">
        <v>283.0172</v>
      </c>
      <c r="J1756">
        <v>-353.83620000000002</v>
      </c>
      <c r="K1756">
        <v>1.104314</v>
      </c>
      <c r="L1756">
        <v>285.29230000000001</v>
      </c>
      <c r="M1756">
        <v>-0.99945649999999997</v>
      </c>
      <c r="N1756">
        <v>0</v>
      </c>
      <c r="O1756">
        <v>3.090242E-2</v>
      </c>
      <c r="P1756">
        <v>-0.99929480000000004</v>
      </c>
      <c r="Q1756">
        <v>3.7550849999999997E-2</v>
      </c>
      <c r="R1756" s="1">
        <v>-7.1883780000000003E-5</v>
      </c>
      <c r="S1756">
        <v>-3.0071720000000002</v>
      </c>
      <c r="T1756">
        <v>-0.1319408</v>
      </c>
      <c r="U1756">
        <v>-0.27017209999999903</v>
      </c>
      <c r="V1756">
        <v>-3.096107E-2</v>
      </c>
      <c r="W1756">
        <v>4.901573E-2</v>
      </c>
      <c r="X1756">
        <v>0.99831800000000004</v>
      </c>
      <c r="Y1756">
        <v>-0.12007569999999999</v>
      </c>
      <c r="Z1756">
        <v>-3.9805149999999996E-3</v>
      </c>
      <c r="AA1756">
        <v>0.99275669999999905</v>
      </c>
      <c r="AB1756">
        <v>51</v>
      </c>
      <c r="AC1756">
        <v>-24.7137999999999</v>
      </c>
      <c r="AD1756">
        <v>-1.104310986897</v>
      </c>
      <c r="AE1756">
        <v>-2.2751000000000001</v>
      </c>
      <c r="AF1756">
        <v>-3.03177726990755</v>
      </c>
      <c r="AG1756">
        <v>-1.104310986897</v>
      </c>
      <c r="AH1756">
        <v>24.583013156550798</v>
      </c>
      <c r="AI1756">
        <v>92.552780650417006</v>
      </c>
      <c r="AJ1756">
        <v>97.030680159248107</v>
      </c>
      <c r="AK1756">
        <v>24.793864402816698</v>
      </c>
    </row>
    <row r="1757" spans="1:37" x14ac:dyDescent="0.2">
      <c r="A1757" t="str">
        <f>"20200111153433320"</f>
        <v>20200111153433320</v>
      </c>
      <c r="B1757" t="str">
        <f>"1578728073308410"</f>
        <v>1578728073308410</v>
      </c>
      <c r="C1757" t="s">
        <v>37</v>
      </c>
      <c r="D1757">
        <v>4.6991740000000002</v>
      </c>
      <c r="E1757">
        <v>0.46516800000000003</v>
      </c>
      <c r="F1757" t="s">
        <v>52</v>
      </c>
      <c r="G1757">
        <v>-379.64879999999999</v>
      </c>
      <c r="H1757" s="1">
        <v>3.5978070000000001E-6</v>
      </c>
      <c r="I1757">
        <v>282.9307</v>
      </c>
      <c r="J1757">
        <v>-354.11880000000002</v>
      </c>
      <c r="K1757">
        <v>1.1043350000000001</v>
      </c>
      <c r="L1757">
        <v>285.30110000000002</v>
      </c>
      <c r="M1757">
        <v>-0.99945430000000002</v>
      </c>
      <c r="N1757">
        <v>0</v>
      </c>
      <c r="O1757">
        <v>3.0875280000000001E-2</v>
      </c>
      <c r="P1757">
        <v>-0.99928109999999903</v>
      </c>
      <c r="Q1757">
        <v>3.7908450000000003E-2</v>
      </c>
      <c r="R1757">
        <v>-9.0602629999999998E-4</v>
      </c>
      <c r="S1757">
        <v>-3.006958</v>
      </c>
      <c r="T1757">
        <v>-0.12864339999999999</v>
      </c>
      <c r="U1757">
        <v>-0.27511599999999897</v>
      </c>
      <c r="V1757">
        <v>-3.1767440000000001E-2</v>
      </c>
      <c r="W1757">
        <v>4.9640579999999997E-2</v>
      </c>
      <c r="X1757">
        <v>0.99826179999999998</v>
      </c>
      <c r="Y1757">
        <v>-0.1216796</v>
      </c>
      <c r="Z1757">
        <v>-3.9141890000000002E-3</v>
      </c>
      <c r="AA1757">
        <v>0.99256169999999999</v>
      </c>
      <c r="AB1757">
        <v>51</v>
      </c>
      <c r="AC1757">
        <v>-25.529999999999902</v>
      </c>
      <c r="AD1757">
        <v>-1.104331402193</v>
      </c>
      <c r="AE1757">
        <v>-2.3704000000000098</v>
      </c>
      <c r="AF1757">
        <v>-3.1517231768067302</v>
      </c>
      <c r="AG1757">
        <v>-1.104331402193</v>
      </c>
      <c r="AH1757">
        <v>25.397519798537701</v>
      </c>
      <c r="AI1757">
        <v>92.470830121550506</v>
      </c>
      <c r="AJ1757">
        <v>97.073995624925104</v>
      </c>
      <c r="AK1757">
        <v>25.6161456653066</v>
      </c>
    </row>
    <row r="1758" spans="1:37" x14ac:dyDescent="0.2">
      <c r="A1758" t="str">
        <f>"20200111153433339"</f>
        <v>20200111153433339</v>
      </c>
      <c r="B1758" t="str">
        <f>"1578728073327931"</f>
        <v>1578728073327931</v>
      </c>
      <c r="C1758" t="s">
        <v>37</v>
      </c>
      <c r="D1758">
        <v>4.7262649999999997</v>
      </c>
      <c r="E1758">
        <v>0.46513459999999901</v>
      </c>
      <c r="F1758" t="s">
        <v>52</v>
      </c>
      <c r="G1758">
        <v>-380.14710000000002</v>
      </c>
      <c r="H1758" s="1">
        <v>-1.458513E-6</v>
      </c>
      <c r="I1758">
        <v>282.89859999999999</v>
      </c>
      <c r="J1758">
        <v>-354.57510000000002</v>
      </c>
      <c r="K1758">
        <v>1.1043639999999999</v>
      </c>
      <c r="L1758">
        <v>285.31509999999997</v>
      </c>
      <c r="M1758">
        <v>-0.99945090000000003</v>
      </c>
      <c r="N1758">
        <v>0</v>
      </c>
      <c r="O1758">
        <v>3.0831850000000001E-2</v>
      </c>
      <c r="P1758">
        <v>-0.99926199999999998</v>
      </c>
      <c r="Q1758">
        <v>3.8352219999999999E-2</v>
      </c>
      <c r="R1758">
        <v>-2.2099989999999998E-3</v>
      </c>
      <c r="S1758">
        <v>-3.0067439999999999</v>
      </c>
      <c r="T1758">
        <v>-0.12757089999999999</v>
      </c>
      <c r="U1758">
        <v>-0.27752690000000002</v>
      </c>
      <c r="V1758">
        <v>-3.302745E-2</v>
      </c>
      <c r="W1758">
        <v>5.0471130000000003E-2</v>
      </c>
      <c r="X1758">
        <v>0.99817929999999999</v>
      </c>
      <c r="Y1758">
        <v>-0.1224338</v>
      </c>
      <c r="Z1758">
        <v>-3.895847E-3</v>
      </c>
      <c r="AA1758">
        <v>0.99246900000000005</v>
      </c>
      <c r="AB1758">
        <v>51</v>
      </c>
      <c r="AC1758">
        <v>-25.571999999999999</v>
      </c>
      <c r="AD1758">
        <v>-1.1043654585129901</v>
      </c>
      <c r="AE1758">
        <v>-2.4164999999999801</v>
      </c>
      <c r="AF1758">
        <v>-3.1979295444722502</v>
      </c>
      <c r="AG1758">
        <v>-1.1043654585129901</v>
      </c>
      <c r="AH1758">
        <v>25.438305835496902</v>
      </c>
      <c r="AI1758">
        <v>92.466459365129296</v>
      </c>
      <c r="AJ1758">
        <v>97.165244645350896</v>
      </c>
      <c r="AK1758">
        <v>25.662302706843001</v>
      </c>
    </row>
    <row r="1759" spans="1:37" x14ac:dyDescent="0.2">
      <c r="A1759" t="str">
        <f>"20200111153433351"</f>
        <v>20200111153433351</v>
      </c>
      <c r="B1759" t="str">
        <f>"1578728073348335"</f>
        <v>1578728073348335</v>
      </c>
      <c r="C1759" t="s">
        <v>37</v>
      </c>
      <c r="D1759">
        <v>4.7026949999999896</v>
      </c>
      <c r="E1759">
        <v>0.46515580000000001</v>
      </c>
      <c r="F1759" t="s">
        <v>52</v>
      </c>
      <c r="G1759">
        <v>-380.80079999999998</v>
      </c>
      <c r="H1759" s="1">
        <v>-1.110655E-6</v>
      </c>
      <c r="I1759">
        <v>282.85879999999997</v>
      </c>
      <c r="J1759">
        <v>-354.84780000000001</v>
      </c>
      <c r="K1759">
        <v>1.1043780000000001</v>
      </c>
      <c r="L1759">
        <v>285.32350000000002</v>
      </c>
      <c r="M1759">
        <v>-0.99944929999999998</v>
      </c>
      <c r="N1759">
        <v>0</v>
      </c>
      <c r="O1759">
        <v>3.0805320000000001E-2</v>
      </c>
      <c r="P1759">
        <v>-0.99925509999999995</v>
      </c>
      <c r="Q1759">
        <v>3.8490620000000003E-2</v>
      </c>
      <c r="R1759">
        <v>-2.856824E-3</v>
      </c>
      <c r="S1759">
        <v>-3.0064389999999999</v>
      </c>
      <c r="T1759">
        <v>-0.12660150000000001</v>
      </c>
      <c r="U1759">
        <v>-0.28158569999999999</v>
      </c>
      <c r="V1759">
        <v>-3.3647049999999998E-2</v>
      </c>
      <c r="W1759">
        <v>5.0815930000000002E-2</v>
      </c>
      <c r="X1759">
        <v>0.9981411</v>
      </c>
      <c r="Y1759">
        <v>-0.12374599999999999</v>
      </c>
      <c r="Z1759">
        <v>-3.8928690000000002E-3</v>
      </c>
      <c r="AA1759">
        <v>0.99230629999999997</v>
      </c>
      <c r="AB1759">
        <v>51</v>
      </c>
      <c r="AC1759">
        <v>-25.9529999999999</v>
      </c>
      <c r="AD1759">
        <v>-1.1043791106550001</v>
      </c>
      <c r="AE1759">
        <v>-2.4647000000000499</v>
      </c>
      <c r="AF1759">
        <v>-3.2572360150646298</v>
      </c>
      <c r="AG1759">
        <v>-1.1043791106550001</v>
      </c>
      <c r="AH1759">
        <v>25.818416155877301</v>
      </c>
      <c r="AI1759">
        <v>92.430086627775395</v>
      </c>
      <c r="AJ1759">
        <v>97.190414005573103</v>
      </c>
      <c r="AK1759">
        <v>26.046494053441201</v>
      </c>
    </row>
    <row r="1760" spans="1:37" x14ac:dyDescent="0.2">
      <c r="A1760" t="str">
        <f>"20200111153433363"</f>
        <v>20200111153433363</v>
      </c>
      <c r="B1760" t="str">
        <f>"1578728073358096"</f>
        <v>1578728073358096</v>
      </c>
      <c r="C1760" t="s">
        <v>37</v>
      </c>
      <c r="D1760">
        <v>4.6905449999999904</v>
      </c>
      <c r="E1760">
        <v>0.46517190000000003</v>
      </c>
      <c r="F1760" t="s">
        <v>52</v>
      </c>
      <c r="G1760">
        <v>-381.10730000000001</v>
      </c>
      <c r="H1760" s="1">
        <v>-9.4756340000000005E-7</v>
      </c>
      <c r="I1760">
        <v>282.84840000000003</v>
      </c>
      <c r="J1760">
        <v>-355.11630000000002</v>
      </c>
      <c r="K1760">
        <v>1.10439</v>
      </c>
      <c r="L1760">
        <v>285.33179999999999</v>
      </c>
      <c r="M1760">
        <v>-0.99944750000000004</v>
      </c>
      <c r="N1760">
        <v>0</v>
      </c>
      <c r="O1760">
        <v>3.0779319999999999E-2</v>
      </c>
      <c r="P1760">
        <v>-0.99924400000000002</v>
      </c>
      <c r="Q1760">
        <v>3.8710519999999998E-2</v>
      </c>
      <c r="R1760">
        <v>-3.6039659999999901E-3</v>
      </c>
      <c r="S1760">
        <v>-3.0062869999999999</v>
      </c>
      <c r="T1760">
        <v>-0.12643370000000001</v>
      </c>
      <c r="U1760">
        <v>-0.28335569999999999</v>
      </c>
      <c r="V1760">
        <v>-3.436786E-2</v>
      </c>
      <c r="W1760">
        <v>5.1230240000000003E-2</v>
      </c>
      <c r="X1760">
        <v>0.99809530000000002</v>
      </c>
      <c r="Y1760">
        <v>-0.124304</v>
      </c>
      <c r="Z1760">
        <v>-3.8984200000000001E-3</v>
      </c>
      <c r="AA1760">
        <v>0.99223660000000002</v>
      </c>
      <c r="AB1760">
        <v>51</v>
      </c>
      <c r="AC1760">
        <v>-25.9909999999999</v>
      </c>
      <c r="AD1760">
        <v>-1.1043909475633999</v>
      </c>
      <c r="AE1760">
        <v>-2.4833999999999601</v>
      </c>
      <c r="AF1760">
        <v>-3.2764093653752799</v>
      </c>
      <c r="AG1760">
        <v>-1.1043909475633999</v>
      </c>
      <c r="AH1760">
        <v>25.855979396974501</v>
      </c>
      <c r="AI1760">
        <v>92.426418048881501</v>
      </c>
      <c r="AJ1760">
        <v>97.221896719679606</v>
      </c>
      <c r="AK1760">
        <v>26.086130572995099</v>
      </c>
    </row>
    <row r="1761" spans="1:37" x14ac:dyDescent="0.2">
      <c r="A1761" t="str">
        <f>"20200111153433376"</f>
        <v>20200111153433376</v>
      </c>
      <c r="B1761" t="str">
        <f>"1578728073367856"</f>
        <v>1578728073367856</v>
      </c>
      <c r="C1761" t="s">
        <v>37</v>
      </c>
      <c r="D1761">
        <v>4.6983449999999998</v>
      </c>
      <c r="E1761">
        <v>0.46518189999999998</v>
      </c>
      <c r="F1761" t="s">
        <v>52</v>
      </c>
      <c r="G1761">
        <v>-381.48090000000002</v>
      </c>
      <c r="H1761" s="1">
        <v>-7.4875149999999997E-7</v>
      </c>
      <c r="I1761">
        <v>282.82870000000003</v>
      </c>
      <c r="J1761">
        <v>-355.42419999999998</v>
      </c>
      <c r="K1761">
        <v>1.104403</v>
      </c>
      <c r="L1761">
        <v>285.34120000000001</v>
      </c>
      <c r="M1761">
        <v>-0.99944569999999999</v>
      </c>
      <c r="N1761">
        <v>0</v>
      </c>
      <c r="O1761">
        <v>3.074957E-2</v>
      </c>
      <c r="P1761">
        <v>-0.99924120000000005</v>
      </c>
      <c r="Q1761">
        <v>3.870635E-2</v>
      </c>
      <c r="R1761">
        <v>-4.3454390000000004E-3</v>
      </c>
      <c r="S1761">
        <v>-3.0061040000000001</v>
      </c>
      <c r="T1761">
        <v>-0.12592349999999999</v>
      </c>
      <c r="U1761">
        <v>-0.2854004</v>
      </c>
      <c r="V1761">
        <v>-3.5079470000000001E-2</v>
      </c>
      <c r="W1761">
        <v>5.1433569999999998E-2</v>
      </c>
      <c r="X1761">
        <v>0.99806010000000001</v>
      </c>
      <c r="Y1761">
        <v>-0.12494959999999999</v>
      </c>
      <c r="Z1761">
        <v>-3.895066E-3</v>
      </c>
      <c r="AA1761">
        <v>0.99215540000000002</v>
      </c>
      <c r="AB1761">
        <v>51</v>
      </c>
      <c r="AC1761">
        <v>-26.056699999999999</v>
      </c>
      <c r="AD1761">
        <v>-1.1044037487514999</v>
      </c>
      <c r="AE1761">
        <v>-2.5124999999999802</v>
      </c>
      <c r="AF1761">
        <v>-3.3067235624226501</v>
      </c>
      <c r="AG1761">
        <v>-1.1044037487514999</v>
      </c>
      <c r="AH1761">
        <v>25.920974762201599</v>
      </c>
      <c r="AI1761">
        <v>92.420111587896201</v>
      </c>
      <c r="AJ1761">
        <v>97.269921926843907</v>
      </c>
      <c r="AK1761">
        <v>26.154369825733301</v>
      </c>
    </row>
    <row r="1762" spans="1:37" x14ac:dyDescent="0.2">
      <c r="A1762" t="str">
        <f>"20200111153433390"</f>
        <v>20200111153433390</v>
      </c>
      <c r="B1762" t="str">
        <f>"1578728073388352"</f>
        <v>1578728073388352</v>
      </c>
      <c r="C1762" t="s">
        <v>37</v>
      </c>
      <c r="D1762">
        <v>4.713851</v>
      </c>
      <c r="E1762">
        <v>0.46519060000000001</v>
      </c>
      <c r="F1762" t="s">
        <v>52</v>
      </c>
      <c r="G1762">
        <v>-381.7079</v>
      </c>
      <c r="H1762" s="1">
        <v>-6.2794730000000001E-7</v>
      </c>
      <c r="I1762">
        <v>282.82679999999999</v>
      </c>
      <c r="J1762">
        <v>-355.71499999999997</v>
      </c>
      <c r="K1762">
        <v>1.1044129999999901</v>
      </c>
      <c r="L1762">
        <v>285.35019999999997</v>
      </c>
      <c r="M1762">
        <v>-0.99944449999999996</v>
      </c>
      <c r="N1762">
        <v>0</v>
      </c>
      <c r="O1762">
        <v>3.0720979999999998E-2</v>
      </c>
      <c r="P1762">
        <v>-0.99923890000000004</v>
      </c>
      <c r="Q1762">
        <v>3.8731979999999999E-2</v>
      </c>
      <c r="R1762">
        <v>-4.642785E-3</v>
      </c>
      <c r="S1762">
        <v>-3.00589</v>
      </c>
      <c r="T1762">
        <v>-0.1263032</v>
      </c>
      <c r="U1762">
        <v>-0.28756709999999902</v>
      </c>
      <c r="V1762">
        <v>-3.5347990000000003E-2</v>
      </c>
      <c r="W1762">
        <v>5.1635489999999999E-2</v>
      </c>
      <c r="X1762">
        <v>0.99804020000000004</v>
      </c>
      <c r="Y1762">
        <v>-0.125635199999999</v>
      </c>
      <c r="Z1762">
        <v>-3.9201150000000001E-3</v>
      </c>
      <c r="AA1762">
        <v>0.99206879999999997</v>
      </c>
      <c r="AB1762">
        <v>51</v>
      </c>
      <c r="AC1762">
        <v>-25.992899999999999</v>
      </c>
      <c r="AD1762">
        <v>-1.10441362794729</v>
      </c>
      <c r="AE1762">
        <v>-2.5233999999999801</v>
      </c>
      <c r="AF1762">
        <v>-3.3148742335222301</v>
      </c>
      <c r="AG1762">
        <v>-1.10441362794729</v>
      </c>
      <c r="AH1762">
        <v>25.856857438944001</v>
      </c>
      <c r="AI1762">
        <v>92.425934700531698</v>
      </c>
      <c r="AJ1762">
        <v>97.305525200792204</v>
      </c>
      <c r="AK1762">
        <v>26.091860747435</v>
      </c>
    </row>
    <row r="1763" spans="1:37" x14ac:dyDescent="0.2">
      <c r="A1763" t="str">
        <f>"20200111153433402"</f>
        <v>20200111153433402</v>
      </c>
      <c r="B1763" t="str">
        <f>"1578728073398111"</f>
        <v>1578728073398111</v>
      </c>
      <c r="C1763" t="s">
        <v>37</v>
      </c>
      <c r="D1763">
        <v>4.7190909999999997</v>
      </c>
      <c r="E1763">
        <v>0.46519379999999999</v>
      </c>
      <c r="F1763" t="s">
        <v>52</v>
      </c>
      <c r="G1763">
        <v>-381.88630000000001</v>
      </c>
      <c r="H1763" s="1">
        <v>-5.329786E-7</v>
      </c>
      <c r="I1763">
        <v>282.8408</v>
      </c>
      <c r="J1763">
        <v>-356.00580000000002</v>
      </c>
      <c r="K1763">
        <v>1.1044240000000001</v>
      </c>
      <c r="L1763">
        <v>285.35910000000001</v>
      </c>
      <c r="M1763">
        <v>-0.99944310000000003</v>
      </c>
      <c r="N1763">
        <v>0</v>
      </c>
      <c r="O1763">
        <v>3.0692489999999999E-2</v>
      </c>
      <c r="P1763">
        <v>-0.99923969999999995</v>
      </c>
      <c r="Q1763">
        <v>3.8676210000000003E-2</v>
      </c>
      <c r="R1763">
        <v>-4.9216570000000003E-3</v>
      </c>
      <c r="S1763">
        <v>-3.0058289999999999</v>
      </c>
      <c r="T1763">
        <v>-0.12684419999999999</v>
      </c>
      <c r="U1763">
        <v>-0.28820800000000002</v>
      </c>
      <c r="V1763">
        <v>-3.5598110000000002E-2</v>
      </c>
      <c r="W1763">
        <v>5.1746430000000003E-2</v>
      </c>
      <c r="X1763">
        <v>0.99802559999999996</v>
      </c>
      <c r="Y1763">
        <v>-0.12581719999999999</v>
      </c>
      <c r="Z1763">
        <v>-3.9395659999999898E-3</v>
      </c>
      <c r="AA1763">
        <v>0.99204559999999997</v>
      </c>
      <c r="AB1763">
        <v>51</v>
      </c>
      <c r="AC1763">
        <v>-25.880499999999898</v>
      </c>
      <c r="AD1763">
        <v>-1.1044245329786</v>
      </c>
      <c r="AE1763">
        <v>-2.5183</v>
      </c>
      <c r="AF1763">
        <v>-3.3055552680169802</v>
      </c>
      <c r="AG1763">
        <v>-1.1044245329786</v>
      </c>
      <c r="AH1763">
        <v>25.744562490724501</v>
      </c>
      <c r="AI1763">
        <v>92.436467085073303</v>
      </c>
      <c r="AJ1763">
        <v>97.316642110936996</v>
      </c>
      <c r="AK1763">
        <v>25.979394662265999</v>
      </c>
    </row>
    <row r="1764" spans="1:37" x14ac:dyDescent="0.2">
      <c r="A1764" t="str">
        <f>"20200111153433417"</f>
        <v>20200111153433417</v>
      </c>
      <c r="B1764" t="str">
        <f>"1578728073407871"</f>
        <v>1578728073407871</v>
      </c>
      <c r="C1764" t="s">
        <v>37</v>
      </c>
      <c r="D1764">
        <v>4.6823050000000004</v>
      </c>
      <c r="E1764">
        <v>0.4651689</v>
      </c>
      <c r="F1764" t="s">
        <v>52</v>
      </c>
      <c r="G1764">
        <v>-382.09519999999998</v>
      </c>
      <c r="H1764" s="1">
        <v>-4.2182019999999999E-7</v>
      </c>
      <c r="I1764">
        <v>282.85250000000002</v>
      </c>
      <c r="J1764">
        <v>-356.34809999999999</v>
      </c>
      <c r="K1764">
        <v>1.104436</v>
      </c>
      <c r="L1764">
        <v>285.36959999999999</v>
      </c>
      <c r="M1764">
        <v>-0.99944169999999999</v>
      </c>
      <c r="N1764">
        <v>0</v>
      </c>
      <c r="O1764">
        <v>3.0658350000000001E-2</v>
      </c>
      <c r="P1764">
        <v>-0.99924780000000002</v>
      </c>
      <c r="Q1764">
        <v>3.8443789999999999E-2</v>
      </c>
      <c r="R1764">
        <v>-5.113828E-3</v>
      </c>
      <c r="S1764">
        <v>-3.005798</v>
      </c>
      <c r="T1764">
        <v>-0.1272423</v>
      </c>
      <c r="U1764">
        <v>-0.28878779999999998</v>
      </c>
      <c r="V1764">
        <v>-3.5756679999999999E-2</v>
      </c>
      <c r="W1764">
        <v>5.1694530000000002E-2</v>
      </c>
      <c r="X1764">
        <v>0.99802259999999998</v>
      </c>
      <c r="Y1764">
        <v>-0.125973</v>
      </c>
      <c r="Z1764">
        <v>-3.9537720000000004E-3</v>
      </c>
      <c r="AA1764">
        <v>0.99202579999999996</v>
      </c>
      <c r="AB1764">
        <v>51</v>
      </c>
      <c r="AC1764">
        <v>-25.7470999999999</v>
      </c>
      <c r="AD1764">
        <v>-1.1044364218202001</v>
      </c>
      <c r="AE1764">
        <v>-2.5170999999999699</v>
      </c>
      <c r="AF1764">
        <v>-3.2993363714653601</v>
      </c>
      <c r="AG1764">
        <v>-1.1044364218202001</v>
      </c>
      <c r="AH1764">
        <v>25.611138672179901</v>
      </c>
      <c r="AI1764">
        <v>92.449039158913607</v>
      </c>
      <c r="AJ1764">
        <v>97.340657652400907</v>
      </c>
      <c r="AK1764">
        <v>25.846389000932898</v>
      </c>
    </row>
    <row r="1765" spans="1:37" x14ac:dyDescent="0.2">
      <c r="A1765" t="str">
        <f>"20200111153433430"</f>
        <v>20200111153433430</v>
      </c>
      <c r="B1765" t="str">
        <f>"1578728073428368"</f>
        <v>1578728073428368</v>
      </c>
      <c r="C1765" t="s">
        <v>37</v>
      </c>
      <c r="D1765">
        <v>4.6931649999999996</v>
      </c>
      <c r="E1765">
        <v>0.4651537</v>
      </c>
      <c r="F1765" t="s">
        <v>52</v>
      </c>
      <c r="G1765">
        <v>-382.21949999999998</v>
      </c>
      <c r="H1765" s="1">
        <v>-3.5571109999999901E-7</v>
      </c>
      <c r="I1765">
        <v>282.87729999999999</v>
      </c>
      <c r="J1765">
        <v>-356.61869999999999</v>
      </c>
      <c r="K1765">
        <v>1.104441</v>
      </c>
      <c r="L1765">
        <v>285.37790000000001</v>
      </c>
      <c r="M1765">
        <v>-0.99944100000000002</v>
      </c>
      <c r="N1765">
        <v>0</v>
      </c>
      <c r="O1765">
        <v>3.0631419999999999E-2</v>
      </c>
      <c r="P1765">
        <v>-0.99926289999999995</v>
      </c>
      <c r="Q1765">
        <v>3.8059969999999999E-2</v>
      </c>
      <c r="R1765">
        <v>-5.0143649999999998E-3</v>
      </c>
      <c r="S1765">
        <v>-3.0057369999999999</v>
      </c>
      <c r="T1765">
        <v>-0.12831380000000001</v>
      </c>
      <c r="U1765">
        <v>-0.2895508</v>
      </c>
      <c r="V1765">
        <v>-3.563057E-2</v>
      </c>
      <c r="W1765">
        <v>5.1438339999999999E-2</v>
      </c>
      <c r="X1765">
        <v>0.99804040000000005</v>
      </c>
      <c r="Y1765">
        <v>-0.12619520000000001</v>
      </c>
      <c r="Z1765">
        <v>-3.99065599999999E-3</v>
      </c>
      <c r="AA1765">
        <v>0.99199740000000003</v>
      </c>
      <c r="AB1765">
        <v>51</v>
      </c>
      <c r="AC1765">
        <v>-25.6007999999999</v>
      </c>
      <c r="AD1765">
        <v>-1.1044413557110999</v>
      </c>
      <c r="AE1765">
        <v>-2.5006000000000199</v>
      </c>
      <c r="AF1765">
        <v>-3.2776430957631901</v>
      </c>
      <c r="AG1765">
        <v>-1.1044413557110999</v>
      </c>
      <c r="AH1765">
        <v>25.465234438412399</v>
      </c>
      <c r="AI1765">
        <v>92.463100252197506</v>
      </c>
      <c r="AJ1765">
        <v>97.334245236205504</v>
      </c>
      <c r="AK1765">
        <v>25.6990447288361</v>
      </c>
    </row>
    <row r="1766" spans="1:37" x14ac:dyDescent="0.2">
      <c r="A1766" t="str">
        <f>"20200111153433443"</f>
        <v>20200111153433443</v>
      </c>
      <c r="B1766" t="str">
        <f>"1578728073438127"</f>
        <v>1578728073438127</v>
      </c>
      <c r="C1766" t="s">
        <v>37</v>
      </c>
      <c r="D1766">
        <v>4.6836500000000001</v>
      </c>
      <c r="E1766">
        <v>0.46514359999999999</v>
      </c>
      <c r="F1766" t="s">
        <v>52</v>
      </c>
      <c r="G1766">
        <v>-382.1189</v>
      </c>
      <c r="H1766" s="1">
        <v>-4.0919539999999997E-7</v>
      </c>
      <c r="I1766">
        <v>282.92239999999998</v>
      </c>
      <c r="J1766">
        <v>-356.9</v>
      </c>
      <c r="K1766">
        <v>1.10444599999999</v>
      </c>
      <c r="L1766">
        <v>285.38650000000001</v>
      </c>
      <c r="M1766">
        <v>-0.99944009999999905</v>
      </c>
      <c r="N1766">
        <v>0</v>
      </c>
      <c r="O1766">
        <v>3.0603660000000001E-2</v>
      </c>
      <c r="P1766">
        <v>-0.99927129999999997</v>
      </c>
      <c r="Q1766">
        <v>3.7825369999999997E-2</v>
      </c>
      <c r="R1766">
        <v>-5.126678E-3</v>
      </c>
      <c r="S1766">
        <v>-3.0057369999999999</v>
      </c>
      <c r="T1766">
        <v>-0.1301813</v>
      </c>
      <c r="U1766">
        <v>-0.28942869999999998</v>
      </c>
      <c r="V1766">
        <v>-3.5715469999999999E-2</v>
      </c>
      <c r="W1766">
        <v>5.1329760000000002E-2</v>
      </c>
      <c r="X1766">
        <v>0.99804289999999996</v>
      </c>
      <c r="Y1766">
        <v>-0.12612370000000001</v>
      </c>
      <c r="Z1766">
        <v>-4.0459500000000004E-3</v>
      </c>
      <c r="AA1766">
        <v>0.99200619999999995</v>
      </c>
      <c r="AB1766">
        <v>50</v>
      </c>
      <c r="AC1766">
        <v>-25.218900000000001</v>
      </c>
      <c r="AD1766">
        <v>-1.1044464091953901</v>
      </c>
      <c r="AE1766">
        <v>-2.4641000000000299</v>
      </c>
      <c r="AF1766">
        <v>-3.2286729624358199</v>
      </c>
      <c r="AG1766">
        <v>-1.1044464091953901</v>
      </c>
      <c r="AH1766">
        <v>25.084012992182402</v>
      </c>
      <c r="AI1766">
        <v>92.500496966559894</v>
      </c>
      <c r="AJ1766">
        <v>97.334463346217603</v>
      </c>
      <c r="AK1766">
        <v>25.315051624698</v>
      </c>
    </row>
    <row r="1767" spans="1:37" x14ac:dyDescent="0.2">
      <c r="A1767" t="str">
        <f>"20200111153433455"</f>
        <v>20200111153433455</v>
      </c>
      <c r="B1767" t="str">
        <f>"1578728073447887"</f>
        <v>1578728073447887</v>
      </c>
      <c r="C1767" t="s">
        <v>37</v>
      </c>
      <c r="D1767">
        <v>4.708774</v>
      </c>
      <c r="E1767">
        <v>0.46514229999999901</v>
      </c>
      <c r="F1767" t="s">
        <v>52</v>
      </c>
      <c r="G1767">
        <v>-382.21749999999997</v>
      </c>
      <c r="H1767" s="1">
        <v>-3.567509E-7</v>
      </c>
      <c r="I1767">
        <v>282.94670000000002</v>
      </c>
      <c r="J1767">
        <v>-357.19760000000002</v>
      </c>
      <c r="K1767">
        <v>1.1044499999999999</v>
      </c>
      <c r="L1767">
        <v>285.3956</v>
      </c>
      <c r="M1767">
        <v>-0.99943930000000003</v>
      </c>
      <c r="N1767">
        <v>0</v>
      </c>
      <c r="O1767">
        <v>3.0574420000000001E-2</v>
      </c>
      <c r="P1767">
        <v>-0.99928189999999995</v>
      </c>
      <c r="Q1767">
        <v>3.7527230000000002E-2</v>
      </c>
      <c r="R1767">
        <v>-5.2425359999999999E-3</v>
      </c>
      <c r="S1767">
        <v>-3.0056759999999998</v>
      </c>
      <c r="T1767">
        <v>-0.13111909999999999</v>
      </c>
      <c r="U1767">
        <v>-0.28964229999999902</v>
      </c>
      <c r="V1767">
        <v>-3.580241E-2</v>
      </c>
      <c r="W1767">
        <v>5.1153570000000002E-2</v>
      </c>
      <c r="X1767">
        <v>0.99804879999999996</v>
      </c>
      <c r="Y1767">
        <v>-0.12616440000000001</v>
      </c>
      <c r="Z1767">
        <v>-4.07475299999999E-3</v>
      </c>
      <c r="AA1767">
        <v>0.99200100000000002</v>
      </c>
      <c r="AB1767">
        <v>50</v>
      </c>
      <c r="AC1767">
        <v>-25.0198999999999</v>
      </c>
      <c r="AD1767">
        <v>-1.1044503567508901</v>
      </c>
      <c r="AE1767">
        <v>-2.4488999999999801</v>
      </c>
      <c r="AF1767">
        <v>-3.2066060235163101</v>
      </c>
      <c r="AG1767">
        <v>-1.1044503567508901</v>
      </c>
      <c r="AH1767">
        <v>24.885289003666401</v>
      </c>
      <c r="AI1767">
        <v>92.520403286571806</v>
      </c>
      <c r="AJ1767">
        <v>97.342416744177001</v>
      </c>
      <c r="AK1767">
        <v>25.1153288168118</v>
      </c>
    </row>
    <row r="1768" spans="1:37" x14ac:dyDescent="0.2">
      <c r="A1768" t="str">
        <f>"20200111153433475"</f>
        <v>20200111153433475</v>
      </c>
      <c r="B1768" t="str">
        <f>"1578728073468383"</f>
        <v>1578728073468383</v>
      </c>
      <c r="C1768" t="s">
        <v>37</v>
      </c>
      <c r="D1768">
        <v>4.842365</v>
      </c>
      <c r="E1768">
        <v>0.46518559999999998</v>
      </c>
      <c r="F1768" t="s">
        <v>52</v>
      </c>
      <c r="G1768">
        <v>-382.30669999999998</v>
      </c>
      <c r="H1768" s="1">
        <v>-3.0929640000000001E-7</v>
      </c>
      <c r="I1768">
        <v>282.97309999999999</v>
      </c>
      <c r="J1768">
        <v>-357.62569999999999</v>
      </c>
      <c r="K1768">
        <v>1.10444599999999</v>
      </c>
      <c r="L1768">
        <v>285.40870000000001</v>
      </c>
      <c r="M1768">
        <v>-0.99943839999999995</v>
      </c>
      <c r="N1768">
        <v>0</v>
      </c>
      <c r="O1768">
        <v>3.0531820000000001E-2</v>
      </c>
      <c r="P1768">
        <v>-0.9993088</v>
      </c>
      <c r="Q1768">
        <v>3.6718519999999998E-2</v>
      </c>
      <c r="R1768">
        <v>-5.820291E-3</v>
      </c>
      <c r="S1768">
        <v>-3.005585</v>
      </c>
      <c r="T1768">
        <v>-0.13220419999999999</v>
      </c>
      <c r="U1768">
        <v>-0.28997800000000001</v>
      </c>
      <c r="V1768">
        <v>-3.6338049999999997E-2</v>
      </c>
      <c r="W1768">
        <v>5.0502099999999897E-2</v>
      </c>
      <c r="X1768">
        <v>0.99806269999999997</v>
      </c>
      <c r="Y1768">
        <v>-0.12623229999999999</v>
      </c>
      <c r="Z1768">
        <v>-4.1081659999999999E-3</v>
      </c>
      <c r="AA1768">
        <v>0.99199219999999899</v>
      </c>
      <c r="AB1768">
        <v>50</v>
      </c>
      <c r="AC1768">
        <v>-24.680999999999901</v>
      </c>
      <c r="AD1768">
        <v>-1.1044463092963901</v>
      </c>
      <c r="AE1768">
        <v>-2.43560000000002</v>
      </c>
      <c r="AF1768">
        <v>-3.1817820629481099</v>
      </c>
      <c r="AG1768">
        <v>-1.1044463092963901</v>
      </c>
      <c r="AH1768">
        <v>24.546441818700298</v>
      </c>
      <c r="AI1768">
        <v>92.554891688600193</v>
      </c>
      <c r="AJ1768">
        <v>97.3856664452898</v>
      </c>
      <c r="AK1768">
        <v>24.7764271981466</v>
      </c>
    </row>
    <row r="1769" spans="1:37" x14ac:dyDescent="0.2">
      <c r="A1769" t="str">
        <f>"20200111153433488"</f>
        <v>20200111153433488</v>
      </c>
      <c r="B1769" t="str">
        <f>"1578728073478144"</f>
        <v>1578728073478144</v>
      </c>
      <c r="C1769" t="s">
        <v>37</v>
      </c>
      <c r="D1769">
        <v>4.6499430000000004</v>
      </c>
      <c r="E1769">
        <v>0.46518989999999999</v>
      </c>
      <c r="F1769" t="s">
        <v>52</v>
      </c>
      <c r="G1769">
        <v>-382.19540000000001</v>
      </c>
      <c r="H1769" s="1">
        <v>-3.6850899999999998E-7</v>
      </c>
      <c r="I1769">
        <v>283.02800000000002</v>
      </c>
      <c r="J1769">
        <v>-357.9357</v>
      </c>
      <c r="K1769">
        <v>1.104447</v>
      </c>
      <c r="L1769">
        <v>285.41809999999998</v>
      </c>
      <c r="M1769">
        <v>-0.99943799999999905</v>
      </c>
      <c r="N1769">
        <v>0</v>
      </c>
      <c r="O1769">
        <v>3.0501159999999999E-2</v>
      </c>
      <c r="P1769">
        <v>-0.99933079999999996</v>
      </c>
      <c r="Q1769">
        <v>3.607556E-2</v>
      </c>
      <c r="R1769">
        <v>-6.0863319999999999E-3</v>
      </c>
      <c r="S1769">
        <v>-3.005341</v>
      </c>
      <c r="T1769">
        <v>-0.13509460000000001</v>
      </c>
      <c r="U1769">
        <v>-0.29119869999999998</v>
      </c>
      <c r="V1769">
        <v>-3.6573670000000003E-2</v>
      </c>
      <c r="W1769">
        <v>4.9961569999999997E-2</v>
      </c>
      <c r="X1769">
        <v>0.99808129999999995</v>
      </c>
      <c r="Y1769">
        <v>-0.12660189999999999</v>
      </c>
      <c r="Z1769">
        <v>-4.2050639999999997E-3</v>
      </c>
      <c r="AA1769">
        <v>0.99194470000000001</v>
      </c>
      <c r="AB1769">
        <v>50</v>
      </c>
      <c r="AC1769">
        <v>-24.259699999999999</v>
      </c>
      <c r="AD1769">
        <v>-1.1044473685089999</v>
      </c>
      <c r="AE1769">
        <v>-2.3900999999999599</v>
      </c>
      <c r="AF1769">
        <v>-3.1225985504769298</v>
      </c>
      <c r="AG1769">
        <v>-1.1044473685089999</v>
      </c>
      <c r="AH1769">
        <v>24.125979432078498</v>
      </c>
      <c r="AI1769">
        <v>92.599423905290195</v>
      </c>
      <c r="AJ1769">
        <v>97.374730966165998</v>
      </c>
      <c r="AK1769">
        <v>24.352275237733298</v>
      </c>
    </row>
    <row r="1770" spans="1:37" x14ac:dyDescent="0.2">
      <c r="A1770" t="str">
        <f>"20200111153433503"</f>
        <v>20200111153433503</v>
      </c>
      <c r="B1770" t="str">
        <f>"1578728073497664"</f>
        <v>1578728073497664</v>
      </c>
      <c r="C1770" t="s">
        <v>37</v>
      </c>
      <c r="D1770">
        <v>4.6922050000000004</v>
      </c>
      <c r="E1770">
        <v>0.46513179999999998</v>
      </c>
      <c r="F1770" t="s">
        <v>52</v>
      </c>
      <c r="G1770">
        <v>-382.0881</v>
      </c>
      <c r="H1770" s="1">
        <v>-4.2560349999999999E-7</v>
      </c>
      <c r="I1770">
        <v>283.06970000000001</v>
      </c>
      <c r="J1770">
        <v>-358.25990000000002</v>
      </c>
      <c r="K1770">
        <v>1.104452</v>
      </c>
      <c r="L1770">
        <v>285.428</v>
      </c>
      <c r="M1770">
        <v>-0.99943769999999998</v>
      </c>
      <c r="N1770">
        <v>0</v>
      </c>
      <c r="O1770">
        <v>3.0469449999999999E-2</v>
      </c>
      <c r="P1770">
        <v>-0.99934789999999996</v>
      </c>
      <c r="Q1770">
        <v>3.5532199999999903E-2</v>
      </c>
      <c r="R1770">
        <v>-6.4550780000000004E-3</v>
      </c>
      <c r="S1770">
        <v>-3.0052189999999999</v>
      </c>
      <c r="T1770">
        <v>-0.1374234</v>
      </c>
      <c r="U1770">
        <v>-0.29220580000000002</v>
      </c>
      <c r="V1770">
        <v>-3.6911449999999998E-2</v>
      </c>
      <c r="W1770">
        <v>4.951676E-2</v>
      </c>
      <c r="X1770">
        <v>0.99809099999999995</v>
      </c>
      <c r="Y1770">
        <v>-0.12689790000000001</v>
      </c>
      <c r="Z1770">
        <v>-4.282887E-3</v>
      </c>
      <c r="AA1770">
        <v>0.99190650000000002</v>
      </c>
      <c r="AB1770">
        <v>50</v>
      </c>
      <c r="AC1770">
        <v>-23.828199999999899</v>
      </c>
      <c r="AD1770">
        <v>-1.1044524256035</v>
      </c>
      <c r="AE1770">
        <v>-2.3582999999999799</v>
      </c>
      <c r="AF1770">
        <v>-3.0767621537133998</v>
      </c>
      <c r="AG1770">
        <v>-1.1044524256035</v>
      </c>
      <c r="AH1770">
        <v>23.694859401504399</v>
      </c>
      <c r="AI1770">
        <v>92.646523325284406</v>
      </c>
      <c r="AJ1770">
        <v>97.398423953429301</v>
      </c>
      <c r="AK1770">
        <v>23.919294357652099</v>
      </c>
    </row>
    <row r="1771" spans="1:37" x14ac:dyDescent="0.2">
      <c r="A1771" t="str">
        <f>"20200111153433516"</f>
        <v>20200111153433516</v>
      </c>
      <c r="B1771" t="str">
        <f>"1578728073508399"</f>
        <v>1578728073508399</v>
      </c>
      <c r="C1771" t="s">
        <v>37</v>
      </c>
      <c r="D1771">
        <v>4.7016330000000002</v>
      </c>
      <c r="E1771">
        <v>0.4651034</v>
      </c>
      <c r="F1771" t="s">
        <v>52</v>
      </c>
      <c r="G1771">
        <v>-382.02280000000002</v>
      </c>
      <c r="H1771" s="1">
        <v>-4.6038170000000002E-7</v>
      </c>
      <c r="I1771">
        <v>283.10430000000002</v>
      </c>
      <c r="J1771">
        <v>-358.56760000000003</v>
      </c>
      <c r="K1771">
        <v>1.1044529999999999</v>
      </c>
      <c r="L1771">
        <v>285.43729999999999</v>
      </c>
      <c r="M1771">
        <v>-0.99943719999999903</v>
      </c>
      <c r="N1771">
        <v>0</v>
      </c>
      <c r="O1771">
        <v>3.0439270000000001E-2</v>
      </c>
      <c r="P1771">
        <v>-0.99935940000000001</v>
      </c>
      <c r="Q1771">
        <v>3.5149039999999999E-2</v>
      </c>
      <c r="R1771">
        <v>-6.7420989999999997E-3</v>
      </c>
      <c r="S1771">
        <v>-3.0050659999999998</v>
      </c>
      <c r="T1771">
        <v>-0.13966979999999901</v>
      </c>
      <c r="U1771">
        <v>-0.2938538</v>
      </c>
      <c r="V1771">
        <v>-3.7168519999999997E-2</v>
      </c>
      <c r="W1771">
        <v>4.9218619999999998E-2</v>
      </c>
      <c r="X1771">
        <v>0.99809619999999999</v>
      </c>
      <c r="Y1771">
        <v>-0.12740570000000001</v>
      </c>
      <c r="Z1771">
        <v>-4.3632990000000002E-3</v>
      </c>
      <c r="AA1771">
        <v>0.99184110000000003</v>
      </c>
      <c r="AB1771">
        <v>50</v>
      </c>
      <c r="AC1771">
        <v>-23.455199999999898</v>
      </c>
      <c r="AD1771">
        <v>-1.1044534603817</v>
      </c>
      <c r="AE1771">
        <v>-2.33299999999997</v>
      </c>
      <c r="AF1771">
        <v>-3.0392759891758701</v>
      </c>
      <c r="AG1771">
        <v>-1.1044534603817</v>
      </c>
      <c r="AH1771">
        <v>23.322102684376901</v>
      </c>
      <c r="AI1771">
        <v>92.688602841277898</v>
      </c>
      <c r="AJ1771">
        <v>97.424795347180407</v>
      </c>
      <c r="AK1771">
        <v>23.545222224586301</v>
      </c>
    </row>
    <row r="1772" spans="1:37" x14ac:dyDescent="0.2">
      <c r="A1772" t="str">
        <f>"20200111153433529"</f>
        <v>20200111153433529</v>
      </c>
      <c r="B1772" t="str">
        <f>"1578728073518159"</f>
        <v>1578728073518159</v>
      </c>
      <c r="C1772" t="s">
        <v>37</v>
      </c>
      <c r="D1772">
        <v>4.6976829999999996</v>
      </c>
      <c r="E1772">
        <v>0.46508359999999899</v>
      </c>
      <c r="F1772" t="s">
        <v>52</v>
      </c>
      <c r="G1772">
        <v>-382.07619999999997</v>
      </c>
      <c r="H1772" s="1">
        <v>-4.3195149999999999E-7</v>
      </c>
      <c r="I1772">
        <v>283.12979999999999</v>
      </c>
      <c r="J1772">
        <v>-358.85660000000001</v>
      </c>
      <c r="K1772">
        <v>1.1044579999999999</v>
      </c>
      <c r="L1772">
        <v>285.4461</v>
      </c>
      <c r="M1772">
        <v>-0.99943719999999903</v>
      </c>
      <c r="N1772">
        <v>0</v>
      </c>
      <c r="O1772">
        <v>3.041102E-2</v>
      </c>
      <c r="P1772">
        <v>-0.99939020000000001</v>
      </c>
      <c r="Q1772">
        <v>3.4066899999999997E-2</v>
      </c>
      <c r="R1772">
        <v>-7.6697859999999996E-3</v>
      </c>
      <c r="S1772">
        <v>-3.0049130000000002</v>
      </c>
      <c r="T1772">
        <v>-0.1411732</v>
      </c>
      <c r="U1772">
        <v>-0.2949524</v>
      </c>
      <c r="V1772">
        <v>-3.8068449999999997E-2</v>
      </c>
      <c r="W1772">
        <v>4.8207960000000001E-2</v>
      </c>
      <c r="X1772">
        <v>0.99811159999999999</v>
      </c>
      <c r="Y1772">
        <v>-0.12773779999999901</v>
      </c>
      <c r="Z1772">
        <v>-4.4168180000000003E-3</v>
      </c>
      <c r="AA1772">
        <v>0.99179819999999996</v>
      </c>
      <c r="AB1772">
        <v>50</v>
      </c>
      <c r="AC1772">
        <v>-23.2195999999999</v>
      </c>
      <c r="AD1772">
        <v>-1.1044584319514901</v>
      </c>
      <c r="AE1772">
        <v>-2.3163000000000098</v>
      </c>
      <c r="AF1772">
        <v>-3.0146774368270099</v>
      </c>
      <c r="AG1772">
        <v>-1.1044584319514901</v>
      </c>
      <c r="AH1772">
        <v>23.0866911129573</v>
      </c>
      <c r="AI1772">
        <v>92.715897889191695</v>
      </c>
      <c r="AJ1772">
        <v>97.439631216794098</v>
      </c>
      <c r="AK1772">
        <v>23.308869878677601</v>
      </c>
    </row>
    <row r="1773" spans="1:37" x14ac:dyDescent="0.2">
      <c r="A1773" t="str">
        <f>"20200111153433543"</f>
        <v>20200111153433543</v>
      </c>
      <c r="B1773" t="str">
        <f>"1578728073537679"</f>
        <v>1578728073537679</v>
      </c>
      <c r="C1773" t="s">
        <v>37</v>
      </c>
      <c r="D1773">
        <v>4.6740259999999996</v>
      </c>
      <c r="E1773">
        <v>0.46502359999999998</v>
      </c>
      <c r="F1773" t="s">
        <v>52</v>
      </c>
      <c r="G1773">
        <v>-381.81319999999999</v>
      </c>
      <c r="H1773" s="1">
        <v>-5.7189409999999996E-7</v>
      </c>
      <c r="I1773">
        <v>283.1703</v>
      </c>
      <c r="J1773">
        <v>-359.15989999999999</v>
      </c>
      <c r="K1773">
        <v>1.104463</v>
      </c>
      <c r="L1773">
        <v>285.4554</v>
      </c>
      <c r="M1773">
        <v>-0.99943709999999997</v>
      </c>
      <c r="N1773">
        <v>0</v>
      </c>
      <c r="O1773">
        <v>3.03813E-2</v>
      </c>
      <c r="P1773">
        <v>-0.99938689999999997</v>
      </c>
      <c r="Q1773">
        <v>3.4044980000000002E-2</v>
      </c>
      <c r="R1773">
        <v>-8.1841899999999992E-3</v>
      </c>
      <c r="S1773">
        <v>-3.004486</v>
      </c>
      <c r="T1773">
        <v>-0.144547799999999</v>
      </c>
      <c r="U1773">
        <v>-0.29785159999999899</v>
      </c>
      <c r="V1773">
        <v>-3.8552870000000003E-2</v>
      </c>
      <c r="W1773">
        <v>4.8256069999999998E-2</v>
      </c>
      <c r="X1773">
        <v>0.998090699999999</v>
      </c>
      <c r="Y1773">
        <v>-0.12866040000000001</v>
      </c>
      <c r="Z1773">
        <v>-4.5434100000000003E-3</v>
      </c>
      <c r="AA1773">
        <v>0.99167830000000001</v>
      </c>
      <c r="AB1773">
        <v>50</v>
      </c>
      <c r="AC1773">
        <v>-22.653300000000002</v>
      </c>
      <c r="AD1773">
        <v>-1.1044635718941</v>
      </c>
      <c r="AE1773">
        <v>-2.2850999999999999</v>
      </c>
      <c r="AF1773">
        <v>-2.96537346268406</v>
      </c>
      <c r="AG1773">
        <v>-1.1044635718941</v>
      </c>
      <c r="AH1773">
        <v>22.520416246013301</v>
      </c>
      <c r="AI1773">
        <v>92.783703781638096</v>
      </c>
      <c r="AJ1773">
        <v>97.501261455602105</v>
      </c>
      <c r="AK1773">
        <v>22.741645222994102</v>
      </c>
    </row>
    <row r="1774" spans="1:37" x14ac:dyDescent="0.2">
      <c r="A1774" t="str">
        <f>"20200111153433565"</f>
        <v>20200111153433565</v>
      </c>
      <c r="B1774" t="str">
        <f>"1578728073557623"</f>
        <v>1578728073557623</v>
      </c>
      <c r="C1774" t="s">
        <v>37</v>
      </c>
      <c r="D1774">
        <v>4.7133529999999997</v>
      </c>
      <c r="E1774">
        <v>0.45565719999999998</v>
      </c>
      <c r="F1774" t="s">
        <v>52</v>
      </c>
      <c r="G1774">
        <v>-382.07639999999998</v>
      </c>
      <c r="H1774" s="1">
        <v>-4.31849799999999E-7</v>
      </c>
      <c r="I1774">
        <v>283.16449999999998</v>
      </c>
      <c r="J1774">
        <v>-359.63909999999998</v>
      </c>
      <c r="K1774">
        <v>1.104481</v>
      </c>
      <c r="L1774">
        <v>285.4699</v>
      </c>
      <c r="M1774">
        <v>-0.99943719999999903</v>
      </c>
      <c r="N1774">
        <v>0</v>
      </c>
      <c r="O1774">
        <v>3.0333550000000001E-2</v>
      </c>
      <c r="P1774">
        <v>-0.99937299999999996</v>
      </c>
      <c r="Q1774">
        <v>3.417071E-2</v>
      </c>
      <c r="R1774">
        <v>-9.290108E-3</v>
      </c>
      <c r="S1774">
        <v>-3.00430299999999</v>
      </c>
      <c r="T1774">
        <v>-0.14479300000000001</v>
      </c>
      <c r="U1774">
        <v>-0.30032350000000002</v>
      </c>
      <c r="V1774">
        <v>-3.9610399999999997E-2</v>
      </c>
      <c r="W1774">
        <v>4.847945E-2</v>
      </c>
      <c r="X1774">
        <v>0.99803850000000005</v>
      </c>
      <c r="Y1774">
        <v>-0.1294254</v>
      </c>
      <c r="Z1774">
        <v>-4.5672880000000001E-3</v>
      </c>
      <c r="AA1774">
        <v>0.99157859999999998</v>
      </c>
      <c r="AB1774">
        <v>50</v>
      </c>
      <c r="AC1774">
        <v>-22.4373</v>
      </c>
      <c r="AD1774">
        <v>-1.1044814318498</v>
      </c>
      <c r="AE1774">
        <v>-2.3054000000000201</v>
      </c>
      <c r="AF1774">
        <v>-2.97787133012383</v>
      </c>
      <c r="AG1774">
        <v>-1.1044814318498</v>
      </c>
      <c r="AH1774">
        <v>22.303555130710802</v>
      </c>
      <c r="AI1774">
        <v>92.810099386224806</v>
      </c>
      <c r="AJ1774">
        <v>97.604900754536999</v>
      </c>
      <c r="AK1774">
        <v>22.528563388745599</v>
      </c>
    </row>
    <row r="1775" spans="1:37" x14ac:dyDescent="0.2">
      <c r="A1775" t="str">
        <f>"20200111153433580"</f>
        <v>20200111153433580</v>
      </c>
      <c r="B1775" t="str">
        <f>"1578728073568359"</f>
        <v>1578728073568359</v>
      </c>
      <c r="C1775" t="s">
        <v>37</v>
      </c>
      <c r="D1775">
        <v>4.7365259999999996</v>
      </c>
      <c r="E1775">
        <v>0.4549898</v>
      </c>
      <c r="F1775" t="s">
        <v>52</v>
      </c>
      <c r="G1775">
        <v>-380.04629999999997</v>
      </c>
      <c r="H1775" s="1">
        <v>-1.5121399999999999E-6</v>
      </c>
      <c r="I1775">
        <v>282.90230000000003</v>
      </c>
      <c r="J1775">
        <v>-359.96800000000002</v>
      </c>
      <c r="K1775">
        <v>1.1044969999999901</v>
      </c>
      <c r="L1775">
        <v>285.47989999999999</v>
      </c>
      <c r="M1775">
        <v>-0.99943719999999903</v>
      </c>
      <c r="N1775">
        <v>0</v>
      </c>
      <c r="O1775">
        <v>3.0301270000000002E-2</v>
      </c>
      <c r="P1775">
        <v>-0.9993436</v>
      </c>
      <c r="Q1775">
        <v>3.49205E-2</v>
      </c>
      <c r="R1775">
        <v>-9.6599759999999903E-3</v>
      </c>
      <c r="S1775">
        <v>-3.0039370000000001</v>
      </c>
      <c r="T1775">
        <v>-0.16257949999999999</v>
      </c>
      <c r="U1775">
        <v>-0.37796020000000002</v>
      </c>
      <c r="V1775">
        <v>-3.9946710000000003E-2</v>
      </c>
      <c r="W1775">
        <v>4.9289109999999997E-2</v>
      </c>
      <c r="X1775">
        <v>0.99798539999999902</v>
      </c>
      <c r="Y1775">
        <v>-0.15458069999999999</v>
      </c>
      <c r="Z1775">
        <v>-5.7967899999999996E-3</v>
      </c>
      <c r="AA1775">
        <v>0.98796309999999998</v>
      </c>
      <c r="AB1775">
        <v>50</v>
      </c>
      <c r="AC1775">
        <v>-20.078299999999899</v>
      </c>
      <c r="AD1775">
        <v>-1.1044985121399999</v>
      </c>
      <c r="AE1775">
        <v>-2.5775999999999599</v>
      </c>
      <c r="AF1775">
        <v>-3.1754239510228102</v>
      </c>
      <c r="AG1775">
        <v>-1.1044985121399999</v>
      </c>
      <c r="AH1775">
        <v>19.9316294719541</v>
      </c>
      <c r="AI1775">
        <v>93.132342517976696</v>
      </c>
      <c r="AJ1775">
        <v>99.052050868648905</v>
      </c>
      <c r="AK1775">
        <v>20.2131909316495</v>
      </c>
    </row>
    <row r="1776" spans="1:37" x14ac:dyDescent="0.2">
      <c r="A1776" t="str">
        <f>"20200111153433596"</f>
        <v>20200111153433596</v>
      </c>
      <c r="B1776" t="str">
        <f>"1578728073587883"</f>
        <v>1578728073587883</v>
      </c>
      <c r="C1776" t="s">
        <v>37</v>
      </c>
      <c r="D1776">
        <v>4.6883220000000003</v>
      </c>
      <c r="E1776">
        <v>0.45412019999999997</v>
      </c>
      <c r="F1776" t="s">
        <v>52</v>
      </c>
      <c r="G1776">
        <v>-380.48599999999999</v>
      </c>
      <c r="H1776" s="1">
        <v>-1.2781610000000001E-6</v>
      </c>
      <c r="I1776">
        <v>282.85489999999999</v>
      </c>
      <c r="J1776">
        <v>-360.3578</v>
      </c>
      <c r="K1776">
        <v>1.104519</v>
      </c>
      <c r="L1776">
        <v>285.49160000000001</v>
      </c>
      <c r="M1776">
        <v>-0.99943749999999998</v>
      </c>
      <c r="N1776">
        <v>0</v>
      </c>
      <c r="O1776">
        <v>3.0262589999999999E-2</v>
      </c>
      <c r="P1776">
        <v>-0.99928119999999998</v>
      </c>
      <c r="Q1776">
        <v>3.6460939999999997E-2</v>
      </c>
      <c r="R1776">
        <v>-1.039321E-2</v>
      </c>
      <c r="S1776">
        <v>-3.0039060000000002</v>
      </c>
      <c r="T1776">
        <v>-0.16170279999999901</v>
      </c>
      <c r="U1776">
        <v>-0.38430789999999998</v>
      </c>
      <c r="V1776">
        <v>-4.0639160000000001E-2</v>
      </c>
      <c r="W1776">
        <v>5.0890699999999997E-2</v>
      </c>
      <c r="X1776">
        <v>0.99787709999999996</v>
      </c>
      <c r="Y1776">
        <v>-0.15659819999999999</v>
      </c>
      <c r="Z1776">
        <v>-5.8168509999999996E-3</v>
      </c>
      <c r="AA1776">
        <v>0.98764529999999995</v>
      </c>
      <c r="AB1776">
        <v>50</v>
      </c>
      <c r="AC1776">
        <v>-20.1282</v>
      </c>
      <c r="AD1776">
        <v>-1.104520278161</v>
      </c>
      <c r="AE1776">
        <v>-2.63670000000001</v>
      </c>
      <c r="AF1776">
        <v>-3.2351100052674902</v>
      </c>
      <c r="AG1776">
        <v>-1.104520278161</v>
      </c>
      <c r="AH1776">
        <v>19.980028713376001</v>
      </c>
      <c r="AI1776">
        <v>93.123561297043096</v>
      </c>
      <c r="AJ1776">
        <v>99.197349498891498</v>
      </c>
      <c r="AK1776">
        <v>20.270358881341501</v>
      </c>
    </row>
    <row r="1777" spans="1:37" x14ac:dyDescent="0.2">
      <c r="A1777" t="str">
        <f>"20200111153433609"</f>
        <v>20200111153433609</v>
      </c>
      <c r="B1777" t="str">
        <f>"1578728073597639"</f>
        <v>1578728073597639</v>
      </c>
      <c r="C1777" t="s">
        <v>37</v>
      </c>
      <c r="D1777">
        <v>4.7148599999999998</v>
      </c>
      <c r="E1777">
        <v>0.45409110000000003</v>
      </c>
      <c r="F1777" t="s">
        <v>52</v>
      </c>
      <c r="G1777">
        <v>-381.87560000000002</v>
      </c>
      <c r="H1777" s="1">
        <v>-5.3867609999999899E-7</v>
      </c>
      <c r="I1777">
        <v>282.67320000000001</v>
      </c>
      <c r="J1777">
        <v>-360.63639999999998</v>
      </c>
      <c r="K1777">
        <v>1.104533</v>
      </c>
      <c r="L1777">
        <v>285.50009999999997</v>
      </c>
      <c r="M1777">
        <v>-0.99943760000000004</v>
      </c>
      <c r="N1777">
        <v>0</v>
      </c>
      <c r="O1777">
        <v>3.0235049999999999E-2</v>
      </c>
      <c r="P1777">
        <v>-0.99924449999999998</v>
      </c>
      <c r="Q1777">
        <v>3.7379349999999999E-2</v>
      </c>
      <c r="R1777">
        <v>-1.0648309999999999E-2</v>
      </c>
      <c r="S1777">
        <v>-3.0037229999999999</v>
      </c>
      <c r="T1777">
        <v>-0.1541824</v>
      </c>
      <c r="U1777">
        <v>-0.39343259999999902</v>
      </c>
      <c r="V1777">
        <v>-4.0866020000000003E-2</v>
      </c>
      <c r="W1777">
        <v>5.1848829999999999E-2</v>
      </c>
      <c r="X1777">
        <v>0.99781849999999905</v>
      </c>
      <c r="Y1777">
        <v>-0.1595492</v>
      </c>
      <c r="Z1777">
        <v>-5.6199229999999998E-3</v>
      </c>
      <c r="AA1777">
        <v>0.987174</v>
      </c>
      <c r="AB1777">
        <v>50</v>
      </c>
      <c r="AC1777">
        <v>-21.2392</v>
      </c>
      <c r="AD1777">
        <v>-1.1045335386760999</v>
      </c>
      <c r="AE1777">
        <v>-2.8268999999999598</v>
      </c>
      <c r="AF1777">
        <v>-3.4586521453390602</v>
      </c>
      <c r="AG1777">
        <v>-1.1045335386760999</v>
      </c>
      <c r="AH1777">
        <v>21.0879683366175</v>
      </c>
      <c r="AI1777">
        <v>92.958806267714905</v>
      </c>
      <c r="AJ1777">
        <v>99.314195113986003</v>
      </c>
      <c r="AK1777">
        <v>21.398240057694</v>
      </c>
    </row>
    <row r="1778" spans="1:37" x14ac:dyDescent="0.2">
      <c r="A1778" t="str">
        <f>"20200111153433622"</f>
        <v>20200111153433622</v>
      </c>
      <c r="B1778" t="str">
        <f>"1578728073618135"</f>
        <v>1578728073618135</v>
      </c>
      <c r="C1778" t="s">
        <v>37</v>
      </c>
      <c r="D1778">
        <v>4.7209300000000001</v>
      </c>
      <c r="E1778">
        <v>0.453984</v>
      </c>
      <c r="F1778" t="s">
        <v>52</v>
      </c>
      <c r="G1778">
        <v>-382.59730000000002</v>
      </c>
      <c r="H1778" s="1">
        <v>-1.54655299999999E-7</v>
      </c>
      <c r="I1778">
        <v>282.6173</v>
      </c>
      <c r="J1778">
        <v>-360.92160000000001</v>
      </c>
      <c r="K1778">
        <v>1.1045469999999999</v>
      </c>
      <c r="L1778">
        <v>285.50869999999998</v>
      </c>
      <c r="M1778">
        <v>-0.99943799999999905</v>
      </c>
      <c r="N1778">
        <v>0</v>
      </c>
      <c r="O1778">
        <v>3.020639E-2</v>
      </c>
      <c r="P1778">
        <v>-0.99921589999999905</v>
      </c>
      <c r="Q1778">
        <v>3.8011389999999999E-2</v>
      </c>
      <c r="R1778">
        <v>-1.1094629999999999E-2</v>
      </c>
      <c r="S1778">
        <v>-3.0036930000000002</v>
      </c>
      <c r="T1778">
        <v>-0.15107200000000001</v>
      </c>
      <c r="U1778">
        <v>-0.394287099999999</v>
      </c>
      <c r="V1778">
        <v>-4.1282779999999998E-2</v>
      </c>
      <c r="W1778">
        <v>5.2519299999999998E-2</v>
      </c>
      <c r="X1778">
        <v>0.99776629999999999</v>
      </c>
      <c r="Y1778">
        <v>-0.1598078</v>
      </c>
      <c r="Z1778">
        <v>-5.511686E-3</v>
      </c>
      <c r="AA1778">
        <v>0.98713280000000003</v>
      </c>
      <c r="AB1778">
        <v>50</v>
      </c>
      <c r="AC1778">
        <v>-21.675699999999999</v>
      </c>
      <c r="AD1778">
        <v>-1.1045471546552901</v>
      </c>
      <c r="AE1778">
        <v>-2.8913999999999702</v>
      </c>
      <c r="AF1778">
        <v>-3.5358730528873301</v>
      </c>
      <c r="AG1778">
        <v>-1.1045471546552901</v>
      </c>
      <c r="AH1778">
        <v>21.5235457968746</v>
      </c>
      <c r="AI1778">
        <v>92.898942770609807</v>
      </c>
      <c r="AJ1778">
        <v>99.329181830320394</v>
      </c>
      <c r="AK1778">
        <v>21.8399964819857</v>
      </c>
    </row>
    <row r="1779" spans="1:37" x14ac:dyDescent="0.2">
      <c r="A1779" t="str">
        <f>"20200111153433634"</f>
        <v>20200111153433634</v>
      </c>
      <c r="B1779" t="str">
        <f>"1578728073627895"</f>
        <v>1578728073627895</v>
      </c>
      <c r="C1779" t="s">
        <v>37</v>
      </c>
      <c r="D1779">
        <v>4.7237119999999999</v>
      </c>
      <c r="E1779">
        <v>0.4539514</v>
      </c>
      <c r="F1779" t="s">
        <v>52</v>
      </c>
      <c r="G1779">
        <v>-383.31369999999998</v>
      </c>
      <c r="H1779" s="1">
        <v>2.2660970000000001E-7</v>
      </c>
      <c r="I1779">
        <v>282.55290000000002</v>
      </c>
      <c r="J1779">
        <v>-361.22969999999998</v>
      </c>
      <c r="K1779">
        <v>1.1045579999999999</v>
      </c>
      <c r="L1779">
        <v>285.51799999999997</v>
      </c>
      <c r="M1779">
        <v>-0.9994383</v>
      </c>
      <c r="N1779">
        <v>0</v>
      </c>
      <c r="O1779">
        <v>3.01757E-2</v>
      </c>
      <c r="P1779">
        <v>-0.99919069999999899</v>
      </c>
      <c r="Q1779">
        <v>3.8663070000000001E-2</v>
      </c>
      <c r="R1779">
        <v>-1.110336E-2</v>
      </c>
      <c r="S1779">
        <v>-3.0036320000000001</v>
      </c>
      <c r="T1779">
        <v>-0.1481613</v>
      </c>
      <c r="U1779">
        <v>-0.39648440000000001</v>
      </c>
      <c r="V1779">
        <v>-4.1259869999999997E-2</v>
      </c>
      <c r="W1779">
        <v>5.3208789999999999E-2</v>
      </c>
      <c r="X1779">
        <v>0.99773069999999897</v>
      </c>
      <c r="Y1779">
        <v>-0.1604981</v>
      </c>
      <c r="Z1779">
        <v>-5.4209130000000003E-3</v>
      </c>
      <c r="AA1779">
        <v>0.98702129999999999</v>
      </c>
      <c r="AB1779">
        <v>50</v>
      </c>
      <c r="AC1779">
        <v>-22.084</v>
      </c>
      <c r="AD1779">
        <v>-1.1045577733903</v>
      </c>
      <c r="AE1779">
        <v>-2.9650999999999499</v>
      </c>
      <c r="AF1779">
        <v>-3.6213216605405898</v>
      </c>
      <c r="AG1779">
        <v>-1.1045577733903</v>
      </c>
      <c r="AH1779">
        <v>21.930567080335699</v>
      </c>
      <c r="AI1779">
        <v>92.844870319617698</v>
      </c>
      <c r="AJ1779">
        <v>99.3764506309589</v>
      </c>
      <c r="AK1779">
        <v>22.254972273830401</v>
      </c>
    </row>
    <row r="1780" spans="1:37" x14ac:dyDescent="0.2">
      <c r="A1780" t="str">
        <f>"20200111153433648"</f>
        <v>20200111153433648</v>
      </c>
      <c r="B1780" t="str">
        <f>"1578728073637655"</f>
        <v>1578728073637655</v>
      </c>
      <c r="C1780" t="s">
        <v>37</v>
      </c>
      <c r="D1780">
        <v>4.7504019999999896</v>
      </c>
      <c r="E1780">
        <v>0.45387149999999998</v>
      </c>
      <c r="F1780" t="s">
        <v>52</v>
      </c>
      <c r="G1780">
        <v>-383.93950000000001</v>
      </c>
      <c r="H1780" s="1">
        <v>5.5961650000000004E-7</v>
      </c>
      <c r="I1780">
        <v>282.51609999999999</v>
      </c>
      <c r="J1780">
        <v>-361.51760000000002</v>
      </c>
      <c r="K1780">
        <v>1.1045659999999999</v>
      </c>
      <c r="L1780">
        <v>285.52670000000001</v>
      </c>
      <c r="M1780">
        <v>-0.99943879999999996</v>
      </c>
      <c r="N1780">
        <v>0</v>
      </c>
      <c r="O1780">
        <v>3.0146920000000001E-2</v>
      </c>
      <c r="P1780">
        <v>-0.99915469999999895</v>
      </c>
      <c r="Q1780">
        <v>3.9536450000000001E-2</v>
      </c>
      <c r="R1780">
        <v>-1.1276039999999999E-2</v>
      </c>
      <c r="S1780">
        <v>-3.0036619999999998</v>
      </c>
      <c r="T1780">
        <v>-0.14609220000000001</v>
      </c>
      <c r="U1780">
        <v>-0.39703369999999999</v>
      </c>
      <c r="V1780">
        <v>-4.1402960000000003E-2</v>
      </c>
      <c r="W1780">
        <v>5.4113000000000001E-2</v>
      </c>
      <c r="X1780">
        <v>0.99767609999999995</v>
      </c>
      <c r="Y1780">
        <v>-0.16065199999999999</v>
      </c>
      <c r="Z1780">
        <v>-5.3475099999999998E-3</v>
      </c>
      <c r="AA1780">
        <v>0.98699669999999895</v>
      </c>
      <c r="AB1780">
        <v>50</v>
      </c>
      <c r="AC1780">
        <v>-22.421899999999901</v>
      </c>
      <c r="AD1780">
        <v>-1.1045654403834999</v>
      </c>
      <c r="AE1780">
        <v>-3.0106000000000099</v>
      </c>
      <c r="AF1780">
        <v>-3.6764904494907098</v>
      </c>
      <c r="AG1780">
        <v>-1.1045654403834999</v>
      </c>
      <c r="AH1780">
        <v>22.267853466557501</v>
      </c>
      <c r="AI1780">
        <v>92.801878913579998</v>
      </c>
      <c r="AJ1780">
        <v>99.375132658993905</v>
      </c>
      <c r="AK1780">
        <v>22.5963259147447</v>
      </c>
    </row>
    <row r="1781" spans="1:37" x14ac:dyDescent="0.2">
      <c r="A1781" t="str">
        <f>"20200111153433662"</f>
        <v>20200111153433662</v>
      </c>
      <c r="B1781" t="str">
        <f>"1578728073658151"</f>
        <v>1578728073658151</v>
      </c>
      <c r="C1781" t="s">
        <v>37</v>
      </c>
      <c r="D1781">
        <v>4.7670430000000001</v>
      </c>
      <c r="E1781">
        <v>0.45390710000000001</v>
      </c>
      <c r="F1781" t="s">
        <v>52</v>
      </c>
      <c r="G1781">
        <v>-384.55549999999999</v>
      </c>
      <c r="H1781" s="1">
        <v>8.8740769999999899E-7</v>
      </c>
      <c r="I1781">
        <v>282.47430000000003</v>
      </c>
      <c r="J1781">
        <v>-361.80579999999998</v>
      </c>
      <c r="K1781">
        <v>1.1045750000000001</v>
      </c>
      <c r="L1781">
        <v>285.53539999999998</v>
      </c>
      <c r="M1781">
        <v>-0.99943909999999903</v>
      </c>
      <c r="N1781">
        <v>0</v>
      </c>
      <c r="O1781">
        <v>3.0118140000000002E-2</v>
      </c>
      <c r="P1781">
        <v>-0.99913879999999999</v>
      </c>
      <c r="Q1781">
        <v>3.9962930000000001E-2</v>
      </c>
      <c r="R1781">
        <v>-1.1164820000000001E-2</v>
      </c>
      <c r="S1781">
        <v>-3.0037539999999998</v>
      </c>
      <c r="T1781">
        <v>-0.14401710000000001</v>
      </c>
      <c r="U1781">
        <v>-0.39797969999999999</v>
      </c>
      <c r="V1781">
        <v>-4.1262069999999998E-2</v>
      </c>
      <c r="W1781">
        <v>5.4569140000000002E-2</v>
      </c>
      <c r="X1781">
        <v>0.99765709999999996</v>
      </c>
      <c r="Y1781">
        <v>-0.1609312</v>
      </c>
      <c r="Z1781">
        <v>-5.276663E-3</v>
      </c>
      <c r="AA1781">
        <v>0.98695149999999998</v>
      </c>
      <c r="AB1781">
        <v>50</v>
      </c>
      <c r="AC1781">
        <v>-22.749700000000001</v>
      </c>
      <c r="AD1781">
        <v>-1.1045741125923001</v>
      </c>
      <c r="AE1781">
        <v>-3.06109999999995</v>
      </c>
      <c r="AF1781">
        <v>-3.7363116802233298</v>
      </c>
      <c r="AG1781">
        <v>-1.1045741125923001</v>
      </c>
      <c r="AH1781">
        <v>22.594854273229402</v>
      </c>
      <c r="AI1781">
        <v>92.761299522410994</v>
      </c>
      <c r="AJ1781">
        <v>99.389529343834596</v>
      </c>
      <c r="AK1781">
        <v>22.9283132517517</v>
      </c>
    </row>
    <row r="1782" spans="1:37" x14ac:dyDescent="0.2">
      <c r="A1782" t="str">
        <f>"20200111153433675"</f>
        <v>20200111153433675</v>
      </c>
      <c r="B1782" t="str">
        <f>"1578728073667911"</f>
        <v>1578728073667911</v>
      </c>
      <c r="C1782" t="s">
        <v>37</v>
      </c>
      <c r="D1782">
        <v>4.7646379999999997</v>
      </c>
      <c r="E1782">
        <v>0.4538316</v>
      </c>
      <c r="F1782" t="s">
        <v>52</v>
      </c>
      <c r="G1782">
        <v>-384.6823</v>
      </c>
      <c r="H1782" s="1">
        <v>9.5492789999999994E-7</v>
      </c>
      <c r="I1782">
        <v>282.50709999999998</v>
      </c>
      <c r="J1782">
        <v>-362.1216</v>
      </c>
      <c r="K1782">
        <v>1.104579</v>
      </c>
      <c r="L1782">
        <v>285.54489999999998</v>
      </c>
      <c r="M1782">
        <v>-0.99943969999999904</v>
      </c>
      <c r="N1782">
        <v>0</v>
      </c>
      <c r="O1782">
        <v>3.008657E-2</v>
      </c>
      <c r="P1782">
        <v>-0.99913980000000002</v>
      </c>
      <c r="Q1782">
        <v>4.0127110000000001E-2</v>
      </c>
      <c r="R1782">
        <v>-1.047444E-2</v>
      </c>
      <c r="S1782">
        <v>-3.0039060000000002</v>
      </c>
      <c r="T1782">
        <v>-0.14504059999999999</v>
      </c>
      <c r="U1782">
        <v>-0.397644</v>
      </c>
      <c r="V1782">
        <v>-4.0540439999999997E-2</v>
      </c>
      <c r="W1782">
        <v>5.476292E-2</v>
      </c>
      <c r="X1782">
        <v>0.99767609999999995</v>
      </c>
      <c r="Y1782">
        <v>-0.16078229999999999</v>
      </c>
      <c r="Z1782">
        <v>-5.3087969999999996E-3</v>
      </c>
      <c r="AA1782">
        <v>0.98697559999999995</v>
      </c>
      <c r="AB1782">
        <v>50</v>
      </c>
      <c r="AC1782">
        <v>-22.560700000000001</v>
      </c>
      <c r="AD1782">
        <v>-1.1045780450720999</v>
      </c>
      <c r="AE1782">
        <v>-3.0377999999999998</v>
      </c>
      <c r="AF1782">
        <v>-3.7065448026251002</v>
      </c>
      <c r="AG1782">
        <v>-1.1045780450720999</v>
      </c>
      <c r="AH1782">
        <v>22.406323761451699</v>
      </c>
      <c r="AI1782">
        <v>92.784478897182098</v>
      </c>
      <c r="AJ1782">
        <v>99.393035775740501</v>
      </c>
      <c r="AK1782">
        <v>22.7376760363613</v>
      </c>
    </row>
    <row r="1783" spans="1:37" x14ac:dyDescent="0.2">
      <c r="A1783" t="str">
        <f>"20200111153433689"</f>
        <v>20200111153433689</v>
      </c>
      <c r="B1783" t="str">
        <f>"1578728073677671"</f>
        <v>1578728073677671</v>
      </c>
      <c r="C1783" t="s">
        <v>37</v>
      </c>
      <c r="D1783">
        <v>4.8107290000000003</v>
      </c>
      <c r="E1783">
        <v>0.4538316</v>
      </c>
      <c r="F1783" t="s">
        <v>52</v>
      </c>
      <c r="G1783">
        <v>-385.37580000000003</v>
      </c>
      <c r="H1783" s="1">
        <v>1.32394E-6</v>
      </c>
      <c r="I1783">
        <v>282.4744</v>
      </c>
      <c r="J1783">
        <v>-362.42899999999997</v>
      </c>
      <c r="K1783">
        <v>1.1045780000000001</v>
      </c>
      <c r="L1783">
        <v>285.55410000000001</v>
      </c>
      <c r="M1783">
        <v>-0.99944029999999995</v>
      </c>
      <c r="N1783">
        <v>0</v>
      </c>
      <c r="O1783">
        <v>3.0055510000000001E-2</v>
      </c>
      <c r="P1783">
        <v>-0.99916170000000004</v>
      </c>
      <c r="Q1783">
        <v>3.9708510000000002E-2</v>
      </c>
      <c r="R1783">
        <v>-9.9591430000000002E-3</v>
      </c>
      <c r="S1783">
        <v>-3.004181</v>
      </c>
      <c r="T1783">
        <v>-0.14269889999999999</v>
      </c>
      <c r="U1783">
        <v>-0.39666750000000001</v>
      </c>
      <c r="V1783">
        <v>-3.999515E-2</v>
      </c>
      <c r="W1783">
        <v>5.4370590000000003E-2</v>
      </c>
      <c r="X1783">
        <v>0.99771949999999998</v>
      </c>
      <c r="Y1783">
        <v>-0.16043199999999999</v>
      </c>
      <c r="Z1783">
        <v>-5.21306799999999E-3</v>
      </c>
      <c r="AA1783">
        <v>0.9870331</v>
      </c>
      <c r="AB1783">
        <v>50</v>
      </c>
      <c r="AC1783">
        <v>-22.9468</v>
      </c>
      <c r="AD1783">
        <v>-1.10457667606</v>
      </c>
      <c r="AE1783">
        <v>-3.0796999999999999</v>
      </c>
      <c r="AF1783">
        <v>-3.7595035099204601</v>
      </c>
      <c r="AG1783">
        <v>-1.10457667606</v>
      </c>
      <c r="AH1783">
        <v>22.7919819762771</v>
      </c>
      <c r="AI1783">
        <v>92.737641233560595</v>
      </c>
      <c r="AJ1783">
        <v>99.366513207640807</v>
      </c>
      <c r="AK1783">
        <v>23.1263572289572</v>
      </c>
    </row>
    <row r="1784" spans="1:37" x14ac:dyDescent="0.2">
      <c r="A1784" t="str">
        <f>"20200111153433703"</f>
        <v>20200111153433703</v>
      </c>
      <c r="B1784" t="str">
        <f>"1578728073698234"</f>
        <v>1578728073698234</v>
      </c>
      <c r="C1784" t="s">
        <v>37</v>
      </c>
      <c r="D1784">
        <v>4.9315189999999998</v>
      </c>
      <c r="E1784">
        <v>0.48325569999999901</v>
      </c>
      <c r="F1784" t="s">
        <v>52</v>
      </c>
      <c r="G1784">
        <v>-385.55099999999999</v>
      </c>
      <c r="H1784" s="1">
        <v>1.41717E-6</v>
      </c>
      <c r="I1784">
        <v>282.51139999999998</v>
      </c>
      <c r="J1784">
        <v>-362.73579999999998</v>
      </c>
      <c r="K1784">
        <v>1.104576</v>
      </c>
      <c r="L1784">
        <v>285.5634</v>
      </c>
      <c r="M1784">
        <v>-0.99944080000000002</v>
      </c>
      <c r="N1784">
        <v>0</v>
      </c>
      <c r="O1784">
        <v>3.00244E-2</v>
      </c>
      <c r="P1784">
        <v>-0.99920609999999999</v>
      </c>
      <c r="Q1784">
        <v>3.8725259999999997E-2</v>
      </c>
      <c r="R1784">
        <v>-9.3688899999999995E-3</v>
      </c>
      <c r="S1784">
        <v>-3.00430299999999</v>
      </c>
      <c r="T1784">
        <v>-0.1435207</v>
      </c>
      <c r="U1784">
        <v>-0.39535520000000002</v>
      </c>
      <c r="V1784">
        <v>-3.9375380000000001E-2</v>
      </c>
      <c r="W1784">
        <v>5.3412109999999999E-2</v>
      </c>
      <c r="X1784">
        <v>0.99779589999999996</v>
      </c>
      <c r="Y1784">
        <v>-0.15997039999999901</v>
      </c>
      <c r="Z1784">
        <v>-5.230541E-3</v>
      </c>
      <c r="AA1784">
        <v>0.98710789999999904</v>
      </c>
      <c r="AB1784">
        <v>50</v>
      </c>
      <c r="AC1784">
        <v>-22.815200000000001</v>
      </c>
      <c r="AD1784">
        <v>-1.10457458283</v>
      </c>
      <c r="AE1784">
        <v>-3.05200000000002</v>
      </c>
      <c r="AF1784">
        <v>-3.7271281688421301</v>
      </c>
      <c r="AG1784">
        <v>-1.10457458283</v>
      </c>
      <c r="AH1784">
        <v>22.661085660832001</v>
      </c>
      <c r="AI1784">
        <v>92.753634893807998</v>
      </c>
      <c r="AJ1784">
        <v>99.339966897986102</v>
      </c>
      <c r="AK1784">
        <v>22.992093700304299</v>
      </c>
    </row>
    <row r="1785" spans="1:37" x14ac:dyDescent="0.2">
      <c r="A1785" t="str">
        <f>"20200111153433715"</f>
        <v>20200111153433715</v>
      </c>
      <c r="B1785" t="str">
        <f>"1578728073707995"</f>
        <v>1578728073707995</v>
      </c>
      <c r="C1785" t="s">
        <v>37</v>
      </c>
      <c r="D1785">
        <v>4.7898529999999999</v>
      </c>
      <c r="E1785">
        <v>0.48325569999999901</v>
      </c>
      <c r="F1785" t="s">
        <v>52</v>
      </c>
      <c r="G1785">
        <v>-389.8682</v>
      </c>
      <c r="H1785" s="1">
        <v>3.714563E-6</v>
      </c>
      <c r="I1785">
        <v>284.12369999999999</v>
      </c>
      <c r="J1785">
        <v>-363.01979999999998</v>
      </c>
      <c r="K1785">
        <v>1.1045750000000001</v>
      </c>
      <c r="L1785">
        <v>285.57190000000003</v>
      </c>
      <c r="M1785">
        <v>-0.99944140000000004</v>
      </c>
      <c r="N1785">
        <v>0</v>
      </c>
      <c r="O1785">
        <v>2.999605E-2</v>
      </c>
      <c r="P1785">
        <v>-0.99925019999999998</v>
      </c>
      <c r="Q1785">
        <v>3.774893E-2</v>
      </c>
      <c r="R1785">
        <v>-8.6252369999999991E-3</v>
      </c>
      <c r="S1785">
        <v>-3.005646</v>
      </c>
      <c r="T1785">
        <v>-0.12236130000000001</v>
      </c>
      <c r="U1785">
        <v>-0.15948489999999901</v>
      </c>
      <c r="V1785">
        <v>-3.860512E-2</v>
      </c>
      <c r="W1785">
        <v>5.2456910000000002E-2</v>
      </c>
      <c r="X1785">
        <v>0.99787669999999995</v>
      </c>
      <c r="Y1785">
        <v>-8.2827330000000005E-2</v>
      </c>
      <c r="Z1785">
        <v>-2.9041190000000001E-3</v>
      </c>
      <c r="AA1785">
        <v>0.99655969999999905</v>
      </c>
      <c r="AB1785">
        <v>50</v>
      </c>
      <c r="AC1785">
        <v>-26.848400000000002</v>
      </c>
      <c r="AD1785">
        <v>-1.104571285437</v>
      </c>
      <c r="AE1785">
        <v>-1.4482000000000399</v>
      </c>
      <c r="AF1785">
        <v>-2.2491856914013302</v>
      </c>
      <c r="AG1785">
        <v>-1.104571285437</v>
      </c>
      <c r="AH1785">
        <v>26.747729576375299</v>
      </c>
      <c r="AI1785">
        <v>92.356429577297604</v>
      </c>
      <c r="AJ1785">
        <v>94.806628099957905</v>
      </c>
      <c r="AK1785">
        <v>26.864846016493701</v>
      </c>
    </row>
    <row r="1786" spans="1:37" x14ac:dyDescent="0.2">
      <c r="A1786" t="str">
        <f>"20200111153433731"</f>
        <v>20200111153433731</v>
      </c>
      <c r="B1786" t="str">
        <f>"1578728073727515"</f>
        <v>1578728073727515</v>
      </c>
      <c r="C1786" t="s">
        <v>37</v>
      </c>
      <c r="D1786">
        <v>4.8576499999999996</v>
      </c>
      <c r="E1786">
        <v>0.54808409999999996</v>
      </c>
      <c r="F1786" t="s">
        <v>52</v>
      </c>
      <c r="G1786">
        <v>-389.5283</v>
      </c>
      <c r="H1786" s="1">
        <v>3.533678E-6</v>
      </c>
      <c r="I1786">
        <v>284.18459999999999</v>
      </c>
      <c r="J1786">
        <v>-363.35559999999998</v>
      </c>
      <c r="K1786">
        <v>1.104563</v>
      </c>
      <c r="L1786">
        <v>285.58190000000002</v>
      </c>
      <c r="M1786">
        <v>-0.99944200000000005</v>
      </c>
      <c r="N1786">
        <v>0</v>
      </c>
      <c r="O1786">
        <v>2.9962519999999999E-2</v>
      </c>
      <c r="P1786">
        <v>-0.99934509999999899</v>
      </c>
      <c r="Q1786">
        <v>3.554351E-2</v>
      </c>
      <c r="R1786">
        <v>-6.7852299999999997E-3</v>
      </c>
      <c r="S1786">
        <v>-3.005585</v>
      </c>
      <c r="T1786">
        <v>-0.12523879999999901</v>
      </c>
      <c r="U1786">
        <v>-0.1572876</v>
      </c>
      <c r="V1786">
        <v>-3.6735379999999998E-2</v>
      </c>
      <c r="W1786">
        <v>5.0275399999999998E-2</v>
      </c>
      <c r="X1786">
        <v>0.99805959999999905</v>
      </c>
      <c r="Y1786">
        <v>-8.2064650000000003E-2</v>
      </c>
      <c r="Z1786">
        <v>-2.9551999999999998E-3</v>
      </c>
      <c r="AA1786">
        <v>0.99662260000000003</v>
      </c>
      <c r="AB1786">
        <v>50</v>
      </c>
      <c r="AC1786">
        <v>-26.172699999999999</v>
      </c>
      <c r="AD1786">
        <v>-1.104559466322</v>
      </c>
      <c r="AE1786">
        <v>-1.39730000000002</v>
      </c>
      <c r="AF1786">
        <v>-2.1770914882146899</v>
      </c>
      <c r="AG1786">
        <v>-1.104559466322</v>
      </c>
      <c r="AH1786">
        <v>26.072769839625</v>
      </c>
      <c r="AI1786">
        <v>92.417452629399705</v>
      </c>
      <c r="AJ1786">
        <v>94.773158184845599</v>
      </c>
      <c r="AK1786">
        <v>26.186811682080702</v>
      </c>
    </row>
    <row r="1787" spans="1:37" x14ac:dyDescent="0.2">
      <c r="A1787" t="str">
        <f>"20200111153433744"</f>
        <v>20200111153433744</v>
      </c>
      <c r="B1787" t="str">
        <f>"1578728073738251"</f>
        <v>1578728073738251</v>
      </c>
      <c r="C1787" t="s">
        <v>37</v>
      </c>
      <c r="D1787">
        <v>4.7713749999999999</v>
      </c>
      <c r="E1787">
        <v>0.54826949999999997</v>
      </c>
      <c r="F1787" t="s">
        <v>52</v>
      </c>
      <c r="G1787">
        <v>-387.98610000000002</v>
      </c>
      <c r="H1787" s="1">
        <v>2.7129840000000001E-6</v>
      </c>
      <c r="I1787">
        <v>288.57380000000001</v>
      </c>
      <c r="J1787">
        <v>-363.6454</v>
      </c>
      <c r="K1787">
        <v>1.10456</v>
      </c>
      <c r="L1787">
        <v>285.59059999999999</v>
      </c>
      <c r="M1787">
        <v>-0.99944279999999996</v>
      </c>
      <c r="N1787">
        <v>0</v>
      </c>
      <c r="O1787">
        <v>2.9933359999999999E-2</v>
      </c>
      <c r="P1787">
        <v>-0.99937749999999903</v>
      </c>
      <c r="Q1787">
        <v>3.4763759999999998E-2</v>
      </c>
      <c r="R1787">
        <v>-6.0217789999999997E-3</v>
      </c>
      <c r="S1787">
        <v>-3.009277</v>
      </c>
      <c r="T1787">
        <v>-0.13495179999999901</v>
      </c>
      <c r="U1787">
        <v>0.36553959999999902</v>
      </c>
      <c r="V1787">
        <v>-3.5943389999999999E-2</v>
      </c>
      <c r="W1787">
        <v>4.951295E-2</v>
      </c>
      <c r="X1787">
        <v>0.99812649999999903</v>
      </c>
      <c r="Y1787">
        <v>9.0752109999999997E-2</v>
      </c>
      <c r="Z1787">
        <v>6.9026160000000005E-4</v>
      </c>
      <c r="AA1787">
        <v>0.99587329999999996</v>
      </c>
      <c r="AB1787">
        <v>50</v>
      </c>
      <c r="AC1787">
        <v>-24.340699999999998</v>
      </c>
      <c r="AD1787">
        <v>-1.1045572870160001</v>
      </c>
      <c r="AE1787">
        <v>2.9832000000000098</v>
      </c>
      <c r="AF1787">
        <v>2.2486225652541698</v>
      </c>
      <c r="AG1787">
        <v>-1.1045572870160001</v>
      </c>
      <c r="AH1787">
        <v>24.369656691853798</v>
      </c>
      <c r="AI1787">
        <v>92.584198492537396</v>
      </c>
      <c r="AJ1787">
        <v>84.728165353303396</v>
      </c>
      <c r="AK1787">
        <v>24.498092120001701</v>
      </c>
    </row>
    <row r="1788" spans="1:37" x14ac:dyDescent="0.2">
      <c r="A1788" t="str">
        <f>"20200111153433755"</f>
        <v>20200111153433755</v>
      </c>
      <c r="B1788" t="str">
        <f>"1578728073748010"</f>
        <v>1578728073748010</v>
      </c>
      <c r="C1788" t="s">
        <v>37</v>
      </c>
      <c r="D1788">
        <v>4.7851699999999999</v>
      </c>
      <c r="E1788">
        <v>0.5474002</v>
      </c>
      <c r="F1788" t="s">
        <v>52</v>
      </c>
      <c r="G1788">
        <v>-388.1003</v>
      </c>
      <c r="H1788" s="1">
        <v>2.7737889999999999E-6</v>
      </c>
      <c r="I1788">
        <v>288.59160000000003</v>
      </c>
      <c r="J1788">
        <v>-363.92469999999997</v>
      </c>
      <c r="K1788">
        <v>1.1045579999999999</v>
      </c>
      <c r="L1788">
        <v>285.59899999999999</v>
      </c>
      <c r="M1788">
        <v>-0.99944339999999998</v>
      </c>
      <c r="N1788">
        <v>0</v>
      </c>
      <c r="O1788">
        <v>2.990547E-2</v>
      </c>
      <c r="P1788">
        <v>-0.99940790000000002</v>
      </c>
      <c r="Q1788">
        <v>3.3990230000000003E-2</v>
      </c>
      <c r="R1788">
        <v>-5.3565669999999996E-3</v>
      </c>
      <c r="S1788">
        <v>-3.0088200000000001</v>
      </c>
      <c r="T1788">
        <v>-0.13589949999999901</v>
      </c>
      <c r="U1788">
        <v>0.36923220000000001</v>
      </c>
      <c r="V1788">
        <v>-3.5251249999999998E-2</v>
      </c>
      <c r="W1788">
        <v>4.875521E-2</v>
      </c>
      <c r="X1788">
        <v>0.99818850000000003</v>
      </c>
      <c r="Y1788">
        <v>9.2000059999999995E-2</v>
      </c>
      <c r="Z1788">
        <v>7.2447940000000001E-4</v>
      </c>
      <c r="AA1788">
        <v>0.9957587</v>
      </c>
      <c r="AB1788">
        <v>50</v>
      </c>
      <c r="AC1788">
        <v>-24.175599999999999</v>
      </c>
      <c r="AD1788">
        <v>-1.1045552262109899</v>
      </c>
      <c r="AE1788">
        <v>2.9926000000000301</v>
      </c>
      <c r="AF1788">
        <v>2.2635457375086099</v>
      </c>
      <c r="AG1788">
        <v>-1.1045552262109899</v>
      </c>
      <c r="AH1788">
        <v>24.204525833878201</v>
      </c>
      <c r="AI1788">
        <v>92.601501555048003</v>
      </c>
      <c r="AJ1788">
        <v>84.657382813019197</v>
      </c>
      <c r="AK1788">
        <v>24.3352163005883</v>
      </c>
    </row>
    <row r="1789" spans="1:37" x14ac:dyDescent="0.2">
      <c r="A1789" t="str">
        <f>"20200111153433769"</f>
        <v>20200111153433769</v>
      </c>
      <c r="B1789" t="str">
        <f>"1578728073757771"</f>
        <v>1578728073757771</v>
      </c>
      <c r="C1789" t="s">
        <v>37</v>
      </c>
      <c r="D1789">
        <v>4.7825850000000001</v>
      </c>
      <c r="E1789">
        <v>0.54733469999999995</v>
      </c>
      <c r="F1789" t="s">
        <v>52</v>
      </c>
      <c r="G1789">
        <v>-389.89319999999998</v>
      </c>
      <c r="H1789" s="1">
        <v>3.727874E-6</v>
      </c>
      <c r="I1789">
        <v>288.7423</v>
      </c>
      <c r="J1789">
        <v>-364.20370000000003</v>
      </c>
      <c r="K1789">
        <v>1.1045579999999999</v>
      </c>
      <c r="L1789">
        <v>285.60730000000001</v>
      </c>
      <c r="M1789">
        <v>-0.999444</v>
      </c>
      <c r="N1789">
        <v>0</v>
      </c>
      <c r="O1789">
        <v>2.9877480000000001E-2</v>
      </c>
      <c r="P1789">
        <v>-0.99942600000000004</v>
      </c>
      <c r="Q1789">
        <v>3.357276E-2</v>
      </c>
      <c r="R1789">
        <v>-4.537831E-3</v>
      </c>
      <c r="S1789">
        <v>-3.00808699999999</v>
      </c>
      <c r="T1789">
        <v>-0.12794739999999999</v>
      </c>
      <c r="U1789">
        <v>0.36410520000000002</v>
      </c>
      <c r="V1789">
        <v>-3.4405640000000001E-2</v>
      </c>
      <c r="W1789">
        <v>4.8351810000000002E-2</v>
      </c>
      <c r="X1789">
        <v>0.99823759999999995</v>
      </c>
      <c r="Y1789">
        <v>9.0393249999999994E-2</v>
      </c>
      <c r="Z1789">
        <v>6.4950449999999905E-4</v>
      </c>
      <c r="AA1789">
        <v>0.99590590000000001</v>
      </c>
      <c r="AB1789">
        <v>50</v>
      </c>
      <c r="AC1789">
        <v>-25.689499999999899</v>
      </c>
      <c r="AD1789">
        <v>-1.104554272126</v>
      </c>
      <c r="AE1789">
        <v>3.13499999999999</v>
      </c>
      <c r="AF1789">
        <v>2.3616766091936601</v>
      </c>
      <c r="AG1789">
        <v>-1.104554272126</v>
      </c>
      <c r="AH1789">
        <v>25.7248457629284</v>
      </c>
      <c r="AI1789">
        <v>92.448330090215407</v>
      </c>
      <c r="AJ1789">
        <v>84.754648382296196</v>
      </c>
      <c r="AK1789">
        <v>25.8566286679633</v>
      </c>
    </row>
    <row r="1790" spans="1:37" x14ac:dyDescent="0.2">
      <c r="A1790" t="str">
        <f>"20200111153433783"</f>
        <v>20200111153433783</v>
      </c>
      <c r="B1790" t="str">
        <f>"1578728073778266"</f>
        <v>1578728073778266</v>
      </c>
      <c r="C1790" t="s">
        <v>37</v>
      </c>
      <c r="D1790">
        <v>4.7816879999999999</v>
      </c>
      <c r="E1790">
        <v>0.54613059999999902</v>
      </c>
      <c r="F1790" t="s">
        <v>52</v>
      </c>
      <c r="G1790">
        <v>-390.24169999999998</v>
      </c>
      <c r="H1790" s="1">
        <v>-1.4081759999999899E-6</v>
      </c>
      <c r="I1790">
        <v>288.77710000000002</v>
      </c>
      <c r="J1790">
        <v>-364.51479999999998</v>
      </c>
      <c r="K1790">
        <v>1.104562</v>
      </c>
      <c r="L1790">
        <v>285.61660000000001</v>
      </c>
      <c r="M1790">
        <v>-0.99944480000000002</v>
      </c>
      <c r="N1790">
        <v>0</v>
      </c>
      <c r="O1790">
        <v>2.9846029999999999E-2</v>
      </c>
      <c r="P1790">
        <v>-0.99944270000000002</v>
      </c>
      <c r="Q1790">
        <v>3.3172460000000001E-2</v>
      </c>
      <c r="R1790">
        <v>-3.748113E-3</v>
      </c>
      <c r="S1790">
        <v>-3.00766</v>
      </c>
      <c r="T1790">
        <v>-0.12758829999999999</v>
      </c>
      <c r="U1790">
        <v>0.36614989999999997</v>
      </c>
      <c r="V1790">
        <v>-3.3585629999999998E-2</v>
      </c>
      <c r="W1790">
        <v>4.7965540000000001E-2</v>
      </c>
      <c r="X1790">
        <v>0.99828419999999896</v>
      </c>
      <c r="Y1790">
        <v>9.110828E-2</v>
      </c>
      <c r="Z1790">
        <v>6.6418140000000004E-4</v>
      </c>
      <c r="AA1790">
        <v>0.99584079999999997</v>
      </c>
      <c r="AB1790">
        <v>50</v>
      </c>
      <c r="AC1790">
        <v>-25.726900000000001</v>
      </c>
      <c r="AD1790">
        <v>-1.1045634081760001</v>
      </c>
      <c r="AE1790">
        <v>3.1605000000000101</v>
      </c>
      <c r="AF1790">
        <v>2.3868273422909199</v>
      </c>
      <c r="AG1790">
        <v>-1.1045634081760001</v>
      </c>
      <c r="AH1790">
        <v>25.762991073619801</v>
      </c>
      <c r="AI1790">
        <v>92.444542003332401</v>
      </c>
      <c r="AJ1790">
        <v>84.706908459336105</v>
      </c>
      <c r="AK1790">
        <v>25.896886186258001</v>
      </c>
    </row>
    <row r="1791" spans="1:37" x14ac:dyDescent="0.2">
      <c r="A1791" t="str">
        <f>"20200111153433796"</f>
        <v>20200111153433796</v>
      </c>
      <c r="B1791" t="str">
        <f>"1578728073788028"</f>
        <v>1578728073788028</v>
      </c>
      <c r="C1791" t="s">
        <v>37</v>
      </c>
      <c r="D1791">
        <v>4.8003299999999998</v>
      </c>
      <c r="E1791">
        <v>0.54594969999999998</v>
      </c>
      <c r="F1791" t="s">
        <v>52</v>
      </c>
      <c r="G1791">
        <v>-390.02069999999998</v>
      </c>
      <c r="H1791" s="1">
        <v>-1.52579E-6</v>
      </c>
      <c r="I1791">
        <v>288.66090000000003</v>
      </c>
      <c r="J1791">
        <v>-364.84469999999999</v>
      </c>
      <c r="K1791">
        <v>1.104571</v>
      </c>
      <c r="L1791">
        <v>285.62639999999999</v>
      </c>
      <c r="M1791">
        <v>-0.99944560000000005</v>
      </c>
      <c r="N1791">
        <v>0</v>
      </c>
      <c r="O1791">
        <v>2.9813030000000001E-2</v>
      </c>
      <c r="P1791">
        <v>-0.9994575</v>
      </c>
      <c r="Q1791">
        <v>3.282297E-2</v>
      </c>
      <c r="R1791">
        <v>-2.7964489999999999E-3</v>
      </c>
      <c r="S1791">
        <v>-3.0073240000000001</v>
      </c>
      <c r="T1791">
        <v>-0.13023589999999999</v>
      </c>
      <c r="U1791">
        <v>0.35894779999999998</v>
      </c>
      <c r="V1791">
        <v>-3.2601730000000002E-2</v>
      </c>
      <c r="W1791">
        <v>4.7629749999999998E-2</v>
      </c>
      <c r="X1791">
        <v>0.99833289999999997</v>
      </c>
      <c r="Y1791">
        <v>8.8803289999999993E-2</v>
      </c>
      <c r="Z1791">
        <v>6.2982279999999999E-4</v>
      </c>
      <c r="AA1791">
        <v>0.99604899999999996</v>
      </c>
      <c r="AB1791">
        <v>50</v>
      </c>
      <c r="AC1791">
        <v>-25.175999999999899</v>
      </c>
      <c r="AD1791">
        <v>-1.1045725257899901</v>
      </c>
      <c r="AE1791">
        <v>3.0345000000000302</v>
      </c>
      <c r="AF1791">
        <v>2.2781730209291999</v>
      </c>
      <c r="AG1791">
        <v>-1.1045725257899901</v>
      </c>
      <c r="AH1791">
        <v>25.2074564424139</v>
      </c>
      <c r="AI1791">
        <v>92.498882888559294</v>
      </c>
      <c r="AJ1791">
        <v>84.835812076897597</v>
      </c>
      <c r="AK1791">
        <v>25.334285327875602</v>
      </c>
    </row>
    <row r="1792" spans="1:37" x14ac:dyDescent="0.2">
      <c r="A1792" t="str">
        <f>"20200111153433809"</f>
        <v>20200111153433809</v>
      </c>
      <c r="B1792" t="str">
        <f>"1578728073797787"</f>
        <v>1578728073797787</v>
      </c>
      <c r="C1792" t="s">
        <v>37</v>
      </c>
      <c r="D1792">
        <v>4.8142899999999997</v>
      </c>
      <c r="E1792">
        <v>0.54577290000000001</v>
      </c>
      <c r="F1792" t="s">
        <v>52</v>
      </c>
      <c r="G1792">
        <v>-390.12549999999999</v>
      </c>
      <c r="H1792" s="1">
        <v>-1.4700219999999899E-6</v>
      </c>
      <c r="I1792">
        <v>288.65559999999999</v>
      </c>
      <c r="J1792">
        <v>-365.11149999999998</v>
      </c>
      <c r="K1792">
        <v>1.1045830000000001</v>
      </c>
      <c r="L1792">
        <v>285.63440000000003</v>
      </c>
      <c r="M1792">
        <v>-0.999446099999999</v>
      </c>
      <c r="N1792">
        <v>0</v>
      </c>
      <c r="O1792">
        <v>2.9786380000000001E-2</v>
      </c>
      <c r="P1792">
        <v>-0.99943159999999898</v>
      </c>
      <c r="Q1792">
        <v>3.3624229999999998E-2</v>
      </c>
      <c r="R1792">
        <v>-2.478339E-3</v>
      </c>
      <c r="S1792">
        <v>-3.0069270000000001</v>
      </c>
      <c r="T1792">
        <v>-0.13137950000000001</v>
      </c>
      <c r="U1792">
        <v>0.36029050000000001</v>
      </c>
      <c r="V1792">
        <v>-3.225629E-2</v>
      </c>
      <c r="W1792">
        <v>4.843944E-2</v>
      </c>
      <c r="X1792">
        <v>0.99830509999999995</v>
      </c>
      <c r="Y1792">
        <v>8.928237E-2</v>
      </c>
      <c r="Z1792">
        <v>6.4699859999999996E-4</v>
      </c>
      <c r="AA1792">
        <v>0.99600610000000001</v>
      </c>
      <c r="AB1792">
        <v>50</v>
      </c>
      <c r="AC1792">
        <v>-25.013999999999999</v>
      </c>
      <c r="AD1792">
        <v>-1.104584470022</v>
      </c>
      <c r="AE1792">
        <v>3.0211999999999599</v>
      </c>
      <c r="AF1792">
        <v>2.2703371074645902</v>
      </c>
      <c r="AG1792">
        <v>-1.104584470022</v>
      </c>
      <c r="AH1792">
        <v>25.044764285597701</v>
      </c>
      <c r="AI1792">
        <v>92.515060313337202</v>
      </c>
      <c r="AJ1792">
        <v>84.820228258620105</v>
      </c>
      <c r="AK1792">
        <v>25.171705455810802</v>
      </c>
    </row>
    <row r="1793" spans="1:37" x14ac:dyDescent="0.2">
      <c r="A1793" t="str">
        <f>"20200111153433822"</f>
        <v>20200111153433822</v>
      </c>
      <c r="B1793" t="str">
        <f>"1578728073818283"</f>
        <v>1578728073818283</v>
      </c>
      <c r="C1793" t="s">
        <v>37</v>
      </c>
      <c r="D1793">
        <v>4.8060159999999996</v>
      </c>
      <c r="E1793">
        <v>0.54480759999999995</v>
      </c>
      <c r="F1793" t="s">
        <v>52</v>
      </c>
      <c r="G1793">
        <v>-390.94839999999999</v>
      </c>
      <c r="H1793" s="1">
        <v>-1.0321089999999899E-6</v>
      </c>
      <c r="I1793">
        <v>288.72489999999999</v>
      </c>
      <c r="J1793">
        <v>-365.38630000000001</v>
      </c>
      <c r="K1793">
        <v>1.1046</v>
      </c>
      <c r="L1793">
        <v>285.64249999999998</v>
      </c>
      <c r="M1793">
        <v>-0.99944690000000003</v>
      </c>
      <c r="N1793">
        <v>0</v>
      </c>
      <c r="O1793">
        <v>2.9758779999999999E-2</v>
      </c>
      <c r="P1793">
        <v>-0.99940010000000001</v>
      </c>
      <c r="Q1793">
        <v>3.4558569999999997E-2</v>
      </c>
      <c r="R1793">
        <v>-2.3200199999999999E-3</v>
      </c>
      <c r="S1793">
        <v>-3.0069270000000001</v>
      </c>
      <c r="T1793">
        <v>-0.1285529</v>
      </c>
      <c r="U1793">
        <v>0.35968020000000001</v>
      </c>
      <c r="V1793">
        <v>-3.2069159999999999E-2</v>
      </c>
      <c r="W1793">
        <v>4.9381969999999997E-2</v>
      </c>
      <c r="X1793">
        <v>0.99826499999999996</v>
      </c>
      <c r="Y1793">
        <v>8.9113090000000006E-2</v>
      </c>
      <c r="Z1793">
        <v>6.3066809999999995E-4</v>
      </c>
      <c r="AA1793">
        <v>0.9960213</v>
      </c>
      <c r="AB1793">
        <v>50</v>
      </c>
      <c r="AC1793">
        <v>-25.562099999999901</v>
      </c>
      <c r="AD1793">
        <v>-1.1046010321089901</v>
      </c>
      <c r="AE1793">
        <v>3.0823999999999998</v>
      </c>
      <c r="AF1793">
        <v>2.3159911101891</v>
      </c>
      <c r="AG1793">
        <v>-1.1046010321089901</v>
      </c>
      <c r="AH1793">
        <v>25.5954051577257</v>
      </c>
      <c r="AI1793">
        <v>92.461094021113396</v>
      </c>
      <c r="AJ1793">
        <v>84.829691724319403</v>
      </c>
      <c r="AK1793">
        <v>25.723699645477598</v>
      </c>
    </row>
    <row r="1794" spans="1:37" x14ac:dyDescent="0.2">
      <c r="A1794" t="str">
        <f>"20200111153433834"</f>
        <v>20200111153433834</v>
      </c>
      <c r="B1794" t="str">
        <f>"1578728073828043"</f>
        <v>1578728073828043</v>
      </c>
      <c r="C1794" t="s">
        <v>37</v>
      </c>
      <c r="D1794">
        <v>4.7826639999999996</v>
      </c>
      <c r="E1794">
        <v>0.5442129</v>
      </c>
      <c r="F1794" t="s">
        <v>52</v>
      </c>
      <c r="G1794">
        <v>-393.12180000000001</v>
      </c>
      <c r="H1794" s="1">
        <v>1.2445259999999999E-7</v>
      </c>
      <c r="I1794">
        <v>288.89440000000002</v>
      </c>
      <c r="J1794">
        <v>-365.67939999999999</v>
      </c>
      <c r="K1794">
        <v>1.104619</v>
      </c>
      <c r="L1794">
        <v>285.65129999999999</v>
      </c>
      <c r="M1794">
        <v>-0.99944759999999999</v>
      </c>
      <c r="N1794">
        <v>0</v>
      </c>
      <c r="O1794">
        <v>2.9729510000000001E-2</v>
      </c>
      <c r="P1794">
        <v>-0.99936749999999996</v>
      </c>
      <c r="Q1794">
        <v>3.549099E-2</v>
      </c>
      <c r="R1794">
        <v>-2.2571919999999999E-3</v>
      </c>
      <c r="S1794">
        <v>-3.0068049999999999</v>
      </c>
      <c r="T1794">
        <v>-0.11975</v>
      </c>
      <c r="U1794">
        <v>0.35253909999999899</v>
      </c>
      <c r="V1794">
        <v>-3.1976739999999997E-2</v>
      </c>
      <c r="W1794">
        <v>5.0322079999999998E-2</v>
      </c>
      <c r="X1794">
        <v>0.99822099999999903</v>
      </c>
      <c r="Y1794">
        <v>8.6822759999999999E-2</v>
      </c>
      <c r="Z1794">
        <v>5.4333780000000002E-4</v>
      </c>
      <c r="AA1794">
        <v>0.99622359999999899</v>
      </c>
      <c r="AB1794">
        <v>50</v>
      </c>
      <c r="AC1794">
        <v>-27.442399999999999</v>
      </c>
      <c r="AD1794">
        <v>-1.1046188755474</v>
      </c>
      <c r="AE1794">
        <v>3.2431000000000201</v>
      </c>
      <c r="AF1794">
        <v>2.4218570868052001</v>
      </c>
      <c r="AG1794">
        <v>-1.1046188755474</v>
      </c>
      <c r="AH1794">
        <v>27.482778148456902</v>
      </c>
      <c r="AI1794">
        <v>92.292782140209297</v>
      </c>
      <c r="AJ1794">
        <v>84.963949346078195</v>
      </c>
      <c r="AK1794">
        <v>27.611386588985798</v>
      </c>
    </row>
    <row r="1795" spans="1:37" x14ac:dyDescent="0.2">
      <c r="A1795" t="str">
        <f>"20200111153433854"</f>
        <v>20200111153433854</v>
      </c>
      <c r="B1795" t="str">
        <f>"1578728073847562"</f>
        <v>1578728073847562</v>
      </c>
      <c r="C1795" t="s">
        <v>37</v>
      </c>
      <c r="D1795">
        <v>4.8141800000000003</v>
      </c>
      <c r="E1795">
        <v>0.54318759999999999</v>
      </c>
      <c r="F1795" t="s">
        <v>52</v>
      </c>
      <c r="G1795">
        <v>-394.64830000000001</v>
      </c>
      <c r="H1795" s="1">
        <v>9.3680379999999999E-7</v>
      </c>
      <c r="I1795">
        <v>289.00439999999998</v>
      </c>
      <c r="J1795">
        <v>-366.10860000000002</v>
      </c>
      <c r="K1795">
        <v>1.1046579999999999</v>
      </c>
      <c r="L1795">
        <v>285.66399999999999</v>
      </c>
      <c r="M1795">
        <v>-0.99944869999999997</v>
      </c>
      <c r="N1795">
        <v>0</v>
      </c>
      <c r="O1795">
        <v>2.9686230000000001E-2</v>
      </c>
      <c r="P1795">
        <v>-0.99924579999999996</v>
      </c>
      <c r="Q1795">
        <v>3.8748940000000003E-2</v>
      </c>
      <c r="R1795">
        <v>-2.5762739999999999E-3</v>
      </c>
      <c r="S1795">
        <v>-3.0067140000000001</v>
      </c>
      <c r="T1795">
        <v>-0.114649499999999</v>
      </c>
      <c r="U1795">
        <v>0.34802250000000001</v>
      </c>
      <c r="V1795">
        <v>-3.2248760000000001E-2</v>
      </c>
      <c r="W1795">
        <v>5.3588289999999997E-2</v>
      </c>
      <c r="X1795">
        <v>0.99804219999999899</v>
      </c>
      <c r="Y1795">
        <v>8.5397580000000001E-2</v>
      </c>
      <c r="Z1795">
        <v>4.9483749999999999E-4</v>
      </c>
      <c r="AA1795">
        <v>0.99634679999999998</v>
      </c>
      <c r="AB1795">
        <v>50</v>
      </c>
      <c r="AC1795">
        <v>-28.5396999999999</v>
      </c>
      <c r="AD1795">
        <v>-1.1046570631961901</v>
      </c>
      <c r="AE1795">
        <v>3.3403999999999798</v>
      </c>
      <c r="AF1795">
        <v>2.4879207909556298</v>
      </c>
      <c r="AG1795">
        <v>-1.1046570631961901</v>
      </c>
      <c r="AH1795">
        <v>28.5840491116085</v>
      </c>
      <c r="AI1795">
        <v>92.204819593365002</v>
      </c>
      <c r="AJ1795">
        <v>85.025581566583199</v>
      </c>
      <c r="AK1795">
        <v>28.713374596243298</v>
      </c>
    </row>
    <row r="1796" spans="1:37" x14ac:dyDescent="0.2">
      <c r="A1796" t="str">
        <f>"20200111153433870"</f>
        <v>20200111153433870</v>
      </c>
      <c r="B1796" t="str">
        <f>"1578728073868059"</f>
        <v>1578728073868059</v>
      </c>
      <c r="C1796" t="s">
        <v>37</v>
      </c>
      <c r="D1796">
        <v>4.793876</v>
      </c>
      <c r="E1796">
        <v>0.54246479999999997</v>
      </c>
      <c r="F1796" t="s">
        <v>52</v>
      </c>
      <c r="G1796">
        <v>-399.11</v>
      </c>
      <c r="H1796" s="1">
        <v>3.3110719999999899E-6</v>
      </c>
      <c r="I1796">
        <v>289.3854</v>
      </c>
      <c r="J1796">
        <v>-366.47210000000001</v>
      </c>
      <c r="K1796">
        <v>1.104678</v>
      </c>
      <c r="L1796">
        <v>285.6748</v>
      </c>
      <c r="M1796">
        <v>-0.999449699999999</v>
      </c>
      <c r="N1796">
        <v>0</v>
      </c>
      <c r="O1796">
        <v>2.964951E-2</v>
      </c>
      <c r="P1796">
        <v>-0.99920279999999995</v>
      </c>
      <c r="Q1796">
        <v>3.9844730000000002E-2</v>
      </c>
      <c r="R1796">
        <v>-2.5207540000000001E-3</v>
      </c>
      <c r="S1796">
        <v>-3.0069889999999999</v>
      </c>
      <c r="T1796">
        <v>-0.1006531</v>
      </c>
      <c r="U1796">
        <v>0.33908080000000002</v>
      </c>
      <c r="V1796">
        <v>-3.2155929999999999E-2</v>
      </c>
      <c r="W1796">
        <v>5.4690549999999997E-2</v>
      </c>
      <c r="X1796">
        <v>0.99798539999999902</v>
      </c>
      <c r="Y1796">
        <v>8.2509540000000006E-2</v>
      </c>
      <c r="Z1796">
        <v>3.8754000000000002E-4</v>
      </c>
      <c r="AA1796">
        <v>0.99659019999999998</v>
      </c>
      <c r="AB1796">
        <v>50</v>
      </c>
      <c r="AC1796">
        <v>-32.637900000000002</v>
      </c>
      <c r="AD1796">
        <v>-1.1046746889279999</v>
      </c>
      <c r="AE1796">
        <v>3.7105999999999999</v>
      </c>
      <c r="AF1796">
        <v>2.7380668670807098</v>
      </c>
      <c r="AG1796">
        <v>-1.1046746889279999</v>
      </c>
      <c r="AH1796">
        <v>32.696598911499599</v>
      </c>
      <c r="AI1796">
        <v>91.928292787939299</v>
      </c>
      <c r="AJ1796">
        <v>85.2131260963248</v>
      </c>
      <c r="AK1796">
        <v>32.829634428614</v>
      </c>
    </row>
    <row r="1797" spans="1:37" x14ac:dyDescent="0.2">
      <c r="A1797" t="str">
        <f>"20200111153433883"</f>
        <v>20200111153433883</v>
      </c>
      <c r="B1797" t="str">
        <f>"1578728073877818"</f>
        <v>1578728073877818</v>
      </c>
      <c r="C1797" t="s">
        <v>37</v>
      </c>
      <c r="D1797">
        <v>4.8421799999999999</v>
      </c>
      <c r="E1797">
        <v>0.54224039999999996</v>
      </c>
      <c r="F1797" t="s">
        <v>56</v>
      </c>
      <c r="G1797">
        <v>-401.47969999999998</v>
      </c>
      <c r="H1797" s="1">
        <v>6.7259709999999902E-6</v>
      </c>
      <c r="I1797">
        <v>289.553</v>
      </c>
      <c r="J1797">
        <v>-366.76229999999998</v>
      </c>
      <c r="K1797">
        <v>1.1046989999999901</v>
      </c>
      <c r="L1797">
        <v>285.68329999999997</v>
      </c>
      <c r="M1797">
        <v>-0.99945049999999902</v>
      </c>
      <c r="N1797">
        <v>0</v>
      </c>
      <c r="O1797">
        <v>2.9620210000000001E-2</v>
      </c>
      <c r="P1797">
        <v>-0.99915119999999902</v>
      </c>
      <c r="Q1797">
        <v>4.1098879999999997E-2</v>
      </c>
      <c r="R1797">
        <v>-2.8493350000000001E-3</v>
      </c>
      <c r="S1797">
        <v>-3.00705</v>
      </c>
      <c r="T1797">
        <v>-9.4887849999999996E-2</v>
      </c>
      <c r="U1797">
        <v>0.33312989999999998</v>
      </c>
      <c r="V1797">
        <v>-3.2453460000000003E-2</v>
      </c>
      <c r="W1797">
        <v>5.5949369999999998E-2</v>
      </c>
      <c r="X1797">
        <v>0.99790599999999996</v>
      </c>
      <c r="Y1797">
        <v>8.0592620000000004E-2</v>
      </c>
      <c r="Z1797">
        <v>3.3615540000000001E-4</v>
      </c>
      <c r="AA1797">
        <v>0.9967471</v>
      </c>
      <c r="AB1797">
        <v>50</v>
      </c>
      <c r="AC1797">
        <v>-34.717399999999998</v>
      </c>
      <c r="AD1797">
        <v>-1.1046922740289999</v>
      </c>
      <c r="AE1797">
        <v>3.8697000000000199</v>
      </c>
      <c r="AF1797">
        <v>2.8367143104021602</v>
      </c>
      <c r="AG1797">
        <v>-1.1046922740289999</v>
      </c>
      <c r="AH1797">
        <v>34.782013442402999</v>
      </c>
      <c r="AI1797">
        <v>91.813112076582499</v>
      </c>
      <c r="AJ1797">
        <v>85.3374514237602</v>
      </c>
      <c r="AK1797">
        <v>34.914978908867198</v>
      </c>
    </row>
    <row r="1798" spans="1:37" x14ac:dyDescent="0.2">
      <c r="A1798" t="str">
        <f>"20200111153433898"</f>
        <v>20200111153433898</v>
      </c>
      <c r="B1798" t="str">
        <f>"1578728073887579"</f>
        <v>1578728073887579</v>
      </c>
      <c r="C1798" t="s">
        <v>37</v>
      </c>
      <c r="D1798">
        <v>4.7856930000000002</v>
      </c>
      <c r="E1798">
        <v>0.54189619999999905</v>
      </c>
      <c r="F1798" t="s">
        <v>56</v>
      </c>
      <c r="G1798">
        <v>-402.56240000000003</v>
      </c>
      <c r="H1798">
        <v>6.37229099999999E-3</v>
      </c>
      <c r="I1798">
        <v>289.61630000000002</v>
      </c>
      <c r="J1798">
        <v>-367.075999999999</v>
      </c>
      <c r="K1798">
        <v>1.104732</v>
      </c>
      <c r="L1798">
        <v>285.69260000000003</v>
      </c>
      <c r="M1798">
        <v>-0.99945149999999905</v>
      </c>
      <c r="N1798">
        <v>0</v>
      </c>
      <c r="O1798">
        <v>2.9588819999999998E-2</v>
      </c>
      <c r="P1798">
        <v>-0.99909570000000003</v>
      </c>
      <c r="Q1798">
        <v>4.2432119999999997E-2</v>
      </c>
      <c r="R1798">
        <v>-2.7411029999999999E-3</v>
      </c>
      <c r="S1798">
        <v>-3.0072939999999999</v>
      </c>
      <c r="T1798">
        <v>-9.2262150000000001E-2</v>
      </c>
      <c r="U1798">
        <v>0.33038329999999999</v>
      </c>
      <c r="V1798">
        <v>-3.2312540000000001E-2</v>
      </c>
      <c r="W1798">
        <v>5.7286650000000001E-2</v>
      </c>
      <c r="X1798">
        <v>0.99783469999999996</v>
      </c>
      <c r="Y1798">
        <v>7.9717410000000002E-2</v>
      </c>
      <c r="Z1798">
        <v>3.1442159999999999E-4</v>
      </c>
      <c r="AA1798">
        <v>0.99681749999999902</v>
      </c>
      <c r="AB1798">
        <v>50</v>
      </c>
      <c r="AC1798">
        <v>-35.486400000000003</v>
      </c>
      <c r="AD1798">
        <v>-1.0983597089999999</v>
      </c>
      <c r="AE1798">
        <v>3.92369999999999</v>
      </c>
      <c r="AF1798">
        <v>2.8691493495931502</v>
      </c>
      <c r="AG1798">
        <v>-1.0983597089999999</v>
      </c>
      <c r="AH1798">
        <v>35.553320822962</v>
      </c>
      <c r="AI1798">
        <v>91.763763133054695</v>
      </c>
      <c r="AJ1798">
        <v>85.386234800397801</v>
      </c>
      <c r="AK1798">
        <v>35.685809975129999</v>
      </c>
    </row>
    <row r="1799" spans="1:37" x14ac:dyDescent="0.2">
      <c r="A1799" t="str">
        <f>"20200111153433911"</f>
        <v>20200111153433911</v>
      </c>
      <c r="B1799" t="str">
        <f>"1578728073898315"</f>
        <v>1578728073898315</v>
      </c>
      <c r="C1799" t="s">
        <v>37</v>
      </c>
      <c r="D1799">
        <v>4.8268659999999999</v>
      </c>
      <c r="E1799">
        <v>0.54180059999999997</v>
      </c>
      <c r="F1799" t="s">
        <v>56</v>
      </c>
      <c r="G1799">
        <v>-403.18259999999998</v>
      </c>
      <c r="H1799">
        <v>6.2250380000000001E-2</v>
      </c>
      <c r="I1799">
        <v>289.62860000000001</v>
      </c>
      <c r="J1799">
        <v>-367.33449999999999</v>
      </c>
      <c r="K1799">
        <v>1.104741</v>
      </c>
      <c r="L1799">
        <v>285.70030000000003</v>
      </c>
      <c r="M1799">
        <v>-0.99945219999999901</v>
      </c>
      <c r="N1799">
        <v>0</v>
      </c>
      <c r="O1799">
        <v>2.956251E-2</v>
      </c>
      <c r="P1799">
        <v>-0.99907599999999996</v>
      </c>
      <c r="Q1799">
        <v>4.2895820000000001E-2</v>
      </c>
      <c r="R1799">
        <v>-2.7311559999999898E-3</v>
      </c>
      <c r="S1799">
        <v>-3.007263</v>
      </c>
      <c r="T1799">
        <v>-8.6826559999999997E-2</v>
      </c>
      <c r="U1799">
        <v>0.32781979999999999</v>
      </c>
      <c r="V1799">
        <v>-3.2275989999999997E-2</v>
      </c>
      <c r="W1799">
        <v>5.7753659999999998E-2</v>
      </c>
      <c r="X1799">
        <v>0.99780899999999995</v>
      </c>
      <c r="Y1799">
        <v>7.8908049999999993E-2</v>
      </c>
      <c r="Z1799">
        <v>2.8502859999999998E-4</v>
      </c>
      <c r="AA1799">
        <v>0.99688180000000004</v>
      </c>
      <c r="AB1799">
        <v>50</v>
      </c>
      <c r="AC1799">
        <v>-35.848099999999903</v>
      </c>
      <c r="AD1799">
        <v>-1.0424906199999999</v>
      </c>
      <c r="AE1799">
        <v>3.9282999999999699</v>
      </c>
      <c r="AF1799">
        <v>2.8643119819882701</v>
      </c>
      <c r="AG1799">
        <v>-1.0424906199999999</v>
      </c>
      <c r="AH1799">
        <v>35.918556200021897</v>
      </c>
      <c r="AI1799">
        <v>91.657212777761998</v>
      </c>
      <c r="AJ1799">
        <v>85.440617599068602</v>
      </c>
      <c r="AK1799">
        <v>36.047659415239202</v>
      </c>
    </row>
    <row r="1800" spans="1:37" x14ac:dyDescent="0.2">
      <c r="A1800" t="str">
        <f>"20200111153433923"</f>
        <v>20200111153433923</v>
      </c>
      <c r="B1800" t="str">
        <f>"1578728073917834"</f>
        <v>1578728073917834</v>
      </c>
      <c r="C1800" t="s">
        <v>37</v>
      </c>
      <c r="D1800">
        <v>4.789396</v>
      </c>
      <c r="E1800">
        <v>0.54150240000000005</v>
      </c>
      <c r="F1800" t="s">
        <v>56</v>
      </c>
      <c r="G1800">
        <v>-403.46120000000002</v>
      </c>
      <c r="H1800">
        <v>6.4567929999999996E-2</v>
      </c>
      <c r="I1800">
        <v>289.6309</v>
      </c>
      <c r="J1800">
        <v>-367.6395</v>
      </c>
      <c r="K1800">
        <v>1.104749</v>
      </c>
      <c r="L1800">
        <v>285.70929999999998</v>
      </c>
      <c r="M1800">
        <v>-0.99945300000000004</v>
      </c>
      <c r="N1800">
        <v>0</v>
      </c>
      <c r="O1800">
        <v>2.953161E-2</v>
      </c>
      <c r="P1800">
        <v>-0.99908560000000002</v>
      </c>
      <c r="Q1800">
        <v>4.2657279999999999E-2</v>
      </c>
      <c r="R1800">
        <v>-2.9104920000000002E-3</v>
      </c>
      <c r="S1800">
        <v>-3.00738499999999</v>
      </c>
      <c r="T1800">
        <v>-8.6589810000000003E-2</v>
      </c>
      <c r="U1800">
        <v>0.32720949999999999</v>
      </c>
      <c r="V1800">
        <v>-3.2424399999999999E-2</v>
      </c>
      <c r="W1800">
        <v>5.7518970000000003E-2</v>
      </c>
      <c r="X1800">
        <v>0.99781779999999998</v>
      </c>
      <c r="Y1800">
        <v>7.8734730000000003E-2</v>
      </c>
      <c r="Z1800">
        <v>2.8264140000000001E-4</v>
      </c>
      <c r="AA1800">
        <v>0.99689559999999999</v>
      </c>
      <c r="AB1800">
        <v>50</v>
      </c>
      <c r="AC1800">
        <v>-35.8217</v>
      </c>
      <c r="AD1800">
        <v>-1.04018107</v>
      </c>
      <c r="AE1800">
        <v>3.92160000000001</v>
      </c>
      <c r="AF1800">
        <v>2.8595169434739498</v>
      </c>
      <c r="AG1800">
        <v>-1.04018107</v>
      </c>
      <c r="AH1800">
        <v>35.891991425726602</v>
      </c>
      <c r="AI1800">
        <v>91.654776330388202</v>
      </c>
      <c r="AJ1800">
        <v>85.444863449091798</v>
      </c>
      <c r="AK1800">
        <v>36.020742112189097</v>
      </c>
    </row>
    <row r="1801" spans="1:37" x14ac:dyDescent="0.2">
      <c r="A1801" t="str">
        <f>"20200111153433936"</f>
        <v>20200111153433936</v>
      </c>
      <c r="B1801" t="str">
        <f>"1578728073927595"</f>
        <v>1578728073927595</v>
      </c>
      <c r="C1801" t="s">
        <v>37</v>
      </c>
      <c r="D1801">
        <v>4.7847770000000001</v>
      </c>
      <c r="E1801">
        <v>0.54133330000000002</v>
      </c>
      <c r="F1801" t="s">
        <v>56</v>
      </c>
      <c r="G1801">
        <v>-403.89510000000001</v>
      </c>
      <c r="H1801">
        <v>4.5728079999999997E-2</v>
      </c>
      <c r="I1801">
        <v>289.61630000000002</v>
      </c>
      <c r="J1801">
        <v>-367.93290000000002</v>
      </c>
      <c r="K1801">
        <v>1.1047559999999901</v>
      </c>
      <c r="L1801">
        <v>285.71789999999999</v>
      </c>
      <c r="M1801">
        <v>-0.9994537</v>
      </c>
      <c r="N1801">
        <v>0</v>
      </c>
      <c r="O1801">
        <v>2.9502380000000002E-2</v>
      </c>
      <c r="P1801">
        <v>-0.9991023</v>
      </c>
      <c r="Q1801">
        <v>4.2273419999999999E-2</v>
      </c>
      <c r="R1801">
        <v>-2.8069000000000002E-3</v>
      </c>
      <c r="S1801">
        <v>-3.0074459999999998</v>
      </c>
      <c r="T1801">
        <v>-8.784699E-2</v>
      </c>
      <c r="U1801">
        <v>0.32409670000000002</v>
      </c>
      <c r="V1801">
        <v>-3.229187E-2</v>
      </c>
      <c r="W1801">
        <v>5.7139080000000002E-2</v>
      </c>
      <c r="X1801">
        <v>0.99784390000000001</v>
      </c>
      <c r="Y1801">
        <v>7.7741619999999997E-2</v>
      </c>
      <c r="Z1801">
        <v>2.7314119999999998E-4</v>
      </c>
      <c r="AA1801">
        <v>0.99697349999999996</v>
      </c>
      <c r="AB1801">
        <v>50</v>
      </c>
      <c r="AC1801">
        <v>-35.962200000000003</v>
      </c>
      <c r="AD1801">
        <v>-1.0590279199999999</v>
      </c>
      <c r="AE1801">
        <v>3.8984000000000298</v>
      </c>
      <c r="AF1801">
        <v>2.8331860392531301</v>
      </c>
      <c r="AG1801">
        <v>-1.0590279199999999</v>
      </c>
      <c r="AH1801">
        <v>36.030684265411097</v>
      </c>
      <c r="AI1801">
        <v>91.678397318712598</v>
      </c>
      <c r="AJ1801">
        <v>85.503935720625805</v>
      </c>
      <c r="AK1801">
        <v>36.157415448315703</v>
      </c>
    </row>
    <row r="1802" spans="1:37" x14ac:dyDescent="0.2">
      <c r="A1802" t="str">
        <f>"20200111153433954"</f>
        <v>20200111153433954</v>
      </c>
      <c r="B1802" t="str">
        <f>"1578728073948090"</f>
        <v>1578728073948090</v>
      </c>
      <c r="C1802" t="s">
        <v>37</v>
      </c>
      <c r="D1802">
        <v>4.8113299999999999</v>
      </c>
      <c r="E1802">
        <v>0.54118619999999995</v>
      </c>
      <c r="F1802" t="s">
        <v>56</v>
      </c>
      <c r="G1802">
        <v>-404.20679999999999</v>
      </c>
      <c r="H1802">
        <v>2.7539930000000001E-2</v>
      </c>
      <c r="I1802">
        <v>289.61630000000002</v>
      </c>
      <c r="J1802">
        <v>-368.32350000000002</v>
      </c>
      <c r="K1802">
        <v>1.104762</v>
      </c>
      <c r="L1802">
        <v>285.7294</v>
      </c>
      <c r="M1802">
        <v>-0.99945490000000003</v>
      </c>
      <c r="N1802">
        <v>0</v>
      </c>
      <c r="O1802">
        <v>2.9462950000000002E-2</v>
      </c>
      <c r="P1802">
        <v>-0.99915019999999999</v>
      </c>
      <c r="Q1802">
        <v>4.1095350000000003E-2</v>
      </c>
      <c r="R1802">
        <v>-3.2308369999999999E-3</v>
      </c>
      <c r="S1802">
        <v>-3.00738499999999</v>
      </c>
      <c r="T1802">
        <v>-8.9309689999999997E-2</v>
      </c>
      <c r="U1802">
        <v>0.32321169999999999</v>
      </c>
      <c r="V1802">
        <v>-3.2678029999999997E-2</v>
      </c>
      <c r="W1802">
        <v>5.5965550000000003E-2</v>
      </c>
      <c r="X1802">
        <v>0.99789779999999995</v>
      </c>
      <c r="Y1802">
        <v>7.7492480000000002E-2</v>
      </c>
      <c r="Z1802">
        <v>2.7517429999999999E-4</v>
      </c>
      <c r="AA1802">
        <v>0.99699289999999996</v>
      </c>
      <c r="AB1802">
        <v>50</v>
      </c>
      <c r="AC1802">
        <v>-35.883299999999899</v>
      </c>
      <c r="AD1802">
        <v>-1.0772220699999999</v>
      </c>
      <c r="AE1802">
        <v>3.8869000000000198</v>
      </c>
      <c r="AF1802">
        <v>2.8253503548098</v>
      </c>
      <c r="AG1802">
        <v>-1.0772220699999999</v>
      </c>
      <c r="AH1802">
        <v>35.950227931733799</v>
      </c>
      <c r="AI1802">
        <v>91.711039419131396</v>
      </c>
      <c r="AJ1802">
        <v>85.506326230892498</v>
      </c>
      <c r="AK1802">
        <v>36.077165913623702</v>
      </c>
    </row>
    <row r="1803" spans="1:37" x14ac:dyDescent="0.2">
      <c r="A1803" t="str">
        <f>"20200111153433967"</f>
        <v>20200111153433967</v>
      </c>
      <c r="B1803" t="str">
        <f>"1578728073957851"</f>
        <v>1578728073957851</v>
      </c>
      <c r="C1803" t="s">
        <v>37</v>
      </c>
      <c r="D1803">
        <v>4.7441199999999997</v>
      </c>
      <c r="E1803">
        <v>0.54106919999999903</v>
      </c>
      <c r="F1803" t="s">
        <v>56</v>
      </c>
      <c r="G1803">
        <v>-404.15069999999997</v>
      </c>
      <c r="H1803" s="1">
        <v>5.5419749999999903E-6</v>
      </c>
      <c r="I1803">
        <v>289.55079999999998</v>
      </c>
      <c r="J1803">
        <v>-368.60109999999997</v>
      </c>
      <c r="K1803">
        <v>1.104762</v>
      </c>
      <c r="L1803">
        <v>285.73750000000001</v>
      </c>
      <c r="M1803">
        <v>-0.99945569999999895</v>
      </c>
      <c r="N1803">
        <v>0</v>
      </c>
      <c r="O1803">
        <v>2.9435039999999999E-2</v>
      </c>
      <c r="P1803">
        <v>-0.99918629999999997</v>
      </c>
      <c r="Q1803">
        <v>4.0159899999999998E-2</v>
      </c>
      <c r="R1803">
        <v>-3.744392E-3</v>
      </c>
      <c r="S1803">
        <v>-3.00738499999999</v>
      </c>
      <c r="T1803">
        <v>-9.2734929999999993E-2</v>
      </c>
      <c r="U1803">
        <v>0.32077030000000001</v>
      </c>
      <c r="V1803">
        <v>-3.3164619999999999E-2</v>
      </c>
      <c r="W1803">
        <v>5.5032400000000002E-2</v>
      </c>
      <c r="X1803">
        <v>0.99793359999999998</v>
      </c>
      <c r="Y1803">
        <v>7.6718830000000002E-2</v>
      </c>
      <c r="Z1803">
        <v>2.7469830000000003E-4</v>
      </c>
      <c r="AA1803">
        <v>0.99705270000000001</v>
      </c>
      <c r="AB1803">
        <v>50</v>
      </c>
      <c r="AC1803">
        <v>-35.549599999999998</v>
      </c>
      <c r="AD1803">
        <v>-1.104756458025</v>
      </c>
      <c r="AE1803">
        <v>3.8132999999999599</v>
      </c>
      <c r="AF1803">
        <v>2.7624897859014599</v>
      </c>
      <c r="AG1803">
        <v>-1.104756458025</v>
      </c>
      <c r="AH1803">
        <v>35.612448454830201</v>
      </c>
      <c r="AI1803">
        <v>91.771520622604896</v>
      </c>
      <c r="AJ1803">
        <v>85.5643971153915</v>
      </c>
      <c r="AK1803">
        <v>35.736512443111998</v>
      </c>
    </row>
    <row r="1804" spans="1:37" x14ac:dyDescent="0.2">
      <c r="A1804" t="str">
        <f>"20200111153433980"</f>
        <v>20200111153433980</v>
      </c>
      <c r="B1804" t="str">
        <f>"1578728073978347"</f>
        <v>1578728073978347</v>
      </c>
      <c r="C1804" t="s">
        <v>37</v>
      </c>
      <c r="D1804">
        <v>4.7473929999999998</v>
      </c>
      <c r="E1804">
        <v>0.54086769999999995</v>
      </c>
      <c r="F1804" t="s">
        <v>56</v>
      </c>
      <c r="G1804">
        <v>-403.6755</v>
      </c>
      <c r="H1804" s="1">
        <v>5.7731559999999997E-6</v>
      </c>
      <c r="I1804">
        <v>289.45179999999999</v>
      </c>
      <c r="J1804">
        <v>-368.89049999999997</v>
      </c>
      <c r="K1804">
        <v>1.1047610000000001</v>
      </c>
      <c r="L1804">
        <v>285.74599999999998</v>
      </c>
      <c r="M1804">
        <v>-0.99945649999999997</v>
      </c>
      <c r="N1804">
        <v>0</v>
      </c>
      <c r="O1804">
        <v>2.9405819999999999E-2</v>
      </c>
      <c r="P1804">
        <v>-0.99921559999999898</v>
      </c>
      <c r="Q1804">
        <v>3.9397679999999997E-2</v>
      </c>
      <c r="R1804">
        <v>-4.0227010000000001E-3</v>
      </c>
      <c r="S1804">
        <v>-3.0074770000000002</v>
      </c>
      <c r="T1804">
        <v>-9.4727989999999998E-2</v>
      </c>
      <c r="U1804">
        <v>0.31848140000000003</v>
      </c>
      <c r="V1804">
        <v>-3.3413940000000003E-2</v>
      </c>
      <c r="W1804">
        <v>5.427249E-2</v>
      </c>
      <c r="X1804">
        <v>0.99796689999999999</v>
      </c>
      <c r="Y1804">
        <v>7.59938E-2</v>
      </c>
      <c r="Z1804">
        <v>2.7013230000000002E-4</v>
      </c>
      <c r="AA1804">
        <v>0.99710829999999995</v>
      </c>
      <c r="AB1804">
        <v>49</v>
      </c>
      <c r="AC1804">
        <v>-34.784999999999997</v>
      </c>
      <c r="AD1804">
        <v>-1.104755226844</v>
      </c>
      <c r="AE1804">
        <v>3.7058</v>
      </c>
      <c r="AF1804">
        <v>2.6785306543464702</v>
      </c>
      <c r="AG1804">
        <v>-1.104755226844</v>
      </c>
      <c r="AH1804">
        <v>34.8441864712632</v>
      </c>
      <c r="AI1804">
        <v>91.810649379496596</v>
      </c>
      <c r="AJ1804">
        <v>85.604222974732096</v>
      </c>
      <c r="AK1804">
        <v>34.964443959852602</v>
      </c>
    </row>
    <row r="1805" spans="1:37" x14ac:dyDescent="0.2">
      <c r="A1805" t="str">
        <f>"20200111153433997"</f>
        <v>20200111153433997</v>
      </c>
      <c r="B1805" t="str">
        <f>"1578728073988106"</f>
        <v>1578728073988106</v>
      </c>
      <c r="C1805" t="s">
        <v>37</v>
      </c>
      <c r="D1805">
        <v>4.7398819999999997</v>
      </c>
      <c r="E1805">
        <v>0.54077989999999998</v>
      </c>
      <c r="F1805" t="s">
        <v>56</v>
      </c>
      <c r="G1805">
        <v>-402.96019999999999</v>
      </c>
      <c r="H1805" s="1">
        <v>6.1163679999999902E-6</v>
      </c>
      <c r="I1805">
        <v>289.32589999999999</v>
      </c>
      <c r="J1805">
        <v>-369.29399999999998</v>
      </c>
      <c r="K1805">
        <v>1.1047549999999999</v>
      </c>
      <c r="L1805">
        <v>285.75790000000001</v>
      </c>
      <c r="M1805">
        <v>-0.99945769999999901</v>
      </c>
      <c r="N1805">
        <v>0</v>
      </c>
      <c r="O1805">
        <v>2.9365280000000001E-2</v>
      </c>
      <c r="P1805">
        <v>-0.99928349999999899</v>
      </c>
      <c r="Q1805">
        <v>3.7513770000000002E-2</v>
      </c>
      <c r="R1805">
        <v>-5.0431360000000001E-3</v>
      </c>
      <c r="S1805">
        <v>-3.0074459999999998</v>
      </c>
      <c r="T1805">
        <v>-9.7520350000000006E-2</v>
      </c>
      <c r="U1805">
        <v>0.3160095</v>
      </c>
      <c r="V1805">
        <v>-3.439482E-2</v>
      </c>
      <c r="W1805">
        <v>5.2391199999999902E-2</v>
      </c>
      <c r="X1805">
        <v>0.99803410000000004</v>
      </c>
      <c r="Y1805">
        <v>7.5223750000000006E-2</v>
      </c>
      <c r="Z1805">
        <v>2.6696480000000002E-4</v>
      </c>
      <c r="AA1805">
        <v>0.99716659999999901</v>
      </c>
      <c r="AB1805">
        <v>49</v>
      </c>
      <c r="AC1805">
        <v>-33.666199999999897</v>
      </c>
      <c r="AD1805">
        <v>-1.1047488836319901</v>
      </c>
      <c r="AE1805">
        <v>3.5679999999999801</v>
      </c>
      <c r="AF1805">
        <v>2.5749918327808601</v>
      </c>
      <c r="AG1805">
        <v>-1.1047488836319901</v>
      </c>
      <c r="AH1805">
        <v>33.720557774609397</v>
      </c>
      <c r="AI1805">
        <v>91.871002985204299</v>
      </c>
      <c r="AJ1805">
        <v>85.633216072799996</v>
      </c>
      <c r="AK1805">
        <v>33.836770969842</v>
      </c>
    </row>
    <row r="1806" spans="1:37" x14ac:dyDescent="0.2">
      <c r="A1806" t="str">
        <f>"20200111153434010"</f>
        <v>20200111153434010</v>
      </c>
      <c r="B1806" t="str">
        <f>"1578728074007626"</f>
        <v>1578728074007626</v>
      </c>
      <c r="C1806" t="s">
        <v>37</v>
      </c>
      <c r="D1806">
        <v>4.7205050000000002</v>
      </c>
      <c r="E1806">
        <v>0.54066959999999997</v>
      </c>
      <c r="F1806" t="s">
        <v>56</v>
      </c>
      <c r="G1806">
        <v>-401.6198</v>
      </c>
      <c r="H1806" s="1">
        <v>6.7542940000000001E-6</v>
      </c>
      <c r="I1806">
        <v>289.11529999999999</v>
      </c>
      <c r="J1806">
        <v>-369.5616</v>
      </c>
      <c r="K1806">
        <v>1.1047499999999999</v>
      </c>
      <c r="L1806">
        <v>285.76569999999998</v>
      </c>
      <c r="M1806">
        <v>-0.99945839999999997</v>
      </c>
      <c r="N1806">
        <v>0</v>
      </c>
      <c r="O1806">
        <v>2.9338389999999999E-2</v>
      </c>
      <c r="P1806">
        <v>-0.99931409999999998</v>
      </c>
      <c r="Q1806">
        <v>3.6637639999999999E-2</v>
      </c>
      <c r="R1806">
        <v>-5.4002039999999996E-3</v>
      </c>
      <c r="S1806">
        <v>-3.0076290000000001</v>
      </c>
      <c r="T1806">
        <v>-0.102786999999999</v>
      </c>
      <c r="U1806">
        <v>0.31237789999999999</v>
      </c>
      <c r="V1806">
        <v>-3.4726189999999997E-2</v>
      </c>
      <c r="W1806">
        <v>5.1516909999999999E-2</v>
      </c>
      <c r="X1806">
        <v>0.99806819999999896</v>
      </c>
      <c r="Y1806">
        <v>7.4051190000000003E-2</v>
      </c>
      <c r="Z1806">
        <v>2.6230900000000001E-4</v>
      </c>
      <c r="AA1806">
        <v>0.99725439999999999</v>
      </c>
      <c r="AB1806">
        <v>49</v>
      </c>
      <c r="AC1806">
        <v>-32.058199999999999</v>
      </c>
      <c r="AD1806">
        <v>-1.10474324570599</v>
      </c>
      <c r="AE1806">
        <v>3.3496000000000001</v>
      </c>
      <c r="AF1806">
        <v>2.4046925260504302</v>
      </c>
      <c r="AG1806">
        <v>-1.10474324570599</v>
      </c>
      <c r="AH1806">
        <v>32.104965975444003</v>
      </c>
      <c r="AI1806">
        <v>91.965289708421096</v>
      </c>
      <c r="AJ1806">
        <v>85.716489982975204</v>
      </c>
      <c r="AK1806">
        <v>32.213845533686197</v>
      </c>
    </row>
    <row r="1807" spans="1:37" x14ac:dyDescent="0.2">
      <c r="A1807" t="str">
        <f>"20200111153434023"</f>
        <v>20200111153434023</v>
      </c>
      <c r="B1807" t="str">
        <f>"1578728074018362"</f>
        <v>1578728074018362</v>
      </c>
      <c r="C1807" t="s">
        <v>37</v>
      </c>
      <c r="D1807">
        <v>4.6714390000000003</v>
      </c>
      <c r="E1807">
        <v>0.54058079999999997</v>
      </c>
      <c r="F1807" t="s">
        <v>56</v>
      </c>
      <c r="G1807">
        <v>-401.30829999999997</v>
      </c>
      <c r="H1807" s="1">
        <v>6.9072630000000004E-6</v>
      </c>
      <c r="I1807">
        <v>289.0437</v>
      </c>
      <c r="J1807">
        <v>-369.83769999999998</v>
      </c>
      <c r="K1807">
        <v>1.1047480000000001</v>
      </c>
      <c r="L1807">
        <v>285.77379999999999</v>
      </c>
      <c r="M1807">
        <v>-0.99945919999999899</v>
      </c>
      <c r="N1807">
        <v>0</v>
      </c>
      <c r="O1807">
        <v>2.9310610000000001E-2</v>
      </c>
      <c r="P1807">
        <v>-0.99934339999999999</v>
      </c>
      <c r="Q1807">
        <v>3.574343E-2</v>
      </c>
      <c r="R1807">
        <v>-5.9127969999999896E-3</v>
      </c>
      <c r="S1807">
        <v>-3.0075989999999999</v>
      </c>
      <c r="T1807">
        <v>-0.1046605</v>
      </c>
      <c r="U1807">
        <v>0.31054690000000001</v>
      </c>
      <c r="V1807">
        <v>-3.5211329999999999E-2</v>
      </c>
      <c r="W1807">
        <v>5.062353E-2</v>
      </c>
      <c r="X1807">
        <v>0.99809689999999995</v>
      </c>
      <c r="Y1807">
        <v>7.3478619999999994E-2</v>
      </c>
      <c r="Z1807">
        <v>2.5812589999999998E-4</v>
      </c>
      <c r="AA1807">
        <v>0.99729679999999998</v>
      </c>
      <c r="AB1807">
        <v>49</v>
      </c>
      <c r="AC1807">
        <v>-31.470599999999902</v>
      </c>
      <c r="AD1807">
        <v>-1.1047410927370001</v>
      </c>
      <c r="AE1807">
        <v>3.2698999999999998</v>
      </c>
      <c r="AF1807">
        <v>2.3431132585705998</v>
      </c>
      <c r="AG1807">
        <v>-1.1047410927370001</v>
      </c>
      <c r="AH1807">
        <v>31.514509059561998</v>
      </c>
      <c r="AI1807">
        <v>92.002159604388794</v>
      </c>
      <c r="AJ1807">
        <v>85.747865207344006</v>
      </c>
      <c r="AK1807">
        <v>31.620798754770298</v>
      </c>
    </row>
    <row r="1808" spans="1:37" x14ac:dyDescent="0.2">
      <c r="A1808" t="str">
        <f>"20200111153434035"</f>
        <v>20200111153434035</v>
      </c>
      <c r="B1808" t="str">
        <f>"1578728074028123"</f>
        <v>1578728074028123</v>
      </c>
      <c r="C1808" t="s">
        <v>37</v>
      </c>
      <c r="D1808">
        <v>4.6983239999999897</v>
      </c>
      <c r="E1808">
        <v>0.54066159999999996</v>
      </c>
      <c r="F1808" t="s">
        <v>56</v>
      </c>
      <c r="G1808">
        <v>-400.96370000000002</v>
      </c>
      <c r="H1808" s="1">
        <v>7.0767409999999898E-6</v>
      </c>
      <c r="I1808">
        <v>288.962999999999</v>
      </c>
      <c r="J1808">
        <v>-370.13069999999999</v>
      </c>
      <c r="K1808">
        <v>1.104751</v>
      </c>
      <c r="L1808">
        <v>285.78230000000002</v>
      </c>
      <c r="M1808">
        <v>-0.99946019999999902</v>
      </c>
      <c r="N1808">
        <v>0</v>
      </c>
      <c r="O1808">
        <v>2.928122E-2</v>
      </c>
      <c r="P1808">
        <v>-0.99937209999999999</v>
      </c>
      <c r="Q1808">
        <v>3.48715E-2</v>
      </c>
      <c r="R1808">
        <v>-6.296678E-3</v>
      </c>
      <c r="S1808">
        <v>-3.0076290000000001</v>
      </c>
      <c r="T1808">
        <v>-0.1067485</v>
      </c>
      <c r="U1808">
        <v>0.30816650000000001</v>
      </c>
      <c r="V1808">
        <v>-3.5566500000000001E-2</v>
      </c>
      <c r="W1808">
        <v>4.9752970000000001E-2</v>
      </c>
      <c r="X1808">
        <v>0.99812809999999896</v>
      </c>
      <c r="Y1808">
        <v>7.2725250000000005E-2</v>
      </c>
      <c r="Z1808">
        <v>2.5098610000000001E-4</v>
      </c>
      <c r="AA1808">
        <v>0.99735200000000002</v>
      </c>
      <c r="AB1808">
        <v>49</v>
      </c>
      <c r="AC1808">
        <v>-30.832999999999998</v>
      </c>
      <c r="AD1808">
        <v>-1.1047439232589999</v>
      </c>
      <c r="AE1808">
        <v>3.1806999999999399</v>
      </c>
      <c r="AF1808">
        <v>2.27351983136414</v>
      </c>
      <c r="AG1808">
        <v>-1.1047439232589999</v>
      </c>
      <c r="AH1808">
        <v>30.873703597890199</v>
      </c>
      <c r="AI1808">
        <v>92.043793024869203</v>
      </c>
      <c r="AJ1808">
        <v>85.788377248499103</v>
      </c>
      <c r="AK1808">
        <v>30.9770063984557</v>
      </c>
    </row>
    <row r="1809" spans="1:37" x14ac:dyDescent="0.2">
      <c r="A1809" t="str">
        <f>"20200111153434049"</f>
        <v>20200111153434049</v>
      </c>
      <c r="B1809" t="str">
        <f>"1578728074037882"</f>
        <v>1578728074037882</v>
      </c>
      <c r="C1809" t="s">
        <v>37</v>
      </c>
      <c r="D1809">
        <v>4.7054780000000003</v>
      </c>
      <c r="E1809">
        <v>0.5406685</v>
      </c>
      <c r="F1809" t="s">
        <v>56</v>
      </c>
      <c r="G1809">
        <v>-400.5111</v>
      </c>
      <c r="H1809" s="1">
        <v>7.2922079999999996E-6</v>
      </c>
      <c r="I1809">
        <v>288.89150000000001</v>
      </c>
      <c r="J1809">
        <v>-370.416</v>
      </c>
      <c r="K1809">
        <v>1.104749</v>
      </c>
      <c r="L1809">
        <v>285.79070000000002</v>
      </c>
      <c r="M1809">
        <v>-0.99946089999999999</v>
      </c>
      <c r="N1809">
        <v>0</v>
      </c>
      <c r="O1809">
        <v>2.9252670000000001E-2</v>
      </c>
      <c r="P1809">
        <v>-0.99938559999999999</v>
      </c>
      <c r="Q1809">
        <v>3.4401859999999999E-2</v>
      </c>
      <c r="R1809">
        <v>-6.708955E-3</v>
      </c>
      <c r="S1809">
        <v>-3.0076290000000001</v>
      </c>
      <c r="T1809">
        <v>-0.1093686</v>
      </c>
      <c r="U1809">
        <v>0.30780029999999903</v>
      </c>
      <c r="V1809">
        <v>-3.5949990000000001E-2</v>
      </c>
      <c r="W1809">
        <v>4.9284340000000003E-2</v>
      </c>
      <c r="X1809">
        <v>0.99813759999999996</v>
      </c>
      <c r="Y1809">
        <v>7.2632249999999995E-2</v>
      </c>
      <c r="Z1809">
        <v>2.5649169999999999E-4</v>
      </c>
      <c r="AA1809">
        <v>0.99735869999999904</v>
      </c>
      <c r="AB1809">
        <v>49</v>
      </c>
      <c r="AC1809">
        <v>-30.095099999999999</v>
      </c>
      <c r="AD1809">
        <v>-1.1047417077920001</v>
      </c>
      <c r="AE1809">
        <v>3.1007999999999898</v>
      </c>
      <c r="AF1809">
        <v>2.2160580868960098</v>
      </c>
      <c r="AG1809">
        <v>-1.1047417077920001</v>
      </c>
      <c r="AH1809">
        <v>30.1327571910203</v>
      </c>
      <c r="AI1809">
        <v>92.094015001863795</v>
      </c>
      <c r="AJ1809">
        <v>85.793859701560606</v>
      </c>
      <c r="AK1809">
        <v>30.234325254889001</v>
      </c>
    </row>
    <row r="1810" spans="1:37" x14ac:dyDescent="0.2">
      <c r="A1810" t="str">
        <f>"20200111153434063"</f>
        <v>20200111153434063</v>
      </c>
      <c r="B1810" t="str">
        <f>"1578728074058379"</f>
        <v>1578728074058379</v>
      </c>
      <c r="C1810" t="s">
        <v>37</v>
      </c>
      <c r="D1810">
        <v>4.7106639999999897</v>
      </c>
      <c r="E1810">
        <v>0.54084709999999903</v>
      </c>
      <c r="F1810" t="s">
        <v>56</v>
      </c>
      <c r="G1810">
        <v>-400.59280000000001</v>
      </c>
      <c r="H1810" s="1">
        <v>7.2610950000000003E-6</v>
      </c>
      <c r="I1810">
        <v>288.86669999999998</v>
      </c>
      <c r="J1810">
        <v>-370.71690000000001</v>
      </c>
      <c r="K1810">
        <v>1.1047480000000001</v>
      </c>
      <c r="L1810">
        <v>285.79950000000002</v>
      </c>
      <c r="M1810">
        <v>-0.99946170000000001</v>
      </c>
      <c r="N1810">
        <v>0</v>
      </c>
      <c r="O1810">
        <v>2.922226E-2</v>
      </c>
      <c r="P1810">
        <v>-0.99939539999999905</v>
      </c>
      <c r="Q1810">
        <v>3.4000429999999998E-2</v>
      </c>
      <c r="R1810">
        <v>-7.2575390000000004E-3</v>
      </c>
      <c r="S1810">
        <v>-3.00766</v>
      </c>
      <c r="T1810">
        <v>-0.11010730000000001</v>
      </c>
      <c r="U1810">
        <v>0.30657960000000001</v>
      </c>
      <c r="V1810">
        <v>-3.6468540000000001E-2</v>
      </c>
      <c r="W1810">
        <v>4.8883330000000003E-2</v>
      </c>
      <c r="X1810">
        <v>0.99813850000000004</v>
      </c>
      <c r="Y1810">
        <v>7.2260790000000005E-2</v>
      </c>
      <c r="Z1810">
        <v>2.5255340000000001E-4</v>
      </c>
      <c r="AA1810">
        <v>0.99738570000000004</v>
      </c>
      <c r="AB1810">
        <v>49</v>
      </c>
      <c r="AC1810">
        <v>-29.875900000000001</v>
      </c>
      <c r="AD1810">
        <v>-1.1047407389049999</v>
      </c>
      <c r="AE1810">
        <v>3.06719999999995</v>
      </c>
      <c r="AF1810">
        <v>2.1897884521950601</v>
      </c>
      <c r="AG1810">
        <v>-1.1047407389049999</v>
      </c>
      <c r="AH1810">
        <v>29.912304895968902</v>
      </c>
      <c r="AI1810">
        <v>92.109483769636498</v>
      </c>
      <c r="AJ1810">
        <v>85.8130200747038</v>
      </c>
      <c r="AK1810">
        <v>30.0126908116378</v>
      </c>
    </row>
    <row r="1811" spans="1:37" x14ac:dyDescent="0.2">
      <c r="A1811" t="str">
        <f>"20200111153434076"</f>
        <v>20200111153434076</v>
      </c>
      <c r="B1811" t="str">
        <f>"1578728074068138"</f>
        <v>1578728074068138</v>
      </c>
      <c r="C1811" t="s">
        <v>37</v>
      </c>
      <c r="D1811">
        <v>4.718515</v>
      </c>
      <c r="E1811">
        <v>0.54092090000000004</v>
      </c>
      <c r="F1811" t="s">
        <v>56</v>
      </c>
      <c r="G1811">
        <v>-400.71980000000002</v>
      </c>
      <c r="H1811" s="1">
        <v>7.2072439999999997E-6</v>
      </c>
      <c r="I1811">
        <v>288.85489999999999</v>
      </c>
      <c r="J1811">
        <v>-371.02109999999999</v>
      </c>
      <c r="K1811">
        <v>1.104749</v>
      </c>
      <c r="L1811">
        <v>285.80840000000001</v>
      </c>
      <c r="M1811">
        <v>-0.99946270000000004</v>
      </c>
      <c r="N1811">
        <v>0</v>
      </c>
      <c r="O1811">
        <v>2.9191209999999999E-2</v>
      </c>
      <c r="P1811">
        <v>-0.99941800000000003</v>
      </c>
      <c r="Q1811">
        <v>3.3229590000000003E-2</v>
      </c>
      <c r="R1811">
        <v>-7.731473E-3</v>
      </c>
      <c r="S1811">
        <v>-3.0078130000000001</v>
      </c>
      <c r="T1811">
        <v>-0.110751</v>
      </c>
      <c r="U1811">
        <v>0.30630489999999999</v>
      </c>
      <c r="V1811">
        <v>-3.691208E-2</v>
      </c>
      <c r="W1811">
        <v>4.8112719999999998E-2</v>
      </c>
      <c r="X1811">
        <v>0.99815959999999904</v>
      </c>
      <c r="Y1811">
        <v>7.2196220000000005E-2</v>
      </c>
      <c r="Z1811">
        <v>2.539706E-4</v>
      </c>
      <c r="AA1811">
        <v>0.99739040000000001</v>
      </c>
      <c r="AB1811">
        <v>49</v>
      </c>
      <c r="AC1811">
        <v>-29.698699999999999</v>
      </c>
      <c r="AD1811">
        <v>-1.1047417927559999</v>
      </c>
      <c r="AE1811">
        <v>3.04649999999998</v>
      </c>
      <c r="AF1811">
        <v>2.1751856223759201</v>
      </c>
      <c r="AG1811">
        <v>-1.1047417927559999</v>
      </c>
      <c r="AH1811">
        <v>29.734266545200001</v>
      </c>
      <c r="AI1811">
        <v>92.122113271202295</v>
      </c>
      <c r="AJ1811">
        <v>85.816027675870501</v>
      </c>
      <c r="AK1811">
        <v>29.834183312124601</v>
      </c>
    </row>
    <row r="1812" spans="1:37" x14ac:dyDescent="0.2">
      <c r="A1812" t="str">
        <f>"20200111153434090"</f>
        <v>20200111153434090</v>
      </c>
      <c r="B1812" t="str">
        <f>"1578728074087660"</f>
        <v>1578728074087660</v>
      </c>
      <c r="C1812" t="s">
        <v>37</v>
      </c>
      <c r="D1812">
        <v>4.7099690000000001</v>
      </c>
      <c r="E1812">
        <v>0.5410625</v>
      </c>
      <c r="F1812" t="s">
        <v>56</v>
      </c>
      <c r="G1812">
        <v>-400.36779999999999</v>
      </c>
      <c r="H1812" s="1">
        <v>7.3765819999999997E-6</v>
      </c>
      <c r="I1812">
        <v>288.79059999999998</v>
      </c>
      <c r="J1812">
        <v>-371.32010000000002</v>
      </c>
      <c r="K1812">
        <v>1.104751</v>
      </c>
      <c r="L1812">
        <v>285.81709999999998</v>
      </c>
      <c r="M1812">
        <v>-0.99946360000000001</v>
      </c>
      <c r="N1812">
        <v>0</v>
      </c>
      <c r="O1812">
        <v>2.9159600000000001E-2</v>
      </c>
      <c r="P1812">
        <v>-0.99941769999999996</v>
      </c>
      <c r="Q1812">
        <v>3.3254329999999999E-2</v>
      </c>
      <c r="R1812">
        <v>-7.6452019999999898E-3</v>
      </c>
      <c r="S1812">
        <v>-3.0078740000000002</v>
      </c>
      <c r="T1812">
        <v>-0.11322980000000001</v>
      </c>
      <c r="U1812">
        <v>0.30566409999999899</v>
      </c>
      <c r="V1812">
        <v>-3.6794470000000003E-2</v>
      </c>
      <c r="W1812">
        <v>4.813796E-2</v>
      </c>
      <c r="X1812">
        <v>0.99816269999999996</v>
      </c>
      <c r="Y1812">
        <v>7.2014209999999995E-2</v>
      </c>
      <c r="Z1812">
        <v>2.574171E-4</v>
      </c>
      <c r="AA1812">
        <v>0.99740359999999995</v>
      </c>
      <c r="AB1812">
        <v>49</v>
      </c>
      <c r="AC1812">
        <v>-29.047699999999899</v>
      </c>
      <c r="AD1812">
        <v>-1.1047436234179999</v>
      </c>
      <c r="AE1812">
        <v>2.9735</v>
      </c>
      <c r="AF1812">
        <v>2.1220842174876702</v>
      </c>
      <c r="AG1812">
        <v>-1.1047436234179999</v>
      </c>
      <c r="AH1812">
        <v>29.080434147562599</v>
      </c>
      <c r="AI1812">
        <v>92.169813027041698</v>
      </c>
      <c r="AJ1812">
        <v>85.826357410796405</v>
      </c>
      <c r="AK1812">
        <v>29.178679718423101</v>
      </c>
    </row>
    <row r="1813" spans="1:37" x14ac:dyDescent="0.2">
      <c r="A1813" t="str">
        <f>"20200111153434105"</f>
        <v>20200111153434105</v>
      </c>
      <c r="B1813" t="str">
        <f>"1578728074098394"</f>
        <v>1578728074098394</v>
      </c>
      <c r="C1813" t="s">
        <v>37</v>
      </c>
      <c r="D1813">
        <v>4.730677</v>
      </c>
      <c r="E1813">
        <v>0.54112640000000001</v>
      </c>
      <c r="F1813" t="s">
        <v>56</v>
      </c>
      <c r="G1813">
        <v>-400.6463</v>
      </c>
      <c r="H1813" s="1">
        <v>7.2486350000000003E-6</v>
      </c>
      <c r="I1813">
        <v>288.81220000000002</v>
      </c>
      <c r="J1813">
        <v>-371.63220000000001</v>
      </c>
      <c r="K1813">
        <v>1.1047499999999999</v>
      </c>
      <c r="L1813">
        <v>285.82619999999997</v>
      </c>
      <c r="M1813">
        <v>-0.99946460000000004</v>
      </c>
      <c r="N1813">
        <v>0</v>
      </c>
      <c r="O1813">
        <v>2.9124219999999999E-2</v>
      </c>
      <c r="P1813">
        <v>-0.99941650000000004</v>
      </c>
      <c r="Q1813">
        <v>3.3381800000000003E-2</v>
      </c>
      <c r="R1813">
        <v>-7.2540299999999999E-3</v>
      </c>
      <c r="S1813">
        <v>-3.0078429999999998</v>
      </c>
      <c r="T1813">
        <v>-0.11330799999999901</v>
      </c>
      <c r="U1813">
        <v>0.30718990000000002</v>
      </c>
      <c r="V1813">
        <v>-3.6367780000000002E-2</v>
      </c>
      <c r="W1813">
        <v>4.8265599999999999E-2</v>
      </c>
      <c r="X1813">
        <v>0.99817219999999995</v>
      </c>
      <c r="Y1813">
        <v>7.2550840000000005E-2</v>
      </c>
      <c r="Z1813">
        <v>2.68998E-4</v>
      </c>
      <c r="AA1813">
        <v>0.99736469999999899</v>
      </c>
      <c r="AB1813">
        <v>49</v>
      </c>
      <c r="AC1813">
        <v>-29.0140999999999</v>
      </c>
      <c r="AD1813">
        <v>-1.1047427513650001</v>
      </c>
      <c r="AE1813">
        <v>2.9860000000000402</v>
      </c>
      <c r="AF1813">
        <v>2.13656099592892</v>
      </c>
      <c r="AG1813">
        <v>-1.1047427513650001</v>
      </c>
      <c r="AH1813">
        <v>29.047093337718501</v>
      </c>
      <c r="AI1813">
        <v>92.172207417211396</v>
      </c>
      <c r="AJ1813">
        <v>85.793180774064098</v>
      </c>
      <c r="AK1813">
        <v>29.1465088956834</v>
      </c>
    </row>
    <row r="1814" spans="1:37" x14ac:dyDescent="0.2">
      <c r="A1814" t="str">
        <f>"20200111153434121"</f>
        <v>20200111153434121</v>
      </c>
      <c r="B1814" t="str">
        <f>"1578728074117915"</f>
        <v>1578728074117915</v>
      </c>
      <c r="C1814" t="s">
        <v>37</v>
      </c>
      <c r="D1814">
        <v>4.7191830000000001</v>
      </c>
      <c r="E1814">
        <v>0.5412614</v>
      </c>
      <c r="F1814" t="s">
        <v>56</v>
      </c>
      <c r="G1814">
        <v>-401.00569999999999</v>
      </c>
      <c r="H1814" s="1">
        <v>7.0831250000000001E-6</v>
      </c>
      <c r="I1814">
        <v>288.84190000000001</v>
      </c>
      <c r="J1814">
        <v>-372.00639999999999</v>
      </c>
      <c r="K1814">
        <v>1.1047559999999901</v>
      </c>
      <c r="L1814">
        <v>285.83710000000002</v>
      </c>
      <c r="M1814">
        <v>-0.99946610000000002</v>
      </c>
      <c r="N1814">
        <v>0</v>
      </c>
      <c r="O1814">
        <v>2.9075940000000002E-2</v>
      </c>
      <c r="P1814">
        <v>-0.99939040000000001</v>
      </c>
      <c r="Q1814">
        <v>3.4353120000000001E-2</v>
      </c>
      <c r="R1814">
        <v>-6.2433609999999898E-3</v>
      </c>
      <c r="S1814">
        <v>-3.0078130000000001</v>
      </c>
      <c r="T1814">
        <v>-0.113124499999999</v>
      </c>
      <c r="U1814">
        <v>0.30880740000000001</v>
      </c>
      <c r="V1814">
        <v>-3.530896E-2</v>
      </c>
      <c r="W1814">
        <v>4.9235760000000003E-2</v>
      </c>
      <c r="X1814">
        <v>0.99816289999999996</v>
      </c>
      <c r="Y1814">
        <v>7.3130470000000003E-2</v>
      </c>
      <c r="Z1814">
        <v>2.812367E-4</v>
      </c>
      <c r="AA1814">
        <v>0.99732229999999999</v>
      </c>
      <c r="AB1814">
        <v>49</v>
      </c>
      <c r="AC1814">
        <v>-28.999300000000002</v>
      </c>
      <c r="AD1814">
        <v>-1.10474891687499</v>
      </c>
      <c r="AE1814">
        <v>3.0047999999999799</v>
      </c>
      <c r="AF1814">
        <v>2.1571563550253998</v>
      </c>
      <c r="AG1814">
        <v>-1.10474891687499</v>
      </c>
      <c r="AH1814">
        <v>29.0327264807039</v>
      </c>
      <c r="AI1814">
        <v>92.173174367856404</v>
      </c>
      <c r="AJ1814">
        <v>85.750682822728194</v>
      </c>
      <c r="AK1814">
        <v>29.133709008856499</v>
      </c>
    </row>
    <row r="1815" spans="1:37" x14ac:dyDescent="0.2">
      <c r="A1815" t="str">
        <f>"20200111153434135"</f>
        <v>20200111153434135</v>
      </c>
      <c r="B1815" t="str">
        <f>"1578728074127674"</f>
        <v>1578728074127674</v>
      </c>
      <c r="C1815" t="s">
        <v>37</v>
      </c>
      <c r="D1815">
        <v>4.7017480000000003</v>
      </c>
      <c r="E1815">
        <v>0.54132190000000002</v>
      </c>
      <c r="F1815" t="s">
        <v>56</v>
      </c>
      <c r="G1815">
        <v>-401.95589999999999</v>
      </c>
      <c r="H1815" s="1">
        <v>6.6395090000000002E-6</v>
      </c>
      <c r="I1815">
        <v>288.94959999999998</v>
      </c>
      <c r="J1815">
        <v>-372.30470000000003</v>
      </c>
      <c r="K1815">
        <v>1.1047629999999999</v>
      </c>
      <c r="L1815">
        <v>285.84570000000002</v>
      </c>
      <c r="M1815">
        <v>-0.99946729999999995</v>
      </c>
      <c r="N1815">
        <v>0</v>
      </c>
      <c r="O1815">
        <v>2.903066E-2</v>
      </c>
      <c r="P1815">
        <v>-0.99938539999999998</v>
      </c>
      <c r="Q1815">
        <v>3.4659629999999997E-2</v>
      </c>
      <c r="R1815">
        <v>-5.241033E-3</v>
      </c>
      <c r="S1815">
        <v>-3.007568</v>
      </c>
      <c r="T1815">
        <v>-0.1109405</v>
      </c>
      <c r="U1815">
        <v>0.31256099999999998</v>
      </c>
      <c r="V1815">
        <v>-3.426274E-2</v>
      </c>
      <c r="W1815">
        <v>4.9542460000000003E-2</v>
      </c>
      <c r="X1815">
        <v>0.99818410000000002</v>
      </c>
      <c r="Y1815">
        <v>7.4415670000000003E-2</v>
      </c>
      <c r="Z1815">
        <v>3.0111530000000001E-4</v>
      </c>
      <c r="AA1815">
        <v>0.99722730000000004</v>
      </c>
      <c r="AB1815">
        <v>49</v>
      </c>
      <c r="AC1815">
        <v>-29.6511999999999</v>
      </c>
      <c r="AD1815">
        <v>-1.104756360491</v>
      </c>
      <c r="AE1815">
        <v>3.1038999999999501</v>
      </c>
      <c r="AF1815">
        <v>2.2386279137829401</v>
      </c>
      <c r="AG1815">
        <v>-1.104756360491</v>
      </c>
      <c r="AH1815">
        <v>29.688052260052402</v>
      </c>
      <c r="AI1815">
        <v>92.125088607748793</v>
      </c>
      <c r="AJ1815">
        <v>85.687771736277</v>
      </c>
      <c r="AK1815">
        <v>29.792824447306302</v>
      </c>
    </row>
    <row r="1816" spans="1:37" x14ac:dyDescent="0.2">
      <c r="A1816" t="str">
        <f>"20200111153434149"</f>
        <v>20200111153434149</v>
      </c>
      <c r="B1816" t="str">
        <f>"1578728074138410"</f>
        <v>1578728074138410</v>
      </c>
      <c r="C1816" t="s">
        <v>37</v>
      </c>
      <c r="D1816">
        <v>4.7333119999999997</v>
      </c>
      <c r="E1816">
        <v>0.54142109999999999</v>
      </c>
      <c r="F1816" t="s">
        <v>56</v>
      </c>
      <c r="G1816">
        <v>-402.37939999999998</v>
      </c>
      <c r="H1816" s="1">
        <v>6.4401770000000002E-6</v>
      </c>
      <c r="I1816">
        <v>289.00540000000001</v>
      </c>
      <c r="J1816">
        <v>-372.59769999999997</v>
      </c>
      <c r="K1816">
        <v>1.1047689999999999</v>
      </c>
      <c r="L1816">
        <v>285.85419999999999</v>
      </c>
      <c r="M1816">
        <v>-0.99946889999999999</v>
      </c>
      <c r="N1816">
        <v>0</v>
      </c>
      <c r="O1816">
        <v>2.8977059999999999E-2</v>
      </c>
      <c r="P1816">
        <v>-0.99937469999999995</v>
      </c>
      <c r="Q1816">
        <v>3.5090070000000001E-2</v>
      </c>
      <c r="R1816">
        <v>-4.3445869999999996E-3</v>
      </c>
      <c r="S1816">
        <v>-3.0073240000000001</v>
      </c>
      <c r="T1816">
        <v>-0.1104702</v>
      </c>
      <c r="U1816">
        <v>0.31594850000000002</v>
      </c>
      <c r="V1816">
        <v>-3.3314360000000001E-2</v>
      </c>
      <c r="W1816">
        <v>4.997157E-2</v>
      </c>
      <c r="X1816">
        <v>0.9981949</v>
      </c>
      <c r="Y1816">
        <v>7.5588020000000006E-2</v>
      </c>
      <c r="Z1816">
        <v>3.2327849999999998E-4</v>
      </c>
      <c r="AA1816">
        <v>0.99713909999999994</v>
      </c>
      <c r="AB1816">
        <v>49</v>
      </c>
      <c r="AC1816">
        <v>-29.781700000000001</v>
      </c>
      <c r="AD1816">
        <v>-1.104762559823</v>
      </c>
      <c r="AE1816">
        <v>3.15120000000001</v>
      </c>
      <c r="AF1816">
        <v>2.2836867135683598</v>
      </c>
      <c r="AG1816">
        <v>-1.104762559823</v>
      </c>
      <c r="AH1816">
        <v>29.8199340098184</v>
      </c>
      <c r="AI1816">
        <v>92.115522544621498</v>
      </c>
      <c r="AJ1816">
        <v>85.620690894517196</v>
      </c>
      <c r="AK1816">
        <v>29.9276492506384</v>
      </c>
    </row>
    <row r="1817" spans="1:37" x14ac:dyDescent="0.2">
      <c r="A1817" t="str">
        <f>"20200111153434163"</f>
        <v>20200111153434163</v>
      </c>
      <c r="B1817" t="str">
        <f>"1578728074157931"</f>
        <v>1578728074157931</v>
      </c>
      <c r="C1817" t="s">
        <v>37</v>
      </c>
      <c r="D1817">
        <v>4.7268330000000001</v>
      </c>
      <c r="E1817">
        <v>0.54156130000000002</v>
      </c>
      <c r="F1817" t="s">
        <v>56</v>
      </c>
      <c r="G1817">
        <v>-402.9074</v>
      </c>
      <c r="H1817" s="1">
        <v>6.1921270000000001E-6</v>
      </c>
      <c r="I1817">
        <v>289.07260000000002</v>
      </c>
      <c r="J1817">
        <v>-372.9237</v>
      </c>
      <c r="K1817">
        <v>1.1047769999999999</v>
      </c>
      <c r="L1817">
        <v>285.86360000000002</v>
      </c>
      <c r="M1817">
        <v>-0.999470999999999</v>
      </c>
      <c r="N1817">
        <v>0</v>
      </c>
      <c r="O1817">
        <v>2.8906399999999999E-2</v>
      </c>
      <c r="P1817">
        <v>-0.99936340000000001</v>
      </c>
      <c r="Q1817">
        <v>3.5509529999999997E-2</v>
      </c>
      <c r="R1817">
        <v>-3.4774469999999998E-3</v>
      </c>
      <c r="S1817">
        <v>-3.0071110000000001</v>
      </c>
      <c r="T1817">
        <v>-0.1096067</v>
      </c>
      <c r="U1817">
        <v>0.31930540000000002</v>
      </c>
      <c r="V1817">
        <v>-3.2377889999999999E-2</v>
      </c>
      <c r="W1817">
        <v>5.0389700000000003E-2</v>
      </c>
      <c r="X1817">
        <v>0.9982046</v>
      </c>
      <c r="Y1817">
        <v>7.6766329999999994E-2</v>
      </c>
      <c r="Z1817">
        <v>3.4473369999999998E-4</v>
      </c>
      <c r="AA1817">
        <v>0.99704899999999996</v>
      </c>
      <c r="AB1817">
        <v>49</v>
      </c>
      <c r="AC1817">
        <v>-29.983699999999999</v>
      </c>
      <c r="AD1817">
        <v>-1.1047708078730001</v>
      </c>
      <c r="AE1817">
        <v>3.2090000000000001</v>
      </c>
      <c r="AF1817">
        <v>2.3377038837795698</v>
      </c>
      <c r="AG1817">
        <v>-1.1047708078730001</v>
      </c>
      <c r="AH1817">
        <v>30.023639953261899</v>
      </c>
      <c r="AI1817">
        <v>92.100991427073097</v>
      </c>
      <c r="AJ1817">
        <v>85.547812493165793</v>
      </c>
      <c r="AK1817">
        <v>30.1347695200954</v>
      </c>
    </row>
    <row r="1818" spans="1:37" x14ac:dyDescent="0.2">
      <c r="A1818" t="str">
        <f>"20200111153434177"</f>
        <v>20200111153434177</v>
      </c>
      <c r="B1818" t="str">
        <f>"1578728074167691"</f>
        <v>1578728074167691</v>
      </c>
      <c r="C1818" t="s">
        <v>37</v>
      </c>
      <c r="D1818">
        <v>4.7225409999999997</v>
      </c>
      <c r="E1818">
        <v>0.54157109999999997</v>
      </c>
      <c r="F1818" t="s">
        <v>56</v>
      </c>
      <c r="G1818">
        <v>-403.47539999999998</v>
      </c>
      <c r="H1818" s="1">
        <v>5.9258400000000003E-6</v>
      </c>
      <c r="I1818">
        <v>289.14229999999998</v>
      </c>
      <c r="J1818">
        <v>-373.2432</v>
      </c>
      <c r="K1818">
        <v>1.104776</v>
      </c>
      <c r="L1818">
        <v>285.87279999999998</v>
      </c>
      <c r="M1818">
        <v>-0.99947339999999996</v>
      </c>
      <c r="N1818">
        <v>0</v>
      </c>
      <c r="O1818">
        <v>2.8820869999999998E-2</v>
      </c>
      <c r="P1818">
        <v>-0.99937869999999995</v>
      </c>
      <c r="Q1818">
        <v>3.5197880000000001E-2</v>
      </c>
      <c r="R1818">
        <v>-1.8435089999999999E-3</v>
      </c>
      <c r="S1818">
        <v>-3.0068969999999999</v>
      </c>
      <c r="T1818">
        <v>-0.10873139999999901</v>
      </c>
      <c r="U1818">
        <v>0.3226929</v>
      </c>
      <c r="V1818">
        <v>-3.0661460000000001E-2</v>
      </c>
      <c r="W1818">
        <v>5.0077290000000003E-2</v>
      </c>
      <c r="X1818">
        <v>0.99827459999999901</v>
      </c>
      <c r="Y1818">
        <v>7.7969280000000002E-2</v>
      </c>
      <c r="Z1818">
        <v>3.6675040000000002E-4</v>
      </c>
      <c r="AA1818">
        <v>0.996955699999999</v>
      </c>
      <c r="AB1818">
        <v>49</v>
      </c>
      <c r="AC1818">
        <v>-30.232199999999899</v>
      </c>
      <c r="AD1818">
        <v>-1.1047700741599999</v>
      </c>
      <c r="AE1818">
        <v>3.2694999999999901</v>
      </c>
      <c r="AF1818">
        <v>2.3935669958633601</v>
      </c>
      <c r="AG1818">
        <v>-1.1047700741599999</v>
      </c>
      <c r="AH1818">
        <v>30.273919053056598</v>
      </c>
      <c r="AI1818">
        <v>92.083441144890699</v>
      </c>
      <c r="AJ1818">
        <v>85.479389569307003</v>
      </c>
      <c r="AK1818">
        <v>30.388482270614801</v>
      </c>
    </row>
    <row r="1819" spans="1:37" x14ac:dyDescent="0.2">
      <c r="A1819" t="str">
        <f>"20200111153434192"</f>
        <v>20200111153434192</v>
      </c>
      <c r="B1819" t="str">
        <f>"1578728074188187"</f>
        <v>1578728074188187</v>
      </c>
      <c r="C1819" t="s">
        <v>37</v>
      </c>
      <c r="D1819">
        <v>4.6956439999999997</v>
      </c>
      <c r="E1819">
        <v>0.54160220000000003</v>
      </c>
      <c r="F1819" t="s">
        <v>56</v>
      </c>
      <c r="G1819">
        <v>-403.50049999999999</v>
      </c>
      <c r="H1819" s="1">
        <v>5.9088500000000002E-6</v>
      </c>
      <c r="I1819">
        <v>289.17059999999998</v>
      </c>
      <c r="J1819">
        <v>-373.54469999999998</v>
      </c>
      <c r="K1819">
        <v>1.104795</v>
      </c>
      <c r="L1819">
        <v>285.88139999999999</v>
      </c>
      <c r="M1819">
        <v>-0.99947659999999905</v>
      </c>
      <c r="N1819">
        <v>0</v>
      </c>
      <c r="O1819">
        <v>2.871431E-2</v>
      </c>
      <c r="P1819">
        <v>-0.99939210000000001</v>
      </c>
      <c r="Q1819">
        <v>3.4836279999999997E-2</v>
      </c>
      <c r="R1819">
        <v>-1.349514E-3</v>
      </c>
      <c r="S1819">
        <v>-3.0064090000000001</v>
      </c>
      <c r="T1819">
        <v>-0.1097712</v>
      </c>
      <c r="U1819">
        <v>0.32766719999999999</v>
      </c>
      <c r="V1819">
        <v>-3.006412E-2</v>
      </c>
      <c r="W1819">
        <v>4.9713439999999998E-2</v>
      </c>
      <c r="X1819">
        <v>0.9983109</v>
      </c>
      <c r="Y1819">
        <v>7.972129E-2</v>
      </c>
      <c r="Z1819">
        <v>4.0604289999999999E-4</v>
      </c>
      <c r="AA1819">
        <v>0.99681710000000001</v>
      </c>
      <c r="AB1819">
        <v>49</v>
      </c>
      <c r="AC1819">
        <v>-29.9558</v>
      </c>
      <c r="AD1819">
        <v>-1.10478909115</v>
      </c>
      <c r="AE1819">
        <v>3.2891999999999899</v>
      </c>
      <c r="AF1819">
        <v>2.4243295542205199</v>
      </c>
      <c r="AG1819">
        <v>-1.10478909115</v>
      </c>
      <c r="AH1819">
        <v>29.9975867534394</v>
      </c>
      <c r="AI1819">
        <v>92.102359798386601</v>
      </c>
      <c r="AJ1819">
        <v>85.379541124164305</v>
      </c>
      <c r="AK1819">
        <v>30.1156627646399</v>
      </c>
    </row>
    <row r="1820" spans="1:37" x14ac:dyDescent="0.2">
      <c r="A1820" t="str">
        <f>"20200111153434206"</f>
        <v>20200111153434206</v>
      </c>
      <c r="B1820" t="str">
        <f>"1578728074197946"</f>
        <v>1578728074197946</v>
      </c>
      <c r="C1820" t="s">
        <v>37</v>
      </c>
      <c r="D1820">
        <v>4.7023229999999998</v>
      </c>
      <c r="E1820">
        <v>0.54159849999999998</v>
      </c>
      <c r="F1820" t="s">
        <v>56</v>
      </c>
      <c r="G1820">
        <v>-403.68509999999998</v>
      </c>
      <c r="H1820" s="1">
        <v>5.8250799999999998E-6</v>
      </c>
      <c r="I1820">
        <v>289.17989999999998</v>
      </c>
      <c r="J1820">
        <v>-373.86130000000003</v>
      </c>
      <c r="K1820">
        <v>1.104816</v>
      </c>
      <c r="L1820">
        <v>285.8904</v>
      </c>
      <c r="M1820">
        <v>-0.99948040000000005</v>
      </c>
      <c r="N1820">
        <v>0</v>
      </c>
      <c r="O1820">
        <v>2.857937E-2</v>
      </c>
      <c r="P1820">
        <v>-0.99940269999999998</v>
      </c>
      <c r="Q1820">
        <v>3.4544329999999998E-2</v>
      </c>
      <c r="R1820">
        <v>-9.4157539999999997E-4</v>
      </c>
      <c r="S1820">
        <v>-3.0061339999999999</v>
      </c>
      <c r="T1820">
        <v>-0.1101891</v>
      </c>
      <c r="U1820">
        <v>0.32897949999999998</v>
      </c>
      <c r="V1820">
        <v>-2.9524729999999999E-2</v>
      </c>
      <c r="W1820">
        <v>4.9419599999999897E-2</v>
      </c>
      <c r="X1820">
        <v>0.99834159999999905</v>
      </c>
      <c r="Y1820">
        <v>8.0294909999999997E-2</v>
      </c>
      <c r="Z1820">
        <v>4.2301989999999999E-4</v>
      </c>
      <c r="AA1820">
        <v>0.99677099999999996</v>
      </c>
      <c r="AB1820">
        <v>49</v>
      </c>
      <c r="AC1820">
        <v>-29.823799999999899</v>
      </c>
      <c r="AD1820">
        <v>-1.1048101749200001</v>
      </c>
      <c r="AE1820">
        <v>3.2894999999999701</v>
      </c>
      <c r="AF1820">
        <v>2.4324180336798502</v>
      </c>
      <c r="AG1820">
        <v>-1.1048101749200001</v>
      </c>
      <c r="AH1820">
        <v>29.865145971686701</v>
      </c>
      <c r="AI1820">
        <v>92.111607820931596</v>
      </c>
      <c r="AJ1820">
        <v>85.343724728147805</v>
      </c>
      <c r="AK1820">
        <v>29.9843993924062</v>
      </c>
    </row>
    <row r="1821" spans="1:37" x14ac:dyDescent="0.2">
      <c r="A1821" t="str">
        <f>"20200111153434220"</f>
        <v>20200111153434220</v>
      </c>
      <c r="B1821" t="str">
        <f>"1578728074208684"</f>
        <v>1578728074208684</v>
      </c>
      <c r="C1821" t="s">
        <v>37</v>
      </c>
      <c r="D1821">
        <v>4.6905580000000002</v>
      </c>
      <c r="E1821">
        <v>0.54160229999999998</v>
      </c>
      <c r="F1821" t="s">
        <v>56</v>
      </c>
      <c r="G1821">
        <v>-403.88099999999997</v>
      </c>
      <c r="H1821" s="1">
        <v>5.7360879999999997E-6</v>
      </c>
      <c r="I1821">
        <v>289.19029999999998</v>
      </c>
      <c r="J1821">
        <v>-374.1678</v>
      </c>
      <c r="K1821">
        <v>1.1048389999999999</v>
      </c>
      <c r="L1821">
        <v>285.89920000000001</v>
      </c>
      <c r="M1821">
        <v>-0.99948490000000001</v>
      </c>
      <c r="N1821">
        <v>0</v>
      </c>
      <c r="O1821">
        <v>2.842372E-2</v>
      </c>
      <c r="P1821">
        <v>-0.99941279999999999</v>
      </c>
      <c r="Q1821">
        <v>3.4258669999999998E-2</v>
      </c>
      <c r="R1821">
        <v>-8.1692600000000005E-4</v>
      </c>
      <c r="S1821">
        <v>-3.00589</v>
      </c>
      <c r="T1821">
        <v>-0.110625399999999</v>
      </c>
      <c r="U1821">
        <v>0.33041379999999998</v>
      </c>
      <c r="V1821">
        <v>-2.9249520000000001E-2</v>
      </c>
      <c r="W1821">
        <v>4.9130979999999998E-2</v>
      </c>
      <c r="X1821">
        <v>0.99836399999999903</v>
      </c>
      <c r="Y1821">
        <v>8.0928070000000005E-2</v>
      </c>
      <c r="Z1821">
        <v>4.4203500000000002E-4</v>
      </c>
      <c r="AA1821">
        <v>0.99671980000000004</v>
      </c>
      <c r="AB1821">
        <v>49</v>
      </c>
      <c r="AC1821">
        <v>-29.713199999999901</v>
      </c>
      <c r="AD1821">
        <v>-1.104833263912</v>
      </c>
      <c r="AE1821">
        <v>3.2910999999999699</v>
      </c>
      <c r="AF1821">
        <v>2.4417814565881999</v>
      </c>
      <c r="AG1821">
        <v>-1.104833263912</v>
      </c>
      <c r="AH1821">
        <v>29.754108560805999</v>
      </c>
      <c r="AI1821">
        <v>92.119418683602504</v>
      </c>
      <c r="AJ1821">
        <v>85.308514664928097</v>
      </c>
      <c r="AK1821">
        <v>29.8745699462104</v>
      </c>
    </row>
    <row r="1822" spans="1:37" x14ac:dyDescent="0.2">
      <c r="A1822" t="str">
        <f>"20200111153434234"</f>
        <v>20200111153434234</v>
      </c>
      <c r="B1822" t="str">
        <f>"1578728074228202"</f>
        <v>1578728074228202</v>
      </c>
      <c r="C1822" t="s">
        <v>37</v>
      </c>
      <c r="D1822">
        <v>4.9730259999999999</v>
      </c>
      <c r="E1822">
        <v>0.54159569999999901</v>
      </c>
      <c r="F1822" t="s">
        <v>56</v>
      </c>
      <c r="G1822">
        <v>-404.09789999999998</v>
      </c>
      <c r="H1822" s="1">
        <v>5.6395970000000003E-6</v>
      </c>
      <c r="I1822">
        <v>289.19170000000003</v>
      </c>
      <c r="J1822">
        <v>-374.46719999999999</v>
      </c>
      <c r="K1822">
        <v>1.104865</v>
      </c>
      <c r="L1822">
        <v>285.90750000000003</v>
      </c>
      <c r="M1822">
        <v>-0.99949049999999995</v>
      </c>
      <c r="N1822">
        <v>0</v>
      </c>
      <c r="O1822">
        <v>2.8230680000000001E-2</v>
      </c>
      <c r="P1822">
        <v>-0.99944959999999905</v>
      </c>
      <c r="Q1822">
        <v>3.3182330000000003E-2</v>
      </c>
      <c r="R1822">
        <v>-2.9224509999999998E-4</v>
      </c>
      <c r="S1822">
        <v>-3.0058289999999999</v>
      </c>
      <c r="T1822">
        <v>-0.11095670000000001</v>
      </c>
      <c r="U1822">
        <v>0.33065800000000001</v>
      </c>
      <c r="V1822">
        <v>-2.8537400000000001E-2</v>
      </c>
      <c r="W1822">
        <v>4.805222E-2</v>
      </c>
      <c r="X1822">
        <v>0.99843709999999997</v>
      </c>
      <c r="Y1822">
        <v>8.1202239999999995E-2</v>
      </c>
      <c r="Z1822">
        <v>4.5550339999999998E-4</v>
      </c>
      <c r="AA1822">
        <v>0.99669750000000001</v>
      </c>
      <c r="AB1822">
        <v>49</v>
      </c>
      <c r="AC1822">
        <v>-29.630699999999901</v>
      </c>
      <c r="AD1822">
        <v>-1.1048593604029999</v>
      </c>
      <c r="AE1822">
        <v>3.28419999999999</v>
      </c>
      <c r="AF1822">
        <v>2.4429477837109399</v>
      </c>
      <c r="AG1822">
        <v>-1.1048593604029999</v>
      </c>
      <c r="AH1822">
        <v>29.670860293994899</v>
      </c>
      <c r="AI1822">
        <v>92.125363163460406</v>
      </c>
      <c r="AJ1822">
        <v>85.293173578603898</v>
      </c>
      <c r="AK1822">
        <v>29.791754877247101</v>
      </c>
    </row>
    <row r="1823" spans="1:37" x14ac:dyDescent="0.2">
      <c r="A1823" t="str">
        <f>"20200111153434256"</f>
        <v>20200111153434256</v>
      </c>
      <c r="B1823" t="str">
        <f>"1578728074247722"</f>
        <v>1578728074247722</v>
      </c>
      <c r="C1823" t="s">
        <v>37</v>
      </c>
      <c r="D1823">
        <v>4.682601</v>
      </c>
      <c r="E1823">
        <v>0.50468729999999995</v>
      </c>
      <c r="F1823" t="s">
        <v>56</v>
      </c>
      <c r="G1823">
        <v>-403.53449999999998</v>
      </c>
      <c r="H1823" s="1">
        <v>5.90484E-6</v>
      </c>
      <c r="I1823">
        <v>289.11720000000003</v>
      </c>
      <c r="J1823">
        <v>-374.95839999999998</v>
      </c>
      <c r="K1823">
        <v>1.1049359999999999</v>
      </c>
      <c r="L1823">
        <v>285.92110000000002</v>
      </c>
      <c r="M1823">
        <v>-0.99950099999999997</v>
      </c>
      <c r="N1823">
        <v>0</v>
      </c>
      <c r="O1823">
        <v>2.7851480000000001E-2</v>
      </c>
      <c r="P1823">
        <v>-0.99948459999999995</v>
      </c>
      <c r="Q1823">
        <v>3.210023E-2</v>
      </c>
      <c r="R1823">
        <v>-4.7317919999999899E-4</v>
      </c>
      <c r="S1823">
        <v>-3.0055540000000001</v>
      </c>
      <c r="T1823">
        <v>-0.1142423</v>
      </c>
      <c r="U1823">
        <v>0.33187870000000003</v>
      </c>
      <c r="V1823">
        <v>-2.8348430000000001E-2</v>
      </c>
      <c r="W1823">
        <v>4.6963409999999997E-2</v>
      </c>
      <c r="X1823">
        <v>0.99849429999999995</v>
      </c>
      <c r="Y1823">
        <v>8.1987229999999994E-2</v>
      </c>
      <c r="Z1823">
        <v>4.9823550000000004E-4</v>
      </c>
      <c r="AA1823">
        <v>0.9966332</v>
      </c>
      <c r="AB1823">
        <v>49</v>
      </c>
      <c r="AC1823">
        <v>-28.5761</v>
      </c>
      <c r="AD1823">
        <v>-1.1049300951600001</v>
      </c>
      <c r="AE1823">
        <v>3.1960999999999999</v>
      </c>
      <c r="AF1823">
        <v>2.3953478295841202</v>
      </c>
      <c r="AG1823">
        <v>-1.1049300951600001</v>
      </c>
      <c r="AH1823">
        <v>28.611789733800201</v>
      </c>
      <c r="AI1823">
        <v>92.203847353982397</v>
      </c>
      <c r="AJ1823">
        <v>85.214419492699307</v>
      </c>
      <c r="AK1823">
        <v>28.733135462581799</v>
      </c>
    </row>
    <row r="1824" spans="1:37" x14ac:dyDescent="0.2">
      <c r="A1824" t="str">
        <f>"20200111153434271"</f>
        <v>20200111153434271</v>
      </c>
      <c r="B1824" t="str">
        <f>"1578728074268218"</f>
        <v>1578728074268218</v>
      </c>
      <c r="C1824" t="s">
        <v>37</v>
      </c>
      <c r="D1824">
        <v>4.7908269999999904</v>
      </c>
      <c r="E1824">
        <v>0.44040639999999998</v>
      </c>
      <c r="F1824" t="s">
        <v>52</v>
      </c>
      <c r="G1824">
        <v>-399.76710000000003</v>
      </c>
      <c r="H1824" s="1">
        <v>3.6607719999999998E-6</v>
      </c>
      <c r="I1824">
        <v>286.22340000000003</v>
      </c>
      <c r="J1824">
        <v>-375.28359999999998</v>
      </c>
      <c r="K1824">
        <v>1.1049949999999999</v>
      </c>
      <c r="L1824">
        <v>285.93</v>
      </c>
      <c r="M1824">
        <v>-0.9995098</v>
      </c>
      <c r="N1824">
        <v>0</v>
      </c>
      <c r="O1824">
        <v>2.7534860000000001E-2</v>
      </c>
      <c r="P1824">
        <v>-0.99950399999999995</v>
      </c>
      <c r="Q1824">
        <v>3.1483129999999998E-2</v>
      </c>
      <c r="R1824">
        <v>-9.6670459999999997E-4</v>
      </c>
      <c r="S1824">
        <v>-3.0058590000000001</v>
      </c>
      <c r="T1824">
        <v>-0.1338753</v>
      </c>
      <c r="U1824">
        <v>3.6621090000000002E-2</v>
      </c>
      <c r="V1824">
        <v>-2.8531609999999999E-2</v>
      </c>
      <c r="W1824">
        <v>4.6341809999999997E-2</v>
      </c>
      <c r="X1824">
        <v>0.99851809999999996</v>
      </c>
      <c r="Y1824">
        <v>-1.53157E-2</v>
      </c>
      <c r="Z1824">
        <v>-1.5665500000000001E-3</v>
      </c>
      <c r="AA1824">
        <v>0.99988149999999998</v>
      </c>
      <c r="AB1824">
        <v>49</v>
      </c>
      <c r="AC1824">
        <v>-24.483499999999999</v>
      </c>
      <c r="AD1824">
        <v>-1.104991339228</v>
      </c>
      <c r="AE1824">
        <v>0.29340000000001898</v>
      </c>
      <c r="AF1824">
        <v>-0.38016161218846001</v>
      </c>
      <c r="AG1824">
        <v>-1.104991339228</v>
      </c>
      <c r="AH1824">
        <v>24.432534890584201</v>
      </c>
      <c r="AI1824">
        <v>92.589194306418804</v>
      </c>
      <c r="AJ1824">
        <v>90.891430155141904</v>
      </c>
      <c r="AK1824">
        <v>24.4604638118488</v>
      </c>
    </row>
    <row r="1825" spans="1:37" x14ac:dyDescent="0.2">
      <c r="A1825" t="str">
        <f>"20200111153434289"</f>
        <v>20200111153434289</v>
      </c>
      <c r="B1825" t="str">
        <f>"1578728074277979"</f>
        <v>1578728074277979</v>
      </c>
      <c r="C1825" t="s">
        <v>37</v>
      </c>
      <c r="D1825">
        <v>4.7091900000000004</v>
      </c>
      <c r="E1825">
        <v>0.43786530000000001</v>
      </c>
      <c r="F1825" t="s">
        <v>52</v>
      </c>
      <c r="G1825">
        <v>-398.40120000000002</v>
      </c>
      <c r="H1825" s="1">
        <v>2.933893E-6</v>
      </c>
      <c r="I1825">
        <v>282.25630000000001</v>
      </c>
      <c r="J1825">
        <v>-375.67450000000002</v>
      </c>
      <c r="K1825">
        <v>1.1050789999999999</v>
      </c>
      <c r="L1825">
        <v>285.94049999999999</v>
      </c>
      <c r="M1825">
        <v>-0.99952189999999996</v>
      </c>
      <c r="N1825">
        <v>0</v>
      </c>
      <c r="O1825">
        <v>2.7090889999999999E-2</v>
      </c>
      <c r="P1825">
        <v>-0.99952240000000003</v>
      </c>
      <c r="Q1825">
        <v>3.0841810000000001E-2</v>
      </c>
      <c r="R1825">
        <v>-1.9079050000000001E-3</v>
      </c>
      <c r="S1825">
        <v>-3.0055540000000001</v>
      </c>
      <c r="T1825">
        <v>-0.1436617</v>
      </c>
      <c r="U1825">
        <v>-0.47763059999999902</v>
      </c>
      <c r="V1825">
        <v>-2.9037650000000002E-2</v>
      </c>
      <c r="W1825">
        <v>4.5693039999999997E-2</v>
      </c>
      <c r="X1825">
        <v>0.99853340000000002</v>
      </c>
      <c r="Y1825">
        <v>-0.1834124</v>
      </c>
      <c r="Z1825">
        <v>-5.64050199999999E-3</v>
      </c>
      <c r="AA1825">
        <v>0.98301989999999995</v>
      </c>
      <c r="AB1825">
        <v>49</v>
      </c>
      <c r="AC1825">
        <v>-22.726699999999902</v>
      </c>
      <c r="AD1825">
        <v>-1.105076066107</v>
      </c>
      <c r="AE1825">
        <v>-3.6841999999999699</v>
      </c>
      <c r="AF1825">
        <v>-4.2887220173470704</v>
      </c>
      <c r="AG1825">
        <v>-1.105076066107</v>
      </c>
      <c r="AH1825">
        <v>22.5665485639894</v>
      </c>
      <c r="AI1825">
        <v>92.754294090269099</v>
      </c>
      <c r="AJ1825">
        <v>100.760608196869</v>
      </c>
      <c r="AK1825">
        <v>22.997031194153202</v>
      </c>
    </row>
    <row r="1826" spans="1:37" x14ac:dyDescent="0.2">
      <c r="A1826" t="str">
        <f>"20200111153434303"</f>
        <v>20200111153434303</v>
      </c>
      <c r="B1826" t="str">
        <f>"1578728074298474"</f>
        <v>1578728074298474</v>
      </c>
      <c r="C1826" t="s">
        <v>37</v>
      </c>
      <c r="D1826">
        <v>4.6479099999999898</v>
      </c>
      <c r="E1826">
        <v>0.43659680000000001</v>
      </c>
      <c r="F1826" t="s">
        <v>52</v>
      </c>
      <c r="G1826">
        <v>-397.45800000000003</v>
      </c>
      <c r="H1826" s="1">
        <v>2.4319899999999999E-6</v>
      </c>
      <c r="I1826">
        <v>282.30950000000001</v>
      </c>
      <c r="J1826">
        <v>-375.97660000000002</v>
      </c>
      <c r="K1826">
        <v>1.105151</v>
      </c>
      <c r="L1826">
        <v>285.94839999999999</v>
      </c>
      <c r="M1826">
        <v>-0.99953259999999899</v>
      </c>
      <c r="N1826">
        <v>0</v>
      </c>
      <c r="O1826">
        <v>2.6698159999999999E-2</v>
      </c>
      <c r="P1826">
        <v>-0.99952830000000004</v>
      </c>
      <c r="Q1826">
        <v>3.0618650000000001E-2</v>
      </c>
      <c r="R1826">
        <v>-2.450411E-3</v>
      </c>
      <c r="S1826">
        <v>-3.005188</v>
      </c>
      <c r="T1826">
        <v>-0.15245329999999899</v>
      </c>
      <c r="U1826">
        <v>-0.50091549999999996</v>
      </c>
      <c r="V1826">
        <v>-2.919509E-2</v>
      </c>
      <c r="W1826">
        <v>4.546393E-2</v>
      </c>
      <c r="X1826">
        <v>0.99853930000000002</v>
      </c>
      <c r="Y1826">
        <v>-0.19042239999999999</v>
      </c>
      <c r="Z1826">
        <v>-6.1390029999999996E-3</v>
      </c>
      <c r="AA1826">
        <v>0.98168310000000003</v>
      </c>
      <c r="AB1826">
        <v>49</v>
      </c>
      <c r="AC1826">
        <v>-21.481400000000001</v>
      </c>
      <c r="AD1826">
        <v>-1.1051485680099999</v>
      </c>
      <c r="AE1826">
        <v>-3.6388999999999698</v>
      </c>
      <c r="AF1826">
        <v>-4.2003727587047601</v>
      </c>
      <c r="AG1826">
        <v>-1.1051485680099999</v>
      </c>
      <c r="AH1826">
        <v>21.321718887184598</v>
      </c>
      <c r="AI1826">
        <v>92.911248543269593</v>
      </c>
      <c r="AJ1826">
        <v>101.14454607536</v>
      </c>
      <c r="AK1826">
        <v>21.759599742954101</v>
      </c>
    </row>
    <row r="1827" spans="1:37" x14ac:dyDescent="0.2">
      <c r="A1827" t="str">
        <f>"20200111153434316"</f>
        <v>20200111153434316</v>
      </c>
      <c r="B1827" t="str">
        <f>"1578728074308236"</f>
        <v>1578728074308236</v>
      </c>
      <c r="C1827" t="s">
        <v>37</v>
      </c>
      <c r="D1827">
        <v>4.6317830000000004</v>
      </c>
      <c r="E1827">
        <v>0.4369691</v>
      </c>
      <c r="F1827" t="s">
        <v>52</v>
      </c>
      <c r="G1827">
        <v>-397.2774</v>
      </c>
      <c r="H1827" s="1">
        <v>2.3358740000000001E-6</v>
      </c>
      <c r="I1827">
        <v>282.31380000000001</v>
      </c>
      <c r="J1827">
        <v>-376.2604</v>
      </c>
      <c r="K1827">
        <v>1.105224</v>
      </c>
      <c r="L1827">
        <v>285.95569999999998</v>
      </c>
      <c r="M1827">
        <v>-0.99954349999999903</v>
      </c>
      <c r="N1827">
        <v>0</v>
      </c>
      <c r="O1827">
        <v>2.628312E-2</v>
      </c>
      <c r="P1827">
        <v>-0.99953449999999899</v>
      </c>
      <c r="Q1827">
        <v>3.0375409999999999E-2</v>
      </c>
      <c r="R1827">
        <v>-2.8393609999999999E-3</v>
      </c>
      <c r="S1827">
        <v>-3.0049130000000002</v>
      </c>
      <c r="T1827">
        <v>-0.15590379999999901</v>
      </c>
      <c r="U1827">
        <v>-0.51272580000000001</v>
      </c>
      <c r="V1827">
        <v>-2.9176839999999999E-2</v>
      </c>
      <c r="W1827">
        <v>4.5215270000000002E-2</v>
      </c>
      <c r="X1827">
        <v>0.99855110000000002</v>
      </c>
      <c r="Y1827">
        <v>-0.19376370000000001</v>
      </c>
      <c r="Z1827">
        <v>-6.3409319999999996E-3</v>
      </c>
      <c r="AA1827">
        <v>0.98102769999999995</v>
      </c>
      <c r="AB1827">
        <v>49</v>
      </c>
      <c r="AC1827">
        <v>-21.016999999999999</v>
      </c>
      <c r="AD1827">
        <v>-1.105221664126</v>
      </c>
      <c r="AE1827">
        <v>-3.6418999999999602</v>
      </c>
      <c r="AF1827">
        <v>-4.1818678488603798</v>
      </c>
      <c r="AG1827">
        <v>-1.105221664126</v>
      </c>
      <c r="AH1827">
        <v>20.8580075617262</v>
      </c>
      <c r="AI1827">
        <v>92.974069285459095</v>
      </c>
      <c r="AJ1827">
        <v>101.3370463016</v>
      </c>
      <c r="AK1827">
        <v>21.301784269802699</v>
      </c>
    </row>
    <row r="1828" spans="1:37" x14ac:dyDescent="0.2">
      <c r="A1828" t="str">
        <f>"20200111153434328"</f>
        <v>20200111153434328</v>
      </c>
      <c r="B1828" t="str">
        <f>"1578728074317995"</f>
        <v>1578728074317995</v>
      </c>
      <c r="C1828" t="s">
        <v>37</v>
      </c>
      <c r="D1828">
        <v>4.5892860000000004</v>
      </c>
      <c r="E1828">
        <v>0.43745410000000001</v>
      </c>
      <c r="F1828" t="s">
        <v>52</v>
      </c>
      <c r="G1828">
        <v>-397.31450000000001</v>
      </c>
      <c r="H1828" s="1">
        <v>2.35562199999999E-6</v>
      </c>
      <c r="I1828">
        <v>282.37520000000001</v>
      </c>
      <c r="J1828">
        <v>-376.53870000000001</v>
      </c>
      <c r="K1828">
        <v>1.1052979999999999</v>
      </c>
      <c r="L1828">
        <v>285.96269999999998</v>
      </c>
      <c r="M1828">
        <v>-0.99955559999999999</v>
      </c>
      <c r="N1828">
        <v>0</v>
      </c>
      <c r="O1828">
        <v>2.5825870000000001E-2</v>
      </c>
      <c r="P1828">
        <v>-0.99954159999999903</v>
      </c>
      <c r="Q1828">
        <v>3.0116649999999998E-2</v>
      </c>
      <c r="R1828">
        <v>-3.1651459999999898E-3</v>
      </c>
      <c r="S1828">
        <v>-3.0047000000000001</v>
      </c>
      <c r="T1828">
        <v>-0.1577297</v>
      </c>
      <c r="U1828">
        <v>-0.5109863</v>
      </c>
      <c r="V1828">
        <v>-2.9052919999999999E-2</v>
      </c>
      <c r="W1828">
        <v>4.4950900000000002E-2</v>
      </c>
      <c r="X1828">
        <v>0.99856659999999997</v>
      </c>
      <c r="Y1828">
        <v>-0.19276960000000001</v>
      </c>
      <c r="Z1828">
        <v>-6.3661219999999897E-3</v>
      </c>
      <c r="AA1828">
        <v>0.98122339999999997</v>
      </c>
      <c r="AB1828">
        <v>49</v>
      </c>
      <c r="AC1828">
        <v>-20.7758</v>
      </c>
      <c r="AD1828">
        <v>-1.105295644378</v>
      </c>
      <c r="AE1828">
        <v>-3.5874999999999702</v>
      </c>
      <c r="AF1828">
        <v>-4.1116153279376002</v>
      </c>
      <c r="AG1828">
        <v>-1.105295644378</v>
      </c>
      <c r="AH1828">
        <v>20.619537351465901</v>
      </c>
      <c r="AI1828">
        <v>93.009231783674906</v>
      </c>
      <c r="AJ1828">
        <v>101.277086079757</v>
      </c>
      <c r="AK1828">
        <v>21.0545097225015</v>
      </c>
    </row>
    <row r="1829" spans="1:37" x14ac:dyDescent="0.2">
      <c r="A1829" t="str">
        <f>"20200111153434342"</f>
        <v>20200111153434342</v>
      </c>
      <c r="B1829" t="str">
        <f>"1578728074338490"</f>
        <v>1578728074338490</v>
      </c>
      <c r="C1829" t="s">
        <v>37</v>
      </c>
      <c r="D1829">
        <v>4.6043629999999904</v>
      </c>
      <c r="E1829">
        <v>0.43761949999999999</v>
      </c>
      <c r="F1829" t="s">
        <v>52</v>
      </c>
      <c r="G1829">
        <v>-397.3897</v>
      </c>
      <c r="H1829" s="1">
        <v>2.395623E-6</v>
      </c>
      <c r="I1829">
        <v>282.43540000000002</v>
      </c>
      <c r="J1829">
        <v>-376.83370000000002</v>
      </c>
      <c r="K1829">
        <v>1.1053809999999999</v>
      </c>
      <c r="L1829">
        <v>285.97000000000003</v>
      </c>
      <c r="M1829">
        <v>-0.99956880000000004</v>
      </c>
      <c r="N1829">
        <v>0</v>
      </c>
      <c r="O1829">
        <v>2.530715E-2</v>
      </c>
      <c r="P1829">
        <v>-0.99953860000000005</v>
      </c>
      <c r="Q1829">
        <v>3.0187209999999999E-2</v>
      </c>
      <c r="R1829">
        <v>-3.3919290000000001E-3</v>
      </c>
      <c r="S1829">
        <v>-3.004578</v>
      </c>
      <c r="T1829">
        <v>-0.15927040000000001</v>
      </c>
      <c r="U1829">
        <v>-0.50827029999999995</v>
      </c>
      <c r="V1829">
        <v>-2.876952E-2</v>
      </c>
      <c r="W1829">
        <v>4.5015689999999997E-2</v>
      </c>
      <c r="X1829">
        <v>0.99857189999999996</v>
      </c>
      <c r="Y1829">
        <v>-0.1914014</v>
      </c>
      <c r="Z1829">
        <v>-6.3656629999999997E-3</v>
      </c>
      <c r="AA1829">
        <v>0.98149120000000001</v>
      </c>
      <c r="AB1829">
        <v>49</v>
      </c>
      <c r="AC1829">
        <v>-20.555999999999901</v>
      </c>
      <c r="AD1829">
        <v>-1.105378604377</v>
      </c>
      <c r="AE1829">
        <v>-3.53460000000001</v>
      </c>
      <c r="AF1829">
        <v>-4.0423857064042803</v>
      </c>
      <c r="AG1829">
        <v>-1.105378604377</v>
      </c>
      <c r="AH1829">
        <v>20.4026513963151</v>
      </c>
      <c r="AI1829">
        <v>93.042128142352098</v>
      </c>
      <c r="AJ1829">
        <v>101.20689596296</v>
      </c>
      <c r="AK1829">
        <v>20.8286084042577</v>
      </c>
    </row>
    <row r="1830" spans="1:37" x14ac:dyDescent="0.2">
      <c r="A1830" t="str">
        <f>"20200111153434356"</f>
        <v>20200111153434356</v>
      </c>
      <c r="B1830" t="str">
        <f>"1578728074348250"</f>
        <v>1578728074348250</v>
      </c>
      <c r="C1830" t="s">
        <v>37</v>
      </c>
      <c r="D1830">
        <v>4.6463619999999999</v>
      </c>
      <c r="E1830">
        <v>0.43776159999999997</v>
      </c>
      <c r="F1830" t="s">
        <v>52</v>
      </c>
      <c r="G1830">
        <v>-397.53590000000003</v>
      </c>
      <c r="H1830" s="1">
        <v>2.473443E-6</v>
      </c>
      <c r="I1830">
        <v>282.47140000000002</v>
      </c>
      <c r="J1830">
        <v>-377.1354</v>
      </c>
      <c r="K1830">
        <v>1.1054709999999901</v>
      </c>
      <c r="L1830">
        <v>285.97730000000001</v>
      </c>
      <c r="M1830">
        <v>-0.99958349999999996</v>
      </c>
      <c r="N1830">
        <v>0</v>
      </c>
      <c r="O1830">
        <v>2.4720039999999999E-2</v>
      </c>
      <c r="P1830">
        <v>-0.99951950000000001</v>
      </c>
      <c r="Q1830">
        <v>3.0783209999999998E-2</v>
      </c>
      <c r="R1830">
        <v>-3.6604290000000002E-3</v>
      </c>
      <c r="S1830">
        <v>-3.0045169999999999</v>
      </c>
      <c r="T1830">
        <v>-0.16042379999999901</v>
      </c>
      <c r="U1830">
        <v>-0.50775150000000002</v>
      </c>
      <c r="V1830">
        <v>-2.846069E-2</v>
      </c>
      <c r="W1830">
        <v>4.5605399999999997E-2</v>
      </c>
      <c r="X1830">
        <v>0.998554099999999</v>
      </c>
      <c r="Y1830">
        <v>-0.190661</v>
      </c>
      <c r="Z1830">
        <v>-6.3611659999999997E-3</v>
      </c>
      <c r="AA1830">
        <v>0.98163529999999999</v>
      </c>
      <c r="AB1830">
        <v>49</v>
      </c>
      <c r="AC1830">
        <v>-20.400500000000001</v>
      </c>
      <c r="AD1830">
        <v>-1.1054685265569999</v>
      </c>
      <c r="AE1830">
        <v>-3.5058999999999898</v>
      </c>
      <c r="AF1830">
        <v>-3.9977832730917</v>
      </c>
      <c r="AG1830">
        <v>-1.1054685265569999</v>
      </c>
      <c r="AH1830">
        <v>20.249833566479399</v>
      </c>
      <c r="AI1830">
        <v>93.065703134867206</v>
      </c>
      <c r="AJ1830">
        <v>101.16789107863499</v>
      </c>
      <c r="AK1830">
        <v>20.670270710175402</v>
      </c>
    </row>
    <row r="1831" spans="1:37" x14ac:dyDescent="0.2">
      <c r="A1831" t="str">
        <f>"20200111153434367"</f>
        <v>20200111153434367</v>
      </c>
      <c r="B1831" t="str">
        <f>"1578728074358010"</f>
        <v>1578728074358010</v>
      </c>
      <c r="C1831" t="s">
        <v>37</v>
      </c>
      <c r="D1831">
        <v>4.6282620000000003</v>
      </c>
      <c r="E1831">
        <v>0.437795299999999</v>
      </c>
      <c r="F1831" t="s">
        <v>52</v>
      </c>
      <c r="G1831">
        <v>-397.96749999999997</v>
      </c>
      <c r="H1831" s="1">
        <v>2.7031169999999998E-6</v>
      </c>
      <c r="I1831">
        <v>282.45960000000002</v>
      </c>
      <c r="J1831">
        <v>-377.39249999999998</v>
      </c>
      <c r="K1831">
        <v>1.105551</v>
      </c>
      <c r="L1831">
        <v>285.98329999999999</v>
      </c>
      <c r="M1831">
        <v>-0.99959679999999995</v>
      </c>
      <c r="N1831">
        <v>0</v>
      </c>
      <c r="O1831">
        <v>2.417176E-2</v>
      </c>
      <c r="P1831">
        <v>-0.99949750000000004</v>
      </c>
      <c r="Q1831">
        <v>3.1425189999999999E-2</v>
      </c>
      <c r="R1831">
        <v>-4.1563590000000001E-3</v>
      </c>
      <c r="S1831">
        <v>-3.0044559999999998</v>
      </c>
      <c r="T1831">
        <v>-0.1594332</v>
      </c>
      <c r="U1831">
        <v>-0.5073242</v>
      </c>
      <c r="V1831">
        <v>-2.8417479999999998E-2</v>
      </c>
      <c r="W1831">
        <v>4.6241780000000003E-2</v>
      </c>
      <c r="X1831">
        <v>0.99852600000000002</v>
      </c>
      <c r="Y1831">
        <v>-0.18999540000000001</v>
      </c>
      <c r="Z1831">
        <v>-6.2757219999999897E-3</v>
      </c>
      <c r="AA1831">
        <v>0.98176489999999905</v>
      </c>
      <c r="AB1831">
        <v>49</v>
      </c>
      <c r="AC1831">
        <v>-20.5749999999999</v>
      </c>
      <c r="AD1831">
        <v>-1.1055482968829999</v>
      </c>
      <c r="AE1831">
        <v>-3.5236999999999599</v>
      </c>
      <c r="AF1831">
        <v>-4.00881496663688</v>
      </c>
      <c r="AG1831">
        <v>-1.1055482968829999</v>
      </c>
      <c r="AH1831">
        <v>20.4265087984305</v>
      </c>
      <c r="AI1831">
        <v>93.040127000301794</v>
      </c>
      <c r="AJ1831">
        <v>101.103493084639</v>
      </c>
      <c r="AK1831">
        <v>20.8455054188147</v>
      </c>
    </row>
    <row r="1832" spans="1:37" x14ac:dyDescent="0.2">
      <c r="A1832" t="str">
        <f>"20200111153434381"</f>
        <v>20200111153434381</v>
      </c>
      <c r="B1832" t="str">
        <f>"1578728074377531"</f>
        <v>1578728074377531</v>
      </c>
      <c r="C1832" t="s">
        <v>37</v>
      </c>
      <c r="D1832">
        <v>4.6188390000000004</v>
      </c>
      <c r="E1832">
        <v>0.43793469999999901</v>
      </c>
      <c r="F1832" t="s">
        <v>52</v>
      </c>
      <c r="G1832">
        <v>-398.36739999999998</v>
      </c>
      <c r="H1832" s="1">
        <v>2.9159290000000001E-6</v>
      </c>
      <c r="I1832">
        <v>282.43290000000002</v>
      </c>
      <c r="J1832">
        <v>-377.67619999999999</v>
      </c>
      <c r="K1832">
        <v>1.10564</v>
      </c>
      <c r="L1832">
        <v>285.98970000000003</v>
      </c>
      <c r="M1832">
        <v>-0.999612099999999</v>
      </c>
      <c r="N1832">
        <v>0</v>
      </c>
      <c r="O1832">
        <v>2.3539009999999999E-2</v>
      </c>
      <c r="P1832">
        <v>-0.99947249999999999</v>
      </c>
      <c r="Q1832">
        <v>3.2143119999999997E-2</v>
      </c>
      <c r="R1832">
        <v>-4.7048919999999996E-3</v>
      </c>
      <c r="S1832">
        <v>-3.0043950000000001</v>
      </c>
      <c r="T1832">
        <v>-0.1583561</v>
      </c>
      <c r="U1832">
        <v>-0.50854489999999997</v>
      </c>
      <c r="V1832">
        <v>-2.8343690000000001E-2</v>
      </c>
      <c r="W1832">
        <v>4.6952929999999997E-2</v>
      </c>
      <c r="X1832">
        <v>0.99849489999999996</v>
      </c>
      <c r="Y1832">
        <v>-0.1897701</v>
      </c>
      <c r="Z1832">
        <v>-6.1942840000000004E-3</v>
      </c>
      <c r="AA1832">
        <v>0.98180900000000004</v>
      </c>
      <c r="AB1832">
        <v>49</v>
      </c>
      <c r="AC1832">
        <v>-20.691199999999899</v>
      </c>
      <c r="AD1832">
        <v>-1.1056370840709999</v>
      </c>
      <c r="AE1832">
        <v>-3.5568</v>
      </c>
      <c r="AF1832">
        <v>-4.0317371199284597</v>
      </c>
      <c r="AG1832">
        <v>-1.1056370840709999</v>
      </c>
      <c r="AH1832">
        <v>20.5447547083503</v>
      </c>
      <c r="AI1832">
        <v>93.022912195756206</v>
      </c>
      <c r="AJ1832">
        <v>101.10272973607999</v>
      </c>
      <c r="AK1832">
        <v>20.965788408551798</v>
      </c>
    </row>
    <row r="1833" spans="1:37" x14ac:dyDescent="0.2">
      <c r="A1833" t="str">
        <f>"20200111153434400"</f>
        <v>20200111153434400</v>
      </c>
      <c r="B1833" t="str">
        <f>"1578728074398026"</f>
        <v>1578728074398026</v>
      </c>
      <c r="C1833" t="s">
        <v>37</v>
      </c>
      <c r="D1833">
        <v>4.6153339999999998</v>
      </c>
      <c r="E1833">
        <v>0.43767790000000001</v>
      </c>
      <c r="F1833" t="s">
        <v>52</v>
      </c>
      <c r="G1833">
        <v>-398.92630000000003</v>
      </c>
      <c r="H1833" s="1">
        <v>3.2133560000000001E-6</v>
      </c>
      <c r="I1833">
        <v>282.38799999999998</v>
      </c>
      <c r="J1833">
        <v>-378.10599999999999</v>
      </c>
      <c r="K1833">
        <v>1.1057779999999999</v>
      </c>
      <c r="L1833">
        <v>285.9991</v>
      </c>
      <c r="M1833">
        <v>-0.99963619999999898</v>
      </c>
      <c r="N1833">
        <v>0</v>
      </c>
      <c r="O1833">
        <v>2.248414E-2</v>
      </c>
      <c r="P1833">
        <v>-0.9993978</v>
      </c>
      <c r="Q1833">
        <v>3.4141900000000003E-2</v>
      </c>
      <c r="R1833">
        <v>-6.205024E-3</v>
      </c>
      <c r="S1833">
        <v>-3.004181</v>
      </c>
      <c r="T1833">
        <v>-0.15630639999999901</v>
      </c>
      <c r="U1833">
        <v>-0.50918580000000002</v>
      </c>
      <c r="V1833">
        <v>-2.88079999999999E-2</v>
      </c>
      <c r="W1833">
        <v>4.893952E-2</v>
      </c>
      <c r="X1833">
        <v>0.998386199999999</v>
      </c>
      <c r="Y1833">
        <v>-0.18895899999999999</v>
      </c>
      <c r="Z1833">
        <v>-6.0390900000000004E-3</v>
      </c>
      <c r="AA1833">
        <v>0.98196640000000002</v>
      </c>
      <c r="AB1833">
        <v>49</v>
      </c>
      <c r="AC1833">
        <v>-20.8203</v>
      </c>
      <c r="AD1833">
        <v>-1.105774786644</v>
      </c>
      <c r="AE1833">
        <v>-3.61110000000002</v>
      </c>
      <c r="AF1833">
        <v>-4.0672279448870396</v>
      </c>
      <c r="AG1833">
        <v>-1.105774786644</v>
      </c>
      <c r="AH1833">
        <v>20.677212690776798</v>
      </c>
      <c r="AI1833">
        <v>93.003695915740593</v>
      </c>
      <c r="AJ1833">
        <v>101.12806763216</v>
      </c>
      <c r="AK1833">
        <v>21.102421796895001</v>
      </c>
    </row>
    <row r="1834" spans="1:37" x14ac:dyDescent="0.2">
      <c r="A1834" t="str">
        <f>"20200111153434413"</f>
        <v>20200111153434413</v>
      </c>
      <c r="B1834" t="str">
        <f>"1578728074407786"</f>
        <v>1578728074407786</v>
      </c>
      <c r="C1834" t="s">
        <v>37</v>
      </c>
      <c r="D1834">
        <v>4.6501999999999999</v>
      </c>
      <c r="E1834">
        <v>0.43755829999999901</v>
      </c>
      <c r="F1834" t="s">
        <v>56</v>
      </c>
      <c r="G1834">
        <v>-400.44470000000001</v>
      </c>
      <c r="H1834" s="1">
        <v>8.711711E-6</v>
      </c>
      <c r="I1834">
        <v>282.1644</v>
      </c>
      <c r="J1834">
        <v>-378.38240000000002</v>
      </c>
      <c r="K1834">
        <v>1.10586299999999</v>
      </c>
      <c r="L1834">
        <v>286.00490000000002</v>
      </c>
      <c r="M1834">
        <v>-0.99965249999999894</v>
      </c>
      <c r="N1834">
        <v>0</v>
      </c>
      <c r="O1834">
        <v>2.1749419999999998E-2</v>
      </c>
      <c r="P1834">
        <v>-0.99936270000000005</v>
      </c>
      <c r="Q1834">
        <v>3.4979950000000003E-2</v>
      </c>
      <c r="R1834">
        <v>-7.1191539999999999E-3</v>
      </c>
      <c r="S1834">
        <v>-3.0036930000000002</v>
      </c>
      <c r="T1834">
        <v>-0.14868319999999999</v>
      </c>
      <c r="U1834">
        <v>-0.515625</v>
      </c>
      <c r="V1834">
        <v>-2.8998670000000001E-2</v>
      </c>
      <c r="W1834">
        <v>4.9770109999999999E-2</v>
      </c>
      <c r="X1834">
        <v>0.99833969999999905</v>
      </c>
      <c r="Y1834">
        <v>-0.1903347</v>
      </c>
      <c r="Z1834">
        <v>-5.7424889999999999E-3</v>
      </c>
      <c r="AA1834">
        <v>0.98170239999999998</v>
      </c>
      <c r="AB1834">
        <v>49</v>
      </c>
      <c r="AC1834">
        <v>-22.0623</v>
      </c>
      <c r="AD1834">
        <v>-1.1058542882889999</v>
      </c>
      <c r="AE1834">
        <v>-3.84050000000002</v>
      </c>
      <c r="AF1834">
        <v>-4.3089791917009297</v>
      </c>
      <c r="AG1834">
        <v>-1.1058542882889999</v>
      </c>
      <c r="AH1834">
        <v>21.920089183634499</v>
      </c>
      <c r="AI1834">
        <v>92.833941197524794</v>
      </c>
      <c r="AJ1834">
        <v>101.121213142488</v>
      </c>
      <c r="AK1834">
        <v>22.366951629579098</v>
      </c>
    </row>
    <row r="1835" spans="1:37" x14ac:dyDescent="0.2">
      <c r="A1835" t="str">
        <f>"20200111153434426"</f>
        <v>20200111153434426</v>
      </c>
      <c r="B1835" t="str">
        <f>"1578728074417546"</f>
        <v>1578728074417546</v>
      </c>
      <c r="C1835" t="s">
        <v>37</v>
      </c>
      <c r="D1835">
        <v>4.6065059999999898</v>
      </c>
      <c r="E1835">
        <v>0.43746040000000003</v>
      </c>
      <c r="F1835" t="s">
        <v>56</v>
      </c>
      <c r="G1835">
        <v>-401.10680000000002</v>
      </c>
      <c r="H1835" s="1">
        <v>8.4361659999999993E-6</v>
      </c>
      <c r="I1835">
        <v>282.07679999999999</v>
      </c>
      <c r="J1835">
        <v>-378.65339999999998</v>
      </c>
      <c r="K1835">
        <v>1.105942</v>
      </c>
      <c r="L1835">
        <v>286.01029999999997</v>
      </c>
      <c r="M1835">
        <v>-0.99966869999999997</v>
      </c>
      <c r="N1835">
        <v>0</v>
      </c>
      <c r="O1835">
        <v>2.0997999999999999E-2</v>
      </c>
      <c r="P1835">
        <v>-0.99932540000000003</v>
      </c>
      <c r="Q1835">
        <v>3.5815079999999999E-2</v>
      </c>
      <c r="R1835">
        <v>-8.1334069999999901E-3</v>
      </c>
      <c r="S1835">
        <v>-3.00329599999999</v>
      </c>
      <c r="T1835">
        <v>-0.14615129999999901</v>
      </c>
      <c r="U1835">
        <v>-0.51913450000000005</v>
      </c>
      <c r="V1835">
        <v>-2.9273560000000001E-2</v>
      </c>
      <c r="W1835">
        <v>5.0597820000000002E-2</v>
      </c>
      <c r="X1835">
        <v>0.99829000000000001</v>
      </c>
      <c r="Y1835">
        <v>-0.19074140000000001</v>
      </c>
      <c r="Z1835">
        <v>-5.6185080000000004E-3</v>
      </c>
      <c r="AA1835">
        <v>0.98162419999999995</v>
      </c>
      <c r="AB1835">
        <v>49</v>
      </c>
      <c r="AC1835">
        <v>-22.453399999999998</v>
      </c>
      <c r="AD1835">
        <v>-1.105933563834</v>
      </c>
      <c r="AE1835">
        <v>-3.93349999999998</v>
      </c>
      <c r="AF1835">
        <v>-4.3938191921949503</v>
      </c>
      <c r="AG1835">
        <v>-1.105933563834</v>
      </c>
      <c r="AH1835">
        <v>22.3133228866356</v>
      </c>
      <c r="AI1835">
        <v>92.784098527604698</v>
      </c>
      <c r="AJ1835">
        <v>101.139851253321</v>
      </c>
      <c r="AK1835">
        <v>22.768687146705901</v>
      </c>
    </row>
    <row r="1836" spans="1:37" x14ac:dyDescent="0.2">
      <c r="A1836" t="str">
        <f>"20200111153434438"</f>
        <v>20200111153434438</v>
      </c>
      <c r="B1836" t="str">
        <f>"1578728074428283"</f>
        <v>1578728074428283</v>
      </c>
      <c r="C1836" t="s">
        <v>37</v>
      </c>
      <c r="D1836">
        <v>4.6295310000000001</v>
      </c>
      <c r="E1836">
        <v>0.43737349999999903</v>
      </c>
      <c r="F1836" t="s">
        <v>56</v>
      </c>
      <c r="G1836">
        <v>-401.65179999999998</v>
      </c>
      <c r="H1836" s="1">
        <v>8.2092169999999906E-6</v>
      </c>
      <c r="I1836">
        <v>282.00560000000002</v>
      </c>
      <c r="J1836">
        <v>-378.93009999999998</v>
      </c>
      <c r="K1836">
        <v>1.1060219999999901</v>
      </c>
      <c r="L1836">
        <v>286.01569999999998</v>
      </c>
      <c r="M1836">
        <v>-0.99968489999999999</v>
      </c>
      <c r="N1836">
        <v>0</v>
      </c>
      <c r="O1836">
        <v>2.0207039999999999E-2</v>
      </c>
      <c r="P1836">
        <v>-0.99928839999999997</v>
      </c>
      <c r="Q1836">
        <v>3.6590810000000001E-2</v>
      </c>
      <c r="R1836">
        <v>-9.1406300000000003E-3</v>
      </c>
      <c r="S1836">
        <v>-3.0029910000000002</v>
      </c>
      <c r="T1836">
        <v>-0.1444059</v>
      </c>
      <c r="U1836">
        <v>-0.52291869999999996</v>
      </c>
      <c r="V1836">
        <v>-2.9501360000000001E-2</v>
      </c>
      <c r="W1836">
        <v>5.136595E-2</v>
      </c>
      <c r="X1836">
        <v>0.99824400000000002</v>
      </c>
      <c r="Y1836">
        <v>-0.19118850000000001</v>
      </c>
      <c r="Z1836">
        <v>-5.5243519999999997E-3</v>
      </c>
      <c r="AA1836">
        <v>0.98153780000000002</v>
      </c>
      <c r="AB1836">
        <v>49</v>
      </c>
      <c r="AC1836">
        <v>-22.721699999999998</v>
      </c>
      <c r="AD1836">
        <v>-1.1060137907829899</v>
      </c>
      <c r="AE1836">
        <v>-4.0100999999999596</v>
      </c>
      <c r="AF1836">
        <v>-4.4582259867969301</v>
      </c>
      <c r="AG1836">
        <v>-1.1060137907829899</v>
      </c>
      <c r="AH1836">
        <v>22.584123798922398</v>
      </c>
      <c r="AI1836">
        <v>92.7507100982466</v>
      </c>
      <c r="AJ1836">
        <v>101.166914564606</v>
      </c>
      <c r="AK1836">
        <v>23.046511519529499</v>
      </c>
    </row>
    <row r="1837" spans="1:37" x14ac:dyDescent="0.2">
      <c r="A1837" t="str">
        <f>"20200111153434451"</f>
        <v>20200111153434451</v>
      </c>
      <c r="B1837" t="str">
        <f>"1578728074447803"</f>
        <v>1578728074447803</v>
      </c>
      <c r="C1837" t="s">
        <v>37</v>
      </c>
      <c r="D1837">
        <v>4.6412899999999997</v>
      </c>
      <c r="E1837">
        <v>0.43724170000000001</v>
      </c>
      <c r="F1837" t="s">
        <v>56</v>
      </c>
      <c r="G1837">
        <v>-402.34840000000003</v>
      </c>
      <c r="H1837" s="1">
        <v>7.9208549999999992E-6</v>
      </c>
      <c r="I1837">
        <v>281.90620000000001</v>
      </c>
      <c r="J1837">
        <v>-379.21069999999997</v>
      </c>
      <c r="K1837">
        <v>1.1061000000000001</v>
      </c>
      <c r="L1837">
        <v>286.02080000000001</v>
      </c>
      <c r="M1837">
        <v>-0.99970179999999997</v>
      </c>
      <c r="N1837">
        <v>0</v>
      </c>
      <c r="O1837">
        <v>1.9351299999999998E-2</v>
      </c>
      <c r="P1837">
        <v>-0.99926610000000005</v>
      </c>
      <c r="Q1837">
        <v>3.6823359999999999E-2</v>
      </c>
      <c r="R1837">
        <v>-1.055596E-2</v>
      </c>
      <c r="S1837">
        <v>-3.0025019999999998</v>
      </c>
      <c r="T1837">
        <v>-0.14180429999999999</v>
      </c>
      <c r="U1837">
        <v>-0.52688599999999997</v>
      </c>
      <c r="V1837">
        <v>-3.0070779999999998E-2</v>
      </c>
      <c r="W1837">
        <v>5.1589290000000003E-2</v>
      </c>
      <c r="X1837">
        <v>0.99821559999999898</v>
      </c>
      <c r="Y1837">
        <v>-0.1916427</v>
      </c>
      <c r="Z1837">
        <v>-5.3957140000000002E-3</v>
      </c>
      <c r="AA1837">
        <v>0.98145000000000004</v>
      </c>
      <c r="AB1837">
        <v>49</v>
      </c>
      <c r="AC1837">
        <v>-23.137699999999999</v>
      </c>
      <c r="AD1837">
        <v>-1.106092079145</v>
      </c>
      <c r="AE1837">
        <v>-4.1145999999999896</v>
      </c>
      <c r="AF1837">
        <v>-4.5515408436444202</v>
      </c>
      <c r="AG1837">
        <v>-1.106092079145</v>
      </c>
      <c r="AH1837">
        <v>23.002778043378701</v>
      </c>
      <c r="AI1837">
        <v>92.700674485043095</v>
      </c>
      <c r="AJ1837">
        <v>101.192493210332</v>
      </c>
      <c r="AK1837">
        <v>23.474832511689101</v>
      </c>
    </row>
    <row r="1838" spans="1:37" x14ac:dyDescent="0.2">
      <c r="A1838" t="str">
        <f>"20200111153434466"</f>
        <v>20200111153434466</v>
      </c>
      <c r="B1838" t="str">
        <f>"1578728074457562"</f>
        <v>1578728074457562</v>
      </c>
      <c r="C1838" t="s">
        <v>37</v>
      </c>
      <c r="D1838">
        <v>4.6372900000000001</v>
      </c>
      <c r="E1838">
        <v>0.43711670000000002</v>
      </c>
      <c r="F1838" t="s">
        <v>56</v>
      </c>
      <c r="G1838">
        <v>-402.66969999999998</v>
      </c>
      <c r="H1838" s="1">
        <v>7.7873960000000001E-6</v>
      </c>
      <c r="I1838">
        <v>281.86239999999998</v>
      </c>
      <c r="J1838">
        <v>-379.52409999999998</v>
      </c>
      <c r="K1838">
        <v>1.1061859999999999</v>
      </c>
      <c r="L1838">
        <v>286.02620000000002</v>
      </c>
      <c r="M1838">
        <v>-0.99972050000000001</v>
      </c>
      <c r="N1838">
        <v>0</v>
      </c>
      <c r="O1838">
        <v>1.836658E-2</v>
      </c>
      <c r="P1838">
        <v>-0.99923919999999999</v>
      </c>
      <c r="Q1838">
        <v>3.721518E-2</v>
      </c>
      <c r="R1838">
        <v>-1.1677130000000001E-2</v>
      </c>
      <c r="S1838">
        <v>-3.0018009999999999</v>
      </c>
      <c r="T1838">
        <v>-0.1415344</v>
      </c>
      <c r="U1838">
        <v>-0.53210449999999998</v>
      </c>
      <c r="V1838">
        <v>-3.0219639999999999E-2</v>
      </c>
      <c r="W1838">
        <v>5.1973110000000003E-2</v>
      </c>
      <c r="X1838">
        <v>0.99819119999999995</v>
      </c>
      <c r="Y1838">
        <v>-0.19237079999999901</v>
      </c>
      <c r="Z1838">
        <v>-5.3568340000000004E-3</v>
      </c>
      <c r="AA1838">
        <v>0.98130769999999901</v>
      </c>
      <c r="AB1838">
        <v>49</v>
      </c>
      <c r="AC1838">
        <v>-23.145600000000002</v>
      </c>
      <c r="AD1838">
        <v>-1.1061782126040001</v>
      </c>
      <c r="AE1838">
        <v>-4.1638000000000304</v>
      </c>
      <c r="AF1838">
        <v>-4.5781210753786796</v>
      </c>
      <c r="AG1838">
        <v>-1.1061782126040001</v>
      </c>
      <c r="AH1838">
        <v>23.014292834113899</v>
      </c>
      <c r="AI1838">
        <v>92.698991874770201</v>
      </c>
      <c r="AJ1838">
        <v>101.25070312743701</v>
      </c>
      <c r="AK1838">
        <v>23.491285564506899</v>
      </c>
    </row>
    <row r="1839" spans="1:37" x14ac:dyDescent="0.2">
      <c r="A1839" t="str">
        <f>"20200111153434480"</f>
        <v>20200111153434480</v>
      </c>
      <c r="B1839" t="str">
        <f>"1578728074468298"</f>
        <v>1578728074468298</v>
      </c>
      <c r="C1839" t="s">
        <v>37</v>
      </c>
      <c r="D1839">
        <v>4.6329070000000003</v>
      </c>
      <c r="E1839">
        <v>0.43696160000000001</v>
      </c>
      <c r="F1839" t="s">
        <v>56</v>
      </c>
      <c r="G1839">
        <v>-403.00560000000002</v>
      </c>
      <c r="H1839" s="1">
        <v>7.6452859999999995E-6</v>
      </c>
      <c r="I1839">
        <v>281.82920000000001</v>
      </c>
      <c r="J1839">
        <v>-379.80579999999998</v>
      </c>
      <c r="K1839">
        <v>1.106258</v>
      </c>
      <c r="L1839">
        <v>286.03089999999997</v>
      </c>
      <c r="M1839">
        <v>-0.99973670000000003</v>
      </c>
      <c r="N1839">
        <v>0</v>
      </c>
      <c r="O1839">
        <v>1.745596E-2</v>
      </c>
      <c r="P1839">
        <v>-0.9992183</v>
      </c>
      <c r="Q1839">
        <v>3.7086809999999998E-2</v>
      </c>
      <c r="R1839">
        <v>-1.3685869999999999E-2</v>
      </c>
      <c r="S1839">
        <v>-3.001312</v>
      </c>
      <c r="T1839">
        <v>-0.14138699999999901</v>
      </c>
      <c r="U1839">
        <v>-0.53643799999999997</v>
      </c>
      <c r="V1839">
        <v>-3.1327439999999998E-2</v>
      </c>
      <c r="W1839">
        <v>5.1834060000000001E-2</v>
      </c>
      <c r="X1839">
        <v>0.99816419999999995</v>
      </c>
      <c r="Y1839">
        <v>-0.19287869999999999</v>
      </c>
      <c r="Z1839">
        <v>-5.32074099999999E-3</v>
      </c>
      <c r="AA1839">
        <v>0.98120819999999997</v>
      </c>
      <c r="AB1839">
        <v>49</v>
      </c>
      <c r="AC1839">
        <v>-23.1998</v>
      </c>
      <c r="AD1839">
        <v>-1.1062503547139999</v>
      </c>
      <c r="AE1839">
        <v>-4.2016999999999598</v>
      </c>
      <c r="AF1839">
        <v>-4.5959612788244097</v>
      </c>
      <c r="AG1839">
        <v>-1.1062503547139999</v>
      </c>
      <c r="AH1839">
        <v>23.0721178498722</v>
      </c>
      <c r="AI1839">
        <v>92.692271361268197</v>
      </c>
      <c r="AJ1839">
        <v>101.265841044683</v>
      </c>
      <c r="AK1839">
        <v>23.551417621921399</v>
      </c>
    </row>
    <row r="1840" spans="1:37" x14ac:dyDescent="0.2">
      <c r="A1840" t="str">
        <f>"20200111153434494"</f>
        <v>20200111153434494</v>
      </c>
      <c r="B1840" t="str">
        <f>"1578728074487818"</f>
        <v>1578728074487818</v>
      </c>
      <c r="C1840" t="s">
        <v>37</v>
      </c>
      <c r="D1840">
        <v>4.6418609999999996</v>
      </c>
      <c r="E1840">
        <v>0.43655050000000001</v>
      </c>
      <c r="F1840" t="s">
        <v>56</v>
      </c>
      <c r="G1840">
        <v>-403.18369999999999</v>
      </c>
      <c r="H1840" s="1">
        <v>7.5726379999999898E-6</v>
      </c>
      <c r="I1840">
        <v>281.79860000000002</v>
      </c>
      <c r="J1840">
        <v>-380.1354</v>
      </c>
      <c r="K1840">
        <v>1.106341</v>
      </c>
      <c r="L1840">
        <v>286.03590000000003</v>
      </c>
      <c r="M1840">
        <v>-0.99975569999999903</v>
      </c>
      <c r="N1840">
        <v>0</v>
      </c>
      <c r="O1840">
        <v>1.6341540000000002E-2</v>
      </c>
      <c r="P1840">
        <v>-0.9992046</v>
      </c>
      <c r="Q1840">
        <v>3.6877999999999897E-2</v>
      </c>
      <c r="R1840">
        <v>-1.5170589999999999E-2</v>
      </c>
      <c r="S1840">
        <v>-3.0002140000000002</v>
      </c>
      <c r="T1840">
        <v>-0.14197129999999999</v>
      </c>
      <c r="U1840">
        <v>-0.54315190000000002</v>
      </c>
      <c r="V1840">
        <v>-3.1708090000000001E-2</v>
      </c>
      <c r="W1840">
        <v>5.1616429999999998E-2</v>
      </c>
      <c r="X1840">
        <v>0.99816349999999998</v>
      </c>
      <c r="Y1840">
        <v>-0.19397210000000001</v>
      </c>
      <c r="Z1840">
        <v>-5.3169109999999997E-3</v>
      </c>
      <c r="AA1840">
        <v>0.98099259999999999</v>
      </c>
      <c r="AB1840">
        <v>49</v>
      </c>
      <c r="AC1840">
        <v>-23.048299999999902</v>
      </c>
      <c r="AD1840">
        <v>-1.106333427362</v>
      </c>
      <c r="AE1840">
        <v>-4.2373000000000003</v>
      </c>
      <c r="AF1840">
        <v>-4.6031612728673004</v>
      </c>
      <c r="AG1840">
        <v>-1.106333427362</v>
      </c>
      <c r="AH1840">
        <v>22.924876502504201</v>
      </c>
      <c r="AI1840">
        <v>92.708911703097698</v>
      </c>
      <c r="AJ1840">
        <v>101.35362956060899</v>
      </c>
      <c r="AK1840">
        <v>23.408610168303301</v>
      </c>
    </row>
    <row r="1841" spans="1:37" x14ac:dyDescent="0.2">
      <c r="A1841" t="str">
        <f>"20200111153434514"</f>
        <v>20200111153434514</v>
      </c>
      <c r="B1841" t="str">
        <f>"1578728074508315"</f>
        <v>1578728074508315</v>
      </c>
      <c r="C1841" t="s">
        <v>37</v>
      </c>
      <c r="D1841">
        <v>4.6368400000000003</v>
      </c>
      <c r="E1841">
        <v>0.43628850000000002</v>
      </c>
      <c r="F1841" t="s">
        <v>56</v>
      </c>
      <c r="G1841">
        <v>-403.22559999999999</v>
      </c>
      <c r="H1841" s="1">
        <v>7.5552089999999997E-6</v>
      </c>
      <c r="I1841">
        <v>281.79320000000001</v>
      </c>
      <c r="J1841">
        <v>-380.54849999999999</v>
      </c>
      <c r="K1841">
        <v>1.106433</v>
      </c>
      <c r="L1841">
        <v>286.04169999999999</v>
      </c>
      <c r="M1841">
        <v>-0.99977819999999995</v>
      </c>
      <c r="N1841">
        <v>0</v>
      </c>
      <c r="O1841">
        <v>1.490766E-2</v>
      </c>
      <c r="P1841">
        <v>-0.99919840000000004</v>
      </c>
      <c r="Q1841">
        <v>3.6116420000000003E-2</v>
      </c>
      <c r="R1841">
        <v>-1.728333E-2</v>
      </c>
      <c r="S1841">
        <v>-2.9993289999999999</v>
      </c>
      <c r="T1841">
        <v>-0.14370910000000001</v>
      </c>
      <c r="U1841">
        <v>-0.55111690000000002</v>
      </c>
      <c r="V1841">
        <v>-3.2396649999999999E-2</v>
      </c>
      <c r="W1841">
        <v>5.084354E-2</v>
      </c>
      <c r="X1841">
        <v>0.99818099999999998</v>
      </c>
      <c r="Y1841">
        <v>-0.19513169999999999</v>
      </c>
      <c r="Z1841">
        <v>-5.3416019999999896E-3</v>
      </c>
      <c r="AA1841">
        <v>0.98076249999999998</v>
      </c>
      <c r="AB1841">
        <v>49</v>
      </c>
      <c r="AC1841">
        <v>-22.677099999999999</v>
      </c>
      <c r="AD1841">
        <v>-1.106425444791</v>
      </c>
      <c r="AE1841">
        <v>-4.2484999999999697</v>
      </c>
      <c r="AF1841">
        <v>-4.5756047812642802</v>
      </c>
      <c r="AG1841">
        <v>-1.106425444791</v>
      </c>
      <c r="AH1841">
        <v>22.559355558768399</v>
      </c>
      <c r="AI1841">
        <v>92.751882036228906</v>
      </c>
      <c r="AJ1841">
        <v>101.465491270016</v>
      </c>
      <c r="AK1841">
        <v>23.045278466665199</v>
      </c>
    </row>
    <row r="1842" spans="1:37" x14ac:dyDescent="0.2">
      <c r="A1842" t="str">
        <f>"20200111153434529"</f>
        <v>20200111153434529</v>
      </c>
      <c r="B1842" t="str">
        <f>"1578728074518074"</f>
        <v>1578728074518074</v>
      </c>
      <c r="C1842" t="s">
        <v>37</v>
      </c>
      <c r="D1842">
        <v>4.6024349999999998</v>
      </c>
      <c r="E1842">
        <v>0.43615409999999999</v>
      </c>
      <c r="F1842" t="s">
        <v>56</v>
      </c>
      <c r="G1842">
        <v>-403.11450000000002</v>
      </c>
      <c r="H1842" s="1">
        <v>7.5966750000000004E-6</v>
      </c>
      <c r="I1842">
        <v>281.83089999999999</v>
      </c>
      <c r="J1842">
        <v>-380.88240000000002</v>
      </c>
      <c r="K1842">
        <v>1.106503</v>
      </c>
      <c r="L1842">
        <v>286.04599999999999</v>
      </c>
      <c r="M1842">
        <v>-0.999795199999999</v>
      </c>
      <c r="N1842">
        <v>0</v>
      </c>
      <c r="O1842">
        <v>1.3718889999999999E-2</v>
      </c>
      <c r="P1842">
        <v>-0.99918680000000004</v>
      </c>
      <c r="Q1842">
        <v>3.567758E-2</v>
      </c>
      <c r="R1842">
        <v>-1.879188E-2</v>
      </c>
      <c r="S1842">
        <v>-2.9980769999999999</v>
      </c>
      <c r="T1842">
        <v>-0.1469975</v>
      </c>
      <c r="U1842">
        <v>-0.55944819999999995</v>
      </c>
      <c r="V1842">
        <v>-3.2724389999999999E-2</v>
      </c>
      <c r="W1842">
        <v>5.0396379999999998E-2</v>
      </c>
      <c r="X1842">
        <v>0.998193</v>
      </c>
      <c r="Y1842">
        <v>-0.196661999999999</v>
      </c>
      <c r="Z1842">
        <v>-5.4439450000000004E-3</v>
      </c>
      <c r="AA1842">
        <v>0.9804562</v>
      </c>
      <c r="AB1842">
        <v>49</v>
      </c>
      <c r="AC1842">
        <v>-22.232099999999999</v>
      </c>
      <c r="AD1842">
        <v>-1.1064954033249901</v>
      </c>
      <c r="AE1842">
        <v>-4.2150999999999996</v>
      </c>
      <c r="AF1842">
        <v>-4.5089552880235004</v>
      </c>
      <c r="AG1842">
        <v>-1.1064954033249901</v>
      </c>
      <c r="AH1842">
        <v>22.1192845979635</v>
      </c>
      <c r="AI1842">
        <v>92.806162982523404</v>
      </c>
      <c r="AJ1842">
        <v>101.521727753243</v>
      </c>
      <c r="AK1842">
        <v>22.601277861941298</v>
      </c>
    </row>
    <row r="1843" spans="1:37" x14ac:dyDescent="0.2">
      <c r="A1843" t="str">
        <f>"20200111153434546"</f>
        <v>20200111153434546</v>
      </c>
      <c r="B1843" t="str">
        <f>"1578728074537595"</f>
        <v>1578728074537595</v>
      </c>
      <c r="C1843" t="s">
        <v>37</v>
      </c>
      <c r="D1843">
        <v>4.644806</v>
      </c>
      <c r="E1843">
        <v>0.43578719999999999</v>
      </c>
      <c r="F1843" t="s">
        <v>56</v>
      </c>
      <c r="G1843">
        <v>-403.26749999999998</v>
      </c>
      <c r="H1843" s="1">
        <v>7.529537E-6</v>
      </c>
      <c r="I1843">
        <v>281.82740000000001</v>
      </c>
      <c r="J1843">
        <v>-381.26280000000003</v>
      </c>
      <c r="K1843">
        <v>1.1065719999999999</v>
      </c>
      <c r="L1843">
        <v>286.05029999999999</v>
      </c>
      <c r="M1843">
        <v>-0.99981319999999996</v>
      </c>
      <c r="N1843">
        <v>0</v>
      </c>
      <c r="O1843">
        <v>1.2339859999999999E-2</v>
      </c>
      <c r="P1843">
        <v>-0.99919419999999903</v>
      </c>
      <c r="Q1843">
        <v>3.4463260000000003E-2</v>
      </c>
      <c r="R1843">
        <v>-2.058258E-2</v>
      </c>
      <c r="S1843">
        <v>-2.9971009999999998</v>
      </c>
      <c r="T1843">
        <v>-0.14814630000000001</v>
      </c>
      <c r="U1843">
        <v>-0.56481930000000002</v>
      </c>
      <c r="V1843">
        <v>-3.3140509999999998E-2</v>
      </c>
      <c r="W1843">
        <v>4.9173380000000003E-2</v>
      </c>
      <c r="X1843">
        <v>0.99824029999999997</v>
      </c>
      <c r="Y1843">
        <v>-0.19706189999999901</v>
      </c>
      <c r="Z1843">
        <v>-5.4295150000000002E-3</v>
      </c>
      <c r="AA1843">
        <v>0.98037600000000003</v>
      </c>
      <c r="AB1843">
        <v>48</v>
      </c>
      <c r="AC1843">
        <v>-22.0046999999999</v>
      </c>
      <c r="AD1843">
        <v>-1.106564470463</v>
      </c>
      <c r="AE1843">
        <v>-4.2228999999999797</v>
      </c>
      <c r="AF1843">
        <v>-4.4832087321415504</v>
      </c>
      <c r="AG1843">
        <v>-1.106564470463</v>
      </c>
      <c r="AH1843">
        <v>21.897500010071301</v>
      </c>
      <c r="AI1843">
        <v>92.834221912846203</v>
      </c>
      <c r="AJ1843">
        <v>101.57061487203801</v>
      </c>
      <c r="AK1843">
        <v>22.3791007896723</v>
      </c>
    </row>
    <row r="1844" spans="1:37" x14ac:dyDescent="0.2">
      <c r="A1844" t="str">
        <f>"20200111153434568"</f>
        <v>20200111153434568</v>
      </c>
      <c r="B1844" t="str">
        <f>"1578728074558090"</f>
        <v>1578728074558090</v>
      </c>
      <c r="C1844" t="s">
        <v>37</v>
      </c>
      <c r="D1844">
        <v>4.6593339999999897</v>
      </c>
      <c r="E1844">
        <v>0.43544820000000001</v>
      </c>
      <c r="F1844" t="s">
        <v>56</v>
      </c>
      <c r="G1844">
        <v>-402.97660000000002</v>
      </c>
      <c r="H1844" s="1">
        <v>7.6440009999999994E-6</v>
      </c>
      <c r="I1844">
        <v>281.89769999999999</v>
      </c>
      <c r="J1844">
        <v>-381.74360000000001</v>
      </c>
      <c r="K1844">
        <v>1.106649</v>
      </c>
      <c r="L1844">
        <v>286.05509999999998</v>
      </c>
      <c r="M1844">
        <v>-0.99983349999999904</v>
      </c>
      <c r="N1844">
        <v>0</v>
      </c>
      <c r="O1844">
        <v>1.05659E-2</v>
      </c>
      <c r="P1844">
        <v>-0.99918390000000001</v>
      </c>
      <c r="Q1844">
        <v>3.349949E-2</v>
      </c>
      <c r="R1844">
        <v>-2.2573650000000001E-2</v>
      </c>
      <c r="S1844">
        <v>-2.9958499999999999</v>
      </c>
      <c r="T1844">
        <v>-0.15267259999999999</v>
      </c>
      <c r="U1844">
        <v>-0.57293700000000003</v>
      </c>
      <c r="V1844">
        <v>-3.3364390000000001E-2</v>
      </c>
      <c r="W1844">
        <v>4.8200350000000003E-2</v>
      </c>
      <c r="X1844">
        <v>0.99828030000000001</v>
      </c>
      <c r="Y1844">
        <v>-0.1979467</v>
      </c>
      <c r="Z1844">
        <v>-5.5288380000000003E-3</v>
      </c>
      <c r="AA1844">
        <v>0.98019719999999999</v>
      </c>
      <c r="AB1844">
        <v>48</v>
      </c>
      <c r="AC1844">
        <v>-21.233000000000001</v>
      </c>
      <c r="AD1844">
        <v>-1.106641355999</v>
      </c>
      <c r="AE1844">
        <v>-4.1573999999999902</v>
      </c>
      <c r="AF1844">
        <v>-4.3701058770116301</v>
      </c>
      <c r="AG1844">
        <v>-1.106641355999</v>
      </c>
      <c r="AH1844">
        <v>21.132598188781699</v>
      </c>
      <c r="AI1844">
        <v>92.935643764521998</v>
      </c>
      <c r="AJ1844">
        <v>101.683764030275</v>
      </c>
      <c r="AK1844">
        <v>21.608081513072801</v>
      </c>
    </row>
    <row r="1845" spans="1:37" x14ac:dyDescent="0.2">
      <c r="A1845" t="str">
        <f>"20200111153434582"</f>
        <v>20200111153434582</v>
      </c>
      <c r="B1845" t="str">
        <f>"1578728074577610"</f>
        <v>1578728074577610</v>
      </c>
      <c r="C1845" t="s">
        <v>37</v>
      </c>
      <c r="D1845">
        <v>4.6730729999999996</v>
      </c>
      <c r="E1845">
        <v>0.43516749999999998</v>
      </c>
      <c r="F1845" t="s">
        <v>56</v>
      </c>
      <c r="G1845">
        <v>-402.89609999999999</v>
      </c>
      <c r="H1845" s="1">
        <v>7.6693100000000003E-6</v>
      </c>
      <c r="I1845">
        <v>281.94810000000001</v>
      </c>
      <c r="J1845">
        <v>-382.01620000000003</v>
      </c>
      <c r="K1845">
        <v>1.106689</v>
      </c>
      <c r="L1845">
        <v>286.05739999999997</v>
      </c>
      <c r="M1845">
        <v>-0.9998437</v>
      </c>
      <c r="N1845">
        <v>0</v>
      </c>
      <c r="O1845">
        <v>9.5498359999999904E-3</v>
      </c>
      <c r="P1845">
        <v>-0.99916759999999905</v>
      </c>
      <c r="Q1845">
        <v>3.3287879999999999E-2</v>
      </c>
      <c r="R1845">
        <v>-2.357851E-2</v>
      </c>
      <c r="S1845">
        <v>-2.9945369999999998</v>
      </c>
      <c r="T1845">
        <v>-0.15666640000000001</v>
      </c>
      <c r="U1845">
        <v>-0.58142090000000002</v>
      </c>
      <c r="V1845">
        <v>-3.3357589999999999E-2</v>
      </c>
      <c r="W1845">
        <v>4.7984119999999998E-2</v>
      </c>
      <c r="X1845">
        <v>0.99829100000000004</v>
      </c>
      <c r="Y1845">
        <v>-0.19969229999999999</v>
      </c>
      <c r="Z1845">
        <v>-5.6667599999999999E-3</v>
      </c>
      <c r="AA1845">
        <v>0.979842199999999</v>
      </c>
      <c r="AB1845">
        <v>48</v>
      </c>
      <c r="AC1845">
        <v>-20.8798999999999</v>
      </c>
      <c r="AD1845">
        <v>-1.1066813306900001</v>
      </c>
      <c r="AE1845">
        <v>-4.1092999999999602</v>
      </c>
      <c r="AF1845">
        <v>-4.2969133315529602</v>
      </c>
      <c r="AG1845">
        <v>-1.1066813306900001</v>
      </c>
      <c r="AH1845">
        <v>20.783491534728501</v>
      </c>
      <c r="AI1845">
        <v>92.985002264393401</v>
      </c>
      <c r="AJ1845">
        <v>101.68112239387099</v>
      </c>
      <c r="AK1845">
        <v>21.251864109313001</v>
      </c>
    </row>
    <row r="1846" spans="1:37" x14ac:dyDescent="0.2">
      <c r="A1846" t="str">
        <f>"20200111153434594"</f>
        <v>20200111153434594</v>
      </c>
      <c r="B1846" t="str">
        <f>"1578728074588346"</f>
        <v>1578728074588346</v>
      </c>
      <c r="C1846" t="s">
        <v>37</v>
      </c>
      <c r="D1846">
        <v>4.6123690000000002</v>
      </c>
      <c r="E1846">
        <v>0.43509219999999998</v>
      </c>
      <c r="F1846" t="s">
        <v>56</v>
      </c>
      <c r="G1846">
        <v>-403.00060000000002</v>
      </c>
      <c r="H1846" s="1">
        <v>7.623596E-6</v>
      </c>
      <c r="I1846">
        <v>281.94499999999999</v>
      </c>
      <c r="J1846">
        <v>-382.3021</v>
      </c>
      <c r="K1846">
        <v>1.1067260000000001</v>
      </c>
      <c r="L1846">
        <v>286.05950000000001</v>
      </c>
      <c r="M1846">
        <v>-0.99985349999999995</v>
      </c>
      <c r="N1846">
        <v>0</v>
      </c>
      <c r="O1846">
        <v>8.4751340000000005E-3</v>
      </c>
      <c r="P1846">
        <v>-0.99915549999999997</v>
      </c>
      <c r="Q1846">
        <v>3.2916550000000003E-2</v>
      </c>
      <c r="R1846">
        <v>-2.4601459999999999E-2</v>
      </c>
      <c r="S1846">
        <v>-2.9938959999999999</v>
      </c>
      <c r="T1846">
        <v>-0.15789320000000001</v>
      </c>
      <c r="U1846">
        <v>-0.586731</v>
      </c>
      <c r="V1846">
        <v>-3.330963E-2</v>
      </c>
      <c r="W1846">
        <v>4.76088E-2</v>
      </c>
      <c r="X1846">
        <v>0.99831049999999999</v>
      </c>
      <c r="Y1846">
        <v>-0.20034869999999999</v>
      </c>
      <c r="Z1846">
        <v>-5.6723169999999996E-3</v>
      </c>
      <c r="AA1846">
        <v>0.97970829999999998</v>
      </c>
      <c r="AB1846">
        <v>48</v>
      </c>
      <c r="AC1846">
        <v>-20.698499999999999</v>
      </c>
      <c r="AD1846">
        <v>-1.1067183764040001</v>
      </c>
      <c r="AE1846">
        <v>-4.11450000000002</v>
      </c>
      <c r="AF1846">
        <v>-4.2780286787371002</v>
      </c>
      <c r="AG1846">
        <v>-1.1067183764040001</v>
      </c>
      <c r="AH1846">
        <v>20.6062102447185</v>
      </c>
      <c r="AI1846">
        <v>93.010221963712397</v>
      </c>
      <c r="AJ1846">
        <v>101.728492225796</v>
      </c>
      <c r="AK1846">
        <v>21.0746828111435</v>
      </c>
    </row>
    <row r="1847" spans="1:37" x14ac:dyDescent="0.2">
      <c r="A1847" t="str">
        <f>"20200111153434606"</f>
        <v>20200111153434606</v>
      </c>
      <c r="B1847" t="str">
        <f>"1578728074598107"</f>
        <v>1578728074598107</v>
      </c>
      <c r="C1847" t="s">
        <v>37</v>
      </c>
      <c r="D1847">
        <v>4.6625329999999998</v>
      </c>
      <c r="E1847">
        <v>0.43498769999999998</v>
      </c>
      <c r="F1847" t="s">
        <v>56</v>
      </c>
      <c r="G1847">
        <v>-403.07150000000001</v>
      </c>
      <c r="H1847" s="1">
        <v>7.5883959999999999E-6</v>
      </c>
      <c r="I1847">
        <v>281.9631</v>
      </c>
      <c r="J1847">
        <v>-382.55990000000003</v>
      </c>
      <c r="K1847">
        <v>1.1067579999999999</v>
      </c>
      <c r="L1847">
        <v>286.06110000000001</v>
      </c>
      <c r="M1847">
        <v>-0.99986119999999901</v>
      </c>
      <c r="N1847">
        <v>0</v>
      </c>
      <c r="O1847">
        <v>7.5013809999999997E-3</v>
      </c>
      <c r="P1847">
        <v>-0.99913299999999905</v>
      </c>
      <c r="Q1847">
        <v>3.2884620000000003E-2</v>
      </c>
      <c r="R1847">
        <v>-2.5535169999999999E-2</v>
      </c>
      <c r="S1847">
        <v>-2.9932560000000001</v>
      </c>
      <c r="T1847">
        <v>-0.15949849999999999</v>
      </c>
      <c r="U1847">
        <v>-0.59036250000000001</v>
      </c>
      <c r="V1847">
        <v>-3.3273990000000003E-2</v>
      </c>
      <c r="W1847">
        <v>4.7573070000000002E-2</v>
      </c>
      <c r="X1847">
        <v>0.99831340000000002</v>
      </c>
      <c r="Y1847">
        <v>-0.2005739</v>
      </c>
      <c r="Z1847">
        <v>-5.6850019999999998E-3</v>
      </c>
      <c r="AA1847">
        <v>0.97966209999999898</v>
      </c>
      <c r="AB1847">
        <v>48</v>
      </c>
      <c r="AC1847">
        <v>-20.511599999999898</v>
      </c>
      <c r="AD1847">
        <v>-1.1067504116039999</v>
      </c>
      <c r="AE1847">
        <v>-4.0980000000000096</v>
      </c>
      <c r="AF1847">
        <v>-4.2398968462867996</v>
      </c>
      <c r="AG1847">
        <v>-1.1067504116039999</v>
      </c>
      <c r="AH1847">
        <v>20.423101377676101</v>
      </c>
      <c r="AI1847">
        <v>93.037251822947695</v>
      </c>
      <c r="AJ1847">
        <v>101.728177989705</v>
      </c>
      <c r="AK1847">
        <v>20.887907784734502</v>
      </c>
    </row>
    <row r="1848" spans="1:37" x14ac:dyDescent="0.2">
      <c r="A1848" t="str">
        <f>"20200111153434621"</f>
        <v>20200111153434621</v>
      </c>
      <c r="B1848" t="str">
        <f>"1578728074617627"</f>
        <v>1578728074617627</v>
      </c>
      <c r="C1848" t="s">
        <v>37</v>
      </c>
      <c r="D1848">
        <v>4.6552189999999998</v>
      </c>
      <c r="E1848">
        <v>0.434787799999999</v>
      </c>
      <c r="F1848" t="s">
        <v>56</v>
      </c>
      <c r="G1848">
        <v>-403.3023</v>
      </c>
      <c r="H1848" s="1">
        <v>7.4899149999999901E-6</v>
      </c>
      <c r="I1848">
        <v>281.94439999999997</v>
      </c>
      <c r="J1848">
        <v>-382.87450000000001</v>
      </c>
      <c r="K1848">
        <v>1.1067910000000001</v>
      </c>
      <c r="L1848">
        <v>286.06279999999998</v>
      </c>
      <c r="M1848">
        <v>-0.99986939999999902</v>
      </c>
      <c r="N1848">
        <v>0</v>
      </c>
      <c r="O1848">
        <v>6.3098619999999899E-3</v>
      </c>
      <c r="P1848">
        <v>-0.99910319999999997</v>
      </c>
      <c r="Q1848">
        <v>3.2936069999999998E-2</v>
      </c>
      <c r="R1848">
        <v>-2.6609339999999999E-2</v>
      </c>
      <c r="S1848">
        <v>-2.9926149999999998</v>
      </c>
      <c r="T1848">
        <v>-0.1596766</v>
      </c>
      <c r="U1848">
        <v>-0.59393309999999999</v>
      </c>
      <c r="V1848">
        <v>-3.3161570000000001E-2</v>
      </c>
      <c r="W1848">
        <v>4.7620700000000002E-2</v>
      </c>
      <c r="X1848">
        <v>0.99831489999999901</v>
      </c>
      <c r="Y1848">
        <v>-0.2005721</v>
      </c>
      <c r="Z1848">
        <v>-5.6288919999999999E-3</v>
      </c>
      <c r="AA1848">
        <v>0.97966279999999994</v>
      </c>
      <c r="AB1848">
        <v>48</v>
      </c>
      <c r="AC1848">
        <v>-20.427799999999898</v>
      </c>
      <c r="AD1848">
        <v>-1.1067835100850001</v>
      </c>
      <c r="AE1848">
        <v>-4.1184000000000003</v>
      </c>
      <c r="AF1848">
        <v>-4.2352817878730296</v>
      </c>
      <c r="AG1848">
        <v>-1.1067835100850001</v>
      </c>
      <c r="AH1848">
        <v>20.344016506086099</v>
      </c>
      <c r="AI1848">
        <v>93.048775694481606</v>
      </c>
      <c r="AJ1848">
        <v>101.760042692683</v>
      </c>
      <c r="AK1848">
        <v>20.809651346449499</v>
      </c>
    </row>
    <row r="1849" spans="1:37" x14ac:dyDescent="0.2">
      <c r="A1849" t="str">
        <f>"20200111153434635"</f>
        <v>20200111153434635</v>
      </c>
      <c r="B1849" t="str">
        <f>"1578728074628362"</f>
        <v>1578728074628362</v>
      </c>
      <c r="C1849" t="s">
        <v>37</v>
      </c>
      <c r="D1849">
        <v>4.6683250000000003</v>
      </c>
      <c r="E1849">
        <v>0.43470389999999998</v>
      </c>
      <c r="F1849" t="s">
        <v>56</v>
      </c>
      <c r="G1849">
        <v>-403.54640000000001</v>
      </c>
      <c r="H1849" s="1">
        <v>7.3856439999999996E-6</v>
      </c>
      <c r="I1849">
        <v>281.92520000000002</v>
      </c>
      <c r="J1849">
        <v>-383.19170000000003</v>
      </c>
      <c r="K1849">
        <v>1.106822</v>
      </c>
      <c r="L1849">
        <v>286.0641</v>
      </c>
      <c r="M1849">
        <v>-0.9998764</v>
      </c>
      <c r="N1849">
        <v>0</v>
      </c>
      <c r="O1849">
        <v>5.1033600000000004E-3</v>
      </c>
      <c r="P1849">
        <v>-0.999081</v>
      </c>
      <c r="Q1849">
        <v>3.2605339999999997E-2</v>
      </c>
      <c r="R1849">
        <v>-2.782604E-2</v>
      </c>
      <c r="S1849">
        <v>-2.9920650000000002</v>
      </c>
      <c r="T1849">
        <v>-0.160196799999999</v>
      </c>
      <c r="U1849">
        <v>-0.59887699999999999</v>
      </c>
      <c r="V1849">
        <v>-3.3174950000000002E-2</v>
      </c>
      <c r="W1849">
        <v>4.7285870000000001E-2</v>
      </c>
      <c r="X1849">
        <v>0.99833039999999995</v>
      </c>
      <c r="Y1849">
        <v>-0.20098050000000001</v>
      </c>
      <c r="Z1849">
        <v>-5.5941990000000002E-3</v>
      </c>
      <c r="AA1849">
        <v>0.97957929999999904</v>
      </c>
      <c r="AB1849">
        <v>48</v>
      </c>
      <c r="AC1849">
        <v>-20.354699999999902</v>
      </c>
      <c r="AD1849">
        <v>-1.106814614356</v>
      </c>
      <c r="AE1849">
        <v>-4.1388999999999703</v>
      </c>
      <c r="AF1849">
        <v>-4.2307222698635103</v>
      </c>
      <c r="AG1849">
        <v>-1.106814614356</v>
      </c>
      <c r="AH1849">
        <v>20.275739515852599</v>
      </c>
      <c r="AI1849">
        <v>93.058818161379094</v>
      </c>
      <c r="AJ1849">
        <v>101.786189162566</v>
      </c>
      <c r="AK1849">
        <v>20.741978267030799</v>
      </c>
    </row>
    <row r="1850" spans="1:37" x14ac:dyDescent="0.2">
      <c r="A1850" t="str">
        <f>"20200111153434648"</f>
        <v>20200111153434648</v>
      </c>
      <c r="B1850" t="str">
        <f>"1578728074638123"</f>
        <v>1578728074638123</v>
      </c>
      <c r="C1850" t="s">
        <v>37</v>
      </c>
      <c r="D1850">
        <v>4.6749799999999997</v>
      </c>
      <c r="E1850">
        <v>0.43455139999999998</v>
      </c>
      <c r="F1850" t="s">
        <v>56</v>
      </c>
      <c r="G1850">
        <v>-403.7208</v>
      </c>
      <c r="H1850" s="1">
        <v>7.3087570000000001E-6</v>
      </c>
      <c r="I1850">
        <v>281.92290000000003</v>
      </c>
      <c r="J1850">
        <v>-383.45080000000002</v>
      </c>
      <c r="K1850">
        <v>1.1068469999999999</v>
      </c>
      <c r="L1850">
        <v>286.06479999999999</v>
      </c>
      <c r="M1850">
        <v>-0.99988089999999996</v>
      </c>
      <c r="N1850">
        <v>0</v>
      </c>
      <c r="O1850">
        <v>4.1156279999999996E-3</v>
      </c>
      <c r="P1850">
        <v>-0.99905659999999896</v>
      </c>
      <c r="Q1850">
        <v>3.24406E-2</v>
      </c>
      <c r="R1850">
        <v>-2.887818E-2</v>
      </c>
      <c r="S1850">
        <v>-2.991241</v>
      </c>
      <c r="T1850">
        <v>-0.161271</v>
      </c>
      <c r="U1850">
        <v>-0.60339359999999997</v>
      </c>
      <c r="V1850">
        <v>-3.3241859999999998E-2</v>
      </c>
      <c r="W1850">
        <v>4.7117729999999997E-2</v>
      </c>
      <c r="X1850">
        <v>0.99833609999999995</v>
      </c>
      <c r="Y1850">
        <v>-0.201483299999999</v>
      </c>
      <c r="Z1850">
        <v>-5.5930540000000001E-3</v>
      </c>
      <c r="AA1850">
        <v>0.97947600000000001</v>
      </c>
      <c r="AB1850">
        <v>48</v>
      </c>
      <c r="AC1850">
        <v>-20.2699999999999</v>
      </c>
      <c r="AD1850">
        <v>-1.1068396912430001</v>
      </c>
      <c r="AE1850">
        <v>-4.1418999999999597</v>
      </c>
      <c r="AF1850">
        <v>-4.2132388727961496</v>
      </c>
      <c r="AG1850">
        <v>-1.1068396912430001</v>
      </c>
      <c r="AH1850">
        <v>20.1949782106105</v>
      </c>
      <c r="AI1850">
        <v>93.071115866849098</v>
      </c>
      <c r="AJ1850">
        <v>101.784471448079</v>
      </c>
      <c r="AK1850">
        <v>20.6594680674113</v>
      </c>
    </row>
    <row r="1851" spans="1:37" x14ac:dyDescent="0.2">
      <c r="A1851" t="str">
        <f>"20200111153434662"</f>
        <v>20200111153434662</v>
      </c>
      <c r="B1851" t="str">
        <f>"1578728074657643"</f>
        <v>1578728074657643</v>
      </c>
      <c r="C1851" t="s">
        <v>37</v>
      </c>
      <c r="D1851">
        <v>4.7786869999999997</v>
      </c>
      <c r="E1851">
        <v>0.43439929999999899</v>
      </c>
      <c r="F1851" t="s">
        <v>56</v>
      </c>
      <c r="G1851">
        <v>-403.82490000000001</v>
      </c>
      <c r="H1851" s="1">
        <v>7.2623919999999999E-6</v>
      </c>
      <c r="I1851">
        <v>281.92399999999998</v>
      </c>
      <c r="J1851">
        <v>-383.76209999999998</v>
      </c>
      <c r="K1851">
        <v>1.10687</v>
      </c>
      <c r="L1851">
        <v>286.06540000000001</v>
      </c>
      <c r="M1851">
        <v>-0.99988509999999997</v>
      </c>
      <c r="N1851">
        <v>0</v>
      </c>
      <c r="O1851">
        <v>2.9273340000000002E-3</v>
      </c>
      <c r="P1851">
        <v>-0.9990194</v>
      </c>
      <c r="Q1851">
        <v>3.2410389999999997E-2</v>
      </c>
      <c r="R1851">
        <v>-3.0160849999999999E-2</v>
      </c>
      <c r="S1851">
        <v>-2.9905089999999999</v>
      </c>
      <c r="T1851">
        <v>-0.1624622</v>
      </c>
      <c r="U1851">
        <v>-0.60778809999999905</v>
      </c>
      <c r="V1851">
        <v>-3.3339969999999997E-2</v>
      </c>
      <c r="W1851">
        <v>4.7083430000000003E-2</v>
      </c>
      <c r="X1851">
        <v>0.99833439999999996</v>
      </c>
      <c r="Y1851">
        <v>-0.20174549999999999</v>
      </c>
      <c r="Z1851">
        <v>-5.5780169999999898E-3</v>
      </c>
      <c r="AA1851">
        <v>0.97942209999999996</v>
      </c>
      <c r="AB1851">
        <v>48</v>
      </c>
      <c r="AC1851">
        <v>-20.062799999999999</v>
      </c>
      <c r="AD1851">
        <v>-1.106862737608</v>
      </c>
      <c r="AE1851">
        <v>-4.1413999999999698</v>
      </c>
      <c r="AF1851">
        <v>-4.1878934398438501</v>
      </c>
      <c r="AG1851">
        <v>-1.106862737608</v>
      </c>
      <c r="AH1851">
        <v>19.992225595890499</v>
      </c>
      <c r="AI1851">
        <v>93.101739861502594</v>
      </c>
      <c r="AJ1851">
        <v>101.83102666095</v>
      </c>
      <c r="AK1851">
        <v>20.456115976899799</v>
      </c>
    </row>
    <row r="1852" spans="1:37" x14ac:dyDescent="0.2">
      <c r="A1852" t="str">
        <f>"20200111153434676"</f>
        <v>20200111153434676</v>
      </c>
      <c r="B1852" t="str">
        <f>"1578728074668379"</f>
        <v>1578728074668379</v>
      </c>
      <c r="C1852" t="s">
        <v>37</v>
      </c>
      <c r="D1852">
        <v>4.8863949999999896</v>
      </c>
      <c r="E1852">
        <v>0.45523520000000001</v>
      </c>
      <c r="F1852" t="s">
        <v>56</v>
      </c>
      <c r="G1852">
        <v>-404.05829999999997</v>
      </c>
      <c r="H1852" s="1">
        <v>7.1622659999999902E-6</v>
      </c>
      <c r="I1852">
        <v>281.90769999999998</v>
      </c>
      <c r="J1852">
        <v>-384.07580000000002</v>
      </c>
      <c r="K1852">
        <v>1.106892</v>
      </c>
      <c r="L1852">
        <v>286.06560000000002</v>
      </c>
      <c r="M1852">
        <v>-0.999887999999999</v>
      </c>
      <c r="N1852">
        <v>0</v>
      </c>
      <c r="O1852">
        <v>1.7279579999999999E-3</v>
      </c>
      <c r="P1852">
        <v>-0.99898030000000004</v>
      </c>
      <c r="Q1852">
        <v>3.2402E-2</v>
      </c>
      <c r="R1852">
        <v>-3.1438059999999997E-2</v>
      </c>
      <c r="S1852">
        <v>-2.989716</v>
      </c>
      <c r="T1852">
        <v>-0.16304589999999999</v>
      </c>
      <c r="U1852">
        <v>-0.61245729999999998</v>
      </c>
      <c r="V1852">
        <v>-3.3421399999999997E-2</v>
      </c>
      <c r="W1852">
        <v>4.7071050000000003E-2</v>
      </c>
      <c r="X1852">
        <v>0.99833229999999995</v>
      </c>
      <c r="Y1852">
        <v>-0.20208899999999999</v>
      </c>
      <c r="Z1852">
        <v>-5.54318E-3</v>
      </c>
      <c r="AA1852">
        <v>0.97935149999999904</v>
      </c>
      <c r="AB1852">
        <v>48</v>
      </c>
      <c r="AC1852">
        <v>-19.982499999999899</v>
      </c>
      <c r="AD1852">
        <v>-1.1068848377339999</v>
      </c>
      <c r="AE1852">
        <v>-4.1579000000000397</v>
      </c>
      <c r="AF1852">
        <v>-4.1801326831199797</v>
      </c>
      <c r="AG1852">
        <v>-1.1068848377339999</v>
      </c>
      <c r="AH1852">
        <v>19.916709292497199</v>
      </c>
      <c r="AI1852">
        <v>93.113286881738603</v>
      </c>
      <c r="AJ1852">
        <v>101.853231721348</v>
      </c>
      <c r="AK1852">
        <v>20.3807264918192</v>
      </c>
    </row>
    <row r="1853" spans="1:37" x14ac:dyDescent="0.2">
      <c r="A1853" t="str">
        <f>"20200111153434691"</f>
        <v>20200111153434691</v>
      </c>
      <c r="B1853" t="str">
        <f>"1578728074678138"</f>
        <v>1578728074678138</v>
      </c>
      <c r="C1853" t="s">
        <v>37</v>
      </c>
      <c r="D1853">
        <v>4.7659260000000003</v>
      </c>
      <c r="E1853">
        <v>0.46783159999999901</v>
      </c>
      <c r="F1853" t="s">
        <v>56</v>
      </c>
      <c r="G1853">
        <v>-402.45909999999998</v>
      </c>
      <c r="H1853" s="1">
        <v>7.5834649999999903E-6</v>
      </c>
      <c r="I1853">
        <v>283.3014</v>
      </c>
      <c r="J1853">
        <v>-384.38400000000001</v>
      </c>
      <c r="K1853">
        <v>1.106914</v>
      </c>
      <c r="L1853">
        <v>286.06549999999999</v>
      </c>
      <c r="M1853">
        <v>-0.99988940000000004</v>
      </c>
      <c r="N1853">
        <v>0</v>
      </c>
      <c r="O1853">
        <v>5.4786440000000004E-4</v>
      </c>
      <c r="P1853">
        <v>-0.99893609999999899</v>
      </c>
      <c r="Q1853">
        <v>3.2697469999999999E-2</v>
      </c>
      <c r="R1853">
        <v>-3.2525650000000003E-2</v>
      </c>
      <c r="S1853">
        <v>-2.9947509999999999</v>
      </c>
      <c r="T1853">
        <v>-0.18031849999999999</v>
      </c>
      <c r="U1853">
        <v>-0.45031739999999998</v>
      </c>
      <c r="V1853">
        <v>-3.3333830000000002E-2</v>
      </c>
      <c r="W1853">
        <v>4.7363499999999899E-2</v>
      </c>
      <c r="X1853">
        <v>0.99832140000000003</v>
      </c>
      <c r="Y1853">
        <v>-0.1489742</v>
      </c>
      <c r="Z1853">
        <v>-4.4887219999999997E-3</v>
      </c>
      <c r="AA1853">
        <v>0.98883089999999996</v>
      </c>
      <c r="AB1853">
        <v>48</v>
      </c>
      <c r="AC1853">
        <v>-18.0750999999999</v>
      </c>
      <c r="AD1853">
        <v>-1.106906416535</v>
      </c>
      <c r="AE1853">
        <v>-2.76409999999998</v>
      </c>
      <c r="AF1853">
        <v>-2.7638750130518699</v>
      </c>
      <c r="AG1853">
        <v>-1.106906416535</v>
      </c>
      <c r="AH1853">
        <v>18.007592967484399</v>
      </c>
      <c r="AI1853">
        <v>93.476868388614207</v>
      </c>
      <c r="AJ1853">
        <v>98.725883622483195</v>
      </c>
      <c r="AK1853">
        <v>18.2520588259333</v>
      </c>
    </row>
    <row r="1854" spans="1:37" x14ac:dyDescent="0.2">
      <c r="A1854" t="str">
        <f>"20200111153434704"</f>
        <v>20200111153434704</v>
      </c>
      <c r="B1854" t="str">
        <f>"1578728074697658"</f>
        <v>1578728074697658</v>
      </c>
      <c r="C1854" t="s">
        <v>37</v>
      </c>
      <c r="D1854">
        <v>4.8228580000000001</v>
      </c>
      <c r="E1854">
        <v>0.48328270000000001</v>
      </c>
      <c r="F1854" t="s">
        <v>56</v>
      </c>
      <c r="G1854">
        <v>-403.20179999999999</v>
      </c>
      <c r="H1854" s="1">
        <v>7.1407199999999998E-6</v>
      </c>
      <c r="I1854">
        <v>283.85000000000002</v>
      </c>
      <c r="J1854">
        <v>-384.66820000000001</v>
      </c>
      <c r="K1854">
        <v>1.1069290000000001</v>
      </c>
      <c r="L1854">
        <v>286.065</v>
      </c>
      <c r="M1854">
        <v>-0.99988940000000004</v>
      </c>
      <c r="N1854">
        <v>0</v>
      </c>
      <c r="O1854">
        <v>-5.413808E-4</v>
      </c>
      <c r="P1854">
        <v>-0.99891269999999999</v>
      </c>
      <c r="Q1854">
        <v>3.2494960000000003E-2</v>
      </c>
      <c r="R1854">
        <v>-3.3433619999999997E-2</v>
      </c>
      <c r="S1854">
        <v>-2.99749799999999</v>
      </c>
      <c r="T1854">
        <v>-0.17631959999999999</v>
      </c>
      <c r="U1854">
        <v>-0.35290529999999998</v>
      </c>
      <c r="V1854">
        <v>-3.3153719999999998E-2</v>
      </c>
      <c r="W1854">
        <v>4.715917E-2</v>
      </c>
      <c r="X1854">
        <v>0.99833700000000003</v>
      </c>
      <c r="Y1854">
        <v>-0.1161908</v>
      </c>
      <c r="Z1854">
        <v>-3.3709199999999999E-3</v>
      </c>
      <c r="AA1854">
        <v>0.99322119999999903</v>
      </c>
      <c r="AB1854">
        <v>48</v>
      </c>
      <c r="AC1854">
        <v>-18.5335999999999</v>
      </c>
      <c r="AD1854">
        <v>-1.1069218592800001</v>
      </c>
      <c r="AE1854">
        <v>-2.2149999999999701</v>
      </c>
      <c r="AF1854">
        <v>-2.1972374550421399</v>
      </c>
      <c r="AG1854">
        <v>-1.1069218592800001</v>
      </c>
      <c r="AH1854">
        <v>18.469840728627702</v>
      </c>
      <c r="AI1854">
        <v>93.405751303835004</v>
      </c>
      <c r="AJ1854">
        <v>96.784223917890401</v>
      </c>
      <c r="AK1854">
        <v>18.6329854016276</v>
      </c>
    </row>
    <row r="1855" spans="1:37" x14ac:dyDescent="0.2">
      <c r="A1855" t="str">
        <f>"20200111153434717"</f>
        <v>20200111153434717</v>
      </c>
      <c r="B1855" t="str">
        <f>"1578728074708394"</f>
        <v>1578728074708394</v>
      </c>
      <c r="C1855" t="s">
        <v>37</v>
      </c>
      <c r="D1855">
        <v>4.7465869999999999</v>
      </c>
      <c r="E1855">
        <v>0.48651919999999999</v>
      </c>
      <c r="F1855" t="s">
        <v>56</v>
      </c>
      <c r="G1855">
        <v>-405.26299999999998</v>
      </c>
      <c r="H1855" s="1">
        <v>6.0988239999999998E-6</v>
      </c>
      <c r="I1855">
        <v>284.46879999999999</v>
      </c>
      <c r="J1855">
        <v>-384.94330000000002</v>
      </c>
      <c r="K1855">
        <v>1.1069420000000001</v>
      </c>
      <c r="L1855">
        <v>286.06420000000003</v>
      </c>
      <c r="M1855">
        <v>-0.9998882</v>
      </c>
      <c r="N1855">
        <v>0</v>
      </c>
      <c r="O1855">
        <v>-1.5959479999999901E-3</v>
      </c>
      <c r="P1855">
        <v>-0.99888969999999899</v>
      </c>
      <c r="Q1855">
        <v>3.2155789999999997E-2</v>
      </c>
      <c r="R1855">
        <v>-3.4431839999999998E-2</v>
      </c>
      <c r="S1855">
        <v>-3.0007320000000002</v>
      </c>
      <c r="T1855">
        <v>-0.1612825</v>
      </c>
      <c r="U1855">
        <v>-0.23257449999999999</v>
      </c>
      <c r="V1855">
        <v>-3.3098570000000001E-2</v>
      </c>
      <c r="W1855">
        <v>4.6818129999999999E-2</v>
      </c>
      <c r="X1855">
        <v>0.99835490000000005</v>
      </c>
      <c r="Y1855">
        <v>-7.5576550000000006E-2</v>
      </c>
      <c r="Z1855">
        <v>-1.9409399999999999E-3</v>
      </c>
      <c r="AA1855">
        <v>0.99713809999999903</v>
      </c>
      <c r="AB1855">
        <v>48</v>
      </c>
      <c r="AC1855">
        <v>-20.319700000000001</v>
      </c>
      <c r="AD1855">
        <v>-1.106935901176</v>
      </c>
      <c r="AE1855">
        <v>-1.5954000000000399</v>
      </c>
      <c r="AF1855">
        <v>-1.5583688643695099</v>
      </c>
      <c r="AG1855">
        <v>-1.106935901176</v>
      </c>
      <c r="AH1855">
        <v>20.262457428129999</v>
      </c>
      <c r="AI1855">
        <v>93.1177651288194</v>
      </c>
      <c r="AJ1855">
        <v>94.397913462113394</v>
      </c>
      <c r="AK1855">
        <v>20.352420043658899</v>
      </c>
    </row>
    <row r="1856" spans="1:37" x14ac:dyDescent="0.2">
      <c r="A1856" t="str">
        <f>"20200111153434736"</f>
        <v>20200111153434736</v>
      </c>
      <c r="B1856" t="str">
        <f>"1578728074727917"</f>
        <v>1578728074727917</v>
      </c>
      <c r="C1856" t="s">
        <v>37</v>
      </c>
      <c r="D1856">
        <v>4.7702369999999998</v>
      </c>
      <c r="E1856">
        <v>0.48992609999999998</v>
      </c>
      <c r="F1856" t="s">
        <v>56</v>
      </c>
      <c r="G1856">
        <v>-405.90839999999997</v>
      </c>
      <c r="H1856" s="1">
        <v>5.7857600000000003E-6</v>
      </c>
      <c r="I1856">
        <v>284.59859999999998</v>
      </c>
      <c r="J1856">
        <v>-385.34980000000002</v>
      </c>
      <c r="K1856">
        <v>1.106951</v>
      </c>
      <c r="L1856">
        <v>286.06259999999997</v>
      </c>
      <c r="M1856">
        <v>-0.99988459999999901</v>
      </c>
      <c r="N1856">
        <v>0</v>
      </c>
      <c r="O1856">
        <v>-3.1547989999999998E-3</v>
      </c>
      <c r="P1856">
        <v>-0.9988686</v>
      </c>
      <c r="Q1856">
        <v>3.1414490000000003E-2</v>
      </c>
      <c r="R1856">
        <v>-3.5704350000000003E-2</v>
      </c>
      <c r="S1856">
        <v>-3.0011899999999998</v>
      </c>
      <c r="T1856">
        <v>-0.15845909999999999</v>
      </c>
      <c r="U1856">
        <v>-0.2098083</v>
      </c>
      <c r="V1856">
        <v>-3.2811680000000003E-2</v>
      </c>
      <c r="W1856">
        <v>4.6075539999999998E-2</v>
      </c>
      <c r="X1856">
        <v>0.99839899999999904</v>
      </c>
      <c r="Y1856">
        <v>-6.650259E-2</v>
      </c>
      <c r="Z1856">
        <v>-1.586006E-3</v>
      </c>
      <c r="AA1856">
        <v>0.99778500000000003</v>
      </c>
      <c r="AB1856">
        <v>48</v>
      </c>
      <c r="AC1856">
        <v>-20.558599999999899</v>
      </c>
      <c r="AD1856">
        <v>-1.10694521424</v>
      </c>
      <c r="AE1856">
        <v>-1.46399999999999</v>
      </c>
      <c r="AF1856">
        <v>-1.39510314414991</v>
      </c>
      <c r="AG1856">
        <v>-1.10694521424</v>
      </c>
      <c r="AH1856">
        <v>20.503973382020799</v>
      </c>
      <c r="AI1856">
        <v>93.083104914040803</v>
      </c>
      <c r="AJ1856">
        <v>93.892441270335297</v>
      </c>
      <c r="AK1856">
        <v>20.581170154798301</v>
      </c>
    </row>
    <row r="1857" spans="1:37" x14ac:dyDescent="0.2">
      <c r="A1857" t="str">
        <f>"20200111153434750"</f>
        <v>20200111153434750</v>
      </c>
      <c r="B1857" t="str">
        <f>"1578728074737674"</f>
        <v>1578728074737674</v>
      </c>
      <c r="C1857" t="s">
        <v>37</v>
      </c>
      <c r="D1857">
        <v>4.7770000000000001</v>
      </c>
      <c r="E1857">
        <v>0.491071599999999</v>
      </c>
      <c r="F1857" t="s">
        <v>56</v>
      </c>
      <c r="G1857">
        <v>-407.36270000000002</v>
      </c>
      <c r="H1857" s="1">
        <v>5.1206700000000004E-6</v>
      </c>
      <c r="I1857">
        <v>284.69639999999998</v>
      </c>
      <c r="J1857">
        <v>-385.6447</v>
      </c>
      <c r="K1857">
        <v>1.1069530000000001</v>
      </c>
      <c r="L1857">
        <v>286.0609</v>
      </c>
      <c r="M1857">
        <v>-0.9998804</v>
      </c>
      <c r="N1857">
        <v>0</v>
      </c>
      <c r="O1857">
        <v>-4.2822800000000003E-3</v>
      </c>
      <c r="P1857">
        <v>-0.99883519999999903</v>
      </c>
      <c r="Q1857">
        <v>3.1371459999999997E-2</v>
      </c>
      <c r="R1857">
        <v>-3.6668069999999997E-2</v>
      </c>
      <c r="S1857">
        <v>-3.001465</v>
      </c>
      <c r="T1857">
        <v>-0.1509326</v>
      </c>
      <c r="U1857">
        <v>-0.18627929999999901</v>
      </c>
      <c r="V1857">
        <v>-3.2649409999999997E-2</v>
      </c>
      <c r="W1857">
        <v>4.6031240000000001E-2</v>
      </c>
      <c r="X1857">
        <v>0.99840629999999997</v>
      </c>
      <c r="Y1857">
        <v>-5.7601409999999999E-2</v>
      </c>
      <c r="Z1857">
        <v>-1.230964E-3</v>
      </c>
      <c r="AA1857">
        <v>0.99833890000000003</v>
      </c>
      <c r="AB1857">
        <v>48</v>
      </c>
      <c r="AC1857">
        <v>-21.718</v>
      </c>
      <c r="AD1857">
        <v>-1.1069478793300001</v>
      </c>
      <c r="AE1857">
        <v>-1.36450000000002</v>
      </c>
      <c r="AF1857">
        <v>-1.2681930315244001</v>
      </c>
      <c r="AG1857">
        <v>-1.1069478793300001</v>
      </c>
      <c r="AH1857">
        <v>21.667576766243801</v>
      </c>
      <c r="AI1857">
        <v>92.919582375120498</v>
      </c>
      <c r="AJ1857">
        <v>93.349673395814094</v>
      </c>
      <c r="AK1857">
        <v>21.732867507391401</v>
      </c>
    </row>
    <row r="1858" spans="1:37" x14ac:dyDescent="0.2">
      <c r="A1858" t="str">
        <f>"20200111153434764"</f>
        <v>20200111153434764</v>
      </c>
      <c r="B1858" t="str">
        <f>"1578728074758170"</f>
        <v>1578728074758170</v>
      </c>
      <c r="C1858" t="s">
        <v>37</v>
      </c>
      <c r="D1858">
        <v>4.779426</v>
      </c>
      <c r="E1858">
        <v>0.4927202</v>
      </c>
      <c r="F1858" t="s">
        <v>56</v>
      </c>
      <c r="G1858">
        <v>-408.22590000000002</v>
      </c>
      <c r="H1858" s="1">
        <v>4.7360329999999902E-6</v>
      </c>
      <c r="I1858">
        <v>284.70519999999999</v>
      </c>
      <c r="J1858">
        <v>-385.94380000000001</v>
      </c>
      <c r="K1858">
        <v>1.106954</v>
      </c>
      <c r="L1858">
        <v>286.05900000000003</v>
      </c>
      <c r="M1858">
        <v>-0.99987499999999996</v>
      </c>
      <c r="N1858">
        <v>0</v>
      </c>
      <c r="O1858">
        <v>-5.4208919999999897E-3</v>
      </c>
      <c r="P1858">
        <v>-0.99880619999999998</v>
      </c>
      <c r="Q1858">
        <v>3.1355109999999999E-2</v>
      </c>
      <c r="R1858">
        <v>-3.7464490000000003E-2</v>
      </c>
      <c r="S1858">
        <v>-3.0014949999999998</v>
      </c>
      <c r="T1858">
        <v>-0.14713570000000001</v>
      </c>
      <c r="U1858">
        <v>-0.18020629999999899</v>
      </c>
      <c r="V1858">
        <v>-3.2308549999999998E-2</v>
      </c>
      <c r="W1858">
        <v>4.601504E-2</v>
      </c>
      <c r="X1858">
        <v>0.99841819999999903</v>
      </c>
      <c r="Y1858">
        <v>-5.445962E-2</v>
      </c>
      <c r="Z1858">
        <v>-1.067473E-3</v>
      </c>
      <c r="AA1858">
        <v>0.99851540000000005</v>
      </c>
      <c r="AB1858">
        <v>48</v>
      </c>
      <c r="AC1858">
        <v>-22.2821</v>
      </c>
      <c r="AD1858">
        <v>-1.106949263967</v>
      </c>
      <c r="AE1858">
        <v>-1.3538000000000301</v>
      </c>
      <c r="AF1858">
        <v>-1.2299535738004801</v>
      </c>
      <c r="AG1858">
        <v>-1.106949263967</v>
      </c>
      <c r="AH1858">
        <v>22.234439618555001</v>
      </c>
      <c r="AI1858">
        <v>92.845793376475399</v>
      </c>
      <c r="AJ1858">
        <v>93.166232227904402</v>
      </c>
      <c r="AK1858">
        <v>22.295928498671401</v>
      </c>
    </row>
    <row r="1859" spans="1:37" x14ac:dyDescent="0.2">
      <c r="A1859" t="str">
        <f>"20200111153434776"</f>
        <v>20200111153434776</v>
      </c>
      <c r="B1859" t="str">
        <f>"1578728074767932"</f>
        <v>1578728074767932</v>
      </c>
      <c r="C1859" t="s">
        <v>37</v>
      </c>
      <c r="D1859">
        <v>4.7597170000000002</v>
      </c>
      <c r="E1859">
        <v>0.49331599999999998</v>
      </c>
      <c r="F1859" t="s">
        <v>56</v>
      </c>
      <c r="G1859">
        <v>-408.85879999999997</v>
      </c>
      <c r="H1859" s="1">
        <v>4.4429159999999999E-6</v>
      </c>
      <c r="I1859">
        <v>284.76560000000001</v>
      </c>
      <c r="J1859">
        <v>-386.23039999999997</v>
      </c>
      <c r="K1859">
        <v>1.1069549999999999</v>
      </c>
      <c r="L1859">
        <v>286.05680000000001</v>
      </c>
      <c r="M1859">
        <v>-0.9998686</v>
      </c>
      <c r="N1859">
        <v>0</v>
      </c>
      <c r="O1859">
        <v>-6.5064859999999997E-3</v>
      </c>
      <c r="P1859">
        <v>-0.99877569999999904</v>
      </c>
      <c r="Q1859">
        <v>3.1256310000000002E-2</v>
      </c>
      <c r="R1859">
        <v>-3.8342109999999999E-2</v>
      </c>
      <c r="S1859">
        <v>-3.00177</v>
      </c>
      <c r="T1859">
        <v>-0.14500629999999901</v>
      </c>
      <c r="U1859">
        <v>-0.16943359999999999</v>
      </c>
      <c r="V1859">
        <v>-3.2101610000000003E-2</v>
      </c>
      <c r="W1859">
        <v>4.5915959999999999E-2</v>
      </c>
      <c r="X1859">
        <v>0.99842940000000002</v>
      </c>
      <c r="Y1859">
        <v>-4.9806490000000002E-2</v>
      </c>
      <c r="Z1859">
        <v>-8.8744959999999999E-4</v>
      </c>
      <c r="AA1859">
        <v>0.99875849999999899</v>
      </c>
      <c r="AB1859">
        <v>48</v>
      </c>
      <c r="AC1859">
        <v>-22.628399999999999</v>
      </c>
      <c r="AD1859">
        <v>-1.1069505570839999</v>
      </c>
      <c r="AE1859">
        <v>-1.2911999999999999</v>
      </c>
      <c r="AF1859">
        <v>-1.14120298982672</v>
      </c>
      <c r="AG1859">
        <v>-1.1069505570839999</v>
      </c>
      <c r="AH1859">
        <v>22.582457819000201</v>
      </c>
      <c r="AI1859">
        <v>92.802716797578796</v>
      </c>
      <c r="AJ1859">
        <v>92.892977370669399</v>
      </c>
      <c r="AK1859">
        <v>22.638354289716901</v>
      </c>
    </row>
    <row r="1860" spans="1:37" x14ac:dyDescent="0.2">
      <c r="A1860" t="str">
        <f>"20200111153434793"</f>
        <v>20200111153434793</v>
      </c>
      <c r="B1860" t="str">
        <f>"1578728074787450"</f>
        <v>1578728074787450</v>
      </c>
      <c r="C1860" t="s">
        <v>37</v>
      </c>
      <c r="D1860">
        <v>4.7407459999999997</v>
      </c>
      <c r="E1860">
        <v>0.49415720000000002</v>
      </c>
      <c r="F1860" t="s">
        <v>56</v>
      </c>
      <c r="G1860">
        <v>-409.22280000000001</v>
      </c>
      <c r="H1860" s="1">
        <v>4.2792639999999997E-6</v>
      </c>
      <c r="I1860">
        <v>284.77629999999999</v>
      </c>
      <c r="J1860">
        <v>-386.53460000000001</v>
      </c>
      <c r="K1860">
        <v>1.106957</v>
      </c>
      <c r="L1860">
        <v>286.05410000000001</v>
      </c>
      <c r="M1860">
        <v>-0.99986039999999998</v>
      </c>
      <c r="N1860">
        <v>0</v>
      </c>
      <c r="O1860">
        <v>-7.6479669999999899E-3</v>
      </c>
      <c r="P1860">
        <v>-0.99875069999999999</v>
      </c>
      <c r="Q1860">
        <v>3.1400839999999999E-2</v>
      </c>
      <c r="R1860">
        <v>-3.8871900000000001E-2</v>
      </c>
      <c r="S1860">
        <v>-3.0018009999999999</v>
      </c>
      <c r="T1860">
        <v>-0.14451929999999999</v>
      </c>
      <c r="U1860">
        <v>-0.1671753</v>
      </c>
      <c r="V1860">
        <v>-3.149105E-2</v>
      </c>
      <c r="W1860">
        <v>4.6062199999999998E-2</v>
      </c>
      <c r="X1860">
        <v>0.9984421</v>
      </c>
      <c r="Y1860">
        <v>-4.7920409999999997E-2</v>
      </c>
      <c r="Z1860">
        <v>-7.8426050000000001E-4</v>
      </c>
      <c r="AA1860">
        <v>0.99885079999999904</v>
      </c>
      <c r="AB1860">
        <v>48</v>
      </c>
      <c r="AC1860">
        <v>-22.688199999999899</v>
      </c>
      <c r="AD1860">
        <v>-1.1069527207359999</v>
      </c>
      <c r="AE1860">
        <v>-1.27780000000001</v>
      </c>
      <c r="AF1860">
        <v>-1.10161083427161</v>
      </c>
      <c r="AG1860">
        <v>-1.1069527207359999</v>
      </c>
      <c r="AH1860">
        <v>22.643578613042202</v>
      </c>
      <c r="AI1860">
        <v>92.795429259844099</v>
      </c>
      <c r="AJ1860">
        <v>92.785245520790298</v>
      </c>
      <c r="AK1860">
        <v>22.697368639583601</v>
      </c>
    </row>
    <row r="1861" spans="1:37" x14ac:dyDescent="0.2">
      <c r="A1861" t="str">
        <f>"20200111153434805"</f>
        <v>20200111153434805</v>
      </c>
      <c r="B1861" t="str">
        <f>"1578728074798187"</f>
        <v>1578728074798187</v>
      </c>
      <c r="C1861" t="s">
        <v>37</v>
      </c>
      <c r="D1861">
        <v>4.7745550000000003</v>
      </c>
      <c r="E1861">
        <v>0.49444009999999999</v>
      </c>
      <c r="F1861" t="s">
        <v>56</v>
      </c>
      <c r="G1861">
        <v>-409.75900000000001</v>
      </c>
      <c r="H1861" s="1">
        <v>4.0362579999999999E-6</v>
      </c>
      <c r="I1861">
        <v>284.80160000000001</v>
      </c>
      <c r="J1861">
        <v>-386.82749999999999</v>
      </c>
      <c r="K1861">
        <v>1.106948</v>
      </c>
      <c r="L1861">
        <v>286.05119999999999</v>
      </c>
      <c r="M1861">
        <v>-0.999851499999999</v>
      </c>
      <c r="N1861">
        <v>0</v>
      </c>
      <c r="O1861">
        <v>-8.73583E-3</v>
      </c>
      <c r="P1861">
        <v>-0.99870380000000003</v>
      </c>
      <c r="Q1861">
        <v>3.1623810000000002E-2</v>
      </c>
      <c r="R1861">
        <v>-3.9888970000000003E-2</v>
      </c>
      <c r="S1861">
        <v>-3.0019840000000002</v>
      </c>
      <c r="T1861">
        <v>-0.14308489999999999</v>
      </c>
      <c r="U1861">
        <v>-0.16189579999999901</v>
      </c>
      <c r="V1861">
        <v>-3.1421690000000002E-2</v>
      </c>
      <c r="W1861">
        <v>4.6284649999999997E-2</v>
      </c>
      <c r="X1861">
        <v>0.99843400000000004</v>
      </c>
      <c r="Y1861">
        <v>-4.5084029999999997E-2</v>
      </c>
      <c r="Z1861">
        <v>-6.5718280000000003E-4</v>
      </c>
      <c r="AA1861">
        <v>0.99898299999999995</v>
      </c>
      <c r="AB1861">
        <v>48</v>
      </c>
      <c r="AC1861">
        <v>-22.9315</v>
      </c>
      <c r="AD1861">
        <v>-1.106943963742</v>
      </c>
      <c r="AE1861">
        <v>-1.2495999999999801</v>
      </c>
      <c r="AF1861">
        <v>-1.0467725860853401</v>
      </c>
      <c r="AG1861">
        <v>-1.106943963742</v>
      </c>
      <c r="AH1861">
        <v>22.888366555267101</v>
      </c>
      <c r="AI1861">
        <v>92.7659365376621</v>
      </c>
      <c r="AJ1861">
        <v>92.618530634896004</v>
      </c>
      <c r="AK1861">
        <v>22.939014393694301</v>
      </c>
    </row>
    <row r="1862" spans="1:37" x14ac:dyDescent="0.2">
      <c r="A1862" t="str">
        <f>"20200111153434818"</f>
        <v>20200111153434818</v>
      </c>
      <c r="B1862" t="str">
        <f>"1578728074807946"</f>
        <v>1578728074807946</v>
      </c>
      <c r="C1862" t="s">
        <v>37</v>
      </c>
      <c r="D1862">
        <v>4.7783340000000001</v>
      </c>
      <c r="E1862">
        <v>0.49473689999999998</v>
      </c>
      <c r="F1862" t="s">
        <v>56</v>
      </c>
      <c r="G1862">
        <v>-410.16609999999997</v>
      </c>
      <c r="H1862" s="1">
        <v>2.2204960000000001E-6</v>
      </c>
      <c r="I1862">
        <v>284.78469999999999</v>
      </c>
      <c r="J1862">
        <v>-387.11160000000001</v>
      </c>
      <c r="K1862">
        <v>1.1069370000000001</v>
      </c>
      <c r="L1862">
        <v>286.04820000000001</v>
      </c>
      <c r="M1862">
        <v>-0.99984189999999995</v>
      </c>
      <c r="N1862">
        <v>0</v>
      </c>
      <c r="O1862">
        <v>-9.7804539999999992E-3</v>
      </c>
      <c r="P1862">
        <v>-0.99867349999999999</v>
      </c>
      <c r="Q1862">
        <v>3.1506390000000002E-2</v>
      </c>
      <c r="R1862">
        <v>-4.0723839999999997E-2</v>
      </c>
      <c r="S1862">
        <v>-3.0019230000000001</v>
      </c>
      <c r="T1862">
        <v>-0.1423807</v>
      </c>
      <c r="U1862">
        <v>-0.16290279999999999</v>
      </c>
      <c r="V1862">
        <v>-3.1211900000000001E-2</v>
      </c>
      <c r="W1862">
        <v>4.6167470000000002E-2</v>
      </c>
      <c r="X1862">
        <v>0.99844599999999994</v>
      </c>
      <c r="Y1862">
        <v>-4.437791E-2</v>
      </c>
      <c r="Z1862">
        <v>-5.877562E-4</v>
      </c>
      <c r="AA1862">
        <v>0.99901459999999997</v>
      </c>
      <c r="AB1862">
        <v>48</v>
      </c>
      <c r="AC1862">
        <v>-23.054499999999901</v>
      </c>
      <c r="AD1862">
        <v>-1.1069347795040001</v>
      </c>
      <c r="AE1862">
        <v>-1.2635000000000201</v>
      </c>
      <c r="AF1862">
        <v>-1.03555107577635</v>
      </c>
      <c r="AG1862">
        <v>-1.1069347795040001</v>
      </c>
      <c r="AH1862">
        <v>23.0128627130239</v>
      </c>
      <c r="AI1862">
        <v>92.751064897780097</v>
      </c>
      <c r="AJ1862">
        <v>92.576502889093604</v>
      </c>
      <c r="AK1862">
        <v>23.062730126442201</v>
      </c>
    </row>
    <row r="1863" spans="1:37" x14ac:dyDescent="0.2">
      <c r="A1863" t="str">
        <f>"20200111153434831"</f>
        <v>20200111153434831</v>
      </c>
      <c r="B1863" t="str">
        <f>"1578728074827466"</f>
        <v>1578728074827466</v>
      </c>
      <c r="C1863" t="s">
        <v>37</v>
      </c>
      <c r="D1863">
        <v>4.8572089999999903</v>
      </c>
      <c r="E1863">
        <v>0.49527870000000002</v>
      </c>
      <c r="F1863" t="s">
        <v>56</v>
      </c>
      <c r="G1863">
        <v>-410.50599999999997</v>
      </c>
      <c r="H1863" s="1">
        <v>2.2813000000000001E-6</v>
      </c>
      <c r="I1863">
        <v>284.77879999999999</v>
      </c>
      <c r="J1863">
        <v>-387.38279999999997</v>
      </c>
      <c r="K1863">
        <v>1.106924</v>
      </c>
      <c r="L1863">
        <v>286.04489999999998</v>
      </c>
      <c r="M1863">
        <v>-0.9998319</v>
      </c>
      <c r="N1863">
        <v>0</v>
      </c>
      <c r="O1863">
        <v>-1.0754720000000001E-2</v>
      </c>
      <c r="P1863">
        <v>-0.99863049999999998</v>
      </c>
      <c r="Q1863">
        <v>3.177816E-2</v>
      </c>
      <c r="R1863">
        <v>-4.155764E-2</v>
      </c>
      <c r="S1863">
        <v>-3.00177</v>
      </c>
      <c r="T1863">
        <v>-0.1420323</v>
      </c>
      <c r="U1863">
        <v>-0.1628723</v>
      </c>
      <c r="V1863">
        <v>-3.107153E-2</v>
      </c>
      <c r="W1863">
        <v>4.6438979999999998E-2</v>
      </c>
      <c r="X1863">
        <v>0.99843780000000004</v>
      </c>
      <c r="Y1863">
        <v>-4.3399420000000001E-2</v>
      </c>
      <c r="Z1863">
        <v>-5.1719400000000001E-4</v>
      </c>
      <c r="AA1863">
        <v>0.99905769999999905</v>
      </c>
      <c r="AB1863">
        <v>48</v>
      </c>
      <c r="AC1863">
        <v>-23.123200000000001</v>
      </c>
      <c r="AD1863">
        <v>-1.1069217187</v>
      </c>
      <c r="AE1863">
        <v>-1.26609999999999</v>
      </c>
      <c r="AF1863">
        <v>-1.01499678680808</v>
      </c>
      <c r="AG1863">
        <v>-1.1069217187</v>
      </c>
      <c r="AH1863">
        <v>23.0827422636204</v>
      </c>
      <c r="AI1863">
        <v>92.742841716175306</v>
      </c>
      <c r="AJ1863">
        <v>92.517794162048403</v>
      </c>
      <c r="AK1863">
        <v>23.1315473883026</v>
      </c>
    </row>
    <row r="1864" spans="1:37" x14ac:dyDescent="0.2">
      <c r="A1864" t="str">
        <f>"20200111153434845"</f>
        <v>20200111153434845</v>
      </c>
      <c r="B1864" t="str">
        <f>"1578728074838202"</f>
        <v>1578728074838202</v>
      </c>
      <c r="C1864" t="s">
        <v>37</v>
      </c>
      <c r="D1864">
        <v>4.7679159999999996</v>
      </c>
      <c r="E1864">
        <v>0.49563439999999997</v>
      </c>
      <c r="F1864" t="s">
        <v>56</v>
      </c>
      <c r="G1864">
        <v>-411.3503</v>
      </c>
      <c r="H1864" s="1">
        <v>2.4327929999999998E-6</v>
      </c>
      <c r="I1864">
        <v>284.75909999999999</v>
      </c>
      <c r="J1864">
        <v>-387.68220000000002</v>
      </c>
      <c r="K1864">
        <v>1.1069009999999999</v>
      </c>
      <c r="L1864">
        <v>286.041</v>
      </c>
      <c r="M1864">
        <v>-0.99982009999999899</v>
      </c>
      <c r="N1864">
        <v>0</v>
      </c>
      <c r="O1864">
        <v>-1.18136E-2</v>
      </c>
      <c r="P1864">
        <v>-0.99858289999999905</v>
      </c>
      <c r="Q1864">
        <v>3.1909159999999999E-2</v>
      </c>
      <c r="R1864">
        <v>-4.2591120000000003E-2</v>
      </c>
      <c r="S1864">
        <v>-3.0018310000000001</v>
      </c>
      <c r="T1864">
        <v>-0.13863729999999999</v>
      </c>
      <c r="U1864">
        <v>-0.161041299999999</v>
      </c>
      <c r="V1864">
        <v>-3.1045639999999999E-2</v>
      </c>
      <c r="W1864">
        <v>4.6569970000000002E-2</v>
      </c>
      <c r="X1864">
        <v>0.99843249999999995</v>
      </c>
      <c r="Y1864">
        <v>-4.1737169999999997E-2</v>
      </c>
      <c r="Z1864">
        <v>-4.1766760000000003E-4</v>
      </c>
      <c r="AA1864">
        <v>0.99912849999999997</v>
      </c>
      <c r="AB1864">
        <v>48</v>
      </c>
      <c r="AC1864">
        <v>-23.6680999999999</v>
      </c>
      <c r="AD1864">
        <v>-1.106898567207</v>
      </c>
      <c r="AE1864">
        <v>-1.2819</v>
      </c>
      <c r="AF1864">
        <v>-0.999993478464968</v>
      </c>
      <c r="AG1864">
        <v>-1.106898567207</v>
      </c>
      <c r="AH1864">
        <v>23.630060983140101</v>
      </c>
      <c r="AI1864">
        <v>92.679540331915305</v>
      </c>
      <c r="AJ1864">
        <v>92.423237065765505</v>
      </c>
      <c r="AK1864">
        <v>23.677098501758501</v>
      </c>
    </row>
    <row r="1865" spans="1:37" x14ac:dyDescent="0.2">
      <c r="A1865" t="str">
        <f>"20200111153434857"</f>
        <v>20200111153434857</v>
      </c>
      <c r="B1865" t="str">
        <f>"1578728074847962"</f>
        <v>1578728074847962</v>
      </c>
      <c r="C1865" t="s">
        <v>37</v>
      </c>
      <c r="D1865">
        <v>4.7652839999999896</v>
      </c>
      <c r="E1865">
        <v>0.49593569999999998</v>
      </c>
      <c r="F1865" t="s">
        <v>56</v>
      </c>
      <c r="G1865">
        <v>-412.0154</v>
      </c>
      <c r="H1865" s="1">
        <v>2.5529480000000002E-6</v>
      </c>
      <c r="I1865">
        <v>284.73410000000001</v>
      </c>
      <c r="J1865">
        <v>-387.96379999999999</v>
      </c>
      <c r="K1865">
        <v>1.1068739999999999</v>
      </c>
      <c r="L1865">
        <v>286.03719999999998</v>
      </c>
      <c r="M1865">
        <v>-0.99980809999999998</v>
      </c>
      <c r="N1865">
        <v>0</v>
      </c>
      <c r="O1865">
        <v>-1.279195E-2</v>
      </c>
      <c r="P1865">
        <v>-0.99854940000000003</v>
      </c>
      <c r="Q1865">
        <v>3.1592879999999997E-2</v>
      </c>
      <c r="R1865">
        <v>-4.3605150000000002E-2</v>
      </c>
      <c r="S1865">
        <v>-3.0017399999999999</v>
      </c>
      <c r="T1865">
        <v>-0.1365468</v>
      </c>
      <c r="U1865">
        <v>-0.16122439999999999</v>
      </c>
      <c r="V1865">
        <v>-3.1077520000000001E-2</v>
      </c>
      <c r="W1865">
        <v>4.6253210000000003E-2</v>
      </c>
      <c r="X1865">
        <v>0.99844619999999995</v>
      </c>
      <c r="Y1865">
        <v>-4.0824770000000003E-2</v>
      </c>
      <c r="Z1865">
        <v>-3.4621720000000002E-4</v>
      </c>
      <c r="AA1865">
        <v>0.99916629999999995</v>
      </c>
      <c r="AB1865">
        <v>48</v>
      </c>
      <c r="AC1865">
        <v>-24.051600000000001</v>
      </c>
      <c r="AD1865">
        <v>-1.106871447052</v>
      </c>
      <c r="AE1865">
        <v>-1.3030999999999699</v>
      </c>
      <c r="AF1865">
        <v>-0.99319528651075695</v>
      </c>
      <c r="AG1865">
        <v>-1.106871447052</v>
      </c>
      <c r="AH1865">
        <v>24.0155888176301</v>
      </c>
      <c r="AI1865">
        <v>92.636627561240402</v>
      </c>
      <c r="AJ1865">
        <v>92.368190469732497</v>
      </c>
      <c r="AK1865">
        <v>24.061589879617799</v>
      </c>
    </row>
    <row r="1866" spans="1:37" x14ac:dyDescent="0.2">
      <c r="A1866" t="str">
        <f>"20200111153434873"</f>
        <v>20200111153434873</v>
      </c>
      <c r="B1866" t="str">
        <f>"1578728074867483"</f>
        <v>1578728074867483</v>
      </c>
      <c r="C1866" t="s">
        <v>37</v>
      </c>
      <c r="D1866">
        <v>4.7816159999999996</v>
      </c>
      <c r="E1866">
        <v>0.4965599</v>
      </c>
      <c r="F1866" t="s">
        <v>56</v>
      </c>
      <c r="G1866">
        <v>-412.40249999999997</v>
      </c>
      <c r="H1866" s="1">
        <v>2.6228940000000002E-6</v>
      </c>
      <c r="I1866">
        <v>284.71949999999998</v>
      </c>
      <c r="J1866">
        <v>-388.28190000000001</v>
      </c>
      <c r="K1866">
        <v>1.1068370000000001</v>
      </c>
      <c r="L1866">
        <v>286.0324</v>
      </c>
      <c r="M1866">
        <v>-0.99979390000000001</v>
      </c>
      <c r="N1866">
        <v>0</v>
      </c>
      <c r="O1866">
        <v>-1.3856459999999999E-2</v>
      </c>
      <c r="P1866">
        <v>-0.99849920000000003</v>
      </c>
      <c r="Q1866">
        <v>3.1355590000000003E-2</v>
      </c>
      <c r="R1866">
        <v>-4.4905559999999997E-2</v>
      </c>
      <c r="S1866">
        <v>-3.0015869999999998</v>
      </c>
      <c r="T1866">
        <v>-0.13594700000000001</v>
      </c>
      <c r="U1866">
        <v>-0.1618347</v>
      </c>
      <c r="V1866">
        <v>-3.1309249999999997E-2</v>
      </c>
      <c r="W1866">
        <v>4.6015050000000002E-2</v>
      </c>
      <c r="X1866">
        <v>0.99844999999999995</v>
      </c>
      <c r="Y1866">
        <v>-3.9968450000000003E-2</v>
      </c>
      <c r="Z1866">
        <v>-2.771982E-4</v>
      </c>
      <c r="AA1866">
        <v>0.99920089999999995</v>
      </c>
      <c r="AB1866">
        <v>48</v>
      </c>
      <c r="AC1866">
        <v>-24.1205999999999</v>
      </c>
      <c r="AD1866">
        <v>-1.1068343771060001</v>
      </c>
      <c r="AE1866">
        <v>-1.3129000000000099</v>
      </c>
      <c r="AF1866">
        <v>-0.97646097562516498</v>
      </c>
      <c r="AG1866">
        <v>-1.1068343771060001</v>
      </c>
      <c r="AH1866">
        <v>24.0859109125863</v>
      </c>
      <c r="AI1866">
        <v>92.628939982694604</v>
      </c>
      <c r="AJ1866">
        <v>92.321542767915702</v>
      </c>
      <c r="AK1866">
        <v>24.131093279507802</v>
      </c>
    </row>
    <row r="1867" spans="1:37" x14ac:dyDescent="0.2">
      <c r="A1867" t="str">
        <f>"20200111153434892"</f>
        <v>20200111153434892</v>
      </c>
      <c r="B1867" t="str">
        <f>"1578728074887978"</f>
        <v>1578728074887978</v>
      </c>
      <c r="C1867" t="s">
        <v>37</v>
      </c>
      <c r="D1867">
        <v>4.7737939999999996</v>
      </c>
      <c r="E1867">
        <v>0.4970252</v>
      </c>
      <c r="F1867" t="s">
        <v>56</v>
      </c>
      <c r="G1867">
        <v>-413.13830000000002</v>
      </c>
      <c r="H1867" s="1">
        <v>2.755043E-6</v>
      </c>
      <c r="I1867">
        <v>284.70080000000002</v>
      </c>
      <c r="J1867">
        <v>-388.69389999999999</v>
      </c>
      <c r="K1867">
        <v>1.1067750000000001</v>
      </c>
      <c r="L1867">
        <v>286.0258</v>
      </c>
      <c r="M1867">
        <v>-0.99977459999999996</v>
      </c>
      <c r="N1867">
        <v>0</v>
      </c>
      <c r="O1867">
        <v>-1.5188E-2</v>
      </c>
      <c r="P1867">
        <v>-0.99845469999999903</v>
      </c>
      <c r="Q1867">
        <v>3.105689E-2</v>
      </c>
      <c r="R1867">
        <v>-4.6082489999999997E-2</v>
      </c>
      <c r="S1867">
        <v>-3.0014949999999998</v>
      </c>
      <c r="T1867">
        <v>-0.133654299999999</v>
      </c>
      <c r="U1867">
        <v>-0.1607971</v>
      </c>
      <c r="V1867">
        <v>-3.1149219999999998E-2</v>
      </c>
      <c r="W1867">
        <v>4.5717809999999998E-2</v>
      </c>
      <c r="X1867">
        <v>0.99846859999999904</v>
      </c>
      <c r="Y1867">
        <v>-3.829871E-2</v>
      </c>
      <c r="Z1867">
        <v>-1.7619660000000001E-4</v>
      </c>
      <c r="AA1867">
        <v>0.99926630000000005</v>
      </c>
      <c r="AB1867">
        <v>48</v>
      </c>
      <c r="AC1867">
        <v>-24.444400000000002</v>
      </c>
      <c r="AD1867">
        <v>-1.1067722449570001</v>
      </c>
      <c r="AE1867">
        <v>-1.32499999999998</v>
      </c>
      <c r="AF1867">
        <v>-0.95159964686287501</v>
      </c>
      <c r="AG1867">
        <v>-1.1067722449570001</v>
      </c>
      <c r="AH1867">
        <v>24.411808123470198</v>
      </c>
      <c r="AI1867">
        <v>92.593906905258294</v>
      </c>
      <c r="AJ1867">
        <v>92.232323480608201</v>
      </c>
      <c r="AK1867">
        <v>24.4554055895061</v>
      </c>
    </row>
    <row r="1868" spans="1:37" x14ac:dyDescent="0.2">
      <c r="A1868" t="str">
        <f>"20200111153434905"</f>
        <v>20200111153434905</v>
      </c>
      <c r="B1868" t="str">
        <f>"1578728074897738"</f>
        <v>1578728074897738</v>
      </c>
      <c r="C1868" t="s">
        <v>37</v>
      </c>
      <c r="D1868">
        <v>4.7428749999999997</v>
      </c>
      <c r="E1868">
        <v>0.49725399999999997</v>
      </c>
      <c r="F1868" t="s">
        <v>56</v>
      </c>
      <c r="G1868">
        <v>-413.80110000000002</v>
      </c>
      <c r="H1868" s="1">
        <v>2.8741519999999999E-6</v>
      </c>
      <c r="I1868">
        <v>284.68329999999997</v>
      </c>
      <c r="J1868">
        <v>-388.96730000000002</v>
      </c>
      <c r="K1868">
        <v>1.106732</v>
      </c>
      <c r="L1868">
        <v>286.02120000000002</v>
      </c>
      <c r="M1868">
        <v>-0.99976149999999997</v>
      </c>
      <c r="N1868">
        <v>0</v>
      </c>
      <c r="O1868">
        <v>-1.6034969999999999E-2</v>
      </c>
      <c r="P1868">
        <v>-0.99842520000000001</v>
      </c>
      <c r="Q1868">
        <v>3.0681719999999999E-2</v>
      </c>
      <c r="R1868">
        <v>-4.6966939999999999E-2</v>
      </c>
      <c r="S1868">
        <v>-3.0013429999999999</v>
      </c>
      <c r="T1868">
        <v>-0.13230500000000001</v>
      </c>
      <c r="U1868">
        <v>-0.16049189999999999</v>
      </c>
      <c r="V1868">
        <v>-3.118023E-2</v>
      </c>
      <c r="W1868">
        <v>4.5343410000000001E-2</v>
      </c>
      <c r="X1868">
        <v>0.9984847</v>
      </c>
      <c r="Y1868">
        <v>-3.7355739999999998E-2</v>
      </c>
      <c r="Z1868">
        <v>-1.163853E-4</v>
      </c>
      <c r="AA1868">
        <v>0.99930200000000002</v>
      </c>
      <c r="AB1868">
        <v>48</v>
      </c>
      <c r="AC1868">
        <v>-24.8338</v>
      </c>
      <c r="AD1868">
        <v>-1.1067291258480001</v>
      </c>
      <c r="AE1868">
        <v>-1.3379000000000401</v>
      </c>
      <c r="AF1868">
        <v>-0.93761814392139298</v>
      </c>
      <c r="AG1868">
        <v>-1.1067291258480001</v>
      </c>
      <c r="AH1868">
        <v>24.802943978540799</v>
      </c>
      <c r="AI1868">
        <v>92.553072084432102</v>
      </c>
      <c r="AJ1868">
        <v>92.164904063487199</v>
      </c>
      <c r="AK1868">
        <v>24.845321634956601</v>
      </c>
    </row>
    <row r="1869" spans="1:37" x14ac:dyDescent="0.2">
      <c r="A1869" t="str">
        <f>"20200111153434920"</f>
        <v>20200111153434920</v>
      </c>
      <c r="B1869" t="str">
        <f>"1578728074907498"</f>
        <v>1578728074907498</v>
      </c>
      <c r="C1869" t="s">
        <v>37</v>
      </c>
      <c r="D1869">
        <v>4.780176</v>
      </c>
      <c r="E1869">
        <v>0.49749259999999901</v>
      </c>
      <c r="F1869" t="s">
        <v>56</v>
      </c>
      <c r="G1869">
        <v>-413.95780000000002</v>
      </c>
      <c r="H1869" s="1">
        <v>2.902317E-6</v>
      </c>
      <c r="I1869">
        <v>284.67899999999997</v>
      </c>
      <c r="J1869">
        <v>-389.26479999999998</v>
      </c>
      <c r="K1869">
        <v>1.1066819999999999</v>
      </c>
      <c r="L1869">
        <v>286.01589999999999</v>
      </c>
      <c r="M1869">
        <v>-0.99974669999999899</v>
      </c>
      <c r="N1869">
        <v>0</v>
      </c>
      <c r="O1869">
        <v>-1.6930770000000001E-2</v>
      </c>
      <c r="P1869">
        <v>-0.99838769999999999</v>
      </c>
      <c r="Q1869">
        <v>3.071842E-2</v>
      </c>
      <c r="R1869">
        <v>-4.773579E-2</v>
      </c>
      <c r="S1869">
        <v>-3.0012509999999999</v>
      </c>
      <c r="T1869">
        <v>-0.13291339999999999</v>
      </c>
      <c r="U1869">
        <v>-0.1611938</v>
      </c>
      <c r="V1869">
        <v>-3.1049719999999999E-2</v>
      </c>
      <c r="W1869">
        <v>4.5381989999999997E-2</v>
      </c>
      <c r="X1869">
        <v>0.99848709999999996</v>
      </c>
      <c r="Y1869">
        <v>-3.6696329999999999E-2</v>
      </c>
      <c r="Z1869" s="1">
        <v>-6.2724459999999996E-5</v>
      </c>
      <c r="AA1869">
        <v>0.99932649999999901</v>
      </c>
      <c r="AB1869">
        <v>48</v>
      </c>
      <c r="AC1869">
        <v>-24.693000000000001</v>
      </c>
      <c r="AD1869">
        <v>-1.1066790976829901</v>
      </c>
      <c r="AE1869">
        <v>-1.33689999999995</v>
      </c>
      <c r="AF1869">
        <v>-0.91675483581483996</v>
      </c>
      <c r="AG1869">
        <v>-1.1066790976829901</v>
      </c>
      <c r="AH1869">
        <v>24.662704085900799</v>
      </c>
      <c r="AI1869">
        <v>92.567514938786701</v>
      </c>
      <c r="AJ1869">
        <v>92.128801868485795</v>
      </c>
      <c r="AK1869">
        <v>24.704537050569201</v>
      </c>
    </row>
    <row r="1870" spans="1:37" x14ac:dyDescent="0.2">
      <c r="A1870" t="str">
        <f>"20200111153434935"</f>
        <v>20200111153434935</v>
      </c>
      <c r="B1870" t="str">
        <f>"1578728074927998"</f>
        <v>1578728074927998</v>
      </c>
      <c r="C1870" t="s">
        <v>37</v>
      </c>
      <c r="D1870">
        <v>4.7780189999999996</v>
      </c>
      <c r="E1870">
        <v>0.497984599999999</v>
      </c>
      <c r="F1870" t="s">
        <v>56</v>
      </c>
      <c r="G1870">
        <v>-414.48970000000003</v>
      </c>
      <c r="H1870" s="1">
        <v>2.9985749999999999E-6</v>
      </c>
      <c r="I1870">
        <v>284.65719999999999</v>
      </c>
      <c r="J1870">
        <v>-389.6318</v>
      </c>
      <c r="K1870">
        <v>1.1066149999999999</v>
      </c>
      <c r="L1870">
        <v>286.00900000000001</v>
      </c>
      <c r="M1870">
        <v>-0.99972859999999997</v>
      </c>
      <c r="N1870">
        <v>0</v>
      </c>
      <c r="O1870">
        <v>-1.797468E-2</v>
      </c>
      <c r="P1870">
        <v>-0.99836340000000001</v>
      </c>
      <c r="Q1870">
        <v>3.0298539999999999E-2</v>
      </c>
      <c r="R1870">
        <v>-4.850434E-2</v>
      </c>
      <c r="S1870">
        <v>-3.00116</v>
      </c>
      <c r="T1870">
        <v>-0.13166829999999999</v>
      </c>
      <c r="U1870">
        <v>-0.16165160000000001</v>
      </c>
      <c r="V1870">
        <v>-3.0765580000000001E-2</v>
      </c>
      <c r="W1870">
        <v>4.4965659999999998E-2</v>
      </c>
      <c r="X1870">
        <v>0.99851469999999898</v>
      </c>
      <c r="Y1870">
        <v>-3.5808659999999999E-2</v>
      </c>
      <c r="Z1870" s="1">
        <v>3.0421069999999899E-6</v>
      </c>
      <c r="AA1870">
        <v>0.99935869999999905</v>
      </c>
      <c r="AB1870">
        <v>48</v>
      </c>
      <c r="AC1870">
        <v>-24.857900000000001</v>
      </c>
      <c r="AD1870">
        <v>-1.1066120014249901</v>
      </c>
      <c r="AE1870">
        <v>-1.3518000000000201</v>
      </c>
      <c r="AF1870">
        <v>-0.90293551428763297</v>
      </c>
      <c r="AG1870">
        <v>-1.1066120014249901</v>
      </c>
      <c r="AH1870">
        <v>24.8291224780532</v>
      </c>
      <c r="AI1870">
        <v>92.550249775166805</v>
      </c>
      <c r="AJ1870">
        <v>92.082699712032394</v>
      </c>
      <c r="AK1870">
        <v>24.870166981643401</v>
      </c>
    </row>
    <row r="1871" spans="1:37" x14ac:dyDescent="0.2">
      <c r="A1871" t="str">
        <f>"20200111153434960"</f>
        <v>20200111153434960</v>
      </c>
      <c r="B1871" t="str">
        <f>"1578728074947514"</f>
        <v>1578728074947514</v>
      </c>
      <c r="C1871" t="s">
        <v>37</v>
      </c>
      <c r="D1871">
        <v>4.7744939999999998</v>
      </c>
      <c r="E1871">
        <v>0.4984403</v>
      </c>
      <c r="F1871" t="s">
        <v>56</v>
      </c>
      <c r="G1871">
        <v>-415.01440000000002</v>
      </c>
      <c r="H1871" s="1">
        <v>3.0918050000000001E-6</v>
      </c>
      <c r="I1871">
        <v>284.65550000000002</v>
      </c>
      <c r="J1871">
        <v>-390.11070000000001</v>
      </c>
      <c r="K1871">
        <v>1.1065290000000001</v>
      </c>
      <c r="L1871">
        <v>285.99950000000001</v>
      </c>
      <c r="M1871">
        <v>-0.9997045</v>
      </c>
      <c r="N1871">
        <v>0</v>
      </c>
      <c r="O1871">
        <v>-1.926069E-2</v>
      </c>
      <c r="P1871">
        <v>-0.99832219999999905</v>
      </c>
      <c r="Q1871">
        <v>3.0119429999999999E-2</v>
      </c>
      <c r="R1871">
        <v>-4.9451750000000003E-2</v>
      </c>
      <c r="S1871">
        <v>-3.0011290000000002</v>
      </c>
      <c r="T1871">
        <v>-0.13084100000000001</v>
      </c>
      <c r="U1871">
        <v>-0.16003419999999999</v>
      </c>
      <c r="V1871">
        <v>-3.0418239999999999E-2</v>
      </c>
      <c r="W1871">
        <v>4.4790839999999998E-2</v>
      </c>
      <c r="X1871">
        <v>0.99853320000000001</v>
      </c>
      <c r="Y1871">
        <v>-3.3989699999999998E-2</v>
      </c>
      <c r="Z1871" s="1">
        <v>9.8613609999999906E-5</v>
      </c>
      <c r="AA1871">
        <v>0.99942219999999904</v>
      </c>
      <c r="AB1871">
        <v>48</v>
      </c>
      <c r="AC1871">
        <v>-24.903700000000001</v>
      </c>
      <c r="AD1871">
        <v>-1.1065259081950001</v>
      </c>
      <c r="AE1871">
        <v>-1.3439999999999901</v>
      </c>
      <c r="AF1871">
        <v>-0.86233792473840198</v>
      </c>
      <c r="AG1871">
        <v>-1.1065259081950001</v>
      </c>
      <c r="AH1871">
        <v>24.876000392589599</v>
      </c>
      <c r="AI1871">
        <v>92.545405807485594</v>
      </c>
      <c r="AJ1871">
        <v>91.985389365347899</v>
      </c>
      <c r="AK1871">
        <v>24.9155257181956</v>
      </c>
    </row>
    <row r="1872" spans="1:37" x14ac:dyDescent="0.2">
      <c r="A1872" t="str">
        <f>"20200111153434972"</f>
        <v>20200111153434972</v>
      </c>
      <c r="B1872" t="str">
        <f>"1578728074968010"</f>
        <v>1578728074968010</v>
      </c>
      <c r="C1872" t="s">
        <v>37</v>
      </c>
      <c r="D1872">
        <v>4.721082</v>
      </c>
      <c r="E1872">
        <v>0.49894699999999997</v>
      </c>
      <c r="F1872" t="s">
        <v>56</v>
      </c>
      <c r="G1872">
        <v>-415.67419999999998</v>
      </c>
      <c r="H1872" s="1">
        <v>3.209716E-6</v>
      </c>
      <c r="I1872">
        <v>284.6454</v>
      </c>
      <c r="J1872">
        <v>-390.40109999999999</v>
      </c>
      <c r="K1872">
        <v>1.106471</v>
      </c>
      <c r="L1872">
        <v>285.99340000000001</v>
      </c>
      <c r="M1872">
        <v>-0.99969050000000004</v>
      </c>
      <c r="N1872">
        <v>0</v>
      </c>
      <c r="O1872">
        <v>-1.9980669999999999E-2</v>
      </c>
      <c r="P1872">
        <v>-0.99828760000000005</v>
      </c>
      <c r="Q1872">
        <v>2.996302E-2</v>
      </c>
      <c r="R1872">
        <v>-5.024195E-2</v>
      </c>
      <c r="S1872">
        <v>-3.0010680000000001</v>
      </c>
      <c r="T1872">
        <v>-0.12990270000000001</v>
      </c>
      <c r="U1872">
        <v>-0.1589661</v>
      </c>
      <c r="V1872">
        <v>-3.0482249999999999E-2</v>
      </c>
      <c r="W1872">
        <v>4.4636500000000003E-2</v>
      </c>
      <c r="X1872">
        <v>0.99853809999999998</v>
      </c>
      <c r="Y1872">
        <v>-3.2918139999999999E-2</v>
      </c>
      <c r="Z1872">
        <v>1.5219379999999901E-4</v>
      </c>
      <c r="AA1872">
        <v>0.99945799999999996</v>
      </c>
      <c r="AB1872">
        <v>48</v>
      </c>
      <c r="AC1872">
        <v>-25.273099999999999</v>
      </c>
      <c r="AD1872">
        <v>-1.1064677902840001</v>
      </c>
      <c r="AE1872">
        <v>-1.3480000000000101</v>
      </c>
      <c r="AF1872">
        <v>-0.84109431343677199</v>
      </c>
      <c r="AG1872">
        <v>-1.1064677902840001</v>
      </c>
      <c r="AH1872">
        <v>25.246736581009401</v>
      </c>
      <c r="AI1872">
        <v>92.508059115002297</v>
      </c>
      <c r="AJ1872">
        <v>91.908101553004897</v>
      </c>
      <c r="AK1872">
        <v>25.2849642793086</v>
      </c>
    </row>
    <row r="1873" spans="1:37" x14ac:dyDescent="0.2">
      <c r="A1873" t="str">
        <f>"20200111153434987"</f>
        <v>20200111153434987</v>
      </c>
      <c r="B1873" t="str">
        <f>"1578728074977770"</f>
        <v>1578728074977770</v>
      </c>
      <c r="C1873" t="s">
        <v>37</v>
      </c>
      <c r="D1873">
        <v>4.7561980000000004</v>
      </c>
      <c r="E1873">
        <v>0.4992452</v>
      </c>
      <c r="F1873" t="s">
        <v>56</v>
      </c>
      <c r="G1873">
        <v>-416.12360000000001</v>
      </c>
      <c r="H1873" s="1">
        <v>3.2892869999999999E-6</v>
      </c>
      <c r="I1873">
        <v>284.6472</v>
      </c>
      <c r="J1873">
        <v>-390.70830000000001</v>
      </c>
      <c r="K1873">
        <v>1.1064080000000001</v>
      </c>
      <c r="L1873">
        <v>285.98680000000002</v>
      </c>
      <c r="M1873">
        <v>-0.99967569999999994</v>
      </c>
      <c r="N1873">
        <v>0</v>
      </c>
      <c r="O1873">
        <v>-2.0711650000000002E-2</v>
      </c>
      <c r="P1873">
        <v>-0.99825259999999905</v>
      </c>
      <c r="Q1873">
        <v>3.0094039999999999E-2</v>
      </c>
      <c r="R1873">
        <v>-5.0856159999999997E-2</v>
      </c>
      <c r="S1873">
        <v>-3.0011290000000002</v>
      </c>
      <c r="T1873">
        <v>-0.12909499999999999</v>
      </c>
      <c r="U1873">
        <v>-0.15707399999999999</v>
      </c>
      <c r="V1873">
        <v>-3.0359699999999899E-2</v>
      </c>
      <c r="W1873">
        <v>4.4769870000000003E-2</v>
      </c>
      <c r="X1873">
        <v>0.99853590000000003</v>
      </c>
      <c r="Y1873">
        <v>-3.155993E-2</v>
      </c>
      <c r="Z1873">
        <v>2.1182500000000001E-4</v>
      </c>
      <c r="AA1873">
        <v>0.9995018</v>
      </c>
      <c r="AB1873">
        <v>48</v>
      </c>
      <c r="AC1873">
        <v>-25.415299999999998</v>
      </c>
      <c r="AD1873">
        <v>-1.106404710713</v>
      </c>
      <c r="AE1873">
        <v>-1.3396000000000099</v>
      </c>
      <c r="AF1873">
        <v>-0.81132868669194602</v>
      </c>
      <c r="AG1873">
        <v>-1.106404710713</v>
      </c>
      <c r="AH1873">
        <v>25.389612209652402</v>
      </c>
      <c r="AI1873">
        <v>92.493931734255199</v>
      </c>
      <c r="AJ1873">
        <v>91.830272009668704</v>
      </c>
      <c r="AK1873">
        <v>25.4266551826674</v>
      </c>
    </row>
    <row r="1874" spans="1:37" x14ac:dyDescent="0.2">
      <c r="A1874" t="str">
        <f>"20200111153435000"</f>
        <v>20200111153435000</v>
      </c>
      <c r="B1874" t="str">
        <f>"1578728074998267"</f>
        <v>1578728074998267</v>
      </c>
      <c r="C1874" t="s">
        <v>37</v>
      </c>
      <c r="D1874">
        <v>4.7297510000000003</v>
      </c>
      <c r="E1874">
        <v>0.49980580000000002</v>
      </c>
      <c r="F1874" t="s">
        <v>56</v>
      </c>
      <c r="G1874">
        <v>-416.6832</v>
      </c>
      <c r="H1874" s="1">
        <v>3.3899980000000001E-6</v>
      </c>
      <c r="I1874">
        <v>284.63049999999998</v>
      </c>
      <c r="J1874">
        <v>-390.97739999999999</v>
      </c>
      <c r="K1874">
        <v>1.1063559999999999</v>
      </c>
      <c r="L1874">
        <v>285.98099999999999</v>
      </c>
      <c r="M1874">
        <v>-0.99966279999999996</v>
      </c>
      <c r="N1874">
        <v>0</v>
      </c>
      <c r="O1874">
        <v>-2.132908E-2</v>
      </c>
      <c r="P1874">
        <v>-0.99824169999999901</v>
      </c>
      <c r="Q1874">
        <v>2.9792869999999999E-2</v>
      </c>
      <c r="R1874">
        <v>-5.124853E-2</v>
      </c>
      <c r="S1874">
        <v>-3.00116</v>
      </c>
      <c r="T1874">
        <v>-0.1278347</v>
      </c>
      <c r="U1874">
        <v>-0.15670780000000001</v>
      </c>
      <c r="V1874">
        <v>-3.0127749999999998E-2</v>
      </c>
      <c r="W1874">
        <v>4.447168E-2</v>
      </c>
      <c r="X1874">
        <v>0.99855629999999995</v>
      </c>
      <c r="Y1874">
        <v>-3.0821850000000001E-2</v>
      </c>
      <c r="Z1874">
        <v>2.5172079999999998E-4</v>
      </c>
      <c r="AA1874">
        <v>0.99952489999999905</v>
      </c>
      <c r="AB1874">
        <v>48</v>
      </c>
      <c r="AC1874">
        <v>-25.7058</v>
      </c>
      <c r="AD1874">
        <v>-1.10635261000199</v>
      </c>
      <c r="AE1874">
        <v>-1.35050000000001</v>
      </c>
      <c r="AF1874">
        <v>-0.80037300092338903</v>
      </c>
      <c r="AG1874">
        <v>-1.10635261000199</v>
      </c>
      <c r="AH1874">
        <v>25.681318916875501</v>
      </c>
      <c r="AI1874">
        <v>92.465584381154002</v>
      </c>
      <c r="AJ1874">
        <v>91.785077962799093</v>
      </c>
      <c r="AK1874">
        <v>25.717596200822001</v>
      </c>
    </row>
    <row r="1875" spans="1:37" x14ac:dyDescent="0.2">
      <c r="A1875" t="str">
        <f>"20200111153435014"</f>
        <v>20200111153435014</v>
      </c>
      <c r="B1875" t="str">
        <f>"1578728075008029"</f>
        <v>1578728075008029</v>
      </c>
      <c r="C1875" t="s">
        <v>37</v>
      </c>
      <c r="D1875">
        <v>4.7698660000000004</v>
      </c>
      <c r="E1875">
        <v>0.50000409999999995</v>
      </c>
      <c r="F1875" t="s">
        <v>56</v>
      </c>
      <c r="G1875">
        <v>-417.39510000000001</v>
      </c>
      <c r="H1875" s="1">
        <v>3.5162349999999998E-6</v>
      </c>
      <c r="I1875">
        <v>284.6311</v>
      </c>
      <c r="J1875">
        <v>-391.30869999999999</v>
      </c>
      <c r="K1875">
        <v>1.1062879999999999</v>
      </c>
      <c r="L1875">
        <v>285.97340000000003</v>
      </c>
      <c r="M1875">
        <v>-0.99964759999999997</v>
      </c>
      <c r="N1875">
        <v>0</v>
      </c>
      <c r="O1875">
        <v>-2.2030640000000001E-2</v>
      </c>
      <c r="P1875">
        <v>-0.99823280000000003</v>
      </c>
      <c r="Q1875">
        <v>2.9229729999999999E-2</v>
      </c>
      <c r="R1875">
        <v>-5.1743530000000003E-2</v>
      </c>
      <c r="S1875">
        <v>-3.00116</v>
      </c>
      <c r="T1875">
        <v>-0.1256862</v>
      </c>
      <c r="U1875">
        <v>-0.15335079999999901</v>
      </c>
      <c r="V1875">
        <v>-2.991137E-2</v>
      </c>
      <c r="W1875">
        <v>4.3912420000000001E-2</v>
      </c>
      <c r="X1875">
        <v>0.99858749999999996</v>
      </c>
      <c r="Y1875">
        <v>-2.900778E-2</v>
      </c>
      <c r="Z1875">
        <v>3.14786699999999E-4</v>
      </c>
      <c r="AA1875">
        <v>0.99957909999999905</v>
      </c>
      <c r="AB1875">
        <v>48</v>
      </c>
      <c r="AC1875">
        <v>-26.086400000000001</v>
      </c>
      <c r="AD1875">
        <v>-1.1062844837649899</v>
      </c>
      <c r="AE1875">
        <v>-1.34230000000002</v>
      </c>
      <c r="AF1875">
        <v>-0.76583732065955401</v>
      </c>
      <c r="AG1875">
        <v>-1.1062844837649899</v>
      </c>
      <c r="AH1875">
        <v>26.062892526830002</v>
      </c>
      <c r="AI1875">
        <v>92.429511903983894</v>
      </c>
      <c r="AJ1875">
        <v>91.683106503037607</v>
      </c>
      <c r="AK1875">
        <v>26.0976002541579</v>
      </c>
    </row>
    <row r="1876" spans="1:37" x14ac:dyDescent="0.2">
      <c r="A1876" t="str">
        <f>"20200111153435028"</f>
        <v>20200111153435028</v>
      </c>
      <c r="B1876" t="str">
        <f>"1578728075017787"</f>
        <v>1578728075017787</v>
      </c>
      <c r="C1876" t="s">
        <v>37</v>
      </c>
      <c r="D1876">
        <v>4.7684300000000004</v>
      </c>
      <c r="E1876">
        <v>0.50023139999999999</v>
      </c>
      <c r="F1876" t="s">
        <v>56</v>
      </c>
      <c r="G1876">
        <v>-417.67910000000001</v>
      </c>
      <c r="H1876" s="1">
        <v>3.5670809999999998E-6</v>
      </c>
      <c r="I1876">
        <v>284.62560000000002</v>
      </c>
      <c r="J1876">
        <v>-391.58319999999998</v>
      </c>
      <c r="K1876">
        <v>1.1062289999999999</v>
      </c>
      <c r="L1876">
        <v>285.96699999999998</v>
      </c>
      <c r="M1876">
        <v>-0.99963550000000001</v>
      </c>
      <c r="N1876">
        <v>0</v>
      </c>
      <c r="O1876">
        <v>-2.2571770000000001E-2</v>
      </c>
      <c r="P1876">
        <v>-0.99824210000000002</v>
      </c>
      <c r="Q1876">
        <v>2.8840520000000001E-2</v>
      </c>
      <c r="R1876">
        <v>-5.1778860000000003E-2</v>
      </c>
      <c r="S1876">
        <v>-3.0010379999999999</v>
      </c>
      <c r="T1876">
        <v>-0.12589909999999899</v>
      </c>
      <c r="U1876">
        <v>-0.1533813</v>
      </c>
      <c r="V1876">
        <v>-2.939713E-2</v>
      </c>
      <c r="W1876">
        <v>4.3527980000000001E-2</v>
      </c>
      <c r="X1876">
        <v>0.99861959999999905</v>
      </c>
      <c r="Y1876">
        <v>-2.8479810000000001E-2</v>
      </c>
      <c r="Z1876">
        <v>3.4906299999999999E-4</v>
      </c>
      <c r="AA1876">
        <v>0.99959430000000005</v>
      </c>
      <c r="AB1876">
        <v>48</v>
      </c>
      <c r="AC1876">
        <v>-26.0959</v>
      </c>
      <c r="AD1876">
        <v>-1.106225432919</v>
      </c>
      <c r="AE1876">
        <v>-1.34139999999996</v>
      </c>
      <c r="AF1876">
        <v>-0.75061760654667198</v>
      </c>
      <c r="AG1876">
        <v>-1.106225432919</v>
      </c>
      <c r="AH1876">
        <v>26.072802276724001</v>
      </c>
      <c r="AI1876">
        <v>92.428502060309697</v>
      </c>
      <c r="AJ1876">
        <v>91.649049631619505</v>
      </c>
      <c r="AK1876">
        <v>26.107052305092498</v>
      </c>
    </row>
    <row r="1877" spans="1:37" x14ac:dyDescent="0.2">
      <c r="A1877" t="str">
        <f>"20200111153435042"</f>
        <v>20200111153435042</v>
      </c>
      <c r="B1877" t="str">
        <f>"1578728075038282"</f>
        <v>1578728075038282</v>
      </c>
      <c r="C1877" t="s">
        <v>37</v>
      </c>
      <c r="D1877">
        <v>4.763719</v>
      </c>
      <c r="E1877">
        <v>0.50065850000000001</v>
      </c>
      <c r="F1877" t="s">
        <v>56</v>
      </c>
      <c r="G1877">
        <v>-417.96730000000002</v>
      </c>
      <c r="H1877" s="1">
        <v>3.6175309999999999E-6</v>
      </c>
      <c r="I1877">
        <v>284.63330000000002</v>
      </c>
      <c r="J1877">
        <v>-391.86250000000001</v>
      </c>
      <c r="K1877">
        <v>1.1061650000000001</v>
      </c>
      <c r="L1877">
        <v>285.96039999999999</v>
      </c>
      <c r="M1877">
        <v>-0.9996235</v>
      </c>
      <c r="N1877">
        <v>0</v>
      </c>
      <c r="O1877">
        <v>-2.3097099999999999E-2</v>
      </c>
      <c r="P1877">
        <v>-0.99822440000000001</v>
      </c>
      <c r="Q1877">
        <v>2.85096E-2</v>
      </c>
      <c r="R1877">
        <v>-5.2300520000000003E-2</v>
      </c>
      <c r="S1877">
        <v>-3.0010680000000001</v>
      </c>
      <c r="T1877">
        <v>-0.12582789999999999</v>
      </c>
      <c r="U1877">
        <v>-0.1517029</v>
      </c>
      <c r="V1877">
        <v>-2.9385640000000001E-2</v>
      </c>
      <c r="W1877">
        <v>4.3199750000000002E-2</v>
      </c>
      <c r="X1877">
        <v>0.99863419999999903</v>
      </c>
      <c r="Y1877">
        <v>-2.7397749999999998E-2</v>
      </c>
      <c r="Z1877">
        <v>3.9352269999999898E-4</v>
      </c>
      <c r="AA1877">
        <v>0.99962459999999898</v>
      </c>
      <c r="AB1877">
        <v>48</v>
      </c>
      <c r="AC1877">
        <v>-26.104800000000001</v>
      </c>
      <c r="AD1877">
        <v>-1.106161382469</v>
      </c>
      <c r="AE1877">
        <v>-1.32709999999997</v>
      </c>
      <c r="AF1877">
        <v>-0.72244073150437504</v>
      </c>
      <c r="AG1877">
        <v>-1.106161382469</v>
      </c>
      <c r="AH1877">
        <v>26.081779640702699</v>
      </c>
      <c r="AI1877">
        <v>92.427601377613698</v>
      </c>
      <c r="AJ1877">
        <v>91.586633437683901</v>
      </c>
      <c r="AK1877">
        <v>26.115220520623101</v>
      </c>
    </row>
    <row r="1878" spans="1:37" x14ac:dyDescent="0.2">
      <c r="A1878" t="str">
        <f>"20200111153435054"</f>
        <v>20200111153435054</v>
      </c>
      <c r="B1878" t="str">
        <f>"1578728075048043"</f>
        <v>1578728075048043</v>
      </c>
      <c r="C1878" t="s">
        <v>37</v>
      </c>
      <c r="D1878">
        <v>4.7701849999999997</v>
      </c>
      <c r="E1878">
        <v>0.50084770000000001</v>
      </c>
      <c r="F1878" t="s">
        <v>56</v>
      </c>
      <c r="G1878">
        <v>-418.49419999999998</v>
      </c>
      <c r="H1878" s="1">
        <v>3.7113080000000002E-6</v>
      </c>
      <c r="I1878">
        <v>284.62990000000002</v>
      </c>
      <c r="J1878">
        <v>-392.13170000000002</v>
      </c>
      <c r="K1878">
        <v>1.1060989999999999</v>
      </c>
      <c r="L1878">
        <v>285.9538</v>
      </c>
      <c r="M1878">
        <v>-0.99961279999999997</v>
      </c>
      <c r="N1878">
        <v>0</v>
      </c>
      <c r="O1878">
        <v>-2.356105E-2</v>
      </c>
      <c r="P1878">
        <v>-0.99822269999999902</v>
      </c>
      <c r="Q1878">
        <v>2.8374E-2</v>
      </c>
      <c r="R1878">
        <v>-5.2407099999999998E-2</v>
      </c>
      <c r="S1878">
        <v>-3.0010680000000001</v>
      </c>
      <c r="T1878">
        <v>-0.12465080000000001</v>
      </c>
      <c r="U1878">
        <v>-0.14993290000000001</v>
      </c>
      <c r="V1878">
        <v>-2.9021519999999999E-2</v>
      </c>
      <c r="W1878">
        <v>4.3067790000000002E-2</v>
      </c>
      <c r="X1878">
        <v>0.99865059999999894</v>
      </c>
      <c r="Y1878">
        <v>-2.6347079999999998E-2</v>
      </c>
      <c r="Z1878">
        <v>4.3089140000000001E-4</v>
      </c>
      <c r="AA1878">
        <v>0.99965269999999995</v>
      </c>
      <c r="AB1878">
        <v>48</v>
      </c>
      <c r="AC1878">
        <v>-26.362499999999901</v>
      </c>
      <c r="AD1878">
        <v>-1.1060952886919999</v>
      </c>
      <c r="AE1878">
        <v>-1.3238999999999801</v>
      </c>
      <c r="AF1878">
        <v>-0.70110503790941703</v>
      </c>
      <c r="AG1878">
        <v>-1.1060952886919999</v>
      </c>
      <c r="AH1878">
        <v>26.340123492021998</v>
      </c>
      <c r="AI1878">
        <v>92.403746555448294</v>
      </c>
      <c r="AJ1878">
        <v>91.524703443909303</v>
      </c>
      <c r="AK1878">
        <v>26.372658201948799</v>
      </c>
    </row>
    <row r="1879" spans="1:37" x14ac:dyDescent="0.2">
      <c r="A1879" t="str">
        <f>"20200111153435067"</f>
        <v>20200111153435067</v>
      </c>
      <c r="B1879" t="str">
        <f>"1578728075058363"</f>
        <v>1578728075058363</v>
      </c>
      <c r="C1879" t="s">
        <v>37</v>
      </c>
      <c r="D1879">
        <v>4.7667779999999897</v>
      </c>
      <c r="E1879">
        <v>0.50102469999999999</v>
      </c>
      <c r="F1879" t="s">
        <v>56</v>
      </c>
      <c r="G1879">
        <v>-418.85039999999998</v>
      </c>
      <c r="H1879" s="1">
        <v>3.7744689999999998E-6</v>
      </c>
      <c r="I1879">
        <v>284.63010000000003</v>
      </c>
      <c r="J1879">
        <v>-392.40379999999999</v>
      </c>
      <c r="K1879">
        <v>1.1060289999999999</v>
      </c>
      <c r="L1879">
        <v>285.94709999999998</v>
      </c>
      <c r="M1879">
        <v>-0.99960230000000005</v>
      </c>
      <c r="N1879">
        <v>0</v>
      </c>
      <c r="O1879">
        <v>-2.3996480000000001E-2</v>
      </c>
      <c r="P1879">
        <v>-0.99822960000000005</v>
      </c>
      <c r="Q1879">
        <v>2.8093859999999998E-2</v>
      </c>
      <c r="R1879">
        <v>-5.2424329999999998E-2</v>
      </c>
      <c r="S1879">
        <v>-3.001099</v>
      </c>
      <c r="T1879">
        <v>-0.12423869999999999</v>
      </c>
      <c r="U1879">
        <v>-0.1486816</v>
      </c>
      <c r="V1879">
        <v>-2.8594709999999999E-2</v>
      </c>
      <c r="W1879">
        <v>4.2791950000000002E-2</v>
      </c>
      <c r="X1879">
        <v>0.99867469999999903</v>
      </c>
      <c r="Y1879">
        <v>-2.549647E-2</v>
      </c>
      <c r="Z1879">
        <v>4.6505800000000002E-4</v>
      </c>
      <c r="AA1879">
        <v>0.99967479999999997</v>
      </c>
      <c r="AB1879">
        <v>48</v>
      </c>
      <c r="AC1879">
        <v>-26.446599999999901</v>
      </c>
      <c r="AD1879">
        <v>-1.1060252255309999</v>
      </c>
      <c r="AE1879">
        <v>-1.31699999999995</v>
      </c>
      <c r="AF1879">
        <v>-0.68073806902328304</v>
      </c>
      <c r="AG1879">
        <v>-1.1060252255309999</v>
      </c>
      <c r="AH1879">
        <v>26.4244875167484</v>
      </c>
      <c r="AI1879">
        <v>92.395983203141199</v>
      </c>
      <c r="AJ1879">
        <v>91.475706704116206</v>
      </c>
      <c r="AK1879">
        <v>26.4563836652124</v>
      </c>
    </row>
    <row r="1880" spans="1:37" x14ac:dyDescent="0.2">
      <c r="A1880" t="str">
        <f>"20200111153435080"</f>
        <v>20200111153435080</v>
      </c>
      <c r="B1880" t="str">
        <f>"1578728075077870"</f>
        <v>1578728075077870</v>
      </c>
      <c r="C1880" t="s">
        <v>37</v>
      </c>
      <c r="D1880">
        <v>4.7770630000000001</v>
      </c>
      <c r="E1880">
        <v>0.50138349999999998</v>
      </c>
      <c r="F1880" t="s">
        <v>56</v>
      </c>
      <c r="G1880">
        <v>-419.1189</v>
      </c>
      <c r="H1880" s="1">
        <v>3.8215699999999902E-6</v>
      </c>
      <c r="I1880">
        <v>284.6361</v>
      </c>
      <c r="J1880">
        <v>-392.68029999999999</v>
      </c>
      <c r="K1880">
        <v>1.1059619999999999</v>
      </c>
      <c r="L1880">
        <v>285.9402</v>
      </c>
      <c r="M1880">
        <v>-0.99959240000000005</v>
      </c>
      <c r="N1880">
        <v>0</v>
      </c>
      <c r="O1880">
        <v>-2.441544E-2</v>
      </c>
      <c r="P1880">
        <v>-0.99823799999999996</v>
      </c>
      <c r="Q1880">
        <v>2.7958719999999999E-2</v>
      </c>
      <c r="R1880">
        <v>-5.2343349999999997E-2</v>
      </c>
      <c r="S1880">
        <v>-3.0010680000000001</v>
      </c>
      <c r="T1880">
        <v>-0.12424639999999899</v>
      </c>
      <c r="U1880">
        <v>-0.14727779999999999</v>
      </c>
      <c r="V1880">
        <v>-2.8086750000000001E-2</v>
      </c>
      <c r="W1880">
        <v>4.2660940000000001E-2</v>
      </c>
      <c r="X1880">
        <v>0.99869470000000005</v>
      </c>
      <c r="Y1880">
        <v>-2.4612599999999998E-2</v>
      </c>
      <c r="Z1880">
        <v>5.0069570000000002E-4</v>
      </c>
      <c r="AA1880">
        <v>0.9996969</v>
      </c>
      <c r="AB1880">
        <v>48</v>
      </c>
      <c r="AC1880">
        <v>-26.438600000000001</v>
      </c>
      <c r="AD1880">
        <v>-1.1059581784300001</v>
      </c>
      <c r="AE1880">
        <v>-1.3041</v>
      </c>
      <c r="AF1880">
        <v>-0.65698360815020995</v>
      </c>
      <c r="AG1880">
        <v>-1.1059581784300001</v>
      </c>
      <c r="AH1880">
        <v>26.4164479597796</v>
      </c>
      <c r="AI1880">
        <v>92.396620410043397</v>
      </c>
      <c r="AJ1880">
        <v>91.4246665532078</v>
      </c>
      <c r="AK1880">
        <v>26.447750259059099</v>
      </c>
    </row>
    <row r="1881" spans="1:37" x14ac:dyDescent="0.2">
      <c r="A1881" t="str">
        <f>"20200111153435093"</f>
        <v>20200111153435093</v>
      </c>
      <c r="B1881" t="str">
        <f>"1578728075087629"</f>
        <v>1578728075087629</v>
      </c>
      <c r="C1881" t="s">
        <v>37</v>
      </c>
      <c r="D1881">
        <v>4.7622770000000001</v>
      </c>
      <c r="E1881">
        <v>0.50155530000000004</v>
      </c>
      <c r="F1881" t="s">
        <v>56</v>
      </c>
      <c r="G1881">
        <v>-419.65710000000001</v>
      </c>
      <c r="H1881" s="1">
        <v>3.9163260000000004E-6</v>
      </c>
      <c r="I1881">
        <v>284.64409999999998</v>
      </c>
      <c r="J1881">
        <v>-392.9708</v>
      </c>
      <c r="K1881">
        <v>1.1058950000000001</v>
      </c>
      <c r="L1881">
        <v>285.93290000000002</v>
      </c>
      <c r="M1881">
        <v>-0.99958289999999905</v>
      </c>
      <c r="N1881">
        <v>0</v>
      </c>
      <c r="O1881">
        <v>-2.4806310000000002E-2</v>
      </c>
      <c r="P1881">
        <v>-0.99826899999999996</v>
      </c>
      <c r="Q1881">
        <v>2.7953639999999998E-2</v>
      </c>
      <c r="R1881">
        <v>-5.1747799999999997E-2</v>
      </c>
      <c r="S1881">
        <v>-3.0011899999999998</v>
      </c>
      <c r="T1881">
        <v>-0.12303889999999899</v>
      </c>
      <c r="U1881">
        <v>-0.14419560000000001</v>
      </c>
      <c r="V1881">
        <v>-2.709193E-2</v>
      </c>
      <c r="W1881">
        <v>4.2661890000000001E-2</v>
      </c>
      <c r="X1881">
        <v>0.9987222</v>
      </c>
      <c r="Y1881">
        <v>-2.3196910000000001E-2</v>
      </c>
      <c r="Z1881">
        <v>5.4082119999999999E-4</v>
      </c>
      <c r="AA1881">
        <v>0.99973080000000003</v>
      </c>
      <c r="AB1881">
        <v>47</v>
      </c>
      <c r="AC1881">
        <v>-26.686299999999999</v>
      </c>
      <c r="AD1881">
        <v>-1.1058910836739999</v>
      </c>
      <c r="AE1881">
        <v>-1.2888000000000299</v>
      </c>
      <c r="AF1881">
        <v>-0.62527101300277499</v>
      </c>
      <c r="AG1881">
        <v>-1.1058910836739999</v>
      </c>
      <c r="AH1881">
        <v>26.664375689228098</v>
      </c>
      <c r="AI1881">
        <v>92.374299510284402</v>
      </c>
      <c r="AJ1881">
        <v>91.343321367685604</v>
      </c>
      <c r="AK1881">
        <v>26.6946228635084</v>
      </c>
    </row>
    <row r="1882" spans="1:37" x14ac:dyDescent="0.2">
      <c r="A1882" t="str">
        <f>"20200111153435107"</f>
        <v>20200111153435107</v>
      </c>
      <c r="B1882" t="str">
        <f>"1578728075098366"</f>
        <v>1578728075098366</v>
      </c>
      <c r="C1882" t="s">
        <v>37</v>
      </c>
      <c r="D1882">
        <v>4.7772430000000004</v>
      </c>
      <c r="E1882">
        <v>0.5017182</v>
      </c>
      <c r="F1882" t="s">
        <v>56</v>
      </c>
      <c r="G1882">
        <v>-420.1035</v>
      </c>
      <c r="H1882" s="1">
        <v>3.942847E-6</v>
      </c>
      <c r="I1882">
        <v>284.65519999999998</v>
      </c>
      <c r="J1882">
        <v>-393.24029999999999</v>
      </c>
      <c r="K1882">
        <v>1.105826</v>
      </c>
      <c r="L1882">
        <v>285.92590000000001</v>
      </c>
      <c r="M1882">
        <v>-0.99957450000000003</v>
      </c>
      <c r="N1882">
        <v>0</v>
      </c>
      <c r="O1882">
        <v>-2.5140699999999998E-2</v>
      </c>
      <c r="P1882">
        <v>-0.99830289999999999</v>
      </c>
      <c r="Q1882">
        <v>2.7845930000000001E-2</v>
      </c>
      <c r="R1882">
        <v>-5.1150149999999998E-2</v>
      </c>
      <c r="S1882">
        <v>-3.001312</v>
      </c>
      <c r="T1882">
        <v>-0.1223296</v>
      </c>
      <c r="U1882">
        <v>-0.14132690000000001</v>
      </c>
      <c r="V1882">
        <v>-2.6151480000000001E-2</v>
      </c>
      <c r="W1882">
        <v>4.255946E-2</v>
      </c>
      <c r="X1882">
        <v>0.99875159999999996</v>
      </c>
      <c r="Y1882">
        <v>-2.1908440000000001E-2</v>
      </c>
      <c r="Z1882">
        <v>5.775426E-4</v>
      </c>
      <c r="AA1882">
        <v>0.99975979999999998</v>
      </c>
      <c r="AB1882">
        <v>47</v>
      </c>
      <c r="AC1882">
        <v>-26.863199999999999</v>
      </c>
      <c r="AD1882">
        <v>-1.105822057153</v>
      </c>
      <c r="AE1882">
        <v>-1.2707000000000299</v>
      </c>
      <c r="AF1882">
        <v>-0.59386065467608695</v>
      </c>
      <c r="AG1882">
        <v>-1.105822057153</v>
      </c>
      <c r="AH1882">
        <v>26.841274673313801</v>
      </c>
      <c r="AI1882">
        <v>92.358593310186194</v>
      </c>
      <c r="AJ1882">
        <v>91.267456899302999</v>
      </c>
      <c r="AK1882">
        <v>26.870607343108802</v>
      </c>
    </row>
    <row r="1883" spans="1:37" x14ac:dyDescent="0.2">
      <c r="A1883" t="str">
        <f>"20200111153435121"</f>
        <v>20200111153435121</v>
      </c>
      <c r="B1883" t="str">
        <f>"1578728075117887"</f>
        <v>1578728075117887</v>
      </c>
      <c r="C1883" t="s">
        <v>37</v>
      </c>
      <c r="D1883">
        <v>4.7682969999999996</v>
      </c>
      <c r="E1883">
        <v>0.50198350000000003</v>
      </c>
      <c r="F1883" t="s">
        <v>56</v>
      </c>
      <c r="G1883">
        <v>-420.42989999999998</v>
      </c>
      <c r="H1883" s="1">
        <v>3.8833179999999998E-6</v>
      </c>
      <c r="I1883">
        <v>284.6739</v>
      </c>
      <c r="J1883">
        <v>-393.55250000000001</v>
      </c>
      <c r="K1883">
        <v>1.1057459999999999</v>
      </c>
      <c r="L1883">
        <v>285.9178</v>
      </c>
      <c r="M1883">
        <v>-0.99956540000000005</v>
      </c>
      <c r="N1883">
        <v>0</v>
      </c>
      <c r="O1883">
        <v>-2.5498130000000001E-2</v>
      </c>
      <c r="P1883">
        <v>-0.99832279999999995</v>
      </c>
      <c r="Q1883">
        <v>2.7596800000000001E-2</v>
      </c>
      <c r="R1883">
        <v>-5.0894689999999999E-2</v>
      </c>
      <c r="S1883">
        <v>-3.001465</v>
      </c>
      <c r="T1883">
        <v>-0.1220719</v>
      </c>
      <c r="U1883">
        <v>-0.13821410000000001</v>
      </c>
      <c r="V1883">
        <v>-2.5530250000000001E-2</v>
      </c>
      <c r="W1883">
        <v>4.2315070000000003E-2</v>
      </c>
      <c r="X1883">
        <v>0.99877800000000005</v>
      </c>
      <c r="Y1883">
        <v>-2.0515370000000002E-2</v>
      </c>
      <c r="Z1883">
        <v>6.1913440000000005E-4</v>
      </c>
      <c r="AA1883">
        <v>0.99978940000000005</v>
      </c>
      <c r="AB1883">
        <v>47</v>
      </c>
      <c r="AC1883">
        <v>-26.877399999999898</v>
      </c>
      <c r="AD1883">
        <v>-1.1057421166819901</v>
      </c>
      <c r="AE1883">
        <v>-1.24389999999999</v>
      </c>
      <c r="AF1883">
        <v>-0.55715605576142102</v>
      </c>
      <c r="AG1883">
        <v>-1.1057421166819901</v>
      </c>
      <c r="AH1883">
        <v>26.855024572735399</v>
      </c>
      <c r="AI1883">
        <v>92.357286361764096</v>
      </c>
      <c r="AJ1883">
        <v>91.188534065920393</v>
      </c>
      <c r="AK1883">
        <v>26.883553211978899</v>
      </c>
    </row>
    <row r="1884" spans="1:37" x14ac:dyDescent="0.2">
      <c r="A1884" t="str">
        <f>"20200111153435137"</f>
        <v>20200111153435137</v>
      </c>
      <c r="B1884" t="str">
        <f>"1578728075127645"</f>
        <v>1578728075127645</v>
      </c>
      <c r="C1884" t="s">
        <v>37</v>
      </c>
      <c r="D1884">
        <v>4.735932</v>
      </c>
      <c r="E1884">
        <v>0.50210109999999997</v>
      </c>
      <c r="F1884" t="s">
        <v>56</v>
      </c>
      <c r="G1884">
        <v>-420.94839999999999</v>
      </c>
      <c r="H1884" s="1">
        <v>3.7907080000000002E-6</v>
      </c>
      <c r="I1884">
        <v>284.68110000000001</v>
      </c>
      <c r="J1884">
        <v>-393.89760000000001</v>
      </c>
      <c r="K1884">
        <v>1.1056469999999901</v>
      </c>
      <c r="L1884">
        <v>285.90879999999999</v>
      </c>
      <c r="M1884">
        <v>-0.99955659999999902</v>
      </c>
      <c r="N1884">
        <v>0</v>
      </c>
      <c r="O1884">
        <v>-2.5843990000000001E-2</v>
      </c>
      <c r="P1884">
        <v>-0.9984364</v>
      </c>
      <c r="Q1884">
        <v>2.6290060000000001E-2</v>
      </c>
      <c r="R1884">
        <v>-4.933498E-2</v>
      </c>
      <c r="S1884">
        <v>-3.001465</v>
      </c>
      <c r="T1884">
        <v>-0.1211436</v>
      </c>
      <c r="U1884">
        <v>-0.13549800000000001</v>
      </c>
      <c r="V1884">
        <v>-2.3609789999999999E-2</v>
      </c>
      <c r="W1884">
        <v>4.1016810000000001E-2</v>
      </c>
      <c r="X1884">
        <v>0.99887950000000003</v>
      </c>
      <c r="Y1884">
        <v>-1.9267799999999901E-2</v>
      </c>
      <c r="Z1884">
        <v>6.5353999999999998E-4</v>
      </c>
      <c r="AA1884">
        <v>0.99981419999999999</v>
      </c>
      <c r="AB1884">
        <v>47</v>
      </c>
      <c r="AC1884">
        <v>-27.050799999999899</v>
      </c>
      <c r="AD1884">
        <v>-1.1056432092919899</v>
      </c>
      <c r="AE1884">
        <v>-1.22769999999997</v>
      </c>
      <c r="AF1884">
        <v>-0.52723380239766704</v>
      </c>
      <c r="AG1884">
        <v>-1.1056432092919899</v>
      </c>
      <c r="AH1884">
        <v>27.0284342702336</v>
      </c>
      <c r="AI1884">
        <v>92.342028420019403</v>
      </c>
      <c r="AJ1884">
        <v>91.117506133061397</v>
      </c>
      <c r="AK1884">
        <v>27.056176401867699</v>
      </c>
    </row>
    <row r="1885" spans="1:37" x14ac:dyDescent="0.2">
      <c r="A1885" t="str">
        <f>"20200111153435151"</f>
        <v>20200111153435151</v>
      </c>
      <c r="B1885" t="str">
        <f>"1578728075138381"</f>
        <v>1578728075138381</v>
      </c>
      <c r="C1885" t="s">
        <v>37</v>
      </c>
      <c r="D1885">
        <v>4.7343010000000003</v>
      </c>
      <c r="E1885">
        <v>0.50223180000000001</v>
      </c>
      <c r="F1885" t="s">
        <v>56</v>
      </c>
      <c r="G1885">
        <v>-420.62110000000001</v>
      </c>
      <c r="H1885" s="1">
        <v>3.8425650000000004E-6</v>
      </c>
      <c r="I1885">
        <v>284.75209999999998</v>
      </c>
      <c r="J1885">
        <v>-394.16989999999998</v>
      </c>
      <c r="K1885">
        <v>1.105575</v>
      </c>
      <c r="L1885">
        <v>285.90159999999997</v>
      </c>
      <c r="M1885">
        <v>-0.99955059999999996</v>
      </c>
      <c r="N1885">
        <v>0</v>
      </c>
      <c r="O1885">
        <v>-2.607874E-2</v>
      </c>
      <c r="P1885">
        <v>-0.9984944</v>
      </c>
      <c r="Q1885">
        <v>2.5726659999999998E-2</v>
      </c>
      <c r="R1885">
        <v>-4.8452380000000003E-2</v>
      </c>
      <c r="S1885">
        <v>-3.0015869999999998</v>
      </c>
      <c r="T1885">
        <v>-0.124185899999999</v>
      </c>
      <c r="U1885">
        <v>-0.12991330000000001</v>
      </c>
      <c r="V1885">
        <v>-2.2483360000000001E-2</v>
      </c>
      <c r="W1885">
        <v>4.0457949999999999E-2</v>
      </c>
      <c r="X1885">
        <v>0.99892819999999904</v>
      </c>
      <c r="Y1885">
        <v>-1.7176759999999999E-2</v>
      </c>
      <c r="Z1885">
        <v>7.2286289999999999E-4</v>
      </c>
      <c r="AA1885">
        <v>0.99985219999999897</v>
      </c>
      <c r="AB1885">
        <v>47</v>
      </c>
      <c r="AC1885">
        <v>-26.4512</v>
      </c>
      <c r="AD1885">
        <v>-1.105571157435</v>
      </c>
      <c r="AE1885">
        <v>-1.14949999999998</v>
      </c>
      <c r="AF1885">
        <v>-0.45842028734703999</v>
      </c>
      <c r="AG1885">
        <v>-1.105571157435</v>
      </c>
      <c r="AH1885">
        <v>26.426104259089101</v>
      </c>
      <c r="AI1885">
        <v>92.395288018682606</v>
      </c>
      <c r="AJ1885">
        <v>90.993824638476696</v>
      </c>
      <c r="AK1885">
        <v>26.4531930597471</v>
      </c>
    </row>
    <row r="1886" spans="1:37" x14ac:dyDescent="0.2">
      <c r="A1886" t="str">
        <f>"20200111153435163"</f>
        <v>20200111153435163</v>
      </c>
      <c r="B1886" t="str">
        <f>"1578728075157901"</f>
        <v>1578728075157901</v>
      </c>
      <c r="C1886" t="s">
        <v>37</v>
      </c>
      <c r="D1886">
        <v>4.7602289999999998</v>
      </c>
      <c r="E1886">
        <v>0.50252819999999998</v>
      </c>
      <c r="F1886" t="s">
        <v>56</v>
      </c>
      <c r="G1886">
        <v>-420.75229999999999</v>
      </c>
      <c r="H1886" s="1">
        <v>3.8166579999999902E-6</v>
      </c>
      <c r="I1886">
        <v>284.78210000000001</v>
      </c>
      <c r="J1886">
        <v>-394.44560000000001</v>
      </c>
      <c r="K1886">
        <v>1.105504</v>
      </c>
      <c r="L1886">
        <v>285.89420000000001</v>
      </c>
      <c r="M1886">
        <v>-0.99954480000000001</v>
      </c>
      <c r="N1886">
        <v>0</v>
      </c>
      <c r="O1886">
        <v>-2.629753E-2</v>
      </c>
      <c r="P1886">
        <v>-0.99854669999999901</v>
      </c>
      <c r="Q1886">
        <v>2.505257E-2</v>
      </c>
      <c r="R1886">
        <v>-4.7720869999999999E-2</v>
      </c>
      <c r="S1886">
        <v>-3.001617</v>
      </c>
      <c r="T1886">
        <v>-0.1248384</v>
      </c>
      <c r="U1886">
        <v>-0.12640380000000001</v>
      </c>
      <c r="V1886">
        <v>-2.1524129999999999E-2</v>
      </c>
      <c r="W1886">
        <v>3.978806E-2</v>
      </c>
      <c r="X1886">
        <v>0.99897630000000004</v>
      </c>
      <c r="Y1886">
        <v>-1.5792E-2</v>
      </c>
      <c r="Z1886">
        <v>7.6453109999999997E-4</v>
      </c>
      <c r="AA1886">
        <v>0.99987499999999996</v>
      </c>
      <c r="AB1886">
        <v>47</v>
      </c>
      <c r="AC1886">
        <v>-26.3066999999999</v>
      </c>
      <c r="AD1886">
        <v>-1.105500183342</v>
      </c>
      <c r="AE1886">
        <v>-1.1120999999999901</v>
      </c>
      <c r="AF1886">
        <v>-0.41909963760676799</v>
      </c>
      <c r="AG1886">
        <v>-1.105500183342</v>
      </c>
      <c r="AH1886">
        <v>26.280520800321899</v>
      </c>
      <c r="AI1886">
        <v>92.408442976824603</v>
      </c>
      <c r="AJ1886">
        <v>90.9136274488922</v>
      </c>
      <c r="AK1886">
        <v>26.307100727707802</v>
      </c>
    </row>
    <row r="1887" spans="1:37" x14ac:dyDescent="0.2">
      <c r="A1887" t="str">
        <f>"20200111153435176"</f>
        <v>20200111153435176</v>
      </c>
      <c r="B1887" t="str">
        <f>"1578728075167662"</f>
        <v>1578728075167662</v>
      </c>
      <c r="C1887" t="s">
        <v>37</v>
      </c>
      <c r="D1887">
        <v>4.7274279999999997</v>
      </c>
      <c r="E1887">
        <v>0.50267269999999997</v>
      </c>
      <c r="F1887" t="s">
        <v>56</v>
      </c>
      <c r="G1887">
        <v>-421.01580000000001</v>
      </c>
      <c r="H1887" s="1">
        <v>3.767026E-6</v>
      </c>
      <c r="I1887">
        <v>284.81529999999998</v>
      </c>
      <c r="J1887">
        <v>-394.71850000000001</v>
      </c>
      <c r="K1887">
        <v>1.1054329999999899</v>
      </c>
      <c r="L1887">
        <v>285.88690000000003</v>
      </c>
      <c r="M1887">
        <v>-0.99953979999999998</v>
      </c>
      <c r="N1887">
        <v>0</v>
      </c>
      <c r="O1887">
        <v>-2.6487989999999999E-2</v>
      </c>
      <c r="P1887">
        <v>-0.99861129999999998</v>
      </c>
      <c r="Q1887">
        <v>2.434453E-2</v>
      </c>
      <c r="R1887">
        <v>-4.6722640000000003E-2</v>
      </c>
      <c r="S1887">
        <v>-3.0016479999999999</v>
      </c>
      <c r="T1887">
        <v>-0.124889</v>
      </c>
      <c r="U1887">
        <v>-0.1218872</v>
      </c>
      <c r="V1887">
        <v>-2.032666E-2</v>
      </c>
      <c r="W1887">
        <v>3.9083840000000002E-2</v>
      </c>
      <c r="X1887">
        <v>0.99902919999999995</v>
      </c>
      <c r="Y1887">
        <v>-1.4100700000000001E-2</v>
      </c>
      <c r="Z1887">
        <v>8.0793209999999996E-4</v>
      </c>
      <c r="AA1887">
        <v>0.99990029999999996</v>
      </c>
      <c r="AB1887">
        <v>47</v>
      </c>
      <c r="AC1887">
        <v>-26.2973</v>
      </c>
      <c r="AD1887">
        <v>-1.1054292329740001</v>
      </c>
      <c r="AE1887">
        <v>-1.0716000000000401</v>
      </c>
      <c r="AF1887">
        <v>-0.37392553421549202</v>
      </c>
      <c r="AG1887">
        <v>-1.1054292329740001</v>
      </c>
      <c r="AH1887">
        <v>26.2701160594806</v>
      </c>
      <c r="AI1887">
        <v>92.409303510144298</v>
      </c>
      <c r="AJ1887">
        <v>90.815485862690693</v>
      </c>
      <c r="AK1887">
        <v>26.296022358387798</v>
      </c>
    </row>
    <row r="1888" spans="1:37" x14ac:dyDescent="0.2">
      <c r="A1888" t="str">
        <f>"20200111153435189"</f>
        <v>20200111153435189</v>
      </c>
      <c r="B1888" t="str">
        <f>"1578728075178397"</f>
        <v>1578728075178397</v>
      </c>
      <c r="C1888" t="s">
        <v>37</v>
      </c>
      <c r="D1888">
        <v>4.7027939999999999</v>
      </c>
      <c r="E1888">
        <v>0.50276909999999997</v>
      </c>
      <c r="F1888" t="s">
        <v>56</v>
      </c>
      <c r="G1888">
        <v>-421.02609999999999</v>
      </c>
      <c r="H1888" s="1">
        <v>3.76169199999999E-6</v>
      </c>
      <c r="I1888">
        <v>284.8553</v>
      </c>
      <c r="J1888">
        <v>-394.9864</v>
      </c>
      <c r="K1888">
        <v>1.1053649999999999</v>
      </c>
      <c r="L1888">
        <v>285.87959999999998</v>
      </c>
      <c r="M1888">
        <v>-0.99953559999999997</v>
      </c>
      <c r="N1888">
        <v>0</v>
      </c>
      <c r="O1888">
        <v>-2.664673E-2</v>
      </c>
      <c r="P1888">
        <v>-0.9986699</v>
      </c>
      <c r="Q1888">
        <v>2.3502740000000001E-2</v>
      </c>
      <c r="R1888">
        <v>-4.5895360000000003E-2</v>
      </c>
      <c r="S1888">
        <v>-3.0017399999999999</v>
      </c>
      <c r="T1888">
        <v>-0.1261312</v>
      </c>
      <c r="U1888">
        <v>-0.1177063</v>
      </c>
      <c r="V1888">
        <v>-1.9332140000000001E-2</v>
      </c>
      <c r="W1888">
        <v>3.8244760000000003E-2</v>
      </c>
      <c r="X1888">
        <v>0.99908140000000001</v>
      </c>
      <c r="Y1888">
        <v>-1.2551909999999999E-2</v>
      </c>
      <c r="Z1888">
        <v>8.5513780000000001E-4</v>
      </c>
      <c r="AA1888">
        <v>0.99992080000000005</v>
      </c>
      <c r="AB1888">
        <v>47</v>
      </c>
      <c r="AC1888">
        <v>-26.0396999999999</v>
      </c>
      <c r="AD1888">
        <v>-1.105361238308</v>
      </c>
      <c r="AE1888">
        <v>-1.02429999999998</v>
      </c>
      <c r="AF1888">
        <v>-0.32939489133910699</v>
      </c>
      <c r="AG1888">
        <v>-1.105361238308</v>
      </c>
      <c r="AH1888">
        <v>26.010951492834199</v>
      </c>
      <c r="AI1888">
        <v>92.433182125508395</v>
      </c>
      <c r="AJ1888">
        <v>90.725537790851106</v>
      </c>
      <c r="AK1888">
        <v>26.036511325908599</v>
      </c>
    </row>
    <row r="1889" spans="1:37" x14ac:dyDescent="0.2">
      <c r="A1889" t="str">
        <f>"20200111153435202"</f>
        <v>20200111153435202</v>
      </c>
      <c r="B1889" t="str">
        <f>"1578728075197918"</f>
        <v>1578728075197918</v>
      </c>
      <c r="C1889" t="s">
        <v>37</v>
      </c>
      <c r="D1889">
        <v>4.7457180000000001</v>
      </c>
      <c r="E1889">
        <v>0.50300059999999902</v>
      </c>
      <c r="F1889" t="s">
        <v>56</v>
      </c>
      <c r="G1889">
        <v>-420.90940000000001</v>
      </c>
      <c r="H1889" s="1">
        <v>3.7793579999999999E-6</v>
      </c>
      <c r="I1889">
        <v>284.89</v>
      </c>
      <c r="J1889">
        <v>-395.26620000000003</v>
      </c>
      <c r="K1889">
        <v>1.1052999999999999</v>
      </c>
      <c r="L1889">
        <v>285.87209999999999</v>
      </c>
      <c r="M1889">
        <v>-0.99953169999999902</v>
      </c>
      <c r="N1889">
        <v>0</v>
      </c>
      <c r="O1889">
        <v>-2.679722E-2</v>
      </c>
      <c r="P1889">
        <v>-0.99871330000000003</v>
      </c>
      <c r="Q1889">
        <v>2.2890250000000001E-2</v>
      </c>
      <c r="R1889">
        <v>-4.5255740000000003E-2</v>
      </c>
      <c r="S1889">
        <v>-3.0017399999999999</v>
      </c>
      <c r="T1889">
        <v>-0.12799469999999999</v>
      </c>
      <c r="U1889">
        <v>-0.1145935</v>
      </c>
      <c r="V1889">
        <v>-1.8534109999999999E-2</v>
      </c>
      <c r="W1889">
        <v>3.7634840000000003E-2</v>
      </c>
      <c r="X1889">
        <v>0.9991196</v>
      </c>
      <c r="Y1889">
        <v>-1.136757E-2</v>
      </c>
      <c r="Z1889">
        <v>8.9942069999999997E-4</v>
      </c>
      <c r="AA1889">
        <v>0.99993500000000002</v>
      </c>
      <c r="AB1889">
        <v>47</v>
      </c>
      <c r="AC1889">
        <v>-25.643199999999901</v>
      </c>
      <c r="AD1889">
        <v>-1.1052962206420001</v>
      </c>
      <c r="AE1889">
        <v>-0.98210000000000197</v>
      </c>
      <c r="AF1889">
        <v>-0.293960418863355</v>
      </c>
      <c r="AG1889">
        <v>-1.1052962206420001</v>
      </c>
      <c r="AH1889">
        <v>25.612794397106899</v>
      </c>
      <c r="AI1889">
        <v>92.470850185302098</v>
      </c>
      <c r="AJ1889">
        <v>90.657560109026207</v>
      </c>
      <c r="AK1889">
        <v>25.6383175986978</v>
      </c>
    </row>
    <row r="1890" spans="1:37" x14ac:dyDescent="0.2">
      <c r="A1890" t="str">
        <f>"20200111153435215"</f>
        <v>20200111153435215</v>
      </c>
      <c r="B1890" t="str">
        <f>"1578728075207678"</f>
        <v>1578728075207678</v>
      </c>
      <c r="C1890" t="s">
        <v>37</v>
      </c>
      <c r="D1890">
        <v>4.7206549999999998</v>
      </c>
      <c r="E1890">
        <v>0.50307879999999905</v>
      </c>
      <c r="F1890" t="s">
        <v>56</v>
      </c>
      <c r="G1890">
        <v>-421.16800000000001</v>
      </c>
      <c r="H1890" s="1">
        <v>3.73117799999999E-6</v>
      </c>
      <c r="I1890">
        <v>284.91640000000001</v>
      </c>
      <c r="J1890">
        <v>-395.55650000000003</v>
      </c>
      <c r="K1890">
        <v>1.105227</v>
      </c>
      <c r="L1890">
        <v>285.86410000000001</v>
      </c>
      <c r="M1890">
        <v>-0.99952819999999998</v>
      </c>
      <c r="N1890">
        <v>0</v>
      </c>
      <c r="O1890">
        <v>-2.692889E-2</v>
      </c>
      <c r="P1890">
        <v>-0.99878230000000001</v>
      </c>
      <c r="Q1890">
        <v>2.1778479999999999E-2</v>
      </c>
      <c r="R1890">
        <v>-4.4270400000000001E-2</v>
      </c>
      <c r="S1890">
        <v>-3.0018009999999999</v>
      </c>
      <c r="T1890">
        <v>-0.1280944</v>
      </c>
      <c r="U1890">
        <v>-0.11074829999999999</v>
      </c>
      <c r="V1890">
        <v>-1.7409040000000001E-2</v>
      </c>
      <c r="W1890">
        <v>3.6526009999999998E-2</v>
      </c>
      <c r="X1890">
        <v>0.99918099999999999</v>
      </c>
      <c r="Y1890">
        <v>-9.9573960000000003E-3</v>
      </c>
      <c r="Z1890">
        <v>9.3580439999999996E-4</v>
      </c>
      <c r="AA1890">
        <v>0.99995000000000001</v>
      </c>
      <c r="AB1890">
        <v>47</v>
      </c>
      <c r="AC1890">
        <v>-25.6114999999999</v>
      </c>
      <c r="AD1890">
        <v>-1.1052232688220001</v>
      </c>
      <c r="AE1890">
        <v>-0.94769999999999699</v>
      </c>
      <c r="AF1890">
        <v>-0.25711356900847498</v>
      </c>
      <c r="AG1890">
        <v>-1.1052232688220001</v>
      </c>
      <c r="AH1890">
        <v>25.580162650149699</v>
      </c>
      <c r="AI1890">
        <v>92.473873081445603</v>
      </c>
      <c r="AJ1890">
        <v>90.575876959449303</v>
      </c>
      <c r="AK1890">
        <v>25.605318726183199</v>
      </c>
    </row>
    <row r="1891" spans="1:37" x14ac:dyDescent="0.2">
      <c r="A1891" t="str">
        <f>"20200111153435230"</f>
        <v>20200111153435230</v>
      </c>
      <c r="B1891" t="str">
        <f>"1578728075218414"</f>
        <v>1578728075218414</v>
      </c>
      <c r="C1891" t="s">
        <v>37</v>
      </c>
      <c r="D1891">
        <v>4.6738419999999996</v>
      </c>
      <c r="E1891">
        <v>0.50307879999999905</v>
      </c>
      <c r="F1891" t="s">
        <v>56</v>
      </c>
      <c r="G1891">
        <v>-420.9742</v>
      </c>
      <c r="H1891" s="1">
        <v>3.7619849999999999E-6</v>
      </c>
      <c r="I1891">
        <v>284.95740000000001</v>
      </c>
      <c r="J1891">
        <v>-395.83620000000002</v>
      </c>
      <c r="K1891">
        <v>1.1051610000000001</v>
      </c>
      <c r="L1891">
        <v>285.85660000000001</v>
      </c>
      <c r="M1891">
        <v>-0.99952529999999995</v>
      </c>
      <c r="N1891">
        <v>0</v>
      </c>
      <c r="O1891">
        <v>-2.7033149999999999E-2</v>
      </c>
      <c r="P1891">
        <v>-0.99879409999999902</v>
      </c>
      <c r="Q1891">
        <v>2.1730010000000001E-2</v>
      </c>
      <c r="R1891">
        <v>-4.4029789999999999E-2</v>
      </c>
      <c r="S1891">
        <v>-3.0017399999999999</v>
      </c>
      <c r="T1891">
        <v>-0.1305231</v>
      </c>
      <c r="U1891">
        <v>-0.10708620000000001</v>
      </c>
      <c r="V1891">
        <v>-1.705841E-2</v>
      </c>
      <c r="W1891">
        <v>3.6478360000000001E-2</v>
      </c>
      <c r="X1891">
        <v>0.99918879999999999</v>
      </c>
      <c r="Y1891">
        <v>-8.6374390000000002E-3</v>
      </c>
      <c r="Z1891">
        <v>9.8677979999999997E-4</v>
      </c>
      <c r="AA1891">
        <v>0.99996219999999902</v>
      </c>
      <c r="AB1891">
        <v>47</v>
      </c>
      <c r="AC1891">
        <v>-25.137999999999899</v>
      </c>
      <c r="AD1891">
        <v>-1.1051572380150001</v>
      </c>
      <c r="AE1891">
        <v>-0.89920000000000699</v>
      </c>
      <c r="AF1891">
        <v>-0.21881537961875799</v>
      </c>
      <c r="AG1891">
        <v>-1.1051572380150001</v>
      </c>
      <c r="AH1891">
        <v>25.1046616033886</v>
      </c>
      <c r="AI1891">
        <v>92.520551343782898</v>
      </c>
      <c r="AJ1891">
        <v>90.499384555349906</v>
      </c>
      <c r="AK1891">
        <v>25.1299281119494</v>
      </c>
    </row>
    <row r="1892" spans="1:37" x14ac:dyDescent="0.2">
      <c r="A1892" t="str">
        <f>"20200111153435244"</f>
        <v>20200111153435244</v>
      </c>
      <c r="B1892" t="str">
        <f>"1578728075237934"</f>
        <v>1578728075237934</v>
      </c>
      <c r="C1892" t="s">
        <v>37</v>
      </c>
      <c r="D1892">
        <v>4.6978799999999996</v>
      </c>
      <c r="E1892">
        <v>0.50704799999999906</v>
      </c>
      <c r="F1892" t="s">
        <v>56</v>
      </c>
      <c r="G1892">
        <v>-421.22559999999999</v>
      </c>
      <c r="H1892" s="1">
        <v>3.71748499999999E-6</v>
      </c>
      <c r="I1892">
        <v>284.95620000000002</v>
      </c>
      <c r="J1892">
        <v>-396.15010000000001</v>
      </c>
      <c r="K1892">
        <v>1.105094</v>
      </c>
      <c r="L1892">
        <v>285.84789999999998</v>
      </c>
      <c r="M1892">
        <v>-0.99952269999999899</v>
      </c>
      <c r="N1892">
        <v>0</v>
      </c>
      <c r="O1892">
        <v>-2.713399E-2</v>
      </c>
      <c r="P1892">
        <v>-0.99879810000000002</v>
      </c>
      <c r="Q1892">
        <v>2.1669109999999998E-2</v>
      </c>
      <c r="R1892">
        <v>-4.3966480000000002E-2</v>
      </c>
      <c r="S1892">
        <v>-3.0017399999999999</v>
      </c>
      <c r="T1892">
        <v>-0.13066040000000001</v>
      </c>
      <c r="U1892">
        <v>-0.10644529999999899</v>
      </c>
      <c r="V1892">
        <v>-1.6888830000000001E-2</v>
      </c>
      <c r="W1892">
        <v>3.6417829999999998E-2</v>
      </c>
      <c r="X1892">
        <v>0.99919389999999997</v>
      </c>
      <c r="Y1892">
        <v>-8.3237629999999996E-3</v>
      </c>
      <c r="Z1892">
        <v>9.9902689999999995E-4</v>
      </c>
      <c r="AA1892">
        <v>0.99996479999999999</v>
      </c>
      <c r="AB1892">
        <v>47</v>
      </c>
      <c r="AC1892">
        <v>-25.075499999999899</v>
      </c>
      <c r="AD1892">
        <v>-1.105090282515</v>
      </c>
      <c r="AE1892">
        <v>-0.89169999999995697</v>
      </c>
      <c r="AF1892">
        <v>-0.210490726120838</v>
      </c>
      <c r="AG1892">
        <v>-1.105090282515</v>
      </c>
      <c r="AH1892">
        <v>25.041888148307599</v>
      </c>
      <c r="AI1892">
        <v>92.526715344919893</v>
      </c>
      <c r="AJ1892">
        <v>90.481590930473303</v>
      </c>
      <c r="AK1892">
        <v>25.0671436927034</v>
      </c>
    </row>
    <row r="1893" spans="1:37" x14ac:dyDescent="0.2">
      <c r="A1893" t="str">
        <f>"20200111153435261"</f>
        <v>20200111153435261</v>
      </c>
      <c r="B1893" t="str">
        <f>"1578728075258429"</f>
        <v>1578728075258429</v>
      </c>
      <c r="C1893" t="s">
        <v>37</v>
      </c>
      <c r="D1893">
        <v>4.6697989999999896</v>
      </c>
      <c r="E1893">
        <v>0.50708969999999998</v>
      </c>
      <c r="F1893" t="s">
        <v>56</v>
      </c>
      <c r="G1893">
        <v>-439.52980000000002</v>
      </c>
      <c r="H1893" s="1">
        <v>6.430013E-6</v>
      </c>
      <c r="I1893">
        <v>284.76569999999998</v>
      </c>
      <c r="J1893">
        <v>-396.49930000000001</v>
      </c>
      <c r="K1893">
        <v>1.105024</v>
      </c>
      <c r="L1893">
        <v>285.83839999999998</v>
      </c>
      <c r="M1893">
        <v>-0.99952039999999998</v>
      </c>
      <c r="N1893">
        <v>0</v>
      </c>
      <c r="O1893">
        <v>-2.7222860000000002E-2</v>
      </c>
      <c r="P1893">
        <v>-0.99880809999999998</v>
      </c>
      <c r="Q1893">
        <v>2.1503189999999998E-2</v>
      </c>
      <c r="R1893">
        <v>-4.382428E-2</v>
      </c>
      <c r="S1893">
        <v>-3.002014</v>
      </c>
      <c r="T1893">
        <v>-7.6475619999999994E-2</v>
      </c>
      <c r="U1893">
        <v>-7.4890139999999994E-2</v>
      </c>
      <c r="V1893">
        <v>-1.665165E-2</v>
      </c>
      <c r="W1893">
        <v>3.6252010000000001E-2</v>
      </c>
      <c r="X1893">
        <v>0.99920390000000003</v>
      </c>
      <c r="Y1893">
        <v>2.2781720000000002E-3</v>
      </c>
      <c r="Z1893">
        <v>7.2223699999999895E-4</v>
      </c>
      <c r="AA1893">
        <v>0.99999709999999997</v>
      </c>
      <c r="AB1893">
        <v>47</v>
      </c>
      <c r="AC1893">
        <v>-43.030500000000004</v>
      </c>
      <c r="AD1893">
        <v>-1.105017569987</v>
      </c>
      <c r="AE1893">
        <v>-1.07269999999999</v>
      </c>
      <c r="AF1893">
        <v>9.9173196373528005E-2</v>
      </c>
      <c r="AG1893">
        <v>-1.105017569987</v>
      </c>
      <c r="AH1893">
        <v>43.015404969027401</v>
      </c>
      <c r="AI1893">
        <v>91.471536844586396</v>
      </c>
      <c r="AJ1893">
        <v>89.867903242354402</v>
      </c>
      <c r="AK1893">
        <v>43.029710245390703</v>
      </c>
    </row>
    <row r="1894" spans="1:37" x14ac:dyDescent="0.2">
      <c r="A1894" t="str">
        <f>"20200111153435274"</f>
        <v>20200111153435274</v>
      </c>
      <c r="B1894" t="str">
        <f>"1578728075268190"</f>
        <v>1578728075268190</v>
      </c>
      <c r="C1894" t="s">
        <v>37</v>
      </c>
      <c r="D1894">
        <v>4.6343110000000003</v>
      </c>
      <c r="E1894">
        <v>0.50698199999999904</v>
      </c>
      <c r="F1894" t="s">
        <v>56</v>
      </c>
      <c r="G1894">
        <v>-437.71660000000003</v>
      </c>
      <c r="H1894" s="1">
        <v>5.6209760000000002E-6</v>
      </c>
      <c r="I1894">
        <v>284.82229999999998</v>
      </c>
      <c r="J1894">
        <v>-396.7824</v>
      </c>
      <c r="K1894">
        <v>1.104975</v>
      </c>
      <c r="L1894">
        <v>285.8306</v>
      </c>
      <c r="M1894">
        <v>-0.99951889999999999</v>
      </c>
      <c r="N1894">
        <v>0</v>
      </c>
      <c r="O1894">
        <v>-2.7277010000000001E-2</v>
      </c>
      <c r="P1894">
        <v>-0.99878639999999996</v>
      </c>
      <c r="Q1894">
        <v>2.2039779999999998E-2</v>
      </c>
      <c r="R1894">
        <v>-4.4046929999999998E-2</v>
      </c>
      <c r="S1894">
        <v>-3.0020449999999999</v>
      </c>
      <c r="T1894">
        <v>-8.0483559999999996E-2</v>
      </c>
      <c r="U1894">
        <v>-7.4005130000000002E-2</v>
      </c>
      <c r="V1894">
        <v>-1.681713E-2</v>
      </c>
      <c r="W1894">
        <v>3.6788090000000002E-2</v>
      </c>
      <c r="X1894">
        <v>0.999181599999999</v>
      </c>
      <c r="Y1894">
        <v>2.62605E-3</v>
      </c>
      <c r="Z1894">
        <v>7.6618319999999999E-4</v>
      </c>
      <c r="AA1894">
        <v>0.9999962</v>
      </c>
      <c r="AB1894">
        <v>47</v>
      </c>
      <c r="AC1894">
        <v>-40.934199999999997</v>
      </c>
      <c r="AD1894">
        <v>-1.1049693790240001</v>
      </c>
      <c r="AE1894">
        <v>-1.00830000000001</v>
      </c>
      <c r="AF1894">
        <v>0.108680384112255</v>
      </c>
      <c r="AG1894">
        <v>-1.1049693790240001</v>
      </c>
      <c r="AH1894">
        <v>40.916675540020599</v>
      </c>
      <c r="AI1894">
        <v>91.546911477686393</v>
      </c>
      <c r="AJ1894">
        <v>89.847814794345794</v>
      </c>
      <c r="AK1894">
        <v>40.931737148596497</v>
      </c>
    </row>
    <row r="1895" spans="1:37" x14ac:dyDescent="0.2">
      <c r="A1895" t="str">
        <f>"20200111153435287"</f>
        <v>20200111153435287</v>
      </c>
      <c r="B1895" t="str">
        <f>"1578728075277949"</f>
        <v>1578728075277949</v>
      </c>
      <c r="C1895" t="s">
        <v>37</v>
      </c>
      <c r="D1895">
        <v>4.7160630000000001</v>
      </c>
      <c r="E1895">
        <v>0.50701490000000005</v>
      </c>
      <c r="F1895" t="s">
        <v>56</v>
      </c>
      <c r="G1895">
        <v>-438.15809999999999</v>
      </c>
      <c r="H1895" s="1">
        <v>5.8196409999999998E-6</v>
      </c>
      <c r="I1895">
        <v>284.78960000000001</v>
      </c>
      <c r="J1895">
        <v>-397.06740000000002</v>
      </c>
      <c r="K1895">
        <v>1.1049340000000001</v>
      </c>
      <c r="L1895">
        <v>285.82279999999997</v>
      </c>
      <c r="M1895">
        <v>-0.99951749999999995</v>
      </c>
      <c r="N1895">
        <v>0</v>
      </c>
      <c r="O1895">
        <v>-2.732074E-2</v>
      </c>
      <c r="P1895">
        <v>-0.99877070000000001</v>
      </c>
      <c r="Q1895">
        <v>2.2126920000000001E-2</v>
      </c>
      <c r="R1895">
        <v>-4.4352419999999997E-2</v>
      </c>
      <c r="S1895">
        <v>-3.002075</v>
      </c>
      <c r="T1895">
        <v>-8.0172660000000007E-2</v>
      </c>
      <c r="U1895">
        <v>-7.5531009999999996E-2</v>
      </c>
      <c r="V1895">
        <v>-1.707531E-2</v>
      </c>
      <c r="W1895">
        <v>3.6874339999999999E-2</v>
      </c>
      <c r="X1895">
        <v>0.99917400000000001</v>
      </c>
      <c r="Y1895">
        <v>2.1623300000000001E-3</v>
      </c>
      <c r="Z1895">
        <v>7.5818789999999902E-4</v>
      </c>
      <c r="AA1895">
        <v>0.99999740000000004</v>
      </c>
      <c r="AB1895">
        <v>47</v>
      </c>
      <c r="AC1895">
        <v>-41.090699999999899</v>
      </c>
      <c r="AD1895">
        <v>-1.1049281803590001</v>
      </c>
      <c r="AE1895">
        <v>-1.0331999999999599</v>
      </c>
      <c r="AF1895">
        <v>8.9871726644792593E-2</v>
      </c>
      <c r="AG1895">
        <v>-1.1049281803590001</v>
      </c>
      <c r="AH1895">
        <v>41.0739085470777</v>
      </c>
      <c r="AI1895">
        <v>91.5409370009084</v>
      </c>
      <c r="AJ1895">
        <v>89.874634224036797</v>
      </c>
      <c r="AK1895">
        <v>41.088865968102702</v>
      </c>
    </row>
    <row r="1896" spans="1:37" x14ac:dyDescent="0.2">
      <c r="A1896" t="str">
        <f>"20200111153435301"</f>
        <v>20200111153435301</v>
      </c>
      <c r="B1896" t="str">
        <f>"1578728075298445"</f>
        <v>1578728075298445</v>
      </c>
      <c r="C1896" t="s">
        <v>37</v>
      </c>
      <c r="D1896">
        <v>4.6980139999999997</v>
      </c>
      <c r="E1896">
        <v>0.50712619999999997</v>
      </c>
      <c r="F1896" t="s">
        <v>56</v>
      </c>
      <c r="G1896">
        <v>-438.24689999999998</v>
      </c>
      <c r="H1896" s="1">
        <v>5.8600809999999997E-6</v>
      </c>
      <c r="I1896">
        <v>284.77710000000002</v>
      </c>
      <c r="J1896">
        <v>-397.3476</v>
      </c>
      <c r="K1896">
        <v>1.104895</v>
      </c>
      <c r="L1896">
        <v>285.815</v>
      </c>
      <c r="M1896">
        <v>-0.99951669999999904</v>
      </c>
      <c r="N1896">
        <v>0</v>
      </c>
      <c r="O1896">
        <v>-2.735692E-2</v>
      </c>
      <c r="P1896">
        <v>-0.99872919999999998</v>
      </c>
      <c r="Q1896">
        <v>2.28007E-2</v>
      </c>
      <c r="R1896">
        <v>-4.4951150000000002E-2</v>
      </c>
      <c r="S1896">
        <v>-3.0021360000000001</v>
      </c>
      <c r="T1896">
        <v>-8.0553410000000006E-2</v>
      </c>
      <c r="U1896">
        <v>-7.6232910000000001E-2</v>
      </c>
      <c r="V1896">
        <v>-1.7635640000000001E-2</v>
      </c>
      <c r="W1896">
        <v>3.7547169999999998E-2</v>
      </c>
      <c r="X1896">
        <v>0.99913920000000001</v>
      </c>
      <c r="Y1896">
        <v>1.9653359999999998E-3</v>
      </c>
      <c r="Z1896">
        <v>7.6009699999999897E-4</v>
      </c>
      <c r="AA1896">
        <v>0.99999780000000005</v>
      </c>
      <c r="AB1896">
        <v>47</v>
      </c>
      <c r="AC1896">
        <v>-40.899299999999897</v>
      </c>
      <c r="AD1896">
        <v>-1.104889139919</v>
      </c>
      <c r="AE1896">
        <v>-1.0378999999999701</v>
      </c>
      <c r="AF1896">
        <v>8.1429987035616297E-2</v>
      </c>
      <c r="AG1896">
        <v>-1.104889139919</v>
      </c>
      <c r="AH1896">
        <v>40.882569079080398</v>
      </c>
      <c r="AI1896">
        <v>91.548091386017106</v>
      </c>
      <c r="AJ1896">
        <v>89.885878296835102</v>
      </c>
      <c r="AK1896">
        <v>40.897577744410299</v>
      </c>
    </row>
    <row r="1897" spans="1:37" x14ac:dyDescent="0.2">
      <c r="A1897" t="str">
        <f>"20200111153435314"</f>
        <v>20200111153435314</v>
      </c>
      <c r="B1897" t="str">
        <f>"1578728075308207"</f>
        <v>1578728075308207</v>
      </c>
      <c r="C1897" t="s">
        <v>37</v>
      </c>
      <c r="D1897">
        <v>4.7388899999999996</v>
      </c>
      <c r="E1897">
        <v>0.50713339999999996</v>
      </c>
      <c r="F1897" t="s">
        <v>56</v>
      </c>
      <c r="G1897">
        <v>-438.49889999999999</v>
      </c>
      <c r="H1897" s="1">
        <v>5.9735709999999997E-6</v>
      </c>
      <c r="I1897">
        <v>284.75749999999999</v>
      </c>
      <c r="J1897">
        <v>-397.6302</v>
      </c>
      <c r="K1897">
        <v>1.1048639999999901</v>
      </c>
      <c r="L1897">
        <v>285.8073</v>
      </c>
      <c r="M1897">
        <v>-0.99951599999999996</v>
      </c>
      <c r="N1897">
        <v>0</v>
      </c>
      <c r="O1897">
        <v>-2.7383879999999999E-2</v>
      </c>
      <c r="P1897">
        <v>-0.99869719999999995</v>
      </c>
      <c r="Q1897">
        <v>2.3623410000000001E-2</v>
      </c>
      <c r="R1897">
        <v>-4.5230640000000003E-2</v>
      </c>
      <c r="S1897">
        <v>-3.0021360000000001</v>
      </c>
      <c r="T1897">
        <v>-8.0605629999999998E-2</v>
      </c>
      <c r="U1897">
        <v>-7.7148439999999999E-2</v>
      </c>
      <c r="V1897">
        <v>-1.7886160000000002E-2</v>
      </c>
      <c r="W1897">
        <v>3.836817E-2</v>
      </c>
      <c r="X1897">
        <v>0.99910359999999998</v>
      </c>
      <c r="Y1897">
        <v>1.6876250000000001E-3</v>
      </c>
      <c r="Z1897">
        <v>7.5758229999999904E-4</v>
      </c>
      <c r="AA1897">
        <v>0.99999830000000001</v>
      </c>
      <c r="AB1897">
        <v>47</v>
      </c>
      <c r="AC1897">
        <v>-40.868699999999897</v>
      </c>
      <c r="AD1897">
        <v>-1.10485802642899</v>
      </c>
      <c r="AE1897">
        <v>-1.0498000000000001</v>
      </c>
      <c r="AF1897">
        <v>6.9808304835248899E-2</v>
      </c>
      <c r="AG1897">
        <v>-1.10485802642899</v>
      </c>
      <c r="AH1897">
        <v>40.852283854584002</v>
      </c>
      <c r="AI1897">
        <v>91.549195686915596</v>
      </c>
      <c r="AJ1897">
        <v>89.902093176400697</v>
      </c>
      <c r="AK1897">
        <v>40.867281296820998</v>
      </c>
    </row>
    <row r="1898" spans="1:37" x14ac:dyDescent="0.2">
      <c r="A1898" t="str">
        <f>"20200111153435327"</f>
        <v>20200111153435327</v>
      </c>
      <c r="B1898" t="str">
        <f>"1578728075317966"</f>
        <v>1578728075317966</v>
      </c>
      <c r="C1898" t="s">
        <v>37</v>
      </c>
      <c r="D1898">
        <v>4.7136009999999997</v>
      </c>
      <c r="E1898">
        <v>0.50712239999999997</v>
      </c>
      <c r="F1898" t="s">
        <v>52</v>
      </c>
      <c r="G1898">
        <v>-440.36219999999997</v>
      </c>
      <c r="H1898" s="1">
        <v>-1.347506E-6</v>
      </c>
      <c r="I1898">
        <v>284.6961</v>
      </c>
      <c r="J1898">
        <v>-397.89789999999999</v>
      </c>
      <c r="K1898">
        <v>1.104851</v>
      </c>
      <c r="L1898">
        <v>285.79989999999998</v>
      </c>
      <c r="M1898">
        <v>-0.99951540000000005</v>
      </c>
      <c r="N1898">
        <v>0</v>
      </c>
      <c r="O1898">
        <v>-2.7404270000000001E-2</v>
      </c>
      <c r="P1898">
        <v>-0.99864779999999997</v>
      </c>
      <c r="Q1898">
        <v>2.4911300000000001E-2</v>
      </c>
      <c r="R1898">
        <v>-4.5629059999999999E-2</v>
      </c>
      <c r="S1898">
        <v>-3.0022279999999899</v>
      </c>
      <c r="T1898">
        <v>-7.7624559999999995E-2</v>
      </c>
      <c r="U1898">
        <v>-7.8063960000000002E-2</v>
      </c>
      <c r="V1898">
        <v>-1.826303E-2</v>
      </c>
      <c r="W1898">
        <v>3.965465E-2</v>
      </c>
      <c r="X1898">
        <v>0.99904649999999995</v>
      </c>
      <c r="Y1898">
        <v>1.4049100000000001E-3</v>
      </c>
      <c r="Z1898">
        <v>7.2642119999999995E-4</v>
      </c>
      <c r="AA1898">
        <v>0.99999869999999902</v>
      </c>
      <c r="AB1898">
        <v>47</v>
      </c>
      <c r="AC1898">
        <v>-42.464299999999902</v>
      </c>
      <c r="AD1898">
        <v>-1.1048523475059999</v>
      </c>
      <c r="AE1898">
        <v>-1.1037999999999699</v>
      </c>
      <c r="AF1898">
        <v>6.0403768899159598E-2</v>
      </c>
      <c r="AG1898">
        <v>-1.1048523475059999</v>
      </c>
      <c r="AH1898">
        <v>42.449883133726502</v>
      </c>
      <c r="AI1898">
        <v>91.4909116197054</v>
      </c>
      <c r="AJ1898">
        <v>89.918471420100701</v>
      </c>
      <c r="AK1898">
        <v>42.464301776811602</v>
      </c>
    </row>
    <row r="1899" spans="1:37" x14ac:dyDescent="0.2">
      <c r="A1899" t="str">
        <f>"20200111153435341"</f>
        <v>20200111153435341</v>
      </c>
      <c r="B1899" t="str">
        <f>"1578728075338462"</f>
        <v>1578728075338462</v>
      </c>
      <c r="C1899" t="s">
        <v>37</v>
      </c>
      <c r="D1899">
        <v>4.7329660000000002</v>
      </c>
      <c r="E1899">
        <v>0.50709709999999997</v>
      </c>
      <c r="F1899" t="s">
        <v>52</v>
      </c>
      <c r="G1899">
        <v>-443.0317</v>
      </c>
      <c r="H1899" s="1">
        <v>7.7019870000000002E-8</v>
      </c>
      <c r="I1899">
        <v>284.60520000000002</v>
      </c>
      <c r="J1899">
        <v>-398.17720000000003</v>
      </c>
      <c r="K1899">
        <v>1.1048309999999999</v>
      </c>
      <c r="L1899">
        <v>285.7921</v>
      </c>
      <c r="M1899">
        <v>-0.99951509999999999</v>
      </c>
      <c r="N1899">
        <v>0</v>
      </c>
      <c r="O1899">
        <v>-2.74223E-2</v>
      </c>
      <c r="P1899">
        <v>-0.99862709999999999</v>
      </c>
      <c r="Q1899">
        <v>2.5664570000000001E-2</v>
      </c>
      <c r="R1899">
        <v>-4.5670059999999998E-2</v>
      </c>
      <c r="S1899">
        <v>-3.0022579999999999</v>
      </c>
      <c r="T1899">
        <v>-7.3493600000000006E-2</v>
      </c>
      <c r="U1899">
        <v>-7.9467769999999993E-2</v>
      </c>
      <c r="V1899">
        <v>-1.8283919999999999E-2</v>
      </c>
      <c r="W1899">
        <v>4.040697E-2</v>
      </c>
      <c r="X1899">
        <v>0.99901600000000002</v>
      </c>
      <c r="Y1899">
        <v>9.5707399999999895E-4</v>
      </c>
      <c r="Z1899">
        <v>6.8272410000000004E-4</v>
      </c>
      <c r="AA1899">
        <v>0.99999930000000004</v>
      </c>
      <c r="AB1899">
        <v>47</v>
      </c>
      <c r="AC1899">
        <v>-44.854499999999902</v>
      </c>
      <c r="AD1899">
        <v>-1.1048309229801201</v>
      </c>
      <c r="AE1899">
        <v>-1.1868999999999801</v>
      </c>
      <c r="AF1899">
        <v>4.36673621288588E-2</v>
      </c>
      <c r="AG1899">
        <v>-1.1048309229801201</v>
      </c>
      <c r="AH1899">
        <v>44.842991767644598</v>
      </c>
      <c r="AI1899">
        <v>91.4113535380652</v>
      </c>
      <c r="AJ1899">
        <v>89.944206337200001</v>
      </c>
      <c r="AK1899">
        <v>44.856621237894501</v>
      </c>
    </row>
    <row r="1900" spans="1:37" x14ac:dyDescent="0.2">
      <c r="A1900" t="str">
        <f>"20200111153435353"</f>
        <v>20200111153435353</v>
      </c>
      <c r="B1900" t="str">
        <f>"1578728075348222"</f>
        <v>1578728075348222</v>
      </c>
      <c r="C1900" t="s">
        <v>37</v>
      </c>
      <c r="D1900">
        <v>5.0931129999999998</v>
      </c>
      <c r="E1900">
        <v>0.50712259999999998</v>
      </c>
      <c r="F1900" t="s">
        <v>52</v>
      </c>
      <c r="G1900">
        <v>-444.07749999999999</v>
      </c>
      <c r="H1900" s="1">
        <v>6.3499359999999897E-7</v>
      </c>
      <c r="I1900">
        <v>284.57249999999999</v>
      </c>
      <c r="J1900">
        <v>-398.45940000000002</v>
      </c>
      <c r="K1900">
        <v>1.1048149999999901</v>
      </c>
      <c r="L1900">
        <v>285.78440000000001</v>
      </c>
      <c r="M1900">
        <v>-0.99951460000000003</v>
      </c>
      <c r="N1900">
        <v>0</v>
      </c>
      <c r="O1900">
        <v>-2.743516E-2</v>
      </c>
      <c r="P1900">
        <v>-0.99862619999999902</v>
      </c>
      <c r="Q1900">
        <v>2.6274869999999999E-2</v>
      </c>
      <c r="R1900">
        <v>-4.5338730000000001E-2</v>
      </c>
      <c r="S1900">
        <v>-3.0023499999999999</v>
      </c>
      <c r="T1900">
        <v>-7.2267170000000006E-2</v>
      </c>
      <c r="U1900">
        <v>-7.9772949999999995E-2</v>
      </c>
      <c r="V1900">
        <v>-1.793811E-2</v>
      </c>
      <c r="W1900">
        <v>4.1016339999999998E-2</v>
      </c>
      <c r="X1900">
        <v>0.99899740000000004</v>
      </c>
      <c r="Y1900">
        <v>8.6948319999999996E-4</v>
      </c>
      <c r="Z1900">
        <v>6.7056859999999995E-4</v>
      </c>
      <c r="AA1900">
        <v>0.99999939999999998</v>
      </c>
      <c r="AB1900">
        <v>47</v>
      </c>
      <c r="AC1900">
        <v>-45.618099999999899</v>
      </c>
      <c r="AD1900">
        <v>-1.1048143650064</v>
      </c>
      <c r="AE1900">
        <v>-1.21190000000001</v>
      </c>
      <c r="AF1900">
        <v>4.0208943872575398E-2</v>
      </c>
      <c r="AG1900">
        <v>-1.1048143650064</v>
      </c>
      <c r="AH1900">
        <v>45.607445089134899</v>
      </c>
      <c r="AI1900">
        <v>91.387685666394702</v>
      </c>
      <c r="AJ1900">
        <v>89.949486269595198</v>
      </c>
      <c r="AK1900">
        <v>45.620842595229902</v>
      </c>
    </row>
    <row r="1901" spans="1:37" x14ac:dyDescent="0.2">
      <c r="A1901" t="str">
        <f>"20200111153435367"</f>
        <v>20200111153435367</v>
      </c>
      <c r="B1901" t="str">
        <f>"1578728075358524"</f>
        <v>1578728075358524</v>
      </c>
      <c r="C1901" t="s">
        <v>37</v>
      </c>
      <c r="D1901">
        <v>4.6957969999999998</v>
      </c>
      <c r="E1901">
        <v>0.50722860000000003</v>
      </c>
      <c r="F1901" t="s">
        <v>52</v>
      </c>
      <c r="G1901">
        <v>-446.30930000000001</v>
      </c>
      <c r="H1901" s="1">
        <v>1.8244319999999899E-6</v>
      </c>
      <c r="I1901">
        <v>284.53100000000001</v>
      </c>
      <c r="J1901">
        <v>-398.73169999999999</v>
      </c>
      <c r="K1901">
        <v>1.104803</v>
      </c>
      <c r="L1901">
        <v>285.77690000000001</v>
      </c>
      <c r="M1901">
        <v>-0.99951429999999997</v>
      </c>
      <c r="N1901">
        <v>0</v>
      </c>
      <c r="O1901">
        <v>-2.74449999999999E-2</v>
      </c>
      <c r="P1901">
        <v>-0.99862209999999996</v>
      </c>
      <c r="Q1901">
        <v>2.6977290000000001E-2</v>
      </c>
      <c r="R1901">
        <v>-4.50126E-2</v>
      </c>
      <c r="S1901">
        <v>-3.0023499999999999</v>
      </c>
      <c r="T1901">
        <v>-6.9321750000000001E-2</v>
      </c>
      <c r="U1901">
        <v>-7.86438E-2</v>
      </c>
      <c r="V1901">
        <v>-1.759985E-2</v>
      </c>
      <c r="W1901">
        <v>4.171764E-2</v>
      </c>
      <c r="X1901">
        <v>0.99897440000000004</v>
      </c>
      <c r="Y1901">
        <v>1.2557039999999901E-3</v>
      </c>
      <c r="Z1901">
        <v>6.4793380000000001E-4</v>
      </c>
      <c r="AA1901">
        <v>0.99999899999999997</v>
      </c>
      <c r="AB1901">
        <v>47</v>
      </c>
      <c r="AC1901">
        <v>-47.577599999999997</v>
      </c>
      <c r="AD1901">
        <v>-1.1048011755679901</v>
      </c>
      <c r="AE1901">
        <v>-1.2459</v>
      </c>
      <c r="AF1901">
        <v>6.0446384908045402E-2</v>
      </c>
      <c r="AG1901">
        <v>-1.1048011755679901</v>
      </c>
      <c r="AH1901">
        <v>47.568239774450298</v>
      </c>
      <c r="AI1901">
        <v>91.330488902622704</v>
      </c>
      <c r="AJ1901">
        <v>89.927192578612505</v>
      </c>
      <c r="AK1901">
        <v>47.5811062780447</v>
      </c>
    </row>
    <row r="1902" spans="1:37" x14ac:dyDescent="0.2">
      <c r="A1902" t="str">
        <f>"20200111153435383"</f>
        <v>20200111153435383</v>
      </c>
      <c r="B1902" t="str">
        <f>"1578728075378043"</f>
        <v>1578728075378043</v>
      </c>
      <c r="C1902" t="s">
        <v>37</v>
      </c>
      <c r="D1902">
        <v>4.7504179999999998</v>
      </c>
      <c r="E1902">
        <v>0.50721349999999998</v>
      </c>
      <c r="F1902" t="s">
        <v>52</v>
      </c>
      <c r="G1902">
        <v>-448.77069999999998</v>
      </c>
      <c r="H1902" s="1">
        <v>3.1357529999999999E-6</v>
      </c>
      <c r="I1902">
        <v>284.49720000000002</v>
      </c>
      <c r="J1902">
        <v>-399.08420000000001</v>
      </c>
      <c r="K1902">
        <v>1.1047899999999999</v>
      </c>
      <c r="L1902">
        <v>285.7672</v>
      </c>
      <c r="M1902">
        <v>-0.99951420000000002</v>
      </c>
      <c r="N1902">
        <v>0</v>
      </c>
      <c r="O1902">
        <v>-2.7455259999999999E-2</v>
      </c>
      <c r="P1902">
        <v>-0.99861339999999998</v>
      </c>
      <c r="Q1902">
        <v>2.8386560000000002E-2</v>
      </c>
      <c r="R1902">
        <v>-4.4335800000000002E-2</v>
      </c>
      <c r="S1902">
        <v>-3.0024410000000001</v>
      </c>
      <c r="T1902">
        <v>-6.6290139999999997E-2</v>
      </c>
      <c r="U1902">
        <v>-7.6782230000000007E-2</v>
      </c>
      <c r="V1902">
        <v>-1.6911470000000001E-2</v>
      </c>
      <c r="W1902">
        <v>4.3124950000000002E-2</v>
      </c>
      <c r="X1902">
        <v>0.99892649999999905</v>
      </c>
      <c r="Y1902">
        <v>1.88686E-3</v>
      </c>
      <c r="Z1902">
        <v>6.2678430000000002E-4</v>
      </c>
      <c r="AA1902">
        <v>0.99999799999999905</v>
      </c>
      <c r="AB1902">
        <v>47</v>
      </c>
      <c r="AC1902">
        <v>-49.686499999999903</v>
      </c>
      <c r="AD1902">
        <v>-1.104786864247</v>
      </c>
      <c r="AE1902">
        <v>-1.26999999999998</v>
      </c>
      <c r="AF1902">
        <v>9.4736246446716493E-2</v>
      </c>
      <c r="AG1902">
        <v>-1.104786864247</v>
      </c>
      <c r="AH1902">
        <v>49.678092829965401</v>
      </c>
      <c r="AI1902">
        <v>91.273983635036103</v>
      </c>
      <c r="AJ1902">
        <v>89.890736938573895</v>
      </c>
      <c r="AK1902">
        <v>49.690466250523997</v>
      </c>
    </row>
    <row r="1903" spans="1:37" x14ac:dyDescent="0.2">
      <c r="A1903" t="str">
        <f>"20200111153435406"</f>
        <v>20200111153435406</v>
      </c>
      <c r="B1903" t="str">
        <f>"1578728075398540"</f>
        <v>1578728075398540</v>
      </c>
      <c r="C1903" t="s">
        <v>37</v>
      </c>
      <c r="D1903">
        <v>4.7662930000000001</v>
      </c>
      <c r="E1903">
        <v>0.50705959999999894</v>
      </c>
      <c r="F1903" t="s">
        <v>52</v>
      </c>
      <c r="G1903">
        <v>-453.13260000000002</v>
      </c>
      <c r="H1903" s="1">
        <v>1.3888429999999999E-7</v>
      </c>
      <c r="I1903">
        <v>284.41800000000001</v>
      </c>
      <c r="J1903">
        <v>-399.54750000000001</v>
      </c>
      <c r="K1903">
        <v>1.104768</v>
      </c>
      <c r="L1903">
        <v>285.75439999999998</v>
      </c>
      <c r="M1903">
        <v>-0.99951389999999996</v>
      </c>
      <c r="N1903">
        <v>0</v>
      </c>
      <c r="O1903">
        <v>-2.7465349999999999E-2</v>
      </c>
      <c r="P1903">
        <v>-0.99862919999999999</v>
      </c>
      <c r="Q1903">
        <v>2.9466249999999999E-2</v>
      </c>
      <c r="R1903">
        <v>-4.3265079999999997E-2</v>
      </c>
      <c r="S1903">
        <v>-3.00259399999999</v>
      </c>
      <c r="T1903">
        <v>-6.1375260000000001E-2</v>
      </c>
      <c r="U1903">
        <v>-7.4951169999999998E-2</v>
      </c>
      <c r="V1903">
        <v>-1.5828020000000002E-2</v>
      </c>
      <c r="W1903">
        <v>4.4203010000000001E-2</v>
      </c>
      <c r="X1903">
        <v>0.99889719999999904</v>
      </c>
      <c r="Y1903">
        <v>2.5085760000000002E-3</v>
      </c>
      <c r="Z1903">
        <v>5.8685819999999996E-4</v>
      </c>
      <c r="AA1903">
        <v>0.99999669999999896</v>
      </c>
      <c r="AB1903">
        <v>47</v>
      </c>
      <c r="AC1903">
        <v>-53.585099999999997</v>
      </c>
      <c r="AD1903">
        <v>-1.1047678611156999</v>
      </c>
      <c r="AE1903">
        <v>-1.3363999999999601</v>
      </c>
      <c r="AF1903">
        <v>0.13594020162784301</v>
      </c>
      <c r="AG1903">
        <v>-1.1047678611156999</v>
      </c>
      <c r="AH1903">
        <v>53.578829379854902</v>
      </c>
      <c r="AI1903">
        <v>91.181238269254905</v>
      </c>
      <c r="AJ1903">
        <v>89.854629464725406</v>
      </c>
      <c r="AK1903">
        <v>53.590390458373903</v>
      </c>
    </row>
    <row r="1904" spans="1:37" x14ac:dyDescent="0.2">
      <c r="A1904" t="str">
        <f>"20200111153435419"</f>
        <v>20200111153435419</v>
      </c>
      <c r="B1904" t="str">
        <f>"1578728075408301"</f>
        <v>1578728075408301</v>
      </c>
      <c r="C1904" t="s">
        <v>37</v>
      </c>
      <c r="D1904">
        <v>4.7639189999999996</v>
      </c>
      <c r="E1904">
        <v>0.50705940000000005</v>
      </c>
      <c r="F1904" t="s">
        <v>52</v>
      </c>
      <c r="G1904">
        <v>-453.96589999999998</v>
      </c>
      <c r="H1904" s="1">
        <v>5.8168209999999899E-7</v>
      </c>
      <c r="I1904">
        <v>284.43310000000002</v>
      </c>
      <c r="J1904">
        <v>-399.82119999999998</v>
      </c>
      <c r="K1904">
        <v>1.1047549999999999</v>
      </c>
      <c r="L1904">
        <v>285.74680000000001</v>
      </c>
      <c r="M1904">
        <v>-0.99951369999999895</v>
      </c>
      <c r="N1904">
        <v>0</v>
      </c>
      <c r="O1904">
        <v>-2.74702E-2</v>
      </c>
      <c r="P1904">
        <v>-0.99863599999999997</v>
      </c>
      <c r="Q1904">
        <v>3.023532E-2</v>
      </c>
      <c r="R1904">
        <v>-4.256799E-2</v>
      </c>
      <c r="S1904">
        <v>-3.0027159999999999</v>
      </c>
      <c r="T1904">
        <v>-6.0959220000000001E-2</v>
      </c>
      <c r="U1904">
        <v>-7.2906490000000004E-2</v>
      </c>
      <c r="V1904">
        <v>-1.512494E-2</v>
      </c>
      <c r="W1904">
        <v>4.4970429999999999E-2</v>
      </c>
      <c r="X1904">
        <v>0.99887380000000003</v>
      </c>
      <c r="Y1904">
        <v>3.19492E-3</v>
      </c>
      <c r="Z1904">
        <v>5.899271E-4</v>
      </c>
      <c r="AA1904">
        <v>0.99999470000000001</v>
      </c>
      <c r="AB1904">
        <v>47</v>
      </c>
      <c r="AC1904">
        <v>-54.1447</v>
      </c>
      <c r="AD1904">
        <v>-1.1047544183178899</v>
      </c>
      <c r="AE1904">
        <v>-1.3136999999999801</v>
      </c>
      <c r="AF1904">
        <v>0.17425107066105899</v>
      </c>
      <c r="AG1904">
        <v>-1.1047544183178899</v>
      </c>
      <c r="AH1904">
        <v>54.137829105533299</v>
      </c>
      <c r="AI1904">
        <v>91.169028292352095</v>
      </c>
      <c r="AJ1904">
        <v>89.8155852088465</v>
      </c>
      <c r="AK1904">
        <v>54.149380292117399</v>
      </c>
    </row>
    <row r="1905" spans="1:37" x14ac:dyDescent="0.2">
      <c r="A1905" t="str">
        <f>"20200111153435439"</f>
        <v>20200111153435439</v>
      </c>
      <c r="B1905" t="str">
        <f>"1578728075427820"</f>
        <v>1578728075427820</v>
      </c>
      <c r="C1905" t="s">
        <v>37</v>
      </c>
      <c r="D1905">
        <v>4.786276</v>
      </c>
      <c r="E1905">
        <v>0.50699280000000002</v>
      </c>
      <c r="F1905" t="s">
        <v>52</v>
      </c>
      <c r="G1905">
        <v>-454.9504</v>
      </c>
      <c r="H1905" s="1">
        <v>1.104924E-6</v>
      </c>
      <c r="I1905">
        <v>284.44819999999999</v>
      </c>
      <c r="J1905">
        <v>-400.2491</v>
      </c>
      <c r="K1905">
        <v>1.104735</v>
      </c>
      <c r="L1905">
        <v>285.73500000000001</v>
      </c>
      <c r="M1905">
        <v>-0.9995136</v>
      </c>
      <c r="N1905">
        <v>0</v>
      </c>
      <c r="O1905">
        <v>-2.7476770000000001E-2</v>
      </c>
      <c r="P1905">
        <v>-0.99866330000000003</v>
      </c>
      <c r="Q1905">
        <v>3.0139849999999999E-2</v>
      </c>
      <c r="R1905">
        <v>-4.1990090000000001E-2</v>
      </c>
      <c r="S1905">
        <v>-3.0029300000000001</v>
      </c>
      <c r="T1905">
        <v>-6.0176729999999998E-2</v>
      </c>
      <c r="U1905">
        <v>-7.0739750000000004E-2</v>
      </c>
      <c r="V1905">
        <v>-1.4538199999999999E-2</v>
      </c>
      <c r="W1905">
        <v>4.4873250000000003E-2</v>
      </c>
      <c r="X1905">
        <v>0.99888690000000002</v>
      </c>
      <c r="Y1905">
        <v>3.9243530000000002E-3</v>
      </c>
      <c r="Z1905">
        <v>5.8975939999999995E-4</v>
      </c>
      <c r="AA1905">
        <v>0.99999210000000005</v>
      </c>
      <c r="AB1905">
        <v>47</v>
      </c>
      <c r="AC1905">
        <v>-54.701300000000003</v>
      </c>
      <c r="AD1905">
        <v>-1.1047338950759999</v>
      </c>
      <c r="AE1905">
        <v>-1.2868000000000199</v>
      </c>
      <c r="AF1905">
        <v>0.21677616619068699</v>
      </c>
      <c r="AG1905">
        <v>-1.1047338950759999</v>
      </c>
      <c r="AH1905">
        <v>54.693708063745497</v>
      </c>
      <c r="AI1905">
        <v>91.157125547285503</v>
      </c>
      <c r="AJ1905">
        <v>89.772911824322094</v>
      </c>
      <c r="AK1905">
        <v>54.705293442658601</v>
      </c>
    </row>
    <row r="1906" spans="1:37" x14ac:dyDescent="0.2">
      <c r="A1906" t="str">
        <f>"20200111153435455"</f>
        <v>20200111153435455</v>
      </c>
      <c r="B1906" t="str">
        <f>"1578728075448316"</f>
        <v>1578728075448316</v>
      </c>
      <c r="C1906" t="s">
        <v>37</v>
      </c>
      <c r="D1906">
        <v>4.7700199999999997</v>
      </c>
      <c r="E1906">
        <v>0.50687199999999999</v>
      </c>
      <c r="F1906" t="s">
        <v>52</v>
      </c>
      <c r="G1906">
        <v>-453.34129999999999</v>
      </c>
      <c r="H1906" s="1">
        <v>2.4585170000000002E-7</v>
      </c>
      <c r="I1906">
        <v>284.51190000000003</v>
      </c>
      <c r="J1906">
        <v>-400.56729999999999</v>
      </c>
      <c r="K1906">
        <v>1.104719</v>
      </c>
      <c r="L1906">
        <v>285.72629999999998</v>
      </c>
      <c r="M1906">
        <v>-0.99951369999999895</v>
      </c>
      <c r="N1906">
        <v>0</v>
      </c>
      <c r="O1906">
        <v>-2.748132E-2</v>
      </c>
      <c r="P1906">
        <v>-0.99866939999999904</v>
      </c>
      <c r="Q1906">
        <v>2.9968870000000002E-2</v>
      </c>
      <c r="R1906">
        <v>-4.1971479999999999E-2</v>
      </c>
      <c r="S1906">
        <v>-3.0029910000000002</v>
      </c>
      <c r="T1906">
        <v>-6.2485810000000003E-2</v>
      </c>
      <c r="U1906">
        <v>-6.9183350000000005E-2</v>
      </c>
      <c r="V1906">
        <v>-1.4513069999999999E-2</v>
      </c>
      <c r="W1906">
        <v>4.4700339999999998E-2</v>
      </c>
      <c r="X1906">
        <v>0.99889499999999998</v>
      </c>
      <c r="Y1906">
        <v>4.4467650000000001E-3</v>
      </c>
      <c r="Z1906">
        <v>6.1790519999999896E-4</v>
      </c>
      <c r="AA1906">
        <v>0.99998989999999999</v>
      </c>
      <c r="AB1906">
        <v>47</v>
      </c>
      <c r="AC1906">
        <v>-52.774000000000001</v>
      </c>
      <c r="AD1906">
        <v>-1.1047187541482999</v>
      </c>
      <c r="AE1906">
        <v>-1.21439999999995</v>
      </c>
      <c r="AF1906">
        <v>0.23641188561180401</v>
      </c>
      <c r="AG1906">
        <v>-1.1047187541482999</v>
      </c>
      <c r="AH1906">
        <v>52.764332159645001</v>
      </c>
      <c r="AI1906">
        <v>91.199405703892197</v>
      </c>
      <c r="AJ1906">
        <v>89.7432865711136</v>
      </c>
      <c r="AK1906">
        <v>52.776425062320897</v>
      </c>
    </row>
    <row r="1907" spans="1:37" x14ac:dyDescent="0.2">
      <c r="A1907" t="str">
        <f>"20200111153435469"</f>
        <v>20200111153435469</v>
      </c>
      <c r="B1907" t="str">
        <f>"1578728075458083"</f>
        <v>1578728075458083</v>
      </c>
      <c r="C1907" t="s">
        <v>37</v>
      </c>
      <c r="D1907">
        <v>4.7863389999999999</v>
      </c>
      <c r="E1907">
        <v>0.50687199999999999</v>
      </c>
      <c r="F1907" t="s">
        <v>52</v>
      </c>
      <c r="G1907">
        <v>-451.90730000000002</v>
      </c>
      <c r="H1907" s="1">
        <v>-5.1787130000000002E-7</v>
      </c>
      <c r="I1907">
        <v>284.5258</v>
      </c>
      <c r="J1907">
        <v>-400.86759999999998</v>
      </c>
      <c r="K1907">
        <v>1.104711</v>
      </c>
      <c r="L1907">
        <v>285.71800000000002</v>
      </c>
      <c r="M1907">
        <v>-0.9995136</v>
      </c>
      <c r="N1907">
        <v>0</v>
      </c>
      <c r="O1907">
        <v>-2.7484709999999999E-2</v>
      </c>
      <c r="P1907">
        <v>-0.99868749999999995</v>
      </c>
      <c r="Q1907">
        <v>2.9263210000000001E-2</v>
      </c>
      <c r="R1907">
        <v>-4.2038550000000001E-2</v>
      </c>
      <c r="S1907">
        <v>-3.0029599999999999</v>
      </c>
      <c r="T1907">
        <v>-6.4616800000000002E-2</v>
      </c>
      <c r="U1907">
        <v>-7.0220950000000004E-2</v>
      </c>
      <c r="V1907">
        <v>-1.457545E-2</v>
      </c>
      <c r="W1907">
        <v>4.3993400000000002E-2</v>
      </c>
      <c r="X1907">
        <v>0.99892549999999902</v>
      </c>
      <c r="Y1907">
        <v>4.1041960000000001E-3</v>
      </c>
      <c r="Z1907">
        <v>6.3536479999999997E-4</v>
      </c>
      <c r="AA1907">
        <v>0.99999139999999997</v>
      </c>
      <c r="AB1907">
        <v>47</v>
      </c>
      <c r="AC1907">
        <v>-51.039700000000003</v>
      </c>
      <c r="AD1907">
        <v>-1.1047115178713001</v>
      </c>
      <c r="AE1907">
        <v>-1.1922000000000099</v>
      </c>
      <c r="AF1907">
        <v>0.21111532611860501</v>
      </c>
      <c r="AG1907">
        <v>-1.1047115178713001</v>
      </c>
      <c r="AH1907">
        <v>51.029292424182202</v>
      </c>
      <c r="AI1907">
        <v>91.2401677134376</v>
      </c>
      <c r="AJ1907">
        <v>89.762960691953793</v>
      </c>
      <c r="AK1907">
        <v>51.041685341800203</v>
      </c>
    </row>
    <row r="1908" spans="1:37" x14ac:dyDescent="0.2">
      <c r="A1908" t="str">
        <f>"20200111153435487"</f>
        <v>20200111153435487</v>
      </c>
      <c r="B1908" t="str">
        <f>"1578728075478578"</f>
        <v>1578728075478578</v>
      </c>
      <c r="C1908" t="s">
        <v>37</v>
      </c>
      <c r="D1908">
        <v>4.8099889999999998</v>
      </c>
      <c r="E1908">
        <v>0.50401209999999996</v>
      </c>
      <c r="F1908" t="s">
        <v>52</v>
      </c>
      <c r="G1908">
        <v>-450.58640000000003</v>
      </c>
      <c r="H1908" s="1">
        <v>-1.2218609999999899E-6</v>
      </c>
      <c r="I1908">
        <v>284.55090000000001</v>
      </c>
      <c r="J1908">
        <v>-401.23309999999998</v>
      </c>
      <c r="K1908">
        <v>1.1046849999999999</v>
      </c>
      <c r="L1908">
        <v>285.7079</v>
      </c>
      <c r="M1908">
        <v>-0.9995134</v>
      </c>
      <c r="N1908">
        <v>0</v>
      </c>
      <c r="O1908">
        <v>-2.7488459999999999E-2</v>
      </c>
      <c r="P1908">
        <v>-0.99868169999999901</v>
      </c>
      <c r="Q1908">
        <v>2.788382E-2</v>
      </c>
      <c r="R1908">
        <v>-4.3098230000000001E-2</v>
      </c>
      <c r="S1908">
        <v>-3.0029300000000001</v>
      </c>
      <c r="T1908">
        <v>-6.6722630000000005E-2</v>
      </c>
      <c r="U1908">
        <v>-7.049561E-2</v>
      </c>
      <c r="V1908">
        <v>-1.5630000000000002E-2</v>
      </c>
      <c r="W1908">
        <v>4.2611870000000003E-2</v>
      </c>
      <c r="X1908">
        <v>0.99896939999999901</v>
      </c>
      <c r="Y1908">
        <v>4.0158279999999999E-3</v>
      </c>
      <c r="Z1908">
        <v>6.5517359999999998E-4</v>
      </c>
      <c r="AA1908">
        <v>0.99999169999999904</v>
      </c>
      <c r="AB1908">
        <v>47</v>
      </c>
      <c r="AC1908">
        <v>-49.353299999999997</v>
      </c>
      <c r="AD1908">
        <v>-1.1046862218610001</v>
      </c>
      <c r="AE1908">
        <v>-1.15699999999998</v>
      </c>
      <c r="AF1908">
        <v>0.200130757954638</v>
      </c>
      <c r="AG1908">
        <v>-1.1046862218610001</v>
      </c>
      <c r="AH1908">
        <v>49.3417468907695</v>
      </c>
      <c r="AI1908">
        <v>91.282540035332303</v>
      </c>
      <c r="AJ1908">
        <v>89.767608858126394</v>
      </c>
      <c r="AK1908">
        <v>49.3545172218492</v>
      </c>
    </row>
    <row r="1909" spans="1:37" x14ac:dyDescent="0.2">
      <c r="A1909" t="str">
        <f>"20200111153435506"</f>
        <v>20200111153435506</v>
      </c>
      <c r="B1909" t="str">
        <f>"1578728075498098"</f>
        <v>1578728075498098</v>
      </c>
      <c r="C1909" t="s">
        <v>37</v>
      </c>
      <c r="D1909">
        <v>4.7916540000000003</v>
      </c>
      <c r="E1909">
        <v>0.50364319999999996</v>
      </c>
      <c r="F1909" t="s">
        <v>56</v>
      </c>
      <c r="G1909">
        <v>-433.43709999999999</v>
      </c>
      <c r="H1909" s="1">
        <v>3.7358819999999899E-6</v>
      </c>
      <c r="I1909">
        <v>284.67689999999999</v>
      </c>
      <c r="J1909">
        <v>-401.65230000000003</v>
      </c>
      <c r="K1909">
        <v>1.1046609999999999</v>
      </c>
      <c r="L1909">
        <v>285.69639999999998</v>
      </c>
      <c r="M1909">
        <v>-0.9995134</v>
      </c>
      <c r="N1909">
        <v>0</v>
      </c>
      <c r="O1909">
        <v>-2.7492679999999999E-2</v>
      </c>
      <c r="P1909">
        <v>-0.99865720000000002</v>
      </c>
      <c r="Q1909">
        <v>2.6942529999999999E-2</v>
      </c>
      <c r="R1909">
        <v>-4.4249419999999998E-2</v>
      </c>
      <c r="S1909">
        <v>-3.0027159999999999</v>
      </c>
      <c r="T1909">
        <v>-0.1030011</v>
      </c>
      <c r="U1909">
        <v>-9.6130370000000007E-2</v>
      </c>
      <c r="V1909">
        <v>-1.6776269999999999E-2</v>
      </c>
      <c r="W1909">
        <v>4.1668570000000002E-2</v>
      </c>
      <c r="X1909">
        <v>0.99899069999999901</v>
      </c>
      <c r="Y1909">
        <v>-4.5178930000000003E-3</v>
      </c>
      <c r="Z1909">
        <v>8.6501759999999895E-4</v>
      </c>
      <c r="AA1909">
        <v>0.99998940000000003</v>
      </c>
      <c r="AB1909">
        <v>47</v>
      </c>
      <c r="AC1909">
        <v>-31.784799999999901</v>
      </c>
      <c r="AD1909">
        <v>-1.1046572641179999</v>
      </c>
      <c r="AE1909">
        <v>-1.0194999999999901</v>
      </c>
      <c r="AF1909">
        <v>-0.144995382333336</v>
      </c>
      <c r="AG1909">
        <v>-1.1046572641179999</v>
      </c>
      <c r="AH1909">
        <v>31.7624895494573</v>
      </c>
      <c r="AI1909">
        <v>91.991847656911204</v>
      </c>
      <c r="AJ1909">
        <v>90.261552726732305</v>
      </c>
      <c r="AK1909">
        <v>31.782023751036501</v>
      </c>
    </row>
    <row r="1910" spans="1:37" x14ac:dyDescent="0.2">
      <c r="A1910" t="str">
        <f>"20200111153435523"</f>
        <v>20200111153435523</v>
      </c>
      <c r="B1910" t="str">
        <f>"1578728075518594"</f>
        <v>1578728075518594</v>
      </c>
      <c r="C1910" t="s">
        <v>37</v>
      </c>
      <c r="D1910">
        <v>4.8043940000000003</v>
      </c>
      <c r="E1910">
        <v>0.50355680000000003</v>
      </c>
      <c r="F1910" t="s">
        <v>56</v>
      </c>
      <c r="G1910">
        <v>-432.79930000000002</v>
      </c>
      <c r="H1910" s="1">
        <v>3.456803E-6</v>
      </c>
      <c r="I1910">
        <v>284.63389999999998</v>
      </c>
      <c r="J1910">
        <v>-401.98360000000002</v>
      </c>
      <c r="K1910">
        <v>1.1046499999999999</v>
      </c>
      <c r="L1910">
        <v>285.68729999999999</v>
      </c>
      <c r="M1910">
        <v>-0.99951329999999905</v>
      </c>
      <c r="N1910">
        <v>0</v>
      </c>
      <c r="O1910">
        <v>-2.749565E-2</v>
      </c>
      <c r="P1910">
        <v>-0.99863459999999904</v>
      </c>
      <c r="Q1910">
        <v>2.6831210000000001E-2</v>
      </c>
      <c r="R1910">
        <v>-4.4822710000000002E-2</v>
      </c>
      <c r="S1910">
        <v>-3.0023499999999999</v>
      </c>
      <c r="T1910">
        <v>-0.1064813</v>
      </c>
      <c r="U1910">
        <v>-0.10241699999999999</v>
      </c>
      <c r="V1910">
        <v>-1.7346549999999999E-2</v>
      </c>
      <c r="W1910">
        <v>4.1555189999999999E-2</v>
      </c>
      <c r="X1910">
        <v>0.99898560000000003</v>
      </c>
      <c r="Y1910">
        <v>-6.6100179999999996E-3</v>
      </c>
      <c r="Z1910">
        <v>8.5732569999999995E-4</v>
      </c>
      <c r="AA1910">
        <v>0.99997780000000003</v>
      </c>
      <c r="AB1910">
        <v>47</v>
      </c>
      <c r="AC1910">
        <v>-30.8157</v>
      </c>
      <c r="AD1910">
        <v>-1.1046465431969901</v>
      </c>
      <c r="AE1910">
        <v>-1.0534000000000101</v>
      </c>
      <c r="AF1910">
        <v>-0.20534836993444</v>
      </c>
      <c r="AG1910">
        <v>-1.1046465431969901</v>
      </c>
      <c r="AH1910">
        <v>30.793490426431301</v>
      </c>
      <c r="AI1910">
        <v>92.054429375766702</v>
      </c>
      <c r="AJ1910">
        <v>90.382074924424103</v>
      </c>
      <c r="AK1910">
        <v>30.813981641150299</v>
      </c>
    </row>
    <row r="1911" spans="1:37" x14ac:dyDescent="0.2">
      <c r="A1911" t="str">
        <f>"20200111153435540"</f>
        <v>20200111153435540</v>
      </c>
      <c r="B1911" t="str">
        <f>"1578728075528354"</f>
        <v>1578728075528354</v>
      </c>
      <c r="C1911" t="s">
        <v>37</v>
      </c>
      <c r="D1911">
        <v>4.8139099999999999</v>
      </c>
      <c r="E1911">
        <v>0.50365420000000005</v>
      </c>
      <c r="F1911" t="s">
        <v>56</v>
      </c>
      <c r="G1911">
        <v>-433.7199</v>
      </c>
      <c r="H1911" s="1">
        <v>3.8698480000000003E-6</v>
      </c>
      <c r="I1911">
        <v>284.57920000000001</v>
      </c>
      <c r="J1911">
        <v>-402.33949999999999</v>
      </c>
      <c r="K1911">
        <v>1.1046370000000001</v>
      </c>
      <c r="L1911">
        <v>285.67750000000001</v>
      </c>
      <c r="M1911">
        <v>-0.9995134</v>
      </c>
      <c r="N1911">
        <v>0</v>
      </c>
      <c r="O1911">
        <v>-2.7498399999999999E-2</v>
      </c>
      <c r="P1911">
        <v>-0.99858440000000004</v>
      </c>
      <c r="Q1911">
        <v>2.6558330000000002E-2</v>
      </c>
      <c r="R1911">
        <v>-4.6088509999999999E-2</v>
      </c>
      <c r="S1911">
        <v>-3.0021969999999998</v>
      </c>
      <c r="T1911">
        <v>-0.1044976</v>
      </c>
      <c r="U1911">
        <v>-0.1048279</v>
      </c>
      <c r="V1911">
        <v>-1.8609560000000001E-2</v>
      </c>
      <c r="W1911">
        <v>4.1280289999999997E-2</v>
      </c>
      <c r="X1911">
        <v>0.99897429999999998</v>
      </c>
      <c r="Y1911">
        <v>-7.4101069999999896E-3</v>
      </c>
      <c r="Z1911">
        <v>8.275712E-4</v>
      </c>
      <c r="AA1911">
        <v>0.99997219999999998</v>
      </c>
      <c r="AB1911">
        <v>47</v>
      </c>
      <c r="AC1911">
        <v>-31.380400000000002</v>
      </c>
      <c r="AD1911">
        <v>-1.104633130152</v>
      </c>
      <c r="AE1911">
        <v>-1.0982999999999901</v>
      </c>
      <c r="AF1911">
        <v>-0.23458990511696501</v>
      </c>
      <c r="AG1911">
        <v>-1.104633130152</v>
      </c>
      <c r="AH1911">
        <v>31.359923930783001</v>
      </c>
      <c r="AI1911">
        <v>92.017316469516203</v>
      </c>
      <c r="AJ1911">
        <v>90.428596727569499</v>
      </c>
      <c r="AK1911">
        <v>31.380249771477398</v>
      </c>
    </row>
    <row r="1912" spans="1:37" x14ac:dyDescent="0.2">
      <c r="A1912" t="str">
        <f>"20200111153435553"</f>
        <v>20200111153435553</v>
      </c>
      <c r="B1912" t="str">
        <f>"1578728075547874"</f>
        <v>1578728075547874</v>
      </c>
      <c r="C1912" t="s">
        <v>37</v>
      </c>
      <c r="D1912">
        <v>4.7994029999999999</v>
      </c>
      <c r="E1912">
        <v>0.50406969999999995</v>
      </c>
      <c r="F1912" t="s">
        <v>56</v>
      </c>
      <c r="G1912">
        <v>-433.83859999999999</v>
      </c>
      <c r="H1912" s="1">
        <v>3.9256839999999999E-6</v>
      </c>
      <c r="I1912">
        <v>284.54270000000002</v>
      </c>
      <c r="J1912">
        <v>-402.63499999999999</v>
      </c>
      <c r="K1912">
        <v>1.1046309999999999</v>
      </c>
      <c r="L1912">
        <v>285.6694</v>
      </c>
      <c r="M1912">
        <v>-0.99951329999999905</v>
      </c>
      <c r="N1912">
        <v>0</v>
      </c>
      <c r="O1912">
        <v>-2.7500219999999999E-2</v>
      </c>
      <c r="P1912">
        <v>-0.99855749999999999</v>
      </c>
      <c r="Q1912">
        <v>2.6706000000000001E-2</v>
      </c>
      <c r="R1912">
        <v>-4.6579259999999997E-2</v>
      </c>
      <c r="S1912">
        <v>-3.0021059999999999</v>
      </c>
      <c r="T1912">
        <v>-0.10528</v>
      </c>
      <c r="U1912">
        <v>-0.10815429999999999</v>
      </c>
      <c r="V1912">
        <v>-1.9099129999999999E-2</v>
      </c>
      <c r="W1912">
        <v>4.1426070000000002E-2</v>
      </c>
      <c r="X1912">
        <v>0.99895900000000004</v>
      </c>
      <c r="Y1912">
        <v>-8.515445E-3</v>
      </c>
      <c r="Z1912">
        <v>8.1446440000000001E-4</v>
      </c>
      <c r="AA1912">
        <v>0.99996339999999995</v>
      </c>
      <c r="AB1912">
        <v>47</v>
      </c>
      <c r="AC1912">
        <v>-31.203599999999899</v>
      </c>
      <c r="AD1912">
        <v>-1.1046270743159901</v>
      </c>
      <c r="AE1912">
        <v>-1.1266999999999701</v>
      </c>
      <c r="AF1912">
        <v>-0.26773974897108699</v>
      </c>
      <c r="AG1912">
        <v>-1.1046270743159901</v>
      </c>
      <c r="AH1912">
        <v>31.183755277509299</v>
      </c>
      <c r="AI1912">
        <v>92.028674436490107</v>
      </c>
      <c r="AJ1912">
        <v>90.491922174050202</v>
      </c>
      <c r="AK1912">
        <v>31.2044624814157</v>
      </c>
    </row>
    <row r="1913" spans="1:37" x14ac:dyDescent="0.2">
      <c r="A1913" t="str">
        <f>"20200111153435566"</f>
        <v>20200111153435566</v>
      </c>
      <c r="B1913" t="str">
        <f>"1578728075557634"</f>
        <v>1578728075557634</v>
      </c>
      <c r="C1913" t="s">
        <v>37</v>
      </c>
      <c r="D1913">
        <v>4.8025190000000002</v>
      </c>
      <c r="E1913">
        <v>0.50430790000000003</v>
      </c>
      <c r="F1913" t="s">
        <v>56</v>
      </c>
      <c r="G1913">
        <v>-433.6354</v>
      </c>
      <c r="H1913" s="1">
        <v>3.8328489999999998E-6</v>
      </c>
      <c r="I1913">
        <v>284.57369999999997</v>
      </c>
      <c r="J1913">
        <v>-402.90440000000001</v>
      </c>
      <c r="K1913">
        <v>1.1046279999999999</v>
      </c>
      <c r="L1913">
        <v>285.6619</v>
      </c>
      <c r="M1913">
        <v>-0.99951319999999999</v>
      </c>
      <c r="N1913">
        <v>0</v>
      </c>
      <c r="O1913">
        <v>-2.7501709999999999E-2</v>
      </c>
      <c r="P1913">
        <v>-0.99854140000000002</v>
      </c>
      <c r="Q1913">
        <v>2.6972039999999999E-2</v>
      </c>
      <c r="R1913">
        <v>-4.6773699999999897E-2</v>
      </c>
      <c r="S1913">
        <v>-3.0022579999999999</v>
      </c>
      <c r="T1913">
        <v>-0.1069785</v>
      </c>
      <c r="U1913">
        <v>-0.1061096</v>
      </c>
      <c r="V1913">
        <v>-1.929136E-2</v>
      </c>
      <c r="W1913">
        <v>4.169001E-2</v>
      </c>
      <c r="X1913">
        <v>0.99894430000000001</v>
      </c>
      <c r="Y1913">
        <v>-7.8327840000000006E-3</v>
      </c>
      <c r="Z1913">
        <v>8.3977429999999896E-4</v>
      </c>
      <c r="AA1913">
        <v>0.99996890000000005</v>
      </c>
      <c r="AB1913">
        <v>47</v>
      </c>
      <c r="AC1913">
        <v>-30.730999999999899</v>
      </c>
      <c r="AD1913">
        <v>-1.104624167151</v>
      </c>
      <c r="AE1913">
        <v>-1.08820000000002</v>
      </c>
      <c r="AF1913">
        <v>-0.24222895634605399</v>
      </c>
      <c r="AG1913">
        <v>-1.104624167151</v>
      </c>
      <c r="AH1913">
        <v>30.709675866925998</v>
      </c>
      <c r="AI1913">
        <v>92.059971660214899</v>
      </c>
      <c r="AJ1913">
        <v>90.451923006937307</v>
      </c>
      <c r="AK1913">
        <v>30.730490742414201</v>
      </c>
    </row>
    <row r="1914" spans="1:37" x14ac:dyDescent="0.2">
      <c r="A1914" t="str">
        <f>"20200111153435580"</f>
        <v>20200111153435580</v>
      </c>
      <c r="B1914" t="str">
        <f>"1578728075568371"</f>
        <v>1578728075568371</v>
      </c>
      <c r="C1914" t="s">
        <v>37</v>
      </c>
      <c r="D1914">
        <v>4.8407339999999897</v>
      </c>
      <c r="E1914">
        <v>0.50467790000000001</v>
      </c>
      <c r="F1914" t="s">
        <v>56</v>
      </c>
      <c r="G1914">
        <v>-434.13780000000003</v>
      </c>
      <c r="H1914" s="1">
        <v>4.055983E-6</v>
      </c>
      <c r="I1914">
        <v>284.57010000000002</v>
      </c>
      <c r="J1914">
        <v>-403.1746</v>
      </c>
      <c r="K1914">
        <v>1.1046240000000001</v>
      </c>
      <c r="L1914">
        <v>285.65449999999998</v>
      </c>
      <c r="M1914">
        <v>-0.99951329999999905</v>
      </c>
      <c r="N1914">
        <v>0</v>
      </c>
      <c r="O1914">
        <v>-2.7503199999999998E-2</v>
      </c>
      <c r="P1914">
        <v>-0.99852070000000004</v>
      </c>
      <c r="Q1914">
        <v>2.718402E-2</v>
      </c>
      <c r="R1914">
        <v>-4.7093599999999999E-2</v>
      </c>
      <c r="S1914">
        <v>-3.0023499999999999</v>
      </c>
      <c r="T1914">
        <v>-0.10618329999999999</v>
      </c>
      <c r="U1914">
        <v>-0.10495</v>
      </c>
      <c r="V1914">
        <v>-1.9610809999999999E-2</v>
      </c>
      <c r="W1914">
        <v>4.1900119999999999E-2</v>
      </c>
      <c r="X1914">
        <v>0.99892930000000002</v>
      </c>
      <c r="Y1914">
        <v>-7.4445169999999899E-3</v>
      </c>
      <c r="Z1914">
        <v>8.4043129999999998E-4</v>
      </c>
      <c r="AA1914">
        <v>0.99997190000000002</v>
      </c>
      <c r="AB1914">
        <v>47</v>
      </c>
      <c r="AC1914">
        <v>-30.963200000000001</v>
      </c>
      <c r="AD1914">
        <v>-1.1046199440169999</v>
      </c>
      <c r="AE1914">
        <v>-1.0843999999999501</v>
      </c>
      <c r="AF1914">
        <v>-0.232015387075727</v>
      </c>
      <c r="AG1914">
        <v>-1.1046199440169999</v>
      </c>
      <c r="AH1914">
        <v>30.941979919079401</v>
      </c>
      <c r="AI1914">
        <v>92.044517430340704</v>
      </c>
      <c r="AJ1914">
        <v>90.429618704354795</v>
      </c>
      <c r="AK1914">
        <v>30.962560257079399</v>
      </c>
    </row>
    <row r="1915" spans="1:37" x14ac:dyDescent="0.2">
      <c r="A1915" t="str">
        <f>"20200111153435592"</f>
        <v>20200111153435592</v>
      </c>
      <c r="B1915" t="str">
        <f>"1578728075587890"</f>
        <v>1578728075587890</v>
      </c>
      <c r="C1915" t="s">
        <v>37</v>
      </c>
      <c r="D1915">
        <v>4.8245820000000004</v>
      </c>
      <c r="E1915">
        <v>0.50484090000000004</v>
      </c>
      <c r="F1915" t="s">
        <v>56</v>
      </c>
      <c r="G1915">
        <v>-434.72359999999998</v>
      </c>
      <c r="H1915" s="1">
        <v>4.315445E-6</v>
      </c>
      <c r="I1915">
        <v>284.57380000000001</v>
      </c>
      <c r="J1915">
        <v>-403.4563</v>
      </c>
      <c r="K1915">
        <v>1.1046240000000001</v>
      </c>
      <c r="L1915">
        <v>285.64679999999998</v>
      </c>
      <c r="M1915">
        <v>-0.9995134</v>
      </c>
      <c r="N1915">
        <v>0</v>
      </c>
      <c r="O1915">
        <v>-2.750445E-2</v>
      </c>
      <c r="P1915">
        <v>-0.998507699999999</v>
      </c>
      <c r="Q1915">
        <v>2.7430779999999998E-2</v>
      </c>
      <c r="R1915">
        <v>-4.722432E-2</v>
      </c>
      <c r="S1915">
        <v>-3.0024109999999999</v>
      </c>
      <c r="T1915">
        <v>-0.105122699999999</v>
      </c>
      <c r="U1915">
        <v>-0.1028442</v>
      </c>
      <c r="V1915">
        <v>-1.9740170000000001E-2</v>
      </c>
      <c r="W1915">
        <v>4.2145000000000002E-2</v>
      </c>
      <c r="X1915">
        <v>0.99891640000000004</v>
      </c>
      <c r="Y1915">
        <v>-6.7422530000000001E-3</v>
      </c>
      <c r="Z1915">
        <v>8.4436799999999996E-4</v>
      </c>
      <c r="AA1915">
        <v>0.99997689999999995</v>
      </c>
      <c r="AB1915">
        <v>47</v>
      </c>
      <c r="AC1915">
        <v>-31.267299999999899</v>
      </c>
      <c r="AD1915">
        <v>-1.104619684555</v>
      </c>
      <c r="AE1915">
        <v>-1.07299999999997</v>
      </c>
      <c r="AF1915">
        <v>-0.21224640058483701</v>
      </c>
      <c r="AG1915">
        <v>-1.104619684555</v>
      </c>
      <c r="AH1915">
        <v>31.246032007318401</v>
      </c>
      <c r="AI1915">
        <v>92.024648794147893</v>
      </c>
      <c r="AJ1915">
        <v>90.389189767631393</v>
      </c>
      <c r="AK1915">
        <v>31.266271753831301</v>
      </c>
    </row>
    <row r="1916" spans="1:37" x14ac:dyDescent="0.2">
      <c r="A1916" t="str">
        <f>"20200111153435606"</f>
        <v>20200111153435606</v>
      </c>
      <c r="B1916" t="str">
        <f>"1578728075597651"</f>
        <v>1578728075597651</v>
      </c>
      <c r="C1916" t="s">
        <v>37</v>
      </c>
      <c r="D1916">
        <v>4.844684</v>
      </c>
      <c r="E1916">
        <v>0.50490610000000002</v>
      </c>
      <c r="F1916" t="s">
        <v>56</v>
      </c>
      <c r="G1916">
        <v>-435.29730000000001</v>
      </c>
      <c r="H1916" s="1">
        <v>4.5706900000000003E-6</v>
      </c>
      <c r="I1916">
        <v>284.56420000000003</v>
      </c>
      <c r="J1916">
        <v>-403.73579999999998</v>
      </c>
      <c r="K1916">
        <v>1.1046279999999999</v>
      </c>
      <c r="L1916">
        <v>285.63909999999998</v>
      </c>
      <c r="M1916">
        <v>-0.99951329999999905</v>
      </c>
      <c r="N1916">
        <v>0</v>
      </c>
      <c r="O1916">
        <v>-2.750536E-2</v>
      </c>
      <c r="P1916">
        <v>-0.99848459999999895</v>
      </c>
      <c r="Q1916">
        <v>2.8087750000000002E-2</v>
      </c>
      <c r="R1916">
        <v>-4.7329940000000001E-2</v>
      </c>
      <c r="S1916">
        <v>-3.0025330000000001</v>
      </c>
      <c r="T1916">
        <v>-0.10416309999999999</v>
      </c>
      <c r="U1916">
        <v>-0.1020813</v>
      </c>
      <c r="V1916">
        <v>-1.9844879999999999E-2</v>
      </c>
      <c r="W1916">
        <v>4.2800049999999999E-2</v>
      </c>
      <c r="X1916">
        <v>0.99888650000000001</v>
      </c>
      <c r="Y1916">
        <v>-6.4860739999999997E-3</v>
      </c>
      <c r="Z1916">
        <v>8.4110779999999996E-4</v>
      </c>
      <c r="AA1916">
        <v>0.99997860000000005</v>
      </c>
      <c r="AB1916">
        <v>47</v>
      </c>
      <c r="AC1916">
        <v>-31.561499999999999</v>
      </c>
      <c r="AD1916">
        <v>-1.1046234293099999</v>
      </c>
      <c r="AE1916">
        <v>-1.07489999999995</v>
      </c>
      <c r="AF1916">
        <v>-0.20603668144882001</v>
      </c>
      <c r="AG1916">
        <v>-1.1046234293099999</v>
      </c>
      <c r="AH1916">
        <v>31.540534662358599</v>
      </c>
      <c r="AI1916">
        <v>92.005769874767793</v>
      </c>
      <c r="AJ1916">
        <v>90.374275974859003</v>
      </c>
      <c r="AK1916">
        <v>31.560544526705002</v>
      </c>
    </row>
    <row r="1917" spans="1:37" x14ac:dyDescent="0.2">
      <c r="A1917" t="str">
        <f>"20200111153435620"</f>
        <v>20200111153435620</v>
      </c>
      <c r="B1917" t="str">
        <f>"1578728075608386"</f>
        <v>1578728075608386</v>
      </c>
      <c r="C1917" t="s">
        <v>37</v>
      </c>
      <c r="D1917">
        <v>4.9306720000000004</v>
      </c>
      <c r="E1917">
        <v>0.50490610000000002</v>
      </c>
      <c r="F1917" t="s">
        <v>56</v>
      </c>
      <c r="G1917">
        <v>-436.2516</v>
      </c>
      <c r="H1917" s="1">
        <v>4.9962770000000003E-6</v>
      </c>
      <c r="I1917">
        <v>284.5369</v>
      </c>
      <c r="J1917">
        <v>-404.00380000000001</v>
      </c>
      <c r="K1917">
        <v>1.1046309999999999</v>
      </c>
      <c r="L1917">
        <v>285.63170000000002</v>
      </c>
      <c r="M1917">
        <v>-0.99951319999999999</v>
      </c>
      <c r="N1917">
        <v>0</v>
      </c>
      <c r="O1917">
        <v>-2.7505910000000001E-2</v>
      </c>
      <c r="P1917">
        <v>-0.99846469999999898</v>
      </c>
      <c r="Q1917">
        <v>2.8610989999999999E-2</v>
      </c>
      <c r="R1917">
        <v>-4.7432210000000002E-2</v>
      </c>
      <c r="S1917">
        <v>-3.0025629999999999</v>
      </c>
      <c r="T1917">
        <v>-0.1020026</v>
      </c>
      <c r="U1917">
        <v>-0.10177609999999999</v>
      </c>
      <c r="V1917">
        <v>-1.994684E-2</v>
      </c>
      <c r="W1917">
        <v>4.3320749999999998E-2</v>
      </c>
      <c r="X1917">
        <v>0.99886209999999898</v>
      </c>
      <c r="Y1917">
        <v>-6.3831959999999998E-3</v>
      </c>
      <c r="Z1917">
        <v>8.2543130000000005E-4</v>
      </c>
      <c r="AA1917">
        <v>0.99997930000000002</v>
      </c>
      <c r="AB1917">
        <v>47</v>
      </c>
      <c r="AC1917">
        <v>-32.247799999999899</v>
      </c>
      <c r="AD1917">
        <v>-1.104626003723</v>
      </c>
      <c r="AE1917">
        <v>-1.09480000000002</v>
      </c>
      <c r="AF1917">
        <v>-0.20704178211910901</v>
      </c>
      <c r="AG1917">
        <v>-1.104626003723</v>
      </c>
      <c r="AH1917">
        <v>32.227941478047001</v>
      </c>
      <c r="AI1917">
        <v>91.963027529129207</v>
      </c>
      <c r="AJ1917">
        <v>90.368079888507296</v>
      </c>
      <c r="AK1917">
        <v>32.247531329081099</v>
      </c>
    </row>
    <row r="1918" spans="1:37" x14ac:dyDescent="0.2">
      <c r="A1918" t="str">
        <f>"20200111153435632"</f>
        <v>20200111153435632</v>
      </c>
      <c r="B1918" t="str">
        <f>"1578728075627906"</f>
        <v>1578728075627906</v>
      </c>
      <c r="C1918" t="s">
        <v>37</v>
      </c>
      <c r="D1918">
        <v>4.846425</v>
      </c>
      <c r="E1918">
        <v>0.52633660000000004</v>
      </c>
      <c r="F1918" t="s">
        <v>56</v>
      </c>
      <c r="G1918">
        <v>-437.02730000000003</v>
      </c>
      <c r="H1918" s="1">
        <v>5.3428480000000004E-6</v>
      </c>
      <c r="I1918">
        <v>284.50729999999999</v>
      </c>
      <c r="J1918">
        <v>-404.27210000000002</v>
      </c>
      <c r="K1918">
        <v>1.104633</v>
      </c>
      <c r="L1918">
        <v>285.62430000000001</v>
      </c>
      <c r="M1918">
        <v>-0.99951329999999905</v>
      </c>
      <c r="N1918">
        <v>0</v>
      </c>
      <c r="O1918">
        <v>-2.7506590000000001E-2</v>
      </c>
      <c r="P1918">
        <v>-0.99845699999999904</v>
      </c>
      <c r="Q1918">
        <v>2.893654E-2</v>
      </c>
      <c r="R1918">
        <v>-4.739409E-2</v>
      </c>
      <c r="S1918">
        <v>-3.00259399999999</v>
      </c>
      <c r="T1918">
        <v>-0.1004356</v>
      </c>
      <c r="U1918">
        <v>-0.102233899999999</v>
      </c>
      <c r="V1918">
        <v>-1.9908929999999998E-2</v>
      </c>
      <c r="W1918">
        <v>4.3645160000000002E-2</v>
      </c>
      <c r="X1918">
        <v>0.99884869999999903</v>
      </c>
      <c r="Y1918">
        <v>-6.5339949999999999E-3</v>
      </c>
      <c r="Z1918">
        <v>8.1024890000000005E-4</v>
      </c>
      <c r="AA1918">
        <v>0.99997829999999999</v>
      </c>
      <c r="AB1918">
        <v>47</v>
      </c>
      <c r="AC1918">
        <v>-32.755200000000002</v>
      </c>
      <c r="AD1918">
        <v>-1.104627657152</v>
      </c>
      <c r="AE1918">
        <v>-1.11700000000001</v>
      </c>
      <c r="AF1918">
        <v>-0.21525131460734401</v>
      </c>
      <c r="AG1918">
        <v>-1.104627657152</v>
      </c>
      <c r="AH1918">
        <v>32.736344182527397</v>
      </c>
      <c r="AI1918">
        <v>91.932565569688094</v>
      </c>
      <c r="AJ1918">
        <v>90.376731563556305</v>
      </c>
      <c r="AK1918">
        <v>32.755682954661197</v>
      </c>
    </row>
    <row r="1919" spans="1:37" x14ac:dyDescent="0.2">
      <c r="A1919" t="str">
        <f>"20200111153435652"</f>
        <v>20200111153435652</v>
      </c>
      <c r="B1919" t="str">
        <f>"1578728075648403"</f>
        <v>1578728075648403</v>
      </c>
      <c r="C1919" t="s">
        <v>37</v>
      </c>
      <c r="D1919">
        <v>4.8001509999999996</v>
      </c>
      <c r="E1919">
        <v>0.53040589999999999</v>
      </c>
      <c r="F1919" t="s">
        <v>50</v>
      </c>
      <c r="G1919">
        <v>-489.00630000000001</v>
      </c>
      <c r="H1919" s="1">
        <v>4.059423E-6</v>
      </c>
      <c r="I1919">
        <v>287.54579999999999</v>
      </c>
      <c r="J1919">
        <v>-404.676999999999</v>
      </c>
      <c r="K1919">
        <v>1.1046419999999999</v>
      </c>
      <c r="L1919">
        <v>285.61320000000001</v>
      </c>
      <c r="M1919">
        <v>-0.99951329999999905</v>
      </c>
      <c r="N1919">
        <v>0</v>
      </c>
      <c r="O1919">
        <v>-2.7507730000000001E-2</v>
      </c>
      <c r="P1919">
        <v>-0.99845249999999997</v>
      </c>
      <c r="Q1919">
        <v>2.941583E-2</v>
      </c>
      <c r="R1919">
        <v>-4.7195599999999997E-2</v>
      </c>
      <c r="S1919">
        <v>-3.009064</v>
      </c>
      <c r="T1919">
        <v>-3.9227369999999998E-2</v>
      </c>
      <c r="U1919">
        <v>6.8237300000000001E-2</v>
      </c>
      <c r="V1919">
        <v>-1.9708949999999999E-2</v>
      </c>
      <c r="W1919">
        <v>4.4121069999999998E-2</v>
      </c>
      <c r="X1919">
        <v>0.99883169999999899</v>
      </c>
      <c r="Y1919">
        <v>5.0159889999999999E-2</v>
      </c>
      <c r="Z1919">
        <v>6.8546979999999905E-4</v>
      </c>
      <c r="AA1919">
        <v>0.99874099999999999</v>
      </c>
      <c r="AB1919">
        <v>47</v>
      </c>
      <c r="AC1919">
        <v>-84.329300000000003</v>
      </c>
      <c r="AD1919">
        <v>-1.1046379405769999</v>
      </c>
      <c r="AE1919">
        <v>1.9325999999999799</v>
      </c>
      <c r="AF1919">
        <v>4.2510982307470302</v>
      </c>
      <c r="AG1919">
        <v>-1.1046379405769999</v>
      </c>
      <c r="AH1919">
        <v>84.229769813124193</v>
      </c>
      <c r="AI1919">
        <v>90.750411907151801</v>
      </c>
      <c r="AJ1919">
        <v>87.110718787518095</v>
      </c>
      <c r="AK1919">
        <v>84.344212509923395</v>
      </c>
    </row>
    <row r="1920" spans="1:37" x14ac:dyDescent="0.2">
      <c r="A1920" t="str">
        <f>"20200111153435675"</f>
        <v>20200111153435675</v>
      </c>
      <c r="B1920" t="str">
        <f>"1578728075668430"</f>
        <v>1578728075668430</v>
      </c>
      <c r="C1920" t="s">
        <v>37</v>
      </c>
      <c r="D1920">
        <v>4.8348269999999998</v>
      </c>
      <c r="E1920">
        <v>0.53169699999999998</v>
      </c>
      <c r="F1920" t="s">
        <v>50</v>
      </c>
      <c r="G1920">
        <v>-504.87040000000002</v>
      </c>
      <c r="H1920">
        <v>7.9981769999999994E-2</v>
      </c>
      <c r="I1920">
        <v>288.97620000000001</v>
      </c>
      <c r="J1920">
        <v>-405.14830000000001</v>
      </c>
      <c r="K1920">
        <v>1.104657</v>
      </c>
      <c r="L1920">
        <v>285.60019999999997</v>
      </c>
      <c r="M1920">
        <v>-0.99951329999999905</v>
      </c>
      <c r="N1920">
        <v>0</v>
      </c>
      <c r="O1920">
        <v>-2.7508749999999998E-2</v>
      </c>
      <c r="P1920">
        <v>-0.99849089999999996</v>
      </c>
      <c r="Q1920">
        <v>2.926105E-2</v>
      </c>
      <c r="R1920">
        <v>-4.6477610000000003E-2</v>
      </c>
      <c r="S1920">
        <v>-3.010345</v>
      </c>
      <c r="T1920">
        <v>-3.0786279999999999E-2</v>
      </c>
      <c r="U1920">
        <v>0.1010437</v>
      </c>
      <c r="V1920">
        <v>-1.898847E-2</v>
      </c>
      <c r="W1920">
        <v>4.3963870000000002E-2</v>
      </c>
      <c r="X1920">
        <v>0.99885270000000004</v>
      </c>
      <c r="Y1920">
        <v>6.1025499999999899E-2</v>
      </c>
      <c r="Z1920">
        <v>5.9322940000000005E-4</v>
      </c>
      <c r="AA1920">
        <v>0.99813600000000002</v>
      </c>
      <c r="AB1920">
        <v>46</v>
      </c>
      <c r="AC1920">
        <v>-99.722099999999998</v>
      </c>
      <c r="AD1920">
        <v>-1.0246752299999999</v>
      </c>
      <c r="AE1920">
        <v>3.3760000000000301</v>
      </c>
      <c r="AF1920">
        <v>6.1176041777519101</v>
      </c>
      <c r="AG1920">
        <v>-1.0246752299999999</v>
      </c>
      <c r="AH1920">
        <v>99.580971761793904</v>
      </c>
      <c r="AI1920">
        <v>90.588436026637197</v>
      </c>
      <c r="AJ1920">
        <v>86.484539804457</v>
      </c>
      <c r="AK1920">
        <v>99.773969437052202</v>
      </c>
    </row>
    <row r="1921" spans="1:37" x14ac:dyDescent="0.2">
      <c r="A1921" t="str">
        <f>"20200111153435688"</f>
        <v>20200111153435688</v>
      </c>
      <c r="B1921" t="str">
        <f>"1578728075678191"</f>
        <v>1578728075678191</v>
      </c>
      <c r="C1921" t="s">
        <v>37</v>
      </c>
      <c r="D1921">
        <v>4.8316860000000004</v>
      </c>
      <c r="E1921">
        <v>0.53183530000000001</v>
      </c>
      <c r="F1921" t="s">
        <v>38</v>
      </c>
      <c r="G1921">
        <v>-536.3587</v>
      </c>
      <c r="H1921">
        <v>-0.05</v>
      </c>
      <c r="I1921">
        <v>290.54399999999998</v>
      </c>
      <c r="J1921">
        <v>-405.43450000000001</v>
      </c>
      <c r="K1921">
        <v>1.104665</v>
      </c>
      <c r="L1921">
        <v>285.5924</v>
      </c>
      <c r="M1921">
        <v>-0.99951329999999905</v>
      </c>
      <c r="N1921">
        <v>0</v>
      </c>
      <c r="O1921">
        <v>-2.7509080000000002E-2</v>
      </c>
      <c r="P1921">
        <v>-0.99850859999999997</v>
      </c>
      <c r="Q1921">
        <v>2.9230820000000001E-2</v>
      </c>
      <c r="R1921">
        <v>-4.6110350000000001E-2</v>
      </c>
      <c r="S1921">
        <v>-3.0105900000000001</v>
      </c>
      <c r="T1921">
        <v>-2.6493309999999999E-2</v>
      </c>
      <c r="U1921">
        <v>0.1134338</v>
      </c>
      <c r="V1921">
        <v>-1.8620790000000002E-2</v>
      </c>
      <c r="W1921">
        <v>4.3931940000000003E-2</v>
      </c>
      <c r="X1921">
        <v>0.998861</v>
      </c>
      <c r="Y1921">
        <v>6.5126279999999995E-2</v>
      </c>
      <c r="Z1921">
        <v>5.284749E-4</v>
      </c>
      <c r="AA1921">
        <v>0.99787689999999996</v>
      </c>
      <c r="AB1921">
        <v>46</v>
      </c>
      <c r="AC1921">
        <v>-130.92419999999899</v>
      </c>
      <c r="AD1921">
        <v>-1.1546650000000001</v>
      </c>
      <c r="AE1921">
        <v>4.95160000000004</v>
      </c>
      <c r="AF1921">
        <v>8.5510555949393794</v>
      </c>
      <c r="AG1921">
        <v>-1.1546650000000001</v>
      </c>
      <c r="AH1921">
        <v>130.72825916577901</v>
      </c>
      <c r="AI1921">
        <v>90.504976083003498</v>
      </c>
      <c r="AJ1921">
        <v>86.257561771543905</v>
      </c>
      <c r="AK1921">
        <v>131.01271521331401</v>
      </c>
    </row>
    <row r="1922" spans="1:37" x14ac:dyDescent="0.2">
      <c r="A1922" t="str">
        <f>"20200111153435707"</f>
        <v>20200111153435707</v>
      </c>
      <c r="B1922" t="str">
        <f>"1578728075697710"</f>
        <v>1578728075697710</v>
      </c>
      <c r="C1922" t="s">
        <v>37</v>
      </c>
      <c r="D1922">
        <v>4.8357929999999998</v>
      </c>
      <c r="E1922">
        <v>0.53199929999999995</v>
      </c>
      <c r="F1922" t="s">
        <v>38</v>
      </c>
      <c r="G1922">
        <v>-540.69230000000005</v>
      </c>
      <c r="H1922">
        <v>-0.05</v>
      </c>
      <c r="I1922">
        <v>290.7833</v>
      </c>
      <c r="J1922">
        <v>-405.81959999999998</v>
      </c>
      <c r="K1922">
        <v>1.1046860000000001</v>
      </c>
      <c r="L1922">
        <v>285.58179999999999</v>
      </c>
      <c r="M1922">
        <v>-0.99951329999999905</v>
      </c>
      <c r="N1922">
        <v>0</v>
      </c>
      <c r="O1922">
        <v>-2.7509639999999998E-2</v>
      </c>
      <c r="P1922">
        <v>-0.99854920000000003</v>
      </c>
      <c r="Q1922">
        <v>2.9055580000000001E-2</v>
      </c>
      <c r="R1922">
        <v>-4.5338400000000001E-2</v>
      </c>
      <c r="S1922">
        <v>-3.0105590000000002</v>
      </c>
      <c r="T1922">
        <v>-2.570045E-2</v>
      </c>
      <c r="U1922">
        <v>0.11553959999999899</v>
      </c>
      <c r="V1922">
        <v>-1.7847430000000001E-2</v>
      </c>
      <c r="W1922">
        <v>4.375474E-2</v>
      </c>
      <c r="X1922">
        <v>0.99888290000000002</v>
      </c>
      <c r="Y1922">
        <v>6.5824350000000004E-2</v>
      </c>
      <c r="Z1922">
        <v>5.156421E-4</v>
      </c>
      <c r="AA1922">
        <v>0.99783109999999997</v>
      </c>
      <c r="AB1922">
        <v>46</v>
      </c>
      <c r="AC1922">
        <v>-134.87270000000001</v>
      </c>
      <c r="AD1922">
        <v>-1.1546860000000001</v>
      </c>
      <c r="AE1922">
        <v>5.2015000000000002</v>
      </c>
      <c r="AF1922">
        <v>8.90957984967668</v>
      </c>
      <c r="AG1922">
        <v>-1.1546860000000001</v>
      </c>
      <c r="AH1922">
        <v>134.668681910967</v>
      </c>
      <c r="AI1922">
        <v>90.490186038433905</v>
      </c>
      <c r="AJ1922">
        <v>86.214869968077195</v>
      </c>
      <c r="AK1922">
        <v>134.96802510407301</v>
      </c>
    </row>
    <row r="1923" spans="1:37" x14ac:dyDescent="0.2">
      <c r="A1923" t="str">
        <f>"20200111153435721"</f>
        <v>20200111153435721</v>
      </c>
      <c r="B1923" t="str">
        <f>"1578728075708446"</f>
        <v>1578728075708446</v>
      </c>
      <c r="C1923" t="s">
        <v>37</v>
      </c>
      <c r="D1923">
        <v>4.8328470000000001</v>
      </c>
      <c r="E1923">
        <v>0.53192039999999996</v>
      </c>
      <c r="F1923" t="s">
        <v>38</v>
      </c>
      <c r="G1923">
        <v>-542.19680000000005</v>
      </c>
      <c r="H1923">
        <v>-0.05</v>
      </c>
      <c r="I1923">
        <v>290.9803</v>
      </c>
      <c r="J1923">
        <v>-406.09249999999997</v>
      </c>
      <c r="K1923">
        <v>1.104698</v>
      </c>
      <c r="L1923">
        <v>285.57420000000002</v>
      </c>
      <c r="M1923">
        <v>-0.9995134</v>
      </c>
      <c r="N1923">
        <v>0</v>
      </c>
      <c r="O1923">
        <v>-2.7509970000000002E-2</v>
      </c>
      <c r="P1923">
        <v>-0.9985695</v>
      </c>
      <c r="Q1923">
        <v>2.901192E-2</v>
      </c>
      <c r="R1923">
        <v>-4.4919199999999902E-2</v>
      </c>
      <c r="S1923">
        <v>-3.0104980000000001</v>
      </c>
      <c r="T1923">
        <v>-2.548945E-2</v>
      </c>
      <c r="U1923">
        <v>0.1191711</v>
      </c>
      <c r="V1923">
        <v>-1.7427359999999999E-2</v>
      </c>
      <c r="W1923">
        <v>4.3709480000000002E-2</v>
      </c>
      <c r="X1923">
        <v>0.99889219999999901</v>
      </c>
      <c r="Y1923">
        <v>6.7027279999999995E-2</v>
      </c>
      <c r="Z1923">
        <v>5.1650139999999997E-4</v>
      </c>
      <c r="AA1923">
        <v>0.99775100000000005</v>
      </c>
      <c r="AB1923">
        <v>46</v>
      </c>
      <c r="AC1923">
        <v>-136.10429999999999</v>
      </c>
      <c r="AD1923">
        <v>-1.154698</v>
      </c>
      <c r="AE1923">
        <v>5.4060999999999799</v>
      </c>
      <c r="AF1923">
        <v>9.14802605722981</v>
      </c>
      <c r="AG1923">
        <v>-1.154698</v>
      </c>
      <c r="AH1923">
        <v>135.894273784582</v>
      </c>
      <c r="AI1923">
        <v>90.485733079398202</v>
      </c>
      <c r="AJ1923">
        <v>86.148817182693605</v>
      </c>
      <c r="AK1923">
        <v>136.20673021423701</v>
      </c>
    </row>
    <row r="1924" spans="1:37" x14ac:dyDescent="0.2">
      <c r="A1924" t="str">
        <f>"20200111153435733"</f>
        <v>20200111153435733</v>
      </c>
      <c r="B1924" t="str">
        <f>"1578728075727967"</f>
        <v>1578728075727967</v>
      </c>
      <c r="C1924" t="s">
        <v>37</v>
      </c>
      <c r="D1924">
        <v>4.8235739999999998</v>
      </c>
      <c r="E1924">
        <v>0.53178319999999901</v>
      </c>
      <c r="F1924" t="s">
        <v>38</v>
      </c>
      <c r="G1924">
        <v>-538.24519999999995</v>
      </c>
      <c r="H1924">
        <v>-0.05</v>
      </c>
      <c r="I1924">
        <v>290.82839999999999</v>
      </c>
      <c r="J1924">
        <v>-406.3809</v>
      </c>
      <c r="K1924">
        <v>1.1047089999999999</v>
      </c>
      <c r="L1924">
        <v>285.56630000000001</v>
      </c>
      <c r="M1924">
        <v>-0.99951329999999905</v>
      </c>
      <c r="N1924">
        <v>0</v>
      </c>
      <c r="O1924">
        <v>-2.751031E-2</v>
      </c>
      <c r="P1924">
        <v>-0.99857439999999997</v>
      </c>
      <c r="Q1924">
        <v>2.933817E-2</v>
      </c>
      <c r="R1924">
        <v>-4.4591529999999997E-2</v>
      </c>
      <c r="S1924">
        <v>-3.010437</v>
      </c>
      <c r="T1924">
        <v>-2.6304009999999999E-2</v>
      </c>
      <c r="U1924">
        <v>0.119689899999999</v>
      </c>
      <c r="V1924">
        <v>-1.7099409999999999E-2</v>
      </c>
      <c r="W1924">
        <v>4.4033419999999997E-2</v>
      </c>
      <c r="X1924">
        <v>0.99888369999999904</v>
      </c>
      <c r="Y1924">
        <v>6.719986E-2</v>
      </c>
      <c r="Z1924">
        <v>5.3377220000000003E-4</v>
      </c>
      <c r="AA1924">
        <v>0.99773940000000005</v>
      </c>
      <c r="AB1924">
        <v>46</v>
      </c>
      <c r="AC1924">
        <v>-131.86429999999899</v>
      </c>
      <c r="AD1924">
        <v>-1.154709</v>
      </c>
      <c r="AE1924">
        <v>5.26209999999997</v>
      </c>
      <c r="AF1924">
        <v>8.8874477948625099</v>
      </c>
      <c r="AG1924">
        <v>-1.154709</v>
      </c>
      <c r="AH1924">
        <v>131.659523708145</v>
      </c>
      <c r="AI1924">
        <v>90.501354126415194</v>
      </c>
      <c r="AJ1924">
        <v>86.138206335102595</v>
      </c>
      <c r="AK1924">
        <v>131.964200691842</v>
      </c>
    </row>
    <row r="1925" spans="1:37" x14ac:dyDescent="0.2">
      <c r="A1925" t="str">
        <f>"20200111153435746"</f>
        <v>20200111153435746</v>
      </c>
      <c r="B1925" t="str">
        <f>"1578728075737727"</f>
        <v>1578728075737727</v>
      </c>
      <c r="C1925" t="s">
        <v>37</v>
      </c>
      <c r="D1925">
        <v>4.7560539999999998</v>
      </c>
      <c r="E1925">
        <v>0.53186330000000004</v>
      </c>
      <c r="F1925" t="s">
        <v>38</v>
      </c>
      <c r="G1925">
        <v>-553.83450000000005</v>
      </c>
      <c r="H1925">
        <v>-0.05</v>
      </c>
      <c r="I1925">
        <v>291.42899999999997</v>
      </c>
      <c r="J1925">
        <v>-406.64319999999998</v>
      </c>
      <c r="K1925">
        <v>1.1047199999999999</v>
      </c>
      <c r="L1925">
        <v>285.5591</v>
      </c>
      <c r="M1925">
        <v>-0.9995134</v>
      </c>
      <c r="N1925">
        <v>0</v>
      </c>
      <c r="O1925">
        <v>-2.751077E-2</v>
      </c>
      <c r="P1925">
        <v>-0.99859809999999904</v>
      </c>
      <c r="Q1925">
        <v>2.9225930000000001E-2</v>
      </c>
      <c r="R1925">
        <v>-4.4137620000000002E-2</v>
      </c>
      <c r="S1925">
        <v>-3.010345</v>
      </c>
      <c r="T1925">
        <v>-2.357399E-2</v>
      </c>
      <c r="U1925">
        <v>0.119689899999999</v>
      </c>
      <c r="V1925">
        <v>-1.6644619999999999E-2</v>
      </c>
      <c r="W1925">
        <v>4.392004E-2</v>
      </c>
      <c r="X1925">
        <v>0.99889640000000002</v>
      </c>
      <c r="Y1925">
        <v>6.7202230000000002E-2</v>
      </c>
      <c r="Z1925">
        <v>4.7840280000000001E-4</v>
      </c>
      <c r="AA1925">
        <v>0.9977393</v>
      </c>
      <c r="AB1925">
        <v>46</v>
      </c>
      <c r="AC1925">
        <v>-147.19130000000001</v>
      </c>
      <c r="AD1925">
        <v>-1.15472</v>
      </c>
      <c r="AE1925">
        <v>5.8699000000000296</v>
      </c>
      <c r="AF1925">
        <v>9.91685209111162</v>
      </c>
      <c r="AG1925">
        <v>-1.15472</v>
      </c>
      <c r="AH1925">
        <v>146.96504365161601</v>
      </c>
      <c r="AI1925">
        <v>90.449148443526497</v>
      </c>
      <c r="AJ1925">
        <v>86.139668775581001</v>
      </c>
      <c r="AK1925">
        <v>147.30377248800099</v>
      </c>
    </row>
    <row r="1926" spans="1:37" x14ac:dyDescent="0.2">
      <c r="A1926" t="str">
        <f>"20200111153435759"</f>
        <v>20200111153435759</v>
      </c>
      <c r="B1926" t="str">
        <f>"1578728075748463"</f>
        <v>1578728075748463</v>
      </c>
      <c r="C1926" t="s">
        <v>37</v>
      </c>
      <c r="D1926">
        <v>4.7355039999999997</v>
      </c>
      <c r="E1926">
        <v>0.53191469999999996</v>
      </c>
      <c r="F1926" t="s">
        <v>38</v>
      </c>
      <c r="G1926">
        <v>-534.44330000000002</v>
      </c>
      <c r="H1926">
        <v>-0.05</v>
      </c>
      <c r="I1926">
        <v>290.7167</v>
      </c>
      <c r="J1926">
        <v>-406.90699999999998</v>
      </c>
      <c r="K1926">
        <v>1.10473</v>
      </c>
      <c r="L1926">
        <v>285.55180000000001</v>
      </c>
      <c r="M1926">
        <v>-0.99951350000000005</v>
      </c>
      <c r="N1926">
        <v>0</v>
      </c>
      <c r="O1926">
        <v>-2.75111E-2</v>
      </c>
      <c r="P1926">
        <v>-0.99861440000000001</v>
      </c>
      <c r="Q1926">
        <v>2.9294199999999999E-2</v>
      </c>
      <c r="R1926">
        <v>-4.3723900000000003E-2</v>
      </c>
      <c r="S1926">
        <v>-3.0104060000000001</v>
      </c>
      <c r="T1926">
        <v>-2.7200099999999901E-2</v>
      </c>
      <c r="U1926">
        <v>0.1214905</v>
      </c>
      <c r="V1926">
        <v>-1.623018E-2</v>
      </c>
      <c r="W1926">
        <v>4.3986740000000003E-2</v>
      </c>
      <c r="X1926">
        <v>0.99890029999999996</v>
      </c>
      <c r="Y1926">
        <v>6.7796540000000002E-2</v>
      </c>
      <c r="Z1926">
        <v>5.5465639999999997E-4</v>
      </c>
      <c r="AA1926">
        <v>0.997699</v>
      </c>
      <c r="AB1926">
        <v>46</v>
      </c>
      <c r="AC1926">
        <v>-127.5363</v>
      </c>
      <c r="AD1926">
        <v>-1.15473</v>
      </c>
      <c r="AE1926">
        <v>5.1648999999999798</v>
      </c>
      <c r="AF1926">
        <v>8.6712776988720801</v>
      </c>
      <c r="AG1926">
        <v>-1.15473</v>
      </c>
      <c r="AH1926">
        <v>127.33548789468</v>
      </c>
      <c r="AI1926">
        <v>90.518366731691799</v>
      </c>
      <c r="AJ1926">
        <v>86.104292920530696</v>
      </c>
      <c r="AK1926">
        <v>127.635617817598</v>
      </c>
    </row>
    <row r="1927" spans="1:37" x14ac:dyDescent="0.2">
      <c r="A1927" t="str">
        <f>"20200111153435773"</f>
        <v>20200111153435773</v>
      </c>
      <c r="B1927" t="str">
        <f>"1578728075768407"</f>
        <v>1578728075768407</v>
      </c>
      <c r="C1927" t="s">
        <v>37</v>
      </c>
      <c r="D1927">
        <v>4.7888659999999996</v>
      </c>
      <c r="E1927">
        <v>0.53209469999999903</v>
      </c>
      <c r="F1927" t="s">
        <v>38</v>
      </c>
      <c r="G1927">
        <v>-517.57780000000002</v>
      </c>
      <c r="H1927">
        <v>-0.05</v>
      </c>
      <c r="I1927">
        <v>290.08190000000002</v>
      </c>
      <c r="J1927">
        <v>-407.19639999999998</v>
      </c>
      <c r="K1927">
        <v>1.104741</v>
      </c>
      <c r="L1927">
        <v>285.54390000000001</v>
      </c>
      <c r="M1927">
        <v>-0.99951329999999905</v>
      </c>
      <c r="N1927">
        <v>0</v>
      </c>
      <c r="O1927">
        <v>-2.7511319999999999E-2</v>
      </c>
      <c r="P1927">
        <v>-0.99861169999999999</v>
      </c>
      <c r="Q1927">
        <v>2.9679919999999999E-2</v>
      </c>
      <c r="R1927">
        <v>-4.3518729999999999E-2</v>
      </c>
      <c r="S1927">
        <v>-3.0104980000000001</v>
      </c>
      <c r="T1927">
        <v>-3.1411290000000001E-2</v>
      </c>
      <c r="U1927">
        <v>0.12322999999999899</v>
      </c>
      <c r="V1927">
        <v>-1.602462E-2</v>
      </c>
      <c r="W1927">
        <v>4.4370220000000002E-2</v>
      </c>
      <c r="X1927">
        <v>0.99888659999999996</v>
      </c>
      <c r="Y1927">
        <v>6.8369769999999996E-2</v>
      </c>
      <c r="Z1927">
        <v>6.4349060000000002E-4</v>
      </c>
      <c r="AA1927">
        <v>0.99765990000000004</v>
      </c>
      <c r="AB1927">
        <v>46</v>
      </c>
      <c r="AC1927">
        <v>-110.3814</v>
      </c>
      <c r="AD1927">
        <v>-1.154741</v>
      </c>
      <c r="AE1927">
        <v>4.53800000000001</v>
      </c>
      <c r="AF1927">
        <v>7.5725210975966997</v>
      </c>
      <c r="AG1927">
        <v>-1.154741</v>
      </c>
      <c r="AH1927">
        <v>110.202710572934</v>
      </c>
      <c r="AI1927">
        <v>90.598930233135107</v>
      </c>
      <c r="AJ1927">
        <v>86.069129746712406</v>
      </c>
      <c r="AK1927">
        <v>110.468610565049</v>
      </c>
    </row>
    <row r="1928" spans="1:37" x14ac:dyDescent="0.2">
      <c r="A1928" t="str">
        <f>"20200111153435786"</f>
        <v>20200111153435786</v>
      </c>
      <c r="B1928" t="str">
        <f>"1578728075778168"</f>
        <v>1578728075778168</v>
      </c>
      <c r="C1928" t="s">
        <v>37</v>
      </c>
      <c r="D1928">
        <v>4.7687569999999999</v>
      </c>
      <c r="E1928">
        <v>0.53216140000000001</v>
      </c>
      <c r="F1928" t="s">
        <v>50</v>
      </c>
      <c r="G1928">
        <v>-499.95780000000002</v>
      </c>
      <c r="H1928">
        <v>6.3325279999999996E-3</v>
      </c>
      <c r="I1928">
        <v>289.40929999999997</v>
      </c>
      <c r="J1928">
        <v>-407.46510000000001</v>
      </c>
      <c r="K1928">
        <v>1.104752</v>
      </c>
      <c r="L1928">
        <v>285.53649999999999</v>
      </c>
      <c r="M1928">
        <v>-0.99951350000000005</v>
      </c>
      <c r="N1928">
        <v>0</v>
      </c>
      <c r="O1928">
        <v>-2.751178E-2</v>
      </c>
      <c r="P1928">
        <v>-0.99860899999999997</v>
      </c>
      <c r="Q1928">
        <v>2.9889550000000001E-2</v>
      </c>
      <c r="R1928">
        <v>-4.3439360000000003E-2</v>
      </c>
      <c r="S1928">
        <v>-3.0107119999999998</v>
      </c>
      <c r="T1928">
        <v>-3.565049E-2</v>
      </c>
      <c r="U1928">
        <v>0.12545780000000001</v>
      </c>
      <c r="V1928">
        <v>-1.594493E-2</v>
      </c>
      <c r="W1928">
        <v>4.4578380000000001E-2</v>
      </c>
      <c r="X1928">
        <v>0.99887870000000001</v>
      </c>
      <c r="Y1928">
        <v>6.9102699999999906E-2</v>
      </c>
      <c r="Z1928">
        <v>7.3460959999999999E-4</v>
      </c>
      <c r="AA1928">
        <v>0.99760930000000003</v>
      </c>
      <c r="AB1928">
        <v>46</v>
      </c>
      <c r="AC1928">
        <v>-92.492699999999999</v>
      </c>
      <c r="AD1928">
        <v>-1.098419472</v>
      </c>
      <c r="AE1928">
        <v>3.8727999999999798</v>
      </c>
      <c r="AF1928">
        <v>6.4153440633173799</v>
      </c>
      <c r="AG1928">
        <v>-1.098419472</v>
      </c>
      <c r="AH1928">
        <v>92.338122963908305</v>
      </c>
      <c r="AI1928">
        <v>90.679898023690498</v>
      </c>
      <c r="AJ1928">
        <v>86.025667298728607</v>
      </c>
      <c r="AK1928">
        <v>92.567230256095797</v>
      </c>
    </row>
    <row r="1929" spans="1:37" x14ac:dyDescent="0.2">
      <c r="A1929" t="str">
        <f>"20200111153435808"</f>
        <v>20200111153435808</v>
      </c>
      <c r="B1929" t="str">
        <f>"1578728075797687"</f>
        <v>1578728075797687</v>
      </c>
      <c r="C1929" t="s">
        <v>37</v>
      </c>
      <c r="D1929">
        <v>4.7470030000000003</v>
      </c>
      <c r="E1929">
        <v>0.53206290000000001</v>
      </c>
      <c r="F1929" t="s">
        <v>50</v>
      </c>
      <c r="G1929">
        <v>-497.23739999999998</v>
      </c>
      <c r="H1929" s="1">
        <v>3.09050099999999E-6</v>
      </c>
      <c r="I1929">
        <v>289.30270000000002</v>
      </c>
      <c r="J1929">
        <v>-407.90820000000002</v>
      </c>
      <c r="K1929">
        <v>1.104759</v>
      </c>
      <c r="L1929">
        <v>285.52429999999998</v>
      </c>
      <c r="M1929">
        <v>-0.99951350000000005</v>
      </c>
      <c r="N1929">
        <v>0</v>
      </c>
      <c r="O1929">
        <v>-2.7512109999999999E-2</v>
      </c>
      <c r="P1929">
        <v>-0.9985948</v>
      </c>
      <c r="Q1929">
        <v>2.9962340000000001E-2</v>
      </c>
      <c r="R1929">
        <v>-4.3719969999999997E-2</v>
      </c>
      <c r="S1929">
        <v>-3.0108029999999899</v>
      </c>
      <c r="T1929">
        <v>-3.7051319999999999E-2</v>
      </c>
      <c r="U1929">
        <v>0.12631229999999999</v>
      </c>
      <c r="V1929">
        <v>-1.6225420000000001E-2</v>
      </c>
      <c r="W1929">
        <v>4.4647939999999997E-2</v>
      </c>
      <c r="X1929">
        <v>0.99887099999999995</v>
      </c>
      <c r="Y1929">
        <v>6.9383849999999997E-2</v>
      </c>
      <c r="Z1929">
        <v>7.6517860000000003E-4</v>
      </c>
      <c r="AA1929">
        <v>0.99758979999999997</v>
      </c>
      <c r="AB1929">
        <v>46</v>
      </c>
      <c r="AC1929">
        <v>-89.329199999999901</v>
      </c>
      <c r="AD1929">
        <v>-1.104755909499</v>
      </c>
      <c r="AE1929">
        <v>3.7784000000000302</v>
      </c>
      <c r="AF1929">
        <v>6.2339177438400402</v>
      </c>
      <c r="AG1929">
        <v>-1.104755909499</v>
      </c>
      <c r="AH1929">
        <v>89.177800692913706</v>
      </c>
      <c r="AI1929">
        <v>90.7080298521294</v>
      </c>
      <c r="AJ1929">
        <v>86.001279721913704</v>
      </c>
      <c r="AK1929">
        <v>89.402250265200607</v>
      </c>
    </row>
    <row r="1930" spans="1:37" x14ac:dyDescent="0.2">
      <c r="A1930" t="str">
        <f>"20200111153435823"</f>
        <v>20200111153435823</v>
      </c>
      <c r="B1930" t="str">
        <f>"1578728075818183"</f>
        <v>1578728075818183</v>
      </c>
      <c r="C1930" t="s">
        <v>37</v>
      </c>
      <c r="D1930">
        <v>4.7242959999999998</v>
      </c>
      <c r="E1930">
        <v>0.53194090000000005</v>
      </c>
      <c r="F1930" t="s">
        <v>50</v>
      </c>
      <c r="G1930">
        <v>-491.1848</v>
      </c>
      <c r="H1930" s="1">
        <v>4.135399E-6</v>
      </c>
      <c r="I1930">
        <v>288.97390000000001</v>
      </c>
      <c r="J1930">
        <v>-408.19839999999999</v>
      </c>
      <c r="K1930">
        <v>1.1047610000000001</v>
      </c>
      <c r="L1930">
        <v>285.5163</v>
      </c>
      <c r="M1930">
        <v>-0.9995134</v>
      </c>
      <c r="N1930">
        <v>0</v>
      </c>
      <c r="O1930">
        <v>-2.751222E-2</v>
      </c>
      <c r="P1930">
        <v>-0.99860110000000002</v>
      </c>
      <c r="Q1930">
        <v>2.9947100000000001E-2</v>
      </c>
      <c r="R1930">
        <v>-4.3577190000000002E-2</v>
      </c>
      <c r="S1930">
        <v>-3.0109249999999999</v>
      </c>
      <c r="T1930">
        <v>-3.9943220000000002E-2</v>
      </c>
      <c r="U1930">
        <v>0.1247253</v>
      </c>
      <c r="V1930">
        <v>-1.608207E-2</v>
      </c>
      <c r="W1930">
        <v>4.4630780000000002E-2</v>
      </c>
      <c r="X1930">
        <v>0.99887409999999999</v>
      </c>
      <c r="Y1930">
        <v>6.8856230000000004E-2</v>
      </c>
      <c r="Z1930">
        <v>8.2137490000000002E-4</v>
      </c>
      <c r="AA1930">
        <v>0.99762619999999902</v>
      </c>
      <c r="AB1930">
        <v>46</v>
      </c>
      <c r="AC1930">
        <v>-82.986400000000003</v>
      </c>
      <c r="AD1930">
        <v>-1.104756864601</v>
      </c>
      <c r="AE1930">
        <v>3.45760000000001</v>
      </c>
      <c r="AF1930">
        <v>5.7386624025815296</v>
      </c>
      <c r="AG1930">
        <v>-1.104756864601</v>
      </c>
      <c r="AH1930">
        <v>82.845186997838894</v>
      </c>
      <c r="AI1930">
        <v>90.762179030471998</v>
      </c>
      <c r="AJ1930">
        <v>86.037467453154903</v>
      </c>
      <c r="AK1930">
        <v>83.051055036089593</v>
      </c>
    </row>
    <row r="1931" spans="1:37" x14ac:dyDescent="0.2">
      <c r="A1931" t="str">
        <f>"20200111153435834"</f>
        <v>20200111153435834</v>
      </c>
      <c r="B1931" t="str">
        <f>"1578728075827942"</f>
        <v>1578728075827942</v>
      </c>
      <c r="C1931" t="s">
        <v>37</v>
      </c>
      <c r="D1931">
        <v>4.723452</v>
      </c>
      <c r="E1931">
        <v>0.53184489999999995</v>
      </c>
      <c r="F1931" t="s">
        <v>50</v>
      </c>
      <c r="G1931">
        <v>-484.9674</v>
      </c>
      <c r="H1931" s="1">
        <v>3.4426209999999998E-6</v>
      </c>
      <c r="I1931">
        <v>288.68549999999999</v>
      </c>
      <c r="J1931">
        <v>-408.46190000000001</v>
      </c>
      <c r="K1931">
        <v>1.104759</v>
      </c>
      <c r="L1931">
        <v>285.50900000000001</v>
      </c>
      <c r="M1931">
        <v>-0.9995134</v>
      </c>
      <c r="N1931">
        <v>0</v>
      </c>
      <c r="O1931">
        <v>-2.7512439999999999E-2</v>
      </c>
      <c r="P1931">
        <v>-0.99859359999999997</v>
      </c>
      <c r="Q1931">
        <v>2.9732160000000001E-2</v>
      </c>
      <c r="R1931">
        <v>-4.3897360000000003E-2</v>
      </c>
      <c r="S1931">
        <v>-3.0109249999999999</v>
      </c>
      <c r="T1931">
        <v>-4.3329239999999998E-2</v>
      </c>
      <c r="U1931">
        <v>0.12429809999999999</v>
      </c>
      <c r="V1931">
        <v>-1.6402770000000001E-2</v>
      </c>
      <c r="W1931">
        <v>4.4414509999999997E-2</v>
      </c>
      <c r="X1931">
        <v>0.9988785</v>
      </c>
      <c r="Y1931">
        <v>6.8713650000000001E-2</v>
      </c>
      <c r="Z1931">
        <v>8.8997659999999999E-4</v>
      </c>
      <c r="AA1931">
        <v>0.99763599999999997</v>
      </c>
      <c r="AB1931">
        <v>46</v>
      </c>
      <c r="AC1931">
        <v>-76.505499999999898</v>
      </c>
      <c r="AD1931">
        <v>-1.104755557379</v>
      </c>
      <c r="AE1931">
        <v>3.1764999999999701</v>
      </c>
      <c r="AF1931">
        <v>5.2792787422138501</v>
      </c>
      <c r="AG1931">
        <v>-1.104755557379</v>
      </c>
      <c r="AH1931">
        <v>76.373232815816195</v>
      </c>
      <c r="AI1931">
        <v>90.826765605048195</v>
      </c>
      <c r="AJ1931">
        <v>86.045735098604396</v>
      </c>
      <c r="AK1931">
        <v>76.563450546709404</v>
      </c>
    </row>
    <row r="1932" spans="1:37" x14ac:dyDescent="0.2">
      <c r="A1932" t="str">
        <f>"20200111153435847"</f>
        <v>20200111153435847</v>
      </c>
      <c r="B1932" t="str">
        <f>"1578728075837703"</f>
        <v>1578728075837703</v>
      </c>
      <c r="C1932" t="s">
        <v>37</v>
      </c>
      <c r="D1932">
        <v>4.7560349999999998</v>
      </c>
      <c r="E1932">
        <v>0.53186149999999999</v>
      </c>
      <c r="F1932" t="s">
        <v>50</v>
      </c>
      <c r="G1932">
        <v>-482.28100000000001</v>
      </c>
      <c r="H1932" s="1">
        <v>2.9506920000000002E-6</v>
      </c>
      <c r="I1932">
        <v>288.50920000000002</v>
      </c>
      <c r="J1932">
        <v>-408.72550000000001</v>
      </c>
      <c r="K1932">
        <v>1.104754</v>
      </c>
      <c r="L1932">
        <v>285.5018</v>
      </c>
      <c r="M1932">
        <v>-0.9995136</v>
      </c>
      <c r="N1932">
        <v>0</v>
      </c>
      <c r="O1932">
        <v>-2.7512660000000001E-2</v>
      </c>
      <c r="P1932">
        <v>-0.99858089999999999</v>
      </c>
      <c r="Q1932">
        <v>2.9703650000000002E-2</v>
      </c>
      <c r="R1932">
        <v>-4.4207499999999997E-2</v>
      </c>
      <c r="S1932">
        <v>-3.0109560000000002</v>
      </c>
      <c r="T1932">
        <v>-4.5061110000000001E-2</v>
      </c>
      <c r="U1932">
        <v>0.1223755</v>
      </c>
      <c r="V1932">
        <v>-1.6712870000000001E-2</v>
      </c>
      <c r="W1932">
        <v>4.4384029999999998E-2</v>
      </c>
      <c r="X1932">
        <v>0.99887469999999901</v>
      </c>
      <c r="Y1932">
        <v>6.8076739999999997E-2</v>
      </c>
      <c r="Z1932">
        <v>9.2078679999999902E-4</v>
      </c>
      <c r="AA1932">
        <v>0.99767969999999895</v>
      </c>
      <c r="AB1932">
        <v>46</v>
      </c>
      <c r="AC1932">
        <v>-73.555499999999995</v>
      </c>
      <c r="AD1932">
        <v>-1.1047510493079999</v>
      </c>
      <c r="AE1932">
        <v>3.0074000000000098</v>
      </c>
      <c r="AF1932">
        <v>5.0290544338291596</v>
      </c>
      <c r="AG1932">
        <v>-1.1047510493079999</v>
      </c>
      <c r="AH1932">
        <v>73.428363192052899</v>
      </c>
      <c r="AI1932">
        <v>90.859952348147502</v>
      </c>
      <c r="AJ1932">
        <v>86.081972878383297</v>
      </c>
      <c r="AK1932">
        <v>73.608670579242201</v>
      </c>
    </row>
    <row r="1933" spans="1:37" x14ac:dyDescent="0.2">
      <c r="A1933" t="str">
        <f>"20200111153435865"</f>
        <v>20200111153435865</v>
      </c>
      <c r="B1933" t="str">
        <f>"1578728075858198"</f>
        <v>1578728075858198</v>
      </c>
      <c r="C1933" t="s">
        <v>37</v>
      </c>
      <c r="D1933">
        <v>4.7606839999999897</v>
      </c>
      <c r="E1933">
        <v>0.53205930000000001</v>
      </c>
      <c r="F1933" t="s">
        <v>50</v>
      </c>
      <c r="G1933">
        <v>-479.63240000000002</v>
      </c>
      <c r="H1933" s="1">
        <v>2.6708779999999999E-6</v>
      </c>
      <c r="I1933">
        <v>288.37209999999999</v>
      </c>
      <c r="J1933">
        <v>-409.06849999999997</v>
      </c>
      <c r="K1933">
        <v>1.104733</v>
      </c>
      <c r="L1933">
        <v>285.4923</v>
      </c>
      <c r="M1933">
        <v>-0.9995136</v>
      </c>
      <c r="N1933">
        <v>0</v>
      </c>
      <c r="O1933">
        <v>-2.751288E-2</v>
      </c>
      <c r="P1933">
        <v>-0.99857289999999999</v>
      </c>
      <c r="Q1933">
        <v>2.9280440000000001E-2</v>
      </c>
      <c r="R1933">
        <v>-4.4666450000000003E-2</v>
      </c>
      <c r="S1933">
        <v>-3.0110169999999998</v>
      </c>
      <c r="T1933">
        <v>-4.6912549999999997E-2</v>
      </c>
      <c r="U1933">
        <v>0.1218872</v>
      </c>
      <c r="V1933">
        <v>-1.7171390000000002E-2</v>
      </c>
      <c r="W1933">
        <v>4.3959100000000001E-2</v>
      </c>
      <c r="X1933">
        <v>0.99888580000000005</v>
      </c>
      <c r="Y1933">
        <v>6.791374E-2</v>
      </c>
      <c r="Z1933">
        <v>9.5733259999999996E-4</v>
      </c>
      <c r="AA1933">
        <v>0.99769069999999904</v>
      </c>
      <c r="AB1933">
        <v>46</v>
      </c>
      <c r="AC1933">
        <v>-70.563900000000004</v>
      </c>
      <c r="AD1933">
        <v>-1.1047303291220001</v>
      </c>
      <c r="AE1933">
        <v>2.8797999999999799</v>
      </c>
      <c r="AF1933">
        <v>4.8191558279703104</v>
      </c>
      <c r="AG1933">
        <v>-1.1047303291220001</v>
      </c>
      <c r="AH1933">
        <v>70.440705602380007</v>
      </c>
      <c r="AI1933">
        <v>90.896408123071893</v>
      </c>
      <c r="AJ1933">
        <v>86.086244424990596</v>
      </c>
      <c r="AK1933">
        <v>70.614004968954404</v>
      </c>
    </row>
    <row r="1934" spans="1:37" x14ac:dyDescent="0.2">
      <c r="A1934" t="str">
        <f>"20200111153435878"</f>
        <v>20200111153435878</v>
      </c>
      <c r="B1934" t="str">
        <f>"1578728075867959"</f>
        <v>1578728075867959</v>
      </c>
      <c r="C1934" t="s">
        <v>37</v>
      </c>
      <c r="D1934">
        <v>4.7410220000000001</v>
      </c>
      <c r="E1934">
        <v>0.55044689999999996</v>
      </c>
      <c r="F1934" t="s">
        <v>50</v>
      </c>
      <c r="G1934">
        <v>-476.18950000000001</v>
      </c>
      <c r="H1934" s="1">
        <v>4.1839220000000001E-6</v>
      </c>
      <c r="I1934">
        <v>288.21469999999999</v>
      </c>
      <c r="J1934">
        <v>-409.3612</v>
      </c>
      <c r="K1934">
        <v>1.1047229999999999</v>
      </c>
      <c r="L1934">
        <v>285.48430000000002</v>
      </c>
      <c r="M1934">
        <v>-0.9995136</v>
      </c>
      <c r="N1934">
        <v>0</v>
      </c>
      <c r="O1934">
        <v>-2.7512990000000001E-2</v>
      </c>
      <c r="P1934">
        <v>-0.99857940000000001</v>
      </c>
      <c r="Q1934">
        <v>2.881098E-2</v>
      </c>
      <c r="R1934">
        <v>-4.4828069999999998E-2</v>
      </c>
      <c r="S1934">
        <v>-3.0112000000000001</v>
      </c>
      <c r="T1934">
        <v>-4.9560670000000001E-2</v>
      </c>
      <c r="U1934">
        <v>0.1221313</v>
      </c>
      <c r="V1934">
        <v>-1.7332259999999999E-2</v>
      </c>
      <c r="W1934">
        <v>4.3487489999999997E-2</v>
      </c>
      <c r="X1934">
        <v>0.9989036</v>
      </c>
      <c r="Y1934">
        <v>6.7990800000000004E-2</v>
      </c>
      <c r="Z1934">
        <v>1.0119369999999901E-3</v>
      </c>
      <c r="AA1934">
        <v>0.99768539999999994</v>
      </c>
      <c r="AB1934">
        <v>46</v>
      </c>
      <c r="AC1934">
        <v>-66.828299999999999</v>
      </c>
      <c r="AD1934">
        <v>-1.1047188160779999</v>
      </c>
      <c r="AE1934">
        <v>2.7303999999999702</v>
      </c>
      <c r="AF1934">
        <v>4.5669648519413704</v>
      </c>
      <c r="AG1934">
        <v>-1.1047188160779999</v>
      </c>
      <c r="AH1934">
        <v>66.709667876651807</v>
      </c>
      <c r="AI1934">
        <v>90.946522067697501</v>
      </c>
      <c r="AJ1934">
        <v>86.083623722411303</v>
      </c>
      <c r="AK1934">
        <v>66.874938204342698</v>
      </c>
    </row>
    <row r="1935" spans="1:37" x14ac:dyDescent="0.2">
      <c r="A1935" t="str">
        <f>"20200111153435892"</f>
        <v>20200111153435892</v>
      </c>
      <c r="B1935" t="str">
        <f>"1578728075888455"</f>
        <v>1578728075888455</v>
      </c>
      <c r="C1935" t="s">
        <v>37</v>
      </c>
      <c r="D1935">
        <v>4.7001330000000001</v>
      </c>
      <c r="E1935">
        <v>0.55276939999999997</v>
      </c>
      <c r="F1935" t="s">
        <v>52</v>
      </c>
      <c r="G1935">
        <v>-451.15320000000003</v>
      </c>
      <c r="H1935" s="1">
        <v>-1.1233750000000001E-6</v>
      </c>
      <c r="I1935">
        <v>289.1977</v>
      </c>
      <c r="J1935">
        <v>-409.63010000000003</v>
      </c>
      <c r="K1935">
        <v>1.104711</v>
      </c>
      <c r="L1935">
        <v>285.4769</v>
      </c>
      <c r="M1935">
        <v>-0.9995136</v>
      </c>
      <c r="N1935">
        <v>0</v>
      </c>
      <c r="O1935">
        <v>-2.751321E-2</v>
      </c>
      <c r="P1935">
        <v>-0.99857989999999996</v>
      </c>
      <c r="Q1935">
        <v>2.8333819999999999E-2</v>
      </c>
      <c r="R1935">
        <v>-4.5112060000000002E-2</v>
      </c>
      <c r="S1935">
        <v>-3.0186160000000002</v>
      </c>
      <c r="T1935">
        <v>-7.979369E-2</v>
      </c>
      <c r="U1935">
        <v>0.26821899999999999</v>
      </c>
      <c r="V1935">
        <v>-1.7616509999999998E-2</v>
      </c>
      <c r="W1935">
        <v>4.3009190000000003E-2</v>
      </c>
      <c r="X1935">
        <v>0.99891939999999901</v>
      </c>
      <c r="Y1935">
        <v>0.1158312</v>
      </c>
      <c r="Z1935">
        <v>2.2536140000000001E-3</v>
      </c>
      <c r="AA1935">
        <v>0.99326630000000005</v>
      </c>
      <c r="AB1935">
        <v>46</v>
      </c>
      <c r="AC1935">
        <v>-41.523099999999999</v>
      </c>
      <c r="AD1935">
        <v>-1.1047121233749999</v>
      </c>
      <c r="AE1935">
        <v>3.7207999999999899</v>
      </c>
      <c r="AF1935">
        <v>4.8585365435603904</v>
      </c>
      <c r="AG1935">
        <v>-1.1047121233749999</v>
      </c>
      <c r="AH1935">
        <v>41.3759422796522</v>
      </c>
      <c r="AI1935">
        <v>91.518967303559094</v>
      </c>
      <c r="AJ1935">
        <v>83.302758584872194</v>
      </c>
      <c r="AK1935">
        <v>41.674864915794899</v>
      </c>
    </row>
    <row r="1936" spans="1:37" x14ac:dyDescent="0.2">
      <c r="A1936" t="str">
        <f>"20200111153435905"</f>
        <v>20200111153435905</v>
      </c>
      <c r="B1936" t="str">
        <f>"1578728075898215"</f>
        <v>1578728075898215</v>
      </c>
      <c r="C1936" t="s">
        <v>37</v>
      </c>
      <c r="D1936">
        <v>4.712307</v>
      </c>
      <c r="E1936">
        <v>0.55299540000000003</v>
      </c>
      <c r="F1936" t="s">
        <v>52</v>
      </c>
      <c r="G1936">
        <v>-455.99509999999998</v>
      </c>
      <c r="H1936">
        <v>8.0000080000000001E-2</v>
      </c>
      <c r="I1936">
        <v>289.86410000000001</v>
      </c>
      <c r="J1936">
        <v>-409.91419999999999</v>
      </c>
      <c r="K1936">
        <v>1.1047009999999999</v>
      </c>
      <c r="L1936">
        <v>285.46910000000003</v>
      </c>
      <c r="M1936">
        <v>-0.9995136</v>
      </c>
      <c r="N1936">
        <v>0</v>
      </c>
      <c r="O1936">
        <v>-2.7513320000000001E-2</v>
      </c>
      <c r="P1936">
        <v>-0.99858469999999999</v>
      </c>
      <c r="Q1936">
        <v>2.7540869999999999E-2</v>
      </c>
      <c r="R1936">
        <v>-4.5498009999999998E-2</v>
      </c>
      <c r="S1936">
        <v>-3.0190730000000001</v>
      </c>
      <c r="T1936">
        <v>-6.6724539999999999E-2</v>
      </c>
      <c r="U1936">
        <v>0.28567500000000001</v>
      </c>
      <c r="V1936">
        <v>-1.8001989999999999E-2</v>
      </c>
      <c r="W1936">
        <v>4.2214550000000003E-2</v>
      </c>
      <c r="X1936">
        <v>0.99894640000000001</v>
      </c>
      <c r="Y1936">
        <v>0.1215248</v>
      </c>
      <c r="Z1936">
        <v>1.946602E-3</v>
      </c>
      <c r="AA1936">
        <v>0.99258649999999904</v>
      </c>
      <c r="AB1936">
        <v>46</v>
      </c>
      <c r="AC1936">
        <v>-46.0808999999999</v>
      </c>
      <c r="AD1936">
        <v>-1.0247009199999999</v>
      </c>
      <c r="AE1936">
        <v>4.39499999999998</v>
      </c>
      <c r="AF1936">
        <v>5.6585382528869204</v>
      </c>
      <c r="AG1936">
        <v>-1.0247009199999999</v>
      </c>
      <c r="AH1936">
        <v>45.920015606411802</v>
      </c>
      <c r="AI1936">
        <v>91.268744637656695</v>
      </c>
      <c r="AJ1936">
        <v>82.975086338424006</v>
      </c>
      <c r="AK1936">
        <v>46.278687323950102</v>
      </c>
    </row>
    <row r="1937" spans="1:37" x14ac:dyDescent="0.2">
      <c r="A1937" t="str">
        <f>"20200111153435919"</f>
        <v>20200111153435919</v>
      </c>
      <c r="B1937" t="str">
        <f>"1578728075907975"</f>
        <v>1578728075907975</v>
      </c>
      <c r="C1937" t="s">
        <v>37</v>
      </c>
      <c r="D1937">
        <v>4.7098519999999997</v>
      </c>
      <c r="E1937">
        <v>0.55305559999999998</v>
      </c>
      <c r="F1937" t="s">
        <v>52</v>
      </c>
      <c r="G1937">
        <v>-454.76490000000001</v>
      </c>
      <c r="H1937">
        <v>8.000119E-2</v>
      </c>
      <c r="I1937">
        <v>289.72460000000001</v>
      </c>
      <c r="J1937">
        <v>-410.20420000000001</v>
      </c>
      <c r="K1937">
        <v>1.1046819999999999</v>
      </c>
      <c r="L1937">
        <v>285.46109999999999</v>
      </c>
      <c r="M1937">
        <v>-0.9995136</v>
      </c>
      <c r="N1937">
        <v>0</v>
      </c>
      <c r="O1937">
        <v>-2.751354E-2</v>
      </c>
      <c r="P1937">
        <v>-0.99858959999999997</v>
      </c>
      <c r="Q1937">
        <v>2.6387230000000001E-2</v>
      </c>
      <c r="R1937">
        <v>-4.6072849999999999E-2</v>
      </c>
      <c r="S1937">
        <v>-3.0191650000000001</v>
      </c>
      <c r="T1937">
        <v>-6.8978670000000006E-2</v>
      </c>
      <c r="U1937">
        <v>0.28646850000000001</v>
      </c>
      <c r="V1937">
        <v>-1.8576390000000002E-2</v>
      </c>
      <c r="W1937">
        <v>4.105922E-2</v>
      </c>
      <c r="X1937">
        <v>0.99898399999999998</v>
      </c>
      <c r="Y1937">
        <v>0.121778199999999</v>
      </c>
      <c r="Z1937">
        <v>2.0151549999999998E-3</v>
      </c>
      <c r="AA1937">
        <v>0.99255530000000003</v>
      </c>
      <c r="AB1937">
        <v>46</v>
      </c>
      <c r="AC1937">
        <v>-44.560699999999997</v>
      </c>
      <c r="AD1937">
        <v>-1.02468081</v>
      </c>
      <c r="AE1937">
        <v>4.2635000000000201</v>
      </c>
      <c r="AF1937">
        <v>5.4851662685162799</v>
      </c>
      <c r="AG1937">
        <v>-1.02468081</v>
      </c>
      <c r="AH1937">
        <v>44.403243975682699</v>
      </c>
      <c r="AI1937">
        <v>91.311994499019406</v>
      </c>
      <c r="AJ1937">
        <v>82.957885001297896</v>
      </c>
      <c r="AK1937">
        <v>44.752487029433901</v>
      </c>
    </row>
    <row r="1938" spans="1:37" x14ac:dyDescent="0.2">
      <c r="A1938" t="str">
        <f>"20200111153435933"</f>
        <v>20200111153435933</v>
      </c>
      <c r="B1938" t="str">
        <f>"1578728075928470"</f>
        <v>1578728075928470</v>
      </c>
      <c r="C1938" t="s">
        <v>37</v>
      </c>
      <c r="D1938">
        <v>4.726267</v>
      </c>
      <c r="E1938">
        <v>0.55282189999999998</v>
      </c>
      <c r="F1938" t="s">
        <v>52</v>
      </c>
      <c r="G1938">
        <v>-454.5204</v>
      </c>
      <c r="H1938">
        <v>8.0001119999999995E-2</v>
      </c>
      <c r="I1938">
        <v>289.64929999999998</v>
      </c>
      <c r="J1938">
        <v>-410.48820000000001</v>
      </c>
      <c r="K1938">
        <v>1.1046739999999999</v>
      </c>
      <c r="L1938">
        <v>285.45319999999998</v>
      </c>
      <c r="M1938">
        <v>-0.9995136</v>
      </c>
      <c r="N1938">
        <v>0</v>
      </c>
      <c r="O1938">
        <v>-2.7513639999999999E-2</v>
      </c>
      <c r="P1938">
        <v>-0.9985965</v>
      </c>
      <c r="Q1938">
        <v>2.593469E-2</v>
      </c>
      <c r="R1938">
        <v>-4.6177339999999997E-2</v>
      </c>
      <c r="S1938">
        <v>-3.0192570000000001</v>
      </c>
      <c r="T1938">
        <v>-6.9811219999999993E-2</v>
      </c>
      <c r="U1938">
        <v>0.28533940000000002</v>
      </c>
      <c r="V1938">
        <v>-1.8680579999999999E-2</v>
      </c>
      <c r="W1938">
        <v>4.0605179999999998E-2</v>
      </c>
      <c r="X1938">
        <v>0.99900059999999902</v>
      </c>
      <c r="Y1938">
        <v>0.12140670000000001</v>
      </c>
      <c r="Z1938">
        <v>2.0351620000000001E-3</v>
      </c>
      <c r="AA1938">
        <v>0.9926007</v>
      </c>
      <c r="AB1938">
        <v>46</v>
      </c>
      <c r="AC1938">
        <v>-44.032199999999897</v>
      </c>
      <c r="AD1938">
        <v>-1.02467288</v>
      </c>
      <c r="AE1938">
        <v>4.1961000000000004</v>
      </c>
      <c r="AF1938">
        <v>5.4032281030868097</v>
      </c>
      <c r="AG1938">
        <v>-1.02467288</v>
      </c>
      <c r="AH1938">
        <v>43.876517618285703</v>
      </c>
      <c r="AI1938">
        <v>91.327790784891206</v>
      </c>
      <c r="AJ1938">
        <v>82.979586069089393</v>
      </c>
      <c r="AK1938">
        <v>44.219832957087498</v>
      </c>
    </row>
    <row r="1939" spans="1:37" x14ac:dyDescent="0.2">
      <c r="A1939" t="str">
        <f>"20200111153435947"</f>
        <v>20200111153435947</v>
      </c>
      <c r="B1939" t="str">
        <f>"1578728075938231"</f>
        <v>1578728075938231</v>
      </c>
      <c r="C1939" t="s">
        <v>37</v>
      </c>
      <c r="D1939">
        <v>4.7193870000000002</v>
      </c>
      <c r="E1939">
        <v>0.55272659999999996</v>
      </c>
      <c r="F1939" t="s">
        <v>52</v>
      </c>
      <c r="G1939">
        <v>-458.07580000000002</v>
      </c>
      <c r="H1939">
        <v>8.0000689999999999E-2</v>
      </c>
      <c r="I1939">
        <v>289.91390000000001</v>
      </c>
      <c r="J1939">
        <v>-410.75389999999999</v>
      </c>
      <c r="K1939">
        <v>1.1046659999999999</v>
      </c>
      <c r="L1939">
        <v>285.445999999999</v>
      </c>
      <c r="M1939">
        <v>-0.99951369999999895</v>
      </c>
      <c r="N1939">
        <v>0</v>
      </c>
      <c r="O1939">
        <v>-2.7513869999999999E-2</v>
      </c>
      <c r="P1939">
        <v>-0.99858829999999998</v>
      </c>
      <c r="Q1939">
        <v>2.5671699999999999E-2</v>
      </c>
      <c r="R1939">
        <v>-4.6506609999999997E-2</v>
      </c>
      <c r="S1939">
        <v>-3.0189819999999998</v>
      </c>
      <c r="T1939">
        <v>-6.5005779999999999E-2</v>
      </c>
      <c r="U1939">
        <v>0.2829895</v>
      </c>
      <c r="V1939">
        <v>-1.9009470000000001E-2</v>
      </c>
      <c r="W1939">
        <v>4.034074E-2</v>
      </c>
      <c r="X1939">
        <v>0.99900509999999998</v>
      </c>
      <c r="Y1939">
        <v>0.1206549</v>
      </c>
      <c r="Z1939">
        <v>1.887274E-3</v>
      </c>
      <c r="AA1939">
        <v>0.99269269999999998</v>
      </c>
      <c r="AB1939">
        <v>46</v>
      </c>
      <c r="AC1939">
        <v>-47.321899999999999</v>
      </c>
      <c r="AD1939">
        <v>-1.0246653099999901</v>
      </c>
      <c r="AE1939">
        <v>4.4679000000000402</v>
      </c>
      <c r="AF1939">
        <v>5.7656776181935898</v>
      </c>
      <c r="AG1939">
        <v>-1.0246653099999901</v>
      </c>
      <c r="AH1939">
        <v>47.159123152203698</v>
      </c>
      <c r="AI1939">
        <v>91.235520133580096</v>
      </c>
      <c r="AJ1939">
        <v>83.029606762758803</v>
      </c>
      <c r="AK1939">
        <v>47.521320203453598</v>
      </c>
    </row>
    <row r="1940" spans="1:37" x14ac:dyDescent="0.2">
      <c r="A1940" t="str">
        <f>"20200111153435960"</f>
        <v>20200111153435960</v>
      </c>
      <c r="B1940" t="str">
        <f>"1578728075958259"</f>
        <v>1578728075958259</v>
      </c>
      <c r="C1940" t="s">
        <v>37</v>
      </c>
      <c r="D1940">
        <v>4.730486</v>
      </c>
      <c r="E1940">
        <v>0.55264999999999997</v>
      </c>
      <c r="F1940" t="s">
        <v>52</v>
      </c>
      <c r="G1940">
        <v>-460.5102</v>
      </c>
      <c r="H1940">
        <v>7.9999929999999997E-2</v>
      </c>
      <c r="I1940">
        <v>290.08229999999998</v>
      </c>
      <c r="J1940">
        <v>-411.03620000000001</v>
      </c>
      <c r="K1940">
        <v>1.1046590000000001</v>
      </c>
      <c r="L1940">
        <v>285.43819999999999</v>
      </c>
      <c r="M1940">
        <v>-0.99951369999999895</v>
      </c>
      <c r="N1940">
        <v>0</v>
      </c>
      <c r="O1940">
        <v>-2.751398E-2</v>
      </c>
      <c r="P1940">
        <v>-0.99858959999999997</v>
      </c>
      <c r="Q1940">
        <v>2.5224989999999999E-2</v>
      </c>
      <c r="R1940">
        <v>-4.6721510000000001E-2</v>
      </c>
      <c r="S1940">
        <v>-3.0189819999999998</v>
      </c>
      <c r="T1940">
        <v>-6.2171940000000002E-2</v>
      </c>
      <c r="U1940">
        <v>0.28131099999999998</v>
      </c>
      <c r="V1940">
        <v>-1.922418E-2</v>
      </c>
      <c r="W1940">
        <v>3.9891929999999999E-2</v>
      </c>
      <c r="X1940">
        <v>0.99901899999999999</v>
      </c>
      <c r="Y1940">
        <v>0.12011089999999899</v>
      </c>
      <c r="Z1940">
        <v>1.799478E-3</v>
      </c>
      <c r="AA1940">
        <v>0.9927589</v>
      </c>
      <c r="AB1940">
        <v>46</v>
      </c>
      <c r="AC1940">
        <v>-49.473999999999897</v>
      </c>
      <c r="AD1940">
        <v>-1.02465907</v>
      </c>
      <c r="AE1940">
        <v>4.6440999999999804</v>
      </c>
      <c r="AF1940">
        <v>6.0011629856677997</v>
      </c>
      <c r="AG1940">
        <v>-1.02465907</v>
      </c>
      <c r="AH1940">
        <v>49.3065094053661</v>
      </c>
      <c r="AI1940">
        <v>91.181797360593094</v>
      </c>
      <c r="AJ1940">
        <v>83.060583702225998</v>
      </c>
      <c r="AK1940">
        <v>49.680939535517403</v>
      </c>
    </row>
    <row r="1941" spans="1:37" x14ac:dyDescent="0.2">
      <c r="A1941" t="str">
        <f>"20200111153435975"</f>
        <v>20200111153435975</v>
      </c>
      <c r="B1941" t="str">
        <f>"1578728075968019"</f>
        <v>1578728075968019</v>
      </c>
      <c r="C1941" t="s">
        <v>37</v>
      </c>
      <c r="D1941">
        <v>4.7113290000000001</v>
      </c>
      <c r="E1941">
        <v>0.55256669999999997</v>
      </c>
      <c r="F1941" t="s">
        <v>52</v>
      </c>
      <c r="G1941">
        <v>-462.91789999999997</v>
      </c>
      <c r="H1941">
        <v>8.0000630000000003E-2</v>
      </c>
      <c r="I1941">
        <v>290.25290000000001</v>
      </c>
      <c r="J1941">
        <v>-411.3603</v>
      </c>
      <c r="K1941">
        <v>1.1046479999999901</v>
      </c>
      <c r="L1941">
        <v>285.42919999999998</v>
      </c>
      <c r="M1941">
        <v>-0.99951380000000001</v>
      </c>
      <c r="N1941">
        <v>0</v>
      </c>
      <c r="O1941">
        <v>-2.7514319999999998E-2</v>
      </c>
      <c r="P1941">
        <v>-0.99860799999999905</v>
      </c>
      <c r="Q1941">
        <v>2.4563950000000001E-2</v>
      </c>
      <c r="R1941">
        <v>-4.6679900000000003E-2</v>
      </c>
      <c r="S1941">
        <v>-3.0188290000000002</v>
      </c>
      <c r="T1941">
        <v>-5.9621569999999999E-2</v>
      </c>
      <c r="U1941">
        <v>0.28015139999999999</v>
      </c>
      <c r="V1941">
        <v>-1.9181810000000001E-2</v>
      </c>
      <c r="W1941">
        <v>3.9229640000000003E-2</v>
      </c>
      <c r="X1941">
        <v>0.99904609999999905</v>
      </c>
      <c r="Y1941">
        <v>0.1197404</v>
      </c>
      <c r="Z1941">
        <v>1.722148E-3</v>
      </c>
      <c r="AA1941">
        <v>0.99280380000000001</v>
      </c>
      <c r="AB1941">
        <v>46</v>
      </c>
      <c r="AC1941">
        <v>-51.557599999999901</v>
      </c>
      <c r="AD1941">
        <v>-1.0246473699999901</v>
      </c>
      <c r="AE1941">
        <v>4.8237000000000299</v>
      </c>
      <c r="AF1941">
        <v>6.2381558141788904</v>
      </c>
      <c r="AG1941">
        <v>-1.0246473699999901</v>
      </c>
      <c r="AH1941">
        <v>51.385221996422501</v>
      </c>
      <c r="AI1941">
        <v>91.134031623409896</v>
      </c>
      <c r="AJ1941">
        <v>83.078175463932695</v>
      </c>
      <c r="AK1941">
        <v>51.7726330199309</v>
      </c>
    </row>
    <row r="1942" spans="1:37" x14ac:dyDescent="0.2">
      <c r="A1942" t="str">
        <f>"20200111153435989"</f>
        <v>20200111153435989</v>
      </c>
      <c r="B1942" t="str">
        <f>"1578728075977780"</f>
        <v>1578728075977780</v>
      </c>
      <c r="C1942" t="s">
        <v>37</v>
      </c>
      <c r="D1942">
        <v>4.7354180000000001</v>
      </c>
      <c r="E1942">
        <v>0.55258479999999999</v>
      </c>
      <c r="F1942" t="s">
        <v>52</v>
      </c>
      <c r="G1942">
        <v>-463.46319999999997</v>
      </c>
      <c r="H1942">
        <v>8.0000799999999997E-2</v>
      </c>
      <c r="I1942">
        <v>290.25670000000002</v>
      </c>
      <c r="J1942">
        <v>-411.6277</v>
      </c>
      <c r="K1942">
        <v>1.1046469999999999</v>
      </c>
      <c r="L1942">
        <v>285.42189999999999</v>
      </c>
      <c r="M1942">
        <v>-0.99951369999999895</v>
      </c>
      <c r="N1942">
        <v>0</v>
      </c>
      <c r="O1942">
        <v>-2.7514299999999998E-2</v>
      </c>
      <c r="P1942">
        <v>-0.99861259999999996</v>
      </c>
      <c r="Q1942">
        <v>2.4464820000000002E-2</v>
      </c>
      <c r="R1942">
        <v>-4.6633229999999998E-2</v>
      </c>
      <c r="S1942">
        <v>-3.018707</v>
      </c>
      <c r="T1942">
        <v>-5.9365389999999997E-2</v>
      </c>
      <c r="U1942">
        <v>0.27969359999999999</v>
      </c>
      <c r="V1942">
        <v>-1.9135200000000002E-2</v>
      </c>
      <c r="W1942">
        <v>3.9128629999999998E-2</v>
      </c>
      <c r="X1942">
        <v>0.99905100000000002</v>
      </c>
      <c r="Y1942">
        <v>0.1195951</v>
      </c>
      <c r="Z1942">
        <v>1.7134050000000001E-3</v>
      </c>
      <c r="AA1942">
        <v>0.99282130000000002</v>
      </c>
      <c r="AB1942">
        <v>46</v>
      </c>
      <c r="AC1942">
        <v>-51.835499999999897</v>
      </c>
      <c r="AD1942">
        <v>-1.0246461999999901</v>
      </c>
      <c r="AE1942">
        <v>4.8348000000000297</v>
      </c>
      <c r="AF1942">
        <v>6.2569165005556098</v>
      </c>
      <c r="AG1942">
        <v>-1.0246461999999901</v>
      </c>
      <c r="AH1942">
        <v>51.6628180320157</v>
      </c>
      <c r="AI1942">
        <v>91.127977472284002</v>
      </c>
      <c r="AJ1942">
        <v>83.094503702384102</v>
      </c>
      <c r="AK1942">
        <v>52.050414704776998</v>
      </c>
    </row>
    <row r="1943" spans="1:37" x14ac:dyDescent="0.2">
      <c r="A1943" t="str">
        <f>"20200111153436003"</f>
        <v>20200111153436003</v>
      </c>
      <c r="B1943" t="str">
        <f>"1578728075998275"</f>
        <v>1578728075998275</v>
      </c>
      <c r="C1943" t="s">
        <v>37</v>
      </c>
      <c r="D1943">
        <v>4.7520480000000003</v>
      </c>
      <c r="E1943">
        <v>0.55251319999999904</v>
      </c>
      <c r="F1943" t="s">
        <v>52</v>
      </c>
      <c r="G1943">
        <v>-465.44029999999998</v>
      </c>
      <c r="H1943">
        <v>7.9999899999999902E-2</v>
      </c>
      <c r="I1943">
        <v>290.40899999999999</v>
      </c>
      <c r="J1943">
        <v>-411.90809999999999</v>
      </c>
      <c r="K1943">
        <v>1.1046469999999999</v>
      </c>
      <c r="L1943">
        <v>285.41419999999999</v>
      </c>
      <c r="M1943">
        <v>-0.99951389999999996</v>
      </c>
      <c r="N1943">
        <v>0</v>
      </c>
      <c r="O1943">
        <v>-2.751441E-2</v>
      </c>
      <c r="P1943">
        <v>-0.99861290000000003</v>
      </c>
      <c r="Q1943">
        <v>2.4475219999999999E-2</v>
      </c>
      <c r="R1943">
        <v>-4.6622259999999999E-2</v>
      </c>
      <c r="S1943">
        <v>-3.0186459999999999</v>
      </c>
      <c r="T1943">
        <v>-5.7478069999999999E-2</v>
      </c>
      <c r="U1943">
        <v>0.27975459999999902</v>
      </c>
      <c r="V1943">
        <v>-1.912376E-2</v>
      </c>
      <c r="W1943">
        <v>3.9136730000000002E-2</v>
      </c>
      <c r="X1943">
        <v>0.99905089999999996</v>
      </c>
      <c r="Y1943">
        <v>0.11961860000000001</v>
      </c>
      <c r="Z1943">
        <v>1.6592009999999999E-3</v>
      </c>
      <c r="AA1943">
        <v>0.99281849999999905</v>
      </c>
      <c r="AB1943">
        <v>46</v>
      </c>
      <c r="AC1943">
        <v>-53.532199999999897</v>
      </c>
      <c r="AD1943">
        <v>-1.0246470999999999</v>
      </c>
      <c r="AE1943">
        <v>4.9947999999999899</v>
      </c>
      <c r="AF1943">
        <v>6.4636261677992604</v>
      </c>
      <c r="AG1943">
        <v>-1.0246470999999999</v>
      </c>
      <c r="AH1943">
        <v>53.355106041730799</v>
      </c>
      <c r="AI1943">
        <v>91.092206379443596</v>
      </c>
      <c r="AJ1943">
        <v>83.092645700265706</v>
      </c>
      <c r="AK1943">
        <v>53.754959823638004</v>
      </c>
    </row>
    <row r="1944" spans="1:37" x14ac:dyDescent="0.2">
      <c r="A1944" t="str">
        <f>"20200111153436019"</f>
        <v>20200111153436019</v>
      </c>
      <c r="B1944" t="str">
        <f>"1578728076008036"</f>
        <v>1578728076008036</v>
      </c>
      <c r="C1944" t="s">
        <v>37</v>
      </c>
      <c r="D1944">
        <v>4.7424739999999996</v>
      </c>
      <c r="E1944">
        <v>0.55244309999999996</v>
      </c>
      <c r="F1944" t="s">
        <v>52</v>
      </c>
      <c r="G1944">
        <v>-469.10669999999999</v>
      </c>
      <c r="H1944">
        <v>8.0000950000000001E-2</v>
      </c>
      <c r="I1944">
        <v>290.7054</v>
      </c>
      <c r="J1944">
        <v>-412.2568</v>
      </c>
      <c r="K1944">
        <v>1.104657</v>
      </c>
      <c r="L1944">
        <v>285.40449999999998</v>
      </c>
      <c r="M1944">
        <v>-0.99951380000000001</v>
      </c>
      <c r="N1944">
        <v>0</v>
      </c>
      <c r="O1944">
        <v>-2.751439E-2</v>
      </c>
      <c r="P1944">
        <v>-0.99859430000000005</v>
      </c>
      <c r="Q1944">
        <v>2.5405339999999998E-2</v>
      </c>
      <c r="R1944">
        <v>-4.6519249999999998E-2</v>
      </c>
      <c r="S1944">
        <v>-3.0185240000000002</v>
      </c>
      <c r="T1944">
        <v>-5.4073330000000003E-2</v>
      </c>
      <c r="U1944">
        <v>0.27923579999999998</v>
      </c>
      <c r="V1944">
        <v>-1.9021590000000001E-2</v>
      </c>
      <c r="W1944">
        <v>4.00644E-2</v>
      </c>
      <c r="X1944">
        <v>0.99901600000000002</v>
      </c>
      <c r="Y1944">
        <v>0.119456199999999</v>
      </c>
      <c r="Z1944">
        <v>1.5595559999999999E-3</v>
      </c>
      <c r="AA1944">
        <v>0.99283829999999995</v>
      </c>
      <c r="AB1944">
        <v>46</v>
      </c>
      <c r="AC1944">
        <v>-56.849899999999899</v>
      </c>
      <c r="AD1944">
        <v>-1.0246560499999999</v>
      </c>
      <c r="AE1944">
        <v>5.3009000000000102</v>
      </c>
      <c r="AF1944">
        <v>6.8610416110623804</v>
      </c>
      <c r="AG1944">
        <v>-1.0246560499999999</v>
      </c>
      <c r="AH1944">
        <v>56.664256394722997</v>
      </c>
      <c r="AI1944">
        <v>91.028452954689897</v>
      </c>
      <c r="AJ1944">
        <v>83.096100391420194</v>
      </c>
      <c r="AK1944">
        <v>57.087317022053497</v>
      </c>
    </row>
    <row r="1945" spans="1:37" x14ac:dyDescent="0.2">
      <c r="A1945" t="str">
        <f>"20200111153436032"</f>
        <v>20200111153436032</v>
      </c>
      <c r="B1945" t="str">
        <f>"1578728076028532"</f>
        <v>1578728076028532</v>
      </c>
      <c r="C1945" t="s">
        <v>37</v>
      </c>
      <c r="D1945">
        <v>4.6968360000000002</v>
      </c>
      <c r="E1945">
        <v>0.51392839999999995</v>
      </c>
      <c r="F1945" t="s">
        <v>50</v>
      </c>
      <c r="G1945">
        <v>-475.37580000000003</v>
      </c>
      <c r="H1945">
        <v>8.0001390000000006E-2</v>
      </c>
      <c r="I1945">
        <v>291.23090000000002</v>
      </c>
      <c r="J1945">
        <v>-412.5136</v>
      </c>
      <c r="K1945">
        <v>1.104671</v>
      </c>
      <c r="L1945">
        <v>285.39749999999998</v>
      </c>
      <c r="M1945">
        <v>-0.99951380000000001</v>
      </c>
      <c r="N1945">
        <v>0</v>
      </c>
      <c r="O1945">
        <v>-2.751462E-2</v>
      </c>
      <c r="P1945">
        <v>-0.99857739999999995</v>
      </c>
      <c r="Q1945">
        <v>2.6145419999999999E-2</v>
      </c>
      <c r="R1945">
        <v>-4.6471100000000001E-2</v>
      </c>
      <c r="S1945">
        <v>-3.0184630000000001</v>
      </c>
      <c r="T1945">
        <v>-4.900086E-2</v>
      </c>
      <c r="U1945">
        <v>0.27862550000000003</v>
      </c>
      <c r="V1945">
        <v>-1.897339E-2</v>
      </c>
      <c r="W1945">
        <v>4.0802890000000001E-2</v>
      </c>
      <c r="X1945">
        <v>0.99898709999999902</v>
      </c>
      <c r="Y1945">
        <v>0.11926340000000001</v>
      </c>
      <c r="Z1945">
        <v>1.411762E-3</v>
      </c>
      <c r="AA1945">
        <v>0.99286160000000001</v>
      </c>
      <c r="AB1945">
        <v>46</v>
      </c>
      <c r="AC1945">
        <v>-62.862200000000001</v>
      </c>
      <c r="AD1945">
        <v>-1.0246696099999999</v>
      </c>
      <c r="AE1945">
        <v>5.8334000000000401</v>
      </c>
      <c r="AF1945">
        <v>7.5590153421429296</v>
      </c>
      <c r="AG1945">
        <v>-1.0246696099999999</v>
      </c>
      <c r="AH1945">
        <v>62.661367406951399</v>
      </c>
      <c r="AI1945">
        <v>90.930103451716903</v>
      </c>
      <c r="AJ1945">
        <v>83.121487959177898</v>
      </c>
      <c r="AK1945">
        <v>63.123970297038198</v>
      </c>
    </row>
    <row r="1946" spans="1:37" x14ac:dyDescent="0.2">
      <c r="A1946" t="str">
        <f>"20200111153436045"</f>
        <v>20200111153436045</v>
      </c>
      <c r="B1946" t="str">
        <f>"1578728076038292"</f>
        <v>1578728076038292</v>
      </c>
      <c r="C1946" t="s">
        <v>37</v>
      </c>
      <c r="D1946">
        <v>4.7231969999999999</v>
      </c>
      <c r="E1946">
        <v>0.50128700000000004</v>
      </c>
      <c r="F1946" t="s">
        <v>50</v>
      </c>
      <c r="G1946">
        <v>-494.00740000000002</v>
      </c>
      <c r="H1946" s="1">
        <v>3.25545999999999E-6</v>
      </c>
      <c r="I1946">
        <v>284.63580000000002</v>
      </c>
      <c r="J1946">
        <v>-412.77330000000001</v>
      </c>
      <c r="K1946">
        <v>1.104679</v>
      </c>
      <c r="L1946">
        <v>285.3904</v>
      </c>
      <c r="M1946">
        <v>-0.99951389999999996</v>
      </c>
      <c r="N1946">
        <v>0</v>
      </c>
      <c r="O1946">
        <v>-2.7514960000000001E-2</v>
      </c>
      <c r="P1946">
        <v>-0.99856329999999904</v>
      </c>
      <c r="Q1946">
        <v>2.693775E-2</v>
      </c>
      <c r="R1946">
        <v>-4.6322820000000001E-2</v>
      </c>
      <c r="S1946">
        <v>-3.0040589999999998</v>
      </c>
      <c r="T1946">
        <v>-4.0720699999999999E-2</v>
      </c>
      <c r="U1946">
        <v>-2.8076170000000001E-2</v>
      </c>
      <c r="V1946">
        <v>-1.8825580000000001E-2</v>
      </c>
      <c r="W1946">
        <v>4.1592829999999997E-2</v>
      </c>
      <c r="X1946">
        <v>0.99895730000000005</v>
      </c>
      <c r="Y1946">
        <v>1.8170390000000002E-2</v>
      </c>
      <c r="Z1946">
        <v>4.9608269999999895E-4</v>
      </c>
      <c r="AA1946">
        <v>0.99983480000000002</v>
      </c>
      <c r="AB1946">
        <v>46</v>
      </c>
      <c r="AC1946">
        <v>-81.234099999999998</v>
      </c>
      <c r="AD1946">
        <v>-1.1046757445399999</v>
      </c>
      <c r="AE1946">
        <v>-0.75459999999998195</v>
      </c>
      <c r="AF1946">
        <v>1.48080515424137</v>
      </c>
      <c r="AG1946">
        <v>-1.1046757445399999</v>
      </c>
      <c r="AH1946">
        <v>81.209086313239197</v>
      </c>
      <c r="AI1946">
        <v>90.779208823855797</v>
      </c>
      <c r="AJ1946">
        <v>88.955357239871901</v>
      </c>
      <c r="AK1946">
        <v>81.230097822399102</v>
      </c>
    </row>
    <row r="1947" spans="1:37" x14ac:dyDescent="0.2">
      <c r="A1947" t="str">
        <f>"20200111153436057"</f>
        <v>20200111153436057</v>
      </c>
      <c r="B1947" t="str">
        <f>"1578728076048052"</f>
        <v>1578728076048052</v>
      </c>
      <c r="C1947" t="s">
        <v>37</v>
      </c>
      <c r="D1947">
        <v>4.8412920000000002</v>
      </c>
      <c r="E1947">
        <v>0.492259</v>
      </c>
      <c r="F1947" t="s">
        <v>50</v>
      </c>
      <c r="G1947">
        <v>-475.9101</v>
      </c>
      <c r="H1947" s="1">
        <v>3.8248339999999999E-6</v>
      </c>
      <c r="I1947">
        <v>282.69009999999997</v>
      </c>
      <c r="J1947">
        <v>-413.04570000000001</v>
      </c>
      <c r="K1947">
        <v>1.104687</v>
      </c>
      <c r="L1947">
        <v>285.38279999999997</v>
      </c>
      <c r="M1947">
        <v>-0.99951389999999996</v>
      </c>
      <c r="N1947">
        <v>0</v>
      </c>
      <c r="O1947">
        <v>-2.7515069999999999E-2</v>
      </c>
      <c r="P1947">
        <v>-0.99855930000000004</v>
      </c>
      <c r="Q1947">
        <v>2.7386919999999999E-2</v>
      </c>
      <c r="R1947">
        <v>-4.614497E-2</v>
      </c>
      <c r="S1947">
        <v>-2.9997560000000001</v>
      </c>
      <c r="T1947">
        <v>-5.248535E-2</v>
      </c>
      <c r="U1947">
        <v>-0.12829589999999999</v>
      </c>
      <c r="V1947">
        <v>-1.8647560000000001E-2</v>
      </c>
      <c r="W1947">
        <v>4.2040180000000003E-2</v>
      </c>
      <c r="X1947">
        <v>0.99894189999999905</v>
      </c>
      <c r="Y1947">
        <v>-1.522252E-2</v>
      </c>
      <c r="Z1947">
        <v>3.4799750000000002E-4</v>
      </c>
      <c r="AA1947">
        <v>0.99988410000000005</v>
      </c>
      <c r="AB1947">
        <v>46</v>
      </c>
      <c r="AC1947">
        <v>-62.864399999999897</v>
      </c>
      <c r="AD1947">
        <v>-1.104683175166</v>
      </c>
      <c r="AE1947">
        <v>-2.6926999999999999</v>
      </c>
      <c r="AF1947">
        <v>-0.96147969957718105</v>
      </c>
      <c r="AG1947">
        <v>-1.104683175166</v>
      </c>
      <c r="AH1947">
        <v>62.895305512795403</v>
      </c>
      <c r="AI1947">
        <v>91.006112997300306</v>
      </c>
      <c r="AJ1947">
        <v>90.875811600903603</v>
      </c>
      <c r="AK1947">
        <v>62.912353506112503</v>
      </c>
    </row>
    <row r="1948" spans="1:37" x14ac:dyDescent="0.2">
      <c r="A1948" t="str">
        <f>"20200111153436072"</f>
        <v>20200111153436072</v>
      </c>
      <c r="B1948" t="str">
        <f>"1578728076067571"</f>
        <v>1578728076067571</v>
      </c>
      <c r="C1948" t="s">
        <v>37</v>
      </c>
      <c r="D1948">
        <v>4.6822210000000002</v>
      </c>
      <c r="E1948">
        <v>0.48487639999999999</v>
      </c>
      <c r="F1948" t="s">
        <v>52</v>
      </c>
      <c r="G1948">
        <v>-453.32029999999997</v>
      </c>
      <c r="H1948" s="1">
        <v>3.1366679999999901E-7</v>
      </c>
      <c r="I1948">
        <v>282.70400000000001</v>
      </c>
      <c r="J1948">
        <v>-413.31830000000002</v>
      </c>
      <c r="K1948">
        <v>1.104692</v>
      </c>
      <c r="L1948">
        <v>285.37529999999998</v>
      </c>
      <c r="M1948">
        <v>-0.99951399999999901</v>
      </c>
      <c r="N1948">
        <v>0</v>
      </c>
      <c r="O1948">
        <v>-2.751518E-2</v>
      </c>
      <c r="P1948">
        <v>-0.99854149999999997</v>
      </c>
      <c r="Q1948">
        <v>2.802516E-2</v>
      </c>
      <c r="R1948">
        <v>-4.6150070000000001E-2</v>
      </c>
      <c r="S1948">
        <v>-2.9974059999999998</v>
      </c>
      <c r="T1948">
        <v>-8.2215670000000005E-2</v>
      </c>
      <c r="U1948">
        <v>-0.1993713</v>
      </c>
      <c r="V1948">
        <v>-1.8652769999999999E-2</v>
      </c>
      <c r="W1948">
        <v>4.2676659999999998E-2</v>
      </c>
      <c r="X1948">
        <v>0.99891479999999999</v>
      </c>
      <c r="Y1948">
        <v>-3.888113E-2</v>
      </c>
      <c r="Z1948">
        <v>2.2102959999999999E-4</v>
      </c>
      <c r="AA1948">
        <v>0.99924380000000002</v>
      </c>
      <c r="AB1948">
        <v>46</v>
      </c>
      <c r="AC1948">
        <v>-40.001999999999903</v>
      </c>
      <c r="AD1948">
        <v>-1.1046916863331999</v>
      </c>
      <c r="AE1948">
        <v>-2.6712999999999698</v>
      </c>
      <c r="AF1948">
        <v>-1.5683172477157801</v>
      </c>
      <c r="AG1948">
        <v>-1.1046916863331999</v>
      </c>
      <c r="AH1948">
        <v>40.0299677503411</v>
      </c>
      <c r="AI1948">
        <v>91.579557270948101</v>
      </c>
      <c r="AJ1948">
        <v>92.243619728421706</v>
      </c>
      <c r="AK1948">
        <v>40.075906487622802</v>
      </c>
    </row>
    <row r="1949" spans="1:37" x14ac:dyDescent="0.2">
      <c r="A1949" t="str">
        <f>"20200111153436087"</f>
        <v>20200111153436087</v>
      </c>
      <c r="B1949" t="str">
        <f>"1578728076078307"</f>
        <v>1578728076078307</v>
      </c>
      <c r="C1949" t="s">
        <v>37</v>
      </c>
      <c r="D1949">
        <v>4.7042419999999998</v>
      </c>
      <c r="E1949">
        <v>0.48294700000000002</v>
      </c>
      <c r="F1949" t="s">
        <v>52</v>
      </c>
      <c r="G1949">
        <v>-444.41340000000002</v>
      </c>
      <c r="H1949" s="1">
        <v>8.9591490000000002E-7</v>
      </c>
      <c r="I1949">
        <v>282.69209999999998</v>
      </c>
      <c r="J1949">
        <v>-413.63299999999998</v>
      </c>
      <c r="K1949">
        <v>1.1047020000000001</v>
      </c>
      <c r="L1949">
        <v>285.36669999999998</v>
      </c>
      <c r="M1949">
        <v>-0.99951389999999996</v>
      </c>
      <c r="N1949">
        <v>0</v>
      </c>
      <c r="O1949">
        <v>-2.751516E-2</v>
      </c>
      <c r="P1949">
        <v>-0.99852410000000003</v>
      </c>
      <c r="Q1949">
        <v>2.856558E-2</v>
      </c>
      <c r="R1949">
        <v>-4.6193749999999999E-2</v>
      </c>
      <c r="S1949">
        <v>-2.9954529999999999</v>
      </c>
      <c r="T1949">
        <v>-0.1064172</v>
      </c>
      <c r="U1949">
        <v>-0.25848389999999999</v>
      </c>
      <c r="V1949">
        <v>-1.8697109999999999E-2</v>
      </c>
      <c r="W1949">
        <v>4.3214519999999999E-2</v>
      </c>
      <c r="X1949">
        <v>0.99889079999999997</v>
      </c>
      <c r="Y1949">
        <v>-5.850441E-2</v>
      </c>
      <c r="Z1949" s="1">
        <v>-6.1853209999999898E-5</v>
      </c>
      <c r="AA1949">
        <v>0.99828709999999898</v>
      </c>
      <c r="AB1949">
        <v>46</v>
      </c>
      <c r="AC1949">
        <v>-30.780399999999901</v>
      </c>
      <c r="AD1949">
        <v>-1.1047011040851</v>
      </c>
      <c r="AE1949">
        <v>-2.6745999999999901</v>
      </c>
      <c r="AF1949">
        <v>-1.82423635869234</v>
      </c>
      <c r="AG1949">
        <v>-1.1047011040851</v>
      </c>
      <c r="AH1949">
        <v>30.802964377258299</v>
      </c>
      <c r="AI1949">
        <v>92.050355607243105</v>
      </c>
      <c r="AJ1949">
        <v>93.389255094489698</v>
      </c>
      <c r="AK1949">
        <v>30.876703471199601</v>
      </c>
    </row>
    <row r="1950" spans="1:37" x14ac:dyDescent="0.2">
      <c r="A1950" t="str">
        <f>"20200111153436102"</f>
        <v>20200111153436102</v>
      </c>
      <c r="B1950" t="str">
        <f>"1578728076088068"</f>
        <v>1578728076088068</v>
      </c>
      <c r="C1950" t="s">
        <v>37</v>
      </c>
      <c r="D1950">
        <v>4.6585999999999999</v>
      </c>
      <c r="E1950">
        <v>0.48196909999999998</v>
      </c>
      <c r="F1950" t="s">
        <v>52</v>
      </c>
      <c r="G1950">
        <v>-443.68290000000002</v>
      </c>
      <c r="H1950" s="1">
        <v>5.1042580000000001E-7</v>
      </c>
      <c r="I1950">
        <v>282.61759999999998</v>
      </c>
      <c r="J1950">
        <v>-413.91829999999999</v>
      </c>
      <c r="K1950">
        <v>1.104708</v>
      </c>
      <c r="L1950">
        <v>285.35879999999997</v>
      </c>
      <c r="M1950">
        <v>-0.99951389999999996</v>
      </c>
      <c r="N1950">
        <v>0</v>
      </c>
      <c r="O1950">
        <v>-2.7515149999999999E-2</v>
      </c>
      <c r="P1950">
        <v>-0.99851520000000005</v>
      </c>
      <c r="Q1950">
        <v>2.868836E-2</v>
      </c>
      <c r="R1950">
        <v>-4.630737E-2</v>
      </c>
      <c r="S1950">
        <v>-2.9948730000000001</v>
      </c>
      <c r="T1950">
        <v>-0.1100981</v>
      </c>
      <c r="U1950">
        <v>-0.27398679999999997</v>
      </c>
      <c r="V1950">
        <v>-1.881085E-2</v>
      </c>
      <c r="W1950">
        <v>4.3335520000000002E-2</v>
      </c>
      <c r="X1950">
        <v>0.99888349999999904</v>
      </c>
      <c r="Y1950">
        <v>-6.3642470000000007E-2</v>
      </c>
      <c r="Z1950">
        <v>-1.582222E-4</v>
      </c>
      <c r="AA1950">
        <v>0.99797269999999905</v>
      </c>
      <c r="AB1950">
        <v>46</v>
      </c>
      <c r="AC1950">
        <v>-29.764600000000002</v>
      </c>
      <c r="AD1950">
        <v>-1.1047074895742</v>
      </c>
      <c r="AE1950">
        <v>-2.7411999999999899</v>
      </c>
      <c r="AF1950">
        <v>-1.9184759907993001</v>
      </c>
      <c r="AG1950">
        <v>-1.1047074895742</v>
      </c>
      <c r="AH1950">
        <v>29.788072695936201</v>
      </c>
      <c r="AI1950">
        <v>92.119485860320594</v>
      </c>
      <c r="AJ1950">
        <v>93.684997545144697</v>
      </c>
      <c r="AK1950">
        <v>29.870222692560802</v>
      </c>
    </row>
    <row r="1951" spans="1:37" x14ac:dyDescent="0.2">
      <c r="A1951" t="str">
        <f>"20200111153436117"</f>
        <v>20200111153436117</v>
      </c>
      <c r="B1951" t="str">
        <f>"1578728076107588"</f>
        <v>1578728076107588</v>
      </c>
      <c r="C1951" t="s">
        <v>37</v>
      </c>
      <c r="D1951">
        <v>4.6774079999999998</v>
      </c>
      <c r="E1951">
        <v>0.48054279999999999</v>
      </c>
      <c r="F1951" t="s">
        <v>52</v>
      </c>
      <c r="G1951">
        <v>-442.83909999999997</v>
      </c>
      <c r="H1951" s="1">
        <v>6.0666929999999994E-8</v>
      </c>
      <c r="I1951">
        <v>282.63470000000001</v>
      </c>
      <c r="J1951">
        <v>-414.24439999999998</v>
      </c>
      <c r="K1951">
        <v>1.1047129999999901</v>
      </c>
      <c r="L1951">
        <v>285.34989999999999</v>
      </c>
      <c r="M1951">
        <v>-0.99951399999999901</v>
      </c>
      <c r="N1951">
        <v>0</v>
      </c>
      <c r="O1951">
        <v>-2.751549E-2</v>
      </c>
      <c r="P1951">
        <v>-0.99851029999999996</v>
      </c>
      <c r="Q1951">
        <v>2.8807650000000001E-2</v>
      </c>
      <c r="R1951">
        <v>-4.6341569999999999E-2</v>
      </c>
      <c r="S1951">
        <v>-2.9946899999999999</v>
      </c>
      <c r="T1951">
        <v>-0.11439000000000001</v>
      </c>
      <c r="U1951">
        <v>-0.28207399999999999</v>
      </c>
      <c r="V1951">
        <v>-1.8845049999999999E-2</v>
      </c>
      <c r="W1951">
        <v>4.3452240000000003E-2</v>
      </c>
      <c r="X1951">
        <v>0.99887780000000004</v>
      </c>
      <c r="Y1951">
        <v>-6.6315579999999999E-2</v>
      </c>
      <c r="Z1951">
        <v>-2.152938E-4</v>
      </c>
      <c r="AA1951">
        <v>0.99779869999999904</v>
      </c>
      <c r="AB1951">
        <v>46</v>
      </c>
      <c r="AC1951">
        <v>-28.5946999999999</v>
      </c>
      <c r="AD1951">
        <v>-1.1047129393330699</v>
      </c>
      <c r="AE1951">
        <v>-2.7151999999999799</v>
      </c>
      <c r="AF1951">
        <v>-1.92444344532376</v>
      </c>
      <c r="AG1951">
        <v>-1.1047129393330699</v>
      </c>
      <c r="AH1951">
        <v>28.616259716753401</v>
      </c>
      <c r="AI1951">
        <v>92.205792842398793</v>
      </c>
      <c r="AJ1951">
        <v>93.847348151908605</v>
      </c>
      <c r="AK1951">
        <v>28.702163567042501</v>
      </c>
    </row>
    <row r="1952" spans="1:37" x14ac:dyDescent="0.2">
      <c r="A1952" t="str">
        <f>"20200111153436131"</f>
        <v>20200111153436131</v>
      </c>
      <c r="B1952" t="str">
        <f>"1578728076128084"</f>
        <v>1578728076128084</v>
      </c>
      <c r="C1952" t="s">
        <v>37</v>
      </c>
      <c r="D1952">
        <v>4.659491</v>
      </c>
      <c r="E1952">
        <v>0.4797862</v>
      </c>
      <c r="F1952" t="s">
        <v>52</v>
      </c>
      <c r="G1952">
        <v>-441.78399999999999</v>
      </c>
      <c r="H1952" s="1">
        <v>-5.0134240000000004E-7</v>
      </c>
      <c r="I1952">
        <v>282.64690000000002</v>
      </c>
      <c r="J1952">
        <v>-414.54899999999998</v>
      </c>
      <c r="K1952">
        <v>1.104724</v>
      </c>
      <c r="L1952">
        <v>285.3415</v>
      </c>
      <c r="M1952">
        <v>-0.99951420000000002</v>
      </c>
      <c r="N1952">
        <v>0</v>
      </c>
      <c r="O1952">
        <v>-2.7515830000000002E-2</v>
      </c>
      <c r="P1952">
        <v>-0.998507699999999</v>
      </c>
      <c r="Q1952">
        <v>2.8933110000000001E-2</v>
      </c>
      <c r="R1952">
        <v>-4.632211E-2</v>
      </c>
      <c r="S1952">
        <v>-2.9942929999999999</v>
      </c>
      <c r="T1952">
        <v>-0.1201117</v>
      </c>
      <c r="U1952">
        <v>-0.29388429999999999</v>
      </c>
      <c r="V1952">
        <v>-1.8824939999999998E-2</v>
      </c>
      <c r="W1952">
        <v>4.3575620000000002E-2</v>
      </c>
      <c r="X1952">
        <v>0.99887280000000001</v>
      </c>
      <c r="Y1952">
        <v>-7.0220619999999997E-2</v>
      </c>
      <c r="Z1952">
        <v>-3.0414670000000001E-4</v>
      </c>
      <c r="AA1952">
        <v>0.99753139999999996</v>
      </c>
      <c r="AB1952">
        <v>46</v>
      </c>
      <c r="AC1952">
        <v>-27.2349999999999</v>
      </c>
      <c r="AD1952">
        <v>-1.1047245013424001</v>
      </c>
      <c r="AE1952">
        <v>-2.6945999999999799</v>
      </c>
      <c r="AF1952">
        <v>-1.94094306447119</v>
      </c>
      <c r="AG1952">
        <v>-1.1047245013424001</v>
      </c>
      <c r="AH1952">
        <v>27.2544299952778</v>
      </c>
      <c r="AI1952">
        <v>92.3152853264382</v>
      </c>
      <c r="AJ1952">
        <v>94.073481359985493</v>
      </c>
      <c r="AK1952">
        <v>27.3457790265863</v>
      </c>
    </row>
    <row r="1953" spans="1:37" x14ac:dyDescent="0.2">
      <c r="A1953" t="str">
        <f>"20200111153436154"</f>
        <v>20200111153436154</v>
      </c>
      <c r="B1953" t="str">
        <f>"1578728076147603"</f>
        <v>1578728076147603</v>
      </c>
      <c r="C1953" t="s">
        <v>37</v>
      </c>
      <c r="D1953">
        <v>4.6747509999999997</v>
      </c>
      <c r="E1953">
        <v>0.47939399999999999</v>
      </c>
      <c r="F1953" t="s">
        <v>52</v>
      </c>
      <c r="G1953">
        <v>-441.13440000000003</v>
      </c>
      <c r="H1953" s="1">
        <v>-8.4844169999999901E-7</v>
      </c>
      <c r="I1953">
        <v>282.67869999999999</v>
      </c>
      <c r="J1953">
        <v>-415.01339999999999</v>
      </c>
      <c r="K1953">
        <v>1.1047260000000001</v>
      </c>
      <c r="L1953">
        <v>285.32859999999999</v>
      </c>
      <c r="M1953">
        <v>-0.99951399999999901</v>
      </c>
      <c r="N1953">
        <v>0</v>
      </c>
      <c r="O1953">
        <v>-2.7515810000000002E-2</v>
      </c>
      <c r="P1953">
        <v>-0.99852149999999995</v>
      </c>
      <c r="Q1953">
        <v>2.8542060000000001E-2</v>
      </c>
      <c r="R1953">
        <v>-4.6263409999999998E-2</v>
      </c>
      <c r="S1953">
        <v>-2.9941409999999999</v>
      </c>
      <c r="T1953">
        <v>-0.124417899999999</v>
      </c>
      <c r="U1953">
        <v>-0.2998962</v>
      </c>
      <c r="V1953">
        <v>-1.87662E-2</v>
      </c>
      <c r="W1953">
        <v>4.3182119999999997E-2</v>
      </c>
      <c r="X1953">
        <v>0.99889089999999903</v>
      </c>
      <c r="Y1953">
        <v>-7.2204699999999997E-2</v>
      </c>
      <c r="Z1953">
        <v>-3.5613760000000001E-4</v>
      </c>
      <c r="AA1953">
        <v>0.99738979999999999</v>
      </c>
      <c r="AB1953">
        <v>46</v>
      </c>
      <c r="AC1953">
        <v>-26.120999999999999</v>
      </c>
      <c r="AD1953">
        <v>-1.1047268484417001</v>
      </c>
      <c r="AE1953">
        <v>-2.6499000000000001</v>
      </c>
      <c r="AF1953">
        <v>-1.9266677588975101</v>
      </c>
      <c r="AG1953">
        <v>-1.1047268484417001</v>
      </c>
      <c r="AH1953">
        <v>26.1377540418578</v>
      </c>
      <c r="AI1953">
        <v>92.413657238185493</v>
      </c>
      <c r="AJ1953">
        <v>94.215765701236407</v>
      </c>
      <c r="AK1953">
        <v>26.231939623586701</v>
      </c>
    </row>
    <row r="1954" spans="1:37" x14ac:dyDescent="0.2">
      <c r="A1954" t="str">
        <f>"20200111153436168"</f>
        <v>20200111153436168</v>
      </c>
      <c r="B1954" t="str">
        <f>"1578728076158339"</f>
        <v>1578728076158339</v>
      </c>
      <c r="C1954" t="s">
        <v>37</v>
      </c>
      <c r="D1954">
        <v>4.6505739999999998</v>
      </c>
      <c r="E1954">
        <v>0.47929090000000002</v>
      </c>
      <c r="F1954" t="s">
        <v>52</v>
      </c>
      <c r="G1954">
        <v>-440.48770000000002</v>
      </c>
      <c r="H1954" s="1">
        <v>-1.1957479999999899E-6</v>
      </c>
      <c r="I1954">
        <v>282.75189999999998</v>
      </c>
      <c r="J1954">
        <v>-415.27769999999998</v>
      </c>
      <c r="K1954">
        <v>1.1047290000000001</v>
      </c>
      <c r="L1954">
        <v>285.32139999999998</v>
      </c>
      <c r="M1954">
        <v>-0.99951399999999901</v>
      </c>
      <c r="N1954">
        <v>0</v>
      </c>
      <c r="O1954">
        <v>-2.7516039999999999E-2</v>
      </c>
      <c r="P1954">
        <v>-0.99852070000000004</v>
      </c>
      <c r="Q1954">
        <v>2.8391639999999999E-2</v>
      </c>
      <c r="R1954">
        <v>-4.6374070000000003E-2</v>
      </c>
      <c r="S1954">
        <v>-2.99411</v>
      </c>
      <c r="T1954">
        <v>-0.1298436</v>
      </c>
      <c r="U1954">
        <v>-0.30285640000000003</v>
      </c>
      <c r="V1954">
        <v>-1.887635E-2</v>
      </c>
      <c r="W1954">
        <v>4.3029669999999999E-2</v>
      </c>
      <c r="X1954">
        <v>0.99889550000000005</v>
      </c>
      <c r="Y1954">
        <v>-7.3177359999999997E-2</v>
      </c>
      <c r="Z1954">
        <v>-3.9266069999999999E-4</v>
      </c>
      <c r="AA1954">
        <v>0.99731890000000001</v>
      </c>
      <c r="AB1954">
        <v>46</v>
      </c>
      <c r="AC1954">
        <v>-25.21</v>
      </c>
      <c r="AD1954">
        <v>-1.104730195748</v>
      </c>
      <c r="AE1954">
        <v>-2.5695000000000001</v>
      </c>
      <c r="AF1954">
        <v>-1.87121672453888</v>
      </c>
      <c r="AG1954">
        <v>-1.104730195748</v>
      </c>
      <c r="AH1954">
        <v>25.223224644378899</v>
      </c>
      <c r="AI1954">
        <v>92.500981522991495</v>
      </c>
      <c r="AJ1954">
        <v>94.242787501745894</v>
      </c>
      <c r="AK1954">
        <v>25.316653457682602</v>
      </c>
    </row>
    <row r="1955" spans="1:37" x14ac:dyDescent="0.2">
      <c r="A1955" t="str">
        <f>"20200111153436180"</f>
        <v>20200111153436180</v>
      </c>
      <c r="B1955" t="str">
        <f>"1578728076177861"</f>
        <v>1578728076177861</v>
      </c>
      <c r="C1955" t="s">
        <v>37</v>
      </c>
      <c r="D1955">
        <v>4.6412719999999998</v>
      </c>
      <c r="E1955">
        <v>0.47897279999999998</v>
      </c>
      <c r="F1955" t="s">
        <v>52</v>
      </c>
      <c r="G1955">
        <v>-440.37439999999998</v>
      </c>
      <c r="H1955" s="1">
        <v>-1.256985E-6</v>
      </c>
      <c r="I1955">
        <v>282.77280000000002</v>
      </c>
      <c r="J1955">
        <v>-415.54689999999999</v>
      </c>
      <c r="K1955">
        <v>1.1047279999999999</v>
      </c>
      <c r="L1955">
        <v>285.31400000000002</v>
      </c>
      <c r="M1955">
        <v>-0.99951409999999996</v>
      </c>
      <c r="N1955">
        <v>0</v>
      </c>
      <c r="O1955">
        <v>-2.751615E-2</v>
      </c>
      <c r="P1955">
        <v>-0.99853269999999905</v>
      </c>
      <c r="Q1955">
        <v>2.799743E-2</v>
      </c>
      <c r="R1955">
        <v>-4.6357120000000002E-2</v>
      </c>
      <c r="S1955">
        <v>-2.99401899999999</v>
      </c>
      <c r="T1955">
        <v>-0.13179370000000001</v>
      </c>
      <c r="U1955">
        <v>-0.3040466</v>
      </c>
      <c r="V1955">
        <v>-1.8858570000000002E-2</v>
      </c>
      <c r="W1955">
        <v>4.2634270000000002E-2</v>
      </c>
      <c r="X1955">
        <v>0.99891280000000005</v>
      </c>
      <c r="Y1955">
        <v>-7.3571079999999997E-2</v>
      </c>
      <c r="Z1955">
        <v>-4.071926E-4</v>
      </c>
      <c r="AA1955">
        <v>0.99728989999999995</v>
      </c>
      <c r="AB1955">
        <v>46</v>
      </c>
      <c r="AC1955">
        <v>-24.827499999999901</v>
      </c>
      <c r="AD1955">
        <v>-1.104729256985</v>
      </c>
      <c r="AE1955">
        <v>-2.5411999999999999</v>
      </c>
      <c r="AF1955">
        <v>-1.8533756476018299</v>
      </c>
      <c r="AG1955">
        <v>-1.104729256985</v>
      </c>
      <c r="AH1955">
        <v>24.839358971082</v>
      </c>
      <c r="AI1955">
        <v>92.539498782830705</v>
      </c>
      <c r="AJ1955">
        <v>94.267187111657293</v>
      </c>
      <c r="AK1955">
        <v>24.932893576892301</v>
      </c>
    </row>
    <row r="1956" spans="1:37" x14ac:dyDescent="0.2">
      <c r="A1956" t="str">
        <f>"20200111153436194"</f>
        <v>20200111153436194</v>
      </c>
      <c r="B1956" t="str">
        <f>"1578728076187619"</f>
        <v>1578728076187619</v>
      </c>
      <c r="C1956" t="s">
        <v>37</v>
      </c>
      <c r="D1956">
        <v>4.6564220000000001</v>
      </c>
      <c r="E1956">
        <v>0.47895559999999998</v>
      </c>
      <c r="F1956" t="s">
        <v>52</v>
      </c>
      <c r="G1956">
        <v>-440.15050000000002</v>
      </c>
      <c r="H1956" s="1">
        <v>-1.3771530000000001E-6</v>
      </c>
      <c r="I1956">
        <v>282.79610000000002</v>
      </c>
      <c r="J1956">
        <v>-415.82170000000002</v>
      </c>
      <c r="K1956">
        <v>1.104724</v>
      </c>
      <c r="L1956">
        <v>285.3064</v>
      </c>
      <c r="M1956">
        <v>-0.99951420000000002</v>
      </c>
      <c r="N1956">
        <v>0</v>
      </c>
      <c r="O1956">
        <v>-2.7516490000000001E-2</v>
      </c>
      <c r="P1956">
        <v>-0.99852960000000002</v>
      </c>
      <c r="Q1956">
        <v>2.7930159999999999E-2</v>
      </c>
      <c r="R1956">
        <v>-4.6462950000000003E-2</v>
      </c>
      <c r="S1956">
        <v>-2.9939879999999999</v>
      </c>
      <c r="T1956">
        <v>-0.13443369999999999</v>
      </c>
      <c r="U1956">
        <v>-0.30639650000000002</v>
      </c>
      <c r="V1956">
        <v>-1.8964849999999998E-2</v>
      </c>
      <c r="W1956">
        <v>4.2565190000000003E-2</v>
      </c>
      <c r="X1956">
        <v>0.99891369999999902</v>
      </c>
      <c r="Y1956">
        <v>-7.4343870000000006E-2</v>
      </c>
      <c r="Z1956">
        <v>-4.3261260000000001E-4</v>
      </c>
      <c r="AA1956">
        <v>0.99723259999999903</v>
      </c>
      <c r="AB1956">
        <v>46</v>
      </c>
      <c r="AC1956">
        <v>-24.328800000000001</v>
      </c>
      <c r="AD1956">
        <v>-1.1047253771529999</v>
      </c>
      <c r="AE1956">
        <v>-2.5102999999999702</v>
      </c>
      <c r="AF1956">
        <v>-1.8360884308955701</v>
      </c>
      <c r="AG1956">
        <v>-1.1047253771529999</v>
      </c>
      <c r="AH1956">
        <v>24.339012055300401</v>
      </c>
      <c r="AI1956">
        <v>92.591465709136898</v>
      </c>
      <c r="AJ1956">
        <v>94.314112464508796</v>
      </c>
      <c r="AK1956">
        <v>24.433156707905201</v>
      </c>
    </row>
    <row r="1957" spans="1:37" x14ac:dyDescent="0.2">
      <c r="A1957" t="str">
        <f>"20200111153436206"</f>
        <v>20200111153436206</v>
      </c>
      <c r="B1957" t="str">
        <f>"1578728076198356"</f>
        <v>1578728076198356</v>
      </c>
      <c r="C1957" t="s">
        <v>37</v>
      </c>
      <c r="D1957">
        <v>4.6572360000000002</v>
      </c>
      <c r="E1957">
        <v>0.4788153</v>
      </c>
      <c r="F1957" t="s">
        <v>52</v>
      </c>
      <c r="G1957">
        <v>-440.27859999999998</v>
      </c>
      <c r="H1957" s="1">
        <v>-1.3092600000000001E-6</v>
      </c>
      <c r="I1957">
        <v>282.8023</v>
      </c>
      <c r="J1957">
        <v>-416.0668</v>
      </c>
      <c r="K1957">
        <v>1.1047209999999901</v>
      </c>
      <c r="L1957">
        <v>285.29969999999997</v>
      </c>
      <c r="M1957">
        <v>-0.99951409999999996</v>
      </c>
      <c r="N1957">
        <v>0</v>
      </c>
      <c r="O1957">
        <v>-2.7516479999999999E-2</v>
      </c>
      <c r="P1957">
        <v>-0.99854240000000005</v>
      </c>
      <c r="Q1957">
        <v>2.7510079999999999E-2</v>
      </c>
      <c r="R1957">
        <v>-4.6436909999999998E-2</v>
      </c>
      <c r="S1957">
        <v>-2.9939580000000001</v>
      </c>
      <c r="T1957">
        <v>-0.13523789999999999</v>
      </c>
      <c r="U1957">
        <v>-0.30654910000000002</v>
      </c>
      <c r="V1957">
        <v>-1.8938509999999999E-2</v>
      </c>
      <c r="W1957">
        <v>4.2144029999999999E-2</v>
      </c>
      <c r="X1957">
        <v>0.99893209999999999</v>
      </c>
      <c r="Y1957">
        <v>-7.4394580000000002E-2</v>
      </c>
      <c r="Z1957">
        <v>-4.3634349999999898E-4</v>
      </c>
      <c r="AA1957">
        <v>0.99722880000000003</v>
      </c>
      <c r="AB1957">
        <v>46</v>
      </c>
      <c r="AC1957">
        <v>-24.211799999999901</v>
      </c>
      <c r="AD1957">
        <v>-1.10472230925999</v>
      </c>
      <c r="AE1957">
        <v>-2.4973999999999701</v>
      </c>
      <c r="AF1957">
        <v>-1.8263969341881601</v>
      </c>
      <c r="AG1957">
        <v>-1.10472230925999</v>
      </c>
      <c r="AH1957">
        <v>24.221462358009301</v>
      </c>
      <c r="AI1957">
        <v>92.60402454778</v>
      </c>
      <c r="AJ1957">
        <v>94.3121748547983</v>
      </c>
      <c r="AK1957">
        <v>24.3153321158122</v>
      </c>
    </row>
    <row r="1958" spans="1:37" x14ac:dyDescent="0.2">
      <c r="A1958" t="str">
        <f>"20200111153436218"</f>
        <v>20200111153436218</v>
      </c>
      <c r="B1958" t="str">
        <f>"1578728076208115"</f>
        <v>1578728076208115</v>
      </c>
      <c r="C1958" t="s">
        <v>37</v>
      </c>
      <c r="D1958">
        <v>4.6501710000000003</v>
      </c>
      <c r="E1958">
        <v>0.47872009999999998</v>
      </c>
      <c r="F1958" t="s">
        <v>52</v>
      </c>
      <c r="G1958">
        <v>-440.23500000000001</v>
      </c>
      <c r="H1958" s="1">
        <v>-1.333068E-6</v>
      </c>
      <c r="I1958">
        <v>282.81639999999999</v>
      </c>
      <c r="J1958">
        <v>-416.32249999999999</v>
      </c>
      <c r="K1958">
        <v>1.1047149999999999</v>
      </c>
      <c r="L1958">
        <v>285.29259999999999</v>
      </c>
      <c r="M1958">
        <v>-0.99951420000000002</v>
      </c>
      <c r="N1958">
        <v>0</v>
      </c>
      <c r="O1958">
        <v>-2.751659E-2</v>
      </c>
      <c r="P1958">
        <v>-0.99854310000000002</v>
      </c>
      <c r="Q1958">
        <v>2.7321350000000001E-2</v>
      </c>
      <c r="R1958">
        <v>-4.6537000000000002E-2</v>
      </c>
      <c r="S1958">
        <v>-2.9938349999999998</v>
      </c>
      <c r="T1958">
        <v>-0.13684739999999901</v>
      </c>
      <c r="U1958">
        <v>-0.30761719999999998</v>
      </c>
      <c r="V1958">
        <v>-1.9038220000000002E-2</v>
      </c>
      <c r="W1958">
        <v>4.195347E-2</v>
      </c>
      <c r="X1958">
        <v>0.99893809999999905</v>
      </c>
      <c r="Y1958">
        <v>-7.4749170000000004E-2</v>
      </c>
      <c r="Z1958">
        <v>-4.4961680000000001E-4</v>
      </c>
      <c r="AA1958">
        <v>0.99720229999999999</v>
      </c>
      <c r="AB1958">
        <v>46</v>
      </c>
      <c r="AC1958">
        <v>-23.912500000000001</v>
      </c>
      <c r="AD1958">
        <v>-1.1047163330679901</v>
      </c>
      <c r="AE1958">
        <v>-2.4762</v>
      </c>
      <c r="AF1958">
        <v>-1.81337205293987</v>
      </c>
      <c r="AG1958">
        <v>-1.1047163330679901</v>
      </c>
      <c r="AH1958">
        <v>23.921074757223401</v>
      </c>
      <c r="AI1958">
        <v>92.636584695638106</v>
      </c>
      <c r="AJ1958">
        <v>94.335098984547997</v>
      </c>
      <c r="AK1958">
        <v>24.0151313533697</v>
      </c>
    </row>
    <row r="1959" spans="1:37" x14ac:dyDescent="0.2">
      <c r="A1959" t="str">
        <f>"20200111153436232"</f>
        <v>20200111153436232</v>
      </c>
      <c r="B1959" t="str">
        <f>"1578728076227638"</f>
        <v>1578728076227638</v>
      </c>
      <c r="C1959" t="s">
        <v>37</v>
      </c>
      <c r="D1959">
        <v>4.7004830000000002</v>
      </c>
      <c r="E1959">
        <v>0.47850470000000001</v>
      </c>
      <c r="F1959" t="s">
        <v>52</v>
      </c>
      <c r="G1959">
        <v>-440.28710000000001</v>
      </c>
      <c r="H1959" s="1">
        <v>-1.30559E-6</v>
      </c>
      <c r="I1959">
        <v>282.82190000000003</v>
      </c>
      <c r="J1959">
        <v>-416.59070000000003</v>
      </c>
      <c r="K1959">
        <v>1.1047069999999899</v>
      </c>
      <c r="L1959">
        <v>285.28519999999997</v>
      </c>
      <c r="M1959">
        <v>-0.99951420000000002</v>
      </c>
      <c r="N1959">
        <v>0</v>
      </c>
      <c r="O1959">
        <v>-2.7516809999999999E-2</v>
      </c>
      <c r="P1959">
        <v>-0.99855469999999902</v>
      </c>
      <c r="Q1959">
        <v>2.7128030000000001E-2</v>
      </c>
      <c r="R1959">
        <v>-4.639646E-2</v>
      </c>
      <c r="S1959">
        <v>-2.9937740000000002</v>
      </c>
      <c r="T1959">
        <v>-0.13800679999999901</v>
      </c>
      <c r="U1959">
        <v>-0.30865479999999901</v>
      </c>
      <c r="V1959">
        <v>-1.889737E-2</v>
      </c>
      <c r="W1959">
        <v>4.1758620000000003E-2</v>
      </c>
      <c r="X1959">
        <v>0.99894899999999998</v>
      </c>
      <c r="Y1959">
        <v>-7.50918E-2</v>
      </c>
      <c r="Z1959">
        <v>-4.6128640000000002E-4</v>
      </c>
      <c r="AA1959">
        <v>0.99717649999999902</v>
      </c>
      <c r="AB1959">
        <v>45</v>
      </c>
      <c r="AC1959">
        <v>-23.696399999999901</v>
      </c>
      <c r="AD1959">
        <v>-1.10470830558999</v>
      </c>
      <c r="AE1959">
        <v>-2.4632999999999399</v>
      </c>
      <c r="AF1959">
        <v>-1.8063639718089901</v>
      </c>
      <c r="AG1959">
        <v>-1.10470830558999</v>
      </c>
      <c r="AH1959">
        <v>23.7042476690477</v>
      </c>
      <c r="AI1959">
        <v>92.660568351878396</v>
      </c>
      <c r="AJ1959">
        <v>94.357758565333995</v>
      </c>
      <c r="AK1959">
        <v>23.798627876300799</v>
      </c>
    </row>
    <row r="1960" spans="1:37" x14ac:dyDescent="0.2">
      <c r="A1960" t="str">
        <f>"20200111153436244"</f>
        <v>20200111153436244</v>
      </c>
      <c r="B1960" t="str">
        <f>"1578728076238372"</f>
        <v>1578728076238372</v>
      </c>
      <c r="C1960" t="s">
        <v>37</v>
      </c>
      <c r="D1960">
        <v>4.6820979999999999</v>
      </c>
      <c r="E1960">
        <v>0.47840270000000001</v>
      </c>
      <c r="F1960" t="s">
        <v>52</v>
      </c>
      <c r="G1960">
        <v>-440.41359999999997</v>
      </c>
      <c r="H1960" s="1">
        <v>-1.238182E-6</v>
      </c>
      <c r="I1960">
        <v>282.82040000000001</v>
      </c>
      <c r="J1960">
        <v>-416.83440000000002</v>
      </c>
      <c r="K1960">
        <v>1.104706</v>
      </c>
      <c r="L1960">
        <v>285.27850000000001</v>
      </c>
      <c r="M1960">
        <v>-0.99951420000000002</v>
      </c>
      <c r="N1960">
        <v>0</v>
      </c>
      <c r="O1960">
        <v>-2.7516800000000001E-2</v>
      </c>
      <c r="P1960">
        <v>-0.99855720000000003</v>
      </c>
      <c r="Q1960">
        <v>2.6950390000000001E-2</v>
      </c>
      <c r="R1960">
        <v>-4.6444930000000002E-2</v>
      </c>
      <c r="S1960">
        <v>-2.993744</v>
      </c>
      <c r="T1960">
        <v>-0.138824799999999</v>
      </c>
      <c r="U1960">
        <v>-0.30975340000000001</v>
      </c>
      <c r="V1960">
        <v>-1.8945630000000001E-2</v>
      </c>
      <c r="W1960">
        <v>4.157901E-2</v>
      </c>
      <c r="X1960">
        <v>0.99895560000000005</v>
      </c>
      <c r="Y1960">
        <v>-7.5453969999999995E-2</v>
      </c>
      <c r="Z1960">
        <v>-4.7238629999999998E-4</v>
      </c>
      <c r="AA1960">
        <v>0.99714919999999996</v>
      </c>
      <c r="AB1960">
        <v>45</v>
      </c>
      <c r="AC1960">
        <v>-23.579199999999901</v>
      </c>
      <c r="AD1960">
        <v>-1.104707238182</v>
      </c>
      <c r="AE1960">
        <v>-2.4581</v>
      </c>
      <c r="AF1960">
        <v>-1.80435739144323</v>
      </c>
      <c r="AG1960">
        <v>-1.104707238182</v>
      </c>
      <c r="AH1960">
        <v>23.586699501213801</v>
      </c>
      <c r="AI1960">
        <v>92.673746226719999</v>
      </c>
      <c r="AJ1960">
        <v>94.374545979610005</v>
      </c>
      <c r="AK1960">
        <v>23.6813951666431</v>
      </c>
    </row>
    <row r="1961" spans="1:37" x14ac:dyDescent="0.2">
      <c r="A1961" t="str">
        <f>"20200111153436265"</f>
        <v>20200111153436265</v>
      </c>
      <c r="B1961" t="str">
        <f>"1578728076257894"</f>
        <v>1578728076257894</v>
      </c>
      <c r="C1961" t="s">
        <v>37</v>
      </c>
      <c r="D1961">
        <v>4.6671909999999999</v>
      </c>
      <c r="E1961">
        <v>0.47816959999999997</v>
      </c>
      <c r="F1961" t="s">
        <v>52</v>
      </c>
      <c r="G1961">
        <v>-440.6139</v>
      </c>
      <c r="H1961" s="1">
        <v>-1.1311479999999999E-6</v>
      </c>
      <c r="I1961">
        <v>282.80950000000001</v>
      </c>
      <c r="J1961">
        <v>-417.26459999999997</v>
      </c>
      <c r="K1961">
        <v>1.1047</v>
      </c>
      <c r="L1961">
        <v>285.26670000000001</v>
      </c>
      <c r="M1961">
        <v>-0.99951420000000002</v>
      </c>
      <c r="N1961">
        <v>0</v>
      </c>
      <c r="O1961">
        <v>-2.7517139999999999E-2</v>
      </c>
      <c r="P1961">
        <v>-0.99853769999999997</v>
      </c>
      <c r="Q1961">
        <v>2.6623999999999998E-2</v>
      </c>
      <c r="R1961">
        <v>-4.7054800000000001E-2</v>
      </c>
      <c r="S1961">
        <v>-2.9935610000000001</v>
      </c>
      <c r="T1961">
        <v>-0.13907</v>
      </c>
      <c r="U1961">
        <v>-0.31082149999999997</v>
      </c>
      <c r="V1961">
        <v>-1.955513E-2</v>
      </c>
      <c r="W1961">
        <v>4.1250269999999999E-2</v>
      </c>
      <c r="X1961">
        <v>0.99895750000000005</v>
      </c>
      <c r="Y1961">
        <v>-7.5811310000000007E-2</v>
      </c>
      <c r="Z1961">
        <v>-4.814997E-4</v>
      </c>
      <c r="AA1961">
        <v>0.99712199999999995</v>
      </c>
      <c r="AB1961">
        <v>45</v>
      </c>
      <c r="AC1961">
        <v>-23.349299999999999</v>
      </c>
      <c r="AD1961">
        <v>-1.1047011311479999</v>
      </c>
      <c r="AE1961">
        <v>-2.4571999999999998</v>
      </c>
      <c r="AF1961">
        <v>-1.8096880919451701</v>
      </c>
      <c r="AG1961">
        <v>-1.1047011311479999</v>
      </c>
      <c r="AH1961">
        <v>23.356370086308999</v>
      </c>
      <c r="AI1961">
        <v>92.699856950752505</v>
      </c>
      <c r="AJ1961">
        <v>94.430514736734096</v>
      </c>
      <c r="AK1961">
        <v>23.452406255817699</v>
      </c>
    </row>
    <row r="1962" spans="1:37" x14ac:dyDescent="0.2">
      <c r="A1962" t="str">
        <f>"20200111153436288"</f>
        <v>20200111153436288</v>
      </c>
      <c r="B1962" t="str">
        <f>"1578728076278387"</f>
        <v>1578728076278387</v>
      </c>
      <c r="C1962" t="s">
        <v>37</v>
      </c>
      <c r="D1962">
        <v>4.6668830000000003</v>
      </c>
      <c r="E1962">
        <v>0.4778751</v>
      </c>
      <c r="F1962" t="s">
        <v>52</v>
      </c>
      <c r="G1962">
        <v>-440.8383</v>
      </c>
      <c r="H1962" s="1">
        <v>-1.0109139999999899E-6</v>
      </c>
      <c r="I1962">
        <v>282.7912</v>
      </c>
      <c r="J1962">
        <v>-417.71879999999999</v>
      </c>
      <c r="K1962">
        <v>1.104698</v>
      </c>
      <c r="L1962">
        <v>285.25420000000003</v>
      </c>
      <c r="M1962">
        <v>-0.99951420000000002</v>
      </c>
      <c r="N1962">
        <v>0</v>
      </c>
      <c r="O1962">
        <v>-2.7517239999999998E-2</v>
      </c>
      <c r="P1962">
        <v>-0.99851819999999902</v>
      </c>
      <c r="Q1962">
        <v>2.63409E-2</v>
      </c>
      <c r="R1962">
        <v>-4.7619439999999999E-2</v>
      </c>
      <c r="S1962">
        <v>-2.993347</v>
      </c>
      <c r="T1962">
        <v>-0.14027319999999999</v>
      </c>
      <c r="U1962">
        <v>-0.31433109999999997</v>
      </c>
      <c r="V1962">
        <v>-2.0120300000000001E-2</v>
      </c>
      <c r="W1962">
        <v>4.0963930000000003E-2</v>
      </c>
      <c r="X1962">
        <v>0.99895809999999996</v>
      </c>
      <c r="Y1962">
        <v>-7.6972769999999996E-2</v>
      </c>
      <c r="Z1962">
        <v>-5.1279069999999997E-4</v>
      </c>
      <c r="AA1962">
        <v>0.99703310000000001</v>
      </c>
      <c r="AB1962">
        <v>45</v>
      </c>
      <c r="AC1962">
        <v>-23.119499999999999</v>
      </c>
      <c r="AD1962">
        <v>-1.104699010914</v>
      </c>
      <c r="AE1962">
        <v>-2.4630000000000201</v>
      </c>
      <c r="AF1962">
        <v>-1.82170165684912</v>
      </c>
      <c r="AG1962">
        <v>-1.104699010914</v>
      </c>
      <c r="AH1962">
        <v>23.126317749127701</v>
      </c>
      <c r="AI1962">
        <v>92.7263958446148</v>
      </c>
      <c r="AJ1962">
        <v>94.503991250842702</v>
      </c>
      <c r="AK1962">
        <v>23.224244432594499</v>
      </c>
    </row>
    <row r="1963" spans="1:37" x14ac:dyDescent="0.2">
      <c r="A1963" t="str">
        <f>"20200111153436300"</f>
        <v>20200111153436300</v>
      </c>
      <c r="B1963" t="str">
        <f>"1578728076288148"</f>
        <v>1578728076288148</v>
      </c>
      <c r="C1963" t="s">
        <v>37</v>
      </c>
      <c r="D1963">
        <v>4.6669029999999996</v>
      </c>
      <c r="E1963">
        <v>0.47772229999999999</v>
      </c>
      <c r="F1963" t="s">
        <v>52</v>
      </c>
      <c r="G1963">
        <v>-440.92099999999999</v>
      </c>
      <c r="H1963" s="1">
        <v>-9.6675980000000008E-7</v>
      </c>
      <c r="I1963">
        <v>282.78809999999999</v>
      </c>
      <c r="J1963">
        <v>-417.97559999999999</v>
      </c>
      <c r="K1963">
        <v>1.1046910000000001</v>
      </c>
      <c r="L1963">
        <v>285.24709999999999</v>
      </c>
      <c r="M1963">
        <v>-0.99951420000000002</v>
      </c>
      <c r="N1963">
        <v>0</v>
      </c>
      <c r="O1963">
        <v>-2.751723E-2</v>
      </c>
      <c r="P1963">
        <v>-0.99850799999999995</v>
      </c>
      <c r="Q1963">
        <v>2.6105880000000001E-2</v>
      </c>
      <c r="R1963">
        <v>-4.796359E-2</v>
      </c>
      <c r="S1963">
        <v>-2.9929809999999999</v>
      </c>
      <c r="T1963">
        <v>-0.14250090000000001</v>
      </c>
      <c r="U1963">
        <v>-0.31811519999999999</v>
      </c>
      <c r="V1963">
        <v>-2.0464420000000001E-2</v>
      </c>
      <c r="W1963">
        <v>4.0727619999999999E-2</v>
      </c>
      <c r="X1963">
        <v>0.99896070000000003</v>
      </c>
      <c r="Y1963">
        <v>-7.8228939999999997E-2</v>
      </c>
      <c r="Z1963">
        <v>-5.5076379999999996E-4</v>
      </c>
      <c r="AA1963">
        <v>0.99693519999999902</v>
      </c>
      <c r="AB1963">
        <v>45</v>
      </c>
      <c r="AC1963">
        <v>-22.945399999999999</v>
      </c>
      <c r="AD1963">
        <v>-1.1046919667598001</v>
      </c>
      <c r="AE1963">
        <v>-2.4590000000000001</v>
      </c>
      <c r="AF1963">
        <v>-1.82243096289941</v>
      </c>
      <c r="AG1963">
        <v>-1.1046919667598001</v>
      </c>
      <c r="AH1963">
        <v>22.951786047910499</v>
      </c>
      <c r="AI1963">
        <v>92.746943002186597</v>
      </c>
      <c r="AJ1963">
        <v>94.5399075195715</v>
      </c>
      <c r="AK1963">
        <v>23.050511528923099</v>
      </c>
    </row>
    <row r="1964" spans="1:37" x14ac:dyDescent="0.2">
      <c r="A1964" t="str">
        <f>"20200111153436313"</f>
        <v>20200111153436313</v>
      </c>
      <c r="B1964" t="str">
        <f>"1578728076307669"</f>
        <v>1578728076307669</v>
      </c>
      <c r="C1964" t="s">
        <v>37</v>
      </c>
      <c r="D1964">
        <v>4.6886769999999904</v>
      </c>
      <c r="E1964">
        <v>0.4774622</v>
      </c>
      <c r="F1964" t="s">
        <v>52</v>
      </c>
      <c r="G1964">
        <v>-441.03919999999999</v>
      </c>
      <c r="H1964" s="1">
        <v>-9.0335349999999999E-7</v>
      </c>
      <c r="I1964">
        <v>282.77679999999998</v>
      </c>
      <c r="J1964">
        <v>-418.24740000000003</v>
      </c>
      <c r="K1964">
        <v>1.104689</v>
      </c>
      <c r="L1964">
        <v>285.2396</v>
      </c>
      <c r="M1964">
        <v>-0.99951440000000003</v>
      </c>
      <c r="N1964">
        <v>0</v>
      </c>
      <c r="O1964">
        <v>-2.7517570000000002E-2</v>
      </c>
      <c r="P1964">
        <v>-0.99850119999999898</v>
      </c>
      <c r="Q1964">
        <v>2.5955289999999999E-2</v>
      </c>
      <c r="R1964">
        <v>-4.8183480000000001E-2</v>
      </c>
      <c r="S1964">
        <v>-2.9928279999999998</v>
      </c>
      <c r="T1964">
        <v>-0.14334939999999999</v>
      </c>
      <c r="U1964">
        <v>-0.32055659999999903</v>
      </c>
      <c r="V1964">
        <v>-2.0684620000000001E-2</v>
      </c>
      <c r="W1964">
        <v>4.0575630000000001E-2</v>
      </c>
      <c r="X1964">
        <v>0.99896229999999997</v>
      </c>
      <c r="Y1964">
        <v>-7.9036439999999999E-2</v>
      </c>
      <c r="Z1964">
        <v>-5.7330399999999996E-4</v>
      </c>
      <c r="AA1964">
        <v>0.99687159999999997</v>
      </c>
      <c r="AB1964">
        <v>45</v>
      </c>
      <c r="AC1964">
        <v>-22.791799999999899</v>
      </c>
      <c r="AD1964">
        <v>-1.1046899033535</v>
      </c>
      <c r="AE1964">
        <v>-2.4628000000000099</v>
      </c>
      <c r="AF1964">
        <v>-1.83037487218932</v>
      </c>
      <c r="AG1964">
        <v>-1.1046899033535</v>
      </c>
      <c r="AH1964">
        <v>22.798005491077099</v>
      </c>
      <c r="AI1964">
        <v>92.765244615262304</v>
      </c>
      <c r="AJ1964">
        <v>94.590238742065594</v>
      </c>
      <c r="AK1964">
        <v>22.898027564104598</v>
      </c>
    </row>
    <row r="1965" spans="1:37" x14ac:dyDescent="0.2">
      <c r="A1965" t="str">
        <f>"20200111153436326"</f>
        <v>20200111153436326</v>
      </c>
      <c r="B1965" t="str">
        <f>"1578728076318404"</f>
        <v>1578728076318404</v>
      </c>
      <c r="C1965" t="s">
        <v>37</v>
      </c>
      <c r="D1965">
        <v>4.6838920000000002</v>
      </c>
      <c r="E1965">
        <v>0.47732449999999998</v>
      </c>
      <c r="F1965" t="s">
        <v>52</v>
      </c>
      <c r="G1965">
        <v>-441.30990000000003</v>
      </c>
      <c r="H1965" s="1">
        <v>-7.581094E-7</v>
      </c>
      <c r="I1965">
        <v>282.74900000000002</v>
      </c>
      <c r="J1965">
        <v>-418.49849999999998</v>
      </c>
      <c r="K1965">
        <v>1.1046879999999999</v>
      </c>
      <c r="L1965">
        <v>285.23270000000002</v>
      </c>
      <c r="M1965">
        <v>-0.99951429999999997</v>
      </c>
      <c r="N1965">
        <v>0</v>
      </c>
      <c r="O1965">
        <v>-2.751756E-2</v>
      </c>
      <c r="P1965">
        <v>-0.99849059999999901</v>
      </c>
      <c r="Q1965">
        <v>2.587824E-2</v>
      </c>
      <c r="R1965">
        <v>-4.8448049999999999E-2</v>
      </c>
      <c r="S1965">
        <v>-2.9926149999999998</v>
      </c>
      <c r="T1965">
        <v>-0.14334559999999999</v>
      </c>
      <c r="U1965">
        <v>-0.3231812</v>
      </c>
      <c r="V1965">
        <v>-2.094905E-2</v>
      </c>
      <c r="W1965">
        <v>4.0496549999999999E-2</v>
      </c>
      <c r="X1965">
        <v>0.99895999999999996</v>
      </c>
      <c r="Y1965">
        <v>-7.9907210000000006E-2</v>
      </c>
      <c r="Z1965">
        <v>-5.9408949999999996E-4</v>
      </c>
      <c r="AA1965">
        <v>0.99680219999999897</v>
      </c>
      <c r="AB1965">
        <v>45</v>
      </c>
      <c r="AC1965">
        <v>-22.811399999999999</v>
      </c>
      <c r="AD1965">
        <v>-1.10468875810939</v>
      </c>
      <c r="AE1965">
        <v>-2.48369999999999</v>
      </c>
      <c r="AF1965">
        <v>-1.85068869692755</v>
      </c>
      <c r="AG1965">
        <v>-1.10468875810939</v>
      </c>
      <c r="AH1965">
        <v>22.818226738398099</v>
      </c>
      <c r="AI1965">
        <v>92.762613879780503</v>
      </c>
      <c r="AJ1965">
        <v>94.636865880574007</v>
      </c>
      <c r="AK1965">
        <v>22.919791826937999</v>
      </c>
    </row>
    <row r="1966" spans="1:37" x14ac:dyDescent="0.2">
      <c r="A1966" t="str">
        <f>"20200111153436340"</f>
        <v>20200111153436340</v>
      </c>
      <c r="B1966" t="str">
        <f>"1578728076328164"</f>
        <v>1578728076328164</v>
      </c>
      <c r="C1966" t="s">
        <v>37</v>
      </c>
      <c r="D1966">
        <v>4.7031599999999996</v>
      </c>
      <c r="E1966">
        <v>0.47720879999999999</v>
      </c>
      <c r="F1966" t="s">
        <v>52</v>
      </c>
      <c r="G1966">
        <v>-441.5686</v>
      </c>
      <c r="H1966" s="1">
        <v>-6.1945460000000002E-7</v>
      </c>
      <c r="I1966">
        <v>282.72629999999998</v>
      </c>
      <c r="J1966">
        <v>-418.77539999999999</v>
      </c>
      <c r="K1966">
        <v>1.1046929999999999</v>
      </c>
      <c r="L1966">
        <v>285.2251</v>
      </c>
      <c r="M1966">
        <v>-0.99951449999999997</v>
      </c>
      <c r="N1966">
        <v>0</v>
      </c>
      <c r="O1966">
        <v>-2.751791E-2</v>
      </c>
      <c r="P1966">
        <v>-0.99848719999999902</v>
      </c>
      <c r="Q1966">
        <v>2.5534089999999999E-2</v>
      </c>
      <c r="R1966">
        <v>-4.8698730000000003E-2</v>
      </c>
      <c r="S1966">
        <v>-2.992432</v>
      </c>
      <c r="T1966">
        <v>-0.1432899</v>
      </c>
      <c r="U1966">
        <v>-0.3251038</v>
      </c>
      <c r="V1966">
        <v>-2.119942E-2</v>
      </c>
      <c r="W1966">
        <v>4.0150640000000001E-2</v>
      </c>
      <c r="X1966">
        <v>0.99896870000000004</v>
      </c>
      <c r="Y1966">
        <v>-8.0545690000000003E-2</v>
      </c>
      <c r="Z1966">
        <v>-6.0909440000000005E-4</v>
      </c>
      <c r="AA1966">
        <v>0.99675069999999999</v>
      </c>
      <c r="AB1966">
        <v>45</v>
      </c>
      <c r="AC1966">
        <v>-22.793199999999999</v>
      </c>
      <c r="AD1966">
        <v>-1.1046936194546</v>
      </c>
      <c r="AE1966">
        <v>-2.4988000000000099</v>
      </c>
      <c r="AF1966">
        <v>-1.86623370405317</v>
      </c>
      <c r="AG1966">
        <v>-1.1046936194546</v>
      </c>
      <c r="AH1966">
        <v>22.800414792349699</v>
      </c>
      <c r="AI1966">
        <v>92.764614377868199</v>
      </c>
      <c r="AJ1966">
        <v>94.6792780872685</v>
      </c>
      <c r="AK1966">
        <v>22.903320522016099</v>
      </c>
    </row>
    <row r="1967" spans="1:37" x14ac:dyDescent="0.2">
      <c r="A1967" t="str">
        <f>"20200111153436353"</f>
        <v>20200111153436353</v>
      </c>
      <c r="B1967" t="str">
        <f>"1578728076347684"</f>
        <v>1578728076347684</v>
      </c>
      <c r="C1967" t="s">
        <v>37</v>
      </c>
      <c r="D1967">
        <v>4.6522449999999997</v>
      </c>
      <c r="E1967">
        <v>0.47706270000000001</v>
      </c>
      <c r="F1967" t="s">
        <v>52</v>
      </c>
      <c r="G1967">
        <v>-441.69659999999999</v>
      </c>
      <c r="H1967" s="1">
        <v>-5.5114319999999895E-7</v>
      </c>
      <c r="I1967">
        <v>282.72190000000001</v>
      </c>
      <c r="J1967">
        <v>-419.06569999999999</v>
      </c>
      <c r="K1967">
        <v>1.1046940000000001</v>
      </c>
      <c r="L1967">
        <v>285.21710000000002</v>
      </c>
      <c r="M1967">
        <v>-0.99951429999999997</v>
      </c>
      <c r="N1967">
        <v>0</v>
      </c>
      <c r="O1967">
        <v>-2.7518009999999999E-2</v>
      </c>
      <c r="P1967">
        <v>-0.99847459999999899</v>
      </c>
      <c r="Q1967">
        <v>2.551662E-2</v>
      </c>
      <c r="R1967">
        <v>-4.8966820000000001E-2</v>
      </c>
      <c r="S1967">
        <v>-2.9922789999999999</v>
      </c>
      <c r="T1967">
        <v>-0.14421349999999999</v>
      </c>
      <c r="U1967">
        <v>-0.32678220000000002</v>
      </c>
      <c r="V1967">
        <v>-2.146762E-2</v>
      </c>
      <c r="W1967">
        <v>4.013158E-2</v>
      </c>
      <c r="X1967">
        <v>0.99896379999999996</v>
      </c>
      <c r="Y1967">
        <v>-8.1102160000000006E-2</v>
      </c>
      <c r="Z1967">
        <v>-6.2638790000000004E-4</v>
      </c>
      <c r="AA1967">
        <v>0.99670559999999997</v>
      </c>
      <c r="AB1967">
        <v>45</v>
      </c>
      <c r="AC1967">
        <v>-22.6309</v>
      </c>
      <c r="AD1967">
        <v>-1.1046945511432</v>
      </c>
      <c r="AE1967">
        <v>-2.4952000000000099</v>
      </c>
      <c r="AF1967">
        <v>-1.86703565904434</v>
      </c>
      <c r="AG1967">
        <v>-1.1046945511432</v>
      </c>
      <c r="AH1967">
        <v>22.6377058745596</v>
      </c>
      <c r="AI1967">
        <v>92.784314765072807</v>
      </c>
      <c r="AJ1967">
        <v>94.714775561015799</v>
      </c>
      <c r="AK1967">
        <v>22.7414137525911</v>
      </c>
    </row>
    <row r="1968" spans="1:37" x14ac:dyDescent="0.2">
      <c r="A1968" t="str">
        <f>"20200111153436366"</f>
        <v>20200111153436366</v>
      </c>
      <c r="B1968" t="str">
        <f>"1578728076358420"</f>
        <v>1578728076358420</v>
      </c>
      <c r="C1968" t="s">
        <v>37</v>
      </c>
      <c r="D1968">
        <v>4.6519709999999996</v>
      </c>
      <c r="E1968">
        <v>0.4769909</v>
      </c>
      <c r="F1968" t="s">
        <v>52</v>
      </c>
      <c r="G1968">
        <v>-441.95</v>
      </c>
      <c r="H1968" s="1">
        <v>-4.1550059999999898E-7</v>
      </c>
      <c r="I1968">
        <v>282.70359999999999</v>
      </c>
      <c r="J1968">
        <v>-419.31040000000002</v>
      </c>
      <c r="K1968">
        <v>1.104697</v>
      </c>
      <c r="L1968">
        <v>285.21039999999999</v>
      </c>
      <c r="M1968">
        <v>-0.99951449999999997</v>
      </c>
      <c r="N1968">
        <v>0</v>
      </c>
      <c r="O1968">
        <v>-2.7518239999999999E-2</v>
      </c>
      <c r="P1968">
        <v>-0.99846399999999902</v>
      </c>
      <c r="Q1968">
        <v>2.5421760000000002E-2</v>
      </c>
      <c r="R1968">
        <v>-4.9230679999999999E-2</v>
      </c>
      <c r="S1968">
        <v>-2.9921570000000002</v>
      </c>
      <c r="T1968">
        <v>-0.14444070000000001</v>
      </c>
      <c r="U1968">
        <v>-0.32864379999999999</v>
      </c>
      <c r="V1968">
        <v>-2.17315999999999E-2</v>
      </c>
      <c r="W1968">
        <v>4.0034859999999999E-2</v>
      </c>
      <c r="X1968">
        <v>0.99896189999999996</v>
      </c>
      <c r="Y1968">
        <v>-8.1718180000000001E-2</v>
      </c>
      <c r="Z1968">
        <v>-6.4218559999999997E-4</v>
      </c>
      <c r="AA1968">
        <v>0.99665530000000002</v>
      </c>
      <c r="AB1968">
        <v>45</v>
      </c>
      <c r="AC1968">
        <v>-22.639599999999898</v>
      </c>
      <c r="AD1968">
        <v>-1.1046974155006</v>
      </c>
      <c r="AE1968">
        <v>-2.5067999999999899</v>
      </c>
      <c r="AF1968">
        <v>-1.8783638983894699</v>
      </c>
      <c r="AG1968">
        <v>-1.1046974155006</v>
      </c>
      <c r="AH1968">
        <v>22.646747117475801</v>
      </c>
      <c r="AI1968">
        <v>92.783105472205193</v>
      </c>
      <c r="AJ1968">
        <v>94.741367319456899</v>
      </c>
      <c r="AK1968">
        <v>22.751346384719401</v>
      </c>
    </row>
    <row r="1969" spans="1:37" x14ac:dyDescent="0.2">
      <c r="A1969" t="str">
        <f>"20200111153436382"</f>
        <v>20200111153436382</v>
      </c>
      <c r="B1969" t="str">
        <f>"1578728076377940"</f>
        <v>1578728076377940</v>
      </c>
      <c r="C1969" t="s">
        <v>37</v>
      </c>
      <c r="D1969">
        <v>4.8186460000000002</v>
      </c>
      <c r="E1969">
        <v>0.47701080000000001</v>
      </c>
      <c r="F1969" t="s">
        <v>52</v>
      </c>
      <c r="G1969">
        <v>-442.18770000000001</v>
      </c>
      <c r="H1969" s="1">
        <v>-2.8825530000000001E-7</v>
      </c>
      <c r="I1969">
        <v>282.68700000000001</v>
      </c>
      <c r="J1969">
        <v>-419.59870000000001</v>
      </c>
      <c r="K1969">
        <v>1.1046989999999901</v>
      </c>
      <c r="L1969">
        <v>285.20240000000001</v>
      </c>
      <c r="M1969">
        <v>-0.99951440000000003</v>
      </c>
      <c r="N1969">
        <v>0</v>
      </c>
      <c r="O1969">
        <v>-2.7517989999999999E-2</v>
      </c>
      <c r="P1969">
        <v>-0.99846139999999906</v>
      </c>
      <c r="Q1969">
        <v>2.5505389999999999E-2</v>
      </c>
      <c r="R1969">
        <v>-4.9239829999999998E-2</v>
      </c>
      <c r="S1969">
        <v>-2.9920040000000001</v>
      </c>
      <c r="T1969">
        <v>-0.14447760000000001</v>
      </c>
      <c r="U1969">
        <v>-0.33001710000000001</v>
      </c>
      <c r="V1969">
        <v>-2.174106E-2</v>
      </c>
      <c r="W1969">
        <v>4.0116810000000003E-2</v>
      </c>
      <c r="X1969">
        <v>0.99895849999999897</v>
      </c>
      <c r="Y1969">
        <v>-8.2175349999999994E-2</v>
      </c>
      <c r="Z1969">
        <v>-6.5337800000000003E-4</v>
      </c>
      <c r="AA1969">
        <v>0.99661769999999905</v>
      </c>
      <c r="AB1969">
        <v>45</v>
      </c>
      <c r="AC1969">
        <v>-22.588999999999999</v>
      </c>
      <c r="AD1969">
        <v>-1.1046992882552999</v>
      </c>
      <c r="AE1969">
        <v>-2.5154000000000001</v>
      </c>
      <c r="AF1969">
        <v>-1.88831608210504</v>
      </c>
      <c r="AG1969">
        <v>-1.1046992882552999</v>
      </c>
      <c r="AH1969">
        <v>22.5962899841882</v>
      </c>
      <c r="AI1969">
        <v>92.789170960055102</v>
      </c>
      <c r="AJ1969">
        <v>94.776967222882504</v>
      </c>
      <c r="AK1969">
        <v>22.701947475776901</v>
      </c>
    </row>
    <row r="1970" spans="1:37" x14ac:dyDescent="0.2">
      <c r="A1970" t="str">
        <f>"20200111153436400"</f>
        <v>20200111153436400</v>
      </c>
      <c r="B1970" t="str">
        <f>"1578728076387700"</f>
        <v>1578728076387700</v>
      </c>
      <c r="C1970" t="s">
        <v>37</v>
      </c>
      <c r="D1970">
        <v>4.6994920000000002</v>
      </c>
      <c r="E1970">
        <v>0.47701080000000001</v>
      </c>
      <c r="F1970" t="s">
        <v>52</v>
      </c>
      <c r="G1970">
        <v>-442.58150000000001</v>
      </c>
      <c r="H1970" s="1">
        <v>-7.7896539999999998E-8</v>
      </c>
      <c r="I1970">
        <v>282.66860000000003</v>
      </c>
      <c r="J1970">
        <v>-419.98009999999999</v>
      </c>
      <c r="K1970">
        <v>1.104695</v>
      </c>
      <c r="L1970">
        <v>285.19189999999998</v>
      </c>
      <c r="M1970">
        <v>-0.99951440000000003</v>
      </c>
      <c r="N1970">
        <v>0</v>
      </c>
      <c r="O1970">
        <v>-2.7518210000000001E-2</v>
      </c>
      <c r="P1970">
        <v>-0.99847669999999999</v>
      </c>
      <c r="Q1970">
        <v>2.5527919999999999E-2</v>
      </c>
      <c r="R1970">
        <v>-4.891504E-2</v>
      </c>
      <c r="S1970">
        <v>-2.992035</v>
      </c>
      <c r="T1970">
        <v>-0.1438159</v>
      </c>
      <c r="U1970">
        <v>-0.3298645</v>
      </c>
      <c r="V1970">
        <v>-2.1415699999999999E-2</v>
      </c>
      <c r="W1970">
        <v>4.0136829999999998E-2</v>
      </c>
      <c r="X1970">
        <v>0.99896469999999904</v>
      </c>
      <c r="Y1970">
        <v>-8.2124440000000007E-2</v>
      </c>
      <c r="Z1970">
        <v>-6.4915399999999999E-4</v>
      </c>
      <c r="AA1970">
        <v>0.9966218</v>
      </c>
      <c r="AB1970">
        <v>45</v>
      </c>
      <c r="AC1970">
        <v>-22.601400000000002</v>
      </c>
      <c r="AD1970">
        <v>-1.1046950778965401</v>
      </c>
      <c r="AE1970">
        <v>-2.5232999999999399</v>
      </c>
      <c r="AF1970">
        <v>-1.89585426945174</v>
      </c>
      <c r="AG1970">
        <v>-1.1046950778965401</v>
      </c>
      <c r="AH1970">
        <v>22.608935632946</v>
      </c>
      <c r="AI1970">
        <v>92.787536446959905</v>
      </c>
      <c r="AJ1970">
        <v>94.793278204008502</v>
      </c>
      <c r="AK1970">
        <v>22.715162008685301</v>
      </c>
    </row>
    <row r="1971" spans="1:37" x14ac:dyDescent="0.2">
      <c r="A1971" t="str">
        <f>"20200111153436422"</f>
        <v>20200111153436422</v>
      </c>
      <c r="B1971" t="str">
        <f>"1578728076417959"</f>
        <v>1578728076417959</v>
      </c>
      <c r="C1971" t="s">
        <v>37</v>
      </c>
      <c r="D1971">
        <v>4.6616439999999999</v>
      </c>
      <c r="E1971">
        <v>0.49523800000000001</v>
      </c>
      <c r="F1971" t="s">
        <v>52</v>
      </c>
      <c r="G1971">
        <v>-442.98430000000002</v>
      </c>
      <c r="H1971" s="1">
        <v>1.367615E-7</v>
      </c>
      <c r="I1971">
        <v>282.66129999999998</v>
      </c>
      <c r="J1971">
        <v>-420.43299999999999</v>
      </c>
      <c r="K1971">
        <v>1.1046959999999999</v>
      </c>
      <c r="L1971">
        <v>285.17950000000002</v>
      </c>
      <c r="M1971">
        <v>-0.99951429999999997</v>
      </c>
      <c r="N1971">
        <v>0</v>
      </c>
      <c r="O1971">
        <v>-2.7518540000000001E-2</v>
      </c>
      <c r="P1971">
        <v>-0.99850439999999996</v>
      </c>
      <c r="Q1971">
        <v>2.5330430000000001E-2</v>
      </c>
      <c r="R1971">
        <v>-4.8447419999999998E-2</v>
      </c>
      <c r="S1971">
        <v>-2.9921259999999998</v>
      </c>
      <c r="T1971">
        <v>-0.14368639999999999</v>
      </c>
      <c r="U1971">
        <v>-0.32916259999999897</v>
      </c>
      <c r="V1971">
        <v>-2.094714E-2</v>
      </c>
      <c r="W1971">
        <v>3.993671E-2</v>
      </c>
      <c r="X1971">
        <v>0.99898259999999905</v>
      </c>
      <c r="Y1971">
        <v>-8.1890180000000007E-2</v>
      </c>
      <c r="Z1971">
        <v>-6.4293689999999997E-4</v>
      </c>
      <c r="AA1971">
        <v>0.9966412</v>
      </c>
      <c r="AB1971">
        <v>45</v>
      </c>
      <c r="AC1971">
        <v>-22.551299999999902</v>
      </c>
      <c r="AD1971">
        <v>-1.1046958632385</v>
      </c>
      <c r="AE1971">
        <v>-2.51820000000003</v>
      </c>
      <c r="AF1971">
        <v>-1.89211646445521</v>
      </c>
      <c r="AG1971">
        <v>-1.1046958632385</v>
      </c>
      <c r="AH1971">
        <v>22.5585970735664</v>
      </c>
      <c r="AI1971">
        <v>92.793743879804893</v>
      </c>
      <c r="AJ1971">
        <v>94.794497134077105</v>
      </c>
      <c r="AK1971">
        <v>22.6647470665974</v>
      </c>
    </row>
    <row r="1972" spans="1:37" x14ac:dyDescent="0.2">
      <c r="A1972" t="str">
        <f>"20200111153436435"</f>
        <v>20200111153436435</v>
      </c>
      <c r="B1972" t="str">
        <f>"1578728076427715"</f>
        <v>1578728076427715</v>
      </c>
      <c r="C1972" t="s">
        <v>37</v>
      </c>
      <c r="D1972">
        <v>4.6789579999999997</v>
      </c>
      <c r="E1972">
        <v>0.49482879999999901</v>
      </c>
      <c r="F1972" t="s">
        <v>52</v>
      </c>
      <c r="G1972">
        <v>-447.5206</v>
      </c>
      <c r="H1972" s="1">
        <v>2.5127449999999999E-6</v>
      </c>
      <c r="I1972">
        <v>283.53050000000002</v>
      </c>
      <c r="J1972">
        <v>-420.70190000000002</v>
      </c>
      <c r="K1972">
        <v>1.104695</v>
      </c>
      <c r="L1972">
        <v>285.1721</v>
      </c>
      <c r="M1972">
        <v>-0.99951460000000003</v>
      </c>
      <c r="N1972">
        <v>0</v>
      </c>
      <c r="O1972">
        <v>-2.7518770000000001E-2</v>
      </c>
      <c r="P1972">
        <v>-0.99852289999999999</v>
      </c>
      <c r="Q1972">
        <v>2.480017E-2</v>
      </c>
      <c r="R1972">
        <v>-4.8344900000000003E-2</v>
      </c>
      <c r="S1972">
        <v>-2.9987490000000001</v>
      </c>
      <c r="T1972">
        <v>-0.1222958</v>
      </c>
      <c r="U1972">
        <v>-0.1825562</v>
      </c>
      <c r="V1972">
        <v>-2.0843739999999999E-2</v>
      </c>
      <c r="W1972">
        <v>3.9404979999999999E-2</v>
      </c>
      <c r="X1972">
        <v>0.9990059</v>
      </c>
      <c r="Y1972">
        <v>-3.3266320000000002E-2</v>
      </c>
      <c r="Z1972">
        <v>4.4312459999999899E-4</v>
      </c>
      <c r="AA1972">
        <v>0.99944650000000002</v>
      </c>
      <c r="AB1972">
        <v>45</v>
      </c>
      <c r="AC1972">
        <v>-26.8186999999999</v>
      </c>
      <c r="AD1972">
        <v>-1.1046924872549999</v>
      </c>
      <c r="AE1972">
        <v>-1.64159999999998</v>
      </c>
      <c r="AF1972">
        <v>-0.90135818578586102</v>
      </c>
      <c r="AG1972">
        <v>-1.1046924872549999</v>
      </c>
      <c r="AH1972">
        <v>26.8084046018399</v>
      </c>
      <c r="AI1972">
        <v>92.358318036727496</v>
      </c>
      <c r="AJ1972">
        <v>91.925686121021101</v>
      </c>
      <c r="AK1972">
        <v>26.846291165940102</v>
      </c>
    </row>
    <row r="1973" spans="1:37" x14ac:dyDescent="0.2">
      <c r="A1973" t="str">
        <f>"20200111153436455"</f>
        <v>20200111153436455</v>
      </c>
      <c r="B1973" t="str">
        <f>"1578728076448214"</f>
        <v>1578728076448214</v>
      </c>
      <c r="C1973" t="s">
        <v>37</v>
      </c>
      <c r="D1973">
        <v>4.7064000000000004</v>
      </c>
      <c r="E1973">
        <v>0.49403269999999999</v>
      </c>
      <c r="F1973" t="s">
        <v>52</v>
      </c>
      <c r="G1973">
        <v>-447.25220000000002</v>
      </c>
      <c r="H1973" s="1">
        <v>2.3700129999999999E-6</v>
      </c>
      <c r="I1973">
        <v>283.52910000000003</v>
      </c>
      <c r="J1973">
        <v>-421.1053</v>
      </c>
      <c r="K1973">
        <v>1.1046940000000001</v>
      </c>
      <c r="L1973">
        <v>285.16090000000003</v>
      </c>
      <c r="M1973">
        <v>-0.99951449999999997</v>
      </c>
      <c r="N1973">
        <v>0</v>
      </c>
      <c r="O1973">
        <v>-2.7518750000000002E-2</v>
      </c>
      <c r="P1973">
        <v>-0.99853969999999903</v>
      </c>
      <c r="Q1973">
        <v>2.434884E-2</v>
      </c>
      <c r="R1973">
        <v>-4.8225780000000003E-2</v>
      </c>
      <c r="S1973">
        <v>-2.99850499999999</v>
      </c>
      <c r="T1973">
        <v>-0.1247603</v>
      </c>
      <c r="U1973">
        <v>-0.18554689999999999</v>
      </c>
      <c r="V1973">
        <v>-2.072454E-2</v>
      </c>
      <c r="W1973">
        <v>3.8951859999999998E-2</v>
      </c>
      <c r="X1973">
        <v>0.99902610000000003</v>
      </c>
      <c r="Y1973">
        <v>-3.4263309999999998E-2</v>
      </c>
      <c r="Z1973">
        <v>4.3135279999999997E-4</v>
      </c>
      <c r="AA1973">
        <v>0.99941279999999999</v>
      </c>
      <c r="AB1973">
        <v>45</v>
      </c>
      <c r="AC1973">
        <v>-26.146899999999999</v>
      </c>
      <c r="AD1973">
        <v>-1.104691629987</v>
      </c>
      <c r="AE1973">
        <v>-1.6317999999999899</v>
      </c>
      <c r="AF1973">
        <v>-0.90995708005491305</v>
      </c>
      <c r="AG1973">
        <v>-1.104691629987</v>
      </c>
      <c r="AH1973">
        <v>26.135434490502199</v>
      </c>
      <c r="AI1973">
        <v>92.418871394794195</v>
      </c>
      <c r="AJ1973">
        <v>91.994060915982203</v>
      </c>
      <c r="AK1973">
        <v>26.174592670989799</v>
      </c>
    </row>
    <row r="1974" spans="1:37" x14ac:dyDescent="0.2">
      <c r="A1974" t="str">
        <f>"20200111153436478"</f>
        <v>20200111153436478</v>
      </c>
      <c r="B1974" t="str">
        <f>"1578728076467732"</f>
        <v>1578728076467732</v>
      </c>
      <c r="C1974" t="s">
        <v>37</v>
      </c>
      <c r="D1974">
        <v>4.678782</v>
      </c>
      <c r="E1974">
        <v>0.49330429999999997</v>
      </c>
      <c r="F1974" t="s">
        <v>52</v>
      </c>
      <c r="G1974">
        <v>-447.9461</v>
      </c>
      <c r="H1974" s="1">
        <v>2.7428499999999999E-6</v>
      </c>
      <c r="I1974">
        <v>283.44709999999998</v>
      </c>
      <c r="J1974">
        <v>-421.5693</v>
      </c>
      <c r="K1974">
        <v>1.104692</v>
      </c>
      <c r="L1974">
        <v>285.1481</v>
      </c>
      <c r="M1974">
        <v>-0.99951460000000003</v>
      </c>
      <c r="N1974">
        <v>0</v>
      </c>
      <c r="O1974">
        <v>-2.751897E-2</v>
      </c>
      <c r="P1974">
        <v>-0.998552</v>
      </c>
      <c r="Q1974">
        <v>2.3805489999999999E-2</v>
      </c>
      <c r="R1974">
        <v>-4.8241920000000001E-2</v>
      </c>
      <c r="S1974">
        <v>-2.9981080000000002</v>
      </c>
      <c r="T1974">
        <v>-0.1233937</v>
      </c>
      <c r="U1974">
        <v>-0.19143679999999999</v>
      </c>
      <c r="V1974">
        <v>-2.073974E-2</v>
      </c>
      <c r="W1974">
        <v>3.8405809999999999E-2</v>
      </c>
      <c r="X1974">
        <v>0.99904699999999902</v>
      </c>
      <c r="Y1974">
        <v>-3.6225319999999998E-2</v>
      </c>
      <c r="Z1974">
        <v>3.8634599999999998E-4</v>
      </c>
      <c r="AA1974">
        <v>0.9993436</v>
      </c>
      <c r="AB1974">
        <v>45</v>
      </c>
      <c r="AC1974">
        <v>-26.376799999999999</v>
      </c>
      <c r="AD1974">
        <v>-1.10468925715</v>
      </c>
      <c r="AE1974">
        <v>-1.7010000000000201</v>
      </c>
      <c r="AF1974">
        <v>-0.972716774988438</v>
      </c>
      <c r="AG1974">
        <v>-1.10468925715</v>
      </c>
      <c r="AH1974">
        <v>26.367565391318699</v>
      </c>
      <c r="AI1974">
        <v>92.397418491616705</v>
      </c>
      <c r="AJ1974">
        <v>92.112720804372501</v>
      </c>
      <c r="AK1974">
        <v>26.408616414811899</v>
      </c>
    </row>
    <row r="1975" spans="1:37" x14ac:dyDescent="0.2">
      <c r="A1975" t="str">
        <f>"20200111153436493"</f>
        <v>20200111153436493</v>
      </c>
      <c r="B1975" t="str">
        <f>"1578728076488228"</f>
        <v>1578728076488228</v>
      </c>
      <c r="C1975" t="s">
        <v>37</v>
      </c>
      <c r="D1975">
        <v>4.7134780000000003</v>
      </c>
      <c r="E1975">
        <v>0.49275590000000002</v>
      </c>
      <c r="F1975" t="s">
        <v>52</v>
      </c>
      <c r="G1975">
        <v>-448.13619999999997</v>
      </c>
      <c r="H1975" s="1">
        <v>2.846085E-6</v>
      </c>
      <c r="I1975">
        <v>283.3997</v>
      </c>
      <c r="J1975">
        <v>-421.84969999999998</v>
      </c>
      <c r="K1975">
        <v>1.1046910000000001</v>
      </c>
      <c r="L1975">
        <v>285.1404</v>
      </c>
      <c r="M1975">
        <v>-0.99951460000000003</v>
      </c>
      <c r="N1975">
        <v>0</v>
      </c>
      <c r="O1975">
        <v>-2.7519080000000001E-2</v>
      </c>
      <c r="P1975">
        <v>-0.99855319999999903</v>
      </c>
      <c r="Q1975">
        <v>2.3667779999999999E-2</v>
      </c>
      <c r="R1975">
        <v>-4.8286860000000001E-2</v>
      </c>
      <c r="S1975">
        <v>-2.99780299999999</v>
      </c>
      <c r="T1975">
        <v>-0.1246529</v>
      </c>
      <c r="U1975">
        <v>-0.1972961</v>
      </c>
      <c r="V1975">
        <v>-2.078464E-2</v>
      </c>
      <c r="W1975">
        <v>3.82662E-2</v>
      </c>
      <c r="X1975">
        <v>0.99905140000000003</v>
      </c>
      <c r="Y1975">
        <v>-3.8174859999999998E-2</v>
      </c>
      <c r="Z1975">
        <v>3.4982559999999999E-4</v>
      </c>
      <c r="AA1975">
        <v>0.99927099999999902</v>
      </c>
      <c r="AB1975">
        <v>45</v>
      </c>
      <c r="AC1975">
        <v>-26.286499999999901</v>
      </c>
      <c r="AD1975">
        <v>-1.104688153915</v>
      </c>
      <c r="AE1975">
        <v>-1.7406999999999999</v>
      </c>
      <c r="AF1975">
        <v>-1.0147987688182201</v>
      </c>
      <c r="AG1975">
        <v>-1.104688153915</v>
      </c>
      <c r="AH1975">
        <v>26.278242954199101</v>
      </c>
      <c r="AI1975">
        <v>92.405399191687493</v>
      </c>
      <c r="AJ1975">
        <v>92.211518063500407</v>
      </c>
      <c r="AK1975">
        <v>26.321022115763501</v>
      </c>
    </row>
    <row r="1976" spans="1:37" x14ac:dyDescent="0.2">
      <c r="A1976" t="str">
        <f>"20200111153436508"</f>
        <v>20200111153436508</v>
      </c>
      <c r="B1976" t="str">
        <f>"1578728076497989"</f>
        <v>1578728076497989</v>
      </c>
      <c r="C1976" t="s">
        <v>37</v>
      </c>
      <c r="D1976">
        <v>4.7100799999999996</v>
      </c>
      <c r="E1976">
        <v>0.49272290000000002</v>
      </c>
      <c r="F1976" t="s">
        <v>52</v>
      </c>
      <c r="G1976">
        <v>-448.20359999999999</v>
      </c>
      <c r="H1976" s="1">
        <v>2.8833890000000001E-6</v>
      </c>
      <c r="I1976">
        <v>283.36579999999998</v>
      </c>
      <c r="J1976">
        <v>-422.15940000000001</v>
      </c>
      <c r="K1976">
        <v>1.104692</v>
      </c>
      <c r="L1976">
        <v>285.13189999999997</v>
      </c>
      <c r="M1976">
        <v>-0.99951469999999898</v>
      </c>
      <c r="N1976">
        <v>0</v>
      </c>
      <c r="O1976">
        <v>-2.7519419999999999E-2</v>
      </c>
      <c r="P1976">
        <v>-0.99854880000000001</v>
      </c>
      <c r="Q1976">
        <v>2.3418640000000001E-2</v>
      </c>
      <c r="R1976">
        <v>-4.8498619999999999E-2</v>
      </c>
      <c r="S1976">
        <v>-2.9975589999999999</v>
      </c>
      <c r="T1976">
        <v>-0.1256505</v>
      </c>
      <c r="U1976">
        <v>-0.2018433</v>
      </c>
      <c r="V1976">
        <v>-2.099635E-2</v>
      </c>
      <c r="W1976">
        <v>3.8015569999999999E-2</v>
      </c>
      <c r="X1976">
        <v>0.99905650000000001</v>
      </c>
      <c r="Y1976">
        <v>-3.9687489999999999E-2</v>
      </c>
      <c r="Z1976">
        <v>3.2098860000000001E-4</v>
      </c>
      <c r="AA1976">
        <v>0.99921209999999905</v>
      </c>
      <c r="AB1976">
        <v>45</v>
      </c>
      <c r="AC1976">
        <v>-26.044199999999901</v>
      </c>
      <c r="AD1976">
        <v>-1.104689116611</v>
      </c>
      <c r="AE1976">
        <v>-1.76609999999999</v>
      </c>
      <c r="AF1976">
        <v>-1.0467587273129</v>
      </c>
      <c r="AG1976">
        <v>-1.104689116611</v>
      </c>
      <c r="AH1976">
        <v>26.036313558782702</v>
      </c>
      <c r="AI1976">
        <v>92.427574294276596</v>
      </c>
      <c r="AJ1976">
        <v>92.302268139709</v>
      </c>
      <c r="AK1976">
        <v>26.080752780715802</v>
      </c>
    </row>
    <row r="1977" spans="1:37" x14ac:dyDescent="0.2">
      <c r="A1977" t="str">
        <f>"20200111153436523"</f>
        <v>20200111153436523</v>
      </c>
      <c r="B1977" t="str">
        <f>"1578728076518484"</f>
        <v>1578728076518484</v>
      </c>
      <c r="C1977" t="s">
        <v>37</v>
      </c>
      <c r="D1977">
        <v>5.8395219999999997</v>
      </c>
      <c r="E1977">
        <v>0.49271709999999902</v>
      </c>
      <c r="F1977" t="s">
        <v>52</v>
      </c>
      <c r="G1977">
        <v>-448.57679999999999</v>
      </c>
      <c r="H1977" s="1">
        <v>3.0828369999999999E-6</v>
      </c>
      <c r="I1977">
        <v>283.34649999999999</v>
      </c>
      <c r="J1977">
        <v>-422.47109999999998</v>
      </c>
      <c r="K1977">
        <v>1.1046929999999999</v>
      </c>
      <c r="L1977">
        <v>285.12329999999997</v>
      </c>
      <c r="M1977">
        <v>-0.99951469999999898</v>
      </c>
      <c r="N1977">
        <v>0</v>
      </c>
      <c r="O1977">
        <v>-2.7519399999999999E-2</v>
      </c>
      <c r="P1977">
        <v>-0.99854209999999999</v>
      </c>
      <c r="Q1977">
        <v>2.3525020000000001E-2</v>
      </c>
      <c r="R1977">
        <v>-4.8585139999999999E-2</v>
      </c>
      <c r="S1977">
        <v>-2.9974369999999899</v>
      </c>
      <c r="T1977">
        <v>-0.12534329999999999</v>
      </c>
      <c r="U1977">
        <v>-0.2025757</v>
      </c>
      <c r="V1977">
        <v>-2.1082969999999999E-2</v>
      </c>
      <c r="W1977">
        <v>3.8119920000000002E-2</v>
      </c>
      <c r="X1977">
        <v>0.99905069999999996</v>
      </c>
      <c r="Y1977">
        <v>-3.9933120000000003E-2</v>
      </c>
      <c r="Z1977">
        <v>3.150858E-4</v>
      </c>
      <c r="AA1977">
        <v>0.99920229999999999</v>
      </c>
      <c r="AB1977">
        <v>45</v>
      </c>
      <c r="AC1977">
        <v>-26.105699999999999</v>
      </c>
      <c r="AD1977">
        <v>-1.104689917163</v>
      </c>
      <c r="AE1977">
        <v>-1.77679999999998</v>
      </c>
      <c r="AF1977">
        <v>-1.0557554189913101</v>
      </c>
      <c r="AG1977">
        <v>-1.104689917163</v>
      </c>
      <c r="AH1977">
        <v>26.098195368511298</v>
      </c>
      <c r="AI1977">
        <v>92.421802562723599</v>
      </c>
      <c r="AJ1977">
        <v>92.316534324432197</v>
      </c>
      <c r="AK1977">
        <v>26.142891209864299</v>
      </c>
    </row>
    <row r="1978" spans="1:37" x14ac:dyDescent="0.2">
      <c r="A1978" t="str">
        <f>"20200111153436544"</f>
        <v>20200111153436544</v>
      </c>
      <c r="B1978" t="str">
        <f>"1578728076538006"</f>
        <v>1578728076538006</v>
      </c>
      <c r="C1978" t="s">
        <v>37</v>
      </c>
      <c r="D1978">
        <v>4.7045969999999997</v>
      </c>
      <c r="E1978">
        <v>0.4923884</v>
      </c>
      <c r="F1978" t="s">
        <v>52</v>
      </c>
      <c r="G1978">
        <v>-449.58870000000002</v>
      </c>
      <c r="H1978" s="1">
        <v>3.623903E-6</v>
      </c>
      <c r="I1978">
        <v>283.28809999999999</v>
      </c>
      <c r="J1978">
        <v>-422.90969999999999</v>
      </c>
      <c r="K1978">
        <v>1.104692</v>
      </c>
      <c r="L1978">
        <v>285.1112</v>
      </c>
      <c r="M1978">
        <v>-0.99951469999999898</v>
      </c>
      <c r="N1978">
        <v>0</v>
      </c>
      <c r="O1978">
        <v>-2.7519620000000002E-2</v>
      </c>
      <c r="P1978">
        <v>-0.99850849999999902</v>
      </c>
      <c r="Q1978">
        <v>2.3673690000000001E-2</v>
      </c>
      <c r="R1978">
        <v>-4.9199890000000003E-2</v>
      </c>
      <c r="S1978">
        <v>-2.9973139999999998</v>
      </c>
      <c r="T1978">
        <v>-0.12210169999999999</v>
      </c>
      <c r="U1978">
        <v>-0.20285029999999901</v>
      </c>
      <c r="V1978">
        <v>-2.169834E-2</v>
      </c>
      <c r="W1978">
        <v>3.8265250000000001E-2</v>
      </c>
      <c r="X1978">
        <v>0.99903199999999903</v>
      </c>
      <c r="Y1978">
        <v>-4.0027260000000002E-2</v>
      </c>
      <c r="Z1978">
        <v>3.0504939999999997E-4</v>
      </c>
      <c r="AA1978">
        <v>0.99919859999999905</v>
      </c>
      <c r="AB1978">
        <v>45</v>
      </c>
      <c r="AC1978">
        <v>-26.678999999999998</v>
      </c>
      <c r="AD1978">
        <v>-1.1046883760970001</v>
      </c>
      <c r="AE1978">
        <v>-1.8231000000000099</v>
      </c>
      <c r="AF1978">
        <v>-1.0862814333703801</v>
      </c>
      <c r="AG1978">
        <v>-1.1046883760970001</v>
      </c>
      <c r="AH1978">
        <v>26.673550343449101</v>
      </c>
      <c r="AI1978">
        <v>92.3695945197816</v>
      </c>
      <c r="AJ1978">
        <v>92.332084267410906</v>
      </c>
      <c r="AK1978">
        <v>26.718507287744998</v>
      </c>
    </row>
    <row r="1979" spans="1:37" x14ac:dyDescent="0.2">
      <c r="A1979" t="str">
        <f>"20200111153436567"</f>
        <v>20200111153436567</v>
      </c>
      <c r="B1979" t="str">
        <f>"1578728076558499"</f>
        <v>1578728076558499</v>
      </c>
      <c r="C1979" t="s">
        <v>37</v>
      </c>
      <c r="D1979">
        <v>4.694896</v>
      </c>
      <c r="E1979">
        <v>0.49208879999999999</v>
      </c>
      <c r="F1979" t="s">
        <v>52</v>
      </c>
      <c r="G1979">
        <v>-450.01330000000002</v>
      </c>
      <c r="H1979" s="1">
        <v>-1.4693259999999999E-6</v>
      </c>
      <c r="I1979">
        <v>283.23540000000003</v>
      </c>
      <c r="J1979">
        <v>-423.35480000000001</v>
      </c>
      <c r="K1979">
        <v>1.104695</v>
      </c>
      <c r="L1979">
        <v>285.09899999999999</v>
      </c>
      <c r="M1979">
        <v>-0.99951460000000003</v>
      </c>
      <c r="N1979">
        <v>0</v>
      </c>
      <c r="O1979">
        <v>-2.7519720000000001E-2</v>
      </c>
      <c r="P1979">
        <v>-0.99848989999999904</v>
      </c>
      <c r="Q1979">
        <v>2.3607349999999999E-2</v>
      </c>
      <c r="R1979">
        <v>-4.9603990000000001E-2</v>
      </c>
      <c r="S1979">
        <v>-2.9971619999999999</v>
      </c>
      <c r="T1979">
        <v>-0.1221588</v>
      </c>
      <c r="U1979">
        <v>-0.207428</v>
      </c>
      <c r="V1979">
        <v>-2.2102360000000001E-2</v>
      </c>
      <c r="W1979">
        <v>3.819616E-2</v>
      </c>
      <c r="X1979">
        <v>0.99902579999999996</v>
      </c>
      <c r="Y1979">
        <v>-4.1548259999999997E-2</v>
      </c>
      <c r="Z1979">
        <v>2.7424319999999998E-4</v>
      </c>
      <c r="AA1979">
        <v>0.99913639999999904</v>
      </c>
      <c r="AB1979">
        <v>45</v>
      </c>
      <c r="AC1979">
        <v>-26.6585</v>
      </c>
      <c r="AD1979">
        <v>-1.104696469326</v>
      </c>
      <c r="AE1979">
        <v>-1.86359999999996</v>
      </c>
      <c r="AF1979">
        <v>-1.12725506621479</v>
      </c>
      <c r="AG1979">
        <v>-1.104696469326</v>
      </c>
      <c r="AH1979">
        <v>26.654145203612099</v>
      </c>
      <c r="AI1979">
        <v>92.371181268059502</v>
      </c>
      <c r="AJ1979">
        <v>92.421705577764698</v>
      </c>
      <c r="AK1979">
        <v>26.700833597640401</v>
      </c>
    </row>
    <row r="1980" spans="1:37" x14ac:dyDescent="0.2">
      <c r="A1980" t="str">
        <f>"20200111153436589"</f>
        <v>20200111153436589</v>
      </c>
      <c r="B1980" t="str">
        <f>"1578728076578019"</f>
        <v>1578728076578019</v>
      </c>
      <c r="C1980" t="s">
        <v>37</v>
      </c>
      <c r="D1980">
        <v>4.6667350000000001</v>
      </c>
      <c r="E1980">
        <v>0.4919251</v>
      </c>
      <c r="F1980" t="s">
        <v>52</v>
      </c>
      <c r="G1980">
        <v>-450.11320000000001</v>
      </c>
      <c r="H1980" s="1">
        <v>-1.415376E-6</v>
      </c>
      <c r="I1980">
        <v>283.2165</v>
      </c>
      <c r="J1980">
        <v>-423.79489999999998</v>
      </c>
      <c r="K1980">
        <v>1.104697</v>
      </c>
      <c r="L1980">
        <v>285.08690000000001</v>
      </c>
      <c r="M1980">
        <v>-0.99951480000000004</v>
      </c>
      <c r="N1980">
        <v>0</v>
      </c>
      <c r="O1980">
        <v>-2.7520059999999999E-2</v>
      </c>
      <c r="P1980">
        <v>-0.99846209999999902</v>
      </c>
      <c r="Q1980">
        <v>2.3911169999999999E-2</v>
      </c>
      <c r="R1980">
        <v>-5.0020160000000001E-2</v>
      </c>
      <c r="S1980">
        <v>-2.9969480000000002</v>
      </c>
      <c r="T1980">
        <v>-0.12372619999999999</v>
      </c>
      <c r="U1980">
        <v>-0.210845899999999</v>
      </c>
      <c r="V1980">
        <v>-2.2519399999999998E-2</v>
      </c>
      <c r="W1980">
        <v>3.8496820000000001E-2</v>
      </c>
      <c r="X1980">
        <v>0.99900499999999903</v>
      </c>
      <c r="Y1980">
        <v>-4.2685529999999999E-2</v>
      </c>
      <c r="Z1980">
        <v>2.5434060000000002E-4</v>
      </c>
      <c r="AA1980">
        <v>0.99908850000000005</v>
      </c>
      <c r="AB1980">
        <v>45</v>
      </c>
      <c r="AC1980">
        <v>-26.318300000000001</v>
      </c>
      <c r="AD1980">
        <v>-1.104698415376</v>
      </c>
      <c r="AE1980">
        <v>-1.8704000000000101</v>
      </c>
      <c r="AF1980">
        <v>-1.1433288986542101</v>
      </c>
      <c r="AG1980">
        <v>-1.104698415376</v>
      </c>
      <c r="AH1980">
        <v>26.313680773079199</v>
      </c>
      <c r="AI1980">
        <v>92.401710879323105</v>
      </c>
      <c r="AJ1980">
        <v>92.487935592724895</v>
      </c>
      <c r="AK1980">
        <v>26.361664503345601</v>
      </c>
    </row>
    <row r="1981" spans="1:37" x14ac:dyDescent="0.2">
      <c r="A1981" t="str">
        <f>"20200111153436602"</f>
        <v>20200111153436602</v>
      </c>
      <c r="B1981" t="str">
        <f>"1578728076598515"</f>
        <v>1578728076598515</v>
      </c>
      <c r="C1981" t="s">
        <v>37</v>
      </c>
      <c r="D1981">
        <v>4.7733400000000001</v>
      </c>
      <c r="E1981">
        <v>0.49191499999999999</v>
      </c>
      <c r="F1981" t="s">
        <v>52</v>
      </c>
      <c r="G1981">
        <v>-450.52359999999999</v>
      </c>
      <c r="H1981" s="1">
        <v>-1.195568E-6</v>
      </c>
      <c r="I1981">
        <v>283.18400000000003</v>
      </c>
      <c r="J1981">
        <v>-424.04919999999998</v>
      </c>
      <c r="K1981">
        <v>1.1047</v>
      </c>
      <c r="L1981">
        <v>285.07990000000001</v>
      </c>
      <c r="M1981">
        <v>-0.99951480000000004</v>
      </c>
      <c r="N1981">
        <v>0</v>
      </c>
      <c r="O1981">
        <v>-2.752017E-2</v>
      </c>
      <c r="P1981">
        <v>-0.99845189999999995</v>
      </c>
      <c r="Q1981">
        <v>2.3937770000000001E-2</v>
      </c>
      <c r="R1981">
        <v>-5.0212199999999999E-2</v>
      </c>
      <c r="S1981">
        <v>-2.9968569999999999</v>
      </c>
      <c r="T1981">
        <v>-0.123860199999999</v>
      </c>
      <c r="U1981">
        <v>-0.21334839999999999</v>
      </c>
      <c r="V1981">
        <v>-2.2711350000000002E-2</v>
      </c>
      <c r="W1981">
        <v>3.8521600000000003E-2</v>
      </c>
      <c r="X1981">
        <v>0.99899969999999905</v>
      </c>
      <c r="Y1981">
        <v>-4.3516909999999999E-2</v>
      </c>
      <c r="Z1981">
        <v>2.3746539999999999E-4</v>
      </c>
      <c r="AA1981">
        <v>0.99905259999999996</v>
      </c>
      <c r="AB1981">
        <v>45</v>
      </c>
      <c r="AC1981">
        <v>-26.474399999999999</v>
      </c>
      <c r="AD1981">
        <v>-1.1047011955679999</v>
      </c>
      <c r="AE1981">
        <v>-1.8958999999999799</v>
      </c>
      <c r="AF1981">
        <v>-1.1645070063994001</v>
      </c>
      <c r="AG1981">
        <v>-1.1047011955679999</v>
      </c>
      <c r="AH1981">
        <v>26.4706972618857</v>
      </c>
      <c r="AI1981">
        <v>92.387430727827905</v>
      </c>
      <c r="AJ1981">
        <v>92.518949292762301</v>
      </c>
      <c r="AK1981">
        <v>26.519318521218501</v>
      </c>
    </row>
    <row r="1982" spans="1:37" x14ac:dyDescent="0.2">
      <c r="A1982" t="str">
        <f>"20200111153436615"</f>
        <v>20200111153436615</v>
      </c>
      <c r="B1982" t="str">
        <f>"1578728076608275"</f>
        <v>1578728076608275</v>
      </c>
      <c r="C1982" t="s">
        <v>37</v>
      </c>
      <c r="D1982">
        <v>4.8472029999999897</v>
      </c>
      <c r="E1982">
        <v>0.49191499999999999</v>
      </c>
      <c r="F1982" t="s">
        <v>52</v>
      </c>
      <c r="G1982">
        <v>-450.70870000000002</v>
      </c>
      <c r="H1982" s="1">
        <v>-1.096667E-6</v>
      </c>
      <c r="I1982">
        <v>283.17570000000001</v>
      </c>
      <c r="J1982">
        <v>-424.31619999999998</v>
      </c>
      <c r="K1982">
        <v>1.1047009999999999</v>
      </c>
      <c r="L1982">
        <v>285.07249999999999</v>
      </c>
      <c r="M1982">
        <v>-0.99951480000000004</v>
      </c>
      <c r="N1982">
        <v>0</v>
      </c>
      <c r="O1982">
        <v>-2.75204E-2</v>
      </c>
      <c r="P1982">
        <v>-0.99844159999999904</v>
      </c>
      <c r="Q1982">
        <v>2.421514E-2</v>
      </c>
      <c r="R1982">
        <v>-5.02815E-2</v>
      </c>
      <c r="S1982">
        <v>-2.9968870000000001</v>
      </c>
      <c r="T1982">
        <v>-0.1241831</v>
      </c>
      <c r="U1982">
        <v>-0.214050299999999</v>
      </c>
      <c r="V1982">
        <v>-2.2780660000000001E-2</v>
      </c>
      <c r="W1982">
        <v>3.8797480000000002E-2</v>
      </c>
      <c r="X1982">
        <v>0.99898739999999997</v>
      </c>
      <c r="Y1982">
        <v>-4.3748500000000003E-2</v>
      </c>
      <c r="Z1982">
        <v>2.3329810000000001E-4</v>
      </c>
      <c r="AA1982">
        <v>0.9990426</v>
      </c>
      <c r="AB1982">
        <v>45</v>
      </c>
      <c r="AC1982">
        <v>-26.392499999999998</v>
      </c>
      <c r="AD1982">
        <v>-1.104702096667</v>
      </c>
      <c r="AE1982">
        <v>-1.8967999999999801</v>
      </c>
      <c r="AF1982">
        <v>-1.16763680564079</v>
      </c>
      <c r="AG1982">
        <v>-1.104702096667</v>
      </c>
      <c r="AH1982">
        <v>26.388712809731299</v>
      </c>
      <c r="AI1982">
        <v>92.394814437202399</v>
      </c>
      <c r="AJ1982">
        <v>92.533547286204495</v>
      </c>
      <c r="AK1982">
        <v>26.43762292996</v>
      </c>
    </row>
    <row r="1983" spans="1:37" x14ac:dyDescent="0.2">
      <c r="A1983" t="str">
        <f>"20200111153436629"</f>
        <v>20200111153436629</v>
      </c>
      <c r="B1983" t="str">
        <f>"1578728076618036"</f>
        <v>1578728076618036</v>
      </c>
      <c r="C1983" t="s">
        <v>37</v>
      </c>
      <c r="D1983">
        <v>4.6868660000000002</v>
      </c>
      <c r="E1983">
        <v>0.51362010000000002</v>
      </c>
      <c r="F1983" t="s">
        <v>52</v>
      </c>
      <c r="G1983">
        <v>-451.14929999999998</v>
      </c>
      <c r="H1983" s="1">
        <v>-8.6135780000000004E-7</v>
      </c>
      <c r="I1983">
        <v>283.15629999999999</v>
      </c>
      <c r="J1983">
        <v>-424.59730000000002</v>
      </c>
      <c r="K1983">
        <v>1.1047020000000001</v>
      </c>
      <c r="L1983">
        <v>285.06479999999999</v>
      </c>
      <c r="M1983">
        <v>-0.99951480000000004</v>
      </c>
      <c r="N1983">
        <v>0</v>
      </c>
      <c r="O1983">
        <v>-2.7520380000000001E-2</v>
      </c>
      <c r="P1983">
        <v>-0.99842909999999996</v>
      </c>
      <c r="Q1983">
        <v>2.4273630000000001E-2</v>
      </c>
      <c r="R1983">
        <v>-5.0498790000000002E-2</v>
      </c>
      <c r="S1983">
        <v>-2.9968870000000001</v>
      </c>
      <c r="T1983">
        <v>-0.12337969999999999</v>
      </c>
      <c r="U1983">
        <v>-0.21401979999999901</v>
      </c>
      <c r="V1983">
        <v>-2.2998299999999999E-2</v>
      </c>
      <c r="W1983">
        <v>3.8853699999999998E-2</v>
      </c>
      <c r="X1983">
        <v>0.99898019999999998</v>
      </c>
      <c r="Y1983">
        <v>-4.3738579999999999E-2</v>
      </c>
      <c r="Z1983">
        <v>2.3199359999999999E-4</v>
      </c>
      <c r="AA1983">
        <v>0.99904300000000001</v>
      </c>
      <c r="AB1983">
        <v>45</v>
      </c>
      <c r="AC1983">
        <v>-26.5519999999999</v>
      </c>
      <c r="AD1983">
        <v>-1.1047028613578</v>
      </c>
      <c r="AE1983">
        <v>-1.9085000000000001</v>
      </c>
      <c r="AF1983">
        <v>-1.17495470905233</v>
      </c>
      <c r="AG1983">
        <v>-1.1047028613578</v>
      </c>
      <c r="AH1983">
        <v>26.548749710743401</v>
      </c>
      <c r="AI1983">
        <v>92.380395767994202</v>
      </c>
      <c r="AJ1983">
        <v>92.534057025871604</v>
      </c>
      <c r="AK1983">
        <v>26.597687835297201</v>
      </c>
    </row>
    <row r="1984" spans="1:37" x14ac:dyDescent="0.2">
      <c r="A1984" t="str">
        <f>"20200111153436643"</f>
        <v>20200111153436643</v>
      </c>
      <c r="B1984" t="str">
        <f>"1578728076638532"</f>
        <v>1578728076638532</v>
      </c>
      <c r="C1984" t="s">
        <v>37</v>
      </c>
      <c r="D1984">
        <v>4.6687440000000002</v>
      </c>
      <c r="E1984">
        <v>0.52026700000000003</v>
      </c>
      <c r="F1984" t="s">
        <v>52</v>
      </c>
      <c r="G1984">
        <v>-469.14389999999997</v>
      </c>
      <c r="H1984" s="1">
        <v>3.3368049999999999E-6</v>
      </c>
      <c r="I1984">
        <v>284.44029999999998</v>
      </c>
      <c r="J1984">
        <v>-424.87090000000001</v>
      </c>
      <c r="K1984">
        <v>1.1047039999999999</v>
      </c>
      <c r="L1984">
        <v>285.0573</v>
      </c>
      <c r="M1984">
        <v>-0.99951480000000004</v>
      </c>
      <c r="N1984">
        <v>0</v>
      </c>
      <c r="O1984">
        <v>-2.7520490000000002E-2</v>
      </c>
      <c r="P1984">
        <v>-0.99842070000000005</v>
      </c>
      <c r="Q1984">
        <v>2.4260170000000001E-2</v>
      </c>
      <c r="R1984">
        <v>-5.0671880000000002E-2</v>
      </c>
      <c r="S1984">
        <v>-3.0043950000000001</v>
      </c>
      <c r="T1984">
        <v>-7.4505210000000002E-2</v>
      </c>
      <c r="U1984">
        <v>-4.2114260000000001E-2</v>
      </c>
      <c r="V1984">
        <v>-2.3171230000000001E-2</v>
      </c>
      <c r="W1984">
        <v>3.8838930000000001E-2</v>
      </c>
      <c r="X1984">
        <v>0.9989768</v>
      </c>
      <c r="Y1984">
        <v>1.3497250000000001E-2</v>
      </c>
      <c r="Z1984">
        <v>8.4963369999999897E-4</v>
      </c>
      <c r="AA1984">
        <v>0.99990859999999904</v>
      </c>
      <c r="AB1984">
        <v>45</v>
      </c>
      <c r="AC1984">
        <v>-44.272999999999897</v>
      </c>
      <c r="AD1984">
        <v>-1.104700663195</v>
      </c>
      <c r="AE1984">
        <v>-0.61700000000001798</v>
      </c>
      <c r="AF1984">
        <v>0.60140368777969799</v>
      </c>
      <c r="AG1984">
        <v>-1.104700663195</v>
      </c>
      <c r="AH1984">
        <v>44.245667376227999</v>
      </c>
      <c r="AI1984">
        <v>91.430099256238606</v>
      </c>
      <c r="AJ1984">
        <v>89.221262254374807</v>
      </c>
      <c r="AK1984">
        <v>44.263541786878598</v>
      </c>
    </row>
    <row r="1985" spans="1:37" x14ac:dyDescent="0.2">
      <c r="A1985" t="str">
        <f>"20200111153436656"</f>
        <v>20200111153436656</v>
      </c>
      <c r="B1985" t="str">
        <f>"1578728076648291"</f>
        <v>1578728076648291</v>
      </c>
      <c r="C1985" t="s">
        <v>37</v>
      </c>
      <c r="D1985">
        <v>4.6526249999999996</v>
      </c>
      <c r="E1985">
        <v>0.52173539999999996</v>
      </c>
      <c r="F1985" t="s">
        <v>50</v>
      </c>
      <c r="G1985">
        <v>-480.22809999999998</v>
      </c>
      <c r="H1985" s="1">
        <v>2.3012129999999998E-6</v>
      </c>
      <c r="I1985">
        <v>285.24549999999999</v>
      </c>
      <c r="J1985">
        <v>-425.14060000000001</v>
      </c>
      <c r="K1985">
        <v>1.1047</v>
      </c>
      <c r="L1985">
        <v>285.0498</v>
      </c>
      <c r="M1985">
        <v>-0.99951489999999998</v>
      </c>
      <c r="N1985">
        <v>0</v>
      </c>
      <c r="O1985">
        <v>-2.7520840000000001E-2</v>
      </c>
      <c r="P1985">
        <v>-0.99841480000000005</v>
      </c>
      <c r="Q1985">
        <v>2.4241639999999998E-2</v>
      </c>
      <c r="R1985">
        <v>-5.0800350000000001E-2</v>
      </c>
      <c r="S1985">
        <v>-3.0066830000000002</v>
      </c>
      <c r="T1985">
        <v>-6.0001020000000002E-2</v>
      </c>
      <c r="U1985">
        <v>1.0223390000000001E-2</v>
      </c>
      <c r="V1985">
        <v>-2.3299380000000001E-2</v>
      </c>
      <c r="W1985">
        <v>3.8818449999999997E-2</v>
      </c>
      <c r="X1985">
        <v>0.99897459999999905</v>
      </c>
      <c r="Y1985">
        <v>3.091089E-2</v>
      </c>
      <c r="Z1985">
        <v>8.5755460000000005E-4</v>
      </c>
      <c r="AA1985">
        <v>0.99952180000000002</v>
      </c>
      <c r="AB1985">
        <v>45</v>
      </c>
      <c r="AC1985">
        <v>-55.087499999999899</v>
      </c>
      <c r="AD1985">
        <v>-1.1046976987870001</v>
      </c>
      <c r="AE1985">
        <v>0.19569999999998799</v>
      </c>
      <c r="AF1985">
        <v>1.7111531704827601</v>
      </c>
      <c r="AG1985">
        <v>-1.1046976987870001</v>
      </c>
      <c r="AH1985">
        <v>55.039110340039997</v>
      </c>
      <c r="AI1985">
        <v>91.149282084736299</v>
      </c>
      <c r="AJ1985">
        <v>88.219261099150998</v>
      </c>
      <c r="AK1985">
        <v>55.076783395562003</v>
      </c>
    </row>
    <row r="1986" spans="1:37" x14ac:dyDescent="0.2">
      <c r="A1986" t="str">
        <f>"20200111153436679"</f>
        <v>20200111153436679</v>
      </c>
      <c r="B1986" t="str">
        <f>"1578728076667811"</f>
        <v>1578728076667811</v>
      </c>
      <c r="C1986" t="s">
        <v>37</v>
      </c>
      <c r="D1986">
        <v>4.7169549999999996</v>
      </c>
      <c r="E1986">
        <v>0.52250989999999997</v>
      </c>
      <c r="F1986" t="s">
        <v>50</v>
      </c>
      <c r="G1986">
        <v>-485.15300000000002</v>
      </c>
      <c r="H1986" s="1">
        <v>3.1953949999999898E-6</v>
      </c>
      <c r="I1986">
        <v>285.48099999999999</v>
      </c>
      <c r="J1986">
        <v>-425.58859999999999</v>
      </c>
      <c r="K1986">
        <v>1.1046989999999901</v>
      </c>
      <c r="L1986">
        <v>285.03739999999999</v>
      </c>
      <c r="M1986">
        <v>-0.99951489999999998</v>
      </c>
      <c r="N1986">
        <v>0</v>
      </c>
      <c r="O1986">
        <v>-2.7520940000000001E-2</v>
      </c>
      <c r="P1986">
        <v>-0.99839310000000003</v>
      </c>
      <c r="Q1986">
        <v>2.4375549999999999E-2</v>
      </c>
      <c r="R1986">
        <v>-5.116076E-2</v>
      </c>
      <c r="S1986">
        <v>-3.0071720000000002</v>
      </c>
      <c r="T1986">
        <v>-5.5355429999999997E-2</v>
      </c>
      <c r="U1986">
        <v>2.1606449999999999E-2</v>
      </c>
      <c r="V1986">
        <v>-2.366033E-2</v>
      </c>
      <c r="W1986">
        <v>3.894947E-2</v>
      </c>
      <c r="X1986">
        <v>0.99896099999999999</v>
      </c>
      <c r="Y1986">
        <v>3.4694679999999999E-2</v>
      </c>
      <c r="Z1986">
        <v>8.2586429999999896E-4</v>
      </c>
      <c r="AA1986">
        <v>0.9993976</v>
      </c>
      <c r="AB1986">
        <v>45</v>
      </c>
      <c r="AC1986">
        <v>-59.564399999999999</v>
      </c>
      <c r="AD1986">
        <v>-1.1046958046049999</v>
      </c>
      <c r="AE1986">
        <v>0.44360000000000299</v>
      </c>
      <c r="AF1986">
        <v>2.0821583245528199</v>
      </c>
      <c r="AG1986">
        <v>-1.1046958046049999</v>
      </c>
      <c r="AH1986">
        <v>59.509156421613604</v>
      </c>
      <c r="AI1986">
        <v>91.062835499257204</v>
      </c>
      <c r="AJ1986">
        <v>87.996102710395505</v>
      </c>
      <c r="AK1986">
        <v>59.555817802472397</v>
      </c>
    </row>
    <row r="1987" spans="1:37" x14ac:dyDescent="0.2">
      <c r="A1987" t="str">
        <f>"20200111153436701"</f>
        <v>20200111153436701</v>
      </c>
      <c r="B1987" t="str">
        <f>"1578728076698068"</f>
        <v>1578728076698068</v>
      </c>
      <c r="C1987" t="s">
        <v>37</v>
      </c>
      <c r="D1987">
        <v>4.6912190000000002</v>
      </c>
      <c r="E1987">
        <v>0.52198929999999999</v>
      </c>
      <c r="F1987" t="s">
        <v>50</v>
      </c>
      <c r="G1987">
        <v>-490.64830000000001</v>
      </c>
      <c r="H1987" s="1">
        <v>3.93645699999999E-6</v>
      </c>
      <c r="I1987">
        <v>285.60980000000001</v>
      </c>
      <c r="J1987">
        <v>-426.0428</v>
      </c>
      <c r="K1987">
        <v>1.1046989999999901</v>
      </c>
      <c r="L1987">
        <v>285.02499999999998</v>
      </c>
      <c r="M1987">
        <v>-0.99951489999999998</v>
      </c>
      <c r="N1987">
        <v>0</v>
      </c>
      <c r="O1987">
        <v>-2.7520920000000001E-2</v>
      </c>
      <c r="P1987">
        <v>-0.99838449999999901</v>
      </c>
      <c r="Q1987">
        <v>2.4354089999999998E-2</v>
      </c>
      <c r="R1987">
        <v>-5.1335319999999997E-2</v>
      </c>
      <c r="S1987">
        <v>-3.0074459999999998</v>
      </c>
      <c r="T1987">
        <v>-5.1065560000000003E-2</v>
      </c>
      <c r="U1987">
        <v>2.6458740000000001E-2</v>
      </c>
      <c r="V1987">
        <v>-2.3834689999999999E-2</v>
      </c>
      <c r="W1987">
        <v>3.8925179999999997E-2</v>
      </c>
      <c r="X1987">
        <v>0.99895780000000001</v>
      </c>
      <c r="Y1987">
        <v>3.6307640000000002E-2</v>
      </c>
      <c r="Z1987">
        <v>7.7549249999999998E-4</v>
      </c>
      <c r="AA1987">
        <v>0.99934040000000002</v>
      </c>
      <c r="AB1987">
        <v>45</v>
      </c>
      <c r="AC1987">
        <v>-64.605500000000006</v>
      </c>
      <c r="AD1987">
        <v>-1.104695063543</v>
      </c>
      <c r="AE1987">
        <v>0.58480000000002896</v>
      </c>
      <c r="AF1987">
        <v>2.3620796780669799</v>
      </c>
      <c r="AG1987">
        <v>-1.104695063543</v>
      </c>
      <c r="AH1987">
        <v>64.546057729556296</v>
      </c>
      <c r="AI1987">
        <v>90.979856255917696</v>
      </c>
      <c r="AJ1987">
        <v>87.904181377218805</v>
      </c>
      <c r="AK1987">
        <v>64.598710049165604</v>
      </c>
    </row>
    <row r="1988" spans="1:37" x14ac:dyDescent="0.2">
      <c r="A1988" t="str">
        <f>"20200111153436717"</f>
        <v>20200111153436717</v>
      </c>
      <c r="B1988" t="str">
        <f>"1578728076707827"</f>
        <v>1578728076707827</v>
      </c>
      <c r="C1988" t="s">
        <v>37</v>
      </c>
      <c r="D1988">
        <v>4.6953690000000003</v>
      </c>
      <c r="E1988">
        <v>0.52205349999999995</v>
      </c>
      <c r="F1988" t="s">
        <v>50</v>
      </c>
      <c r="G1988">
        <v>-494.47190000000001</v>
      </c>
      <c r="H1988" s="1">
        <v>3.2506179999999999E-6</v>
      </c>
      <c r="I1988">
        <v>285.52289999999999</v>
      </c>
      <c r="J1988">
        <v>-426.35149999999999</v>
      </c>
      <c r="K1988">
        <v>1.1046959999999999</v>
      </c>
      <c r="L1988">
        <v>285.01650000000001</v>
      </c>
      <c r="M1988">
        <v>-0.99951499999999904</v>
      </c>
      <c r="N1988">
        <v>0</v>
      </c>
      <c r="O1988">
        <v>-2.7521259999999999E-2</v>
      </c>
      <c r="P1988">
        <v>-0.99838479999999996</v>
      </c>
      <c r="Q1988">
        <v>2.4416469999999999E-2</v>
      </c>
      <c r="R1988">
        <v>-5.130088E-2</v>
      </c>
      <c r="S1988">
        <v>-3.0071720000000002</v>
      </c>
      <c r="T1988">
        <v>-4.8546789999999999E-2</v>
      </c>
      <c r="U1988">
        <v>2.18810999999999E-2</v>
      </c>
      <c r="V1988">
        <v>-2.3799870000000001E-2</v>
      </c>
      <c r="W1988">
        <v>3.8985690000000003E-2</v>
      </c>
      <c r="X1988">
        <v>0.99895630000000002</v>
      </c>
      <c r="Y1988">
        <v>3.4788699999999902E-2</v>
      </c>
      <c r="Z1988">
        <v>7.2506220000000002E-4</v>
      </c>
      <c r="AA1988">
        <v>0.99939439999999902</v>
      </c>
      <c r="AB1988">
        <v>45</v>
      </c>
      <c r="AC1988">
        <v>-68.120400000000004</v>
      </c>
      <c r="AD1988">
        <v>-1.10469274938199</v>
      </c>
      <c r="AE1988">
        <v>0.50639999999998497</v>
      </c>
      <c r="AF1988">
        <v>2.3805404551010598</v>
      </c>
      <c r="AG1988">
        <v>-1.10469274938199</v>
      </c>
      <c r="AH1988">
        <v>68.062755119983393</v>
      </c>
      <c r="AI1988">
        <v>90.929289549625096</v>
      </c>
      <c r="AJ1988">
        <v>87.9968582759344</v>
      </c>
      <c r="AK1988">
        <v>68.113331686621606</v>
      </c>
    </row>
    <row r="1989" spans="1:37" x14ac:dyDescent="0.2">
      <c r="A1989" t="str">
        <f>"20200111153436735"</f>
        <v>20200111153436735</v>
      </c>
      <c r="B1989" t="str">
        <f>"1578728076728323"</f>
        <v>1578728076728323</v>
      </c>
      <c r="C1989" t="s">
        <v>37</v>
      </c>
      <c r="D1989">
        <v>4.7203569999999999</v>
      </c>
      <c r="E1989">
        <v>0.52237420000000001</v>
      </c>
      <c r="F1989" t="s">
        <v>50</v>
      </c>
      <c r="G1989">
        <v>-495.79219999999998</v>
      </c>
      <c r="H1989" s="1">
        <v>3.0174269999999998E-6</v>
      </c>
      <c r="I1989">
        <v>285.53449999999998</v>
      </c>
      <c r="J1989">
        <v>-426.71510000000001</v>
      </c>
      <c r="K1989">
        <v>1.1046940000000001</v>
      </c>
      <c r="L1989">
        <v>285.00639999999999</v>
      </c>
      <c r="M1989">
        <v>-0.99951489999999998</v>
      </c>
      <c r="N1989">
        <v>0</v>
      </c>
      <c r="O1989">
        <v>-2.7521480000000001E-2</v>
      </c>
      <c r="P1989">
        <v>-0.99839100000000003</v>
      </c>
      <c r="Q1989">
        <v>2.4235349999999999E-2</v>
      </c>
      <c r="R1989">
        <v>-5.126236E-2</v>
      </c>
      <c r="S1989">
        <v>-3.0071110000000001</v>
      </c>
      <c r="T1989">
        <v>-4.7838449999999998E-2</v>
      </c>
      <c r="U1989">
        <v>2.243042E-2</v>
      </c>
      <c r="V1989">
        <v>-2.376145E-2</v>
      </c>
      <c r="W1989">
        <v>3.8802240000000002E-2</v>
      </c>
      <c r="X1989">
        <v>0.99896439999999997</v>
      </c>
      <c r="Y1989">
        <v>3.4971830000000002E-2</v>
      </c>
      <c r="Z1989">
        <v>7.1595860000000003E-4</v>
      </c>
      <c r="AA1989">
        <v>0.99938799999999905</v>
      </c>
      <c r="AB1989">
        <v>45</v>
      </c>
      <c r="AC1989">
        <v>-69.077099999999902</v>
      </c>
      <c r="AD1989">
        <v>-1.104690982573</v>
      </c>
      <c r="AE1989">
        <v>0.52809999999999402</v>
      </c>
      <c r="AF1989">
        <v>2.4285849303881002</v>
      </c>
      <c r="AG1989">
        <v>-1.104690982573</v>
      </c>
      <c r="AH1989">
        <v>69.018742822879702</v>
      </c>
      <c r="AI1989">
        <v>90.9164117877134</v>
      </c>
      <c r="AJ1989">
        <v>87.984746241731699</v>
      </c>
      <c r="AK1989">
        <v>69.070291933521602</v>
      </c>
    </row>
    <row r="1990" spans="1:37" x14ac:dyDescent="0.2">
      <c r="A1990" t="str">
        <f>"20200111153436749"</f>
        <v>20200111153436749</v>
      </c>
      <c r="B1990" t="str">
        <f>"1578728076738084"</f>
        <v>1578728076738084</v>
      </c>
      <c r="C1990" t="s">
        <v>37</v>
      </c>
      <c r="D1990">
        <v>4.6823480000000002</v>
      </c>
      <c r="E1990">
        <v>0.52238499999999999</v>
      </c>
      <c r="F1990" t="s">
        <v>50</v>
      </c>
      <c r="G1990">
        <v>-496.12349999999998</v>
      </c>
      <c r="H1990" s="1">
        <v>2.9635399999999999E-6</v>
      </c>
      <c r="I1990">
        <v>285.59030000000001</v>
      </c>
      <c r="J1990">
        <v>-426.99669999999998</v>
      </c>
      <c r="K1990">
        <v>1.104692</v>
      </c>
      <c r="L1990">
        <v>284.99869999999999</v>
      </c>
      <c r="M1990">
        <v>-0.99951499999999904</v>
      </c>
      <c r="N1990">
        <v>0</v>
      </c>
      <c r="O1990">
        <v>-2.7521589999999999E-2</v>
      </c>
      <c r="P1990">
        <v>-0.99839560000000005</v>
      </c>
      <c r="Q1990">
        <v>2.414649E-2</v>
      </c>
      <c r="R1990">
        <v>-5.1221759999999998E-2</v>
      </c>
      <c r="S1990">
        <v>-3.0072939999999999</v>
      </c>
      <c r="T1990">
        <v>-4.786348E-2</v>
      </c>
      <c r="U1990">
        <v>2.529907E-2</v>
      </c>
      <c r="V1990">
        <v>-2.372057E-2</v>
      </c>
      <c r="W1990">
        <v>3.8711719999999998E-2</v>
      </c>
      <c r="X1990">
        <v>0.99896879999999999</v>
      </c>
      <c r="Y1990">
        <v>3.5924589999999999E-2</v>
      </c>
      <c r="Z1990">
        <v>7.2387129999999995E-4</v>
      </c>
      <c r="AA1990">
        <v>0.99935419999999997</v>
      </c>
      <c r="AB1990">
        <v>45</v>
      </c>
      <c r="AC1990">
        <v>-69.126800000000003</v>
      </c>
      <c r="AD1990">
        <v>-1.1046890364599999</v>
      </c>
      <c r="AE1990">
        <v>0.59160000000002799</v>
      </c>
      <c r="AF1990">
        <v>2.4934205897927799</v>
      </c>
      <c r="AG1990">
        <v>-1.1046890364599999</v>
      </c>
      <c r="AH1990">
        <v>69.066689376221404</v>
      </c>
      <c r="AI1990">
        <v>90.915744302106006</v>
      </c>
      <c r="AJ1990">
        <v>87.932426462607097</v>
      </c>
      <c r="AK1990">
        <v>69.120511177915404</v>
      </c>
    </row>
    <row r="1991" spans="1:37" x14ac:dyDescent="0.2">
      <c r="A1991" t="str">
        <f>"20200111153436768"</f>
        <v>20200111153436768</v>
      </c>
      <c r="B1991" t="str">
        <f>"1578728076758580"</f>
        <v>1578728076758580</v>
      </c>
      <c r="C1991" t="s">
        <v>37</v>
      </c>
      <c r="D1991">
        <v>4.7247810000000001</v>
      </c>
      <c r="E1991">
        <v>0.52243830000000002</v>
      </c>
      <c r="F1991" t="s">
        <v>50</v>
      </c>
      <c r="G1991">
        <v>-495.11720000000003</v>
      </c>
      <c r="H1991" s="1">
        <v>3.1407919999999998E-6</v>
      </c>
      <c r="I1991">
        <v>285.57589999999999</v>
      </c>
      <c r="J1991">
        <v>-427.3691</v>
      </c>
      <c r="K1991">
        <v>1.104695</v>
      </c>
      <c r="L1991">
        <v>284.98840000000001</v>
      </c>
      <c r="M1991">
        <v>-0.99951509999999999</v>
      </c>
      <c r="N1991">
        <v>0</v>
      </c>
      <c r="O1991">
        <v>-2.7521810000000001E-2</v>
      </c>
      <c r="P1991">
        <v>-0.99838719999999903</v>
      </c>
      <c r="Q1991">
        <v>2.3880539999999999E-2</v>
      </c>
      <c r="R1991">
        <v>-5.1507020000000001E-2</v>
      </c>
      <c r="S1991">
        <v>-3.0073240000000001</v>
      </c>
      <c r="T1991">
        <v>-4.8768880000000001E-2</v>
      </c>
      <c r="U1991">
        <v>2.548218E-2</v>
      </c>
      <c r="V1991">
        <v>-2.400615E-2</v>
      </c>
      <c r="W1991">
        <v>3.8443449999999997E-2</v>
      </c>
      <c r="X1991">
        <v>0.99897239999999998</v>
      </c>
      <c r="Y1991">
        <v>3.5985250000000003E-2</v>
      </c>
      <c r="Z1991">
        <v>7.3805039999999902E-4</v>
      </c>
      <c r="AA1991">
        <v>0.99935200000000002</v>
      </c>
      <c r="AB1991">
        <v>45</v>
      </c>
      <c r="AC1991">
        <v>-67.748099999999994</v>
      </c>
      <c r="AD1991">
        <v>-1.1046918592079999</v>
      </c>
      <c r="AE1991">
        <v>0.58749999999997704</v>
      </c>
      <c r="AF1991">
        <v>2.4513738007580499</v>
      </c>
      <c r="AG1991">
        <v>-1.1046918592079999</v>
      </c>
      <c r="AH1991">
        <v>67.6882653133015</v>
      </c>
      <c r="AI1991">
        <v>90.934388060625594</v>
      </c>
      <c r="AJ1991">
        <v>87.925903175519593</v>
      </c>
      <c r="AK1991">
        <v>67.741647741538799</v>
      </c>
    </row>
    <row r="1992" spans="1:37" x14ac:dyDescent="0.2">
      <c r="A1992" t="str">
        <f>"20200111153436782"</f>
        <v>20200111153436782</v>
      </c>
      <c r="B1992" t="str">
        <f>"1578728076778113"</f>
        <v>1578728076778113</v>
      </c>
      <c r="C1992" t="s">
        <v>37</v>
      </c>
      <c r="D1992">
        <v>4.694699</v>
      </c>
      <c r="E1992">
        <v>0.52245810000000004</v>
      </c>
      <c r="F1992" t="s">
        <v>50</v>
      </c>
      <c r="G1992">
        <v>-494.96300000000002</v>
      </c>
      <c r="H1992" s="1">
        <v>3.1660089999999999E-6</v>
      </c>
      <c r="I1992">
        <v>285.55160000000001</v>
      </c>
      <c r="J1992">
        <v>-427.64550000000003</v>
      </c>
      <c r="K1992">
        <v>1.1046929999999999</v>
      </c>
      <c r="L1992">
        <v>284.98079999999999</v>
      </c>
      <c r="M1992">
        <v>-0.99951499999999904</v>
      </c>
      <c r="N1992">
        <v>0</v>
      </c>
      <c r="O1992">
        <v>-2.7521799999999999E-2</v>
      </c>
      <c r="P1992">
        <v>-0.99838890000000002</v>
      </c>
      <c r="Q1992">
        <v>2.3994519999999998E-2</v>
      </c>
      <c r="R1992">
        <v>-5.1417699999999997E-2</v>
      </c>
      <c r="S1992">
        <v>-3.0073240000000001</v>
      </c>
      <c r="T1992">
        <v>-4.9148919999999999E-2</v>
      </c>
      <c r="U1992">
        <v>2.505493E-2</v>
      </c>
      <c r="V1992">
        <v>-2.3916489999999999E-2</v>
      </c>
      <c r="W1992">
        <v>3.8555909999999999E-2</v>
      </c>
      <c r="X1992">
        <v>0.99897019999999903</v>
      </c>
      <c r="Y1992">
        <v>3.5843159999999999E-2</v>
      </c>
      <c r="Z1992">
        <v>7.426399E-4</v>
      </c>
      <c r="AA1992">
        <v>0.99935719999999995</v>
      </c>
      <c r="AB1992">
        <v>45</v>
      </c>
      <c r="AC1992">
        <v>-67.317499999999995</v>
      </c>
      <c r="AD1992">
        <v>-1.1046898339909901</v>
      </c>
      <c r="AE1992">
        <v>0.57080000000001896</v>
      </c>
      <c r="AF1992">
        <v>2.4228268150822001</v>
      </c>
      <c r="AG1992">
        <v>-1.1046898339909901</v>
      </c>
      <c r="AH1992">
        <v>67.258173000140502</v>
      </c>
      <c r="AI1992">
        <v>90.940366890371493</v>
      </c>
      <c r="AJ1992">
        <v>87.936938422441898</v>
      </c>
      <c r="AK1992">
        <v>67.310862902818599</v>
      </c>
    </row>
    <row r="1993" spans="1:37" x14ac:dyDescent="0.2">
      <c r="A1993" t="str">
        <f>"20200111153436802"</f>
        <v>20200111153436802</v>
      </c>
      <c r="B1993" t="str">
        <f>"1578728076797630"</f>
        <v>1578728076797630</v>
      </c>
      <c r="C1993" t="s">
        <v>37</v>
      </c>
      <c r="D1993">
        <v>4.6497359999999999</v>
      </c>
      <c r="E1993">
        <v>0.52239769999999996</v>
      </c>
      <c r="F1993" t="s">
        <v>50</v>
      </c>
      <c r="G1993">
        <v>-498.40499999999997</v>
      </c>
      <c r="H1993" s="1">
        <v>2.5581039999999998E-6</v>
      </c>
      <c r="I1993">
        <v>285.58179999999999</v>
      </c>
      <c r="J1993">
        <v>-428.04570000000001</v>
      </c>
      <c r="K1993">
        <v>1.1046910000000001</v>
      </c>
      <c r="L1993">
        <v>284.96980000000002</v>
      </c>
      <c r="M1993">
        <v>-0.99951499999999904</v>
      </c>
      <c r="N1993">
        <v>0</v>
      </c>
      <c r="O1993">
        <v>-2.7521899999999998E-2</v>
      </c>
      <c r="P1993">
        <v>-0.99838689999999997</v>
      </c>
      <c r="Q1993">
        <v>2.394017E-2</v>
      </c>
      <c r="R1993">
        <v>-5.1485199999999898E-2</v>
      </c>
      <c r="S1993">
        <v>-3.007263</v>
      </c>
      <c r="T1993">
        <v>-4.6949150000000002E-2</v>
      </c>
      <c r="U1993">
        <v>2.554321E-2</v>
      </c>
      <c r="V1993">
        <v>-2.3983709999999998E-2</v>
      </c>
      <c r="W1993">
        <v>3.8498730000000002E-2</v>
      </c>
      <c r="X1993">
        <v>0.99897080000000005</v>
      </c>
      <c r="Y1993">
        <v>3.6006410000000003E-2</v>
      </c>
      <c r="Z1993">
        <v>7.106956E-4</v>
      </c>
      <c r="AA1993">
        <v>0.99935130000000005</v>
      </c>
      <c r="AB1993">
        <v>45</v>
      </c>
      <c r="AC1993">
        <v>-70.359299999999905</v>
      </c>
      <c r="AD1993">
        <v>-1.1046884418959999</v>
      </c>
      <c r="AE1993">
        <v>0.61199999999996602</v>
      </c>
      <c r="AF1993">
        <v>2.5477673320889598</v>
      </c>
      <c r="AG1993">
        <v>-1.1046884418959999</v>
      </c>
      <c r="AH1993">
        <v>70.298469052456696</v>
      </c>
      <c r="AI1993">
        <v>90.8996961124367</v>
      </c>
      <c r="AJ1993">
        <v>87.924386481837004</v>
      </c>
      <c r="AK1993">
        <v>70.353295630349294</v>
      </c>
    </row>
    <row r="1994" spans="1:37" x14ac:dyDescent="0.2">
      <c r="A1994" t="str">
        <f>"20200111153436815"</f>
        <v>20200111153436815</v>
      </c>
      <c r="B1994" t="str">
        <f>"1578728076808356"</f>
        <v>1578728076808356</v>
      </c>
      <c r="C1994" t="s">
        <v>37</v>
      </c>
      <c r="D1994">
        <v>4.6709699999999996</v>
      </c>
      <c r="E1994">
        <v>0.52242120000000003</v>
      </c>
      <c r="F1994" t="s">
        <v>50</v>
      </c>
      <c r="G1994">
        <v>-499.95780000000002</v>
      </c>
      <c r="H1994">
        <v>2.5731399999999998E-3</v>
      </c>
      <c r="I1994">
        <v>285.56599999999997</v>
      </c>
      <c r="J1994">
        <v>-428.30250000000001</v>
      </c>
      <c r="K1994">
        <v>1.104692</v>
      </c>
      <c r="L1994">
        <v>284.96269999999998</v>
      </c>
      <c r="M1994">
        <v>-0.99951509999999999</v>
      </c>
      <c r="N1994">
        <v>0</v>
      </c>
      <c r="O1994">
        <v>-2.7522250000000002E-2</v>
      </c>
      <c r="P1994">
        <v>-0.99838130000000003</v>
      </c>
      <c r="Q1994">
        <v>2.3949149999999999E-2</v>
      </c>
      <c r="R1994">
        <v>-5.1592449999999998E-2</v>
      </c>
      <c r="S1994">
        <v>-3.0072329999999998</v>
      </c>
      <c r="T1994">
        <v>-4.6088579999999997E-2</v>
      </c>
      <c r="U1994">
        <v>2.4932860000000001E-2</v>
      </c>
      <c r="V1994">
        <v>-2.409041E-2</v>
      </c>
      <c r="W1994">
        <v>3.8505869999999998E-2</v>
      </c>
      <c r="X1994">
        <v>0.99896790000000002</v>
      </c>
      <c r="Y1994">
        <v>3.5804330000000002E-2</v>
      </c>
      <c r="Z1994">
        <v>6.9613439999999997E-4</v>
      </c>
      <c r="AA1994">
        <v>0.99935859999999999</v>
      </c>
      <c r="AB1994">
        <v>45</v>
      </c>
      <c r="AC1994">
        <v>-71.655299999999997</v>
      </c>
      <c r="AD1994">
        <v>-1.10211886</v>
      </c>
      <c r="AE1994">
        <v>0.60329999999998996</v>
      </c>
      <c r="AF1994">
        <v>2.57478658850289</v>
      </c>
      <c r="AG1994">
        <v>-1.10211886</v>
      </c>
      <c r="AH1994">
        <v>71.594608685077205</v>
      </c>
      <c r="AI1994">
        <v>90.881365040297496</v>
      </c>
      <c r="AJ1994">
        <v>87.940335793266797</v>
      </c>
      <c r="AK1994">
        <v>71.649369744103396</v>
      </c>
    </row>
    <row r="1995" spans="1:37" x14ac:dyDescent="0.2">
      <c r="A1995" t="str">
        <f>"20200111153436835"</f>
        <v>20200111153436835</v>
      </c>
      <c r="B1995" t="str">
        <f>"1578728076827878"</f>
        <v>1578728076827878</v>
      </c>
      <c r="C1995" t="s">
        <v>37</v>
      </c>
      <c r="D1995">
        <v>4.657667</v>
      </c>
      <c r="E1995">
        <v>0.52230189999999999</v>
      </c>
      <c r="F1995" t="s">
        <v>50</v>
      </c>
      <c r="G1995">
        <v>-499.95780000000002</v>
      </c>
      <c r="H1995">
        <v>6.886026E-3</v>
      </c>
      <c r="I1995">
        <v>285.54809999999998</v>
      </c>
      <c r="J1995">
        <v>-428.71199999999999</v>
      </c>
      <c r="K1995">
        <v>1.104695</v>
      </c>
      <c r="L1995">
        <v>284.95139999999998</v>
      </c>
      <c r="M1995">
        <v>-0.99951520000000005</v>
      </c>
      <c r="N1995">
        <v>0</v>
      </c>
      <c r="O1995">
        <v>-2.7522350000000001E-2</v>
      </c>
      <c r="P1995">
        <v>-0.99834940000000005</v>
      </c>
      <c r="Q1995">
        <v>2.4598930000000001E-2</v>
      </c>
      <c r="R1995">
        <v>-5.1899140000000003E-2</v>
      </c>
      <c r="S1995">
        <v>-3.0072329999999998</v>
      </c>
      <c r="T1995">
        <v>-4.6072719999999998E-2</v>
      </c>
      <c r="U1995">
        <v>2.4566649999999999E-2</v>
      </c>
      <c r="V1995">
        <v>-2.4397990000000001E-2</v>
      </c>
      <c r="W1995">
        <v>3.9152449999999998E-2</v>
      </c>
      <c r="X1995">
        <v>0.99893529999999997</v>
      </c>
      <c r="Y1995">
        <v>3.5682749999999999E-2</v>
      </c>
      <c r="Z1995">
        <v>6.9496520000000004E-4</v>
      </c>
      <c r="AA1995">
        <v>0.99936290000000005</v>
      </c>
      <c r="AB1995">
        <v>45</v>
      </c>
      <c r="AC1995">
        <v>-71.245800000000003</v>
      </c>
      <c r="AD1995">
        <v>-1.0978089740000001</v>
      </c>
      <c r="AE1995">
        <v>0.59669999999999801</v>
      </c>
      <c r="AF1995">
        <v>2.5569264819297999</v>
      </c>
      <c r="AG1995">
        <v>-1.0978089740000001</v>
      </c>
      <c r="AH1995">
        <v>71.185480854715905</v>
      </c>
      <c r="AI1995">
        <v>90.882965273827693</v>
      </c>
      <c r="AJ1995">
        <v>87.942865059490401</v>
      </c>
      <c r="AK1995">
        <v>71.239846589493197</v>
      </c>
    </row>
    <row r="1996" spans="1:37" x14ac:dyDescent="0.2">
      <c r="A1996" t="str">
        <f>"20200111153436849"</f>
        <v>20200111153436849</v>
      </c>
      <c r="B1996" t="str">
        <f>"1578728076838613"</f>
        <v>1578728076838613</v>
      </c>
      <c r="C1996" t="s">
        <v>37</v>
      </c>
      <c r="D1996">
        <v>4.6813589999999996</v>
      </c>
      <c r="E1996">
        <v>0.52225979999999905</v>
      </c>
      <c r="F1996" t="s">
        <v>50</v>
      </c>
      <c r="G1996">
        <v>-499.95780000000002</v>
      </c>
      <c r="H1996">
        <v>4.0961259999999999E-2</v>
      </c>
      <c r="I1996">
        <v>285.49579999999997</v>
      </c>
      <c r="J1996">
        <v>-428.96899999999999</v>
      </c>
      <c r="K1996">
        <v>1.104697</v>
      </c>
      <c r="L1996">
        <v>284.94439999999997</v>
      </c>
      <c r="M1996">
        <v>-0.99951509999999999</v>
      </c>
      <c r="N1996">
        <v>0</v>
      </c>
      <c r="O1996">
        <v>-2.752222E-2</v>
      </c>
      <c r="P1996">
        <v>-0.99834140000000005</v>
      </c>
      <c r="Q1996">
        <v>2.4890309999999999E-2</v>
      </c>
      <c r="R1996">
        <v>-5.1914630000000003E-2</v>
      </c>
      <c r="S1996">
        <v>-3.0072939999999999</v>
      </c>
      <c r="T1996">
        <v>-4.4900299999999997E-2</v>
      </c>
      <c r="U1996">
        <v>2.2979739999999999E-2</v>
      </c>
      <c r="V1996">
        <v>-2.441343E-2</v>
      </c>
      <c r="W1996">
        <v>3.9442629999999999E-2</v>
      </c>
      <c r="X1996">
        <v>0.99892349999999996</v>
      </c>
      <c r="Y1996">
        <v>3.5155560000000002E-2</v>
      </c>
      <c r="Z1996">
        <v>6.7333210000000004E-4</v>
      </c>
      <c r="AA1996">
        <v>0.99938159999999898</v>
      </c>
      <c r="AB1996">
        <v>44</v>
      </c>
      <c r="AC1996">
        <v>-70.988799999999998</v>
      </c>
      <c r="AD1996">
        <v>-1.06373574</v>
      </c>
      <c r="AE1996">
        <v>0.551400000000001</v>
      </c>
      <c r="AF1996">
        <v>2.5046053321916499</v>
      </c>
      <c r="AG1996">
        <v>-1.06373574</v>
      </c>
      <c r="AH1996">
        <v>70.930800178908001</v>
      </c>
      <c r="AI1996">
        <v>90.858654463374407</v>
      </c>
      <c r="AJ1996">
        <v>87.977694915902703</v>
      </c>
      <c r="AK1996">
        <v>70.982976801587995</v>
      </c>
    </row>
    <row r="1997" spans="1:37" x14ac:dyDescent="0.2">
      <c r="A1997" t="str">
        <f>"20200111153436868"</f>
        <v>20200111153436868</v>
      </c>
      <c r="B1997" t="str">
        <f>"1578728076858131"</f>
        <v>1578728076858131</v>
      </c>
      <c r="C1997" t="s">
        <v>37</v>
      </c>
      <c r="D1997">
        <v>4.6930379999999996</v>
      </c>
      <c r="E1997">
        <v>0.52228129999999995</v>
      </c>
      <c r="F1997" t="s">
        <v>50</v>
      </c>
      <c r="G1997">
        <v>-499.96300000000002</v>
      </c>
      <c r="H1997">
        <v>5.5220159999999997E-2</v>
      </c>
      <c r="I1997">
        <v>285.47390000000001</v>
      </c>
      <c r="J1997">
        <v>-429.36349999999999</v>
      </c>
      <c r="K1997">
        <v>1.1047</v>
      </c>
      <c r="L1997">
        <v>284.93349999999998</v>
      </c>
      <c r="M1997">
        <v>-0.99951520000000005</v>
      </c>
      <c r="N1997">
        <v>0</v>
      </c>
      <c r="O1997">
        <v>-2.752255E-2</v>
      </c>
      <c r="P1997">
        <v>-0.99830359999999996</v>
      </c>
      <c r="Q1997">
        <v>2.5697640000000001E-2</v>
      </c>
      <c r="R1997">
        <v>-5.225072E-2</v>
      </c>
      <c r="S1997">
        <v>-3.007263</v>
      </c>
      <c r="T1997">
        <v>-4.4455170000000002E-2</v>
      </c>
      <c r="U1997">
        <v>2.243042E-2</v>
      </c>
      <c r="V1997">
        <v>-2.475082E-2</v>
      </c>
      <c r="W1997">
        <v>4.0246410000000003E-2</v>
      </c>
      <c r="X1997">
        <v>0.99888319999999997</v>
      </c>
      <c r="Y1997">
        <v>3.4973589999999999E-2</v>
      </c>
      <c r="Z1997">
        <v>6.653246E-4</v>
      </c>
      <c r="AA1997">
        <v>0.99938799999999905</v>
      </c>
      <c r="AB1997">
        <v>44</v>
      </c>
      <c r="AC1997">
        <v>-70.599500000000006</v>
      </c>
      <c r="AD1997">
        <v>-1.0494798400000001</v>
      </c>
      <c r="AE1997">
        <v>0.54040000000003297</v>
      </c>
      <c r="AF1997">
        <v>2.4829307535974299</v>
      </c>
      <c r="AG1997">
        <v>-1.0494798400000001</v>
      </c>
      <c r="AH1997">
        <v>70.542288035686596</v>
      </c>
      <c r="AI1997">
        <v>90.851817069814601</v>
      </c>
      <c r="AJ1997">
        <v>87.984148910037206</v>
      </c>
      <c r="AK1997">
        <v>70.593772773322598</v>
      </c>
    </row>
    <row r="1998" spans="1:37" x14ac:dyDescent="0.2">
      <c r="A1998" t="str">
        <f>"20200111153436882"</f>
        <v>20200111153436882</v>
      </c>
      <c r="B1998" t="str">
        <f>"1578728076877651"</f>
        <v>1578728076877651</v>
      </c>
      <c r="C1998" t="s">
        <v>37</v>
      </c>
      <c r="D1998">
        <v>4.6859650000000004</v>
      </c>
      <c r="E1998">
        <v>0.5222985</v>
      </c>
      <c r="F1998" t="s">
        <v>50</v>
      </c>
      <c r="G1998">
        <v>-503.02330000000001</v>
      </c>
      <c r="H1998">
        <v>7.9981979999999994E-2</v>
      </c>
      <c r="I1998">
        <v>285.46420000000001</v>
      </c>
      <c r="J1998">
        <v>-429.62020000000001</v>
      </c>
      <c r="K1998">
        <v>1.1047009999999999</v>
      </c>
      <c r="L1998">
        <v>284.92649999999998</v>
      </c>
      <c r="M1998">
        <v>-0.99951520000000005</v>
      </c>
      <c r="N1998">
        <v>0</v>
      </c>
      <c r="O1998">
        <v>-2.7522660000000001E-2</v>
      </c>
      <c r="P1998">
        <v>-0.99827500000000002</v>
      </c>
      <c r="Q1998">
        <v>2.6234690000000001E-2</v>
      </c>
      <c r="R1998">
        <v>-5.2524189999999998E-2</v>
      </c>
      <c r="S1998">
        <v>-3.00738499999999</v>
      </c>
      <c r="T1998">
        <v>-4.1837220000000001E-2</v>
      </c>
      <c r="U1998">
        <v>2.1667479999999999E-2</v>
      </c>
      <c r="V1998">
        <v>-2.5024629999999999E-2</v>
      </c>
      <c r="W1998">
        <v>4.0781459999999999E-2</v>
      </c>
      <c r="X1998">
        <v>0.99885460000000004</v>
      </c>
      <c r="Y1998">
        <v>3.4720679999999997E-2</v>
      </c>
      <c r="Z1998">
        <v>6.2436510000000002E-4</v>
      </c>
      <c r="AA1998">
        <v>0.99939690000000003</v>
      </c>
      <c r="AB1998">
        <v>44</v>
      </c>
      <c r="AC1998">
        <v>-73.403099999999995</v>
      </c>
      <c r="AD1998">
        <v>-1.02471902</v>
      </c>
      <c r="AE1998">
        <v>0.53770000000002904</v>
      </c>
      <c r="AF1998">
        <v>2.5574604899817599</v>
      </c>
      <c r="AG1998">
        <v>-1.02471902</v>
      </c>
      <c r="AH1998">
        <v>73.346193645816896</v>
      </c>
      <c r="AI1998">
        <v>90.7999406777312</v>
      </c>
      <c r="AJ1998">
        <v>88.002999966854006</v>
      </c>
      <c r="AK1998">
        <v>73.397920784974801</v>
      </c>
    </row>
    <row r="1999" spans="1:37" x14ac:dyDescent="0.2">
      <c r="A1999" t="str">
        <f>"20200111153436894"</f>
        <v>20200111153436894</v>
      </c>
      <c r="B1999" t="str">
        <f>"1578728076888390"</f>
        <v>1578728076888390</v>
      </c>
      <c r="C1999" t="s">
        <v>37</v>
      </c>
      <c r="D1999">
        <v>4.6494429999999998</v>
      </c>
      <c r="E1999">
        <v>0.52230829999999995</v>
      </c>
      <c r="F1999" t="s">
        <v>38</v>
      </c>
      <c r="G1999">
        <v>-515.86189999999999</v>
      </c>
      <c r="H1999">
        <v>-0.05</v>
      </c>
      <c r="I1999">
        <v>285.53379999999999</v>
      </c>
      <c r="J1999">
        <v>-429.88189999999997</v>
      </c>
      <c r="K1999">
        <v>1.1047020000000001</v>
      </c>
      <c r="L1999">
        <v>284.91919999999999</v>
      </c>
      <c r="M1999">
        <v>-0.99951520000000005</v>
      </c>
      <c r="N1999">
        <v>0</v>
      </c>
      <c r="O1999">
        <v>-2.7522890000000001E-2</v>
      </c>
      <c r="P1999">
        <v>-0.99826039999999905</v>
      </c>
      <c r="Q1999">
        <v>2.670001E-2</v>
      </c>
      <c r="R1999">
        <v>-5.2564430000000002E-2</v>
      </c>
      <c r="S1999">
        <v>-3.00738499999999</v>
      </c>
      <c r="T1999">
        <v>-4.0266280000000002E-2</v>
      </c>
      <c r="U1999">
        <v>2.1179199999999999E-2</v>
      </c>
      <c r="V1999">
        <v>-2.5065110000000002E-2</v>
      </c>
      <c r="W1999">
        <v>4.1245030000000002E-2</v>
      </c>
      <c r="X1999">
        <v>0.99883459999999902</v>
      </c>
      <c r="Y1999">
        <v>3.4559109999999997E-2</v>
      </c>
      <c r="Z1999">
        <v>5.9984459999999997E-4</v>
      </c>
      <c r="AA1999">
        <v>0.99940249999999997</v>
      </c>
      <c r="AB1999">
        <v>44</v>
      </c>
      <c r="AC1999">
        <v>-85.98</v>
      </c>
      <c r="AD1999">
        <v>-1.1547019999999999</v>
      </c>
      <c r="AE1999">
        <v>0.61459999999999504</v>
      </c>
      <c r="AF1999">
        <v>2.9804983741936599</v>
      </c>
      <c r="AG1999">
        <v>-1.1547019999999999</v>
      </c>
      <c r="AH1999">
        <v>85.915009226695602</v>
      </c>
      <c r="AI1999">
        <v>90.769548892564401</v>
      </c>
      <c r="AJ1999">
        <v>88.013135045493996</v>
      </c>
      <c r="AK1999">
        <v>85.974446887959502</v>
      </c>
    </row>
    <row r="2000" spans="1:37" x14ac:dyDescent="0.2">
      <c r="A2000" t="str">
        <f>"20200111153436906"</f>
        <v>20200111153436906</v>
      </c>
      <c r="B2000" t="str">
        <f>"1578728076898148"</f>
        <v>1578728076898148</v>
      </c>
      <c r="C2000" t="s">
        <v>37</v>
      </c>
      <c r="D2000">
        <v>4.6628939999999997</v>
      </c>
      <c r="E2000">
        <v>0.52232829999999997</v>
      </c>
      <c r="F2000" t="s">
        <v>38</v>
      </c>
      <c r="G2000">
        <v>-518.78719999999998</v>
      </c>
      <c r="H2000">
        <v>-0.05</v>
      </c>
      <c r="I2000">
        <v>285.54079999999999</v>
      </c>
      <c r="J2000">
        <v>-430.12549999999999</v>
      </c>
      <c r="K2000">
        <v>1.104706</v>
      </c>
      <c r="L2000">
        <v>284.91250000000002</v>
      </c>
      <c r="M2000">
        <v>-0.99951520000000005</v>
      </c>
      <c r="N2000">
        <v>0</v>
      </c>
      <c r="O2000">
        <v>-2.7522990000000001E-2</v>
      </c>
      <c r="P2000">
        <v>-0.9982278</v>
      </c>
      <c r="Q2000">
        <v>2.7067939999999999E-2</v>
      </c>
      <c r="R2000">
        <v>-5.2994699999999999E-2</v>
      </c>
      <c r="S2000">
        <v>-3.007355</v>
      </c>
      <c r="T2000">
        <v>-3.905952E-2</v>
      </c>
      <c r="U2000">
        <v>2.1026610000000001E-2</v>
      </c>
      <c r="V2000">
        <v>-2.5495759999999999E-2</v>
      </c>
      <c r="W2000">
        <v>4.161045E-2</v>
      </c>
      <c r="X2000">
        <v>0.99880859999999905</v>
      </c>
      <c r="Y2000">
        <v>3.4508919999999998E-2</v>
      </c>
      <c r="Z2000">
        <v>5.8155049999999997E-4</v>
      </c>
      <c r="AA2000">
        <v>0.99940419999999996</v>
      </c>
      <c r="AB2000">
        <v>44</v>
      </c>
      <c r="AC2000">
        <v>-88.661699999999996</v>
      </c>
      <c r="AD2000">
        <v>-1.154706</v>
      </c>
      <c r="AE2000">
        <v>0.628299999999967</v>
      </c>
      <c r="AF2000">
        <v>3.0680351701722102</v>
      </c>
      <c r="AG2000">
        <v>-1.154706</v>
      </c>
      <c r="AH2000">
        <v>88.595784066572705</v>
      </c>
      <c r="AI2000">
        <v>90.746270355498297</v>
      </c>
      <c r="AJ2000">
        <v>88.016663532802596</v>
      </c>
      <c r="AK2000">
        <v>88.656410598008307</v>
      </c>
    </row>
    <row r="2001" spans="1:37" x14ac:dyDescent="0.2">
      <c r="A2001" t="str">
        <f>"20200111153436921"</f>
        <v>20200111153436921</v>
      </c>
      <c r="B2001" t="str">
        <f>"1578728076917668"</f>
        <v>1578728076917668</v>
      </c>
      <c r="C2001" t="s">
        <v>37</v>
      </c>
      <c r="D2001">
        <v>4.66716</v>
      </c>
      <c r="E2001">
        <v>0.52227219999999996</v>
      </c>
      <c r="F2001" t="s">
        <v>38</v>
      </c>
      <c r="G2001">
        <v>-521.99360000000001</v>
      </c>
      <c r="H2001">
        <v>-0.05</v>
      </c>
      <c r="I2001">
        <v>285.5147</v>
      </c>
      <c r="J2001">
        <v>-430.40089999999998</v>
      </c>
      <c r="K2001">
        <v>1.104711</v>
      </c>
      <c r="L2001">
        <v>284.9049</v>
      </c>
      <c r="M2001">
        <v>-0.99951520000000005</v>
      </c>
      <c r="N2001">
        <v>0</v>
      </c>
      <c r="O2001">
        <v>-2.7522979999999999E-2</v>
      </c>
      <c r="P2001">
        <v>-0.99821150000000003</v>
      </c>
      <c r="Q2001">
        <v>2.7378070000000001E-2</v>
      </c>
      <c r="R2001">
        <v>-5.3144450000000003E-2</v>
      </c>
      <c r="S2001">
        <v>-3.0073240000000001</v>
      </c>
      <c r="T2001">
        <v>-3.7799599999999899E-2</v>
      </c>
      <c r="U2001">
        <v>1.971436E-2</v>
      </c>
      <c r="V2001">
        <v>-2.5645919999999999E-2</v>
      </c>
      <c r="W2001">
        <v>4.1918690000000002E-2</v>
      </c>
      <c r="X2001">
        <v>0.99879180000000001</v>
      </c>
      <c r="Y2001">
        <v>3.4073260000000001E-2</v>
      </c>
      <c r="Z2001">
        <v>5.6006129999999895E-4</v>
      </c>
      <c r="AA2001">
        <v>0.99941919999999995</v>
      </c>
      <c r="AB2001">
        <v>44</v>
      </c>
      <c r="AC2001">
        <v>-91.592699999999994</v>
      </c>
      <c r="AD2001">
        <v>-1.154711</v>
      </c>
      <c r="AE2001">
        <v>0.609800000000007</v>
      </c>
      <c r="AF2001">
        <v>3.1302425720938798</v>
      </c>
      <c r="AG2001">
        <v>-1.154711</v>
      </c>
      <c r="AH2001">
        <v>91.526663062625005</v>
      </c>
      <c r="AI2001">
        <v>90.722389546351906</v>
      </c>
      <c r="AJ2001">
        <v>88.041228588048099</v>
      </c>
      <c r="AK2001">
        <v>91.587454530808699</v>
      </c>
    </row>
    <row r="2002" spans="1:37" x14ac:dyDescent="0.2">
      <c r="A2002" t="str">
        <f>"20200111153436935"</f>
        <v>20200111153436935</v>
      </c>
      <c r="B2002" t="str">
        <f>"1578728076928404"</f>
        <v>1578728076928404</v>
      </c>
      <c r="C2002" t="s">
        <v>37</v>
      </c>
      <c r="D2002">
        <v>4.6406910000000003</v>
      </c>
      <c r="E2002">
        <v>0.52226740000000005</v>
      </c>
      <c r="F2002" t="s">
        <v>38</v>
      </c>
      <c r="G2002">
        <v>-524.50959999999998</v>
      </c>
      <c r="H2002">
        <v>-0.05</v>
      </c>
      <c r="I2002">
        <v>285.49900000000002</v>
      </c>
      <c r="J2002">
        <v>-430.69920000000002</v>
      </c>
      <c r="K2002">
        <v>1.104716</v>
      </c>
      <c r="L2002">
        <v>284.89670000000001</v>
      </c>
      <c r="M2002">
        <v>-0.99951520000000005</v>
      </c>
      <c r="N2002">
        <v>0</v>
      </c>
      <c r="O2002">
        <v>-2.7523209999999999E-2</v>
      </c>
      <c r="P2002">
        <v>-0.99819769999999897</v>
      </c>
      <c r="Q2002">
        <v>2.7636770000000001E-2</v>
      </c>
      <c r="R2002">
        <v>-5.3269320000000002E-2</v>
      </c>
      <c r="S2002">
        <v>-3.00738499999999</v>
      </c>
      <c r="T2002">
        <v>-3.6900519999999999E-2</v>
      </c>
      <c r="U2002">
        <v>1.8981930000000001E-2</v>
      </c>
      <c r="V2002">
        <v>-2.577138E-2</v>
      </c>
      <c r="W2002">
        <v>4.2175009999999999E-2</v>
      </c>
      <c r="X2002">
        <v>0.99877780000000005</v>
      </c>
      <c r="Y2002">
        <v>3.3830209999999999E-2</v>
      </c>
      <c r="Z2002">
        <v>5.4524179999999997E-4</v>
      </c>
      <c r="AA2002">
        <v>0.99942739999999997</v>
      </c>
      <c r="AB2002">
        <v>44</v>
      </c>
      <c r="AC2002">
        <v>-93.810399999999902</v>
      </c>
      <c r="AD2002">
        <v>-1.1547160000000001</v>
      </c>
      <c r="AE2002">
        <v>0.60230000000001305</v>
      </c>
      <c r="AF2002">
        <v>3.1838262712910801</v>
      </c>
      <c r="AG2002">
        <v>-1.1547160000000001</v>
      </c>
      <c r="AH2002">
        <v>93.744071980908004</v>
      </c>
      <c r="AI2002">
        <v>90.705312746580205</v>
      </c>
      <c r="AJ2002">
        <v>88.054813351591505</v>
      </c>
      <c r="AK2002">
        <v>93.805229866612805</v>
      </c>
    </row>
    <row r="2003" spans="1:37" x14ac:dyDescent="0.2">
      <c r="A2003" t="str">
        <f>"20200111153436946"</f>
        <v>20200111153436946</v>
      </c>
      <c r="B2003" t="str">
        <f>"1578728076938163"</f>
        <v>1578728076938163</v>
      </c>
      <c r="C2003" t="s">
        <v>37</v>
      </c>
      <c r="D2003">
        <v>4.6450829999999996</v>
      </c>
      <c r="E2003">
        <v>0.52229999999999999</v>
      </c>
      <c r="F2003" t="s">
        <v>38</v>
      </c>
      <c r="G2003">
        <v>-527.05809999999997</v>
      </c>
      <c r="H2003">
        <v>-0.05</v>
      </c>
      <c r="I2003">
        <v>285.49509999999998</v>
      </c>
      <c r="J2003">
        <v>-430.92469999999997</v>
      </c>
      <c r="K2003">
        <v>1.104722</v>
      </c>
      <c r="L2003">
        <v>284.89049999999997</v>
      </c>
      <c r="M2003">
        <v>-0.9995153</v>
      </c>
      <c r="N2003">
        <v>0</v>
      </c>
      <c r="O2003">
        <v>-2.7523309999999999E-2</v>
      </c>
      <c r="P2003">
        <v>-0.99816130000000003</v>
      </c>
      <c r="Q2003">
        <v>2.7831669999999999E-2</v>
      </c>
      <c r="R2003">
        <v>-5.3847230000000003E-2</v>
      </c>
      <c r="S2003">
        <v>-3.0074160000000001</v>
      </c>
      <c r="T2003">
        <v>-3.6039349999999998E-2</v>
      </c>
      <c r="U2003">
        <v>1.8676760000000001E-2</v>
      </c>
      <c r="V2003">
        <v>-2.6349810000000001E-2</v>
      </c>
      <c r="W2003">
        <v>4.2368429999999999E-2</v>
      </c>
      <c r="X2003">
        <v>0.99875449999999999</v>
      </c>
      <c r="Y2003">
        <v>3.3729059999999998E-2</v>
      </c>
      <c r="Z2003">
        <v>5.3190799999999999E-4</v>
      </c>
      <c r="AA2003">
        <v>0.99943090000000001</v>
      </c>
      <c r="AB2003">
        <v>44</v>
      </c>
      <c r="AC2003">
        <v>-96.133399999999995</v>
      </c>
      <c r="AD2003">
        <v>-1.154722</v>
      </c>
      <c r="AE2003">
        <v>0.60460000000000402</v>
      </c>
      <c r="AF2003">
        <v>3.25009139539852</v>
      </c>
      <c r="AG2003">
        <v>-1.154722</v>
      </c>
      <c r="AH2003">
        <v>96.066471018013402</v>
      </c>
      <c r="AI2003">
        <v>90.688270164142295</v>
      </c>
      <c r="AJ2003">
        <v>88.062325804383804</v>
      </c>
      <c r="AK2003">
        <v>96.128369022003696</v>
      </c>
    </row>
    <row r="2004" spans="1:37" x14ac:dyDescent="0.2">
      <c r="A2004" t="str">
        <f>"20200111153436969"</f>
        <v>20200111153436969</v>
      </c>
      <c r="B2004" t="str">
        <f>"1578728076957686"</f>
        <v>1578728076957686</v>
      </c>
      <c r="C2004" t="s">
        <v>37</v>
      </c>
      <c r="D2004">
        <v>4.6699760000000001</v>
      </c>
      <c r="E2004">
        <v>0.52233640000000003</v>
      </c>
      <c r="F2004" t="s">
        <v>38</v>
      </c>
      <c r="G2004">
        <v>-530.56740000000002</v>
      </c>
      <c r="H2004">
        <v>-0.05</v>
      </c>
      <c r="I2004">
        <v>285.45870000000002</v>
      </c>
      <c r="J2004">
        <v>-431.35120000000001</v>
      </c>
      <c r="K2004">
        <v>1.1047260000000001</v>
      </c>
      <c r="L2004">
        <v>284.87869999999998</v>
      </c>
      <c r="M2004">
        <v>-0.99951540000000005</v>
      </c>
      <c r="N2004">
        <v>0</v>
      </c>
      <c r="O2004">
        <v>-2.752365E-2</v>
      </c>
      <c r="P2004">
        <v>-0.99810989999999999</v>
      </c>
      <c r="Q2004">
        <v>2.7867780000000002E-2</v>
      </c>
      <c r="R2004">
        <v>-5.4773259999999997E-2</v>
      </c>
      <c r="S2004">
        <v>-3.0074160000000001</v>
      </c>
      <c r="T2004">
        <v>-3.4851790000000001E-2</v>
      </c>
      <c r="U2004">
        <v>1.715088E-2</v>
      </c>
      <c r="V2004">
        <v>-2.727653E-2</v>
      </c>
      <c r="W2004">
        <v>4.2401300000000003E-2</v>
      </c>
      <c r="X2004">
        <v>0.99872830000000001</v>
      </c>
      <c r="Y2004">
        <v>3.3222649999999999E-2</v>
      </c>
      <c r="Z2004">
        <v>5.1145189999999999E-4</v>
      </c>
      <c r="AA2004">
        <v>0.9994478</v>
      </c>
      <c r="AB2004">
        <v>44</v>
      </c>
      <c r="AC2004">
        <v>-99.216200000000001</v>
      </c>
      <c r="AD2004">
        <v>-1.1547259999999999</v>
      </c>
      <c r="AE2004">
        <v>0.58000000000004004</v>
      </c>
      <c r="AF2004">
        <v>3.3104125003639302</v>
      </c>
      <c r="AG2004">
        <v>-1.1547259999999999</v>
      </c>
      <c r="AH2004">
        <v>99.149209119245697</v>
      </c>
      <c r="AI2004">
        <v>90.666884733411393</v>
      </c>
      <c r="AJ2004">
        <v>88.087708081899507</v>
      </c>
      <c r="AK2004">
        <v>99.2111782614719</v>
      </c>
    </row>
    <row r="2005" spans="1:37" x14ac:dyDescent="0.2">
      <c r="A2005" t="str">
        <f>"20200111153436982"</f>
        <v>20200111153436982</v>
      </c>
      <c r="B2005" t="str">
        <f>"1578728076978179"</f>
        <v>1578728076978179</v>
      </c>
      <c r="C2005" t="s">
        <v>37</v>
      </c>
      <c r="D2005">
        <v>4.609909</v>
      </c>
      <c r="E2005">
        <v>0.52238859999999998</v>
      </c>
      <c r="F2005" t="s">
        <v>38</v>
      </c>
      <c r="G2005">
        <v>-531.82780000000002</v>
      </c>
      <c r="H2005">
        <v>-0.05</v>
      </c>
      <c r="I2005">
        <v>285.37220000000002</v>
      </c>
      <c r="J2005">
        <v>-431.6053</v>
      </c>
      <c r="K2005">
        <v>1.1047290000000001</v>
      </c>
      <c r="L2005">
        <v>284.87169999999998</v>
      </c>
      <c r="M2005">
        <v>-0.9995155</v>
      </c>
      <c r="N2005">
        <v>0</v>
      </c>
      <c r="O2005">
        <v>-2.7523760000000001E-2</v>
      </c>
      <c r="P2005">
        <v>-0.99806799999999996</v>
      </c>
      <c r="Q2005">
        <v>2.7994270000000002E-2</v>
      </c>
      <c r="R2005">
        <v>-5.5471140000000002E-2</v>
      </c>
      <c r="S2005">
        <v>-3.0074770000000002</v>
      </c>
      <c r="T2005">
        <v>-3.4563419999999997E-2</v>
      </c>
      <c r="U2005">
        <v>1.4770510000000001E-2</v>
      </c>
      <c r="V2005">
        <v>-2.7974530000000001E-2</v>
      </c>
      <c r="W2005">
        <v>4.2526120000000001E-2</v>
      </c>
      <c r="X2005">
        <v>0.99870369999999997</v>
      </c>
      <c r="Y2005">
        <v>3.2431719999999997E-2</v>
      </c>
      <c r="Z2005">
        <v>5.0266669999999897E-4</v>
      </c>
      <c r="AA2005">
        <v>0.99947379999999997</v>
      </c>
      <c r="AB2005">
        <v>44</v>
      </c>
      <c r="AC2005">
        <v>-100.2225</v>
      </c>
      <c r="AD2005">
        <v>-1.1547289999999999</v>
      </c>
      <c r="AE2005">
        <v>0.50050000000004502</v>
      </c>
      <c r="AF2005">
        <v>3.2586691638189902</v>
      </c>
      <c r="AG2005">
        <v>-1.1547289999999999</v>
      </c>
      <c r="AH2005">
        <v>100.15745012013301</v>
      </c>
      <c r="AI2005">
        <v>90.660192344469905</v>
      </c>
      <c r="AJ2005">
        <v>88.136512549112595</v>
      </c>
      <c r="AK2005">
        <v>100.217100029633</v>
      </c>
    </row>
    <row r="2006" spans="1:37" x14ac:dyDescent="0.2">
      <c r="A2006" t="str">
        <f>"20200111153436993"</f>
        <v>20200111153436993</v>
      </c>
      <c r="B2006" t="str">
        <f>"1578728076987939"</f>
        <v>1578728076987939</v>
      </c>
      <c r="C2006" t="s">
        <v>37</v>
      </c>
      <c r="D2006">
        <v>4.7009040000000004</v>
      </c>
      <c r="E2006">
        <v>0.52240750000000002</v>
      </c>
      <c r="F2006" t="s">
        <v>38</v>
      </c>
      <c r="G2006">
        <v>-532.82449999999994</v>
      </c>
      <c r="H2006">
        <v>-0.05</v>
      </c>
      <c r="I2006">
        <v>285.31540000000001</v>
      </c>
      <c r="J2006">
        <v>-431.85120000000001</v>
      </c>
      <c r="K2006">
        <v>1.1047309999999999</v>
      </c>
      <c r="L2006">
        <v>284.86500000000001</v>
      </c>
      <c r="M2006">
        <v>-0.99951540000000005</v>
      </c>
      <c r="N2006">
        <v>0</v>
      </c>
      <c r="O2006">
        <v>-2.752375E-2</v>
      </c>
      <c r="P2006">
        <v>-0.99803390000000003</v>
      </c>
      <c r="Q2006">
        <v>2.8116490000000001E-2</v>
      </c>
      <c r="R2006">
        <v>-5.6017379999999999E-2</v>
      </c>
      <c r="S2006">
        <v>-3.007568</v>
      </c>
      <c r="T2006">
        <v>-3.4310939999999998E-2</v>
      </c>
      <c r="U2006">
        <v>1.318359E-2</v>
      </c>
      <c r="V2006">
        <v>-2.852203E-2</v>
      </c>
      <c r="W2006">
        <v>4.2646650000000001E-2</v>
      </c>
      <c r="X2006">
        <v>0.99868299999999999</v>
      </c>
      <c r="Y2006">
        <v>3.1904299999999997E-2</v>
      </c>
      <c r="Z2006">
        <v>4.9597140000000003E-4</v>
      </c>
      <c r="AA2006">
        <v>0.99949080000000001</v>
      </c>
      <c r="AB2006">
        <v>44</v>
      </c>
      <c r="AC2006">
        <v>-100.973299999999</v>
      </c>
      <c r="AD2006">
        <v>-1.154731</v>
      </c>
      <c r="AE2006">
        <v>0.45040000000000102</v>
      </c>
      <c r="AF2006">
        <v>3.2292646896278701</v>
      </c>
      <c r="AG2006">
        <v>-1.154731</v>
      </c>
      <c r="AH2006">
        <v>100.90944325633799</v>
      </c>
      <c r="AI2006">
        <v>90.655285327684794</v>
      </c>
      <c r="AJ2006">
        <v>88.167068318839796</v>
      </c>
      <c r="AK2006">
        <v>100.967704204969</v>
      </c>
    </row>
    <row r="2007" spans="1:37" x14ac:dyDescent="0.2">
      <c r="A2007" t="str">
        <f>"20200111153437006"</f>
        <v>20200111153437006</v>
      </c>
      <c r="B2007" t="str">
        <f>"1578728076997700"</f>
        <v>1578728076997700</v>
      </c>
      <c r="C2007" t="s">
        <v>37</v>
      </c>
      <c r="D2007">
        <v>4.6581279999999996</v>
      </c>
      <c r="E2007">
        <v>0.52248790000000001</v>
      </c>
      <c r="F2007" t="s">
        <v>38</v>
      </c>
      <c r="G2007">
        <v>-534.44550000000004</v>
      </c>
      <c r="H2007">
        <v>-0.05</v>
      </c>
      <c r="I2007">
        <v>285.26369999999997</v>
      </c>
      <c r="J2007">
        <v>-432.08800000000002</v>
      </c>
      <c r="K2007">
        <v>1.104732</v>
      </c>
      <c r="L2007">
        <v>284.85849999999999</v>
      </c>
      <c r="M2007">
        <v>-0.99951540000000005</v>
      </c>
      <c r="N2007">
        <v>0</v>
      </c>
      <c r="O2007">
        <v>-2.7523740000000001E-2</v>
      </c>
      <c r="P2007">
        <v>-0.99798279999999995</v>
      </c>
      <c r="Q2007">
        <v>2.8431930000000001E-2</v>
      </c>
      <c r="R2007">
        <v>-5.6766650000000002E-2</v>
      </c>
      <c r="S2007">
        <v>-3.0075069999999999</v>
      </c>
      <c r="T2007">
        <v>-3.3850430000000001E-2</v>
      </c>
      <c r="U2007">
        <v>1.1688230000000001E-2</v>
      </c>
      <c r="V2007">
        <v>-2.9272139999999999E-2</v>
      </c>
      <c r="W2007">
        <v>4.2960119999999997E-2</v>
      </c>
      <c r="X2007">
        <v>0.99864789999999903</v>
      </c>
      <c r="Y2007">
        <v>3.1407560000000001E-2</v>
      </c>
      <c r="Z2007">
        <v>4.8652949999999998E-4</v>
      </c>
      <c r="AA2007">
        <v>0.99950649999999996</v>
      </c>
      <c r="AB2007">
        <v>44</v>
      </c>
      <c r="AC2007">
        <v>-102.3575</v>
      </c>
      <c r="AD2007">
        <v>-1.1547320000000001</v>
      </c>
      <c r="AE2007">
        <v>0.40519999999997902</v>
      </c>
      <c r="AF2007">
        <v>3.2221954393068901</v>
      </c>
      <c r="AG2007">
        <v>-1.1547320000000001</v>
      </c>
      <c r="AH2007">
        <v>102.294541139139</v>
      </c>
      <c r="AI2007">
        <v>90.646424191683295</v>
      </c>
      <c r="AJ2007">
        <v>88.195825756010507</v>
      </c>
      <c r="AK2007">
        <v>102.351790879828</v>
      </c>
    </row>
    <row r="2008" spans="1:37" x14ac:dyDescent="0.2">
      <c r="A2008" t="str">
        <f>"20200111153437025"</f>
        <v>20200111153437025</v>
      </c>
      <c r="B2008" t="str">
        <f>"1578728077018195"</f>
        <v>1578728077018195</v>
      </c>
      <c r="C2008" t="s">
        <v>37</v>
      </c>
      <c r="D2008">
        <v>4.6405370000000001</v>
      </c>
      <c r="E2008">
        <v>0.52248899999999998</v>
      </c>
      <c r="F2008" t="s">
        <v>38</v>
      </c>
      <c r="G2008">
        <v>-537.30190000000005</v>
      </c>
      <c r="H2008">
        <v>-0.05</v>
      </c>
      <c r="I2008">
        <v>285.21179999999998</v>
      </c>
      <c r="J2008">
        <v>-432.46429999999998</v>
      </c>
      <c r="K2008">
        <v>1.104732</v>
      </c>
      <c r="L2008">
        <v>284.84809999999999</v>
      </c>
      <c r="M2008">
        <v>-0.99951559999999995</v>
      </c>
      <c r="N2008">
        <v>0</v>
      </c>
      <c r="O2008">
        <v>-2.7521319999999998E-2</v>
      </c>
      <c r="P2008">
        <v>-0.99790259999999997</v>
      </c>
      <c r="Q2008">
        <v>2.8677299999999899E-2</v>
      </c>
      <c r="R2008">
        <v>-5.8038010000000001E-2</v>
      </c>
      <c r="S2008">
        <v>-3.007568</v>
      </c>
      <c r="T2008">
        <v>-3.3008339999999997E-2</v>
      </c>
      <c r="U2008">
        <v>1.010132E-2</v>
      </c>
      <c r="V2008">
        <v>-3.054751E-2</v>
      </c>
      <c r="W2008">
        <v>4.3202129999999998E-2</v>
      </c>
      <c r="X2008">
        <v>0.99859920000000002</v>
      </c>
      <c r="Y2008">
        <v>3.08779E-2</v>
      </c>
      <c r="Z2008">
        <v>4.7148410000000002E-4</v>
      </c>
      <c r="AA2008">
        <v>0.99952299999999905</v>
      </c>
      <c r="AB2008">
        <v>44</v>
      </c>
      <c r="AC2008">
        <v>-104.83759999999999</v>
      </c>
      <c r="AD2008">
        <v>-1.1547320000000001</v>
      </c>
      <c r="AE2008">
        <v>0.36369999999999397</v>
      </c>
      <c r="AF2008">
        <v>3.2487418656243099</v>
      </c>
      <c r="AG2008">
        <v>-1.1547320000000001</v>
      </c>
      <c r="AH2008">
        <v>104.775159274392</v>
      </c>
      <c r="AI2008">
        <v>90.631130645282894</v>
      </c>
      <c r="AJ2008">
        <v>88.224010532913496</v>
      </c>
      <c r="AK2008">
        <v>104.831873639059</v>
      </c>
    </row>
    <row r="2009" spans="1:37" x14ac:dyDescent="0.2">
      <c r="A2009" t="str">
        <f>"20200111153437047"</f>
        <v>20200111153437047</v>
      </c>
      <c r="B2009" t="str">
        <f>"1578728077037715"</f>
        <v>1578728077037715</v>
      </c>
      <c r="C2009" t="s">
        <v>37</v>
      </c>
      <c r="D2009">
        <v>4.6185429999999998</v>
      </c>
      <c r="E2009">
        <v>0.52254040000000002</v>
      </c>
      <c r="F2009" t="s">
        <v>38</v>
      </c>
      <c r="G2009">
        <v>-538.88760000000002</v>
      </c>
      <c r="H2009">
        <v>-0.05</v>
      </c>
      <c r="I2009">
        <v>285.07159999999999</v>
      </c>
      <c r="J2009">
        <v>-432.89890000000003</v>
      </c>
      <c r="K2009">
        <v>1.1047229999999999</v>
      </c>
      <c r="L2009">
        <v>284.83609999999999</v>
      </c>
      <c r="M2009">
        <v>-0.99951599999999996</v>
      </c>
      <c r="N2009">
        <v>0</v>
      </c>
      <c r="O2009">
        <v>-2.7506530000000001E-2</v>
      </c>
      <c r="P2009">
        <v>-0.99777909999999903</v>
      </c>
      <c r="Q2009">
        <v>2.9415750000000001E-2</v>
      </c>
      <c r="R2009">
        <v>-5.9764249999999998E-2</v>
      </c>
      <c r="S2009">
        <v>-3.0076290000000001</v>
      </c>
      <c r="T2009">
        <v>-3.26339E-2</v>
      </c>
      <c r="U2009">
        <v>6.3171390000000003E-3</v>
      </c>
      <c r="V2009">
        <v>-3.2290630000000001E-2</v>
      </c>
      <c r="W2009">
        <v>4.3937660000000003E-2</v>
      </c>
      <c r="X2009">
        <v>0.99851229999999902</v>
      </c>
      <c r="Y2009">
        <v>2.9605579999999999E-2</v>
      </c>
      <c r="Z2009">
        <v>4.590633E-4</v>
      </c>
      <c r="AA2009">
        <v>0.99956149999999999</v>
      </c>
      <c r="AB2009">
        <v>44</v>
      </c>
      <c r="AC2009">
        <v>-105.98869999999999</v>
      </c>
      <c r="AD2009">
        <v>-1.1547229999999999</v>
      </c>
      <c r="AE2009">
        <v>0.23550000000000099</v>
      </c>
      <c r="AF2009">
        <v>3.1507261023888602</v>
      </c>
      <c r="AG2009">
        <v>-1.1547229999999999</v>
      </c>
      <c r="AH2009">
        <v>105.929536094895</v>
      </c>
      <c r="AI2009">
        <v>90.624272452202902</v>
      </c>
      <c r="AJ2009">
        <v>88.296319348457402</v>
      </c>
      <c r="AK2009">
        <v>105.982673477595</v>
      </c>
    </row>
    <row r="2010" spans="1:37" x14ac:dyDescent="0.2">
      <c r="A2010" t="str">
        <f>"20200111153437062"</f>
        <v>20200111153437062</v>
      </c>
      <c r="B2010" t="str">
        <f>"1578728077058211"</f>
        <v>1578728077058211</v>
      </c>
      <c r="C2010" t="s">
        <v>37</v>
      </c>
      <c r="D2010">
        <v>4.6879730000000004</v>
      </c>
      <c r="E2010">
        <v>0.52248019999999995</v>
      </c>
      <c r="F2010" t="s">
        <v>38</v>
      </c>
      <c r="G2010">
        <v>-544.38099999999997</v>
      </c>
      <c r="H2010">
        <v>-0.05</v>
      </c>
      <c r="I2010">
        <v>284.90170000000001</v>
      </c>
      <c r="J2010">
        <v>-433.18029999999999</v>
      </c>
      <c r="K2010">
        <v>1.1047180000000001</v>
      </c>
      <c r="L2010">
        <v>284.82839999999999</v>
      </c>
      <c r="M2010">
        <v>-0.99951650000000003</v>
      </c>
      <c r="N2010">
        <v>0</v>
      </c>
      <c r="O2010">
        <v>-2.7487080000000001E-2</v>
      </c>
      <c r="P2010">
        <v>-0.99772839999999996</v>
      </c>
      <c r="Q2010">
        <v>2.92987E-2</v>
      </c>
      <c r="R2010">
        <v>-6.0658869999999997E-2</v>
      </c>
      <c r="S2010">
        <v>-3.00766</v>
      </c>
      <c r="T2010">
        <v>-3.115308E-2</v>
      </c>
      <c r="U2010">
        <v>1.77002E-3</v>
      </c>
      <c r="V2010">
        <v>-3.3204959999999999E-2</v>
      </c>
      <c r="W2010">
        <v>4.3819039999999997E-2</v>
      </c>
      <c r="X2010">
        <v>0.99848749999999997</v>
      </c>
      <c r="Y2010">
        <v>2.8075280000000001E-2</v>
      </c>
      <c r="Z2010">
        <v>4.3010169999999998E-4</v>
      </c>
      <c r="AA2010">
        <v>0.99960569999999904</v>
      </c>
      <c r="AB2010">
        <v>44</v>
      </c>
      <c r="AC2010">
        <v>-111.200699999999</v>
      </c>
      <c r="AD2010">
        <v>-1.1547179999999999</v>
      </c>
      <c r="AE2010">
        <v>7.3300000000017407E-2</v>
      </c>
      <c r="AF2010">
        <v>3.1298402139906001</v>
      </c>
      <c r="AG2010">
        <v>-1.1547179999999999</v>
      </c>
      <c r="AH2010">
        <v>111.14467525511</v>
      </c>
      <c r="AI2010">
        <v>90.595007126402194</v>
      </c>
      <c r="AJ2010">
        <v>88.386973954370404</v>
      </c>
      <c r="AK2010">
        <v>111.194730590026</v>
      </c>
    </row>
    <row r="2011" spans="1:37" x14ac:dyDescent="0.2">
      <c r="A2011" t="str">
        <f>"20200111153437075"</f>
        <v>20200111153437075</v>
      </c>
      <c r="B2011" t="str">
        <f>"1578728077067971"</f>
        <v>1578728077067971</v>
      </c>
      <c r="C2011" t="s">
        <v>37</v>
      </c>
      <c r="D2011">
        <v>4.6357809999999997</v>
      </c>
      <c r="E2011">
        <v>0.4837745</v>
      </c>
      <c r="F2011" t="s">
        <v>38</v>
      </c>
      <c r="G2011">
        <v>-544.60530000000006</v>
      </c>
      <c r="H2011">
        <v>-0.05</v>
      </c>
      <c r="I2011">
        <v>284.77749999999997</v>
      </c>
      <c r="J2011">
        <v>-433.4572</v>
      </c>
      <c r="K2011">
        <v>1.104708</v>
      </c>
      <c r="L2011">
        <v>284.82080000000002</v>
      </c>
      <c r="M2011">
        <v>-0.99951759999999901</v>
      </c>
      <c r="N2011">
        <v>0</v>
      </c>
      <c r="O2011">
        <v>-2.7455400000000001E-2</v>
      </c>
      <c r="P2011">
        <v>-0.99768020000000002</v>
      </c>
      <c r="Q2011">
        <v>2.9393059999999999E-2</v>
      </c>
      <c r="R2011">
        <v>-6.1404319999999998E-2</v>
      </c>
      <c r="S2011">
        <v>-3.0076290000000001</v>
      </c>
      <c r="T2011">
        <v>-3.1168580000000001E-2</v>
      </c>
      <c r="U2011">
        <v>-1.373291E-3</v>
      </c>
      <c r="V2011">
        <v>-3.3981829999999998E-2</v>
      </c>
      <c r="W2011">
        <v>4.3911939999999997E-2</v>
      </c>
      <c r="X2011">
        <v>0.99845729999999999</v>
      </c>
      <c r="Y2011">
        <v>2.6998939999999999E-2</v>
      </c>
      <c r="Z2011">
        <v>4.2441370000000003E-4</v>
      </c>
      <c r="AA2011">
        <v>0.99963539999999995</v>
      </c>
      <c r="AB2011">
        <v>44</v>
      </c>
      <c r="AC2011">
        <v>-111.1481</v>
      </c>
      <c r="AD2011">
        <v>-1.1547080000000001</v>
      </c>
      <c r="AE2011">
        <v>-4.3300000000044699E-2</v>
      </c>
      <c r="AF2011">
        <v>3.0083288263132801</v>
      </c>
      <c r="AG2011">
        <v>-1.1547080000000001</v>
      </c>
      <c r="AH2011">
        <v>111.09539007854301</v>
      </c>
      <c r="AI2011">
        <v>90.595283677687405</v>
      </c>
      <c r="AJ2011">
        <v>88.448878624536903</v>
      </c>
      <c r="AK2011">
        <v>111.14211213395301</v>
      </c>
    </row>
    <row r="2012" spans="1:37" x14ac:dyDescent="0.2">
      <c r="A2012" t="str">
        <f>"20200111153437088"</f>
        <v>20200111153437088</v>
      </c>
      <c r="B2012" t="str">
        <f>"1578728077077732"</f>
        <v>1578728077077732</v>
      </c>
      <c r="C2012" t="s">
        <v>37</v>
      </c>
      <c r="D2012">
        <v>4.748113</v>
      </c>
      <c r="E2012">
        <v>0.47695009999999999</v>
      </c>
      <c r="F2012" t="s">
        <v>52</v>
      </c>
      <c r="G2012">
        <v>-469.3861</v>
      </c>
      <c r="H2012" s="1">
        <v>3.612425E-6</v>
      </c>
      <c r="I2012">
        <v>281.0847</v>
      </c>
      <c r="J2012">
        <v>-433.7131</v>
      </c>
      <c r="K2012">
        <v>1.104695</v>
      </c>
      <c r="L2012">
        <v>284.81380000000001</v>
      </c>
      <c r="M2012">
        <v>-0.99951880000000004</v>
      </c>
      <c r="N2012">
        <v>0</v>
      </c>
      <c r="O2012">
        <v>-2.7410549999999999E-2</v>
      </c>
      <c r="P2012">
        <v>-0.99761239999999995</v>
      </c>
      <c r="Q2012">
        <v>2.9830079999999998E-2</v>
      </c>
      <c r="R2012">
        <v>-6.2291939999999997E-2</v>
      </c>
      <c r="S2012">
        <v>-2.9905400000000002</v>
      </c>
      <c r="T2012">
        <v>-9.1949939999999994E-2</v>
      </c>
      <c r="U2012">
        <v>-0.31097409999999998</v>
      </c>
      <c r="V2012">
        <v>-3.4914300000000002E-2</v>
      </c>
      <c r="W2012">
        <v>4.43483E-2</v>
      </c>
      <c r="X2012">
        <v>0.99840580000000001</v>
      </c>
      <c r="Y2012">
        <v>-7.6100249999999994E-2</v>
      </c>
      <c r="Z2012">
        <v>-3.2646699999999999E-4</v>
      </c>
      <c r="AA2012">
        <v>0.99710010000000004</v>
      </c>
      <c r="AB2012">
        <v>44</v>
      </c>
      <c r="AC2012">
        <v>-35.673000000000002</v>
      </c>
      <c r="AD2012">
        <v>-1.104691387575</v>
      </c>
      <c r="AE2012">
        <v>-3.7291000000000101</v>
      </c>
      <c r="AF2012">
        <v>-2.7471729254746702</v>
      </c>
      <c r="AG2012">
        <v>-1.104691387575</v>
      </c>
      <c r="AH2012">
        <v>35.727929397946099</v>
      </c>
      <c r="AI2012">
        <v>91.765786395453006</v>
      </c>
      <c r="AJ2012">
        <v>94.396904922868302</v>
      </c>
      <c r="AK2012">
        <v>35.850414798281797</v>
      </c>
    </row>
    <row r="2013" spans="1:37" x14ac:dyDescent="0.2">
      <c r="A2013" t="str">
        <f>"20200111153437102"</f>
        <v>20200111153437102</v>
      </c>
      <c r="B2013" t="str">
        <f>"1578728077098227"</f>
        <v>1578728077098227</v>
      </c>
      <c r="C2013" t="s">
        <v>37</v>
      </c>
      <c r="D2013">
        <v>4.6152829999999998</v>
      </c>
      <c r="E2013">
        <v>0.47423379999999998</v>
      </c>
      <c r="F2013" t="s">
        <v>52</v>
      </c>
      <c r="G2013">
        <v>-463.29829999999998</v>
      </c>
      <c r="H2013" s="1">
        <v>3.6890290000000001E-7</v>
      </c>
      <c r="I2013">
        <v>281.17340000000002</v>
      </c>
      <c r="J2013">
        <v>-433.98059999999998</v>
      </c>
      <c r="K2013">
        <v>1.104676</v>
      </c>
      <c r="L2013">
        <v>284.80650000000003</v>
      </c>
      <c r="M2013">
        <v>-0.99952050000000003</v>
      </c>
      <c r="N2013">
        <v>0</v>
      </c>
      <c r="O2013">
        <v>-2.7350960000000001E-2</v>
      </c>
      <c r="P2013">
        <v>-0.9975678</v>
      </c>
      <c r="Q2013">
        <v>2.9887009999999999E-2</v>
      </c>
      <c r="R2013">
        <v>-6.2972790000000001E-2</v>
      </c>
      <c r="S2013">
        <v>-2.9875790000000002</v>
      </c>
      <c r="T2013">
        <v>-0.1115546</v>
      </c>
      <c r="U2013">
        <v>-0.36761470000000002</v>
      </c>
      <c r="V2013">
        <v>-3.5653549999999999E-2</v>
      </c>
      <c r="W2013">
        <v>4.4404989999999998E-2</v>
      </c>
      <c r="X2013">
        <v>0.99837719999999897</v>
      </c>
      <c r="Y2013">
        <v>-9.4885520000000001E-2</v>
      </c>
      <c r="Z2013">
        <v>-7.4755470000000001E-4</v>
      </c>
      <c r="AA2013">
        <v>0.99548789999999998</v>
      </c>
      <c r="AB2013">
        <v>44</v>
      </c>
      <c r="AC2013">
        <v>-29.317699999999999</v>
      </c>
      <c r="AD2013">
        <v>-1.1046756310971</v>
      </c>
      <c r="AE2013">
        <v>-3.63310000000001</v>
      </c>
      <c r="AF2013">
        <v>-2.8258375305922199</v>
      </c>
      <c r="AG2013">
        <v>-1.1046756310971</v>
      </c>
      <c r="AH2013">
        <v>29.365048681835098</v>
      </c>
      <c r="AI2013">
        <v>92.144480917488295</v>
      </c>
      <c r="AJ2013">
        <v>95.4967230438765</v>
      </c>
      <c r="AK2013">
        <v>29.521377848701299</v>
      </c>
    </row>
    <row r="2014" spans="1:37" x14ac:dyDescent="0.2">
      <c r="A2014" t="str">
        <f>"20200111153437115"</f>
        <v>20200111153437115</v>
      </c>
      <c r="B2014" t="str">
        <f>"1578728077107987"</f>
        <v>1578728077107987</v>
      </c>
      <c r="C2014" t="s">
        <v>37</v>
      </c>
      <c r="D2014">
        <v>4.5829110000000002</v>
      </c>
      <c r="E2014">
        <v>0.47419849999999902</v>
      </c>
      <c r="F2014" t="s">
        <v>52</v>
      </c>
      <c r="G2014">
        <v>-459.54919999999998</v>
      </c>
      <c r="H2014" s="1">
        <v>3.6827589999999899E-6</v>
      </c>
      <c r="I2014">
        <v>281.46069999999997</v>
      </c>
      <c r="J2014">
        <v>-434.23930000000001</v>
      </c>
      <c r="K2014">
        <v>1.1046559999999901</v>
      </c>
      <c r="L2014">
        <v>284.79950000000002</v>
      </c>
      <c r="M2014">
        <v>-0.99952240000000003</v>
      </c>
      <c r="N2014">
        <v>0</v>
      </c>
      <c r="O2014">
        <v>-2.7271030000000002E-2</v>
      </c>
      <c r="P2014">
        <v>-0.99745669999999897</v>
      </c>
      <c r="Q2014">
        <v>3.043908E-2</v>
      </c>
      <c r="R2014">
        <v>-6.4449590000000001E-2</v>
      </c>
      <c r="S2014">
        <v>-2.9865110000000001</v>
      </c>
      <c r="T2014">
        <v>-0.12903000000000001</v>
      </c>
      <c r="U2014">
        <v>-0.39080809999999999</v>
      </c>
      <c r="V2014">
        <v>-3.7210269999999997E-2</v>
      </c>
      <c r="W2014">
        <v>4.4956610000000001E-2</v>
      </c>
      <c r="X2014">
        <v>0.99829570000000001</v>
      </c>
      <c r="Y2014">
        <v>-0.102590899999999</v>
      </c>
      <c r="Z2014">
        <v>-1.0335819999999999E-3</v>
      </c>
      <c r="AA2014">
        <v>0.99472309999999997</v>
      </c>
      <c r="AB2014">
        <v>44</v>
      </c>
      <c r="AC2014">
        <v>-25.309899999999899</v>
      </c>
      <c r="AD2014">
        <v>-1.1046523172409899</v>
      </c>
      <c r="AE2014">
        <v>-3.33880000000004</v>
      </c>
      <c r="AF2014">
        <v>-2.6423107704114202</v>
      </c>
      <c r="AG2014">
        <v>-1.1046523172409899</v>
      </c>
      <c r="AH2014">
        <v>25.344094791185402</v>
      </c>
      <c r="AI2014">
        <v>92.482287299399999</v>
      </c>
      <c r="AJ2014">
        <v>95.952008841164101</v>
      </c>
      <c r="AK2014">
        <v>25.505395580818</v>
      </c>
    </row>
    <row r="2015" spans="1:37" x14ac:dyDescent="0.2">
      <c r="A2015" t="str">
        <f>"20200111153437135"</f>
        <v>20200111153437135</v>
      </c>
      <c r="B2015" t="str">
        <f>"1578728077128484"</f>
        <v>1578728077128484</v>
      </c>
      <c r="C2015" t="s">
        <v>37</v>
      </c>
      <c r="D2015">
        <v>4.5607329999999999</v>
      </c>
      <c r="E2015">
        <v>0.4745048</v>
      </c>
      <c r="F2015" t="s">
        <v>52</v>
      </c>
      <c r="G2015">
        <v>-459.75630000000001</v>
      </c>
      <c r="H2015" s="1">
        <v>3.7946909999999998E-6</v>
      </c>
      <c r="I2015">
        <v>281.42149999999998</v>
      </c>
      <c r="J2015">
        <v>-434.62169999999998</v>
      </c>
      <c r="K2015">
        <v>1.1046100000000001</v>
      </c>
      <c r="L2015">
        <v>284.78919999999999</v>
      </c>
      <c r="M2015">
        <v>-0.9995269</v>
      </c>
      <c r="N2015">
        <v>0</v>
      </c>
      <c r="O2015">
        <v>-2.7114139999999998E-2</v>
      </c>
      <c r="P2015">
        <v>-0.99743019999999905</v>
      </c>
      <c r="Q2015">
        <v>3.0558370000000001E-2</v>
      </c>
      <c r="R2015">
        <v>-6.480226E-2</v>
      </c>
      <c r="S2015">
        <v>-2.9860530000000001</v>
      </c>
      <c r="T2015">
        <v>-0.12926860000000001</v>
      </c>
      <c r="U2015">
        <v>-0.39529419999999998</v>
      </c>
      <c r="V2015">
        <v>-3.7715600000000002E-2</v>
      </c>
      <c r="W2015">
        <v>4.5077600000000002E-2</v>
      </c>
      <c r="X2015">
        <v>0.99827129999999997</v>
      </c>
      <c r="Y2015">
        <v>-0.10423350000000001</v>
      </c>
      <c r="Z2015">
        <v>-1.077691E-3</v>
      </c>
      <c r="AA2015">
        <v>0.99455229999999994</v>
      </c>
      <c r="AB2015">
        <v>44</v>
      </c>
      <c r="AC2015">
        <v>-25.134599999999999</v>
      </c>
      <c r="AD2015">
        <v>-1.104606205309</v>
      </c>
      <c r="AE2015">
        <v>-3.3677000000000099</v>
      </c>
      <c r="AF2015">
        <v>-2.6798022025699901</v>
      </c>
      <c r="AG2015">
        <v>-1.104606205309</v>
      </c>
      <c r="AH2015">
        <v>25.168925254352398</v>
      </c>
      <c r="AI2015">
        <v>92.498861190830596</v>
      </c>
      <c r="AJ2015">
        <v>96.077536724079494</v>
      </c>
      <c r="AK2015">
        <v>25.3352776415196</v>
      </c>
    </row>
    <row r="2016" spans="1:37" x14ac:dyDescent="0.2">
      <c r="A2016" t="str">
        <f>"20200111153437148"</f>
        <v>20200111153437148</v>
      </c>
      <c r="B2016" t="str">
        <f>"1578728077138263"</f>
        <v>1578728077138263</v>
      </c>
      <c r="C2016" t="s">
        <v>37</v>
      </c>
      <c r="D2016">
        <v>4.5735739999999998</v>
      </c>
      <c r="E2016">
        <v>0.47478229999999999</v>
      </c>
      <c r="F2016" t="s">
        <v>52</v>
      </c>
      <c r="G2016">
        <v>-460.29450000000003</v>
      </c>
      <c r="H2016" s="1">
        <v>-1.2395529999999999E-6</v>
      </c>
      <c r="I2016">
        <v>281.40199999999999</v>
      </c>
      <c r="J2016">
        <v>-434.87259999999998</v>
      </c>
      <c r="K2016">
        <v>1.1045879999999999</v>
      </c>
      <c r="L2016">
        <v>284.78250000000003</v>
      </c>
      <c r="M2016">
        <v>-0.99953060000000005</v>
      </c>
      <c r="N2016">
        <v>0</v>
      </c>
      <c r="O2016">
        <v>-2.6981390000000001E-2</v>
      </c>
      <c r="P2016">
        <v>-0.99730849999999904</v>
      </c>
      <c r="Q2016">
        <v>3.125642E-2</v>
      </c>
      <c r="R2016">
        <v>-6.6325389999999998E-2</v>
      </c>
      <c r="S2016">
        <v>-2.9861149999999999</v>
      </c>
      <c r="T2016">
        <v>-0.12848209999999999</v>
      </c>
      <c r="U2016">
        <v>-0.3939819</v>
      </c>
      <c r="V2016">
        <v>-3.9370339999999997E-2</v>
      </c>
      <c r="W2016">
        <v>4.5775919999999998E-2</v>
      </c>
      <c r="X2016">
        <v>0.99817559999999905</v>
      </c>
      <c r="Y2016">
        <v>-0.1039345</v>
      </c>
      <c r="Z2016">
        <v>-1.0704219999999999E-3</v>
      </c>
      <c r="AA2016">
        <v>0.99458349999999995</v>
      </c>
      <c r="AB2016">
        <v>44</v>
      </c>
      <c r="AC2016">
        <v>-25.421900000000001</v>
      </c>
      <c r="AD2016">
        <v>-1.1045892395529999</v>
      </c>
      <c r="AE2016">
        <v>-3.38050000000004</v>
      </c>
      <c r="AF2016">
        <v>-2.6882914731711498</v>
      </c>
      <c r="AG2016">
        <v>-1.1045892395529999</v>
      </c>
      <c r="AH2016">
        <v>25.456637792408099</v>
      </c>
      <c r="AI2016">
        <v>92.470841286223404</v>
      </c>
      <c r="AJ2016">
        <v>96.028250391051301</v>
      </c>
      <c r="AK2016">
        <v>25.622010774463501</v>
      </c>
    </row>
    <row r="2017" spans="1:37" x14ac:dyDescent="0.2">
      <c r="A2017" t="str">
        <f>"20200111153437162"</f>
        <v>20200111153437162</v>
      </c>
      <c r="B2017" t="str">
        <f>"1578728077157764"</f>
        <v>1578728077157764</v>
      </c>
      <c r="C2017" t="s">
        <v>37</v>
      </c>
      <c r="D2017">
        <v>4.5806629999999897</v>
      </c>
      <c r="E2017">
        <v>0.47492499999999999</v>
      </c>
      <c r="F2017" t="s">
        <v>52</v>
      </c>
      <c r="G2017">
        <v>-460.76429999999999</v>
      </c>
      <c r="H2017" s="1">
        <v>-9.8724710000000002E-7</v>
      </c>
      <c r="I2017">
        <v>281.34829999999999</v>
      </c>
      <c r="J2017">
        <v>-435.149</v>
      </c>
      <c r="K2017">
        <v>1.104557</v>
      </c>
      <c r="L2017">
        <v>284.77510000000001</v>
      </c>
      <c r="M2017">
        <v>-0.99953499999999995</v>
      </c>
      <c r="N2017">
        <v>0</v>
      </c>
      <c r="O2017">
        <v>-2.6814210000000002E-2</v>
      </c>
      <c r="P2017">
        <v>-0.99725129999999995</v>
      </c>
      <c r="Q2017">
        <v>3.1748850000000002E-2</v>
      </c>
      <c r="R2017">
        <v>-6.6949529999999993E-2</v>
      </c>
      <c r="S2017">
        <v>-2.985779</v>
      </c>
      <c r="T2017">
        <v>-0.1273791</v>
      </c>
      <c r="U2017">
        <v>-0.39602659999999901</v>
      </c>
      <c r="V2017">
        <v>-4.015809E-2</v>
      </c>
      <c r="W2017">
        <v>4.6270360000000003E-2</v>
      </c>
      <c r="X2017">
        <v>0.99812140000000005</v>
      </c>
      <c r="Y2017">
        <v>-0.104784899999999</v>
      </c>
      <c r="Z2017">
        <v>-1.086458E-3</v>
      </c>
      <c r="AA2017">
        <v>0.99449430000000005</v>
      </c>
      <c r="AB2017">
        <v>44</v>
      </c>
      <c r="AC2017">
        <v>-25.615299999999898</v>
      </c>
      <c r="AD2017">
        <v>-1.1045579872471001</v>
      </c>
      <c r="AE2017">
        <v>-3.4268000000000098</v>
      </c>
      <c r="AF2017">
        <v>-2.73364751211711</v>
      </c>
      <c r="AG2017">
        <v>-1.1045579872471001</v>
      </c>
      <c r="AH2017">
        <v>25.651126617826002</v>
      </c>
      <c r="AI2017">
        <v>92.451812278550904</v>
      </c>
      <c r="AJ2017">
        <v>96.083067160469696</v>
      </c>
      <c r="AK2017">
        <v>25.8200149851126</v>
      </c>
    </row>
    <row r="2018" spans="1:37" x14ac:dyDescent="0.2">
      <c r="A2018" t="str">
        <f>"20200111153437181"</f>
        <v>20200111153437181</v>
      </c>
      <c r="B2018" t="str">
        <f>"1578728077178261"</f>
        <v>1578728077178261</v>
      </c>
      <c r="C2018" t="s">
        <v>37</v>
      </c>
      <c r="D2018">
        <v>4.5747859999999996</v>
      </c>
      <c r="E2018">
        <v>0.47504849999999998</v>
      </c>
      <c r="F2018" t="s">
        <v>52</v>
      </c>
      <c r="G2018">
        <v>-460.9751</v>
      </c>
      <c r="H2018" s="1">
        <v>-8.748916E-7</v>
      </c>
      <c r="I2018">
        <v>281.34480000000002</v>
      </c>
      <c r="J2018">
        <v>-435.53230000000002</v>
      </c>
      <c r="K2018">
        <v>1.1045069999999999</v>
      </c>
      <c r="L2018">
        <v>284.76510000000002</v>
      </c>
      <c r="M2018">
        <v>-0.99954270000000001</v>
      </c>
      <c r="N2018">
        <v>0</v>
      </c>
      <c r="O2018">
        <v>-2.6530149999999999E-2</v>
      </c>
      <c r="P2018">
        <v>-0.99713989999999997</v>
      </c>
      <c r="Q2018">
        <v>3.2649930000000001E-2</v>
      </c>
      <c r="R2018">
        <v>-6.8162059999999997E-2</v>
      </c>
      <c r="S2018">
        <v>-2.9857480000000001</v>
      </c>
      <c r="T2018">
        <v>-0.1276978</v>
      </c>
      <c r="U2018">
        <v>-0.39657589999999998</v>
      </c>
      <c r="V2018">
        <v>-4.1650260000000001E-2</v>
      </c>
      <c r="W2018">
        <v>4.717441E-2</v>
      </c>
      <c r="X2018">
        <v>0.99801799999999996</v>
      </c>
      <c r="Y2018">
        <v>-0.105247699999999</v>
      </c>
      <c r="Z2018">
        <v>-1.1110989999999999E-3</v>
      </c>
      <c r="AA2018">
        <v>0.99444539999999904</v>
      </c>
      <c r="AB2018">
        <v>44</v>
      </c>
      <c r="AC2018">
        <v>-25.442799999999899</v>
      </c>
      <c r="AD2018">
        <v>-1.1045078748916</v>
      </c>
      <c r="AE2018">
        <v>-3.4202999999999899</v>
      </c>
      <c r="AF2018">
        <v>-2.7389534058937599</v>
      </c>
      <c r="AG2018">
        <v>-1.1045078748916</v>
      </c>
      <c r="AH2018">
        <v>25.477431991275001</v>
      </c>
      <c r="AI2018">
        <v>92.468151386371503</v>
      </c>
      <c r="AJ2018">
        <v>96.136021169637701</v>
      </c>
      <c r="AK2018">
        <v>25.6480280777178</v>
      </c>
    </row>
    <row r="2019" spans="1:37" x14ac:dyDescent="0.2">
      <c r="A2019" t="str">
        <f>"20200111153437193"</f>
        <v>20200111153437193</v>
      </c>
      <c r="B2019" t="str">
        <f>"1578728077188020"</f>
        <v>1578728077188020</v>
      </c>
      <c r="C2019" t="s">
        <v>37</v>
      </c>
      <c r="D2019">
        <v>4.5587839999999904</v>
      </c>
      <c r="E2019">
        <v>0.475185999999999</v>
      </c>
      <c r="F2019" t="s">
        <v>52</v>
      </c>
      <c r="G2019">
        <v>-461.41759999999999</v>
      </c>
      <c r="H2019" s="1">
        <v>-6.3754390000000004E-7</v>
      </c>
      <c r="I2019">
        <v>281.30250000000001</v>
      </c>
      <c r="J2019">
        <v>-435.78550000000001</v>
      </c>
      <c r="K2019">
        <v>1.104476</v>
      </c>
      <c r="L2019">
        <v>284.75850000000003</v>
      </c>
      <c r="M2019">
        <v>-0.9995484</v>
      </c>
      <c r="N2019">
        <v>0</v>
      </c>
      <c r="O2019">
        <v>-2.631112E-2</v>
      </c>
      <c r="P2019">
        <v>-0.99710730000000003</v>
      </c>
      <c r="Q2019">
        <v>3.2746110000000002E-2</v>
      </c>
      <c r="R2019">
        <v>-6.8592089999999994E-2</v>
      </c>
      <c r="S2019">
        <v>-2.985474</v>
      </c>
      <c r="T2019">
        <v>-0.127388</v>
      </c>
      <c r="U2019">
        <v>-0.39935300000000001</v>
      </c>
      <c r="V2019">
        <v>-4.2295840000000001E-2</v>
      </c>
      <c r="W2019">
        <v>4.7273009999999997E-2</v>
      </c>
      <c r="X2019">
        <v>0.99798609999999899</v>
      </c>
      <c r="Y2019">
        <v>-0.10638549999999999</v>
      </c>
      <c r="Z2019">
        <v>-1.1418889999999899E-3</v>
      </c>
      <c r="AA2019">
        <v>0.99432430000000005</v>
      </c>
      <c r="AB2019">
        <v>44</v>
      </c>
      <c r="AC2019">
        <v>-25.632099999999902</v>
      </c>
      <c r="AD2019">
        <v>-1.1044766375438999</v>
      </c>
      <c r="AE2019">
        <v>-3.4560000000000102</v>
      </c>
      <c r="AF2019">
        <v>-2.7752621022663</v>
      </c>
      <c r="AG2019">
        <v>-1.1044766375438999</v>
      </c>
      <c r="AH2019">
        <v>25.667359169087</v>
      </c>
      <c r="AI2019">
        <v>92.449679843238201</v>
      </c>
      <c r="AJ2019">
        <v>96.171085173208098</v>
      </c>
      <c r="AK2019">
        <v>25.8405742020968</v>
      </c>
    </row>
    <row r="2020" spans="1:37" x14ac:dyDescent="0.2">
      <c r="A2020" t="str">
        <f>"20200111153437207"</f>
        <v>20200111153437207</v>
      </c>
      <c r="B2020" t="str">
        <f>"1578728077197780"</f>
        <v>1578728077197780</v>
      </c>
      <c r="C2020" t="s">
        <v>37</v>
      </c>
      <c r="D2020">
        <v>4.5748189999999997</v>
      </c>
      <c r="E2020">
        <v>0.47526649999999998</v>
      </c>
      <c r="F2020" t="s">
        <v>52</v>
      </c>
      <c r="G2020">
        <v>-461.6465</v>
      </c>
      <c r="H2020" s="1">
        <v>-5.1556490000000003E-7</v>
      </c>
      <c r="I2020">
        <v>281.2978</v>
      </c>
      <c r="J2020">
        <v>-436.03919999999999</v>
      </c>
      <c r="K2020">
        <v>1.104441</v>
      </c>
      <c r="L2020">
        <v>284.75200000000001</v>
      </c>
      <c r="M2020">
        <v>-0.99955459999999996</v>
      </c>
      <c r="N2020">
        <v>0</v>
      </c>
      <c r="O2020">
        <v>-2.606969E-2</v>
      </c>
      <c r="P2020">
        <v>-0.99707199999999996</v>
      </c>
      <c r="Q2020">
        <v>3.3063429999999998E-2</v>
      </c>
      <c r="R2020">
        <v>-6.8950510000000007E-2</v>
      </c>
      <c r="S2020">
        <v>-2.985382</v>
      </c>
      <c r="T2020">
        <v>-0.12750039999999899</v>
      </c>
      <c r="U2020">
        <v>-0.39950559999999902</v>
      </c>
      <c r="V2020">
        <v>-4.2891449999999998E-2</v>
      </c>
      <c r="W2020">
        <v>4.7593080000000003E-2</v>
      </c>
      <c r="X2020">
        <v>0.99794550000000004</v>
      </c>
      <c r="Y2020">
        <v>-0.10667889999999999</v>
      </c>
      <c r="Z2020">
        <v>-1.159413E-3</v>
      </c>
      <c r="AA2020">
        <v>0.99429290000000004</v>
      </c>
      <c r="AB2020">
        <v>44</v>
      </c>
      <c r="AC2020">
        <v>-25.607299999999999</v>
      </c>
      <c r="AD2020">
        <v>-1.1044415155648999</v>
      </c>
      <c r="AE2020">
        <v>-3.4542000000000099</v>
      </c>
      <c r="AF2020">
        <v>-2.7803014905251402</v>
      </c>
      <c r="AG2020">
        <v>-1.1044415155648999</v>
      </c>
      <c r="AH2020">
        <v>25.641808081184202</v>
      </c>
      <c r="AI2020">
        <v>92.451960248080397</v>
      </c>
      <c r="AJ2020">
        <v>96.188316644353506</v>
      </c>
      <c r="AK2020">
        <v>25.8157353006224</v>
      </c>
    </row>
    <row r="2021" spans="1:37" x14ac:dyDescent="0.2">
      <c r="A2021" t="str">
        <f>"20200111153437221"</f>
        <v>20200111153437221</v>
      </c>
      <c r="B2021" t="str">
        <f>"1578728077218276"</f>
        <v>1578728077218276</v>
      </c>
      <c r="C2021" t="s">
        <v>37</v>
      </c>
      <c r="D2021">
        <v>4.6016570000000003</v>
      </c>
      <c r="E2021">
        <v>0.47549340000000001</v>
      </c>
      <c r="F2021" t="s">
        <v>52</v>
      </c>
      <c r="G2021">
        <v>-462.09030000000001</v>
      </c>
      <c r="H2021" s="1">
        <v>-2.7777109999999899E-7</v>
      </c>
      <c r="I2021">
        <v>281.26130000000001</v>
      </c>
      <c r="J2021">
        <v>-436.31270000000001</v>
      </c>
      <c r="K2021">
        <v>1.104401</v>
      </c>
      <c r="L2021">
        <v>284.74509999999998</v>
      </c>
      <c r="M2021">
        <v>-0.99956199999999995</v>
      </c>
      <c r="N2021">
        <v>0</v>
      </c>
      <c r="O2021">
        <v>-2.5790549999999999E-2</v>
      </c>
      <c r="P2021">
        <v>-0.99706159999999999</v>
      </c>
      <c r="Q2021">
        <v>3.324614E-2</v>
      </c>
      <c r="R2021">
        <v>-6.9013969999999994E-2</v>
      </c>
      <c r="S2021">
        <v>-2.9853519999999998</v>
      </c>
      <c r="T2021">
        <v>-0.12656419999999999</v>
      </c>
      <c r="U2021">
        <v>-0.4000244</v>
      </c>
      <c r="V2021">
        <v>-4.3229410000000003E-2</v>
      </c>
      <c r="W2021">
        <v>4.7778359999999999E-2</v>
      </c>
      <c r="X2021">
        <v>0.99792209999999903</v>
      </c>
      <c r="Y2021">
        <v>-0.107128099999999</v>
      </c>
      <c r="Z2021">
        <v>-1.1721450000000001E-3</v>
      </c>
      <c r="AA2021">
        <v>0.99424449999999998</v>
      </c>
      <c r="AB2021">
        <v>44</v>
      </c>
      <c r="AC2021">
        <v>-25.7776</v>
      </c>
      <c r="AD2021">
        <v>-1.1044012777711001</v>
      </c>
      <c r="AE2021">
        <v>-3.4837999999999698</v>
      </c>
      <c r="AF2021">
        <v>-2.8126821757537601</v>
      </c>
      <c r="AG2021">
        <v>-1.1044012777711001</v>
      </c>
      <c r="AH2021">
        <v>25.812352063148801</v>
      </c>
      <c r="AI2021">
        <v>92.435550301201204</v>
      </c>
      <c r="AJ2021">
        <v>96.218785815925699</v>
      </c>
      <c r="AK2021">
        <v>25.988620629731201</v>
      </c>
    </row>
    <row r="2022" spans="1:37" x14ac:dyDescent="0.2">
      <c r="A2022" t="str">
        <f>"20200111153437234"</f>
        <v>20200111153437234</v>
      </c>
      <c r="B2022" t="str">
        <f>"1578728077228036"</f>
        <v>1578728077228036</v>
      </c>
      <c r="C2022" t="s">
        <v>37</v>
      </c>
      <c r="D2022">
        <v>4.5833830000000004</v>
      </c>
      <c r="E2022">
        <v>0.4755489</v>
      </c>
      <c r="F2022" t="s">
        <v>52</v>
      </c>
      <c r="G2022">
        <v>-462.25</v>
      </c>
      <c r="H2022" s="1">
        <v>-1.937702E-7</v>
      </c>
      <c r="I2022">
        <v>281.28359999999998</v>
      </c>
      <c r="J2022">
        <v>-436.5958</v>
      </c>
      <c r="K2022">
        <v>1.1043609999999999</v>
      </c>
      <c r="L2022">
        <v>284.738</v>
      </c>
      <c r="M2022">
        <v>-0.99957030000000002</v>
      </c>
      <c r="N2022">
        <v>0</v>
      </c>
      <c r="O2022">
        <v>-2.546932E-2</v>
      </c>
      <c r="P2022">
        <v>-0.99705560000000004</v>
      </c>
      <c r="Q2022">
        <v>3.3284540000000001E-2</v>
      </c>
      <c r="R2022">
        <v>-6.9083439999999996E-2</v>
      </c>
      <c r="S2022">
        <v>-2.9855649999999998</v>
      </c>
      <c r="T2022">
        <v>-0.12712419999999999</v>
      </c>
      <c r="U2022">
        <v>-0.3984375</v>
      </c>
      <c r="V2022">
        <v>-4.3614750000000001E-2</v>
      </c>
      <c r="W2022">
        <v>4.7819800000000003E-2</v>
      </c>
      <c r="X2022">
        <v>0.99790330000000005</v>
      </c>
      <c r="Y2022">
        <v>-0.10691829999999999</v>
      </c>
      <c r="Z2022">
        <v>-1.1864379999999999E-3</v>
      </c>
      <c r="AA2022">
        <v>0.99426709999999996</v>
      </c>
      <c r="AB2022">
        <v>44</v>
      </c>
      <c r="AC2022">
        <v>-25.654199999999999</v>
      </c>
      <c r="AD2022">
        <v>-1.1043611937702</v>
      </c>
      <c r="AE2022">
        <v>-3.4544000000000201</v>
      </c>
      <c r="AF2022">
        <v>-2.7947285927387799</v>
      </c>
      <c r="AG2022">
        <v>-1.1043611937702</v>
      </c>
      <c r="AH2022">
        <v>25.687112823910301</v>
      </c>
      <c r="AI2022">
        <v>92.447365965213706</v>
      </c>
      <c r="AJ2022">
        <v>96.209292162306397</v>
      </c>
      <c r="AK2022">
        <v>25.862286959618899</v>
      </c>
    </row>
    <row r="2023" spans="1:37" x14ac:dyDescent="0.2">
      <c r="A2023" t="str">
        <f>"20200111153437249"</f>
        <v>20200111153437249</v>
      </c>
      <c r="B2023" t="str">
        <f>"1578728077237796"</f>
        <v>1578728077237796</v>
      </c>
      <c r="C2023" t="s">
        <v>37</v>
      </c>
      <c r="D2023">
        <v>4.5810259999999996</v>
      </c>
      <c r="E2023">
        <v>0.4756727</v>
      </c>
      <c r="F2023" t="s">
        <v>52</v>
      </c>
      <c r="G2023">
        <v>-462.54899999999998</v>
      </c>
      <c r="H2023" s="1">
        <v>-3.4438969999999999E-8</v>
      </c>
      <c r="I2023">
        <v>281.27870000000001</v>
      </c>
      <c r="J2023">
        <v>-436.85640000000001</v>
      </c>
      <c r="K2023">
        <v>1.1043270000000001</v>
      </c>
      <c r="L2023">
        <v>284.73160000000001</v>
      </c>
      <c r="M2023">
        <v>-0.99957839999999998</v>
      </c>
      <c r="N2023">
        <v>0</v>
      </c>
      <c r="O2023">
        <v>-2.5149580000000001E-2</v>
      </c>
      <c r="P2023">
        <v>-0.99704099999999996</v>
      </c>
      <c r="Q2023">
        <v>3.3089090000000002E-2</v>
      </c>
      <c r="R2023">
        <v>-6.9387270000000001E-2</v>
      </c>
      <c r="S2023">
        <v>-2.985535</v>
      </c>
      <c r="T2023">
        <v>-0.1270406</v>
      </c>
      <c r="U2023">
        <v>-0.3979492</v>
      </c>
      <c r="V2023">
        <v>-4.4233740000000001E-2</v>
      </c>
      <c r="W2023">
        <v>4.7627370000000002E-2</v>
      </c>
      <c r="X2023">
        <v>0.99788529999999998</v>
      </c>
      <c r="Y2023">
        <v>-0.1070776</v>
      </c>
      <c r="Z2023">
        <v>-1.20258E-3</v>
      </c>
      <c r="AA2023">
        <v>0.99424990000000002</v>
      </c>
      <c r="AB2023">
        <v>44</v>
      </c>
      <c r="AC2023">
        <v>-25.692599999999999</v>
      </c>
      <c r="AD2023">
        <v>-1.10432703443897</v>
      </c>
      <c r="AE2023">
        <v>-3.4529000000000001</v>
      </c>
      <c r="AF2023">
        <v>-2.80049941865094</v>
      </c>
      <c r="AG2023">
        <v>-1.10432703443897</v>
      </c>
      <c r="AH2023">
        <v>25.724637277234201</v>
      </c>
      <c r="AI2023">
        <v>92.443707604328296</v>
      </c>
      <c r="AJ2023">
        <v>96.213008247532301</v>
      </c>
      <c r="AK2023">
        <v>25.900179502044502</v>
      </c>
    </row>
    <row r="2024" spans="1:37" x14ac:dyDescent="0.2">
      <c r="A2024" t="str">
        <f>"20200111153437262"</f>
        <v>20200111153437262</v>
      </c>
      <c r="B2024" t="str">
        <f>"1578728077258292"</f>
        <v>1578728077258292</v>
      </c>
      <c r="C2024" t="s">
        <v>37</v>
      </c>
      <c r="D2024">
        <v>4.5858989999999897</v>
      </c>
      <c r="E2024">
        <v>0.47578880000000001</v>
      </c>
      <c r="F2024" t="s">
        <v>52</v>
      </c>
      <c r="G2024">
        <v>-462.74239999999998</v>
      </c>
      <c r="H2024" s="1">
        <v>6.8383359999999901E-8</v>
      </c>
      <c r="I2024">
        <v>281.28059999999999</v>
      </c>
      <c r="J2024">
        <v>-437.11079999999998</v>
      </c>
      <c r="K2024">
        <v>1.1042909999999999</v>
      </c>
      <c r="L2024">
        <v>284.72550000000001</v>
      </c>
      <c r="M2024">
        <v>-0.99958649999999905</v>
      </c>
      <c r="N2024">
        <v>0</v>
      </c>
      <c r="O2024">
        <v>-2.4822960000000002E-2</v>
      </c>
      <c r="P2024">
        <v>-0.99705059999999901</v>
      </c>
      <c r="Q2024">
        <v>3.3110689999999998E-2</v>
      </c>
      <c r="R2024">
        <v>-6.9237720000000003E-2</v>
      </c>
      <c r="S2024">
        <v>-2.9855040000000002</v>
      </c>
      <c r="T2024">
        <v>-0.12736500000000001</v>
      </c>
      <c r="U2024">
        <v>-0.39801029999999998</v>
      </c>
      <c r="V2024">
        <v>-4.440641E-2</v>
      </c>
      <c r="W2024">
        <v>4.7652140000000003E-2</v>
      </c>
      <c r="X2024">
        <v>0.9978764</v>
      </c>
      <c r="Y2024">
        <v>-0.1074228</v>
      </c>
      <c r="Z2024">
        <v>-1.226839E-3</v>
      </c>
      <c r="AA2024">
        <v>0.99421269999999995</v>
      </c>
      <c r="AB2024">
        <v>44</v>
      </c>
      <c r="AC2024">
        <v>-25.631599999999899</v>
      </c>
      <c r="AD2024">
        <v>-1.1042909316166301</v>
      </c>
      <c r="AE2024">
        <v>-3.4449000000000098</v>
      </c>
      <c r="AF2024">
        <v>-2.80240964082591</v>
      </c>
      <c r="AG2024">
        <v>-1.1042909316166301</v>
      </c>
      <c r="AH2024">
        <v>25.6624334723383</v>
      </c>
      <c r="AI2024">
        <v>92.449454588298707</v>
      </c>
      <c r="AJ2024">
        <v>96.232164579549107</v>
      </c>
      <c r="AK2024">
        <v>25.838603870542801</v>
      </c>
    </row>
    <row r="2025" spans="1:37" x14ac:dyDescent="0.2">
      <c r="A2025" t="str">
        <f>"20200111153437274"</f>
        <v>20200111153437274</v>
      </c>
      <c r="B2025" t="str">
        <f>"1578728077268052"</f>
        <v>1578728077268052</v>
      </c>
      <c r="C2025" t="s">
        <v>37</v>
      </c>
      <c r="D2025">
        <v>4.5960769999999904</v>
      </c>
      <c r="E2025">
        <v>0.47583159999999902</v>
      </c>
      <c r="F2025" t="s">
        <v>52</v>
      </c>
      <c r="G2025">
        <v>-462.93959999999998</v>
      </c>
      <c r="H2025" s="1">
        <v>1.726121E-7</v>
      </c>
      <c r="I2025">
        <v>281.29649999999998</v>
      </c>
      <c r="J2025">
        <v>-437.37389999999999</v>
      </c>
      <c r="K2025">
        <v>1.1042559999999999</v>
      </c>
      <c r="L2025">
        <v>284.7192</v>
      </c>
      <c r="M2025">
        <v>-0.99959540000000002</v>
      </c>
      <c r="N2025">
        <v>0</v>
      </c>
      <c r="O2025">
        <v>-2.4463550000000001E-2</v>
      </c>
      <c r="P2025">
        <v>-0.99708750000000002</v>
      </c>
      <c r="Q2025">
        <v>3.276159E-2</v>
      </c>
      <c r="R2025">
        <v>-6.8871260000000004E-2</v>
      </c>
      <c r="S2025">
        <v>-2.9856259999999999</v>
      </c>
      <c r="T2025">
        <v>-0.1276485</v>
      </c>
      <c r="U2025">
        <v>-0.3963623</v>
      </c>
      <c r="V2025">
        <v>-4.4394299999999998E-2</v>
      </c>
      <c r="W2025">
        <v>4.7305880000000002E-2</v>
      </c>
      <c r="X2025">
        <v>0.99789349999999999</v>
      </c>
      <c r="Y2025">
        <v>-0.107235199999999</v>
      </c>
      <c r="Z2025">
        <v>-1.240847E-3</v>
      </c>
      <c r="AA2025">
        <v>0.99423289999999998</v>
      </c>
      <c r="AB2025">
        <v>44</v>
      </c>
      <c r="AC2025">
        <v>-25.5657</v>
      </c>
      <c r="AD2025">
        <v>-1.1042558273879</v>
      </c>
      <c r="AE2025">
        <v>-3.4227000000000198</v>
      </c>
      <c r="AF2025">
        <v>-2.7910664145967998</v>
      </c>
      <c r="AG2025">
        <v>-1.1042558273879</v>
      </c>
      <c r="AH2025">
        <v>25.594877737290801</v>
      </c>
      <c r="AI2025">
        <v>92.455874843991097</v>
      </c>
      <c r="AJ2025">
        <v>96.223391022457406</v>
      </c>
      <c r="AK2025">
        <v>25.770277434476199</v>
      </c>
    </row>
    <row r="2026" spans="1:37" x14ac:dyDescent="0.2">
      <c r="A2026" t="str">
        <f>"20200111153437288"</f>
        <v>20200111153437288</v>
      </c>
      <c r="B2026" t="str">
        <f>"1578728077277812"</f>
        <v>1578728077277812</v>
      </c>
      <c r="C2026" t="s">
        <v>37</v>
      </c>
      <c r="D2026">
        <v>4.6193669999999996</v>
      </c>
      <c r="E2026">
        <v>0.47579849999999901</v>
      </c>
      <c r="F2026" t="s">
        <v>52</v>
      </c>
      <c r="G2026">
        <v>-462.97320000000002</v>
      </c>
      <c r="H2026" s="1">
        <v>1.8883700000000001E-7</v>
      </c>
      <c r="I2026">
        <v>281.33440000000002</v>
      </c>
      <c r="J2026">
        <v>-437.6234</v>
      </c>
      <c r="K2026">
        <v>1.1042209999999999</v>
      </c>
      <c r="L2026">
        <v>284.7133</v>
      </c>
      <c r="M2026">
        <v>-0.99960419999999905</v>
      </c>
      <c r="N2026">
        <v>0</v>
      </c>
      <c r="O2026">
        <v>-2.4105629999999999E-2</v>
      </c>
      <c r="P2026">
        <v>-0.99711700000000003</v>
      </c>
      <c r="Q2026">
        <v>3.2950189999999997E-2</v>
      </c>
      <c r="R2026">
        <v>-6.8353349999999993E-2</v>
      </c>
      <c r="S2026">
        <v>-2.9857179999999999</v>
      </c>
      <c r="T2026">
        <v>-0.12879260000000001</v>
      </c>
      <c r="U2026">
        <v>-0.3947754</v>
      </c>
      <c r="V2026">
        <v>-4.4228770000000001E-2</v>
      </c>
      <c r="W2026">
        <v>4.7496389999999999E-2</v>
      </c>
      <c r="X2026">
        <v>0.99789169999999905</v>
      </c>
      <c r="Y2026">
        <v>-0.10706639999999901</v>
      </c>
      <c r="Z2026">
        <v>-1.2636909999999999E-3</v>
      </c>
      <c r="AA2026">
        <v>0.99425110000000005</v>
      </c>
      <c r="AB2026">
        <v>44</v>
      </c>
      <c r="AC2026">
        <v>-25.349799999999998</v>
      </c>
      <c r="AD2026">
        <v>-1.1042208111630001</v>
      </c>
      <c r="AE2026">
        <v>-3.3788999999999798</v>
      </c>
      <c r="AF2026">
        <v>-2.7616322627879999</v>
      </c>
      <c r="AG2026">
        <v>-1.1042208111630001</v>
      </c>
      <c r="AH2026">
        <v>25.376581877954202</v>
      </c>
      <c r="AI2026">
        <v>92.4769553426474</v>
      </c>
      <c r="AJ2026">
        <v>96.210829782665897</v>
      </c>
      <c r="AK2026">
        <v>25.550280314767399</v>
      </c>
    </row>
    <row r="2027" spans="1:37" x14ac:dyDescent="0.2">
      <c r="A2027" t="str">
        <f>"20200111153437302"</f>
        <v>20200111153437302</v>
      </c>
      <c r="B2027" t="str">
        <f>"1578728077298307"</f>
        <v>1578728077298307</v>
      </c>
      <c r="C2027" t="s">
        <v>37</v>
      </c>
      <c r="D2027">
        <v>4.6219070000000002</v>
      </c>
      <c r="E2027">
        <v>0.4757613</v>
      </c>
      <c r="F2027" t="s">
        <v>52</v>
      </c>
      <c r="G2027">
        <v>-463.28519999999997</v>
      </c>
      <c r="H2027" s="1">
        <v>3.5510250000000001E-7</v>
      </c>
      <c r="I2027">
        <v>281.33</v>
      </c>
      <c r="J2027">
        <v>-437.89670000000001</v>
      </c>
      <c r="K2027">
        <v>1.104179</v>
      </c>
      <c r="L2027">
        <v>284.70699999999999</v>
      </c>
      <c r="M2027">
        <v>-0.99961390000000006</v>
      </c>
      <c r="N2027">
        <v>0</v>
      </c>
      <c r="O2027">
        <v>-2.3702029999999999E-2</v>
      </c>
      <c r="P2027">
        <v>-0.99715859999999901</v>
      </c>
      <c r="Q2027">
        <v>3.2793589999999997E-2</v>
      </c>
      <c r="R2027">
        <v>-6.7822240000000006E-2</v>
      </c>
      <c r="S2027">
        <v>-2.9859309999999999</v>
      </c>
      <c r="T2027">
        <v>-0.12848370000000001</v>
      </c>
      <c r="U2027">
        <v>-0.39367679999999999</v>
      </c>
      <c r="V2027">
        <v>-4.4096349999999999E-2</v>
      </c>
      <c r="W2027">
        <v>4.734207E-2</v>
      </c>
      <c r="X2027">
        <v>0.99790489999999998</v>
      </c>
      <c r="Y2027">
        <v>-0.107099</v>
      </c>
      <c r="Z2027">
        <v>-1.2785699999999999E-3</v>
      </c>
      <c r="AA2027">
        <v>0.99424760000000001</v>
      </c>
      <c r="AB2027">
        <v>44</v>
      </c>
      <c r="AC2027">
        <v>-25.388499999999901</v>
      </c>
      <c r="AD2027">
        <v>-1.1041786448975</v>
      </c>
      <c r="AE2027">
        <v>-3.3769999999999998</v>
      </c>
      <c r="AF2027">
        <v>-2.7690821869564699</v>
      </c>
      <c r="AG2027">
        <v>-1.1041786448975</v>
      </c>
      <c r="AH2027">
        <v>25.414181187507101</v>
      </c>
      <c r="AI2027">
        <v>92.4731658818515</v>
      </c>
      <c r="AJ2027">
        <v>96.218311927487903</v>
      </c>
      <c r="AK2027">
        <v>25.588427698266401</v>
      </c>
    </row>
    <row r="2028" spans="1:37" x14ac:dyDescent="0.2">
      <c r="A2028" t="str">
        <f>"20200111153437315"</f>
        <v>20200111153437315</v>
      </c>
      <c r="B2028" t="str">
        <f>"1578728077308067"</f>
        <v>1578728077308067</v>
      </c>
      <c r="C2028" t="s">
        <v>37</v>
      </c>
      <c r="D2028">
        <v>4.6422619999999997</v>
      </c>
      <c r="E2028">
        <v>0.47574109999999997</v>
      </c>
      <c r="F2028" t="s">
        <v>52</v>
      </c>
      <c r="G2028">
        <v>-463.24680000000001</v>
      </c>
      <c r="H2028" s="1">
        <v>3.32639799999999E-7</v>
      </c>
      <c r="I2028">
        <v>281.37560000000002</v>
      </c>
      <c r="J2028">
        <v>-438.15940000000001</v>
      </c>
      <c r="K2028">
        <v>1.104141</v>
      </c>
      <c r="L2028">
        <v>284.7011</v>
      </c>
      <c r="M2028">
        <v>-0.99962329999999999</v>
      </c>
      <c r="N2028">
        <v>0</v>
      </c>
      <c r="O2028">
        <v>-2.3298360000000001E-2</v>
      </c>
      <c r="P2028">
        <v>-0.99721909999999903</v>
      </c>
      <c r="Q2028">
        <v>3.2487479999999999E-2</v>
      </c>
      <c r="R2028">
        <v>-6.7074620000000001E-2</v>
      </c>
      <c r="S2028">
        <v>-2.9861149999999999</v>
      </c>
      <c r="T2028">
        <v>-0.13006699999999999</v>
      </c>
      <c r="U2028">
        <v>-0.39242549999999998</v>
      </c>
      <c r="V2028">
        <v>-4.37477E-2</v>
      </c>
      <c r="W2028">
        <v>4.7038190000000001E-2</v>
      </c>
      <c r="X2028">
        <v>0.9979346</v>
      </c>
      <c r="Y2028">
        <v>-0.10708089999999899</v>
      </c>
      <c r="Z2028">
        <v>-1.3113560000000001E-3</v>
      </c>
      <c r="AA2028">
        <v>0.99424950000000001</v>
      </c>
      <c r="AB2028">
        <v>44</v>
      </c>
      <c r="AC2028">
        <v>-25.087399999999999</v>
      </c>
      <c r="AD2028">
        <v>-1.1041406673601999</v>
      </c>
      <c r="AE2028">
        <v>-3.3254999999999701</v>
      </c>
      <c r="AF2028">
        <v>-2.7348343414394201</v>
      </c>
      <c r="AG2028">
        <v>-1.1041406673601999</v>
      </c>
      <c r="AH2028">
        <v>25.110276012408299</v>
      </c>
      <c r="AI2028">
        <v>92.502986504892704</v>
      </c>
      <c r="AJ2028">
        <v>96.215752721871098</v>
      </c>
      <c r="AK2028">
        <v>25.282887629931899</v>
      </c>
    </row>
    <row r="2029" spans="1:37" x14ac:dyDescent="0.2">
      <c r="A2029" t="str">
        <f>"20200111153437330"</f>
        <v>20200111153437330</v>
      </c>
      <c r="B2029" t="str">
        <f>"1578728077317828"</f>
        <v>1578728077317828</v>
      </c>
      <c r="C2029" t="s">
        <v>37</v>
      </c>
      <c r="D2029">
        <v>4.6196390000000003</v>
      </c>
      <c r="E2029">
        <v>0.4757342</v>
      </c>
      <c r="F2029" t="s">
        <v>52</v>
      </c>
      <c r="G2029">
        <v>-463.28500000000003</v>
      </c>
      <c r="H2029" s="1">
        <v>3.51182E-7</v>
      </c>
      <c r="I2029">
        <v>281.4169</v>
      </c>
      <c r="J2029">
        <v>-438.43299999999999</v>
      </c>
      <c r="K2029">
        <v>1.1041110000000001</v>
      </c>
      <c r="L2029">
        <v>284.69510000000002</v>
      </c>
      <c r="M2029">
        <v>-0.99963329999999995</v>
      </c>
      <c r="N2029">
        <v>0</v>
      </c>
      <c r="O2029">
        <v>-2.2864809999999999E-2</v>
      </c>
      <c r="P2029">
        <v>-0.9972818</v>
      </c>
      <c r="Q2029">
        <v>3.211899E-2</v>
      </c>
      <c r="R2029">
        <v>-6.6312599999999999E-2</v>
      </c>
      <c r="S2029">
        <v>-2.986389</v>
      </c>
      <c r="T2029">
        <v>-0.131236299999999</v>
      </c>
      <c r="U2029">
        <v>-0.39035029999999998</v>
      </c>
      <c r="V2029">
        <v>-4.3413930000000003E-2</v>
      </c>
      <c r="W2029">
        <v>4.6670950000000003E-2</v>
      </c>
      <c r="X2029">
        <v>0.99796649999999998</v>
      </c>
      <c r="Y2029">
        <v>-0.1068195</v>
      </c>
      <c r="Z2029">
        <v>-1.336301E-3</v>
      </c>
      <c r="AA2029">
        <v>0.99427749999999904</v>
      </c>
      <c r="AB2029">
        <v>44</v>
      </c>
      <c r="AC2029">
        <v>-24.851999999999901</v>
      </c>
      <c r="AD2029">
        <v>-1.1041106488179999</v>
      </c>
      <c r="AE2029">
        <v>-3.27820000000002</v>
      </c>
      <c r="AF2029">
        <v>-2.70380123819643</v>
      </c>
      <c r="AG2029">
        <v>-1.1041106488179999</v>
      </c>
      <c r="AH2029">
        <v>24.872211687447599</v>
      </c>
      <c r="AI2029">
        <v>92.526900016270801</v>
      </c>
      <c r="AJ2029">
        <v>96.204130839772702</v>
      </c>
      <c r="AK2029">
        <v>25.0430931732826</v>
      </c>
    </row>
    <row r="2030" spans="1:37" x14ac:dyDescent="0.2">
      <c r="A2030" t="str">
        <f>"20200111153437345"</f>
        <v>20200111153437345</v>
      </c>
      <c r="B2030" t="str">
        <f>"1578728077338323"</f>
        <v>1578728077338323</v>
      </c>
      <c r="C2030" t="s">
        <v>37</v>
      </c>
      <c r="D2030">
        <v>4.6725449999999897</v>
      </c>
      <c r="E2030">
        <v>0.47563490000000003</v>
      </c>
      <c r="F2030" t="s">
        <v>52</v>
      </c>
      <c r="G2030">
        <v>-463.14499999999998</v>
      </c>
      <c r="H2030" s="1">
        <v>2.736651E-7</v>
      </c>
      <c r="I2030">
        <v>281.48520000000002</v>
      </c>
      <c r="J2030">
        <v>-438.72649999999999</v>
      </c>
      <c r="K2030">
        <v>1.1040779999999999</v>
      </c>
      <c r="L2030">
        <v>284.68869999999998</v>
      </c>
      <c r="M2030">
        <v>-0.99964419999999898</v>
      </c>
      <c r="N2030">
        <v>0</v>
      </c>
      <c r="O2030">
        <v>-2.2390739999999999E-2</v>
      </c>
      <c r="P2030">
        <v>-0.99732269999999901</v>
      </c>
      <c r="Q2030">
        <v>3.1871389999999999E-2</v>
      </c>
      <c r="R2030">
        <v>-6.5818790000000002E-2</v>
      </c>
      <c r="S2030">
        <v>-2.98666399999999</v>
      </c>
      <c r="T2030">
        <v>-0.13344200000000001</v>
      </c>
      <c r="U2030">
        <v>-0.38793949999999999</v>
      </c>
      <c r="V2030">
        <v>-4.3390629999999999E-2</v>
      </c>
      <c r="W2030">
        <v>4.6425170000000002E-2</v>
      </c>
      <c r="X2030">
        <v>0.9979789</v>
      </c>
      <c r="Y2030">
        <v>-0.1064872</v>
      </c>
      <c r="Z2030">
        <v>-1.3723609999999999E-3</v>
      </c>
      <c r="AA2030">
        <v>0.99431309999999995</v>
      </c>
      <c r="AB2030">
        <v>44</v>
      </c>
      <c r="AC2030">
        <v>-24.418499999999899</v>
      </c>
      <c r="AD2030">
        <v>-1.1040777263349</v>
      </c>
      <c r="AE2030">
        <v>-3.20349999999996</v>
      </c>
      <c r="AF2030">
        <v>-2.6505638925963302</v>
      </c>
      <c r="AG2030">
        <v>-1.1040777263349</v>
      </c>
      <c r="AH2030">
        <v>24.435003997811201</v>
      </c>
      <c r="AI2030">
        <v>92.572040665843303</v>
      </c>
      <c r="AJ2030">
        <v>96.190899101850206</v>
      </c>
      <c r="AK2030">
        <v>24.6031277878966</v>
      </c>
    </row>
    <row r="2031" spans="1:37" x14ac:dyDescent="0.2">
      <c r="A2031" t="str">
        <f>"20200111153437358"</f>
        <v>20200111153437358</v>
      </c>
      <c r="B2031" t="str">
        <f>"1578728077348084"</f>
        <v>1578728077348084</v>
      </c>
      <c r="C2031" t="s">
        <v>37</v>
      </c>
      <c r="D2031">
        <v>4.72654</v>
      </c>
      <c r="E2031">
        <v>0.47563490000000003</v>
      </c>
      <c r="F2031" t="s">
        <v>52</v>
      </c>
      <c r="G2031">
        <v>-463.03859999999997</v>
      </c>
      <c r="H2031" s="1">
        <v>2.14788299999999E-7</v>
      </c>
      <c r="I2031">
        <v>281.5369</v>
      </c>
      <c r="J2031">
        <v>-438.99639999999999</v>
      </c>
      <c r="K2031">
        <v>1.1040490000000001</v>
      </c>
      <c r="L2031">
        <v>284.68299999999999</v>
      </c>
      <c r="M2031">
        <v>-0.99965400000000004</v>
      </c>
      <c r="N2031">
        <v>0</v>
      </c>
      <c r="O2031">
        <v>-2.1947729999999999E-2</v>
      </c>
      <c r="P2031">
        <v>-0.99737919999999902</v>
      </c>
      <c r="Q2031">
        <v>3.1656799999999999E-2</v>
      </c>
      <c r="R2031">
        <v>-6.5059420000000007E-2</v>
      </c>
      <c r="S2031">
        <v>-2.9868160000000001</v>
      </c>
      <c r="T2031">
        <v>-0.1356395</v>
      </c>
      <c r="U2031">
        <v>-0.38720700000000002</v>
      </c>
      <c r="V2031">
        <v>-4.3069839999999998E-2</v>
      </c>
      <c r="W2031">
        <v>4.6211290000000002E-2</v>
      </c>
      <c r="X2031">
        <v>0.99800279999999997</v>
      </c>
      <c r="Y2031">
        <v>-0.106678199999999</v>
      </c>
      <c r="Z2031">
        <v>-1.419214E-3</v>
      </c>
      <c r="AA2031">
        <v>0.99429259999999997</v>
      </c>
      <c r="AB2031">
        <v>44</v>
      </c>
      <c r="AC2031">
        <v>-24.042199999999902</v>
      </c>
      <c r="AD2031">
        <v>-1.10404878521169</v>
      </c>
      <c r="AE2031">
        <v>-3.1460999999999899</v>
      </c>
      <c r="AF2031">
        <v>-2.6121990562460899</v>
      </c>
      <c r="AG2031">
        <v>-1.10404878521169</v>
      </c>
      <c r="AH2031">
        <v>24.055590935256198</v>
      </c>
      <c r="AI2031">
        <v>92.612451141767593</v>
      </c>
      <c r="AJ2031">
        <v>96.197470830527607</v>
      </c>
      <c r="AK2031">
        <v>24.222179152049101</v>
      </c>
    </row>
    <row r="2032" spans="1:37" x14ac:dyDescent="0.2">
      <c r="A2032" t="str">
        <f>"20200111153437371"</f>
        <v>20200111153437371</v>
      </c>
      <c r="B2032" t="str">
        <f>"1578728077368171"</f>
        <v>1578728077368171</v>
      </c>
      <c r="C2032" t="s">
        <v>37</v>
      </c>
      <c r="D2032">
        <v>4.6941870000000003</v>
      </c>
      <c r="E2032">
        <v>0.49815419999999999</v>
      </c>
      <c r="F2032" t="s">
        <v>52</v>
      </c>
      <c r="G2032">
        <v>-463.19150000000002</v>
      </c>
      <c r="H2032" s="1">
        <v>2.9500659999999899E-7</v>
      </c>
      <c r="I2032">
        <v>281.56400000000002</v>
      </c>
      <c r="J2032">
        <v>-439.24329999999998</v>
      </c>
      <c r="K2032">
        <v>1.1040239999999999</v>
      </c>
      <c r="L2032">
        <v>284.67790000000002</v>
      </c>
      <c r="M2032">
        <v>-0.99966299999999997</v>
      </c>
      <c r="N2032">
        <v>0</v>
      </c>
      <c r="O2032">
        <v>-2.1534629999999999E-2</v>
      </c>
      <c r="P2032">
        <v>-0.99746329999999905</v>
      </c>
      <c r="Q2032">
        <v>3.1548529999999998E-2</v>
      </c>
      <c r="R2032">
        <v>-6.3811320000000005E-2</v>
      </c>
      <c r="S2032">
        <v>-2.9870909999999999</v>
      </c>
      <c r="T2032">
        <v>-0.13630429999999999</v>
      </c>
      <c r="U2032">
        <v>-0.38507079999999999</v>
      </c>
      <c r="V2032">
        <v>-4.2231049999999999E-2</v>
      </c>
      <c r="W2032">
        <v>4.6102690000000002E-2</v>
      </c>
      <c r="X2032">
        <v>0.99804359999999903</v>
      </c>
      <c r="Y2032">
        <v>-0.1063771</v>
      </c>
      <c r="Z2032">
        <v>-1.438005E-3</v>
      </c>
      <c r="AA2032">
        <v>0.99432480000000001</v>
      </c>
      <c r="AB2032">
        <v>44</v>
      </c>
      <c r="AC2032">
        <v>-23.9482</v>
      </c>
      <c r="AD2032">
        <v>-1.1040237049933901</v>
      </c>
      <c r="AE2032">
        <v>-3.1139000000000001</v>
      </c>
      <c r="AF2032">
        <v>-2.5919908655230399</v>
      </c>
      <c r="AG2032">
        <v>-1.1040237049933901</v>
      </c>
      <c r="AH2032">
        <v>23.9596353039151</v>
      </c>
      <c r="AI2032">
        <v>92.622954262784305</v>
      </c>
      <c r="AJ2032">
        <v>96.174335261938097</v>
      </c>
      <c r="AK2032">
        <v>24.124705363688001</v>
      </c>
    </row>
    <row r="2033" spans="1:37" x14ac:dyDescent="0.2">
      <c r="A2033" t="str">
        <f>"20200111153437385"</f>
        <v>20200111153437385</v>
      </c>
      <c r="B2033" t="str">
        <f>"1578728077377932"</f>
        <v>1578728077377932</v>
      </c>
      <c r="C2033" t="s">
        <v>37</v>
      </c>
      <c r="D2033">
        <v>4.6343569999999996</v>
      </c>
      <c r="E2033">
        <v>0.4994228</v>
      </c>
      <c r="F2033" t="s">
        <v>52</v>
      </c>
      <c r="G2033">
        <v>-463.74110000000002</v>
      </c>
      <c r="H2033" s="1">
        <v>5.2352270000000002E-7</v>
      </c>
      <c r="I2033">
        <v>283.02710000000002</v>
      </c>
      <c r="J2033">
        <v>-439.50889999999998</v>
      </c>
      <c r="K2033">
        <v>1.104004</v>
      </c>
      <c r="L2033">
        <v>284.67250000000001</v>
      </c>
      <c r="M2033">
        <v>-0.99967269999999897</v>
      </c>
      <c r="N2033">
        <v>0</v>
      </c>
      <c r="O2033">
        <v>-2.1088139999999998E-2</v>
      </c>
      <c r="P2033">
        <v>-0.99752529999999995</v>
      </c>
      <c r="Q2033">
        <v>3.1432700000000001E-2</v>
      </c>
      <c r="R2033">
        <v>-6.2894790000000006E-2</v>
      </c>
      <c r="S2033">
        <v>-2.998993</v>
      </c>
      <c r="T2033">
        <v>-0.1351531</v>
      </c>
      <c r="U2033">
        <v>-0.2020874</v>
      </c>
      <c r="V2033">
        <v>-4.1757269999999999E-2</v>
      </c>
      <c r="W2033">
        <v>4.5986939999999997E-2</v>
      </c>
      <c r="X2033">
        <v>0.99806890000000004</v>
      </c>
      <c r="Y2033">
        <v>-4.6149719999999998E-2</v>
      </c>
      <c r="Z2033" s="1">
        <v>-8.9508599999999999E-5</v>
      </c>
      <c r="AA2033">
        <v>0.99893449999999995</v>
      </c>
      <c r="AB2033">
        <v>44</v>
      </c>
      <c r="AC2033">
        <v>-24.232199999999999</v>
      </c>
      <c r="AD2033">
        <v>-1.1040034764772999</v>
      </c>
      <c r="AE2033">
        <v>-1.64539999999999</v>
      </c>
      <c r="AF2033">
        <v>-1.13163029030549</v>
      </c>
      <c r="AG2033">
        <v>-1.1040034764772999</v>
      </c>
      <c r="AH2033">
        <v>24.211488130974701</v>
      </c>
      <c r="AI2033">
        <v>92.607940406309794</v>
      </c>
      <c r="AJ2033">
        <v>92.676022510487996</v>
      </c>
      <c r="AK2033">
        <v>24.263049443677499</v>
      </c>
    </row>
    <row r="2034" spans="1:37" x14ac:dyDescent="0.2">
      <c r="A2034" t="str">
        <f>"20200111153437405"</f>
        <v>20200111153437405</v>
      </c>
      <c r="B2034" t="str">
        <f>"1578728077398427"</f>
        <v>1578728077398427</v>
      </c>
      <c r="C2034" t="s">
        <v>37</v>
      </c>
      <c r="D2034">
        <v>4.6795159999999996</v>
      </c>
      <c r="E2034">
        <v>0.49950249999999902</v>
      </c>
      <c r="F2034" t="s">
        <v>52</v>
      </c>
      <c r="G2034">
        <v>-464.7817</v>
      </c>
      <c r="H2034" s="1">
        <v>1.075021E-6</v>
      </c>
      <c r="I2034">
        <v>283.07830000000001</v>
      </c>
      <c r="J2034">
        <v>-439.9033</v>
      </c>
      <c r="K2034">
        <v>1.1039680000000001</v>
      </c>
      <c r="L2034">
        <v>284.66469999999998</v>
      </c>
      <c r="M2034">
        <v>-0.99968650000000003</v>
      </c>
      <c r="N2034">
        <v>0</v>
      </c>
      <c r="O2034">
        <v>-2.0419030000000001E-2</v>
      </c>
      <c r="P2034">
        <v>-0.99759609999999999</v>
      </c>
      <c r="Q2034">
        <v>3.1567989999999997E-2</v>
      </c>
      <c r="R2034">
        <v>-6.168792E-2</v>
      </c>
      <c r="S2034">
        <v>-2.999603</v>
      </c>
      <c r="T2034">
        <v>-0.13103310000000001</v>
      </c>
      <c r="U2034">
        <v>-0.18920899999999999</v>
      </c>
      <c r="V2034">
        <v>-4.1214939999999999E-2</v>
      </c>
      <c r="W2034">
        <v>4.6121750000000003E-2</v>
      </c>
      <c r="X2034">
        <v>0.99808519999999901</v>
      </c>
      <c r="Y2034">
        <v>-4.2538079999999999E-2</v>
      </c>
      <c r="Z2034" s="1">
        <v>-3.7173159999999901E-5</v>
      </c>
      <c r="AA2034">
        <v>0.99909479999999995</v>
      </c>
      <c r="AB2034">
        <v>44</v>
      </c>
      <c r="AC2034">
        <v>-24.878399999999999</v>
      </c>
      <c r="AD2034">
        <v>-1.1039669249789901</v>
      </c>
      <c r="AE2034">
        <v>-1.5863999999999601</v>
      </c>
      <c r="AF2034">
        <v>-1.07591304887131</v>
      </c>
      <c r="AG2034">
        <v>-1.1039669249789901</v>
      </c>
      <c r="AH2034">
        <v>24.856860789348801</v>
      </c>
      <c r="AI2034">
        <v>92.540628635125202</v>
      </c>
      <c r="AJ2034">
        <v>92.478463486261603</v>
      </c>
      <c r="AK2034">
        <v>24.9046152381691</v>
      </c>
    </row>
    <row r="2035" spans="1:37" x14ac:dyDescent="0.2">
      <c r="A2035" t="str">
        <f>"20200111153437419"</f>
        <v>20200111153437419</v>
      </c>
      <c r="B2035" t="str">
        <f>"1578728077408187"</f>
        <v>1578728077408187</v>
      </c>
      <c r="C2035" t="s">
        <v>37</v>
      </c>
      <c r="D2035">
        <v>4.6605829999999999</v>
      </c>
      <c r="E2035">
        <v>0.49927539999999998</v>
      </c>
      <c r="F2035" t="s">
        <v>52</v>
      </c>
      <c r="G2035">
        <v>-467.19699999999898</v>
      </c>
      <c r="H2035" s="1">
        <v>2.36461E-6</v>
      </c>
      <c r="I2035">
        <v>282.98059999999998</v>
      </c>
      <c r="J2035">
        <v>-440.18610000000001</v>
      </c>
      <c r="K2035">
        <v>1.1039540000000001</v>
      </c>
      <c r="L2035">
        <v>284.65929999999997</v>
      </c>
      <c r="M2035">
        <v>-0.99969629999999998</v>
      </c>
      <c r="N2035">
        <v>0</v>
      </c>
      <c r="O2035">
        <v>-1.9936019999999999E-2</v>
      </c>
      <c r="P2035">
        <v>-0.99762689999999998</v>
      </c>
      <c r="Q2035">
        <v>3.136013E-2</v>
      </c>
      <c r="R2035">
        <v>-6.1297890000000001E-2</v>
      </c>
      <c r="S2035">
        <v>-2.9996339999999999</v>
      </c>
      <c r="T2035">
        <v>-0.1213278</v>
      </c>
      <c r="U2035">
        <v>-0.18508910000000001</v>
      </c>
      <c r="V2035">
        <v>-4.1305759999999997E-2</v>
      </c>
      <c r="W2035">
        <v>4.5914530000000002E-2</v>
      </c>
      <c r="X2035">
        <v>0.99809099999999995</v>
      </c>
      <c r="Y2035">
        <v>-4.1656569999999997E-2</v>
      </c>
      <c r="Z2035" s="1">
        <v>-3.612001E-5</v>
      </c>
      <c r="AA2035">
        <v>0.99913200000000002</v>
      </c>
      <c r="AB2035">
        <v>44</v>
      </c>
      <c r="AC2035">
        <v>-27.0108999999999</v>
      </c>
      <c r="AD2035">
        <v>-1.1039516353900001</v>
      </c>
      <c r="AE2035">
        <v>-1.6786999999999901</v>
      </c>
      <c r="AF2035">
        <v>-1.1379264600552901</v>
      </c>
      <c r="AG2035">
        <v>-1.1039516353900001</v>
      </c>
      <c r="AH2035">
        <v>26.9940831978749</v>
      </c>
      <c r="AI2035">
        <v>92.339790927610096</v>
      </c>
      <c r="AJ2035">
        <v>92.413855091513298</v>
      </c>
      <c r="AK2035">
        <v>27.0406012051427</v>
      </c>
    </row>
    <row r="2036" spans="1:37" x14ac:dyDescent="0.2">
      <c r="A2036" t="str">
        <f>"20200111153437435"</f>
        <v>20200111153437435</v>
      </c>
      <c r="B2036" t="str">
        <f>"1578728077428685"</f>
        <v>1578728077428685</v>
      </c>
      <c r="C2036" t="s">
        <v>37</v>
      </c>
      <c r="D2036">
        <v>4.6090679999999997</v>
      </c>
      <c r="E2036">
        <v>0.49861919999999998</v>
      </c>
      <c r="F2036" t="s">
        <v>52</v>
      </c>
      <c r="G2036">
        <v>-467.76319999999998</v>
      </c>
      <c r="H2036" s="1">
        <v>2.6670389999999899E-6</v>
      </c>
      <c r="I2036">
        <v>282.9545</v>
      </c>
      <c r="J2036">
        <v>-440.48079999999999</v>
      </c>
      <c r="K2036">
        <v>1.103945</v>
      </c>
      <c r="L2036">
        <v>284.65379999999999</v>
      </c>
      <c r="M2036">
        <v>-0.99970599999999998</v>
      </c>
      <c r="N2036">
        <v>0</v>
      </c>
      <c r="O2036">
        <v>-1.9430989999999999E-2</v>
      </c>
      <c r="P2036">
        <v>-0.99765999999999999</v>
      </c>
      <c r="Q2036">
        <v>3.1365799999999999E-2</v>
      </c>
      <c r="R2036">
        <v>-6.0749999999999998E-2</v>
      </c>
      <c r="S2036">
        <v>-2.9994809999999998</v>
      </c>
      <c r="T2036">
        <v>-0.12007370000000001</v>
      </c>
      <c r="U2036">
        <v>-0.185424799999999</v>
      </c>
      <c r="V2036">
        <v>-4.1260539999999998E-2</v>
      </c>
      <c r="W2036">
        <v>4.591978E-2</v>
      </c>
      <c r="X2036">
        <v>0.99809269999999894</v>
      </c>
      <c r="Y2036">
        <v>-4.227529E-2</v>
      </c>
      <c r="Z2036" s="1">
        <v>-6.8298769999999894E-5</v>
      </c>
      <c r="AA2036">
        <v>0.99910599999999905</v>
      </c>
      <c r="AB2036">
        <v>43</v>
      </c>
      <c r="AC2036">
        <v>-27.282399999999999</v>
      </c>
      <c r="AD2036">
        <v>-1.1039423329610001</v>
      </c>
      <c r="AE2036">
        <v>-1.69929999999999</v>
      </c>
      <c r="AF2036">
        <v>-1.1668961263603499</v>
      </c>
      <c r="AG2036">
        <v>-1.1039423329610001</v>
      </c>
      <c r="AH2036">
        <v>27.2658008561191</v>
      </c>
      <c r="AI2036">
        <v>92.316416719306005</v>
      </c>
      <c r="AJ2036">
        <v>92.450595506355697</v>
      </c>
      <c r="AK2036">
        <v>27.313078031773699</v>
      </c>
    </row>
    <row r="2037" spans="1:37" x14ac:dyDescent="0.2">
      <c r="A2037" t="str">
        <f>"20200111153437449"</f>
        <v>20200111153437449</v>
      </c>
      <c r="B2037" t="str">
        <f>"1578728077438200"</f>
        <v>1578728077438200</v>
      </c>
      <c r="C2037" t="s">
        <v>37</v>
      </c>
      <c r="D2037">
        <v>4.6381290000000002</v>
      </c>
      <c r="E2037">
        <v>0.498332</v>
      </c>
      <c r="F2037" t="s">
        <v>52</v>
      </c>
      <c r="G2037">
        <v>-468.88060000000002</v>
      </c>
      <c r="H2037" s="1">
        <v>3.2656670000000001E-6</v>
      </c>
      <c r="I2037">
        <v>282.863</v>
      </c>
      <c r="J2037">
        <v>-440.75150000000002</v>
      </c>
      <c r="K2037">
        <v>1.103934</v>
      </c>
      <c r="L2037">
        <v>284.64879999999999</v>
      </c>
      <c r="M2037">
        <v>-0.99971509999999997</v>
      </c>
      <c r="N2037">
        <v>0</v>
      </c>
      <c r="O2037">
        <v>-1.8966529999999999E-2</v>
      </c>
      <c r="P2037">
        <v>-0.99769039999999998</v>
      </c>
      <c r="Q2037">
        <v>3.1356519999999999E-2</v>
      </c>
      <c r="R2037">
        <v>-6.025399E-2</v>
      </c>
      <c r="S2037">
        <v>-2.9992070000000002</v>
      </c>
      <c r="T2037">
        <v>-0.1165836</v>
      </c>
      <c r="U2037">
        <v>-0.18911739999999999</v>
      </c>
      <c r="V2037">
        <v>-4.1226289999999999E-2</v>
      </c>
      <c r="W2037">
        <v>4.5910260000000001E-2</v>
      </c>
      <c r="X2037">
        <v>0.9980945</v>
      </c>
      <c r="Y2037">
        <v>-4.3969800000000003E-2</v>
      </c>
      <c r="Z2037">
        <v>-1.17233899999999E-4</v>
      </c>
      <c r="AA2037">
        <v>0.9990329</v>
      </c>
      <c r="AB2037">
        <v>43</v>
      </c>
      <c r="AC2037">
        <v>-28.129099999999902</v>
      </c>
      <c r="AD2037">
        <v>-1.103930734333</v>
      </c>
      <c r="AE2037">
        <v>-1.7857999999999901</v>
      </c>
      <c r="AF2037">
        <v>-1.2499937683651099</v>
      </c>
      <c r="AG2037">
        <v>-1.103930734333</v>
      </c>
      <c r="AH2037">
        <v>28.114784984625601</v>
      </c>
      <c r="AI2037">
        <v>92.2463543837126</v>
      </c>
      <c r="AJ2037">
        <v>92.5457150992587</v>
      </c>
      <c r="AK2037">
        <v>28.164202140640999</v>
      </c>
    </row>
    <row r="2038" spans="1:37" x14ac:dyDescent="0.2">
      <c r="A2038" t="str">
        <f>"20200111153437462"</f>
        <v>20200111153437462</v>
      </c>
      <c r="B2038" t="str">
        <f>"1578728077458227"</f>
        <v>1578728077458227</v>
      </c>
      <c r="C2038" t="s">
        <v>37</v>
      </c>
      <c r="D2038">
        <v>4.6450589999999998</v>
      </c>
      <c r="E2038">
        <v>0.49801469999999998</v>
      </c>
      <c r="F2038" t="s">
        <v>52</v>
      </c>
      <c r="G2038">
        <v>-469.44799999999998</v>
      </c>
      <c r="H2038" s="1">
        <v>3.568943E-6</v>
      </c>
      <c r="I2038">
        <v>282.83260000000001</v>
      </c>
      <c r="J2038">
        <v>-441.00150000000002</v>
      </c>
      <c r="K2038">
        <v>1.103928</v>
      </c>
      <c r="L2038">
        <v>284.64440000000002</v>
      </c>
      <c r="M2038">
        <v>-0.99972329999999998</v>
      </c>
      <c r="N2038">
        <v>0</v>
      </c>
      <c r="O2038">
        <v>-1.8537379999999999E-2</v>
      </c>
      <c r="P2038">
        <v>-0.99770609999999904</v>
      </c>
      <c r="Q2038">
        <v>3.1597050000000002E-2</v>
      </c>
      <c r="R2038">
        <v>-5.9871130000000002E-2</v>
      </c>
      <c r="S2038">
        <v>-2.9991150000000002</v>
      </c>
      <c r="T2038">
        <v>-0.11537360000000001</v>
      </c>
      <c r="U2038">
        <v>-0.1898193</v>
      </c>
      <c r="V2038">
        <v>-4.1270569999999999E-2</v>
      </c>
      <c r="W2038">
        <v>4.6149849999999999E-2</v>
      </c>
      <c r="X2038">
        <v>0.99808159999999901</v>
      </c>
      <c r="Y2038">
        <v>-4.4633020000000002E-2</v>
      </c>
      <c r="Z2038">
        <v>-1.4524159999999999E-4</v>
      </c>
      <c r="AA2038">
        <v>0.99900339999999999</v>
      </c>
      <c r="AB2038">
        <v>43</v>
      </c>
      <c r="AC2038">
        <v>-28.4465</v>
      </c>
      <c r="AD2038">
        <v>-1.103924431057</v>
      </c>
      <c r="AE2038">
        <v>-1.8118000000000001</v>
      </c>
      <c r="AF2038">
        <v>-1.2821865797573599</v>
      </c>
      <c r="AG2038">
        <v>-1.103924431057</v>
      </c>
      <c r="AH2038">
        <v>28.432554464589199</v>
      </c>
      <c r="AI2038">
        <v>92.221198170269602</v>
      </c>
      <c r="AJ2038">
        <v>92.582045205561101</v>
      </c>
      <c r="AK2038">
        <v>28.482851067907902</v>
      </c>
    </row>
    <row r="2039" spans="1:37" x14ac:dyDescent="0.2">
      <c r="A2039" t="str">
        <f>"20200111153437485"</f>
        <v>20200111153437485</v>
      </c>
      <c r="B2039" t="str">
        <f>"1578728077477746"</f>
        <v>1578728077477746</v>
      </c>
      <c r="C2039" t="s">
        <v>37</v>
      </c>
      <c r="D2039">
        <v>4.631157</v>
      </c>
      <c r="E2039">
        <v>0.4976875</v>
      </c>
      <c r="F2039" t="s">
        <v>50</v>
      </c>
      <c r="G2039">
        <v>-470.29730000000001</v>
      </c>
      <c r="H2039" s="1">
        <v>6.321463E-6</v>
      </c>
      <c r="I2039">
        <v>282.77699999999999</v>
      </c>
      <c r="J2039">
        <v>-441.44720000000001</v>
      </c>
      <c r="K2039">
        <v>1.1039190000000001</v>
      </c>
      <c r="L2039">
        <v>284.63679999999999</v>
      </c>
      <c r="M2039">
        <v>-0.99973709999999905</v>
      </c>
      <c r="N2039">
        <v>0</v>
      </c>
      <c r="O2039">
        <v>-1.777165E-2</v>
      </c>
      <c r="P2039">
        <v>-0.99773080000000003</v>
      </c>
      <c r="Q2039">
        <v>3.134584E-2</v>
      </c>
      <c r="R2039">
        <v>-5.9587910000000001E-2</v>
      </c>
      <c r="S2039">
        <v>-2.998993</v>
      </c>
      <c r="T2039">
        <v>-0.11300779999999901</v>
      </c>
      <c r="U2039">
        <v>-0.1911621</v>
      </c>
      <c r="V2039">
        <v>-4.1751249999999997E-2</v>
      </c>
      <c r="W2039">
        <v>4.589882E-2</v>
      </c>
      <c r="X2039">
        <v>0.99807319999999999</v>
      </c>
      <c r="Y2039">
        <v>-4.5845589999999999E-2</v>
      </c>
      <c r="Z2039">
        <v>-1.9389059999999999E-4</v>
      </c>
      <c r="AA2039">
        <v>0.99894850000000002</v>
      </c>
      <c r="AB2039">
        <v>43</v>
      </c>
      <c r="AC2039">
        <v>-28.850100000000001</v>
      </c>
      <c r="AD2039">
        <v>-1.1039126785369999</v>
      </c>
      <c r="AE2039">
        <v>-1.8597999999999999</v>
      </c>
      <c r="AF2039">
        <v>-1.3447777667871501</v>
      </c>
      <c r="AG2039">
        <v>-1.1039126785369999</v>
      </c>
      <c r="AH2039">
        <v>28.836552715565102</v>
      </c>
      <c r="AI2039">
        <v>92.189932465249299</v>
      </c>
      <c r="AJ2039">
        <v>92.670024687420394</v>
      </c>
      <c r="AK2039">
        <v>28.888991380133799</v>
      </c>
    </row>
    <row r="2040" spans="1:37" x14ac:dyDescent="0.2">
      <c r="A2040" t="str">
        <f>"20200111153437506"</f>
        <v>20200111153437506</v>
      </c>
      <c r="B2040" t="str">
        <f>"1578728077498242"</f>
        <v>1578728077498242</v>
      </c>
      <c r="C2040" t="s">
        <v>37</v>
      </c>
      <c r="D2040">
        <v>4.6508229999999999</v>
      </c>
      <c r="E2040">
        <v>0.49746940000000001</v>
      </c>
      <c r="F2040" t="s">
        <v>50</v>
      </c>
      <c r="G2040">
        <v>-470.62569999999999</v>
      </c>
      <c r="H2040" s="1">
        <v>6.1742229999999997E-6</v>
      </c>
      <c r="I2040">
        <v>282.75869999999998</v>
      </c>
      <c r="J2040">
        <v>-441.8596</v>
      </c>
      <c r="K2040">
        <v>1.1039099999999999</v>
      </c>
      <c r="L2040">
        <v>284.63</v>
      </c>
      <c r="M2040">
        <v>-0.99974949999999996</v>
      </c>
      <c r="N2040">
        <v>0</v>
      </c>
      <c r="O2040">
        <v>-1.7063419999999999E-2</v>
      </c>
      <c r="P2040">
        <v>-0.9977509</v>
      </c>
      <c r="Q2040">
        <v>3.0759649999999999E-2</v>
      </c>
      <c r="R2040">
        <v>-5.9558989999999999E-2</v>
      </c>
      <c r="S2040">
        <v>-2.9988709999999998</v>
      </c>
      <c r="T2040">
        <v>-0.1134565</v>
      </c>
      <c r="U2040">
        <v>-0.19302369999999999</v>
      </c>
      <c r="V2040">
        <v>-4.2429139999999997E-2</v>
      </c>
      <c r="W2040">
        <v>4.531197E-2</v>
      </c>
      <c r="X2040">
        <v>0.99807139999999905</v>
      </c>
      <c r="Y2040">
        <v>-4.7171780000000003E-2</v>
      </c>
      <c r="Z2040">
        <v>-2.4646599999999998E-4</v>
      </c>
      <c r="AA2040">
        <v>0.99888679999999996</v>
      </c>
      <c r="AB2040">
        <v>43</v>
      </c>
      <c r="AC2040">
        <v>-28.766099999999899</v>
      </c>
      <c r="AD2040">
        <v>-1.103903825777</v>
      </c>
      <c r="AE2040">
        <v>-1.87130000000001</v>
      </c>
      <c r="AF2040">
        <v>-1.37810703869426</v>
      </c>
      <c r="AG2040">
        <v>-1.103903825777</v>
      </c>
      <c r="AH2040">
        <v>28.751682336321501</v>
      </c>
      <c r="AI2040">
        <v>92.196238633328093</v>
      </c>
      <c r="AJ2040">
        <v>92.744164031544102</v>
      </c>
      <c r="AK2040">
        <v>28.805850444578201</v>
      </c>
    </row>
    <row r="2041" spans="1:37" x14ac:dyDescent="0.2">
      <c r="A2041" t="str">
        <f>"20200111153437527"</f>
        <v>20200111153437527</v>
      </c>
      <c r="B2041" t="str">
        <f>"1578728077518739"</f>
        <v>1578728077518739</v>
      </c>
      <c r="C2041" t="s">
        <v>37</v>
      </c>
      <c r="D2041">
        <v>4.6627939999999999</v>
      </c>
      <c r="E2041">
        <v>0.49723620000000002</v>
      </c>
      <c r="F2041" t="s">
        <v>50</v>
      </c>
      <c r="G2041">
        <v>-470.60660000000001</v>
      </c>
      <c r="H2041" s="1">
        <v>6.1833389999999998E-6</v>
      </c>
      <c r="I2041">
        <v>282.76580000000001</v>
      </c>
      <c r="J2041">
        <v>-442.27820000000003</v>
      </c>
      <c r="K2041">
        <v>1.103898</v>
      </c>
      <c r="L2041">
        <v>284.62349999999998</v>
      </c>
      <c r="M2041">
        <v>-0.99976149999999997</v>
      </c>
      <c r="N2041">
        <v>0</v>
      </c>
      <c r="O2041">
        <v>-1.6343549999999998E-2</v>
      </c>
      <c r="P2041">
        <v>-0.99773539999999905</v>
      </c>
      <c r="Q2041">
        <v>3.085017E-2</v>
      </c>
      <c r="R2041">
        <v>-5.9769410000000002E-2</v>
      </c>
      <c r="S2041">
        <v>-2.9987180000000002</v>
      </c>
      <c r="T2041">
        <v>-0.11515259999999999</v>
      </c>
      <c r="U2041">
        <v>-0.19445799999999999</v>
      </c>
      <c r="V2041">
        <v>-4.3357449999999999E-2</v>
      </c>
      <c r="W2041">
        <v>4.540247E-2</v>
      </c>
      <c r="X2041">
        <v>0.99802739999999901</v>
      </c>
      <c r="Y2041">
        <v>-4.8367979999999998E-2</v>
      </c>
      <c r="Z2041">
        <v>-3.006897E-4</v>
      </c>
      <c r="AA2041">
        <v>0.99882950000000004</v>
      </c>
      <c r="AB2041">
        <v>43</v>
      </c>
      <c r="AC2041">
        <v>-28.328399999999899</v>
      </c>
      <c r="AD2041">
        <v>-1.1038918166609999</v>
      </c>
      <c r="AE2041">
        <v>-1.8576999999999599</v>
      </c>
      <c r="AF2041">
        <v>-1.3923114771393199</v>
      </c>
      <c r="AG2041">
        <v>-1.1038918166609999</v>
      </c>
      <c r="AH2041">
        <v>28.312172763251901</v>
      </c>
      <c r="AI2041">
        <v>92.230139522433802</v>
      </c>
      <c r="AJ2041">
        <v>92.815374056489304</v>
      </c>
      <c r="AK2041">
        <v>28.367873289488799</v>
      </c>
    </row>
    <row r="2042" spans="1:37" x14ac:dyDescent="0.2">
      <c r="A2042" t="str">
        <f>"20200111153437549"</f>
        <v>20200111153437549</v>
      </c>
      <c r="B2042" t="str">
        <f>"1578728077538258"</f>
        <v>1578728077538258</v>
      </c>
      <c r="C2042" t="s">
        <v>37</v>
      </c>
      <c r="D2042">
        <v>4.600924</v>
      </c>
      <c r="E2042">
        <v>0.49719859999999999</v>
      </c>
      <c r="F2042" t="s">
        <v>50</v>
      </c>
      <c r="G2042">
        <v>-470.85509999999999</v>
      </c>
      <c r="H2042" s="1">
        <v>6.0715199999999898E-6</v>
      </c>
      <c r="I2042">
        <v>282.7473</v>
      </c>
      <c r="J2042">
        <v>-442.71550000000002</v>
      </c>
      <c r="K2042">
        <v>1.103893</v>
      </c>
      <c r="L2042">
        <v>284.61700000000002</v>
      </c>
      <c r="M2042">
        <v>-0.99977369999999899</v>
      </c>
      <c r="N2042">
        <v>0</v>
      </c>
      <c r="O2042">
        <v>-1.559175E-2</v>
      </c>
      <c r="P2042">
        <v>-0.99774019999999997</v>
      </c>
      <c r="Q2042">
        <v>3.0565930000000002E-2</v>
      </c>
      <c r="R2042">
        <v>-5.9840360000000002E-2</v>
      </c>
      <c r="S2042">
        <v>-2.9986269999999999</v>
      </c>
      <c r="T2042">
        <v>-0.11583350000000001</v>
      </c>
      <c r="U2042">
        <v>-0.19686889999999899</v>
      </c>
      <c r="V2042">
        <v>-4.4179410000000002E-2</v>
      </c>
      <c r="W2042">
        <v>4.5117619999999997E-2</v>
      </c>
      <c r="X2042">
        <v>0.99800429999999996</v>
      </c>
      <c r="Y2042">
        <v>-4.9918650000000002E-2</v>
      </c>
      <c r="Z2042">
        <v>-3.6136760000000001E-4</v>
      </c>
      <c r="AA2042">
        <v>0.99875319999999901</v>
      </c>
      <c r="AB2042">
        <v>43</v>
      </c>
      <c r="AC2042">
        <v>-28.139599999999898</v>
      </c>
      <c r="AD2042">
        <v>-1.1038869284799999</v>
      </c>
      <c r="AE2042">
        <v>-1.8697000000000199</v>
      </c>
      <c r="AF2042">
        <v>-1.42849245223826</v>
      </c>
      <c r="AG2042">
        <v>-1.1038869284799999</v>
      </c>
      <c r="AH2042">
        <v>28.122246220880001</v>
      </c>
      <c r="AI2042">
        <v>92.244994693433895</v>
      </c>
      <c r="AJ2042">
        <v>92.907886617063795</v>
      </c>
      <c r="AK2042">
        <v>28.180132887280202</v>
      </c>
    </row>
    <row r="2043" spans="1:37" x14ac:dyDescent="0.2">
      <c r="A2043" t="str">
        <f>"20200111153437564"</f>
        <v>20200111153437564</v>
      </c>
      <c r="B2043" t="str">
        <f>"1578728077557779"</f>
        <v>1578728077557779</v>
      </c>
      <c r="C2043" t="s">
        <v>37</v>
      </c>
      <c r="D2043">
        <v>4.6324699999999996</v>
      </c>
      <c r="E2043">
        <v>0.49718699999999999</v>
      </c>
      <c r="F2043" t="s">
        <v>50</v>
      </c>
      <c r="G2043">
        <v>-471.17039999999997</v>
      </c>
      <c r="H2043" s="1">
        <v>5.9315930000000001E-6</v>
      </c>
      <c r="I2043">
        <v>282.74610000000001</v>
      </c>
      <c r="J2043">
        <v>-442.99770000000001</v>
      </c>
      <c r="K2043">
        <v>1.1038939999999999</v>
      </c>
      <c r="L2043">
        <v>284.61290000000002</v>
      </c>
      <c r="M2043">
        <v>-0.99978099999999903</v>
      </c>
      <c r="N2043">
        <v>0</v>
      </c>
      <c r="O2043">
        <v>-1.510594E-2</v>
      </c>
      <c r="P2043">
        <v>-0.99773339999999999</v>
      </c>
      <c r="Q2043">
        <v>3.074727E-2</v>
      </c>
      <c r="R2043">
        <v>-5.9855600000000002E-2</v>
      </c>
      <c r="S2043">
        <v>-2.9984739999999999</v>
      </c>
      <c r="T2043">
        <v>-0.1163235</v>
      </c>
      <c r="U2043">
        <v>-0.1971436</v>
      </c>
      <c r="V2043">
        <v>-4.4679190000000001E-2</v>
      </c>
      <c r="W2043">
        <v>4.5298159999999997E-2</v>
      </c>
      <c r="X2043">
        <v>0.99797389999999997</v>
      </c>
      <c r="Y2043">
        <v>-5.0497350000000003E-2</v>
      </c>
      <c r="Z2043">
        <v>-3.9293550000000003E-4</v>
      </c>
      <c r="AA2043">
        <v>0.9987241</v>
      </c>
      <c r="AB2043">
        <v>43</v>
      </c>
      <c r="AC2043">
        <v>-28.172699999999899</v>
      </c>
      <c r="AD2043">
        <v>-1.103888068407</v>
      </c>
      <c r="AE2043">
        <v>-1.86680000000001</v>
      </c>
      <c r="AF2043">
        <v>-1.4387679101151301</v>
      </c>
      <c r="AG2043">
        <v>-1.103888068407</v>
      </c>
      <c r="AH2043">
        <v>28.154650653086399</v>
      </c>
      <c r="AI2043">
        <v>92.242380891379995</v>
      </c>
      <c r="AJ2043">
        <v>92.925402403151907</v>
      </c>
      <c r="AK2043">
        <v>28.212993023854899</v>
      </c>
    </row>
    <row r="2044" spans="1:37" x14ac:dyDescent="0.2">
      <c r="A2044" t="str">
        <f>"20200111153437577"</f>
        <v>20200111153437577</v>
      </c>
      <c r="B2044" t="str">
        <f>"1578728077568514"</f>
        <v>1578728077568514</v>
      </c>
      <c r="C2044" t="s">
        <v>37</v>
      </c>
      <c r="D2044">
        <v>4.6074279999999996</v>
      </c>
      <c r="E2044">
        <v>0.49722329999999998</v>
      </c>
      <c r="F2044" t="s">
        <v>50</v>
      </c>
      <c r="G2044">
        <v>-471.48739999999998</v>
      </c>
      <c r="H2044" s="1">
        <v>5.790207E-6</v>
      </c>
      <c r="I2044">
        <v>282.73700000000002</v>
      </c>
      <c r="J2044">
        <v>-443.25020000000001</v>
      </c>
      <c r="K2044">
        <v>1.1038939999999999</v>
      </c>
      <c r="L2044">
        <v>284.60939999999999</v>
      </c>
      <c r="M2044">
        <v>-0.9997876</v>
      </c>
      <c r="N2044">
        <v>0</v>
      </c>
      <c r="O2044">
        <v>-1.467129E-2</v>
      </c>
      <c r="P2044">
        <v>-0.99773630000000002</v>
      </c>
      <c r="Q2044">
        <v>3.059311E-2</v>
      </c>
      <c r="R2044">
        <v>-5.9889829999999998E-2</v>
      </c>
      <c r="S2044">
        <v>-2.998596</v>
      </c>
      <c r="T2044">
        <v>-0.1161864</v>
      </c>
      <c r="U2044">
        <v>-0.1974487</v>
      </c>
      <c r="V2044">
        <v>-4.5147760000000002E-2</v>
      </c>
      <c r="W2044">
        <v>4.5143820000000001E-2</v>
      </c>
      <c r="X2044">
        <v>0.99795979999999995</v>
      </c>
      <c r="Y2044">
        <v>-5.1029409999999997E-2</v>
      </c>
      <c r="Z2044">
        <v>-4.1956190000000003E-4</v>
      </c>
      <c r="AA2044">
        <v>0.99869699999999995</v>
      </c>
      <c r="AB2044">
        <v>43</v>
      </c>
      <c r="AC2044">
        <v>-28.237199999999898</v>
      </c>
      <c r="AD2044">
        <v>-1.1038882097930001</v>
      </c>
      <c r="AE2044">
        <v>-1.8723999999999701</v>
      </c>
      <c r="AF2044">
        <v>-1.45566393547616</v>
      </c>
      <c r="AG2044">
        <v>-1.1038882097930001</v>
      </c>
      <c r="AH2044">
        <v>28.218695948279901</v>
      </c>
      <c r="AI2044">
        <v>92.237241782523995</v>
      </c>
      <c r="AJ2044">
        <v>92.952990404913095</v>
      </c>
      <c r="AK2044">
        <v>28.277770910986501</v>
      </c>
    </row>
    <row r="2045" spans="1:37" x14ac:dyDescent="0.2">
      <c r="A2045" t="str">
        <f>"20200111153437591"</f>
        <v>20200111153437591</v>
      </c>
      <c r="B2045" t="str">
        <f>"1578728077588034"</f>
        <v>1578728077588034</v>
      </c>
      <c r="C2045" t="s">
        <v>37</v>
      </c>
      <c r="D2045">
        <v>4.5784940000000001</v>
      </c>
      <c r="E2045">
        <v>0.49724600000000002</v>
      </c>
      <c r="F2045" t="s">
        <v>50</v>
      </c>
      <c r="G2045">
        <v>-471.72390000000001</v>
      </c>
      <c r="H2045" s="1">
        <v>5.685408E-6</v>
      </c>
      <c r="I2045">
        <v>282.73790000000002</v>
      </c>
      <c r="J2045">
        <v>-443.50990000000002</v>
      </c>
      <c r="K2045">
        <v>1.103891</v>
      </c>
      <c r="L2045">
        <v>284.60599999999999</v>
      </c>
      <c r="M2045">
        <v>-0.99979409999999902</v>
      </c>
      <c r="N2045">
        <v>0</v>
      </c>
      <c r="O2045">
        <v>-1.4223649999999999E-2</v>
      </c>
      <c r="P2045">
        <v>-0.99773159999999905</v>
      </c>
      <c r="Q2045">
        <v>3.067576E-2</v>
      </c>
      <c r="R2045">
        <v>-5.9923169999999998E-2</v>
      </c>
      <c r="S2045">
        <v>-2.9985659999999998</v>
      </c>
      <c r="T2045">
        <v>-0.11625050000000001</v>
      </c>
      <c r="U2045">
        <v>-0.19708249999999999</v>
      </c>
      <c r="V2045">
        <v>-4.5627729999999998E-2</v>
      </c>
      <c r="W2045">
        <v>4.5225750000000002E-2</v>
      </c>
      <c r="X2045">
        <v>0.99793419999999899</v>
      </c>
      <c r="Y2045">
        <v>-5.135518E-2</v>
      </c>
      <c r="Z2045">
        <v>-4.434304E-4</v>
      </c>
      <c r="AA2045">
        <v>0.99868040000000002</v>
      </c>
      <c r="AB2045">
        <v>43</v>
      </c>
      <c r="AC2045">
        <v>-28.213999999999999</v>
      </c>
      <c r="AD2045">
        <v>-1.103885314592</v>
      </c>
      <c r="AE2045">
        <v>-1.8680999999999699</v>
      </c>
      <c r="AF2045">
        <v>-1.46433107315175</v>
      </c>
      <c r="AG2045">
        <v>-1.103885314592</v>
      </c>
      <c r="AH2045">
        <v>28.194747080701202</v>
      </c>
      <c r="AI2045">
        <v>92.239093759749693</v>
      </c>
      <c r="AJ2045">
        <v>92.973060024057403</v>
      </c>
      <c r="AK2045">
        <v>28.254319868372001</v>
      </c>
    </row>
    <row r="2046" spans="1:37" x14ac:dyDescent="0.2">
      <c r="A2046" t="str">
        <f>"20200111153437604"</f>
        <v>20200111153437604</v>
      </c>
      <c r="B2046" t="str">
        <f>"1578728077598770"</f>
        <v>1578728077598770</v>
      </c>
      <c r="C2046" t="s">
        <v>37</v>
      </c>
      <c r="D2046">
        <v>4.6103839999999998</v>
      </c>
      <c r="E2046">
        <v>0.49723829999999902</v>
      </c>
      <c r="F2046" t="s">
        <v>50</v>
      </c>
      <c r="G2046">
        <v>-472.04169999999999</v>
      </c>
      <c r="H2046" s="1">
        <v>5.5442049999999997E-6</v>
      </c>
      <c r="I2046">
        <v>282.73450000000003</v>
      </c>
      <c r="J2046">
        <v>-443.7722</v>
      </c>
      <c r="K2046">
        <v>1.1038920000000001</v>
      </c>
      <c r="L2046">
        <v>284.6026</v>
      </c>
      <c r="M2046">
        <v>-0.99980029999999998</v>
      </c>
      <c r="N2046">
        <v>0</v>
      </c>
      <c r="O2046">
        <v>-1.3772110000000001E-2</v>
      </c>
      <c r="P2046">
        <v>-0.99772909999999904</v>
      </c>
      <c r="Q2046">
        <v>3.0857289999999999E-2</v>
      </c>
      <c r="R2046">
        <v>-5.9871250000000001E-2</v>
      </c>
      <c r="S2046">
        <v>-2.9985659999999998</v>
      </c>
      <c r="T2046">
        <v>-0.11601359999999999</v>
      </c>
      <c r="U2046">
        <v>-0.19668579999999999</v>
      </c>
      <c r="V2046">
        <v>-4.6026579999999997E-2</v>
      </c>
      <c r="W2046">
        <v>4.5412479999999998E-2</v>
      </c>
      <c r="X2046">
        <v>0.99790749999999995</v>
      </c>
      <c r="Y2046">
        <v>-5.1674190000000002E-2</v>
      </c>
      <c r="Z2046">
        <v>-4.6613269999999998E-4</v>
      </c>
      <c r="AA2046">
        <v>0.99866390000000005</v>
      </c>
      <c r="AB2046">
        <v>43</v>
      </c>
      <c r="AC2046">
        <v>-28.269499999999901</v>
      </c>
      <c r="AD2046">
        <v>-1.1038864557950001</v>
      </c>
      <c r="AE2046">
        <v>-1.8680999999999699</v>
      </c>
      <c r="AF2046">
        <v>-1.47631001442814</v>
      </c>
      <c r="AG2046">
        <v>-1.1038864557950001</v>
      </c>
      <c r="AH2046">
        <v>28.2496609667961</v>
      </c>
      <c r="AI2046">
        <v>92.234710485830206</v>
      </c>
      <c r="AJ2046">
        <v>92.991521070692698</v>
      </c>
      <c r="AK2046">
        <v>28.3097403962825</v>
      </c>
    </row>
    <row r="2047" spans="1:37" x14ac:dyDescent="0.2">
      <c r="A2047" t="str">
        <f>"20200111153437616"</f>
        <v>20200111153437616</v>
      </c>
      <c r="B2047" t="str">
        <f>"1578728077608530"</f>
        <v>1578728077608530</v>
      </c>
      <c r="C2047" t="s">
        <v>37</v>
      </c>
      <c r="D2047">
        <v>4.62636</v>
      </c>
      <c r="E2047">
        <v>0.49714319999999901</v>
      </c>
      <c r="F2047" t="s">
        <v>50</v>
      </c>
      <c r="G2047">
        <v>-472.52269999999999</v>
      </c>
      <c r="H2047" s="1">
        <v>5.3294210000000001E-6</v>
      </c>
      <c r="I2047">
        <v>282.71769999999998</v>
      </c>
      <c r="J2047">
        <v>-444.01060000000001</v>
      </c>
      <c r="K2047">
        <v>1.103891</v>
      </c>
      <c r="L2047">
        <v>284.59960000000001</v>
      </c>
      <c r="M2047">
        <v>-0.99980579999999997</v>
      </c>
      <c r="N2047">
        <v>0</v>
      </c>
      <c r="O2047">
        <v>-1.3363180000000001E-2</v>
      </c>
      <c r="P2047">
        <v>-0.99768330000000005</v>
      </c>
      <c r="Q2047">
        <v>3.057114E-2</v>
      </c>
      <c r="R2047">
        <v>-6.0775429999999998E-2</v>
      </c>
      <c r="S2047">
        <v>-2.998596</v>
      </c>
      <c r="T2047">
        <v>-0.1151326</v>
      </c>
      <c r="U2047">
        <v>-0.1965942</v>
      </c>
      <c r="V2047">
        <v>-4.733996E-2</v>
      </c>
      <c r="W2047">
        <v>4.513905E-2</v>
      </c>
      <c r="X2047">
        <v>0.99785840000000003</v>
      </c>
      <c r="Y2047">
        <v>-5.2051479999999997E-2</v>
      </c>
      <c r="Z2047">
        <v>-4.8549949999999998E-4</v>
      </c>
      <c r="AA2047">
        <v>0.99864430000000004</v>
      </c>
      <c r="AB2047">
        <v>43</v>
      </c>
      <c r="AC2047">
        <v>-28.512099999999901</v>
      </c>
      <c r="AD2047">
        <v>-1.1038856705789999</v>
      </c>
      <c r="AE2047">
        <v>-1.8819000000000301</v>
      </c>
      <c r="AF2047">
        <v>-1.4984432683523901</v>
      </c>
      <c r="AG2047">
        <v>-1.1038856705789999</v>
      </c>
      <c r="AH2047">
        <v>28.4921810286503</v>
      </c>
      <c r="AI2047">
        <v>92.215668097429301</v>
      </c>
      <c r="AJ2047">
        <v>93.010490930320202</v>
      </c>
      <c r="AK2047">
        <v>28.552903102338998</v>
      </c>
    </row>
    <row r="2048" spans="1:37" x14ac:dyDescent="0.2">
      <c r="A2048" t="str">
        <f>"20200111153437631"</f>
        <v>20200111153437631</v>
      </c>
      <c r="B2048" t="str">
        <f>"1578728077628051"</f>
        <v>1578728077628051</v>
      </c>
      <c r="C2048" t="s">
        <v>37</v>
      </c>
      <c r="D2048">
        <v>4.6176890000000004</v>
      </c>
      <c r="E2048">
        <v>0.49733459999999902</v>
      </c>
      <c r="F2048" t="s">
        <v>50</v>
      </c>
      <c r="G2048">
        <v>-472.64229999999998</v>
      </c>
      <c r="H2048" s="1">
        <v>5.2738799999999999E-6</v>
      </c>
      <c r="I2048">
        <v>282.6891</v>
      </c>
      <c r="J2048">
        <v>-444.29500000000002</v>
      </c>
      <c r="K2048">
        <v>1.103904</v>
      </c>
      <c r="L2048">
        <v>284.59620000000001</v>
      </c>
      <c r="M2048">
        <v>-0.99981109999999895</v>
      </c>
      <c r="N2048">
        <v>0</v>
      </c>
      <c r="O2048">
        <v>-1.2881470000000001E-2</v>
      </c>
      <c r="P2048">
        <v>-0.99768400000000002</v>
      </c>
      <c r="Q2048">
        <v>3.0399269999999999E-2</v>
      </c>
      <c r="R2048">
        <v>-6.0850010000000003E-2</v>
      </c>
      <c r="S2048">
        <v>-2.9983219999999999</v>
      </c>
      <c r="T2048">
        <v>-0.115599299999999</v>
      </c>
      <c r="U2048">
        <v>-0.20007320000000001</v>
      </c>
      <c r="V2048">
        <v>-4.7895479999999997E-2</v>
      </c>
      <c r="W2048">
        <v>4.5029029999999998E-2</v>
      </c>
      <c r="X2048">
        <v>0.99783690000000003</v>
      </c>
      <c r="Y2048">
        <v>-5.3690389999999998E-2</v>
      </c>
      <c r="Z2048">
        <v>-5.3758059999999995E-4</v>
      </c>
      <c r="AA2048">
        <v>0.99855749999999999</v>
      </c>
      <c r="AB2048">
        <v>43</v>
      </c>
      <c r="AC2048">
        <v>-28.347299999999901</v>
      </c>
      <c r="AD2048">
        <v>-1.10389872612</v>
      </c>
      <c r="AE2048">
        <v>-1.90710000000001</v>
      </c>
      <c r="AF2048">
        <v>-1.5394241800481401</v>
      </c>
      <c r="AG2048">
        <v>-1.10389872612</v>
      </c>
      <c r="AH2048">
        <v>28.326753148289701</v>
      </c>
      <c r="AI2048">
        <v>92.228412718162204</v>
      </c>
      <c r="AJ2048">
        <v>93.1106928812289</v>
      </c>
      <c r="AK2048">
        <v>28.390022245989599</v>
      </c>
    </row>
    <row r="2049" spans="1:37" x14ac:dyDescent="0.2">
      <c r="A2049" t="str">
        <f>"20200111153437645"</f>
        <v>20200111153437645</v>
      </c>
      <c r="B2049" t="str">
        <f>"1578728077637811"</f>
        <v>1578728077637811</v>
      </c>
      <c r="C2049" t="s">
        <v>37</v>
      </c>
      <c r="D2049">
        <v>4.6466859999999999</v>
      </c>
      <c r="E2049">
        <v>0.49738509999999903</v>
      </c>
      <c r="F2049" t="s">
        <v>50</v>
      </c>
      <c r="G2049">
        <v>-473.30930000000001</v>
      </c>
      <c r="H2049" s="1">
        <v>4.9768329999999998E-6</v>
      </c>
      <c r="I2049">
        <v>282.67489999999998</v>
      </c>
      <c r="J2049">
        <v>-444.54759999999999</v>
      </c>
      <c r="K2049">
        <v>1.1039190000000001</v>
      </c>
      <c r="L2049">
        <v>284.5933</v>
      </c>
      <c r="M2049">
        <v>-0.99981529999999996</v>
      </c>
      <c r="N2049">
        <v>0</v>
      </c>
      <c r="O2049">
        <v>-1.2455809999999999E-2</v>
      </c>
      <c r="P2049">
        <v>-0.99766589999999999</v>
      </c>
      <c r="Q2049">
        <v>3.02135999999999E-2</v>
      </c>
      <c r="R2049">
        <v>-6.1235879999999999E-2</v>
      </c>
      <c r="S2049">
        <v>-2.9983219999999999</v>
      </c>
      <c r="T2049">
        <v>-0.1140761</v>
      </c>
      <c r="U2049">
        <v>-0.19854739999999901</v>
      </c>
      <c r="V2049">
        <v>-4.8706930000000002E-2</v>
      </c>
      <c r="W2049">
        <v>4.492517E-2</v>
      </c>
      <c r="X2049">
        <v>0.99780230000000003</v>
      </c>
      <c r="Y2049">
        <v>-5.3610110000000002E-2</v>
      </c>
      <c r="Z2049">
        <v>-5.4515430000000005E-4</v>
      </c>
      <c r="AA2049">
        <v>0.99856180000000005</v>
      </c>
      <c r="AB2049">
        <v>43</v>
      </c>
      <c r="AC2049">
        <v>-28.761700000000001</v>
      </c>
      <c r="AD2049">
        <v>-1.1039140231669999</v>
      </c>
      <c r="AE2049">
        <v>-1.9184000000000101</v>
      </c>
      <c r="AF2049">
        <v>-1.55767799609166</v>
      </c>
      <c r="AG2049">
        <v>-1.1039140231669999</v>
      </c>
      <c r="AH2049">
        <v>28.741214025133399</v>
      </c>
      <c r="AI2049">
        <v>92.196357777364199</v>
      </c>
      <c r="AJ2049">
        <v>93.102205291899807</v>
      </c>
      <c r="AK2049">
        <v>28.8045546840874</v>
      </c>
    </row>
    <row r="2050" spans="1:37" x14ac:dyDescent="0.2">
      <c r="A2050" t="str">
        <f>"20200111153437659"</f>
        <v>20200111153437659</v>
      </c>
      <c r="B2050" t="str">
        <f>"1578728077648547"</f>
        <v>1578728077648547</v>
      </c>
      <c r="C2050" t="s">
        <v>37</v>
      </c>
      <c r="D2050">
        <v>4.6192909999999996</v>
      </c>
      <c r="E2050">
        <v>0.49737700000000001</v>
      </c>
      <c r="F2050" t="s">
        <v>50</v>
      </c>
      <c r="G2050">
        <v>-473.69479999999999</v>
      </c>
      <c r="H2050" s="1">
        <v>4.8042529999999997E-6</v>
      </c>
      <c r="I2050">
        <v>282.65629999999999</v>
      </c>
      <c r="J2050">
        <v>-444.820999999999</v>
      </c>
      <c r="K2050">
        <v>1.1039429999999999</v>
      </c>
      <c r="L2050">
        <v>284.59019999999998</v>
      </c>
      <c r="M2050">
        <v>-0.99981929999999997</v>
      </c>
      <c r="N2050">
        <v>0</v>
      </c>
      <c r="O2050">
        <v>-1.199747E-2</v>
      </c>
      <c r="P2050">
        <v>-0.99766049999999995</v>
      </c>
      <c r="Q2050">
        <v>3.003463E-2</v>
      </c>
      <c r="R2050">
        <v>-6.1413669999999997E-2</v>
      </c>
      <c r="S2050">
        <v>-2.99823</v>
      </c>
      <c r="T2050">
        <v>-0.11355410000000001</v>
      </c>
      <c r="U2050">
        <v>-0.19924929999999999</v>
      </c>
      <c r="V2050">
        <v>-4.9342730000000001E-2</v>
      </c>
      <c r="W2050">
        <v>4.4860860000000002E-2</v>
      </c>
      <c r="X2050">
        <v>0.99777389999999999</v>
      </c>
      <c r="Y2050">
        <v>-5.4302040000000003E-2</v>
      </c>
      <c r="Z2050">
        <v>-5.7308819999999999E-4</v>
      </c>
      <c r="AA2050">
        <v>0.99852439999999998</v>
      </c>
      <c r="AB2050">
        <v>43</v>
      </c>
      <c r="AC2050">
        <v>-28.873799999999999</v>
      </c>
      <c r="AD2050">
        <v>-1.103938195747</v>
      </c>
      <c r="AE2050">
        <v>-1.93389999999999</v>
      </c>
      <c r="AF2050">
        <v>-1.5850039895369701</v>
      </c>
      <c r="AG2050">
        <v>-1.103938195747</v>
      </c>
      <c r="AH2050">
        <v>28.852937615955199</v>
      </c>
      <c r="AI2050">
        <v>92.187821576653306</v>
      </c>
      <c r="AJ2050">
        <v>93.144319464489996</v>
      </c>
      <c r="AK2050">
        <v>28.917519365552099</v>
      </c>
    </row>
    <row r="2051" spans="1:37" x14ac:dyDescent="0.2">
      <c r="A2051" t="str">
        <f>"20200111153437672"</f>
        <v>20200111153437672</v>
      </c>
      <c r="B2051" t="str">
        <f>"1578728077668605"</f>
        <v>1578728077668605</v>
      </c>
      <c r="C2051" t="s">
        <v>37</v>
      </c>
      <c r="D2051">
        <v>4.607952</v>
      </c>
      <c r="E2051">
        <v>0.49726530000000002</v>
      </c>
      <c r="F2051" t="s">
        <v>50</v>
      </c>
      <c r="G2051">
        <v>-473.73570000000001</v>
      </c>
      <c r="H2051" s="1">
        <v>4.7866780000000001E-6</v>
      </c>
      <c r="I2051">
        <v>282.66250000000002</v>
      </c>
      <c r="J2051">
        <v>-445.08589999999998</v>
      </c>
      <c r="K2051">
        <v>1.1039699999999999</v>
      </c>
      <c r="L2051">
        <v>284.5874</v>
      </c>
      <c r="M2051">
        <v>-0.99982229999999905</v>
      </c>
      <c r="N2051">
        <v>0</v>
      </c>
      <c r="O2051">
        <v>-1.155496E-2</v>
      </c>
      <c r="P2051">
        <v>-0.99765040000000005</v>
      </c>
      <c r="Q2051">
        <v>2.98473E-2</v>
      </c>
      <c r="R2051">
        <v>-6.1667989999999999E-2</v>
      </c>
      <c r="S2051">
        <v>-2.9981689999999999</v>
      </c>
      <c r="T2051">
        <v>-0.1144674</v>
      </c>
      <c r="U2051">
        <v>-0.19989009999999999</v>
      </c>
      <c r="V2051">
        <v>-5.0039340000000002E-2</v>
      </c>
      <c r="W2051">
        <v>4.482038E-2</v>
      </c>
      <c r="X2051">
        <v>0.99774099999999999</v>
      </c>
      <c r="Y2051">
        <v>-5.4956499999999998E-2</v>
      </c>
      <c r="Z2051">
        <v>-6.070432E-4</v>
      </c>
      <c r="AA2051">
        <v>0.9984885</v>
      </c>
      <c r="AB2051">
        <v>43</v>
      </c>
      <c r="AC2051">
        <v>-28.649799999999999</v>
      </c>
      <c r="AD2051">
        <v>-1.1039652133219999</v>
      </c>
      <c r="AE2051">
        <v>-1.9248999999999801</v>
      </c>
      <c r="AF2051">
        <v>-1.5913352484298899</v>
      </c>
      <c r="AG2051">
        <v>-1.1039652133219999</v>
      </c>
      <c r="AH2051">
        <v>28.627815975245898</v>
      </c>
      <c r="AI2051">
        <v>92.204983762318406</v>
      </c>
      <c r="AJ2051">
        <v>93.181627886820806</v>
      </c>
      <c r="AK2051">
        <v>28.693255907576301</v>
      </c>
    </row>
    <row r="2052" spans="1:37" x14ac:dyDescent="0.2">
      <c r="A2052" t="str">
        <f>"20200111153437684"</f>
        <v>20200111153437684</v>
      </c>
      <c r="B2052" t="str">
        <f>"1578728077678365"</f>
        <v>1578728077678365</v>
      </c>
      <c r="C2052" t="s">
        <v>37</v>
      </c>
      <c r="D2052">
        <v>4.6173970000000004</v>
      </c>
      <c r="E2052">
        <v>0.49724809999999903</v>
      </c>
      <c r="F2052" t="s">
        <v>50</v>
      </c>
      <c r="G2052">
        <v>-473.80720000000002</v>
      </c>
      <c r="H2052" s="1">
        <v>4.7545040000000001E-6</v>
      </c>
      <c r="I2052">
        <v>282.65730000000002</v>
      </c>
      <c r="J2052">
        <v>-445.303</v>
      </c>
      <c r="K2052">
        <v>1.103993</v>
      </c>
      <c r="L2052">
        <v>284.58519999999999</v>
      </c>
      <c r="M2052">
        <v>-0.9998245</v>
      </c>
      <c r="N2052">
        <v>0</v>
      </c>
      <c r="O2052">
        <v>-1.119186E-2</v>
      </c>
      <c r="P2052">
        <v>-0.9976294</v>
      </c>
      <c r="Q2052">
        <v>2.89860999999999E-2</v>
      </c>
      <c r="R2052">
        <v>-6.241025E-2</v>
      </c>
      <c r="S2052">
        <v>-2.9980159999999998</v>
      </c>
      <c r="T2052">
        <v>-0.11523509999999999</v>
      </c>
      <c r="U2052">
        <v>-0.20147709999999999</v>
      </c>
      <c r="V2052">
        <v>-5.1145690000000001E-2</v>
      </c>
      <c r="W2052">
        <v>4.4089160000000002E-2</v>
      </c>
      <c r="X2052">
        <v>0.99771749999999904</v>
      </c>
      <c r="Y2052">
        <v>-5.5847250000000001E-2</v>
      </c>
      <c r="Z2052">
        <v>-6.4215840000000001E-4</v>
      </c>
      <c r="AA2052">
        <v>0.99843909999999902</v>
      </c>
      <c r="AB2052">
        <v>43</v>
      </c>
      <c r="AC2052">
        <v>-28.504199999999901</v>
      </c>
      <c r="AD2052">
        <v>-1.1039882454959999</v>
      </c>
      <c r="AE2052">
        <v>-1.92789999999996</v>
      </c>
      <c r="AF2052">
        <v>-1.6063295700126099</v>
      </c>
      <c r="AG2052">
        <v>-1.1039882454959999</v>
      </c>
      <c r="AH2052">
        <v>28.481463976599802</v>
      </c>
      <c r="AI2052">
        <v>92.216248630557999</v>
      </c>
      <c r="AJ2052">
        <v>93.228011955089997</v>
      </c>
      <c r="AK2052">
        <v>28.548080057756</v>
      </c>
    </row>
    <row r="2053" spans="1:37" x14ac:dyDescent="0.2">
      <c r="A2053" t="str">
        <f>"20200111153437700"</f>
        <v>20200111153437700</v>
      </c>
      <c r="B2053" t="str">
        <f>"1578728077688125"</f>
        <v>1578728077688125</v>
      </c>
      <c r="C2053" t="s">
        <v>37</v>
      </c>
      <c r="D2053">
        <v>4.6020899999999996</v>
      </c>
      <c r="E2053">
        <v>0.49724309999999899</v>
      </c>
      <c r="F2053" t="s">
        <v>50</v>
      </c>
      <c r="G2053">
        <v>-473.4119</v>
      </c>
      <c r="H2053" s="1">
        <v>4.9314650000000002E-6</v>
      </c>
      <c r="I2053">
        <v>282.67599999999999</v>
      </c>
      <c r="J2053">
        <v>-445.61779999999999</v>
      </c>
      <c r="K2053">
        <v>1.1040299999999901</v>
      </c>
      <c r="L2053">
        <v>284.58210000000003</v>
      </c>
      <c r="M2053">
        <v>-0.99982729999999997</v>
      </c>
      <c r="N2053">
        <v>0</v>
      </c>
      <c r="O2053">
        <v>-1.066548E-2</v>
      </c>
      <c r="P2053">
        <v>-0.99764209999999998</v>
      </c>
      <c r="Q2053">
        <v>2.8394269999999999E-2</v>
      </c>
      <c r="R2053">
        <v>-6.2486099999999899E-2</v>
      </c>
      <c r="S2053">
        <v>-2.99780299999999</v>
      </c>
      <c r="T2053">
        <v>-0.1177402</v>
      </c>
      <c r="U2053">
        <v>-0.203613299999999</v>
      </c>
      <c r="V2053">
        <v>-5.1747910000000001E-2</v>
      </c>
      <c r="W2053">
        <v>4.3699479999999999E-2</v>
      </c>
      <c r="X2053">
        <v>0.99770360000000002</v>
      </c>
      <c r="Y2053">
        <v>-5.7083040000000002E-2</v>
      </c>
      <c r="Z2053">
        <v>-7.0100860000000002E-4</v>
      </c>
      <c r="AA2053">
        <v>0.99836919999999996</v>
      </c>
      <c r="AB2053">
        <v>43</v>
      </c>
      <c r="AC2053">
        <v>-27.7941</v>
      </c>
      <c r="AD2053">
        <v>-1.1040250685349999</v>
      </c>
      <c r="AE2053">
        <v>-1.9061000000000301</v>
      </c>
      <c r="AF2053">
        <v>-1.60699615281282</v>
      </c>
      <c r="AG2053">
        <v>-1.1040250685349999</v>
      </c>
      <c r="AH2053">
        <v>27.769241312792001</v>
      </c>
      <c r="AI2053">
        <v>92.272917455902302</v>
      </c>
      <c r="AJ2053">
        <v>93.311992576860106</v>
      </c>
      <c r="AK2053">
        <v>27.837601747908899</v>
      </c>
    </row>
    <row r="2054" spans="1:37" x14ac:dyDescent="0.2">
      <c r="A2054" t="str">
        <f>"20200111153437715"</f>
        <v>20200111153437715</v>
      </c>
      <c r="B2054" t="str">
        <f>"1578728077708621"</f>
        <v>1578728077708621</v>
      </c>
      <c r="C2054" t="s">
        <v>37</v>
      </c>
      <c r="D2054">
        <v>4.5863500000000004</v>
      </c>
      <c r="E2054">
        <v>0.4972741</v>
      </c>
      <c r="F2054" t="s">
        <v>50</v>
      </c>
      <c r="G2054">
        <v>-473.28160000000003</v>
      </c>
      <c r="H2054" s="1">
        <v>4.9912660000000003E-6</v>
      </c>
      <c r="I2054">
        <v>282.69920000000002</v>
      </c>
      <c r="J2054">
        <v>-445.90269999999998</v>
      </c>
      <c r="K2054">
        <v>1.1040669999999999</v>
      </c>
      <c r="L2054">
        <v>284.5795</v>
      </c>
      <c r="M2054">
        <v>-0.99982929999999903</v>
      </c>
      <c r="N2054">
        <v>0</v>
      </c>
      <c r="O2054">
        <v>-1.018869E-2</v>
      </c>
      <c r="P2054">
        <v>-0.997650499999999</v>
      </c>
      <c r="Q2054">
        <v>2.7880809999999999E-2</v>
      </c>
      <c r="R2054">
        <v>-6.2581910000000004E-2</v>
      </c>
      <c r="S2054">
        <v>-2.9977109999999998</v>
      </c>
      <c r="T2054">
        <v>-0.11963459999999999</v>
      </c>
      <c r="U2054">
        <v>-0.20404049999999899</v>
      </c>
      <c r="V2054">
        <v>-5.2320949999999998E-2</v>
      </c>
      <c r="W2054">
        <v>4.3384590000000001E-2</v>
      </c>
      <c r="X2054">
        <v>0.99768749999999995</v>
      </c>
      <c r="Y2054">
        <v>-5.770078E-2</v>
      </c>
      <c r="Z2054">
        <v>-7.4359980000000001E-4</v>
      </c>
      <c r="AA2054">
        <v>0.99833359999999904</v>
      </c>
      <c r="AB2054">
        <v>43</v>
      </c>
      <c r="AC2054">
        <v>-27.378900000000002</v>
      </c>
      <c r="AD2054">
        <v>-1.1040620087339901</v>
      </c>
      <c r="AE2054">
        <v>-1.8802999999999701</v>
      </c>
      <c r="AF2054">
        <v>-1.5986267432408201</v>
      </c>
      <c r="AG2054">
        <v>-1.1040620087339901</v>
      </c>
      <c r="AH2054">
        <v>27.352368925909602</v>
      </c>
      <c r="AI2054">
        <v>92.3075215733965</v>
      </c>
      <c r="AJ2054">
        <v>93.344883453126101</v>
      </c>
      <c r="AK2054">
        <v>27.421280900833199</v>
      </c>
    </row>
    <row r="2055" spans="1:37" x14ac:dyDescent="0.2">
      <c r="A2055" t="str">
        <f>"20200111153437729"</f>
        <v>20200111153437729</v>
      </c>
      <c r="B2055" t="str">
        <f>"1578728077718381"</f>
        <v>1578728077718381</v>
      </c>
      <c r="C2055" t="s">
        <v>37</v>
      </c>
      <c r="D2055">
        <v>4.5860979999999998</v>
      </c>
      <c r="E2055">
        <v>0.4972741</v>
      </c>
      <c r="F2055" t="s">
        <v>50</v>
      </c>
      <c r="G2055">
        <v>-473.14299999999997</v>
      </c>
      <c r="H2055" s="1">
        <v>5.0550979999999996E-6</v>
      </c>
      <c r="I2055">
        <v>282.72620000000001</v>
      </c>
      <c r="J2055">
        <v>-446.1508</v>
      </c>
      <c r="K2055">
        <v>1.1041000000000001</v>
      </c>
      <c r="L2055">
        <v>284.57740000000001</v>
      </c>
      <c r="M2055">
        <v>-0.99983040000000001</v>
      </c>
      <c r="N2055">
        <v>0</v>
      </c>
      <c r="O2055">
        <v>-9.7723110000000005E-3</v>
      </c>
      <c r="P2055">
        <v>-0.99763480000000004</v>
      </c>
      <c r="Q2055">
        <v>2.7156799999999998E-2</v>
      </c>
      <c r="R2055">
        <v>-6.3143959999999999E-2</v>
      </c>
      <c r="S2055">
        <v>-2.997681</v>
      </c>
      <c r="T2055">
        <v>-0.121497699999999</v>
      </c>
      <c r="U2055">
        <v>-0.20394899999999999</v>
      </c>
      <c r="V2055">
        <v>-5.330025E-2</v>
      </c>
      <c r="W2055">
        <v>4.2851019999999997E-2</v>
      </c>
      <c r="X2055">
        <v>0.99765869999999901</v>
      </c>
      <c r="Y2055">
        <v>-5.8084990000000003E-2</v>
      </c>
      <c r="Z2055">
        <v>-7.7979999999999901E-4</v>
      </c>
      <c r="AA2055">
        <v>0.99831130000000001</v>
      </c>
      <c r="AB2055">
        <v>43</v>
      </c>
      <c r="AC2055">
        <v>-26.9922</v>
      </c>
      <c r="AD2055">
        <v>-1.1040949449020001</v>
      </c>
      <c r="AE2055">
        <v>-1.8512</v>
      </c>
      <c r="AF2055">
        <v>-1.58466428998816</v>
      </c>
      <c r="AG2055">
        <v>-1.1040949449020001</v>
      </c>
      <c r="AH2055">
        <v>26.964099591690701</v>
      </c>
      <c r="AI2055">
        <v>92.340737549964302</v>
      </c>
      <c r="AJ2055">
        <v>93.363370671550598</v>
      </c>
      <c r="AK2055">
        <v>27.033180599957799</v>
      </c>
    </row>
    <row r="2056" spans="1:37" x14ac:dyDescent="0.2">
      <c r="A2056" t="str">
        <f>"20200111153437751"</f>
        <v>20200111153437751</v>
      </c>
      <c r="B2056" t="str">
        <f>"1578728077737900"</f>
        <v>1578728077737900</v>
      </c>
      <c r="C2056" t="s">
        <v>37</v>
      </c>
      <c r="D2056">
        <v>4.6610800000000001</v>
      </c>
      <c r="E2056">
        <v>0.49670340000000002</v>
      </c>
      <c r="F2056" t="s">
        <v>50</v>
      </c>
      <c r="G2056">
        <v>-472.90769999999998</v>
      </c>
      <c r="H2056" s="1">
        <v>5.16098899999999E-6</v>
      </c>
      <c r="I2056">
        <v>282.74430000000001</v>
      </c>
      <c r="J2056">
        <v>-446.57639999999998</v>
      </c>
      <c r="K2056">
        <v>1.1041620000000001</v>
      </c>
      <c r="L2056">
        <v>284.57389999999998</v>
      </c>
      <c r="M2056">
        <v>-0.99983169999999899</v>
      </c>
      <c r="N2056">
        <v>0</v>
      </c>
      <c r="O2056">
        <v>-9.0570419999999995E-3</v>
      </c>
      <c r="P2056">
        <v>-0.99764969999999997</v>
      </c>
      <c r="Q2056">
        <v>2.6498480000000001E-2</v>
      </c>
      <c r="R2056">
        <v>-6.3189930000000005E-2</v>
      </c>
      <c r="S2056">
        <v>-2.9974669999999999</v>
      </c>
      <c r="T2056">
        <v>-0.1236873</v>
      </c>
      <c r="U2056">
        <v>-0.205352799999999</v>
      </c>
      <c r="V2056">
        <v>-5.4061159999999997E-2</v>
      </c>
      <c r="W2056">
        <v>4.2539929999999997E-2</v>
      </c>
      <c r="X2056">
        <v>0.99763109999999999</v>
      </c>
      <c r="Y2056">
        <v>-5.9266230000000003E-2</v>
      </c>
      <c r="Z2056">
        <v>-8.4768140000000001E-4</v>
      </c>
      <c r="AA2056">
        <v>0.99824179999999996</v>
      </c>
      <c r="AB2056">
        <v>43</v>
      </c>
      <c r="AC2056">
        <v>-26.331299999999999</v>
      </c>
      <c r="AD2056">
        <v>-1.1041568390109999</v>
      </c>
      <c r="AE2056">
        <v>-1.8295999999999699</v>
      </c>
      <c r="AF2056">
        <v>-1.5882315674535299</v>
      </c>
      <c r="AG2056">
        <v>-1.1041568390109999</v>
      </c>
      <c r="AH2056">
        <v>26.300767616164201</v>
      </c>
      <c r="AI2056">
        <v>92.399609299390804</v>
      </c>
      <c r="AJ2056">
        <v>93.4557392188687</v>
      </c>
      <c r="AK2056">
        <v>26.371803484715699</v>
      </c>
    </row>
    <row r="2057" spans="1:37" x14ac:dyDescent="0.2">
      <c r="A2057" t="str">
        <f>"20200111153437767"</f>
        <v>20200111153437767</v>
      </c>
      <c r="B2057" t="str">
        <f>"1578728077758397"</f>
        <v>1578728077758397</v>
      </c>
      <c r="C2057" t="s">
        <v>37</v>
      </c>
      <c r="D2057">
        <v>4.5619969999999999</v>
      </c>
      <c r="E2057">
        <v>0.47459420000000002</v>
      </c>
      <c r="F2057" t="s">
        <v>50</v>
      </c>
      <c r="G2057">
        <v>-472.76389999999998</v>
      </c>
      <c r="H2057" s="1">
        <v>5.2242489999999998E-6</v>
      </c>
      <c r="I2057">
        <v>282.738</v>
      </c>
      <c r="J2057">
        <v>-446.88299999999998</v>
      </c>
      <c r="K2057">
        <v>1.1042049999999899</v>
      </c>
      <c r="L2057">
        <v>284.57150000000001</v>
      </c>
      <c r="M2057">
        <v>-0.9998319</v>
      </c>
      <c r="N2057">
        <v>0</v>
      </c>
      <c r="O2057">
        <v>-8.5408319999999999E-3</v>
      </c>
      <c r="P2057">
        <v>-0.99765899999999996</v>
      </c>
      <c r="Q2057">
        <v>2.637364E-2</v>
      </c>
      <c r="R2057">
        <v>-6.3097539999999994E-2</v>
      </c>
      <c r="S2057">
        <v>-2.9971009999999998</v>
      </c>
      <c r="T2057">
        <v>-0.1263686</v>
      </c>
      <c r="U2057">
        <v>-0.21011350000000001</v>
      </c>
      <c r="V2057">
        <v>-5.4484199999999899E-2</v>
      </c>
      <c r="W2057">
        <v>4.2686189999999999E-2</v>
      </c>
      <c r="X2057">
        <v>0.99760179999999998</v>
      </c>
      <c r="Y2057">
        <v>-6.1363670000000002E-2</v>
      </c>
      <c r="Z2057">
        <v>-9.319714E-4</v>
      </c>
      <c r="AA2057">
        <v>0.99811510000000003</v>
      </c>
      <c r="AB2057">
        <v>43</v>
      </c>
      <c r="AC2057">
        <v>-25.880899999999901</v>
      </c>
      <c r="AD2057">
        <v>-1.10419977575099</v>
      </c>
      <c r="AE2057">
        <v>-1.8335000000000099</v>
      </c>
      <c r="AF2057">
        <v>-1.60944459228305</v>
      </c>
      <c r="AG2057">
        <v>-1.10419977575099</v>
      </c>
      <c r="AH2057">
        <v>25.848800548695898</v>
      </c>
      <c r="AI2057">
        <v>92.441331459728801</v>
      </c>
      <c r="AJ2057">
        <v>93.562853671152695</v>
      </c>
      <c r="AK2057">
        <v>25.9223852846658</v>
      </c>
    </row>
    <row r="2058" spans="1:37" x14ac:dyDescent="0.2">
      <c r="A2058" t="str">
        <f>"20200111153437782"</f>
        <v>20200111153437782</v>
      </c>
      <c r="B2058" t="str">
        <f>"1578728077777888"</f>
        <v>1578728077777888</v>
      </c>
      <c r="C2058" t="s">
        <v>37</v>
      </c>
      <c r="D2058">
        <v>4.5944159999999998</v>
      </c>
      <c r="E2058">
        <v>0.47635810000000001</v>
      </c>
      <c r="F2058" t="s">
        <v>52</v>
      </c>
      <c r="G2058">
        <v>-467.38130000000001</v>
      </c>
      <c r="H2058" s="1">
        <v>2.5084899999999999E-6</v>
      </c>
      <c r="I2058">
        <v>281.9323</v>
      </c>
      <c r="J2058">
        <v>-447.15170000000001</v>
      </c>
      <c r="K2058">
        <v>1.1042479999999999</v>
      </c>
      <c r="L2058">
        <v>284.56959999999998</v>
      </c>
      <c r="M2058">
        <v>-0.99983140000000004</v>
      </c>
      <c r="N2058">
        <v>0</v>
      </c>
      <c r="O2058">
        <v>-8.0886350000000003E-3</v>
      </c>
      <c r="P2058">
        <v>-0.99767790000000001</v>
      </c>
      <c r="Q2058">
        <v>2.624611E-2</v>
      </c>
      <c r="R2058">
        <v>-6.2849509999999997E-2</v>
      </c>
      <c r="S2058">
        <v>-2.9870000000000001</v>
      </c>
      <c r="T2058">
        <v>-0.16090379999999899</v>
      </c>
      <c r="U2058">
        <v>-0.38458249999999999</v>
      </c>
      <c r="V2058">
        <v>-5.4687979999999997E-2</v>
      </c>
      <c r="W2058">
        <v>4.2809109999999997E-2</v>
      </c>
      <c r="X2058">
        <v>0.99758539999999996</v>
      </c>
      <c r="Y2058">
        <v>-0.11951150000000001</v>
      </c>
      <c r="Z2058">
        <v>-2.7697830000000001E-3</v>
      </c>
      <c r="AA2058">
        <v>0.99282899999999996</v>
      </c>
      <c r="AB2058">
        <v>42</v>
      </c>
      <c r="AC2058">
        <v>-20.229600000000001</v>
      </c>
      <c r="AD2058">
        <v>-1.10424549151</v>
      </c>
      <c r="AE2058">
        <v>-2.6372999999999802</v>
      </c>
      <c r="AF2058">
        <v>-2.4663357510441402</v>
      </c>
      <c r="AG2058">
        <v>-1.10424549151</v>
      </c>
      <c r="AH2058">
        <v>20.191117227685002</v>
      </c>
      <c r="AI2058">
        <v>93.107318893057993</v>
      </c>
      <c r="AJ2058">
        <v>96.964153808576697</v>
      </c>
      <c r="AK2058">
        <v>20.371140985337998</v>
      </c>
    </row>
    <row r="2059" spans="1:37" x14ac:dyDescent="0.2">
      <c r="A2059" t="str">
        <f>"20200111153437795"</f>
        <v>20200111153437795</v>
      </c>
      <c r="B2059" t="str">
        <f>"1578728077788623"</f>
        <v>1578728077788623</v>
      </c>
      <c r="C2059" t="s">
        <v>37</v>
      </c>
      <c r="D2059">
        <v>4.5982240000000001</v>
      </c>
      <c r="E2059">
        <v>0.47681030000000002</v>
      </c>
      <c r="F2059" t="s">
        <v>52</v>
      </c>
      <c r="G2059">
        <v>-467.71620000000001</v>
      </c>
      <c r="H2059" s="1">
        <v>2.68272299999999E-6</v>
      </c>
      <c r="I2059">
        <v>282.02370000000002</v>
      </c>
      <c r="J2059">
        <v>-447.4289</v>
      </c>
      <c r="K2059">
        <v>1.1042889999999901</v>
      </c>
      <c r="L2059">
        <v>284.56779999999998</v>
      </c>
      <c r="M2059">
        <v>-0.99983069999999896</v>
      </c>
      <c r="N2059">
        <v>0</v>
      </c>
      <c r="O2059">
        <v>-7.6218019999999996E-3</v>
      </c>
      <c r="P2059">
        <v>-0.997683599999999</v>
      </c>
      <c r="Q2059">
        <v>2.6227440000000001E-2</v>
      </c>
      <c r="R2059">
        <v>-6.2766669999999997E-2</v>
      </c>
      <c r="S2059">
        <v>-2.9879150000000001</v>
      </c>
      <c r="T2059">
        <v>-0.16044069999999999</v>
      </c>
      <c r="U2059">
        <v>-0.369903599999999</v>
      </c>
      <c r="V2059">
        <v>-5.5070309999999997E-2</v>
      </c>
      <c r="W2059">
        <v>4.305635E-2</v>
      </c>
      <c r="X2059">
        <v>0.99755369999999999</v>
      </c>
      <c r="Y2059">
        <v>-0.1151408</v>
      </c>
      <c r="Z2059">
        <v>-2.669959E-3</v>
      </c>
      <c r="AA2059">
        <v>0.99334560000000005</v>
      </c>
      <c r="AB2059">
        <v>42</v>
      </c>
      <c r="AC2059">
        <v>-20.287299999999998</v>
      </c>
      <c r="AD2059">
        <v>-1.1042863172769899</v>
      </c>
      <c r="AE2059">
        <v>-2.5440999999999501</v>
      </c>
      <c r="AF2059">
        <v>-2.3824290342836201</v>
      </c>
      <c r="AG2059">
        <v>-1.1042863172769899</v>
      </c>
      <c r="AH2059">
        <v>20.247043031979601</v>
      </c>
      <c r="AI2059">
        <v>93.100505916793196</v>
      </c>
      <c r="AJ2059">
        <v>96.711020195481098</v>
      </c>
      <c r="AK2059">
        <v>20.416614996437499</v>
      </c>
    </row>
    <row r="2060" spans="1:37" x14ac:dyDescent="0.2">
      <c r="A2060" t="str">
        <f>"20200111153437808"</f>
        <v>20200111153437808</v>
      </c>
      <c r="B2060" t="str">
        <f>"1578728077798384"</f>
        <v>1578728077798384</v>
      </c>
      <c r="C2060" t="s">
        <v>37</v>
      </c>
      <c r="D2060">
        <v>4.5733959999999998</v>
      </c>
      <c r="E2060">
        <v>0.4769504</v>
      </c>
      <c r="F2060" t="s">
        <v>52</v>
      </c>
      <c r="G2060">
        <v>-468.27019999999999</v>
      </c>
      <c r="H2060" s="1">
        <v>2.97791699999999E-6</v>
      </c>
      <c r="I2060">
        <v>282.01440000000002</v>
      </c>
      <c r="J2060">
        <v>-447.65300000000002</v>
      </c>
      <c r="K2060">
        <v>1.1043229999999999</v>
      </c>
      <c r="L2060">
        <v>284.56639999999999</v>
      </c>
      <c r="M2060">
        <v>-0.99982969999999904</v>
      </c>
      <c r="N2060">
        <v>0</v>
      </c>
      <c r="O2060">
        <v>-7.2459600000000001E-3</v>
      </c>
      <c r="P2060">
        <v>-0.99763979999999997</v>
      </c>
      <c r="Q2060">
        <v>2.6497670000000001E-2</v>
      </c>
      <c r="R2060">
        <v>-6.334919E-2</v>
      </c>
      <c r="S2060">
        <v>-2.9880979999999999</v>
      </c>
      <c r="T2060">
        <v>-0.1583261</v>
      </c>
      <c r="U2060">
        <v>-0.36608889999999999</v>
      </c>
      <c r="V2060">
        <v>-5.6027569999999999E-2</v>
      </c>
      <c r="W2060">
        <v>4.3548459999999997E-2</v>
      </c>
      <c r="X2060">
        <v>0.997479</v>
      </c>
      <c r="Y2060">
        <v>-0.11426210000000001</v>
      </c>
      <c r="Z2060">
        <v>-2.6315119999999999E-3</v>
      </c>
      <c r="AA2060">
        <v>0.99344709999999903</v>
      </c>
      <c r="AB2060">
        <v>42</v>
      </c>
      <c r="AC2060">
        <v>-20.617199999999901</v>
      </c>
      <c r="AD2060">
        <v>-1.1043200220829901</v>
      </c>
      <c r="AE2060">
        <v>-2.5519999999999601</v>
      </c>
      <c r="AF2060">
        <v>-2.39575037071705</v>
      </c>
      <c r="AG2060">
        <v>-1.1043200220829901</v>
      </c>
      <c r="AH2060">
        <v>20.5770083783632</v>
      </c>
      <c r="AI2060">
        <v>93.0514108347015</v>
      </c>
      <c r="AJ2060">
        <v>96.640962388816405</v>
      </c>
      <c r="AK2060">
        <v>20.7454191655216</v>
      </c>
    </row>
    <row r="2061" spans="1:37" x14ac:dyDescent="0.2">
      <c r="A2061" t="str">
        <f>"20200111153437822"</f>
        <v>20200111153437822</v>
      </c>
      <c r="B2061" t="str">
        <f>"1578728077817904"</f>
        <v>1578728077817904</v>
      </c>
      <c r="C2061" t="s">
        <v>37</v>
      </c>
      <c r="D2061">
        <v>4.5956299999999999</v>
      </c>
      <c r="E2061">
        <v>0.47714790000000001</v>
      </c>
      <c r="F2061" t="s">
        <v>52</v>
      </c>
      <c r="G2061">
        <v>-468.7285</v>
      </c>
      <c r="H2061" s="1">
        <v>3.2233299999999899E-6</v>
      </c>
      <c r="I2061">
        <v>281.97930000000002</v>
      </c>
      <c r="J2061">
        <v>-447.92570000000001</v>
      </c>
      <c r="K2061">
        <v>1.1043639999999999</v>
      </c>
      <c r="L2061">
        <v>284.56479999999999</v>
      </c>
      <c r="M2061">
        <v>-0.9998283</v>
      </c>
      <c r="N2061">
        <v>0</v>
      </c>
      <c r="O2061">
        <v>-6.7896049999999998E-3</v>
      </c>
      <c r="P2061">
        <v>-0.99763419999999903</v>
      </c>
      <c r="Q2061">
        <v>2.6328359999999999E-2</v>
      </c>
      <c r="R2061">
        <v>-6.3508319999999993E-2</v>
      </c>
      <c r="S2061">
        <v>-2.9880070000000001</v>
      </c>
      <c r="T2061">
        <v>-0.15656639999999999</v>
      </c>
      <c r="U2061">
        <v>-0.36679079999999997</v>
      </c>
      <c r="V2061">
        <v>-5.66423E-2</v>
      </c>
      <c r="W2061">
        <v>4.3652799999999999E-2</v>
      </c>
      <c r="X2061">
        <v>0.99743969999999904</v>
      </c>
      <c r="Y2061">
        <v>-0.11495080000000001</v>
      </c>
      <c r="Z2061">
        <v>-2.6441099999999999E-3</v>
      </c>
      <c r="AA2061">
        <v>0.99336769999999996</v>
      </c>
      <c r="AB2061">
        <v>42</v>
      </c>
      <c r="AC2061">
        <v>-20.802799999999898</v>
      </c>
      <c r="AD2061">
        <v>-1.1043607766700001</v>
      </c>
      <c r="AE2061">
        <v>-2.5854999999999602</v>
      </c>
      <c r="AF2061">
        <v>-2.4374118714034001</v>
      </c>
      <c r="AG2061">
        <v>-1.1043607766700001</v>
      </c>
      <c r="AH2061">
        <v>20.762254530660201</v>
      </c>
      <c r="AI2061">
        <v>93.024010596842004</v>
      </c>
      <c r="AJ2061">
        <v>96.695665142494207</v>
      </c>
      <c r="AK2061">
        <v>20.933986781113202</v>
      </c>
    </row>
    <row r="2062" spans="1:37" x14ac:dyDescent="0.2">
      <c r="A2062" t="str">
        <f>"20200111153437836"</f>
        <v>20200111153437836</v>
      </c>
      <c r="B2062" t="str">
        <f>"1578728077828642"</f>
        <v>1578728077828642</v>
      </c>
      <c r="C2062" t="s">
        <v>37</v>
      </c>
      <c r="D2062">
        <v>4.5573879999999898</v>
      </c>
      <c r="E2062">
        <v>0.47718319999999997</v>
      </c>
      <c r="F2062" t="s">
        <v>52</v>
      </c>
      <c r="G2062">
        <v>-468.87520000000001</v>
      </c>
      <c r="H2062" s="1">
        <v>3.3004050000000001E-6</v>
      </c>
      <c r="I2062">
        <v>282.0018</v>
      </c>
      <c r="J2062">
        <v>-448.20760000000001</v>
      </c>
      <c r="K2062">
        <v>1.1043989999999999</v>
      </c>
      <c r="L2062">
        <v>284.5634</v>
      </c>
      <c r="M2062">
        <v>-0.9998264</v>
      </c>
      <c r="N2062">
        <v>0</v>
      </c>
      <c r="O2062">
        <v>-6.3187390000000003E-3</v>
      </c>
      <c r="P2062">
        <v>-0.99762189999999995</v>
      </c>
      <c r="Q2062">
        <v>2.6110930000000001E-2</v>
      </c>
      <c r="R2062">
        <v>-6.3788330000000004E-2</v>
      </c>
      <c r="S2062">
        <v>-2.9880070000000001</v>
      </c>
      <c r="T2062">
        <v>-0.1575145</v>
      </c>
      <c r="U2062">
        <v>-0.36557009999999901</v>
      </c>
      <c r="V2062">
        <v>-5.7392619999999998E-2</v>
      </c>
      <c r="W2062">
        <v>4.3723289999999998E-2</v>
      </c>
      <c r="X2062">
        <v>0.9973938</v>
      </c>
      <c r="Y2062">
        <v>-0.1150163</v>
      </c>
      <c r="Z2062">
        <v>-2.6865929999999902E-3</v>
      </c>
      <c r="AA2062">
        <v>0.99336000000000002</v>
      </c>
      <c r="AB2062">
        <v>42</v>
      </c>
      <c r="AC2062">
        <v>-20.6676</v>
      </c>
      <c r="AD2062">
        <v>-1.1043956995949999</v>
      </c>
      <c r="AE2062">
        <v>-2.5615999999999901</v>
      </c>
      <c r="AF2062">
        <v>-2.4241184673688099</v>
      </c>
      <c r="AG2062">
        <v>-1.1043956995949999</v>
      </c>
      <c r="AH2062">
        <v>20.625372866800099</v>
      </c>
      <c r="AI2062">
        <v>93.044090723242107</v>
      </c>
      <c r="AJ2062">
        <v>96.703271706094597</v>
      </c>
      <c r="AK2062">
        <v>20.796683536075101</v>
      </c>
    </row>
    <row r="2063" spans="1:37" x14ac:dyDescent="0.2">
      <c r="A2063" t="str">
        <f>"20200111153437850"</f>
        <v>20200111153437850</v>
      </c>
      <c r="B2063" t="str">
        <f>"1578728077838400"</f>
        <v>1578728077838400</v>
      </c>
      <c r="C2063" t="s">
        <v>37</v>
      </c>
      <c r="D2063">
        <v>4.5509329999999997</v>
      </c>
      <c r="E2063">
        <v>0.47720489999999999</v>
      </c>
      <c r="F2063" t="s">
        <v>52</v>
      </c>
      <c r="G2063">
        <v>-469.02960000000002</v>
      </c>
      <c r="H2063" s="1">
        <v>3.382124E-6</v>
      </c>
      <c r="I2063">
        <v>282.01310000000001</v>
      </c>
      <c r="J2063">
        <v>-448.44639999999998</v>
      </c>
      <c r="K2063">
        <v>1.1044350000000001</v>
      </c>
      <c r="L2063">
        <v>284.56220000000002</v>
      </c>
      <c r="M2063">
        <v>-0.9998243</v>
      </c>
      <c r="N2063">
        <v>0</v>
      </c>
      <c r="O2063">
        <v>-5.920944E-3</v>
      </c>
      <c r="P2063">
        <v>-0.99759850000000005</v>
      </c>
      <c r="Q2063">
        <v>2.5978649999999999E-2</v>
      </c>
      <c r="R2063">
        <v>-6.4207020000000004E-2</v>
      </c>
      <c r="S2063">
        <v>-2.987946</v>
      </c>
      <c r="T2063">
        <v>-0.158479799999999</v>
      </c>
      <c r="U2063">
        <v>-0.36596679999999998</v>
      </c>
      <c r="V2063">
        <v>-5.8208900000000001E-2</v>
      </c>
      <c r="W2063">
        <v>4.3842869999999999E-2</v>
      </c>
      <c r="X2063">
        <v>0.99734120000000004</v>
      </c>
      <c r="Y2063">
        <v>-0.1155407</v>
      </c>
      <c r="Z2063">
        <v>-2.7379179999999898E-3</v>
      </c>
      <c r="AA2063">
        <v>0.99329889999999998</v>
      </c>
      <c r="AB2063">
        <v>42</v>
      </c>
      <c r="AC2063">
        <v>-20.583200000000001</v>
      </c>
      <c r="AD2063">
        <v>-1.1044316178760001</v>
      </c>
      <c r="AE2063">
        <v>-2.5491000000000099</v>
      </c>
      <c r="AF2063">
        <v>-2.4203010972121199</v>
      </c>
      <c r="AG2063">
        <v>-1.1044316178760001</v>
      </c>
      <c r="AH2063">
        <v>20.539692656195601</v>
      </c>
      <c r="AI2063">
        <v>93.056756367228502</v>
      </c>
      <c r="AJ2063">
        <v>96.720475449932593</v>
      </c>
      <c r="AK2063">
        <v>20.711267489236601</v>
      </c>
    </row>
    <row r="2064" spans="1:37" x14ac:dyDescent="0.2">
      <c r="A2064" t="str">
        <f>"20200111153437863"</f>
        <v>20200111153437863</v>
      </c>
      <c r="B2064" t="str">
        <f>"1578728077857919"</f>
        <v>1578728077857919</v>
      </c>
      <c r="C2064" t="s">
        <v>37</v>
      </c>
      <c r="D2064">
        <v>4.5609659999999996</v>
      </c>
      <c r="E2064">
        <v>0.47709589999999902</v>
      </c>
      <c r="F2064" t="s">
        <v>52</v>
      </c>
      <c r="G2064">
        <v>-469.1961</v>
      </c>
      <c r="H2064" s="1">
        <v>3.47065E-6</v>
      </c>
      <c r="I2064">
        <v>282.01490000000001</v>
      </c>
      <c r="J2064">
        <v>-448.68630000000002</v>
      </c>
      <c r="K2064">
        <v>1.104473</v>
      </c>
      <c r="L2064">
        <v>284.56119999999999</v>
      </c>
      <c r="M2064">
        <v>-0.99982209999999905</v>
      </c>
      <c r="N2064">
        <v>0</v>
      </c>
      <c r="O2064">
        <v>-5.5215350000000002E-3</v>
      </c>
      <c r="P2064">
        <v>-0.99751659999999998</v>
      </c>
      <c r="Q2064">
        <v>2.616661E-2</v>
      </c>
      <c r="R2064">
        <v>-6.5392370000000005E-2</v>
      </c>
      <c r="S2064">
        <v>-2.987762</v>
      </c>
      <c r="T2064">
        <v>-0.15902720000000001</v>
      </c>
      <c r="U2064">
        <v>-0.36679079999999997</v>
      </c>
      <c r="V2064">
        <v>-5.9792730000000002E-2</v>
      </c>
      <c r="W2064">
        <v>4.4284949999999997E-2</v>
      </c>
      <c r="X2064">
        <v>0.997228</v>
      </c>
      <c r="Y2064">
        <v>-0.1162121</v>
      </c>
      <c r="Z2064">
        <v>-2.7864349999999999E-3</v>
      </c>
      <c r="AA2064">
        <v>0.99322049999999995</v>
      </c>
      <c r="AB2064">
        <v>42</v>
      </c>
      <c r="AC2064">
        <v>-20.509799999999899</v>
      </c>
      <c r="AD2064">
        <v>-1.10446952935</v>
      </c>
      <c r="AE2064">
        <v>-2.5462999999999698</v>
      </c>
      <c r="AF2064">
        <v>-2.4260685810665601</v>
      </c>
      <c r="AG2064">
        <v>-1.10446952935</v>
      </c>
      <c r="AH2064">
        <v>20.465102900705698</v>
      </c>
      <c r="AI2064">
        <v>93.067727408766103</v>
      </c>
      <c r="AJ2064">
        <v>96.760668374402599</v>
      </c>
      <c r="AK2064">
        <v>20.6379770917058</v>
      </c>
    </row>
    <row r="2065" spans="1:37" x14ac:dyDescent="0.2">
      <c r="A2065" t="str">
        <f>"20200111153437878"</f>
        <v>20200111153437878</v>
      </c>
      <c r="B2065" t="str">
        <f>"1578728077868326"</f>
        <v>1578728077868326</v>
      </c>
      <c r="C2065" t="s">
        <v>37</v>
      </c>
      <c r="D2065">
        <v>4.549518</v>
      </c>
      <c r="E2065">
        <v>0.47710550000000002</v>
      </c>
      <c r="F2065" t="s">
        <v>52</v>
      </c>
      <c r="G2065">
        <v>-469.34280000000001</v>
      </c>
      <c r="H2065" s="1">
        <v>3.549611E-6</v>
      </c>
      <c r="I2065">
        <v>281.99450000000002</v>
      </c>
      <c r="J2065">
        <v>-448.97989999999999</v>
      </c>
      <c r="K2065">
        <v>1.1045119999999999</v>
      </c>
      <c r="L2065">
        <v>284.56</v>
      </c>
      <c r="M2065">
        <v>-0.99981909999999896</v>
      </c>
      <c r="N2065">
        <v>0</v>
      </c>
      <c r="O2065">
        <v>-5.0322830000000002E-3</v>
      </c>
      <c r="P2065">
        <v>-0.99750479999999997</v>
      </c>
      <c r="Q2065">
        <v>2.6144489999999999E-2</v>
      </c>
      <c r="R2065">
        <v>-6.5580689999999997E-2</v>
      </c>
      <c r="S2065">
        <v>-2.9873349999999999</v>
      </c>
      <c r="T2065">
        <v>-0.15972739999999999</v>
      </c>
      <c r="U2065">
        <v>-0.3711853</v>
      </c>
      <c r="V2065">
        <v>-6.046907E-2</v>
      </c>
      <c r="W2065">
        <v>4.4572670000000002E-2</v>
      </c>
      <c r="X2065">
        <v>0.99717440000000002</v>
      </c>
      <c r="Y2065">
        <v>-0.118149399999999</v>
      </c>
      <c r="Z2065">
        <v>-2.8764289999999998E-3</v>
      </c>
      <c r="AA2065">
        <v>0.99299169999999903</v>
      </c>
      <c r="AB2065">
        <v>42</v>
      </c>
      <c r="AC2065">
        <v>-20.3629</v>
      </c>
      <c r="AD2065">
        <v>-1.1045084503889999</v>
      </c>
      <c r="AE2065">
        <v>-2.5654999999999801</v>
      </c>
      <c r="AF2065">
        <v>-2.45586585925086</v>
      </c>
      <c r="AG2065">
        <v>-1.1045084503889999</v>
      </c>
      <c r="AH2065">
        <v>20.3167145538246</v>
      </c>
      <c r="AI2065">
        <v>93.089349850983098</v>
      </c>
      <c r="AJ2065">
        <v>96.892421079074893</v>
      </c>
      <c r="AK2065">
        <v>20.4943920694711</v>
      </c>
    </row>
    <row r="2066" spans="1:37" x14ac:dyDescent="0.2">
      <c r="A2066" t="str">
        <f>"20200111153437892"</f>
        <v>20200111153437892</v>
      </c>
      <c r="B2066" t="str">
        <f>"1578728077887846"</f>
        <v>1578728077887846</v>
      </c>
      <c r="C2066" t="s">
        <v>37</v>
      </c>
      <c r="D2066">
        <v>4.5791029999999999</v>
      </c>
      <c r="E2066">
        <v>0.47691270000000002</v>
      </c>
      <c r="F2066" t="s">
        <v>52</v>
      </c>
      <c r="G2066">
        <v>-469.57049999999998</v>
      </c>
      <c r="H2066" s="1">
        <v>3.670566E-6</v>
      </c>
      <c r="I2066">
        <v>281.9991</v>
      </c>
      <c r="J2066">
        <v>-449.23689999999999</v>
      </c>
      <c r="K2066">
        <v>1.104549</v>
      </c>
      <c r="L2066">
        <v>284.5591</v>
      </c>
      <c r="M2066">
        <v>-0.99981600000000004</v>
      </c>
      <c r="N2066">
        <v>0</v>
      </c>
      <c r="O2066">
        <v>-4.6045920000000002E-3</v>
      </c>
      <c r="P2066">
        <v>-0.99748549999999903</v>
      </c>
      <c r="Q2066">
        <v>2.611072E-2</v>
      </c>
      <c r="R2066">
        <v>-6.5889719999999999E-2</v>
      </c>
      <c r="S2066">
        <v>-2.9872740000000002</v>
      </c>
      <c r="T2066">
        <v>-0.1602411</v>
      </c>
      <c r="U2066">
        <v>-0.37152099999999999</v>
      </c>
      <c r="V2066">
        <v>-6.1204439999999999E-2</v>
      </c>
      <c r="W2066">
        <v>4.4818950000000003E-2</v>
      </c>
      <c r="X2066">
        <v>0.99711849999999902</v>
      </c>
      <c r="Y2066">
        <v>-0.1186841</v>
      </c>
      <c r="Z2066">
        <v>-2.9228169999999999E-3</v>
      </c>
      <c r="AA2066">
        <v>0.99292780000000003</v>
      </c>
      <c r="AB2066">
        <v>42</v>
      </c>
      <c r="AC2066">
        <v>-20.333599999999901</v>
      </c>
      <c r="AD2066">
        <v>-1.104545329434</v>
      </c>
      <c r="AE2066">
        <v>-2.56</v>
      </c>
      <c r="AF2066">
        <v>-2.4591853658909302</v>
      </c>
      <c r="AG2066">
        <v>-1.104545329434</v>
      </c>
      <c r="AH2066">
        <v>20.286247707707201</v>
      </c>
      <c r="AI2066">
        <v>93.0939565148432</v>
      </c>
      <c r="AJ2066">
        <v>96.911912546920902</v>
      </c>
      <c r="AK2066">
        <v>20.464590372324601</v>
      </c>
    </row>
    <row r="2067" spans="1:37" x14ac:dyDescent="0.2">
      <c r="A2067" t="str">
        <f>"20200111153437906"</f>
        <v>20200111153437906</v>
      </c>
      <c r="B2067" t="str">
        <f>"1578728077898582"</f>
        <v>1578728077898582</v>
      </c>
      <c r="C2067" t="s">
        <v>37</v>
      </c>
      <c r="D2067">
        <v>4.5529970000000004</v>
      </c>
      <c r="E2067">
        <v>0.47681220000000002</v>
      </c>
      <c r="F2067" t="s">
        <v>52</v>
      </c>
      <c r="G2067">
        <v>-469.86540000000002</v>
      </c>
      <c r="H2067" s="1">
        <v>3.8285489999999997E-6</v>
      </c>
      <c r="I2067">
        <v>281.97460000000001</v>
      </c>
      <c r="J2067">
        <v>-449.4966</v>
      </c>
      <c r="K2067">
        <v>1.104587</v>
      </c>
      <c r="L2067">
        <v>284.55829999999997</v>
      </c>
      <c r="M2067">
        <v>-0.99981239999999905</v>
      </c>
      <c r="N2067">
        <v>0</v>
      </c>
      <c r="O2067">
        <v>-4.1725989999999999E-3</v>
      </c>
      <c r="P2067">
        <v>-0.99747399999999997</v>
      </c>
      <c r="Q2067">
        <v>2.5727299999999901E-2</v>
      </c>
      <c r="R2067">
        <v>-6.6210899999999906E-2</v>
      </c>
      <c r="S2067">
        <v>-2.9870000000000001</v>
      </c>
      <c r="T2067">
        <v>-0.15993769999999999</v>
      </c>
      <c r="U2067">
        <v>-0.37423709999999999</v>
      </c>
      <c r="V2067">
        <v>-6.1957819999999997E-2</v>
      </c>
      <c r="W2067">
        <v>4.4722730000000002E-2</v>
      </c>
      <c r="X2067">
        <v>0.99707630000000003</v>
      </c>
      <c r="Y2067">
        <v>-0.1200113</v>
      </c>
      <c r="Z2067">
        <v>-2.9757870000000001E-3</v>
      </c>
      <c r="AA2067">
        <v>0.99276799999999998</v>
      </c>
      <c r="AB2067">
        <v>42</v>
      </c>
      <c r="AC2067">
        <v>-20.3688</v>
      </c>
      <c r="AD2067">
        <v>-1.1045831714509999</v>
      </c>
      <c r="AE2067">
        <v>-2.5836999999999599</v>
      </c>
      <c r="AF2067">
        <v>-2.4914605855202998</v>
      </c>
      <c r="AG2067">
        <v>-1.1045831714509999</v>
      </c>
      <c r="AH2067">
        <v>20.320592717372701</v>
      </c>
      <c r="AI2067">
        <v>93.088330691845201</v>
      </c>
      <c r="AJ2067">
        <v>96.990015377282205</v>
      </c>
      <c r="AK2067">
        <v>20.502535653357501</v>
      </c>
    </row>
    <row r="2068" spans="1:37" x14ac:dyDescent="0.2">
      <c r="A2068" t="str">
        <f>"20200111153437918"</f>
        <v>20200111153437918</v>
      </c>
      <c r="B2068" t="str">
        <f>"1578728077908342"</f>
        <v>1578728077908342</v>
      </c>
      <c r="C2068" t="s">
        <v>37</v>
      </c>
      <c r="D2068">
        <v>4.5936919999999999</v>
      </c>
      <c r="E2068">
        <v>0.47678379999999998</v>
      </c>
      <c r="F2068" t="s">
        <v>50</v>
      </c>
      <c r="G2068">
        <v>-469.97890000000001</v>
      </c>
      <c r="H2068" s="1">
        <v>6.3931959999999999E-6</v>
      </c>
      <c r="I2068">
        <v>281.9821</v>
      </c>
      <c r="J2068">
        <v>-449.71460000000002</v>
      </c>
      <c r="K2068">
        <v>1.1046199999999999</v>
      </c>
      <c r="L2068">
        <v>284.55770000000001</v>
      </c>
      <c r="M2068">
        <v>-0.99980930000000001</v>
      </c>
      <c r="N2068">
        <v>0</v>
      </c>
      <c r="O2068">
        <v>-3.8097640000000002E-3</v>
      </c>
      <c r="P2068">
        <v>-0.99741360000000001</v>
      </c>
      <c r="Q2068">
        <v>2.5624640000000001E-2</v>
      </c>
      <c r="R2068">
        <v>-6.7154790000000006E-2</v>
      </c>
      <c r="S2068">
        <v>-2.9868160000000001</v>
      </c>
      <c r="T2068">
        <v>-0.16107460000000001</v>
      </c>
      <c r="U2068">
        <v>-0.37567139999999999</v>
      </c>
      <c r="V2068">
        <v>-6.3263890000000003E-2</v>
      </c>
      <c r="W2068">
        <v>4.48642E-2</v>
      </c>
      <c r="X2068">
        <v>0.99698790000000004</v>
      </c>
      <c r="Y2068">
        <v>-0.1208443</v>
      </c>
      <c r="Z2068">
        <v>-3.0388359999999901E-3</v>
      </c>
      <c r="AA2068">
        <v>0.99266679999999996</v>
      </c>
      <c r="AB2068">
        <v>41</v>
      </c>
      <c r="AC2068">
        <v>-20.264299999999899</v>
      </c>
      <c r="AD2068">
        <v>-1.104613606804</v>
      </c>
      <c r="AE2068">
        <v>-2.5756000000000001</v>
      </c>
      <c r="AF2068">
        <v>-2.4910806733621098</v>
      </c>
      <c r="AG2068">
        <v>-1.104613606804</v>
      </c>
      <c r="AH2068">
        <v>20.214856090346</v>
      </c>
      <c r="AI2068">
        <v>93.104304936286795</v>
      </c>
      <c r="AJ2068">
        <v>97.025152419761596</v>
      </c>
      <c r="AK2068">
        <v>20.397697441008699</v>
      </c>
    </row>
    <row r="2069" spans="1:37" x14ac:dyDescent="0.2">
      <c r="A2069" t="str">
        <f>"20200111153437941"</f>
        <v>20200111153437941</v>
      </c>
      <c r="B2069" t="str">
        <f>"1578728077927863"</f>
        <v>1578728077927863</v>
      </c>
      <c r="C2069" t="s">
        <v>37</v>
      </c>
      <c r="D2069">
        <v>4.5478350000000001</v>
      </c>
      <c r="E2069">
        <v>0.47674329999999998</v>
      </c>
      <c r="F2069" t="s">
        <v>50</v>
      </c>
      <c r="G2069">
        <v>-470.10550000000001</v>
      </c>
      <c r="H2069" s="1">
        <v>6.3361519999999999E-6</v>
      </c>
      <c r="I2069">
        <v>281.97190000000001</v>
      </c>
      <c r="J2069">
        <v>-450.12779999999998</v>
      </c>
      <c r="K2069">
        <v>1.104684</v>
      </c>
      <c r="L2069">
        <v>284.55680000000001</v>
      </c>
      <c r="M2069">
        <v>-0.99980279999999999</v>
      </c>
      <c r="N2069">
        <v>0</v>
      </c>
      <c r="O2069">
        <v>-3.1226629999999999E-3</v>
      </c>
      <c r="P2069">
        <v>-0.99738389999999999</v>
      </c>
      <c r="Q2069">
        <v>2.567442E-2</v>
      </c>
      <c r="R2069">
        <v>-6.7571300000000001E-2</v>
      </c>
      <c r="S2069">
        <v>-2.9864809999999999</v>
      </c>
      <c r="T2069">
        <v>-0.1617837</v>
      </c>
      <c r="U2069">
        <v>-0.37872309999999998</v>
      </c>
      <c r="V2069">
        <v>-6.4365820000000004E-2</v>
      </c>
      <c r="W2069">
        <v>4.535865E-2</v>
      </c>
      <c r="X2069">
        <v>0.99689499999999998</v>
      </c>
      <c r="Y2069">
        <v>-0.12253360000000001</v>
      </c>
      <c r="Z2069">
        <v>-3.1349289999999998E-3</v>
      </c>
      <c r="AA2069">
        <v>0.99245939999999999</v>
      </c>
      <c r="AB2069">
        <v>41</v>
      </c>
      <c r="AC2069">
        <v>-19.977699999999999</v>
      </c>
      <c r="AD2069">
        <v>-1.104677663848</v>
      </c>
      <c r="AE2069">
        <v>-2.5849000000000002</v>
      </c>
      <c r="AF2069">
        <v>-2.5149287472658099</v>
      </c>
      <c r="AG2069">
        <v>-1.104677663848</v>
      </c>
      <c r="AH2069">
        <v>19.9257541536936</v>
      </c>
      <c r="AI2069">
        <v>93.148285464696698</v>
      </c>
      <c r="AJ2069">
        <v>97.193548563052602</v>
      </c>
      <c r="AK2069">
        <v>20.1141954335307</v>
      </c>
    </row>
    <row r="2070" spans="1:37" x14ac:dyDescent="0.2">
      <c r="A2070" t="str">
        <f>"20200111153437956"</f>
        <v>20200111153437956</v>
      </c>
      <c r="B2070" t="str">
        <f>"1578728077948358"</f>
        <v>1578728077948358</v>
      </c>
      <c r="C2070" t="s">
        <v>37</v>
      </c>
      <c r="D2070">
        <v>4.5476890000000001</v>
      </c>
      <c r="E2070">
        <v>0.47658620000000002</v>
      </c>
      <c r="F2070" t="s">
        <v>50</v>
      </c>
      <c r="G2070">
        <v>-470.44459999999998</v>
      </c>
      <c r="H2070" s="1">
        <v>6.1857330000000002E-6</v>
      </c>
      <c r="I2070">
        <v>281.97160000000002</v>
      </c>
      <c r="J2070">
        <v>-450.41050000000001</v>
      </c>
      <c r="K2070">
        <v>1.104719</v>
      </c>
      <c r="L2070">
        <v>284.5564</v>
      </c>
      <c r="M2070">
        <v>-0.99979859999999898</v>
      </c>
      <c r="N2070">
        <v>0</v>
      </c>
      <c r="O2070">
        <v>-2.65400599999999E-3</v>
      </c>
      <c r="P2070">
        <v>-0.99739730000000004</v>
      </c>
      <c r="Q2070">
        <v>2.5497700000000002E-2</v>
      </c>
      <c r="R2070">
        <v>-6.7443450000000002E-2</v>
      </c>
      <c r="S2070">
        <v>-2.9863279999999999</v>
      </c>
      <c r="T2070">
        <v>-0.16237449999999901</v>
      </c>
      <c r="U2070">
        <v>-0.38000489999999998</v>
      </c>
      <c r="V2070">
        <v>-6.4705840000000001E-2</v>
      </c>
      <c r="W2070">
        <v>4.5469170000000003E-2</v>
      </c>
      <c r="X2070">
        <v>0.99686799999999998</v>
      </c>
      <c r="Y2070">
        <v>-0.12342110000000001</v>
      </c>
      <c r="Z2070">
        <v>-3.1958099999999999E-3</v>
      </c>
      <c r="AA2070">
        <v>0.99234929999999999</v>
      </c>
      <c r="AB2070">
        <v>41</v>
      </c>
      <c r="AC2070">
        <v>-20.034099999999899</v>
      </c>
      <c r="AD2070">
        <v>-1.104712814267</v>
      </c>
      <c r="AE2070">
        <v>-2.5847999999999698</v>
      </c>
      <c r="AF2070">
        <v>-2.5240607539867002</v>
      </c>
      <c r="AG2070">
        <v>-1.104712814267</v>
      </c>
      <c r="AH2070">
        <v>19.9811310173483</v>
      </c>
      <c r="AI2070">
        <v>93.139635543616507</v>
      </c>
      <c r="AJ2070">
        <v>97.199596084152702</v>
      </c>
      <c r="AK2070">
        <v>20.170197565325399</v>
      </c>
    </row>
    <row r="2071" spans="1:37" x14ac:dyDescent="0.2">
      <c r="A2071" t="str">
        <f>"20200111153437974"</f>
        <v>20200111153437974</v>
      </c>
      <c r="B2071" t="str">
        <f>"1578728077967878"</f>
        <v>1578728077967878</v>
      </c>
      <c r="C2071" t="s">
        <v>37</v>
      </c>
      <c r="D2071">
        <v>4.5399580000000004</v>
      </c>
      <c r="E2071">
        <v>0.47649589999999997</v>
      </c>
      <c r="F2071" t="s">
        <v>50</v>
      </c>
      <c r="G2071">
        <v>-470.5752</v>
      </c>
      <c r="H2071" s="1">
        <v>6.128957E-6</v>
      </c>
      <c r="I2071">
        <v>281.98439999999999</v>
      </c>
      <c r="J2071">
        <v>-450.74639999999999</v>
      </c>
      <c r="K2071">
        <v>1.10476</v>
      </c>
      <c r="L2071">
        <v>284.55610000000001</v>
      </c>
      <c r="M2071">
        <v>-0.9997933</v>
      </c>
      <c r="N2071">
        <v>0</v>
      </c>
      <c r="O2071">
        <v>-2.0986489999999902E-3</v>
      </c>
      <c r="P2071">
        <v>-0.99739159999999905</v>
      </c>
      <c r="Q2071">
        <v>2.5688889999999999E-2</v>
      </c>
      <c r="R2071">
        <v>-6.7453230000000003E-2</v>
      </c>
      <c r="S2071">
        <v>-2.9862669999999998</v>
      </c>
      <c r="T2071">
        <v>-0.16360089999999999</v>
      </c>
      <c r="U2071">
        <v>-0.3808899</v>
      </c>
      <c r="V2071">
        <v>-6.5269949999999993E-2</v>
      </c>
      <c r="W2071">
        <v>4.5984560000000001E-2</v>
      </c>
      <c r="X2071">
        <v>0.99680749999999996</v>
      </c>
      <c r="Y2071">
        <v>-0.12425940000000001</v>
      </c>
      <c r="Z2071">
        <v>-3.2730559999999999E-3</v>
      </c>
      <c r="AA2071">
        <v>0.99224439999999903</v>
      </c>
      <c r="AB2071">
        <v>41</v>
      </c>
      <c r="AC2071">
        <v>-19.828800000000001</v>
      </c>
      <c r="AD2071">
        <v>-1.104753871043</v>
      </c>
      <c r="AE2071">
        <v>-2.5717000000000199</v>
      </c>
      <c r="AF2071">
        <v>-2.5223719159080802</v>
      </c>
      <c r="AG2071">
        <v>-1.104753871043</v>
      </c>
      <c r="AH2071">
        <v>19.773789728555101</v>
      </c>
      <c r="AI2071">
        <v>93.1721173676288</v>
      </c>
      <c r="AJ2071">
        <v>97.269469008951305</v>
      </c>
      <c r="AK2071">
        <v>19.964608722107702</v>
      </c>
    </row>
    <row r="2072" spans="1:37" x14ac:dyDescent="0.2">
      <c r="A2072" t="str">
        <f>"20200111153437997"</f>
        <v>20200111153437997</v>
      </c>
      <c r="B2072" t="str">
        <f>"1578728077988374"</f>
        <v>1578728077988374</v>
      </c>
      <c r="C2072" t="s">
        <v>37</v>
      </c>
      <c r="D2072">
        <v>4.5359379999999998</v>
      </c>
      <c r="E2072">
        <v>0.476383</v>
      </c>
      <c r="F2072" t="s">
        <v>50</v>
      </c>
      <c r="G2072">
        <v>-470.93150000000003</v>
      </c>
      <c r="H2072" s="1">
        <v>5.970398E-6</v>
      </c>
      <c r="I2072">
        <v>281.97840000000002</v>
      </c>
      <c r="J2072">
        <v>-451.14949999999999</v>
      </c>
      <c r="K2072">
        <v>1.1048100000000001</v>
      </c>
      <c r="L2072">
        <v>284.55599999999998</v>
      </c>
      <c r="M2072">
        <v>-0.99978690000000003</v>
      </c>
      <c r="N2072">
        <v>0</v>
      </c>
      <c r="O2072">
        <v>-1.4362139999999999E-3</v>
      </c>
      <c r="P2072">
        <v>-0.99740019999999996</v>
      </c>
      <c r="Q2072">
        <v>2.5593669999999999E-2</v>
      </c>
      <c r="R2072">
        <v>-6.7364480000000004E-2</v>
      </c>
      <c r="S2072">
        <v>-2.9862669999999998</v>
      </c>
      <c r="T2072">
        <v>-0.16344149999999999</v>
      </c>
      <c r="U2072">
        <v>-0.38134770000000001</v>
      </c>
      <c r="V2072">
        <v>-6.5842349999999994E-2</v>
      </c>
      <c r="W2072">
        <v>4.6255600000000001E-2</v>
      </c>
      <c r="X2072">
        <v>0.99675729999999996</v>
      </c>
      <c r="Y2072">
        <v>-0.1250647</v>
      </c>
      <c r="Z2072">
        <v>-3.327857E-3</v>
      </c>
      <c r="AA2072">
        <v>0.992143</v>
      </c>
      <c r="AB2072">
        <v>41</v>
      </c>
      <c r="AC2072">
        <v>-19.782</v>
      </c>
      <c r="AD2072">
        <v>-1.1048040296020001</v>
      </c>
      <c r="AE2072">
        <v>-2.5775999999999599</v>
      </c>
      <c r="AF2072">
        <v>-2.54138561465165</v>
      </c>
      <c r="AG2072">
        <v>-1.1048040296020001</v>
      </c>
      <c r="AH2072">
        <v>19.725184563560799</v>
      </c>
      <c r="AI2072">
        <v>93.1795502878376</v>
      </c>
      <c r="AJ2072">
        <v>97.341523447347598</v>
      </c>
      <c r="AK2072">
        <v>19.918888996445499</v>
      </c>
    </row>
    <row r="2073" spans="1:37" x14ac:dyDescent="0.2">
      <c r="A2073" t="str">
        <f>"20200111153438013"</f>
        <v>20200111153438013</v>
      </c>
      <c r="B2073" t="str">
        <f>"1578728078007894"</f>
        <v>1578728078007894</v>
      </c>
      <c r="C2073" t="s">
        <v>37</v>
      </c>
      <c r="D2073">
        <v>4.5254500000000002</v>
      </c>
      <c r="E2073">
        <v>0.47613420000000001</v>
      </c>
      <c r="F2073" t="s">
        <v>50</v>
      </c>
      <c r="G2073">
        <v>-471.23770000000002</v>
      </c>
      <c r="H2073" s="1">
        <v>5.8353249999999999E-6</v>
      </c>
      <c r="I2073">
        <v>281.98649999999998</v>
      </c>
      <c r="J2073">
        <v>-451.44799999999998</v>
      </c>
      <c r="K2073">
        <v>1.1048439999999999</v>
      </c>
      <c r="L2073">
        <v>284.55599999999998</v>
      </c>
      <c r="M2073">
        <v>-0.99978239999999996</v>
      </c>
      <c r="N2073">
        <v>0</v>
      </c>
      <c r="O2073">
        <v>-9.5070739999999999E-4</v>
      </c>
      <c r="P2073">
        <v>-0.99743320000000002</v>
      </c>
      <c r="Q2073">
        <v>2.5567320000000001E-2</v>
      </c>
      <c r="R2073">
        <v>-6.6884410000000005E-2</v>
      </c>
      <c r="S2073">
        <v>-2.9862060000000001</v>
      </c>
      <c r="T2073">
        <v>-0.164234299999999</v>
      </c>
      <c r="U2073">
        <v>-0.38195800000000002</v>
      </c>
      <c r="V2073">
        <v>-6.5847370000000002E-2</v>
      </c>
      <c r="W2073">
        <v>4.6476610000000002E-2</v>
      </c>
      <c r="X2073">
        <v>0.99674669999999899</v>
      </c>
      <c r="Y2073">
        <v>-0.125745</v>
      </c>
      <c r="Z2073">
        <v>-3.3891959999999902E-3</v>
      </c>
      <c r="AA2073">
        <v>0.99205679999999996</v>
      </c>
      <c r="AB2073">
        <v>41</v>
      </c>
      <c r="AC2073">
        <v>-19.7896999999999</v>
      </c>
      <c r="AD2073">
        <v>-1.1048381646750001</v>
      </c>
      <c r="AE2073">
        <v>-2.5695000000000001</v>
      </c>
      <c r="AF2073">
        <v>-2.5428860908567499</v>
      </c>
      <c r="AG2073">
        <v>-1.1048381646750001</v>
      </c>
      <c r="AH2073">
        <v>19.731653022160099</v>
      </c>
      <c r="AI2073">
        <v>93.178594512579807</v>
      </c>
      <c r="AJ2073">
        <v>97.343428850125306</v>
      </c>
      <c r="AK2073">
        <v>19.925487899374399</v>
      </c>
    </row>
    <row r="2074" spans="1:37" x14ac:dyDescent="0.2">
      <c r="A2074" t="str">
        <f>"20200111153438027"</f>
        <v>20200111153438027</v>
      </c>
      <c r="B2074" t="str">
        <f>"1578728078017655"</f>
        <v>1578728078017655</v>
      </c>
      <c r="C2074" t="s">
        <v>37</v>
      </c>
      <c r="D2074">
        <v>4.500095</v>
      </c>
      <c r="E2074">
        <v>0.47605749999999902</v>
      </c>
      <c r="F2074" t="s">
        <v>50</v>
      </c>
      <c r="G2074">
        <v>-471.3879</v>
      </c>
      <c r="H2074" s="1">
        <v>5.7700709999999999E-6</v>
      </c>
      <c r="I2074">
        <v>282.00189999999998</v>
      </c>
      <c r="J2074">
        <v>-451.70580000000001</v>
      </c>
      <c r="K2074">
        <v>1.1048719999999901</v>
      </c>
      <c r="L2074">
        <v>284.55619999999999</v>
      </c>
      <c r="M2074">
        <v>-0.99977830000000001</v>
      </c>
      <c r="N2074">
        <v>0</v>
      </c>
      <c r="O2074">
        <v>-5.3522580000000001E-4</v>
      </c>
      <c r="P2074">
        <v>-0.99745289999999998</v>
      </c>
      <c r="Q2074">
        <v>2.5566769999999999E-2</v>
      </c>
      <c r="R2074">
        <v>-6.6587350000000003E-2</v>
      </c>
      <c r="S2074">
        <v>-2.986237</v>
      </c>
      <c r="T2074">
        <v>-0.1654622</v>
      </c>
      <c r="U2074">
        <v>-0.38250729999999999</v>
      </c>
      <c r="V2074">
        <v>-6.5965590000000005E-2</v>
      </c>
      <c r="W2074">
        <v>4.6675710000000002E-2</v>
      </c>
      <c r="X2074">
        <v>0.99672959999999999</v>
      </c>
      <c r="Y2074">
        <v>-0.12633119999999901</v>
      </c>
      <c r="Z2074">
        <v>-3.4534990000000001E-3</v>
      </c>
      <c r="AA2074">
        <v>0.99198209999999998</v>
      </c>
      <c r="AB2074">
        <v>41</v>
      </c>
      <c r="AC2074">
        <v>-19.682099999999899</v>
      </c>
      <c r="AD2074">
        <v>-1.10486622992899</v>
      </c>
      <c r="AE2074">
        <v>-2.5543000000000098</v>
      </c>
      <c r="AF2074">
        <v>-2.5359041402715201</v>
      </c>
      <c r="AG2074">
        <v>-1.10486622992899</v>
      </c>
      <c r="AH2074">
        <v>19.622653815475601</v>
      </c>
      <c r="AI2074">
        <v>93.196149591029098</v>
      </c>
      <c r="AJ2074">
        <v>97.363720292534595</v>
      </c>
      <c r="AK2074">
        <v>19.816661725847801</v>
      </c>
    </row>
    <row r="2075" spans="1:37" x14ac:dyDescent="0.2">
      <c r="A2075" t="str">
        <f>"20200111153438042"</f>
        <v>20200111153438042</v>
      </c>
      <c r="B2075" t="str">
        <f>"1578728078038150"</f>
        <v>1578728078038150</v>
      </c>
      <c r="C2075" t="s">
        <v>37</v>
      </c>
      <c r="D2075">
        <v>4.5290939999999997</v>
      </c>
      <c r="E2075">
        <v>0.47583429999999999</v>
      </c>
      <c r="F2075" t="s">
        <v>50</v>
      </c>
      <c r="G2075">
        <v>-471.58710000000002</v>
      </c>
      <c r="H2075" s="1">
        <v>5.68269E-6</v>
      </c>
      <c r="I2075">
        <v>282.0127</v>
      </c>
      <c r="J2075">
        <v>-451.952</v>
      </c>
      <c r="K2075">
        <v>1.104895</v>
      </c>
      <c r="L2075">
        <v>284.55650000000003</v>
      </c>
      <c r="M2075">
        <v>-0.99977479999999996</v>
      </c>
      <c r="N2075">
        <v>0</v>
      </c>
      <c r="O2075">
        <v>-1.418856E-4</v>
      </c>
      <c r="P2075">
        <v>-0.99746259999999998</v>
      </c>
      <c r="Q2075">
        <v>2.5391569999999999E-2</v>
      </c>
      <c r="R2075">
        <v>-6.6510509999999995E-2</v>
      </c>
      <c r="S2075">
        <v>-2.9864199999999999</v>
      </c>
      <c r="T2075">
        <v>-0.1659648</v>
      </c>
      <c r="U2075">
        <v>-0.38208009999999998</v>
      </c>
      <c r="V2075">
        <v>-6.6282569999999999E-2</v>
      </c>
      <c r="W2075">
        <v>4.6680470000000002E-2</v>
      </c>
      <c r="X2075">
        <v>0.99670829999999999</v>
      </c>
      <c r="Y2075">
        <v>-0.12657199999999999</v>
      </c>
      <c r="Z2075">
        <v>-3.4922130000000001E-3</v>
      </c>
      <c r="AA2075">
        <v>0.99195129999999998</v>
      </c>
      <c r="AB2075">
        <v>40</v>
      </c>
      <c r="AC2075">
        <v>-19.635100000000001</v>
      </c>
      <c r="AD2075">
        <v>-1.1048893173100001</v>
      </c>
      <c r="AE2075">
        <v>-2.5438000000000298</v>
      </c>
      <c r="AF2075">
        <v>-2.53312482352462</v>
      </c>
      <c r="AG2075">
        <v>-1.1048893173100001</v>
      </c>
      <c r="AH2075">
        <v>19.574502452355802</v>
      </c>
      <c r="AI2075">
        <v>93.203990715926693</v>
      </c>
      <c r="AJ2075">
        <v>97.373633697974498</v>
      </c>
      <c r="AK2075">
        <v>19.768627874294801</v>
      </c>
    </row>
    <row r="2076" spans="1:37" x14ac:dyDescent="0.2">
      <c r="A2076" t="str">
        <f>"20200111153438056"</f>
        <v>20200111153438056</v>
      </c>
      <c r="B2076" t="str">
        <f>"1578728078047910"</f>
        <v>1578728078047910</v>
      </c>
      <c r="C2076" t="s">
        <v>37</v>
      </c>
      <c r="D2076">
        <v>4.5438890000000001</v>
      </c>
      <c r="E2076">
        <v>0.47572779999999998</v>
      </c>
      <c r="F2076" t="s">
        <v>50</v>
      </c>
      <c r="G2076">
        <v>-471.69029999999998</v>
      </c>
      <c r="H2076" s="1">
        <v>5.6377530000000002E-6</v>
      </c>
      <c r="I2076">
        <v>282.02210000000002</v>
      </c>
      <c r="J2076">
        <v>-452.22890000000001</v>
      </c>
      <c r="K2076">
        <v>1.1049249999999999</v>
      </c>
      <c r="L2076">
        <v>284.55689999999998</v>
      </c>
      <c r="M2076">
        <v>-0.99977079999999996</v>
      </c>
      <c r="N2076">
        <v>0</v>
      </c>
      <c r="O2076">
        <v>2.94034599999999E-4</v>
      </c>
      <c r="P2076">
        <v>-0.99748099999999995</v>
      </c>
      <c r="Q2076">
        <v>2.5105160000000001E-2</v>
      </c>
      <c r="R2076">
        <v>-6.6343550000000001E-2</v>
      </c>
      <c r="S2076">
        <v>-2.986389</v>
      </c>
      <c r="T2076">
        <v>-0.16716909999999999</v>
      </c>
      <c r="U2076">
        <v>-0.3834534</v>
      </c>
      <c r="V2076">
        <v>-6.6552829999999993E-2</v>
      </c>
      <c r="W2076">
        <v>4.6579019999999999E-2</v>
      </c>
      <c r="X2076">
        <v>0.99669509999999994</v>
      </c>
      <c r="Y2076">
        <v>-0.1274497</v>
      </c>
      <c r="Z2076">
        <v>-3.5661820000000002E-3</v>
      </c>
      <c r="AA2076">
        <v>0.99183860000000001</v>
      </c>
      <c r="AB2076">
        <v>40</v>
      </c>
      <c r="AC2076">
        <v>-19.461399999999902</v>
      </c>
      <c r="AD2076">
        <v>-1.1049193622469999</v>
      </c>
      <c r="AE2076">
        <v>-2.5347999999999602</v>
      </c>
      <c r="AF2076">
        <v>-2.5324964745663898</v>
      </c>
      <c r="AG2076">
        <v>-1.1049193622469999</v>
      </c>
      <c r="AH2076">
        <v>19.3991656781286</v>
      </c>
      <c r="AI2076">
        <v>93.232507208252599</v>
      </c>
      <c r="AJ2076">
        <v>97.437711298269505</v>
      </c>
      <c r="AK2076">
        <v>19.594948690880599</v>
      </c>
    </row>
    <row r="2077" spans="1:37" x14ac:dyDescent="0.2">
      <c r="A2077" t="str">
        <f>"20200111153438075"</f>
        <v>20200111153438075</v>
      </c>
      <c r="B2077" t="str">
        <f>"1578728078068410"</f>
        <v>1578728078068410</v>
      </c>
      <c r="C2077" t="s">
        <v>37</v>
      </c>
      <c r="D2077">
        <v>4.5143079999999998</v>
      </c>
      <c r="E2077">
        <v>0.47549659999999899</v>
      </c>
      <c r="F2077" t="s">
        <v>50</v>
      </c>
      <c r="G2077">
        <v>-471.8073</v>
      </c>
      <c r="H2077" s="1">
        <v>5.5875739999999901E-6</v>
      </c>
      <c r="I2077">
        <v>282.04160000000002</v>
      </c>
      <c r="J2077">
        <v>-452.55070000000001</v>
      </c>
      <c r="K2077">
        <v>1.104957</v>
      </c>
      <c r="L2077">
        <v>284.5575</v>
      </c>
      <c r="M2077">
        <v>-0.99976620000000005</v>
      </c>
      <c r="N2077">
        <v>0</v>
      </c>
      <c r="O2077">
        <v>7.9144190000000002E-4</v>
      </c>
      <c r="P2077">
        <v>-0.99748130000000002</v>
      </c>
      <c r="Q2077">
        <v>2.4910080000000001E-2</v>
      </c>
      <c r="R2077">
        <v>-6.641126E-2</v>
      </c>
      <c r="S2077">
        <v>-2.9863279999999999</v>
      </c>
      <c r="T2077">
        <v>-0.16853589999999999</v>
      </c>
      <c r="U2077">
        <v>-0.38366699999999998</v>
      </c>
      <c r="V2077">
        <v>-6.7118380000000005E-2</v>
      </c>
      <c r="W2077">
        <v>4.6579019999999999E-2</v>
      </c>
      <c r="X2077">
        <v>0.99665720000000002</v>
      </c>
      <c r="Y2077">
        <v>-0.12801070000000001</v>
      </c>
      <c r="Z2077">
        <v>-3.639045E-3</v>
      </c>
      <c r="AA2077">
        <v>0.99176609999999998</v>
      </c>
      <c r="AB2077">
        <v>40</v>
      </c>
      <c r="AC2077">
        <v>-19.256599999999899</v>
      </c>
      <c r="AD2077">
        <v>-1.104951412426</v>
      </c>
      <c r="AE2077">
        <v>-2.5158999999999798</v>
      </c>
      <c r="AF2077">
        <v>-2.5229757447945298</v>
      </c>
      <c r="AG2077">
        <v>-1.104951412426</v>
      </c>
      <c r="AH2077">
        <v>19.192471461255099</v>
      </c>
      <c r="AI2077">
        <v>93.266957370803595</v>
      </c>
      <c r="AJ2077">
        <v>97.488963029158</v>
      </c>
      <c r="AK2077">
        <v>19.3891022232525</v>
      </c>
    </row>
    <row r="2078" spans="1:37" x14ac:dyDescent="0.2">
      <c r="A2078" t="str">
        <f>"20200111153438090"</f>
        <v>20200111153438090</v>
      </c>
      <c r="B2078" t="str">
        <f>"1578728078087927"</f>
        <v>1578728078087927</v>
      </c>
      <c r="C2078" t="s">
        <v>37</v>
      </c>
      <c r="D2078">
        <v>4.5573009999999998</v>
      </c>
      <c r="E2078">
        <v>0.47529079999999901</v>
      </c>
      <c r="F2078" t="s">
        <v>50</v>
      </c>
      <c r="G2078">
        <v>-472.0292</v>
      </c>
      <c r="H2078" s="1">
        <v>5.4892459999999999E-6</v>
      </c>
      <c r="I2078">
        <v>282.04250000000002</v>
      </c>
      <c r="J2078">
        <v>-452.83390000000003</v>
      </c>
      <c r="K2078">
        <v>1.104986</v>
      </c>
      <c r="L2078">
        <v>284.5582</v>
      </c>
      <c r="M2078">
        <v>-0.99976239999999905</v>
      </c>
      <c r="N2078">
        <v>0</v>
      </c>
      <c r="O2078">
        <v>1.220306E-3</v>
      </c>
      <c r="P2078">
        <v>-0.99750269999999996</v>
      </c>
      <c r="Q2078">
        <v>2.4661369999999998E-2</v>
      </c>
      <c r="R2078">
        <v>-6.6185460000000002E-2</v>
      </c>
      <c r="S2078">
        <v>-2.9861149999999999</v>
      </c>
      <c r="T2078">
        <v>-0.1693924</v>
      </c>
      <c r="U2078">
        <v>-0.38555909999999999</v>
      </c>
      <c r="V2078">
        <v>-6.7322560000000004E-2</v>
      </c>
      <c r="W2078">
        <v>4.6485180000000001E-2</v>
      </c>
      <c r="X2078">
        <v>0.99664779999999997</v>
      </c>
      <c r="Y2078">
        <v>-0.1290587</v>
      </c>
      <c r="Z2078">
        <v>-3.7114159999999999E-3</v>
      </c>
      <c r="AA2078">
        <v>0.99162999999999901</v>
      </c>
      <c r="AB2078">
        <v>40</v>
      </c>
      <c r="AC2078">
        <v>-19.1952999999999</v>
      </c>
      <c r="AD2078">
        <v>-1.1049805107540001</v>
      </c>
      <c r="AE2078">
        <v>-2.5156999999999798</v>
      </c>
      <c r="AF2078">
        <v>-2.5308827281153601</v>
      </c>
      <c r="AG2078">
        <v>-1.1049805107540001</v>
      </c>
      <c r="AH2078">
        <v>19.129893852981802</v>
      </c>
      <c r="AI2078">
        <v>93.277349576261997</v>
      </c>
      <c r="AJ2078">
        <v>97.536457473440507</v>
      </c>
      <c r="AK2078">
        <v>19.328196712031101</v>
      </c>
    </row>
    <row r="2079" spans="1:37" x14ac:dyDescent="0.2">
      <c r="A2079" t="str">
        <f>"20200111153438104"</f>
        <v>20200111153438104</v>
      </c>
      <c r="B2079" t="str">
        <f>"1578728078098662"</f>
        <v>1578728078098662</v>
      </c>
      <c r="C2079" t="s">
        <v>37</v>
      </c>
      <c r="D2079">
        <v>4.5413059999999996</v>
      </c>
      <c r="E2079">
        <v>0.4751727</v>
      </c>
      <c r="F2079" t="s">
        <v>50</v>
      </c>
      <c r="G2079">
        <v>-472.19099999999997</v>
      </c>
      <c r="H2079" s="1">
        <v>5.4183619999999999E-6</v>
      </c>
      <c r="I2079">
        <v>282.05259999999998</v>
      </c>
      <c r="J2079">
        <v>-453.07150000000001</v>
      </c>
      <c r="K2079">
        <v>1.1050089999999999</v>
      </c>
      <c r="L2079">
        <v>284.55889999999999</v>
      </c>
      <c r="M2079">
        <v>-0.99975919999999896</v>
      </c>
      <c r="N2079">
        <v>0</v>
      </c>
      <c r="O2079">
        <v>1.574296E-3</v>
      </c>
      <c r="P2079">
        <v>-0.9975001</v>
      </c>
      <c r="Q2079">
        <v>2.4849570000000001E-2</v>
      </c>
      <c r="R2079">
        <v>-6.6151920000000003E-2</v>
      </c>
      <c r="S2079">
        <v>-2.986084</v>
      </c>
      <c r="T2079">
        <v>-0.17045779999999999</v>
      </c>
      <c r="U2079">
        <v>-0.38653559999999998</v>
      </c>
      <c r="V2079">
        <v>-6.7642839999999996E-2</v>
      </c>
      <c r="W2079">
        <v>4.6793830000000002E-2</v>
      </c>
      <c r="X2079">
        <v>0.99661169999999999</v>
      </c>
      <c r="Y2079">
        <v>-0.1297258</v>
      </c>
      <c r="Z2079">
        <v>-3.7737420000000001E-3</v>
      </c>
      <c r="AA2079">
        <v>0.9915427</v>
      </c>
      <c r="AB2079">
        <v>40</v>
      </c>
      <c r="AC2079">
        <v>-19.119499999999899</v>
      </c>
      <c r="AD2079">
        <v>-1.1050035816379999</v>
      </c>
      <c r="AE2079">
        <v>-2.5063</v>
      </c>
      <c r="AF2079">
        <v>-2.5281021086650601</v>
      </c>
      <c r="AG2079">
        <v>-1.1050035816379999</v>
      </c>
      <c r="AH2079">
        <v>19.052963817260199</v>
      </c>
      <c r="AI2079">
        <v>93.290456062911602</v>
      </c>
      <c r="AJ2079">
        <v>97.558318502248198</v>
      </c>
      <c r="AK2079">
        <v>19.251695078851998</v>
      </c>
    </row>
    <row r="2080" spans="1:37" x14ac:dyDescent="0.2">
      <c r="A2080" t="str">
        <f>"20200111153438118"</f>
        <v>20200111153438118</v>
      </c>
      <c r="B2080" t="str">
        <f>"1578728078108424"</f>
        <v>1578728078108424</v>
      </c>
      <c r="C2080" t="s">
        <v>37</v>
      </c>
      <c r="D2080">
        <v>4.5446179999999998</v>
      </c>
      <c r="E2080">
        <v>0.4751727</v>
      </c>
      <c r="F2080" t="s">
        <v>50</v>
      </c>
      <c r="G2080">
        <v>-472.48169999999999</v>
      </c>
      <c r="H2080" s="1">
        <v>5.2884330000000003E-6</v>
      </c>
      <c r="I2080">
        <v>282.04090000000002</v>
      </c>
      <c r="J2080">
        <v>-453.32150000000001</v>
      </c>
      <c r="K2080">
        <v>1.1050340000000001</v>
      </c>
      <c r="L2080">
        <v>284.55959999999999</v>
      </c>
      <c r="M2080">
        <v>-0.99975599999999998</v>
      </c>
      <c r="N2080">
        <v>0</v>
      </c>
      <c r="O2080">
        <v>1.941211E-3</v>
      </c>
      <c r="P2080">
        <v>-0.99750849999999902</v>
      </c>
      <c r="Q2080">
        <v>2.507378E-2</v>
      </c>
      <c r="R2080">
        <v>-6.5944680000000006E-2</v>
      </c>
      <c r="S2080">
        <v>-2.9860530000000001</v>
      </c>
      <c r="T2080">
        <v>-0.169992899999999</v>
      </c>
      <c r="U2080">
        <v>-0.38735959999999903</v>
      </c>
      <c r="V2080">
        <v>-6.7802849999999998E-2</v>
      </c>
      <c r="W2080">
        <v>4.7135360000000001E-2</v>
      </c>
      <c r="X2080">
        <v>0.99658469999999999</v>
      </c>
      <c r="Y2080">
        <v>-0.1303597</v>
      </c>
      <c r="Z2080">
        <v>-3.8021800000000001E-3</v>
      </c>
      <c r="AA2080">
        <v>0.99145949999999905</v>
      </c>
      <c r="AB2080">
        <v>40</v>
      </c>
      <c r="AC2080">
        <v>-19.1601999999999</v>
      </c>
      <c r="AD2080">
        <v>-1.1050287115670001</v>
      </c>
      <c r="AE2080">
        <v>-2.51869999999996</v>
      </c>
      <c r="AF2080">
        <v>-2.54756849493827</v>
      </c>
      <c r="AG2080">
        <v>-1.1050287115670001</v>
      </c>
      <c r="AH2080">
        <v>19.092845710325602</v>
      </c>
      <c r="AI2080">
        <v>93.283354379173204</v>
      </c>
      <c r="AJ2080">
        <v>97.600114902514605</v>
      </c>
      <c r="AK2080">
        <v>19.2937282817004</v>
      </c>
    </row>
    <row r="2081" spans="1:37" x14ac:dyDescent="0.2">
      <c r="A2081" t="str">
        <f>"20200111153438131"</f>
        <v>20200111153438131</v>
      </c>
      <c r="B2081" t="str">
        <f>"1578728078127943"</f>
        <v>1578728078127943</v>
      </c>
      <c r="C2081" t="s">
        <v>37</v>
      </c>
      <c r="D2081">
        <v>4.6782680000000001</v>
      </c>
      <c r="E2081">
        <v>0.47516439999999999</v>
      </c>
      <c r="F2081" t="s">
        <v>50</v>
      </c>
      <c r="G2081">
        <v>-472.80720000000002</v>
      </c>
      <c r="H2081" s="1">
        <v>5.1437490000000003E-6</v>
      </c>
      <c r="I2081">
        <v>282.03699999999998</v>
      </c>
      <c r="J2081">
        <v>-453.54059999999998</v>
      </c>
      <c r="K2081">
        <v>1.1050500000000001</v>
      </c>
      <c r="L2081">
        <v>284.56040000000002</v>
      </c>
      <c r="M2081">
        <v>-0.99975319999999901</v>
      </c>
      <c r="N2081">
        <v>0</v>
      </c>
      <c r="O2081">
        <v>2.2556360000000001E-3</v>
      </c>
      <c r="P2081">
        <v>-0.99751100000000004</v>
      </c>
      <c r="Q2081">
        <v>2.526312E-2</v>
      </c>
      <c r="R2081">
        <v>-6.5830390000000003E-2</v>
      </c>
      <c r="S2081">
        <v>-2.9862060000000001</v>
      </c>
      <c r="T2081">
        <v>-0.16934689999999999</v>
      </c>
      <c r="U2081">
        <v>-0.38659670000000002</v>
      </c>
      <c r="V2081">
        <v>-6.8003439999999998E-2</v>
      </c>
      <c r="W2081">
        <v>4.7415890000000002E-2</v>
      </c>
      <c r="X2081">
        <v>0.99655769999999899</v>
      </c>
      <c r="Y2081">
        <v>-0.130416899999999</v>
      </c>
      <c r="Z2081">
        <v>-3.806987E-3</v>
      </c>
      <c r="AA2081">
        <v>0.99145190000000005</v>
      </c>
      <c r="AB2081">
        <v>40</v>
      </c>
      <c r="AC2081">
        <v>-19.2666</v>
      </c>
      <c r="AD2081">
        <v>-1.105044856251</v>
      </c>
      <c r="AE2081">
        <v>-2.5233999999999801</v>
      </c>
      <c r="AF2081">
        <v>-2.55858772098434</v>
      </c>
      <c r="AG2081">
        <v>-1.105044856251</v>
      </c>
      <c r="AH2081">
        <v>19.198765606498899</v>
      </c>
      <c r="AI2081">
        <v>93.265396204583894</v>
      </c>
      <c r="AJ2081">
        <v>97.590984828047894</v>
      </c>
      <c r="AK2081">
        <v>19.400002476123099</v>
      </c>
    </row>
    <row r="2082" spans="1:37" x14ac:dyDescent="0.2">
      <c r="A2082" t="str">
        <f>"20200111153438153"</f>
        <v>20200111153438153</v>
      </c>
      <c r="B2082" t="str">
        <f>"1578728078148438"</f>
        <v>1578728078148438</v>
      </c>
      <c r="C2082" t="s">
        <v>37</v>
      </c>
      <c r="D2082">
        <v>4.6541759999999996</v>
      </c>
      <c r="E2082">
        <v>0.50322250000000002</v>
      </c>
      <c r="F2082" t="s">
        <v>50</v>
      </c>
      <c r="G2082">
        <v>-473.12349999999998</v>
      </c>
      <c r="H2082" s="1">
        <v>5.0024889999999999E-6</v>
      </c>
      <c r="I2082">
        <v>282.0256</v>
      </c>
      <c r="J2082">
        <v>-453.92959999999999</v>
      </c>
      <c r="K2082">
        <v>1.1050799999999901</v>
      </c>
      <c r="L2082">
        <v>284.56189999999998</v>
      </c>
      <c r="M2082">
        <v>-0.99974830000000003</v>
      </c>
      <c r="N2082">
        <v>0</v>
      </c>
      <c r="O2082">
        <v>2.8046779999999901E-3</v>
      </c>
      <c r="P2082">
        <v>-0.99757150000000006</v>
      </c>
      <c r="Q2082">
        <v>2.501631E-2</v>
      </c>
      <c r="R2082">
        <v>-6.5002260000000006E-2</v>
      </c>
      <c r="S2082">
        <v>-2.986237</v>
      </c>
      <c r="T2082">
        <v>-0.16851089999999999</v>
      </c>
      <c r="U2082">
        <v>-0.38653559999999998</v>
      </c>
      <c r="V2082">
        <v>-6.7725759999999996E-2</v>
      </c>
      <c r="W2082">
        <v>4.7316820000000002E-2</v>
      </c>
      <c r="X2082">
        <v>0.9965813</v>
      </c>
      <c r="Y2082">
        <v>-0.13094049999999999</v>
      </c>
      <c r="Z2082">
        <v>-3.8337309999999999E-3</v>
      </c>
      <c r="AA2082">
        <v>0.99138280000000001</v>
      </c>
      <c r="AB2082">
        <v>39</v>
      </c>
      <c r="AC2082">
        <v>-19.1938999999999</v>
      </c>
      <c r="AD2082">
        <v>-1.1050749975109999</v>
      </c>
      <c r="AE2082">
        <v>-2.5362999999999798</v>
      </c>
      <c r="AF2082">
        <v>-2.5817250400281702</v>
      </c>
      <c r="AG2082">
        <v>-1.1050749975109999</v>
      </c>
      <c r="AH2082">
        <v>19.124403603050201</v>
      </c>
      <c r="AI2082">
        <v>93.277410044173095</v>
      </c>
      <c r="AJ2082">
        <v>97.688243435816602</v>
      </c>
      <c r="AK2082">
        <v>19.329493219036902</v>
      </c>
    </row>
    <row r="2083" spans="1:37" x14ac:dyDescent="0.2">
      <c r="A2083" t="str">
        <f>"20200111153438175"</f>
        <v>20200111153438175</v>
      </c>
      <c r="B2083" t="str">
        <f>"1578728078167961"</f>
        <v>1578728078167961</v>
      </c>
      <c r="C2083" t="s">
        <v>37</v>
      </c>
      <c r="D2083">
        <v>4.6521480000000004</v>
      </c>
      <c r="E2083">
        <v>0.50775590000000004</v>
      </c>
      <c r="F2083" t="s">
        <v>50</v>
      </c>
      <c r="G2083">
        <v>-478.04669999999999</v>
      </c>
      <c r="H2083" s="1">
        <v>2.927311E-6</v>
      </c>
      <c r="I2083">
        <v>283.26139999999998</v>
      </c>
      <c r="J2083">
        <v>-454.3177</v>
      </c>
      <c r="K2083">
        <v>1.1051</v>
      </c>
      <c r="L2083">
        <v>284.56349999999998</v>
      </c>
      <c r="M2083">
        <v>-0.99974409999999903</v>
      </c>
      <c r="N2083">
        <v>0</v>
      </c>
      <c r="O2083">
        <v>3.34067E-3</v>
      </c>
      <c r="P2083">
        <v>-0.9976199</v>
      </c>
      <c r="Q2083">
        <v>2.4554369999999999E-2</v>
      </c>
      <c r="R2083">
        <v>-6.4432260000000005E-2</v>
      </c>
      <c r="S2083">
        <v>-3.0002140000000002</v>
      </c>
      <c r="T2083">
        <v>-0.13747379999999901</v>
      </c>
      <c r="U2083">
        <v>-0.16177369999999999</v>
      </c>
      <c r="V2083">
        <v>-6.7694080000000004E-2</v>
      </c>
      <c r="W2083">
        <v>4.6968169999999997E-2</v>
      </c>
      <c r="X2083">
        <v>0.99660000000000004</v>
      </c>
      <c r="Y2083">
        <v>-5.7115619999999999E-2</v>
      </c>
      <c r="Z2083">
        <v>-1.4598479999999999E-3</v>
      </c>
      <c r="AA2083">
        <v>0.99836650000000005</v>
      </c>
      <c r="AB2083">
        <v>39</v>
      </c>
      <c r="AC2083">
        <v>-23.7289999999999</v>
      </c>
      <c r="AD2083">
        <v>-1.1050970726889999</v>
      </c>
      <c r="AE2083">
        <v>-1.30209999999999</v>
      </c>
      <c r="AF2083">
        <v>-1.3784026776004099</v>
      </c>
      <c r="AG2083">
        <v>-1.1050970726889999</v>
      </c>
      <c r="AH2083">
        <v>23.6733253269717</v>
      </c>
      <c r="AI2083">
        <v>92.668177720726803</v>
      </c>
      <c r="AJ2083">
        <v>93.332340738481406</v>
      </c>
      <c r="AK2083">
        <v>23.739156798806501</v>
      </c>
    </row>
    <row r="2084" spans="1:37" x14ac:dyDescent="0.2">
      <c r="A2084" t="str">
        <f>"20200111153438198"</f>
        <v>20200111153438198</v>
      </c>
      <c r="B2084" t="str">
        <f>"1578728078188454"</f>
        <v>1578728078188454</v>
      </c>
      <c r="C2084" t="s">
        <v>37</v>
      </c>
      <c r="D2084">
        <v>4.6332649999999997</v>
      </c>
      <c r="E2084">
        <v>0.5085345</v>
      </c>
      <c r="F2084" t="s">
        <v>50</v>
      </c>
      <c r="G2084">
        <v>-481.52440000000001</v>
      </c>
      <c r="H2084" s="1">
        <v>2.3728840000000002E-6</v>
      </c>
      <c r="I2084">
        <v>283.43520000000001</v>
      </c>
      <c r="J2084">
        <v>-454.7047</v>
      </c>
      <c r="K2084">
        <v>1.105119</v>
      </c>
      <c r="L2084">
        <v>284.56540000000001</v>
      </c>
      <c r="M2084">
        <v>-0.99974069999999904</v>
      </c>
      <c r="N2084">
        <v>0</v>
      </c>
      <c r="O2084">
        <v>3.863507E-3</v>
      </c>
      <c r="P2084">
        <v>-0.99765190000000004</v>
      </c>
      <c r="Q2084">
        <v>2.447386E-2</v>
      </c>
      <c r="R2084">
        <v>-6.3969899999999996E-2</v>
      </c>
      <c r="S2084">
        <v>-3.0021360000000001</v>
      </c>
      <c r="T2084">
        <v>-0.121943</v>
      </c>
      <c r="U2084">
        <v>-0.1245117</v>
      </c>
      <c r="V2084">
        <v>-6.7755419999999997E-2</v>
      </c>
      <c r="W2084">
        <v>4.6956249999999998E-2</v>
      </c>
      <c r="X2084">
        <v>0.99659629999999999</v>
      </c>
      <c r="Y2084">
        <v>-4.525916E-2</v>
      </c>
      <c r="Z2084">
        <v>-1.075253E-3</v>
      </c>
      <c r="AA2084">
        <v>0.99897469999999999</v>
      </c>
      <c r="AB2084">
        <v>39</v>
      </c>
      <c r="AC2084">
        <v>-26.819700000000001</v>
      </c>
      <c r="AD2084">
        <v>-1.105116627116</v>
      </c>
      <c r="AE2084">
        <v>-1.1302000000000001</v>
      </c>
      <c r="AF2084">
        <v>-1.23174810066886</v>
      </c>
      <c r="AG2084">
        <v>-1.105116627116</v>
      </c>
      <c r="AH2084">
        <v>26.769760682369601</v>
      </c>
      <c r="AI2084">
        <v>92.361462191657594</v>
      </c>
      <c r="AJ2084">
        <v>92.634473501991195</v>
      </c>
      <c r="AK2084">
        <v>26.820860782875201</v>
      </c>
    </row>
    <row r="2085" spans="1:37" x14ac:dyDescent="0.2">
      <c r="A2085" t="str">
        <f>"20200111153438212"</f>
        <v>20200111153438212</v>
      </c>
      <c r="B2085" t="str">
        <f>"1578728078207974"</f>
        <v>1578728078207974</v>
      </c>
      <c r="C2085" t="s">
        <v>37</v>
      </c>
      <c r="D2085">
        <v>4.6357299999999997</v>
      </c>
      <c r="E2085">
        <v>0.50866290000000003</v>
      </c>
      <c r="F2085" t="s">
        <v>50</v>
      </c>
      <c r="G2085">
        <v>-483.77030000000002</v>
      </c>
      <c r="H2085" s="1">
        <v>2.771006E-6</v>
      </c>
      <c r="I2085">
        <v>283.43209999999999</v>
      </c>
      <c r="J2085">
        <v>-454.95609999999999</v>
      </c>
      <c r="K2085">
        <v>1.1051299999999999</v>
      </c>
      <c r="L2085">
        <v>284.56670000000003</v>
      </c>
      <c r="M2085">
        <v>-0.99973880000000004</v>
      </c>
      <c r="N2085">
        <v>0</v>
      </c>
      <c r="O2085">
        <v>4.1971930000000001E-3</v>
      </c>
      <c r="P2085">
        <v>-0.997660399999999</v>
      </c>
      <c r="Q2085">
        <v>2.4531130000000002E-2</v>
      </c>
      <c r="R2085">
        <v>-6.3811619999999999E-2</v>
      </c>
      <c r="S2085">
        <v>-3.0023499999999999</v>
      </c>
      <c r="T2085">
        <v>-0.1141538</v>
      </c>
      <c r="U2085">
        <v>-0.1170654</v>
      </c>
      <c r="V2085">
        <v>-6.7931480000000002E-2</v>
      </c>
      <c r="W2085">
        <v>4.7032940000000002E-2</v>
      </c>
      <c r="X2085">
        <v>0.99658080000000004</v>
      </c>
      <c r="Y2085">
        <v>-4.3122239999999999E-2</v>
      </c>
      <c r="Z2085">
        <v>-9.7868739999999992E-4</v>
      </c>
      <c r="AA2085">
        <v>0.99906930000000005</v>
      </c>
      <c r="AB2085">
        <v>39</v>
      </c>
      <c r="AC2085">
        <v>-28.8142</v>
      </c>
      <c r="AD2085">
        <v>-1.105127228994</v>
      </c>
      <c r="AE2085">
        <v>-1.13460000000003</v>
      </c>
      <c r="AF2085">
        <v>-1.2537179322760099</v>
      </c>
      <c r="AG2085">
        <v>-1.105127228994</v>
      </c>
      <c r="AH2085">
        <v>28.7669322053653</v>
      </c>
      <c r="AI2085">
        <v>92.197941857000004</v>
      </c>
      <c r="AJ2085">
        <v>92.495480510890005</v>
      </c>
      <c r="AK2085">
        <v>28.815438628521001</v>
      </c>
    </row>
    <row r="2086" spans="1:37" x14ac:dyDescent="0.2">
      <c r="A2086" t="str">
        <f>"20200111153438226"</f>
        <v>20200111153438226</v>
      </c>
      <c r="B2086" t="str">
        <f>"1578728078217734"</f>
        <v>1578728078217734</v>
      </c>
      <c r="C2086" t="s">
        <v>37</v>
      </c>
      <c r="D2086">
        <v>4.6172800000000001</v>
      </c>
      <c r="E2086">
        <v>0.50862980000000002</v>
      </c>
      <c r="F2086" t="s">
        <v>50</v>
      </c>
      <c r="G2086">
        <v>-485.55950000000001</v>
      </c>
      <c r="H2086" s="1">
        <v>3.08451199999999E-6</v>
      </c>
      <c r="I2086">
        <v>283.38780000000003</v>
      </c>
      <c r="J2086">
        <v>-455.20119999999997</v>
      </c>
      <c r="K2086">
        <v>1.10514</v>
      </c>
      <c r="L2086">
        <v>284.56810000000002</v>
      </c>
      <c r="M2086">
        <v>-0.99973729999999905</v>
      </c>
      <c r="N2086">
        <v>0</v>
      </c>
      <c r="O2086">
        <v>4.5197700000000002E-3</v>
      </c>
      <c r="P2086">
        <v>-0.99765890000000002</v>
      </c>
      <c r="Q2086">
        <v>2.435876E-2</v>
      </c>
      <c r="R2086">
        <v>-6.3902109999999998E-2</v>
      </c>
      <c r="S2086">
        <v>-3.002319</v>
      </c>
      <c r="T2086">
        <v>-0.1084175</v>
      </c>
      <c r="U2086">
        <v>-0.1156616</v>
      </c>
      <c r="V2086">
        <v>-6.8344959999999996E-2</v>
      </c>
      <c r="W2086">
        <v>4.6866230000000002E-2</v>
      </c>
      <c r="X2086">
        <v>0.99656029999999995</v>
      </c>
      <c r="Y2086">
        <v>-4.2981789999999999E-2</v>
      </c>
      <c r="Z2086">
        <v>-9.3866819999999999E-4</v>
      </c>
      <c r="AA2086">
        <v>0.99907539999999995</v>
      </c>
      <c r="AB2086">
        <v>39</v>
      </c>
      <c r="AC2086">
        <v>-30.3583</v>
      </c>
      <c r="AD2086">
        <v>-1.105136915488</v>
      </c>
      <c r="AE2086">
        <v>-1.1802999999999799</v>
      </c>
      <c r="AF2086">
        <v>-1.31579408234314</v>
      </c>
      <c r="AG2086">
        <v>-1.105136915488</v>
      </c>
      <c r="AH2086">
        <v>30.312544553451801</v>
      </c>
      <c r="AI2086">
        <v>92.086006266213701</v>
      </c>
      <c r="AJ2086">
        <v>92.485510607980899</v>
      </c>
      <c r="AK2086">
        <v>30.361208786445001</v>
      </c>
    </row>
    <row r="2087" spans="1:37" x14ac:dyDescent="0.2">
      <c r="A2087" t="str">
        <f>"20200111153438240"</f>
        <v>20200111153438240</v>
      </c>
      <c r="B2087" t="str">
        <f>"1578728078228472"</f>
        <v>1578728078228472</v>
      </c>
      <c r="C2087" t="s">
        <v>37</v>
      </c>
      <c r="D2087">
        <v>4.6358370000000004</v>
      </c>
      <c r="E2087">
        <v>0.50849100000000003</v>
      </c>
      <c r="F2087" t="s">
        <v>50</v>
      </c>
      <c r="G2087">
        <v>-485.97230000000002</v>
      </c>
      <c r="H2087" s="1">
        <v>3.15690699999999E-6</v>
      </c>
      <c r="I2087">
        <v>283.37830000000002</v>
      </c>
      <c r="J2087">
        <v>-455.43869999999998</v>
      </c>
      <c r="K2087">
        <v>1.1051549999999899</v>
      </c>
      <c r="L2087">
        <v>284.56950000000001</v>
      </c>
      <c r="M2087">
        <v>-0.99973579999999995</v>
      </c>
      <c r="N2087">
        <v>0</v>
      </c>
      <c r="O2087">
        <v>4.8300879999999997E-3</v>
      </c>
      <c r="P2087">
        <v>-0.99764219999999904</v>
      </c>
      <c r="Q2087">
        <v>2.4473640000000001E-2</v>
      </c>
      <c r="R2087">
        <v>-6.4116619999999999E-2</v>
      </c>
      <c r="S2087">
        <v>-3.0022579999999999</v>
      </c>
      <c r="T2087">
        <v>-0.1078252</v>
      </c>
      <c r="U2087">
        <v>-0.11608889999999999</v>
      </c>
      <c r="V2087">
        <v>-6.8870169999999994E-2</v>
      </c>
      <c r="W2087">
        <v>4.6975790000000003E-2</v>
      </c>
      <c r="X2087">
        <v>0.99651900000000004</v>
      </c>
      <c r="Y2087">
        <v>-4.3434489999999999E-2</v>
      </c>
      <c r="Z2087">
        <v>-9.5282410000000004E-4</v>
      </c>
      <c r="AA2087">
        <v>0.99905580000000005</v>
      </c>
      <c r="AB2087">
        <v>39</v>
      </c>
      <c r="AC2087">
        <v>-30.5336</v>
      </c>
      <c r="AD2087">
        <v>-1.1051518430930001</v>
      </c>
      <c r="AE2087">
        <v>-1.1911999999999801</v>
      </c>
      <c r="AF2087">
        <v>-1.33695450988864</v>
      </c>
      <c r="AG2087">
        <v>-1.1051518430930001</v>
      </c>
      <c r="AH2087">
        <v>30.487608996709501</v>
      </c>
      <c r="AI2087">
        <v>92.074026445841994</v>
      </c>
      <c r="AJ2087">
        <v>92.510948129720006</v>
      </c>
      <c r="AK2087">
        <v>30.536913896038101</v>
      </c>
    </row>
    <row r="2088" spans="1:37" x14ac:dyDescent="0.2">
      <c r="A2088" t="str">
        <f>"20200111153438253"</f>
        <v>20200111153438253</v>
      </c>
      <c r="B2088" t="str">
        <f>"1578728078247990"</f>
        <v>1578728078247990</v>
      </c>
      <c r="C2088" t="s">
        <v>37</v>
      </c>
      <c r="D2088">
        <v>4.667065</v>
      </c>
      <c r="E2088">
        <v>0.50842959999999904</v>
      </c>
      <c r="F2088" t="s">
        <v>50</v>
      </c>
      <c r="G2088">
        <v>-486.35090000000002</v>
      </c>
      <c r="H2088" s="1">
        <v>3.2222120000000002E-6</v>
      </c>
      <c r="I2088">
        <v>283.35719999999998</v>
      </c>
      <c r="J2088">
        <v>-455.67349999999999</v>
      </c>
      <c r="K2088">
        <v>1.105165</v>
      </c>
      <c r="L2088">
        <v>284.57089999999999</v>
      </c>
      <c r="M2088">
        <v>-0.99973480000000003</v>
      </c>
      <c r="N2088">
        <v>0</v>
      </c>
      <c r="O2088">
        <v>5.1343990000000004E-3</v>
      </c>
      <c r="P2088">
        <v>-0.99758369999999996</v>
      </c>
      <c r="Q2088">
        <v>2.4504539999999998E-2</v>
      </c>
      <c r="R2088">
        <v>-6.5010209999999999E-2</v>
      </c>
      <c r="S2088">
        <v>-3.0021969999999998</v>
      </c>
      <c r="T2088">
        <v>-0.1073327</v>
      </c>
      <c r="U2088">
        <v>-0.117736799999999</v>
      </c>
      <c r="V2088">
        <v>-7.0068489999999997E-2</v>
      </c>
      <c r="W2088">
        <v>4.6985319999999997E-2</v>
      </c>
      <c r="X2088">
        <v>0.99643499999999996</v>
      </c>
      <c r="Y2088">
        <v>-4.4286470000000001E-2</v>
      </c>
      <c r="Z2088">
        <v>-9.7457779999999996E-4</v>
      </c>
      <c r="AA2088">
        <v>0.99901839999999997</v>
      </c>
      <c r="AB2088">
        <v>38</v>
      </c>
      <c r="AC2088">
        <v>-30.677399999999999</v>
      </c>
      <c r="AD2088">
        <v>-1.1051617777879901</v>
      </c>
      <c r="AE2088">
        <v>-1.21370000000001</v>
      </c>
      <c r="AF2088">
        <v>-1.36945917635159</v>
      </c>
      <c r="AG2088">
        <v>-1.1051617777879901</v>
      </c>
      <c r="AH2088">
        <v>30.6310707401522</v>
      </c>
      <c r="AI2088">
        <v>92.064261627280899</v>
      </c>
      <c r="AJ2088">
        <v>92.559884884607001</v>
      </c>
      <c r="AK2088">
        <v>30.681579093635101</v>
      </c>
    </row>
    <row r="2089" spans="1:37" x14ac:dyDescent="0.2">
      <c r="A2089" t="str">
        <f>"20200111153438269"</f>
        <v>20200111153438269</v>
      </c>
      <c r="B2089" t="str">
        <f>"1578728078257752"</f>
        <v>1578728078257752</v>
      </c>
      <c r="C2089" t="s">
        <v>37</v>
      </c>
      <c r="D2089">
        <v>4.639907</v>
      </c>
      <c r="E2089">
        <v>0.50836349999999997</v>
      </c>
      <c r="F2089" t="s">
        <v>50</v>
      </c>
      <c r="G2089">
        <v>-486.51369999999997</v>
      </c>
      <c r="H2089" s="1">
        <v>3.2486649999999898E-6</v>
      </c>
      <c r="I2089">
        <v>283.32940000000002</v>
      </c>
      <c r="J2089">
        <v>-455.928</v>
      </c>
      <c r="K2089">
        <v>1.105172</v>
      </c>
      <c r="L2089">
        <v>284.57260000000002</v>
      </c>
      <c r="M2089">
        <v>-0.99973369999999995</v>
      </c>
      <c r="N2089">
        <v>0</v>
      </c>
      <c r="O2089">
        <v>5.4620629999999996E-3</v>
      </c>
      <c r="P2089">
        <v>-0.99754050000000005</v>
      </c>
      <c r="Q2089">
        <v>2.4793450000000002E-2</v>
      </c>
      <c r="R2089">
        <v>-6.556381E-2</v>
      </c>
      <c r="S2089">
        <v>-3.002075</v>
      </c>
      <c r="T2089">
        <v>-0.1075798</v>
      </c>
      <c r="U2089">
        <v>-0.1208496</v>
      </c>
      <c r="V2089">
        <v>-7.0948990000000003E-2</v>
      </c>
      <c r="W2089">
        <v>4.7243E-2</v>
      </c>
      <c r="X2089">
        <v>0.99636049999999998</v>
      </c>
      <c r="Y2089">
        <v>-4.5648439999999998E-2</v>
      </c>
      <c r="Z2089">
        <v>-1.0129620000000001E-3</v>
      </c>
      <c r="AA2089">
        <v>0.99895699999999998</v>
      </c>
      <c r="AB2089">
        <v>38</v>
      </c>
      <c r="AC2089">
        <v>-30.5856999999999</v>
      </c>
      <c r="AD2089">
        <v>-1.1051687513349999</v>
      </c>
      <c r="AE2089">
        <v>-1.2432000000000001</v>
      </c>
      <c r="AF2089">
        <v>-1.40844859157695</v>
      </c>
      <c r="AG2089">
        <v>-1.1051687513349999</v>
      </c>
      <c r="AH2089">
        <v>30.538644948044102</v>
      </c>
      <c r="AI2089">
        <v>92.070384396688894</v>
      </c>
      <c r="AJ2089">
        <v>92.640621941092803</v>
      </c>
      <c r="AK2089">
        <v>30.591076487543599</v>
      </c>
    </row>
    <row r="2090" spans="1:37" x14ac:dyDescent="0.2">
      <c r="A2090" t="str">
        <f>"20200111153438285"</f>
        <v>20200111153438285</v>
      </c>
      <c r="B2090" t="str">
        <f>"1578728078278247"</f>
        <v>1578728078278247</v>
      </c>
      <c r="C2090" t="s">
        <v>37</v>
      </c>
      <c r="D2090">
        <v>4.6874500000000001</v>
      </c>
      <c r="E2090">
        <v>0.50820220000000005</v>
      </c>
      <c r="F2090" t="s">
        <v>50</v>
      </c>
      <c r="G2090">
        <v>-486.85539999999997</v>
      </c>
      <c r="H2090" s="1">
        <v>3.3070280000000002E-6</v>
      </c>
      <c r="I2090">
        <v>283.30360000000002</v>
      </c>
      <c r="J2090">
        <v>-456.19110000000001</v>
      </c>
      <c r="K2090">
        <v>1.105178</v>
      </c>
      <c r="L2090">
        <v>284.57440000000003</v>
      </c>
      <c r="M2090">
        <v>-0.99973250000000002</v>
      </c>
      <c r="N2090">
        <v>0</v>
      </c>
      <c r="O2090">
        <v>5.7990469999999999E-3</v>
      </c>
      <c r="P2090">
        <v>-0.9975231</v>
      </c>
      <c r="Q2090">
        <v>2.493211E-2</v>
      </c>
      <c r="R2090">
        <v>-6.5770140000000005E-2</v>
      </c>
      <c r="S2090">
        <v>-3.0019230000000001</v>
      </c>
      <c r="T2090">
        <v>-0.10727159999999999</v>
      </c>
      <c r="U2090">
        <v>-0.123168899999999</v>
      </c>
      <c r="V2090">
        <v>-7.1492620000000007E-2</v>
      </c>
      <c r="W2090">
        <v>4.7343980000000001E-2</v>
      </c>
      <c r="X2090">
        <v>0.99631689999999995</v>
      </c>
      <c r="Y2090">
        <v>-4.6756979999999997E-2</v>
      </c>
      <c r="Z2090">
        <v>-1.0419260000000001E-3</v>
      </c>
      <c r="AA2090">
        <v>0.99890579999999995</v>
      </c>
      <c r="AB2090">
        <v>38</v>
      </c>
      <c r="AC2090">
        <v>-30.664299999999901</v>
      </c>
      <c r="AD2090">
        <v>-1.1051746929719899</v>
      </c>
      <c r="AE2090">
        <v>-1.2707999999999999</v>
      </c>
      <c r="AF2090">
        <v>-1.4467708511664401</v>
      </c>
      <c r="AG2090">
        <v>-1.1051746929719899</v>
      </c>
      <c r="AH2090">
        <v>30.6167111617148</v>
      </c>
      <c r="AI2090">
        <v>92.065012011753893</v>
      </c>
      <c r="AJ2090">
        <v>92.705458663346207</v>
      </c>
      <c r="AK2090">
        <v>30.670793262608001</v>
      </c>
    </row>
    <row r="2091" spans="1:37" x14ac:dyDescent="0.2">
      <c r="A2091" t="str">
        <f>"20200111153438297"</f>
        <v>20200111153438297</v>
      </c>
      <c r="B2091" t="str">
        <f>"1578728078288007"</f>
        <v>1578728078288007</v>
      </c>
      <c r="C2091" t="s">
        <v>37</v>
      </c>
      <c r="D2091">
        <v>4.6570539999999996</v>
      </c>
      <c r="E2091">
        <v>0.50817069999999998</v>
      </c>
      <c r="F2091" t="s">
        <v>50</v>
      </c>
      <c r="G2091">
        <v>-487.02690000000001</v>
      </c>
      <c r="H2091" s="1">
        <v>3.33634799999999E-6</v>
      </c>
      <c r="I2091">
        <v>283.291</v>
      </c>
      <c r="J2091">
        <v>-456.42110000000002</v>
      </c>
      <c r="K2091">
        <v>1.105189</v>
      </c>
      <c r="L2091">
        <v>284.575999999999</v>
      </c>
      <c r="M2091">
        <v>-0.9997315</v>
      </c>
      <c r="N2091">
        <v>0</v>
      </c>
      <c r="O2091">
        <v>6.0921279999999996E-3</v>
      </c>
      <c r="P2091">
        <v>-0.99743630000000005</v>
      </c>
      <c r="Q2091">
        <v>2.5224110000000001E-2</v>
      </c>
      <c r="R2091">
        <v>-6.6967670000000007E-2</v>
      </c>
      <c r="S2091">
        <v>-3.0018919999999998</v>
      </c>
      <c r="T2091">
        <v>-0.1075895</v>
      </c>
      <c r="U2091">
        <v>-0.12493899999999999</v>
      </c>
      <c r="V2091">
        <v>-7.2982450000000004E-2</v>
      </c>
      <c r="W2091">
        <v>4.7599740000000001E-2</v>
      </c>
      <c r="X2091">
        <v>0.99619669999999905</v>
      </c>
      <c r="Y2091">
        <v>-4.7637239999999997E-2</v>
      </c>
      <c r="Z2091">
        <v>-1.0712709999999999E-3</v>
      </c>
      <c r="AA2091">
        <v>0.99886409999999903</v>
      </c>
      <c r="AB2091">
        <v>38</v>
      </c>
      <c r="AC2091">
        <v>-30.605799999999899</v>
      </c>
      <c r="AD2091">
        <v>-1.1051856636519899</v>
      </c>
      <c r="AE2091">
        <v>-1.28499999999996</v>
      </c>
      <c r="AF2091">
        <v>-1.4695643313919999</v>
      </c>
      <c r="AG2091">
        <v>-1.1051856636519899</v>
      </c>
      <c r="AH2091">
        <v>30.557625726417601</v>
      </c>
      <c r="AI2091">
        <v>92.068939592697703</v>
      </c>
      <c r="AJ2091">
        <v>92.753322923342296</v>
      </c>
      <c r="AK2091">
        <v>30.6128983389528</v>
      </c>
    </row>
    <row r="2092" spans="1:37" x14ac:dyDescent="0.2">
      <c r="A2092" t="str">
        <f>"20200111153438321"</f>
        <v>20200111153438321</v>
      </c>
      <c r="B2092" t="str">
        <f>"1578728078308502"</f>
        <v>1578728078308502</v>
      </c>
      <c r="C2092" t="s">
        <v>37</v>
      </c>
      <c r="D2092">
        <v>4.6649560000000001</v>
      </c>
      <c r="E2092">
        <v>0.5079882</v>
      </c>
      <c r="F2092" t="s">
        <v>50</v>
      </c>
      <c r="G2092">
        <v>-487.25459999999998</v>
      </c>
      <c r="H2092" s="1">
        <v>3.3733899999999999E-6</v>
      </c>
      <c r="I2092">
        <v>283.25279999999998</v>
      </c>
      <c r="J2092">
        <v>-456.80239999999998</v>
      </c>
      <c r="K2092">
        <v>1.1051959999999901</v>
      </c>
      <c r="L2092">
        <v>284.5788</v>
      </c>
      <c r="M2092">
        <v>-0.99973020000000001</v>
      </c>
      <c r="N2092">
        <v>0</v>
      </c>
      <c r="O2092">
        <v>6.5714399999999996E-3</v>
      </c>
      <c r="P2092">
        <v>-0.99736610000000003</v>
      </c>
      <c r="Q2092">
        <v>2.5341800000000001E-2</v>
      </c>
      <c r="R2092">
        <v>-6.7961839999999996E-2</v>
      </c>
      <c r="S2092">
        <v>-3.0017399999999999</v>
      </c>
      <c r="T2092">
        <v>-0.107593699999999</v>
      </c>
      <c r="U2092">
        <v>-0.1288147</v>
      </c>
      <c r="V2092">
        <v>-7.4455259999999995E-2</v>
      </c>
      <c r="W2092">
        <v>4.7643089999999999E-2</v>
      </c>
      <c r="X2092">
        <v>0.99608560000000002</v>
      </c>
      <c r="Y2092">
        <v>-4.9404110000000001E-2</v>
      </c>
      <c r="Z2092">
        <v>-1.120151E-3</v>
      </c>
      <c r="AA2092">
        <v>0.99877819999999995</v>
      </c>
      <c r="AB2092">
        <v>38</v>
      </c>
      <c r="AC2092">
        <v>-30.452200000000001</v>
      </c>
      <c r="AD2092">
        <v>-1.1051926266099901</v>
      </c>
      <c r="AE2092">
        <v>-1.3260000000000201</v>
      </c>
      <c r="AF2092">
        <v>-1.5241321140435899</v>
      </c>
      <c r="AG2092">
        <v>-1.1051926266099901</v>
      </c>
      <c r="AH2092">
        <v>30.4028566031152</v>
      </c>
      <c r="AI2092">
        <v>92.079268020593105</v>
      </c>
      <c r="AJ2092">
        <v>92.869904443760902</v>
      </c>
      <c r="AK2092">
        <v>30.461091889040301</v>
      </c>
    </row>
    <row r="2093" spans="1:37" x14ac:dyDescent="0.2">
      <c r="A2093" t="str">
        <f>"20200111153438343"</f>
        <v>20200111153438343</v>
      </c>
      <c r="B2093" t="str">
        <f>"1578728078337782"</f>
        <v>1578728078337782</v>
      </c>
      <c r="C2093" t="s">
        <v>37</v>
      </c>
      <c r="D2093">
        <v>4.6970929999999997</v>
      </c>
      <c r="E2093">
        <v>0.50781140000000002</v>
      </c>
      <c r="F2093" t="s">
        <v>50</v>
      </c>
      <c r="G2093">
        <v>-487.62020000000001</v>
      </c>
      <c r="H2093" s="1">
        <v>3.434497E-6</v>
      </c>
      <c r="I2093">
        <v>283.2099</v>
      </c>
      <c r="J2093">
        <v>-457.18430000000001</v>
      </c>
      <c r="K2093">
        <v>1.105202</v>
      </c>
      <c r="L2093">
        <v>284.58179999999999</v>
      </c>
      <c r="M2093">
        <v>-0.99972929999999904</v>
      </c>
      <c r="N2093">
        <v>0</v>
      </c>
      <c r="O2093">
        <v>7.0374719999999899E-3</v>
      </c>
      <c r="P2093">
        <v>-0.99732369999999904</v>
      </c>
      <c r="Q2093">
        <v>2.5430169999999998E-2</v>
      </c>
      <c r="R2093">
        <v>-6.8549410000000005E-2</v>
      </c>
      <c r="S2093">
        <v>-3.0015869999999998</v>
      </c>
      <c r="T2093">
        <v>-0.1076434</v>
      </c>
      <c r="U2093">
        <v>-0.13333129999999899</v>
      </c>
      <c r="V2093">
        <v>-7.5508759999999994E-2</v>
      </c>
      <c r="W2093">
        <v>4.7628320000000002E-2</v>
      </c>
      <c r="X2093">
        <v>0.99600699999999998</v>
      </c>
      <c r="Y2093">
        <v>-5.1370209999999999E-2</v>
      </c>
      <c r="Z2093">
        <v>-1.1726180000000001E-3</v>
      </c>
      <c r="AA2093">
        <v>0.99867899999999998</v>
      </c>
      <c r="AB2093">
        <v>38</v>
      </c>
      <c r="AC2093">
        <v>-30.4359</v>
      </c>
      <c r="AD2093">
        <v>-1.1051985655030001</v>
      </c>
      <c r="AE2093">
        <v>-1.3718999999999799</v>
      </c>
      <c r="AF2093">
        <v>-1.5840260549512</v>
      </c>
      <c r="AG2093">
        <v>-1.1051985655030001</v>
      </c>
      <c r="AH2093">
        <v>30.3855042036346</v>
      </c>
      <c r="AI2093">
        <v>92.080253589311994</v>
      </c>
      <c r="AJ2093">
        <v>92.984183673564104</v>
      </c>
      <c r="AK2093">
        <v>30.4468301818277</v>
      </c>
    </row>
    <row r="2094" spans="1:37" x14ac:dyDescent="0.2">
      <c r="A2094" t="str">
        <f>"20200111153438361"</f>
        <v>20200111153438361</v>
      </c>
      <c r="B2094" t="str">
        <f>"1578728078358278"</f>
        <v>1578728078358278</v>
      </c>
      <c r="C2094" t="s">
        <v>37</v>
      </c>
      <c r="D2094">
        <v>4.667516</v>
      </c>
      <c r="E2094">
        <v>0.50781709999999902</v>
      </c>
      <c r="F2094" t="s">
        <v>50</v>
      </c>
      <c r="G2094">
        <v>-488.12090000000001</v>
      </c>
      <c r="H2094" s="1">
        <v>3.5202659999999999E-6</v>
      </c>
      <c r="I2094">
        <v>283.17520000000002</v>
      </c>
      <c r="J2094">
        <v>-457.47680000000003</v>
      </c>
      <c r="K2094">
        <v>1.105202</v>
      </c>
      <c r="L2094">
        <v>284.58429999999998</v>
      </c>
      <c r="M2094">
        <v>-0.99972909999999904</v>
      </c>
      <c r="N2094">
        <v>0</v>
      </c>
      <c r="O2094">
        <v>7.3871469999999897E-3</v>
      </c>
      <c r="P2094">
        <v>-0.99731689999999995</v>
      </c>
      <c r="Q2094">
        <v>2.5449079999999999E-2</v>
      </c>
      <c r="R2094">
        <v>-6.8642069999999999E-2</v>
      </c>
      <c r="S2094">
        <v>-3.001404</v>
      </c>
      <c r="T2094">
        <v>-0.10722429999999999</v>
      </c>
      <c r="U2094">
        <v>-0.1364746</v>
      </c>
      <c r="V2094">
        <v>-7.5951729999999995E-2</v>
      </c>
      <c r="W2094">
        <v>4.7534020000000003E-2</v>
      </c>
      <c r="X2094">
        <v>0.99597780000000002</v>
      </c>
      <c r="Y2094">
        <v>-5.2765099999999898E-2</v>
      </c>
      <c r="Z2094">
        <v>-1.205479E-3</v>
      </c>
      <c r="AA2094">
        <v>0.9986062</v>
      </c>
      <c r="AB2094">
        <v>38</v>
      </c>
      <c r="AC2094">
        <v>-30.644099999999899</v>
      </c>
      <c r="AD2094">
        <v>-1.105198479734</v>
      </c>
      <c r="AE2094">
        <v>-1.4090999999999601</v>
      </c>
      <c r="AF2094">
        <v>-1.6333690767019899</v>
      </c>
      <c r="AG2094">
        <v>-1.105198479734</v>
      </c>
      <c r="AH2094">
        <v>30.593142267911301</v>
      </c>
      <c r="AI2094">
        <v>92.066010115653896</v>
      </c>
      <c r="AJ2094">
        <v>93.056122318420506</v>
      </c>
      <c r="AK2094">
        <v>30.656642217388899</v>
      </c>
    </row>
    <row r="2095" spans="1:37" x14ac:dyDescent="0.2">
      <c r="A2095" t="str">
        <f>"20200111153438375"</f>
        <v>20200111153438375</v>
      </c>
      <c r="B2095" t="str">
        <f>"1578728078368039"</f>
        <v>1578728078368039</v>
      </c>
      <c r="C2095" t="s">
        <v>37</v>
      </c>
      <c r="D2095">
        <v>4.6397469999999998</v>
      </c>
      <c r="E2095">
        <v>0.50784839999999998</v>
      </c>
      <c r="F2095" t="s">
        <v>50</v>
      </c>
      <c r="G2095">
        <v>-488.69299999999998</v>
      </c>
      <c r="H2095" s="1">
        <v>3.6206830000000001E-6</v>
      </c>
      <c r="I2095">
        <v>283.16300000000001</v>
      </c>
      <c r="J2095">
        <v>-457.73829999999998</v>
      </c>
      <c r="K2095">
        <v>1.1051949999999999</v>
      </c>
      <c r="L2095">
        <v>284.5865</v>
      </c>
      <c r="M2095">
        <v>-0.99972950000000005</v>
      </c>
      <c r="N2095">
        <v>0</v>
      </c>
      <c r="O2095">
        <v>7.6889480000000001E-3</v>
      </c>
      <c r="P2095">
        <v>-0.99728340000000004</v>
      </c>
      <c r="Q2095">
        <v>2.513837E-2</v>
      </c>
      <c r="R2095">
        <v>-6.9238399999999894E-2</v>
      </c>
      <c r="S2095">
        <v>-3.0013730000000001</v>
      </c>
      <c r="T2095">
        <v>-0.1062626</v>
      </c>
      <c r="U2095">
        <v>-0.13665769999999999</v>
      </c>
      <c r="V2095">
        <v>-7.6850870000000002E-2</v>
      </c>
      <c r="W2095">
        <v>4.7104399999999998E-2</v>
      </c>
      <c r="X2095">
        <v>0.99592930000000002</v>
      </c>
      <c r="Y2095">
        <v>-5.3128069999999999E-2</v>
      </c>
      <c r="Z2095">
        <v>-1.2117829999999999E-3</v>
      </c>
      <c r="AA2095">
        <v>0.998587</v>
      </c>
      <c r="AB2095">
        <v>38</v>
      </c>
      <c r="AC2095">
        <v>-30.954699999999999</v>
      </c>
      <c r="AD2095">
        <v>-1.1051913793170001</v>
      </c>
      <c r="AE2095">
        <v>-1.42349999999998</v>
      </c>
      <c r="AF2095">
        <v>-1.6594134795039399</v>
      </c>
      <c r="AG2095">
        <v>-1.1051913793170001</v>
      </c>
      <c r="AH2095">
        <v>30.903525828150901</v>
      </c>
      <c r="AI2095">
        <v>92.045231015130099</v>
      </c>
      <c r="AJ2095">
        <v>93.073635272317603</v>
      </c>
      <c r="AK2095">
        <v>30.967773728378699</v>
      </c>
    </row>
    <row r="2096" spans="1:37" x14ac:dyDescent="0.2">
      <c r="A2096" t="str">
        <f>"20200111153438393"</f>
        <v>20200111153438393</v>
      </c>
      <c r="B2096" t="str">
        <f>"1578728078388534"</f>
        <v>1578728078388534</v>
      </c>
      <c r="C2096" t="s">
        <v>37</v>
      </c>
      <c r="D2096">
        <v>4.6274309999999996</v>
      </c>
      <c r="E2096">
        <v>0.50784059999999998</v>
      </c>
      <c r="F2096" t="s">
        <v>50</v>
      </c>
      <c r="G2096">
        <v>-488.80799999999999</v>
      </c>
      <c r="H2096" s="1">
        <v>3.6407059999999999E-6</v>
      </c>
      <c r="I2096">
        <v>283.15859999999998</v>
      </c>
      <c r="J2096">
        <v>-458.00990000000002</v>
      </c>
      <c r="K2096">
        <v>1.1051959999999901</v>
      </c>
      <c r="L2096">
        <v>284.58890000000002</v>
      </c>
      <c r="M2096">
        <v>-0.99973020000000001</v>
      </c>
      <c r="N2096">
        <v>0</v>
      </c>
      <c r="O2096">
        <v>7.9862449999999995E-3</v>
      </c>
      <c r="P2096">
        <v>-0.99728510000000004</v>
      </c>
      <c r="Q2096">
        <v>2.4785499999999999E-2</v>
      </c>
      <c r="R2096">
        <v>-6.9340910000000006E-2</v>
      </c>
      <c r="S2096">
        <v>-3.001312</v>
      </c>
      <c r="T2096">
        <v>-0.10676049999999999</v>
      </c>
      <c r="U2096">
        <v>-0.13793949999999999</v>
      </c>
      <c r="V2096">
        <v>-7.7252489999999993E-2</v>
      </c>
      <c r="W2096">
        <v>4.6613309999999998E-2</v>
      </c>
      <c r="X2096">
        <v>0.99592130000000001</v>
      </c>
      <c r="Y2096">
        <v>-5.3850490000000001E-2</v>
      </c>
      <c r="Z2096">
        <v>-1.2408779999999999E-3</v>
      </c>
      <c r="AA2096">
        <v>0.9985482</v>
      </c>
      <c r="AB2096">
        <v>38</v>
      </c>
      <c r="AC2096">
        <v>-30.798100000000002</v>
      </c>
      <c r="AD2096">
        <v>-1.1051923592939901</v>
      </c>
      <c r="AE2096">
        <v>-1.4303000000000401</v>
      </c>
      <c r="AF2096">
        <v>-1.67412287199345</v>
      </c>
      <c r="AG2096">
        <v>-1.1051923592939901</v>
      </c>
      <c r="AH2096">
        <v>30.746184064454699</v>
      </c>
      <c r="AI2096">
        <v>92.055606820403895</v>
      </c>
      <c r="AJ2096">
        <v>93.116664786908103</v>
      </c>
      <c r="AK2096">
        <v>30.811555820290799</v>
      </c>
    </row>
    <row r="2097" spans="1:37" x14ac:dyDescent="0.2">
      <c r="A2097" t="str">
        <f>"20200111153438407"</f>
        <v>20200111153438407</v>
      </c>
      <c r="B2097" t="str">
        <f>"1578728078398294"</f>
        <v>1578728078398294</v>
      </c>
      <c r="C2097" t="s">
        <v>37</v>
      </c>
      <c r="D2097">
        <v>4.6194410000000001</v>
      </c>
      <c r="E2097">
        <v>0.50779549999999996</v>
      </c>
      <c r="F2097" t="s">
        <v>50</v>
      </c>
      <c r="G2097">
        <v>-489.02940000000001</v>
      </c>
      <c r="H2097" s="1">
        <v>3.67996399999999E-6</v>
      </c>
      <c r="I2097">
        <v>283.1585</v>
      </c>
      <c r="J2097">
        <v>-458.24489999999997</v>
      </c>
      <c r="K2097">
        <v>1.1051959999999901</v>
      </c>
      <c r="L2097">
        <v>284.59100000000001</v>
      </c>
      <c r="M2097">
        <v>-0.99973109999999998</v>
      </c>
      <c r="N2097">
        <v>0</v>
      </c>
      <c r="O2097">
        <v>8.2279019999999901E-3</v>
      </c>
      <c r="P2097">
        <v>-0.99728209999999995</v>
      </c>
      <c r="Q2097">
        <v>2.452611E-2</v>
      </c>
      <c r="R2097">
        <v>-6.947623E-2</v>
      </c>
      <c r="S2097">
        <v>-3.00116</v>
      </c>
      <c r="T2097">
        <v>-0.106928199999999</v>
      </c>
      <c r="U2097">
        <v>-0.1383972</v>
      </c>
      <c r="V2097">
        <v>-7.7630980000000002E-2</v>
      </c>
      <c r="W2097">
        <v>4.622035E-2</v>
      </c>
      <c r="X2097">
        <v>0.99591019999999897</v>
      </c>
      <c r="Y2097">
        <v>-5.4245599999999998E-2</v>
      </c>
      <c r="Z2097">
        <v>-1.2585210000000001E-3</v>
      </c>
      <c r="AA2097">
        <v>0.99852680000000005</v>
      </c>
      <c r="AB2097">
        <v>37</v>
      </c>
      <c r="AC2097">
        <v>-30.784500000000001</v>
      </c>
      <c r="AD2097">
        <v>-1.1051923200360001</v>
      </c>
      <c r="AE2097">
        <v>-1.4325000000000001</v>
      </c>
      <c r="AF2097">
        <v>-1.68363757154142</v>
      </c>
      <c r="AG2097">
        <v>-1.1051923200360001</v>
      </c>
      <c r="AH2097">
        <v>30.732143848474902</v>
      </c>
      <c r="AI2097">
        <v>92.056507635997903</v>
      </c>
      <c r="AJ2097">
        <v>93.135771893364193</v>
      </c>
      <c r="AK2097">
        <v>30.798064079742598</v>
      </c>
    </row>
    <row r="2098" spans="1:37" x14ac:dyDescent="0.2">
      <c r="A2098" t="str">
        <f>"20200111153438420"</f>
        <v>20200111153438420</v>
      </c>
      <c r="B2098" t="str">
        <f>"1578728078408055"</f>
        <v>1578728078408055</v>
      </c>
      <c r="C2098" t="s">
        <v>37</v>
      </c>
      <c r="D2098">
        <v>4.6471530000000003</v>
      </c>
      <c r="E2098">
        <v>0.50778040000000002</v>
      </c>
      <c r="F2098" t="s">
        <v>50</v>
      </c>
      <c r="G2098">
        <v>-489.0926</v>
      </c>
      <c r="H2098" s="1">
        <v>3.6914729999999899E-6</v>
      </c>
      <c r="I2098">
        <v>283.1619</v>
      </c>
      <c r="J2098">
        <v>-458.46870000000001</v>
      </c>
      <c r="K2098">
        <v>1.1051979999999999</v>
      </c>
      <c r="L2098">
        <v>284.59309999999999</v>
      </c>
      <c r="M2098">
        <v>-0.99973199999999995</v>
      </c>
      <c r="N2098">
        <v>0</v>
      </c>
      <c r="O2098">
        <v>8.4461129999999999E-3</v>
      </c>
      <c r="P2098">
        <v>-0.99727980000000005</v>
      </c>
      <c r="Q2098">
        <v>2.4071099999999901E-2</v>
      </c>
      <c r="R2098">
        <v>-6.9666999999999896E-2</v>
      </c>
      <c r="S2098">
        <v>-3.001099</v>
      </c>
      <c r="T2098">
        <v>-0.107521399999999</v>
      </c>
      <c r="U2098">
        <v>-0.1390381</v>
      </c>
      <c r="V2098">
        <v>-7.8041959999999994E-2</v>
      </c>
      <c r="W2098">
        <v>4.5628729999999999E-2</v>
      </c>
      <c r="X2098">
        <v>0.99590529999999999</v>
      </c>
      <c r="Y2098">
        <v>-5.4676379999999997E-2</v>
      </c>
      <c r="Z2098">
        <v>-1.281042E-3</v>
      </c>
      <c r="AA2098">
        <v>0.99850329999999998</v>
      </c>
      <c r="AB2098">
        <v>37</v>
      </c>
      <c r="AC2098">
        <v>-30.6238999999999</v>
      </c>
      <c r="AD2098">
        <v>-1.105194308527</v>
      </c>
      <c r="AE2098">
        <v>-1.43119999999998</v>
      </c>
      <c r="AF2098">
        <v>-1.6876686620969601</v>
      </c>
      <c r="AG2098">
        <v>-1.105194308527</v>
      </c>
      <c r="AH2098">
        <v>30.570986313423798</v>
      </c>
      <c r="AI2098">
        <v>92.067295383936894</v>
      </c>
      <c r="AJ2098">
        <v>93.159801251332297</v>
      </c>
      <c r="AK2098">
        <v>30.637475159486801</v>
      </c>
    </row>
    <row r="2099" spans="1:37" x14ac:dyDescent="0.2">
      <c r="A2099" t="str">
        <f>"20200111153438432"</f>
        <v>20200111153438432</v>
      </c>
      <c r="B2099" t="str">
        <f>"1578728078428550"</f>
        <v>1578728078428550</v>
      </c>
      <c r="C2099" t="s">
        <v>37</v>
      </c>
      <c r="D2099">
        <v>4.6360580000000002</v>
      </c>
      <c r="E2099">
        <v>0.50774209999999997</v>
      </c>
      <c r="F2099" t="s">
        <v>50</v>
      </c>
      <c r="G2099">
        <v>-488.98950000000002</v>
      </c>
      <c r="H2099" s="1">
        <v>3.6739780000000001E-6</v>
      </c>
      <c r="I2099">
        <v>283.17099999999999</v>
      </c>
      <c r="J2099">
        <v>-458.67160000000001</v>
      </c>
      <c r="K2099">
        <v>1.1052</v>
      </c>
      <c r="L2099">
        <v>284.59500000000003</v>
      </c>
      <c r="M2099">
        <v>-0.99973330000000005</v>
      </c>
      <c r="N2099">
        <v>0</v>
      </c>
      <c r="O2099">
        <v>8.6247700000000004E-3</v>
      </c>
      <c r="P2099">
        <v>-0.99725219999999903</v>
      </c>
      <c r="Q2099">
        <v>2.2688900000000001E-2</v>
      </c>
      <c r="R2099">
        <v>-7.0522749999999995E-2</v>
      </c>
      <c r="S2099">
        <v>-3.0010680000000001</v>
      </c>
      <c r="T2099">
        <v>-0.1086723</v>
      </c>
      <c r="U2099">
        <v>-0.1398315</v>
      </c>
      <c r="V2099">
        <v>-7.9079709999999998E-2</v>
      </c>
      <c r="W2099">
        <v>4.4116780000000001E-2</v>
      </c>
      <c r="X2099">
        <v>0.99589159999999899</v>
      </c>
      <c r="Y2099">
        <v>-5.5117409999999999E-2</v>
      </c>
      <c r="Z2099">
        <v>-1.3091929999999999E-3</v>
      </c>
      <c r="AA2099">
        <v>0.99847900000000001</v>
      </c>
      <c r="AB2099">
        <v>37</v>
      </c>
      <c r="AC2099">
        <v>-30.317900000000002</v>
      </c>
      <c r="AD2099">
        <v>-1.1051963260219999</v>
      </c>
      <c r="AE2099">
        <v>-1.4240000000000299</v>
      </c>
      <c r="AF2099">
        <v>-1.68326004924985</v>
      </c>
      <c r="AG2099">
        <v>-1.1051963260219999</v>
      </c>
      <c r="AH2099">
        <v>30.264358647483402</v>
      </c>
      <c r="AI2099">
        <v>92.088178165630097</v>
      </c>
      <c r="AJ2099">
        <v>93.183428892395398</v>
      </c>
      <c r="AK2099">
        <v>30.3312747449881</v>
      </c>
    </row>
    <row r="2100" spans="1:37" x14ac:dyDescent="0.2">
      <c r="A2100" t="str">
        <f>"20200111153438448"</f>
        <v>20200111153438448</v>
      </c>
      <c r="B2100" t="str">
        <f>"1578728078438310"</f>
        <v>1578728078438310</v>
      </c>
      <c r="C2100" t="s">
        <v>37</v>
      </c>
      <c r="D2100">
        <v>4.6217750000000004</v>
      </c>
      <c r="E2100">
        <v>0.50772200000000001</v>
      </c>
      <c r="F2100" t="s">
        <v>50</v>
      </c>
      <c r="G2100">
        <v>-488.161</v>
      </c>
      <c r="H2100" s="1">
        <v>3.5292579999999999E-6</v>
      </c>
      <c r="I2100">
        <v>283.19659999999999</v>
      </c>
      <c r="J2100">
        <v>-458.93099999999998</v>
      </c>
      <c r="K2100">
        <v>1.1052139999999999</v>
      </c>
      <c r="L2100">
        <v>284.59750000000003</v>
      </c>
      <c r="M2100">
        <v>-0.99973489999999998</v>
      </c>
      <c r="N2100">
        <v>0</v>
      </c>
      <c r="O2100">
        <v>8.8378620000000001E-3</v>
      </c>
      <c r="P2100">
        <v>-0.99725409999999903</v>
      </c>
      <c r="Q2100">
        <v>2.2077260000000001E-2</v>
      </c>
      <c r="R2100">
        <v>-7.0690020000000006E-2</v>
      </c>
      <c r="S2100">
        <v>-3.0007929999999998</v>
      </c>
      <c r="T2100">
        <v>-0.1124631</v>
      </c>
      <c r="U2100">
        <v>-0.1423035</v>
      </c>
      <c r="V2100">
        <v>-7.9463270000000003E-2</v>
      </c>
      <c r="W2100">
        <v>4.3341240000000003E-2</v>
      </c>
      <c r="X2100">
        <v>0.99589509999999903</v>
      </c>
      <c r="Y2100">
        <v>-5.6151270000000003E-2</v>
      </c>
      <c r="Z2100">
        <v>-1.382264E-3</v>
      </c>
      <c r="AA2100">
        <v>0.99842129999999996</v>
      </c>
      <c r="AB2100">
        <v>37</v>
      </c>
      <c r="AC2100">
        <v>-29.23</v>
      </c>
      <c r="AD2100">
        <v>-1.1052104707420001</v>
      </c>
      <c r="AE2100">
        <v>-1.40090000000003</v>
      </c>
      <c r="AF2100">
        <v>-1.6568710437370799</v>
      </c>
      <c r="AG2100">
        <v>-1.1052104707420001</v>
      </c>
      <c r="AH2100">
        <v>29.174859653438599</v>
      </c>
      <c r="AI2100">
        <v>92.165971186130704</v>
      </c>
      <c r="AJ2100">
        <v>93.250396316984506</v>
      </c>
      <c r="AK2100">
        <v>29.242762312032902</v>
      </c>
    </row>
    <row r="2101" spans="1:37" x14ac:dyDescent="0.2">
      <c r="A2101" t="str">
        <f>"20200111153438466"</f>
        <v>20200111153438466</v>
      </c>
      <c r="B2101" t="str">
        <f>"1578728078457830"</f>
        <v>1578728078457830</v>
      </c>
      <c r="C2101" t="s">
        <v>37</v>
      </c>
      <c r="D2101">
        <v>4.6228669999999896</v>
      </c>
      <c r="E2101">
        <v>0.50773429999999997</v>
      </c>
      <c r="F2101" t="s">
        <v>50</v>
      </c>
      <c r="G2101">
        <v>-488.06049999999999</v>
      </c>
      <c r="H2101" s="1">
        <v>3.512515E-6</v>
      </c>
      <c r="I2101">
        <v>283.20890000000003</v>
      </c>
      <c r="J2101">
        <v>-459.22089999999997</v>
      </c>
      <c r="K2101">
        <v>1.105235</v>
      </c>
      <c r="L2101">
        <v>284.6003</v>
      </c>
      <c r="M2101">
        <v>-0.99973650000000003</v>
      </c>
      <c r="N2101">
        <v>0</v>
      </c>
      <c r="O2101">
        <v>9.0549569999999902E-3</v>
      </c>
      <c r="P2101">
        <v>-0.99719539999999995</v>
      </c>
      <c r="Q2101">
        <v>2.1517979999999999E-2</v>
      </c>
      <c r="R2101">
        <v>-7.1684440000000002E-2</v>
      </c>
      <c r="S2101">
        <v>-3.0005799999999998</v>
      </c>
      <c r="T2101">
        <v>-0.11384560000000001</v>
      </c>
      <c r="U2101">
        <v>-0.14303589999999999</v>
      </c>
      <c r="V2101">
        <v>-8.0677189999999996E-2</v>
      </c>
      <c r="W2101">
        <v>4.260282E-2</v>
      </c>
      <c r="X2101">
        <v>0.99582939999999998</v>
      </c>
      <c r="Y2101">
        <v>-5.6612950000000002E-2</v>
      </c>
      <c r="Z2101">
        <v>-1.4163159999999999E-3</v>
      </c>
      <c r="AA2101">
        <v>0.99839519999999904</v>
      </c>
      <c r="AB2101">
        <v>37</v>
      </c>
      <c r="AC2101">
        <v>-28.839600000000001</v>
      </c>
      <c r="AD2101">
        <v>-1.105231487485</v>
      </c>
      <c r="AE2101">
        <v>-1.39139999999997</v>
      </c>
      <c r="AF2101">
        <v>-1.65012450308833</v>
      </c>
      <c r="AG2101">
        <v>-1.105231487485</v>
      </c>
      <c r="AH2101">
        <v>28.783639400568099</v>
      </c>
      <c r="AI2101">
        <v>92.195356587174601</v>
      </c>
      <c r="AJ2101">
        <v>93.281092982009696</v>
      </c>
      <c r="AK2101">
        <v>28.852076955716001</v>
      </c>
    </row>
    <row r="2102" spans="1:37" x14ac:dyDescent="0.2">
      <c r="A2102" t="str">
        <f>"20200111153438489"</f>
        <v>20200111153438489</v>
      </c>
      <c r="B2102" t="str">
        <f>"1578728078478326"</f>
        <v>1578728078478326</v>
      </c>
      <c r="C2102" t="s">
        <v>37</v>
      </c>
      <c r="D2102">
        <v>4.5989449999999996</v>
      </c>
      <c r="E2102">
        <v>0.50777629999999996</v>
      </c>
      <c r="F2102" t="s">
        <v>50</v>
      </c>
      <c r="G2102">
        <v>-488.11110000000002</v>
      </c>
      <c r="H2102" s="1">
        <v>3.5203239999999998E-6</v>
      </c>
      <c r="I2102">
        <v>283.19569999999999</v>
      </c>
      <c r="J2102">
        <v>-459.5926</v>
      </c>
      <c r="K2102">
        <v>1.10527</v>
      </c>
      <c r="L2102">
        <v>284.60390000000001</v>
      </c>
      <c r="M2102">
        <v>-0.99973849999999997</v>
      </c>
      <c r="N2102">
        <v>0</v>
      </c>
      <c r="O2102">
        <v>9.3020059999999998E-3</v>
      </c>
      <c r="P2102">
        <v>-0.99711510000000003</v>
      </c>
      <c r="Q2102">
        <v>2.24268E-2</v>
      </c>
      <c r="R2102">
        <v>-7.2514620000000002E-2</v>
      </c>
      <c r="S2102">
        <v>-3.0004270000000002</v>
      </c>
      <c r="T2102">
        <v>-0.1147856</v>
      </c>
      <c r="U2102">
        <v>-0.145874</v>
      </c>
      <c r="V2102">
        <v>-8.1756399999999896E-2</v>
      </c>
      <c r="W2102">
        <v>4.3293599999999897E-2</v>
      </c>
      <c r="X2102">
        <v>0.99571160000000003</v>
      </c>
      <c r="Y2102">
        <v>-5.780238E-2</v>
      </c>
      <c r="Z2102">
        <v>-1.460215E-3</v>
      </c>
      <c r="AA2102">
        <v>0.99832699999999996</v>
      </c>
      <c r="AB2102">
        <v>37</v>
      </c>
      <c r="AC2102">
        <v>-28.5185</v>
      </c>
      <c r="AD2102">
        <v>-1.1052664796759999</v>
      </c>
      <c r="AE2102">
        <v>-1.4082000000000201</v>
      </c>
      <c r="AF2102">
        <v>-1.67097245201197</v>
      </c>
      <c r="AG2102">
        <v>-1.1052664796759999</v>
      </c>
      <c r="AH2102">
        <v>28.461517404405601</v>
      </c>
      <c r="AI2102">
        <v>92.220071550996195</v>
      </c>
      <c r="AJ2102">
        <v>93.359971804767994</v>
      </c>
      <c r="AK2102">
        <v>28.531942378459998</v>
      </c>
    </row>
    <row r="2103" spans="1:37" x14ac:dyDescent="0.2">
      <c r="A2103" t="str">
        <f>"20200111153438511"</f>
        <v>20200111153438511</v>
      </c>
      <c r="B2103" t="str">
        <f>"1578728078508584"</f>
        <v>1578728078508584</v>
      </c>
      <c r="C2103" t="s">
        <v>37</v>
      </c>
      <c r="D2103">
        <v>4.5514409999999996</v>
      </c>
      <c r="E2103">
        <v>0.47535280000000002</v>
      </c>
      <c r="F2103" t="s">
        <v>50</v>
      </c>
      <c r="G2103">
        <v>-489.10649999999998</v>
      </c>
      <c r="H2103" s="1">
        <v>3.6926780000000001E-6</v>
      </c>
      <c r="I2103">
        <v>283.1474</v>
      </c>
      <c r="J2103">
        <v>-459.96100000000001</v>
      </c>
      <c r="K2103">
        <v>1.105302</v>
      </c>
      <c r="L2103">
        <v>284.60750000000002</v>
      </c>
      <c r="M2103">
        <v>-0.99974059999999898</v>
      </c>
      <c r="N2103">
        <v>0</v>
      </c>
      <c r="O2103">
        <v>9.5189179999999995E-3</v>
      </c>
      <c r="P2103">
        <v>-0.99701649999999997</v>
      </c>
      <c r="Q2103">
        <v>2.458542E-2</v>
      </c>
      <c r="R2103">
        <v>-7.3170330000000006E-2</v>
      </c>
      <c r="S2103">
        <v>-3.0004270000000002</v>
      </c>
      <c r="T2103">
        <v>-0.112363</v>
      </c>
      <c r="U2103">
        <v>-0.14807129999999999</v>
      </c>
      <c r="V2103">
        <v>-8.2628499999999994E-2</v>
      </c>
      <c r="W2103">
        <v>4.5251E-2</v>
      </c>
      <c r="X2103">
        <v>0.99555249999999995</v>
      </c>
      <c r="Y2103">
        <v>-5.8749490000000001E-2</v>
      </c>
      <c r="Z2103">
        <v>-1.4552269999999999E-3</v>
      </c>
      <c r="AA2103">
        <v>0.99827169999999898</v>
      </c>
      <c r="AB2103">
        <v>37</v>
      </c>
      <c r="AC2103">
        <v>-29.145499999999899</v>
      </c>
      <c r="AD2103">
        <v>-1.105298307322</v>
      </c>
      <c r="AE2103">
        <v>-1.4601000000000099</v>
      </c>
      <c r="AF2103">
        <v>-1.7350377863741899</v>
      </c>
      <c r="AG2103">
        <v>-1.105298307322</v>
      </c>
      <c r="AH2103">
        <v>29.0885473210346</v>
      </c>
      <c r="AI2103">
        <v>92.172204844491205</v>
      </c>
      <c r="AJ2103">
        <v>93.413463740073198</v>
      </c>
      <c r="AK2103">
        <v>29.161200690581701</v>
      </c>
    </row>
    <row r="2104" spans="1:37" x14ac:dyDescent="0.2">
      <c r="A2104" t="str">
        <f>"20200111153438533"</f>
        <v>20200111153438533</v>
      </c>
      <c r="B2104" t="str">
        <f>"1578728078528102"</f>
        <v>1578728078528102</v>
      </c>
      <c r="C2104" t="s">
        <v>37</v>
      </c>
      <c r="D2104">
        <v>4.5974719999999998</v>
      </c>
      <c r="E2104">
        <v>0.46151009999999998</v>
      </c>
      <c r="F2104" t="s">
        <v>50</v>
      </c>
      <c r="G2104">
        <v>-478.5949</v>
      </c>
      <c r="H2104" s="1">
        <v>2.5806759999999999E-6</v>
      </c>
      <c r="I2104">
        <v>282.07740000000001</v>
      </c>
      <c r="J2104">
        <v>-460.32240000000002</v>
      </c>
      <c r="K2104">
        <v>1.1053249999999999</v>
      </c>
      <c r="L2104">
        <v>284.6112</v>
      </c>
      <c r="M2104">
        <v>-0.99974249999999998</v>
      </c>
      <c r="N2104">
        <v>0</v>
      </c>
      <c r="O2104">
        <v>9.7123809999999904E-3</v>
      </c>
      <c r="P2104">
        <v>-0.99692689999999995</v>
      </c>
      <c r="Q2104">
        <v>2.5960449999999999E-2</v>
      </c>
      <c r="R2104">
        <v>-7.3914779999999999E-2</v>
      </c>
      <c r="S2104">
        <v>-2.9836429999999998</v>
      </c>
      <c r="T2104">
        <v>-0.17697950000000001</v>
      </c>
      <c r="U2104">
        <v>-0.4051208</v>
      </c>
      <c r="V2104">
        <v>-8.3566199999999993E-2</v>
      </c>
      <c r="W2104">
        <v>4.644612E-2</v>
      </c>
      <c r="X2104">
        <v>0.99541919999999995</v>
      </c>
      <c r="Y2104">
        <v>-0.14390059999999999</v>
      </c>
      <c r="Z2104">
        <v>-4.8178600000000002E-3</v>
      </c>
      <c r="AA2104">
        <v>0.98958049999999997</v>
      </c>
      <c r="AB2104">
        <v>37</v>
      </c>
      <c r="AC2104">
        <v>-18.272499999999901</v>
      </c>
      <c r="AD2104">
        <v>-1.1053224193240001</v>
      </c>
      <c r="AE2104">
        <v>-2.5337999999999798</v>
      </c>
      <c r="AF2104">
        <v>-2.7014885554805801</v>
      </c>
      <c r="AG2104">
        <v>-1.1053224193240001</v>
      </c>
      <c r="AH2104">
        <v>18.1817485095427</v>
      </c>
      <c r="AI2104">
        <v>93.441213099351899</v>
      </c>
      <c r="AJ2104">
        <v>98.451316170695705</v>
      </c>
      <c r="AK2104">
        <v>18.414552857191801</v>
      </c>
    </row>
    <row r="2105" spans="1:37" x14ac:dyDescent="0.2">
      <c r="A2105" t="str">
        <f>"20200111153438555"</f>
        <v>20200111153438555</v>
      </c>
      <c r="B2105" t="str">
        <f>"1578728078548599"</f>
        <v>1578728078548599</v>
      </c>
      <c r="C2105" t="s">
        <v>37</v>
      </c>
      <c r="D2105">
        <v>4.5163589999999996</v>
      </c>
      <c r="E2105">
        <v>0.45677839999999997</v>
      </c>
      <c r="F2105" t="s">
        <v>50</v>
      </c>
      <c r="G2105">
        <v>-478.20620000000002</v>
      </c>
      <c r="H2105" s="1">
        <v>2.7028420000000001E-6</v>
      </c>
      <c r="I2105">
        <v>281.50330000000002</v>
      </c>
      <c r="J2105">
        <v>-460.68529999999998</v>
      </c>
      <c r="K2105">
        <v>1.1053379999999999</v>
      </c>
      <c r="L2105">
        <v>284.61500000000001</v>
      </c>
      <c r="M2105">
        <v>-0.99974359999999995</v>
      </c>
      <c r="N2105">
        <v>0</v>
      </c>
      <c r="O2105">
        <v>9.8967619999999999E-3</v>
      </c>
      <c r="P2105">
        <v>-0.996834199999999</v>
      </c>
      <c r="Q2105">
        <v>2.5973469999999999E-2</v>
      </c>
      <c r="R2105">
        <v>-7.5148720000000002E-2</v>
      </c>
      <c r="S2105">
        <v>-2.9756770000000001</v>
      </c>
      <c r="T2105">
        <v>-0.18391389999999999</v>
      </c>
      <c r="U2105">
        <v>-0.51712040000000004</v>
      </c>
      <c r="V2105">
        <v>-8.4984920000000005E-2</v>
      </c>
      <c r="W2105">
        <v>4.6310850000000001E-2</v>
      </c>
      <c r="X2105">
        <v>0.99530540000000001</v>
      </c>
      <c r="Y2105">
        <v>-0.1806075</v>
      </c>
      <c r="Z2105">
        <v>-6.1414199999999999E-3</v>
      </c>
      <c r="AA2105">
        <v>0.98353609999999903</v>
      </c>
      <c r="AB2105">
        <v>37</v>
      </c>
      <c r="AC2105">
        <v>-17.520900000000001</v>
      </c>
      <c r="AD2105">
        <v>-1.1053352971579999</v>
      </c>
      <c r="AE2105">
        <v>-3.1116999999999799</v>
      </c>
      <c r="AF2105">
        <v>-3.2723581716713199</v>
      </c>
      <c r="AG2105">
        <v>-1.1053352971579999</v>
      </c>
      <c r="AH2105">
        <v>17.422021198374299</v>
      </c>
      <c r="AI2105">
        <v>93.568020824402794</v>
      </c>
      <c r="AJ2105">
        <v>100.637855890918</v>
      </c>
      <c r="AK2105">
        <v>17.761106856259101</v>
      </c>
    </row>
    <row r="2106" spans="1:37" x14ac:dyDescent="0.2">
      <c r="A2106" t="str">
        <f>"20200111153438572"</f>
        <v>20200111153438572</v>
      </c>
      <c r="B2106" t="str">
        <f>"1578728078568120"</f>
        <v>1578728078568120</v>
      </c>
      <c r="C2106" t="s">
        <v>37</v>
      </c>
      <c r="D2106">
        <v>4.5679099999999897</v>
      </c>
      <c r="E2106">
        <v>0.45486759999999898</v>
      </c>
      <c r="F2106" t="s">
        <v>50</v>
      </c>
      <c r="G2106">
        <v>-477.76350000000002</v>
      </c>
      <c r="H2106" s="1">
        <v>2.8909199999999998E-6</v>
      </c>
      <c r="I2106">
        <v>281.4092</v>
      </c>
      <c r="J2106">
        <v>-460.9676</v>
      </c>
      <c r="K2106">
        <v>1.1053539999999999</v>
      </c>
      <c r="L2106">
        <v>284.61790000000002</v>
      </c>
      <c r="M2106">
        <v>-0.99974379999999996</v>
      </c>
      <c r="N2106">
        <v>0</v>
      </c>
      <c r="O2106">
        <v>1.003799E-2</v>
      </c>
      <c r="P2106">
        <v>-0.99677850000000001</v>
      </c>
      <c r="Q2106">
        <v>2.5641649999999998E-2</v>
      </c>
      <c r="R2106">
        <v>-7.5994179999999995E-2</v>
      </c>
      <c r="S2106">
        <v>-2.9724430000000002</v>
      </c>
      <c r="T2106">
        <v>-0.19238139999999901</v>
      </c>
      <c r="U2106">
        <v>-0.55795289999999997</v>
      </c>
      <c r="V2106">
        <v>-8.5971820000000004E-2</v>
      </c>
      <c r="W2106">
        <v>4.5889770000000003E-2</v>
      </c>
      <c r="X2106">
        <v>0.99524020000000002</v>
      </c>
      <c r="Y2106">
        <v>-0.19393250000000001</v>
      </c>
      <c r="Z2106">
        <v>-6.8588240000000003E-3</v>
      </c>
      <c r="AA2106">
        <v>0.9809909</v>
      </c>
      <c r="AB2106">
        <v>36</v>
      </c>
      <c r="AC2106">
        <v>-16.7959</v>
      </c>
      <c r="AD2106">
        <v>-1.1053511090799999</v>
      </c>
      <c r="AE2106">
        <v>-3.2087000000000199</v>
      </c>
      <c r="AF2106">
        <v>-3.3631170864942201</v>
      </c>
      <c r="AG2106">
        <v>-1.1053511090799999</v>
      </c>
      <c r="AH2106">
        <v>16.693084945954499</v>
      </c>
      <c r="AI2106">
        <v>93.713964559574094</v>
      </c>
      <c r="AJ2106">
        <v>101.390767140387</v>
      </c>
      <c r="AK2106">
        <v>17.0643324693545</v>
      </c>
    </row>
    <row r="2107" spans="1:37" x14ac:dyDescent="0.2">
      <c r="A2107" t="str">
        <f>"20200111153438586"</f>
        <v>20200111153438586</v>
      </c>
      <c r="B2107" t="str">
        <f>"1578728078577878"</f>
        <v>1578728078577878</v>
      </c>
      <c r="C2107" t="s">
        <v>37</v>
      </c>
      <c r="D2107">
        <v>4.5127649999999999</v>
      </c>
      <c r="E2107">
        <v>0.454374</v>
      </c>
      <c r="F2107" t="s">
        <v>50</v>
      </c>
      <c r="G2107">
        <v>-477.7482</v>
      </c>
      <c r="H2107" s="1">
        <v>2.8941949999999998E-6</v>
      </c>
      <c r="I2107">
        <v>281.3689</v>
      </c>
      <c r="J2107">
        <v>-461.18779999999998</v>
      </c>
      <c r="K2107">
        <v>1.105362</v>
      </c>
      <c r="L2107">
        <v>284.62020000000001</v>
      </c>
      <c r="M2107">
        <v>-0.99974399999999997</v>
      </c>
      <c r="N2107">
        <v>0</v>
      </c>
      <c r="O2107">
        <v>1.01479E-2</v>
      </c>
      <c r="P2107">
        <v>-0.99668789999999996</v>
      </c>
      <c r="Q2107">
        <v>2.5078820000000002E-2</v>
      </c>
      <c r="R2107">
        <v>-7.7360499999999999E-2</v>
      </c>
      <c r="S2107">
        <v>-2.970825</v>
      </c>
      <c r="T2107">
        <v>-0.19569</v>
      </c>
      <c r="U2107">
        <v>-0.57519529999999996</v>
      </c>
      <c r="V2107">
        <v>-8.7447730000000001E-2</v>
      </c>
      <c r="W2107">
        <v>4.526529E-2</v>
      </c>
      <c r="X2107">
        <v>0.99514009999999997</v>
      </c>
      <c r="Y2107">
        <v>-0.19960139999999901</v>
      </c>
      <c r="Z2107">
        <v>-7.168481E-3</v>
      </c>
      <c r="AA2107">
        <v>0.97985089999999997</v>
      </c>
      <c r="AB2107">
        <v>36</v>
      </c>
      <c r="AC2107">
        <v>-16.560400000000001</v>
      </c>
      <c r="AD2107">
        <v>-1.1053591058050001</v>
      </c>
      <c r="AE2107">
        <v>-3.2513000000000098</v>
      </c>
      <c r="AF2107">
        <v>-3.4046149695313801</v>
      </c>
      <c r="AG2107">
        <v>-1.1053591058050001</v>
      </c>
      <c r="AH2107">
        <v>16.455953146621201</v>
      </c>
      <c r="AI2107">
        <v>93.763364993728104</v>
      </c>
      <c r="AJ2107">
        <v>101.689152177726</v>
      </c>
      <c r="AK2107">
        <v>16.840772423120502</v>
      </c>
    </row>
    <row r="2108" spans="1:37" x14ac:dyDescent="0.2">
      <c r="A2108" t="str">
        <f>"20200111153438600"</f>
        <v>20200111153438600</v>
      </c>
      <c r="B2108" t="str">
        <f>"1578728078587638"</f>
        <v>1578728078587638</v>
      </c>
      <c r="C2108" t="s">
        <v>37</v>
      </c>
      <c r="D2108">
        <v>4.532254</v>
      </c>
      <c r="E2108">
        <v>0.453972599999999</v>
      </c>
      <c r="F2108" t="s">
        <v>50</v>
      </c>
      <c r="G2108">
        <v>-477.7663</v>
      </c>
      <c r="H2108" s="1">
        <v>2.8857449999999999E-6</v>
      </c>
      <c r="I2108">
        <v>281.36380000000003</v>
      </c>
      <c r="J2108">
        <v>-461.39760000000001</v>
      </c>
      <c r="K2108">
        <v>1.1053679999999999</v>
      </c>
      <c r="L2108">
        <v>284.6225</v>
      </c>
      <c r="M2108">
        <v>-0.99974399999999997</v>
      </c>
      <c r="N2108">
        <v>0</v>
      </c>
      <c r="O2108">
        <v>1.0253109999999999E-2</v>
      </c>
      <c r="P2108">
        <v>-0.99651239999999996</v>
      </c>
      <c r="Q2108">
        <v>2.3961070000000001E-2</v>
      </c>
      <c r="R2108">
        <v>-7.9932500000000004E-2</v>
      </c>
      <c r="S2108">
        <v>-2.9696660000000001</v>
      </c>
      <c r="T2108">
        <v>-0.19800009999999901</v>
      </c>
      <c r="U2108">
        <v>-0.58331299999999997</v>
      </c>
      <c r="V2108">
        <v>-9.0123690000000006E-2</v>
      </c>
      <c r="W2108">
        <v>4.4092480000000003E-2</v>
      </c>
      <c r="X2108">
        <v>0.99495400000000001</v>
      </c>
      <c r="Y2108">
        <v>-0.20233889999999999</v>
      </c>
      <c r="Z2108">
        <v>-7.3510679999999997E-3</v>
      </c>
      <c r="AA2108">
        <v>0.97928799999999905</v>
      </c>
      <c r="AB2108">
        <v>36</v>
      </c>
      <c r="AC2108">
        <v>-16.368699999999901</v>
      </c>
      <c r="AD2108">
        <v>-1.1053651142550001</v>
      </c>
      <c r="AE2108">
        <v>-3.25869999999997</v>
      </c>
      <c r="AF2108">
        <v>-3.4114291571458</v>
      </c>
      <c r="AG2108">
        <v>-1.1053651142550001</v>
      </c>
      <c r="AH2108">
        <v>16.2630851018775</v>
      </c>
      <c r="AI2108">
        <v>93.8057088251457</v>
      </c>
      <c r="AJ2108">
        <v>101.84689320579599</v>
      </c>
      <c r="AK2108">
        <v>16.653756872277999</v>
      </c>
    </row>
    <row r="2109" spans="1:37" x14ac:dyDescent="0.2">
      <c r="A2109" t="str">
        <f>"20200111153438622"</f>
        <v>20200111153438622</v>
      </c>
      <c r="B2109" t="str">
        <f>"1578728078617897"</f>
        <v>1578728078617897</v>
      </c>
      <c r="C2109" t="s">
        <v>37</v>
      </c>
      <c r="D2109">
        <v>4.5290369999999998</v>
      </c>
      <c r="E2109">
        <v>0.45284219999999997</v>
      </c>
      <c r="F2109" t="s">
        <v>50</v>
      </c>
      <c r="G2109">
        <v>-477.61189999999999</v>
      </c>
      <c r="H2109" s="1">
        <v>2.9552690000000001E-6</v>
      </c>
      <c r="I2109">
        <v>281.37610000000001</v>
      </c>
      <c r="J2109">
        <v>-461.76240000000001</v>
      </c>
      <c r="K2109">
        <v>1.105389</v>
      </c>
      <c r="L2109">
        <v>284.62639999999999</v>
      </c>
      <c r="M2109">
        <v>-0.99974359999999995</v>
      </c>
      <c r="N2109">
        <v>0</v>
      </c>
      <c r="O2109">
        <v>1.0438340000000001E-2</v>
      </c>
      <c r="P2109">
        <v>-0.99632520000000002</v>
      </c>
      <c r="Q2109">
        <v>2.4155010000000001E-2</v>
      </c>
      <c r="R2109">
        <v>-8.2176219999999994E-2</v>
      </c>
      <c r="S2109">
        <v>-2.9677119999999899</v>
      </c>
      <c r="T2109">
        <v>-0.20231559999999901</v>
      </c>
      <c r="U2109">
        <v>-0.59417719999999996</v>
      </c>
      <c r="V2109">
        <v>-9.2550149999999998E-2</v>
      </c>
      <c r="W2109">
        <v>4.420491E-2</v>
      </c>
      <c r="X2109">
        <v>0.99472629999999995</v>
      </c>
      <c r="Y2109">
        <v>-0.20606099999999999</v>
      </c>
      <c r="Z2109">
        <v>-7.6511119999999998E-3</v>
      </c>
      <c r="AA2109">
        <v>0.97850919999999897</v>
      </c>
      <c r="AB2109">
        <v>36</v>
      </c>
      <c r="AC2109">
        <v>-15.8494999999999</v>
      </c>
      <c r="AD2109">
        <v>-1.105386044731</v>
      </c>
      <c r="AE2109">
        <v>-3.2502999999999802</v>
      </c>
      <c r="AF2109">
        <v>-3.3997296901477698</v>
      </c>
      <c r="AG2109">
        <v>-1.105386044731</v>
      </c>
      <c r="AH2109">
        <v>15.7412256861729</v>
      </c>
      <c r="AI2109">
        <v>93.926608094373094</v>
      </c>
      <c r="AJ2109">
        <v>102.187328892111</v>
      </c>
      <c r="AK2109">
        <v>16.142063882198801</v>
      </c>
    </row>
    <row r="2110" spans="1:37" x14ac:dyDescent="0.2">
      <c r="A2110" t="str">
        <f>"20200111153438639"</f>
        <v>20200111153438639</v>
      </c>
      <c r="B2110" t="str">
        <f>"1578728078628631"</f>
        <v>1578728078628631</v>
      </c>
      <c r="C2110" t="s">
        <v>37</v>
      </c>
      <c r="D2110">
        <v>4.5396900000000002</v>
      </c>
      <c r="E2110">
        <v>0.4525383</v>
      </c>
      <c r="F2110" t="s">
        <v>50</v>
      </c>
      <c r="G2110">
        <v>-477.82029999999997</v>
      </c>
      <c r="H2110" s="1">
        <v>2.858398E-6</v>
      </c>
      <c r="I2110">
        <v>281.32479999999998</v>
      </c>
      <c r="J2110">
        <v>-462.02929999999998</v>
      </c>
      <c r="K2110">
        <v>1.1054040000000001</v>
      </c>
      <c r="L2110">
        <v>284.6293</v>
      </c>
      <c r="M2110">
        <v>-0.9997431</v>
      </c>
      <c r="N2110">
        <v>0</v>
      </c>
      <c r="O2110">
        <v>1.057466E-2</v>
      </c>
      <c r="P2110">
        <v>-0.99623649999999997</v>
      </c>
      <c r="Q2110">
        <v>2.4702910000000002E-2</v>
      </c>
      <c r="R2110">
        <v>-8.3084420000000006E-2</v>
      </c>
      <c r="S2110">
        <v>-2.9656980000000002</v>
      </c>
      <c r="T2110">
        <v>-0.20415169999999999</v>
      </c>
      <c r="U2110">
        <v>-0.60977169999999903</v>
      </c>
      <c r="V2110">
        <v>-9.3593449999999995E-2</v>
      </c>
      <c r="W2110">
        <v>4.4700810000000001E-2</v>
      </c>
      <c r="X2110">
        <v>0.99460649999999995</v>
      </c>
      <c r="Y2110">
        <v>-0.21124009999999999</v>
      </c>
      <c r="Z2110">
        <v>-7.9070400000000006E-3</v>
      </c>
      <c r="AA2110">
        <v>0.977402199999999</v>
      </c>
      <c r="AB2110">
        <v>36</v>
      </c>
      <c r="AC2110">
        <v>-15.790999999999899</v>
      </c>
      <c r="AD2110">
        <v>-1.105401141602</v>
      </c>
      <c r="AE2110">
        <v>-3.3045000000000102</v>
      </c>
      <c r="AF2110">
        <v>-3.4551125092069199</v>
      </c>
      <c r="AG2110">
        <v>-1.105401141602</v>
      </c>
      <c r="AH2110">
        <v>15.681545772535699</v>
      </c>
      <c r="AI2110">
        <v>93.937997784913406</v>
      </c>
      <c r="AJ2110">
        <v>102.425443394675</v>
      </c>
      <c r="AK2110">
        <v>16.095669975222101</v>
      </c>
    </row>
    <row r="2111" spans="1:37" x14ac:dyDescent="0.2">
      <c r="A2111" t="str">
        <f>"20200111153438653"</f>
        <v>20200111153438653</v>
      </c>
      <c r="B2111" t="str">
        <f>"1578728078648150"</f>
        <v>1578728078648150</v>
      </c>
      <c r="C2111" t="s">
        <v>37</v>
      </c>
      <c r="D2111">
        <v>4.5182339999999996</v>
      </c>
      <c r="E2111">
        <v>0.45203260000000001</v>
      </c>
      <c r="F2111" t="s">
        <v>50</v>
      </c>
      <c r="G2111">
        <v>-478.13850000000002</v>
      </c>
      <c r="H2111" s="1">
        <v>2.7143570000000001E-6</v>
      </c>
      <c r="I2111">
        <v>281.2912</v>
      </c>
      <c r="J2111">
        <v>-462.26</v>
      </c>
      <c r="K2111">
        <v>1.105416</v>
      </c>
      <c r="L2111">
        <v>284.63189999999997</v>
      </c>
      <c r="M2111">
        <v>-0.99974259999999904</v>
      </c>
      <c r="N2111">
        <v>0</v>
      </c>
      <c r="O2111">
        <v>1.0691819999999999E-2</v>
      </c>
      <c r="P2111">
        <v>-0.99611439999999996</v>
      </c>
      <c r="Q2111">
        <v>2.557692E-2</v>
      </c>
      <c r="R2111">
        <v>-8.4275039999999996E-2</v>
      </c>
      <c r="S2111">
        <v>-2.9651489999999998</v>
      </c>
      <c r="T2111">
        <v>-0.20346739999999999</v>
      </c>
      <c r="U2111">
        <v>-0.61444089999999996</v>
      </c>
      <c r="V2111">
        <v>-9.4899709999999998E-2</v>
      </c>
      <c r="W2111">
        <v>4.5535369999999999E-2</v>
      </c>
      <c r="X2111">
        <v>0.99444480000000002</v>
      </c>
      <c r="Y2111">
        <v>-0.21286569999999999</v>
      </c>
      <c r="Z2111">
        <v>-7.9438579999999998E-3</v>
      </c>
      <c r="AA2111">
        <v>0.97704919999999995</v>
      </c>
      <c r="AB2111">
        <v>36</v>
      </c>
      <c r="AC2111">
        <v>-15.878500000000001</v>
      </c>
      <c r="AD2111">
        <v>-1.1054132856429999</v>
      </c>
      <c r="AE2111">
        <v>-3.3406999999999698</v>
      </c>
      <c r="AF2111">
        <v>-3.4940966228278501</v>
      </c>
      <c r="AG2111">
        <v>-1.1054132856429999</v>
      </c>
      <c r="AH2111">
        <v>15.7686828609296</v>
      </c>
      <c r="AI2111">
        <v>93.915315503304399</v>
      </c>
      <c r="AJ2111">
        <v>102.493986861837</v>
      </c>
      <c r="AK2111">
        <v>16.188947121734302</v>
      </c>
    </row>
    <row r="2112" spans="1:37" x14ac:dyDescent="0.2">
      <c r="A2112" t="str">
        <f>"20200111153438667"</f>
        <v>20200111153438667</v>
      </c>
      <c r="B2112" t="str">
        <f>"1578728078657910"</f>
        <v>1578728078657910</v>
      </c>
      <c r="C2112" t="s">
        <v>37</v>
      </c>
      <c r="D2112">
        <v>4.536124</v>
      </c>
      <c r="E2112">
        <v>0.45182470000000002</v>
      </c>
      <c r="F2112" t="s">
        <v>50</v>
      </c>
      <c r="G2112">
        <v>-478.5138</v>
      </c>
      <c r="H2112" s="1">
        <v>2.541701E-6</v>
      </c>
      <c r="I2112">
        <v>281.22039999999998</v>
      </c>
      <c r="J2112">
        <v>-462.48149999999998</v>
      </c>
      <c r="K2112">
        <v>1.105432</v>
      </c>
      <c r="L2112">
        <v>284.6343</v>
      </c>
      <c r="M2112">
        <v>-0.99974209999999997</v>
      </c>
      <c r="N2112">
        <v>0</v>
      </c>
      <c r="O2112">
        <v>1.080339E-2</v>
      </c>
      <c r="P2112">
        <v>-0.99584850000000003</v>
      </c>
      <c r="Q2112">
        <v>2.6865440000000001E-2</v>
      </c>
      <c r="R2112">
        <v>-8.6971980000000004E-2</v>
      </c>
      <c r="S2112">
        <v>-2.964264</v>
      </c>
      <c r="T2112">
        <v>-0.20159759999999999</v>
      </c>
      <c r="U2112">
        <v>-0.62216190000000005</v>
      </c>
      <c r="V2112">
        <v>-9.7704189999999996E-2</v>
      </c>
      <c r="W2112">
        <v>4.6786210000000002E-2</v>
      </c>
      <c r="X2112">
        <v>0.99411519999999998</v>
      </c>
      <c r="Y2112">
        <v>-0.2154739</v>
      </c>
      <c r="Z2112">
        <v>-7.9663949999999994E-3</v>
      </c>
      <c r="AA2112">
        <v>0.97647709999999999</v>
      </c>
      <c r="AB2112">
        <v>36</v>
      </c>
      <c r="AC2112">
        <v>-16.032299999999999</v>
      </c>
      <c r="AD2112">
        <v>-1.1054294582990001</v>
      </c>
      <c r="AE2112">
        <v>-3.4139000000000101</v>
      </c>
      <c r="AF2112">
        <v>-3.5706992374835602</v>
      </c>
      <c r="AG2112">
        <v>-1.1054294582990001</v>
      </c>
      <c r="AH2112">
        <v>15.9220628886847</v>
      </c>
      <c r="AI2112">
        <v>93.875573934129903</v>
      </c>
      <c r="AJ2112">
        <v>102.640080904749</v>
      </c>
      <c r="AK2112">
        <v>16.354936684777201</v>
      </c>
    </row>
    <row r="2113" spans="1:37" x14ac:dyDescent="0.2">
      <c r="A2113" t="str">
        <f>"20200111153438683"</f>
        <v>20200111153438683</v>
      </c>
      <c r="B2113" t="str">
        <f>"1578728078678407"</f>
        <v>1578728078678407</v>
      </c>
      <c r="C2113" t="s">
        <v>37</v>
      </c>
      <c r="D2113">
        <v>4.4902249999999997</v>
      </c>
      <c r="E2113">
        <v>0.451358599999999</v>
      </c>
      <c r="F2113" t="s">
        <v>50</v>
      </c>
      <c r="G2113">
        <v>-479.00220000000002</v>
      </c>
      <c r="H2113" s="1">
        <v>2.3156389999999999E-6</v>
      </c>
      <c r="I2113">
        <v>281.11180000000002</v>
      </c>
      <c r="J2113">
        <v>-462.73320000000001</v>
      </c>
      <c r="K2113">
        <v>1.105448</v>
      </c>
      <c r="L2113">
        <v>284.63720000000001</v>
      </c>
      <c r="M2113">
        <v>-0.9997414</v>
      </c>
      <c r="N2113">
        <v>0</v>
      </c>
      <c r="O2113">
        <v>1.092479E-2</v>
      </c>
      <c r="P2113">
        <v>-0.99569490000000005</v>
      </c>
      <c r="Q2113">
        <v>2.7237569999999999E-2</v>
      </c>
      <c r="R2113">
        <v>-8.8601239999999998E-2</v>
      </c>
      <c r="S2113">
        <v>-2.9626459999999999</v>
      </c>
      <c r="T2113">
        <v>-0.19823560000000001</v>
      </c>
      <c r="U2113">
        <v>-0.63168329999999995</v>
      </c>
      <c r="V2113">
        <v>-9.9453050000000001E-2</v>
      </c>
      <c r="W2113">
        <v>4.7120589999999997E-2</v>
      </c>
      <c r="X2113">
        <v>0.99392590000000003</v>
      </c>
      <c r="Y2113">
        <v>-0.218711499999999</v>
      </c>
      <c r="Z2113">
        <v>-7.9504680000000005E-3</v>
      </c>
      <c r="AA2113">
        <v>0.97575719999999999</v>
      </c>
      <c r="AB2113">
        <v>36</v>
      </c>
      <c r="AC2113">
        <v>-16.268999999999998</v>
      </c>
      <c r="AD2113">
        <v>-1.1054456843610001</v>
      </c>
      <c r="AE2113">
        <v>-3.5253999999999901</v>
      </c>
      <c r="AF2113">
        <v>-3.6867024689102399</v>
      </c>
      <c r="AG2113">
        <v>-1.1054456843610001</v>
      </c>
      <c r="AH2113">
        <v>16.158251232031301</v>
      </c>
      <c r="AI2113">
        <v>93.815953259645497</v>
      </c>
      <c r="AJ2113">
        <v>102.852717755085</v>
      </c>
      <c r="AK2113">
        <v>16.6103241429173</v>
      </c>
    </row>
    <row r="2114" spans="1:37" x14ac:dyDescent="0.2">
      <c r="A2114" t="str">
        <f>"20200111153438697"</f>
        <v>20200111153438697</v>
      </c>
      <c r="B2114" t="str">
        <f>"1578728078688364"</f>
        <v>1578728078688364</v>
      </c>
      <c r="C2114" t="s">
        <v>37</v>
      </c>
      <c r="D2114">
        <v>4.5157730000000003</v>
      </c>
      <c r="E2114">
        <v>0.4511656</v>
      </c>
      <c r="F2114" t="s">
        <v>50</v>
      </c>
      <c r="G2114">
        <v>-479.21940000000001</v>
      </c>
      <c r="H2114" s="1">
        <v>2.2160780000000001E-6</v>
      </c>
      <c r="I2114">
        <v>281.07479999999998</v>
      </c>
      <c r="J2114">
        <v>-462.96839999999997</v>
      </c>
      <c r="K2114">
        <v>1.105472</v>
      </c>
      <c r="L2114">
        <v>284.63979999999998</v>
      </c>
      <c r="M2114">
        <v>-0.99974099999999999</v>
      </c>
      <c r="N2114">
        <v>0</v>
      </c>
      <c r="O2114">
        <v>1.102639E-2</v>
      </c>
      <c r="P2114">
        <v>-0.99555439999999995</v>
      </c>
      <c r="Q2114">
        <v>2.7959040000000001E-2</v>
      </c>
      <c r="R2114">
        <v>-8.9943789999999996E-2</v>
      </c>
      <c r="S2114">
        <v>-2.9614560000000001</v>
      </c>
      <c r="T2114">
        <v>-0.19857339999999901</v>
      </c>
      <c r="U2114">
        <v>-0.63992309999999997</v>
      </c>
      <c r="V2114">
        <v>-0.1008961</v>
      </c>
      <c r="W2114">
        <v>4.7808839999999998E-2</v>
      </c>
      <c r="X2114">
        <v>0.99374759999999995</v>
      </c>
      <c r="Y2114">
        <v>-0.22147710000000001</v>
      </c>
      <c r="Z2114">
        <v>-8.0631119999999903E-3</v>
      </c>
      <c r="AA2114">
        <v>0.9751322</v>
      </c>
      <c r="AB2114">
        <v>36</v>
      </c>
      <c r="AC2114">
        <v>-16.251000000000001</v>
      </c>
      <c r="AD2114">
        <v>-1.105469783922</v>
      </c>
      <c r="AE2114">
        <v>-3.5649999999999902</v>
      </c>
      <c r="AF2114">
        <v>-3.7275517996861098</v>
      </c>
      <c r="AG2114">
        <v>-1.105469783922</v>
      </c>
      <c r="AH2114">
        <v>16.1394407526568</v>
      </c>
      <c r="AI2114">
        <v>93.818148019637803</v>
      </c>
      <c r="AJ2114">
        <v>103.00494869086801</v>
      </c>
      <c r="AK2114">
        <v>16.601152179021401</v>
      </c>
    </row>
    <row r="2115" spans="1:37" x14ac:dyDescent="0.2">
      <c r="A2115" t="str">
        <f>"20200111153438710"</f>
        <v>20200111153438710</v>
      </c>
      <c r="B2115" t="str">
        <f>"1578728078707885"</f>
        <v>1578728078707885</v>
      </c>
      <c r="C2115" t="s">
        <v>37</v>
      </c>
      <c r="D2115">
        <v>4.507104</v>
      </c>
      <c r="E2115">
        <v>0.45080799999999999</v>
      </c>
      <c r="F2115" t="s">
        <v>50</v>
      </c>
      <c r="G2115">
        <v>-479.58690000000001</v>
      </c>
      <c r="H2115" s="1">
        <v>2.0480510000000001E-6</v>
      </c>
      <c r="I2115">
        <v>281.01679999999999</v>
      </c>
      <c r="J2115">
        <v>-463.1694</v>
      </c>
      <c r="K2115">
        <v>1.105494</v>
      </c>
      <c r="L2115">
        <v>284.6422</v>
      </c>
      <c r="M2115">
        <v>-0.99974050000000003</v>
      </c>
      <c r="N2115">
        <v>0</v>
      </c>
      <c r="O2115">
        <v>1.1094669999999999E-2</v>
      </c>
      <c r="P2115">
        <v>-0.99538139999999997</v>
      </c>
      <c r="Q2115">
        <v>2.8938749999999999E-2</v>
      </c>
      <c r="R2115">
        <v>-9.1533820000000002E-2</v>
      </c>
      <c r="S2115">
        <v>-2.9606020000000002</v>
      </c>
      <c r="T2115">
        <v>-0.19694049999999999</v>
      </c>
      <c r="U2115">
        <v>-0.64544679999999999</v>
      </c>
      <c r="V2115">
        <v>-0.10255309999999999</v>
      </c>
      <c r="W2115">
        <v>4.8760449999999997E-2</v>
      </c>
      <c r="X2115">
        <v>0.99353169999999902</v>
      </c>
      <c r="Y2115">
        <v>-0.22334290000000001</v>
      </c>
      <c r="Z2115">
        <v>-8.0634060000000004E-3</v>
      </c>
      <c r="AA2115">
        <v>0.97470659999999898</v>
      </c>
      <c r="AB2115">
        <v>36</v>
      </c>
      <c r="AC2115">
        <v>-16.4175</v>
      </c>
      <c r="AD2115">
        <v>-1.1054919519490001</v>
      </c>
      <c r="AE2115">
        <v>-3.6254000000000102</v>
      </c>
      <c r="AF2115">
        <v>-3.7909699294327801</v>
      </c>
      <c r="AG2115">
        <v>-1.1054919519490001</v>
      </c>
      <c r="AH2115">
        <v>16.305763196993201</v>
      </c>
      <c r="AI2115">
        <v>93.778120425373402</v>
      </c>
      <c r="AJ2115">
        <v>103.08833270692</v>
      </c>
      <c r="AK2115">
        <v>16.777111756738901</v>
      </c>
    </row>
    <row r="2116" spans="1:37" x14ac:dyDescent="0.2">
      <c r="A2116" t="str">
        <f>"20200111153438723"</f>
        <v>20200111153438723</v>
      </c>
      <c r="B2116" t="str">
        <f>"1578728078718620"</f>
        <v>1578728078718620</v>
      </c>
      <c r="C2116" t="s">
        <v>37</v>
      </c>
      <c r="D2116">
        <v>4.550967</v>
      </c>
      <c r="E2116">
        <v>0.4506638</v>
      </c>
      <c r="F2116" t="s">
        <v>50</v>
      </c>
      <c r="G2116">
        <v>-479.95249999999999</v>
      </c>
      <c r="H2116" s="1">
        <v>1.879242E-6</v>
      </c>
      <c r="I2116">
        <v>280.94060000000002</v>
      </c>
      <c r="J2116">
        <v>-463.36450000000002</v>
      </c>
      <c r="K2116">
        <v>1.1055219999999999</v>
      </c>
      <c r="L2116">
        <v>284.64440000000002</v>
      </c>
      <c r="M2116">
        <v>-0.99974039999999997</v>
      </c>
      <c r="N2116">
        <v>0</v>
      </c>
      <c r="O2116">
        <v>1.114771E-2</v>
      </c>
      <c r="P2116">
        <v>-0.99502919999999995</v>
      </c>
      <c r="Q2116">
        <v>3.079351E-2</v>
      </c>
      <c r="R2116">
        <v>-9.4705020000000001E-2</v>
      </c>
      <c r="S2116">
        <v>-2.9595950000000002</v>
      </c>
      <c r="T2116">
        <v>-0.1949466</v>
      </c>
      <c r="U2116">
        <v>-0.65274049999999995</v>
      </c>
      <c r="V2116">
        <v>-0.10577439999999901</v>
      </c>
      <c r="W2116">
        <v>5.0583999999999997E-2</v>
      </c>
      <c r="X2116">
        <v>0.9931027</v>
      </c>
      <c r="Y2116">
        <v>-0.2257596</v>
      </c>
      <c r="Z2116">
        <v>-8.0645339999999999E-3</v>
      </c>
      <c r="AA2116">
        <v>0.97414959999999995</v>
      </c>
      <c r="AB2116">
        <v>35</v>
      </c>
      <c r="AC2116">
        <v>-16.587999999999901</v>
      </c>
      <c r="AD2116">
        <v>-1.1055201207580001</v>
      </c>
      <c r="AE2116">
        <v>-3.7038000000000002</v>
      </c>
      <c r="AF2116">
        <v>-3.87214248071164</v>
      </c>
      <c r="AG2116">
        <v>-1.1055201207580001</v>
      </c>
      <c r="AH2116">
        <v>16.4759663337292</v>
      </c>
      <c r="AI2116">
        <v>93.737211107639894</v>
      </c>
      <c r="AJ2116">
        <v>103.22550818801901</v>
      </c>
      <c r="AK2116">
        <v>16.960929478024202</v>
      </c>
    </row>
    <row r="2117" spans="1:37" x14ac:dyDescent="0.2">
      <c r="A2117" t="str">
        <f>"20200111153438745"</f>
        <v>20200111153438745</v>
      </c>
      <c r="B2117" t="str">
        <f>"1578728078738143"</f>
        <v>1578728078738143</v>
      </c>
      <c r="C2117" t="s">
        <v>37</v>
      </c>
      <c r="D2117">
        <v>4.5040279999999999</v>
      </c>
      <c r="E2117">
        <v>0.45037870000000002</v>
      </c>
      <c r="F2117" t="s">
        <v>50</v>
      </c>
      <c r="G2117">
        <v>-480.49770000000001</v>
      </c>
      <c r="H2117" s="1">
        <v>1.9607039999999998E-6</v>
      </c>
      <c r="I2117">
        <v>280.80360000000002</v>
      </c>
      <c r="J2117">
        <v>-463.71899999999999</v>
      </c>
      <c r="K2117">
        <v>1.1055839999999999</v>
      </c>
      <c r="L2117">
        <v>284.64839999999998</v>
      </c>
      <c r="M2117">
        <v>-0.99974069999999904</v>
      </c>
      <c r="N2117">
        <v>0</v>
      </c>
      <c r="O2117">
        <v>1.117606E-2</v>
      </c>
      <c r="P2117">
        <v>-0.99467899999999998</v>
      </c>
      <c r="Q2117">
        <v>3.2684039999999998E-2</v>
      </c>
      <c r="R2117">
        <v>-9.7703090000000006E-2</v>
      </c>
      <c r="S2117">
        <v>-2.9577640000000001</v>
      </c>
      <c r="T2117">
        <v>-0.19085050000000001</v>
      </c>
      <c r="U2117">
        <v>-0.66305539999999996</v>
      </c>
      <c r="V2117">
        <v>-0.10880280000000001</v>
      </c>
      <c r="W2117">
        <v>5.2421200000000001E-2</v>
      </c>
      <c r="X2117">
        <v>0.99268020000000001</v>
      </c>
      <c r="Y2117">
        <v>-0.22916320000000001</v>
      </c>
      <c r="Z2117">
        <v>-8.0074059999999999E-3</v>
      </c>
      <c r="AA2117">
        <v>0.97335509999999903</v>
      </c>
      <c r="AB2117">
        <v>35</v>
      </c>
      <c r="AC2117">
        <v>-16.778700000000001</v>
      </c>
      <c r="AD2117">
        <v>-1.1055820392960001</v>
      </c>
      <c r="AE2117">
        <v>-3.8447999999999598</v>
      </c>
      <c r="AF2117">
        <v>-4.0155517075344296</v>
      </c>
      <c r="AG2117">
        <v>-1.1055820392960001</v>
      </c>
      <c r="AH2117">
        <v>16.665924090902799</v>
      </c>
      <c r="AI2117">
        <v>93.690024704717501</v>
      </c>
      <c r="AJ2117">
        <v>103.54685498679601</v>
      </c>
      <c r="AK2117">
        <v>17.178474698448401</v>
      </c>
    </row>
    <row r="2118" spans="1:37" x14ac:dyDescent="0.2">
      <c r="A2118" t="str">
        <f>"20200111153438767"</f>
        <v>20200111153438767</v>
      </c>
      <c r="B2118" t="str">
        <f>"1578728078758636"</f>
        <v>1578728078758636</v>
      </c>
      <c r="C2118" t="s">
        <v>37</v>
      </c>
      <c r="D2118">
        <v>4.5243739999999999</v>
      </c>
      <c r="E2118">
        <v>0.4501539</v>
      </c>
      <c r="F2118" t="s">
        <v>50</v>
      </c>
      <c r="G2118">
        <v>-481.1497</v>
      </c>
      <c r="H2118" s="1">
        <v>2.0649879999999998E-6</v>
      </c>
      <c r="I2118">
        <v>280.67340000000002</v>
      </c>
      <c r="J2118">
        <v>-464.05860000000001</v>
      </c>
      <c r="K2118">
        <v>1.105658</v>
      </c>
      <c r="L2118">
        <v>284.65219999999999</v>
      </c>
      <c r="M2118">
        <v>-0.99974189999999996</v>
      </c>
      <c r="N2118">
        <v>0</v>
      </c>
      <c r="O2118">
        <v>1.110295E-2</v>
      </c>
      <c r="P2118">
        <v>-0.99436029999999997</v>
      </c>
      <c r="Q2118">
        <v>3.3006420000000002E-2</v>
      </c>
      <c r="R2118">
        <v>-0.100789</v>
      </c>
      <c r="S2118">
        <v>-2.955994</v>
      </c>
      <c r="T2118">
        <v>-0.18749079999999901</v>
      </c>
      <c r="U2118">
        <v>-0.6741028</v>
      </c>
      <c r="V2118">
        <v>-0.11182209999999999</v>
      </c>
      <c r="W2118">
        <v>5.268929E-2</v>
      </c>
      <c r="X2118">
        <v>0.99233039999999995</v>
      </c>
      <c r="Y2118">
        <v>-0.23268539999999999</v>
      </c>
      <c r="Z2118">
        <v>-7.9737179999999994E-3</v>
      </c>
      <c r="AA2118">
        <v>0.97251929999999998</v>
      </c>
      <c r="AB2118">
        <v>35</v>
      </c>
      <c r="AC2118">
        <v>-17.091099999999901</v>
      </c>
      <c r="AD2118">
        <v>-1.1056559350120001</v>
      </c>
      <c r="AE2118">
        <v>-3.9787999999999699</v>
      </c>
      <c r="AF2118">
        <v>-4.1518710836093504</v>
      </c>
      <c r="AG2118">
        <v>-1.1056559350120001</v>
      </c>
      <c r="AH2118">
        <v>16.978458341721002</v>
      </c>
      <c r="AI2118">
        <v>93.619548775048997</v>
      </c>
      <c r="AJ2118">
        <v>103.741303491362</v>
      </c>
      <c r="AK2118">
        <v>17.5136676970614</v>
      </c>
    </row>
    <row r="2119" spans="1:37" x14ac:dyDescent="0.2">
      <c r="A2119" t="str">
        <f>"20200111153438789"</f>
        <v>20200111153438789</v>
      </c>
      <c r="B2119" t="str">
        <f>"1578728078778156"</f>
        <v>1578728078778156</v>
      </c>
      <c r="C2119" t="s">
        <v>37</v>
      </c>
      <c r="D2119">
        <v>4.5249199999999998</v>
      </c>
      <c r="E2119">
        <v>0.44979049999999998</v>
      </c>
      <c r="F2119" t="s">
        <v>50</v>
      </c>
      <c r="G2119">
        <v>-481.51150000000001</v>
      </c>
      <c r="H2119" s="1">
        <v>2.1231949999999999E-6</v>
      </c>
      <c r="I2119">
        <v>280.60520000000002</v>
      </c>
      <c r="J2119">
        <v>-464.40539999999999</v>
      </c>
      <c r="K2119">
        <v>1.105756</v>
      </c>
      <c r="L2119">
        <v>284.65589999999997</v>
      </c>
      <c r="M2119">
        <v>-0.99974490000000005</v>
      </c>
      <c r="N2119">
        <v>0</v>
      </c>
      <c r="O2119">
        <v>1.087862E-2</v>
      </c>
      <c r="P2119">
        <v>-0.99408050000000003</v>
      </c>
      <c r="Q2119">
        <v>3.1393259999999999E-2</v>
      </c>
      <c r="R2119">
        <v>-0.10401349999999999</v>
      </c>
      <c r="S2119">
        <v>-2.953827</v>
      </c>
      <c r="T2119">
        <v>-0.18712760000000001</v>
      </c>
      <c r="U2119">
        <v>-0.68493649999999995</v>
      </c>
      <c r="V2119">
        <v>-0.1148344</v>
      </c>
      <c r="W2119">
        <v>5.1015940000000003E-2</v>
      </c>
      <c r="X2119">
        <v>0.99207380000000001</v>
      </c>
      <c r="Y2119">
        <v>-0.23600389999999999</v>
      </c>
      <c r="Z2119">
        <v>-8.0503780000000004E-3</v>
      </c>
      <c r="AA2119">
        <v>0.97171879999999999</v>
      </c>
      <c r="AB2119">
        <v>35</v>
      </c>
      <c r="AC2119">
        <v>-17.106100000000001</v>
      </c>
      <c r="AD2119">
        <v>-1.1057538768049999</v>
      </c>
      <c r="AE2119">
        <v>-4.0506999999999396</v>
      </c>
      <c r="AF2119">
        <v>-4.2198910691741496</v>
      </c>
      <c r="AG2119">
        <v>-1.1057538768049999</v>
      </c>
      <c r="AH2119">
        <v>16.993775350547899</v>
      </c>
      <c r="AI2119">
        <v>93.613446458417002</v>
      </c>
      <c r="AJ2119">
        <v>103.94560273479</v>
      </c>
      <c r="AK2119">
        <v>17.544759130197601</v>
      </c>
    </row>
    <row r="2120" spans="1:37" x14ac:dyDescent="0.2">
      <c r="A2120" t="str">
        <f>"20200111153438806"</f>
        <v>20200111153438806</v>
      </c>
      <c r="B2120" t="str">
        <f>"1578728078798653"</f>
        <v>1578728078798653</v>
      </c>
      <c r="C2120" t="s">
        <v>37</v>
      </c>
      <c r="D2120">
        <v>4.5529849999999996</v>
      </c>
      <c r="E2120">
        <v>0.449401099999999</v>
      </c>
      <c r="F2120" t="s">
        <v>50</v>
      </c>
      <c r="G2120">
        <v>-481.25409999999999</v>
      </c>
      <c r="H2120" s="1">
        <v>2.0835870000000001E-6</v>
      </c>
      <c r="I2120">
        <v>280.67430000000002</v>
      </c>
      <c r="J2120">
        <v>-464.66460000000001</v>
      </c>
      <c r="K2120">
        <v>1.1058600000000001</v>
      </c>
      <c r="L2120">
        <v>284.65839999999997</v>
      </c>
      <c r="M2120">
        <v>-0.99974889999999905</v>
      </c>
      <c r="N2120">
        <v>0</v>
      </c>
      <c r="O2120">
        <v>1.0564469999999999E-2</v>
      </c>
      <c r="P2120">
        <v>-0.99390559999999994</v>
      </c>
      <c r="Q2120">
        <v>3.02808E-2</v>
      </c>
      <c r="R2120">
        <v>-0.105995699999999</v>
      </c>
      <c r="S2120">
        <v>-2.9510190000000001</v>
      </c>
      <c r="T2120">
        <v>-0.1936706</v>
      </c>
      <c r="U2120">
        <v>-0.69735719999999901</v>
      </c>
      <c r="V2120">
        <v>-0.1165152</v>
      </c>
      <c r="W2120">
        <v>4.9843930000000002E-2</v>
      </c>
      <c r="X2120">
        <v>0.99193739999999997</v>
      </c>
      <c r="Y2120">
        <v>-0.2397367</v>
      </c>
      <c r="Z2120">
        <v>-8.4354410000000001E-3</v>
      </c>
      <c r="AA2120">
        <v>0.97080129999999998</v>
      </c>
      <c r="AB2120">
        <v>35</v>
      </c>
      <c r="AC2120">
        <v>-16.589499999999902</v>
      </c>
      <c r="AD2120">
        <v>-1.105857916413</v>
      </c>
      <c r="AE2120">
        <v>-3.98409999999995</v>
      </c>
      <c r="AF2120">
        <v>-4.1417704335579097</v>
      </c>
      <c r="AG2120">
        <v>-1.105857916413</v>
      </c>
      <c r="AH2120">
        <v>16.477250523588399</v>
      </c>
      <c r="AI2120">
        <v>93.724096667062099</v>
      </c>
      <c r="AJ2120">
        <v>104.10971798121599</v>
      </c>
      <c r="AK2120">
        <v>17.025773664438301</v>
      </c>
    </row>
    <row r="2121" spans="1:37" x14ac:dyDescent="0.2">
      <c r="A2121" t="str">
        <f>"20200111153438820"</f>
        <v>20200111153438820</v>
      </c>
      <c r="B2121" t="str">
        <f>"1578728078808413"</f>
        <v>1578728078808413</v>
      </c>
      <c r="C2121" t="s">
        <v>37</v>
      </c>
      <c r="D2121">
        <v>4.5585599999999999</v>
      </c>
      <c r="E2121">
        <v>0.44921169999999999</v>
      </c>
      <c r="F2121" t="s">
        <v>50</v>
      </c>
      <c r="G2121">
        <v>-481.14580000000001</v>
      </c>
      <c r="H2121" s="1">
        <v>2.0677149999999999E-6</v>
      </c>
      <c r="I2121">
        <v>280.71260000000001</v>
      </c>
      <c r="J2121">
        <v>-464.87959999999998</v>
      </c>
      <c r="K2121">
        <v>1.1059639999999999</v>
      </c>
      <c r="L2121">
        <v>284.66039999999998</v>
      </c>
      <c r="M2121">
        <v>-0.99975319999999901</v>
      </c>
      <c r="N2121">
        <v>0</v>
      </c>
      <c r="O2121">
        <v>1.0204090000000001E-2</v>
      </c>
      <c r="P2121">
        <v>-0.99370139999999996</v>
      </c>
      <c r="Q2121">
        <v>2.934836E-2</v>
      </c>
      <c r="R2121">
        <v>-0.10815139999999999</v>
      </c>
      <c r="S2121">
        <v>-2.9491269999999998</v>
      </c>
      <c r="T2121">
        <v>-0.1978809</v>
      </c>
      <c r="U2121">
        <v>-0.70605469999999904</v>
      </c>
      <c r="V2121">
        <v>-0.1183244</v>
      </c>
      <c r="W2121">
        <v>4.8845689999999997E-2</v>
      </c>
      <c r="X2121">
        <v>0.99177289999999996</v>
      </c>
      <c r="Y2121">
        <v>-0.24220799999999901</v>
      </c>
      <c r="Z2121">
        <v>-8.6787380000000001E-3</v>
      </c>
      <c r="AA2121">
        <v>0.97018549999999903</v>
      </c>
      <c r="AB2121">
        <v>35</v>
      </c>
      <c r="AC2121">
        <v>-16.266200000000001</v>
      </c>
      <c r="AD2121">
        <v>-1.1059619322849901</v>
      </c>
      <c r="AE2121">
        <v>-3.9477999999999698</v>
      </c>
      <c r="AF2121">
        <v>-4.0957278431923001</v>
      </c>
      <c r="AG2121">
        <v>-1.1059619322849901</v>
      </c>
      <c r="AH2121">
        <v>16.154535711353098</v>
      </c>
      <c r="AI2121">
        <v>93.7966813239278</v>
      </c>
      <c r="AJ2121">
        <v>104.22666955267999</v>
      </c>
      <c r="AK2121">
        <v>16.702310092036502</v>
      </c>
    </row>
    <row r="2122" spans="1:37" x14ac:dyDescent="0.2">
      <c r="A2122" t="str">
        <f>"20200111153438834"</f>
        <v>20200111153438834</v>
      </c>
      <c r="B2122" t="str">
        <f>"1578728078827932"</f>
        <v>1578728078827932</v>
      </c>
      <c r="C2122" t="s">
        <v>37</v>
      </c>
      <c r="D2122">
        <v>4.5487140000000004</v>
      </c>
      <c r="E2122">
        <v>0.44896740000000002</v>
      </c>
      <c r="F2122" t="s">
        <v>50</v>
      </c>
      <c r="G2122">
        <v>-481.07260000000002</v>
      </c>
      <c r="H2122" s="1">
        <v>2.0568360000000001E-6</v>
      </c>
      <c r="I2122">
        <v>280.73669999999998</v>
      </c>
      <c r="J2122">
        <v>-465.11099999999999</v>
      </c>
      <c r="K2122">
        <v>1.106101</v>
      </c>
      <c r="L2122">
        <v>284.66230000000002</v>
      </c>
      <c r="M2122">
        <v>-0.99975959999999997</v>
      </c>
      <c r="N2122">
        <v>0</v>
      </c>
      <c r="O2122">
        <v>9.6341009999999904E-3</v>
      </c>
      <c r="P2122">
        <v>-0.99333739999999904</v>
      </c>
      <c r="Q2122">
        <v>2.7324020000000001E-2</v>
      </c>
      <c r="R2122">
        <v>-0.1119571</v>
      </c>
      <c r="S2122">
        <v>-2.9472049999999999</v>
      </c>
      <c r="T2122">
        <v>-0.20129040000000001</v>
      </c>
      <c r="U2122">
        <v>-0.71414180000000005</v>
      </c>
      <c r="V2122">
        <v>-0.12157750000000001</v>
      </c>
      <c r="W2122">
        <v>4.6722390000000003E-2</v>
      </c>
      <c r="X2122">
        <v>0.99148169999999902</v>
      </c>
      <c r="Y2122">
        <v>-0.24429149999999999</v>
      </c>
      <c r="Z2122">
        <v>-8.8624440000000006E-3</v>
      </c>
      <c r="AA2122">
        <v>0.96966140000000001</v>
      </c>
      <c r="AB2122">
        <v>35</v>
      </c>
      <c r="AC2122">
        <v>-15.961600000000001</v>
      </c>
      <c r="AD2122">
        <v>-1.106098943164</v>
      </c>
      <c r="AE2122">
        <v>-3.92560000000003</v>
      </c>
      <c r="AF2122">
        <v>-4.06083479306022</v>
      </c>
      <c r="AG2122">
        <v>-1.106098943164</v>
      </c>
      <c r="AH2122">
        <v>15.8512536250864</v>
      </c>
      <c r="AI2122">
        <v>93.867137106015406</v>
      </c>
      <c r="AJ2122">
        <v>104.36922073545701</v>
      </c>
      <c r="AK2122">
        <v>16.4004901016833</v>
      </c>
    </row>
    <row r="2123" spans="1:37" x14ac:dyDescent="0.2">
      <c r="A2123" t="str">
        <f>"20200111153438852"</f>
        <v>20200111153438852</v>
      </c>
      <c r="B2123" t="str">
        <f>"1578728078848429"</f>
        <v>1578728078848429</v>
      </c>
      <c r="C2123" t="s">
        <v>37</v>
      </c>
      <c r="D2123">
        <v>4.5205539999999997</v>
      </c>
      <c r="E2123">
        <v>0.448754299999999</v>
      </c>
      <c r="F2123" t="s">
        <v>50</v>
      </c>
      <c r="G2123">
        <v>-480.71050000000002</v>
      </c>
      <c r="H2123" s="1">
        <v>1.9989730000000001E-6</v>
      </c>
      <c r="I2123">
        <v>280.80939999999998</v>
      </c>
      <c r="J2123">
        <v>-465.37020000000001</v>
      </c>
      <c r="K2123">
        <v>1.10629</v>
      </c>
      <c r="L2123">
        <v>284.66399999999999</v>
      </c>
      <c r="M2123">
        <v>-0.99976860000000001</v>
      </c>
      <c r="N2123">
        <v>0</v>
      </c>
      <c r="O2123">
        <v>8.8049779999999998E-3</v>
      </c>
      <c r="P2123">
        <v>-0.99309720000000001</v>
      </c>
      <c r="Q2123">
        <v>2.702301E-2</v>
      </c>
      <c r="R2123">
        <v>-0.114139899999999</v>
      </c>
      <c r="S2123">
        <v>-2.9439389999999999</v>
      </c>
      <c r="T2123">
        <v>-0.20874279999999901</v>
      </c>
      <c r="U2123">
        <v>-0.72711179999999997</v>
      </c>
      <c r="V2123">
        <v>-0.122958</v>
      </c>
      <c r="W2123">
        <v>4.6290369999999997E-2</v>
      </c>
      <c r="X2123">
        <v>0.99133169999999904</v>
      </c>
      <c r="Y2123">
        <v>-0.24771379999999901</v>
      </c>
      <c r="Z2123">
        <v>-9.2564369999999993E-3</v>
      </c>
      <c r="AA2123">
        <v>0.96878899999999901</v>
      </c>
      <c r="AB2123">
        <v>35</v>
      </c>
      <c r="AC2123">
        <v>-15.340299999999999</v>
      </c>
      <c r="AD2123">
        <v>-1.106288001027</v>
      </c>
      <c r="AE2123">
        <v>-3.8546</v>
      </c>
      <c r="AF2123">
        <v>-3.9701260223252399</v>
      </c>
      <c r="AG2123">
        <v>-1.106288001027</v>
      </c>
      <c r="AH2123">
        <v>15.231248903145801</v>
      </c>
      <c r="AI2123">
        <v>94.020387494210496</v>
      </c>
      <c r="AJ2123">
        <v>104.60945051312601</v>
      </c>
      <c r="AK2123">
        <v>15.7789960683163</v>
      </c>
    </row>
    <row r="2124" spans="1:37" x14ac:dyDescent="0.2">
      <c r="A2124" t="str">
        <f>"20200111153438865"</f>
        <v>20200111153438865</v>
      </c>
      <c r="B2124" t="str">
        <f>"1578728078858188"</f>
        <v>1578728078858188</v>
      </c>
      <c r="C2124" t="s">
        <v>37</v>
      </c>
      <c r="D2124">
        <v>4.6472179999999996</v>
      </c>
      <c r="E2124">
        <v>0.44880730000000002</v>
      </c>
      <c r="F2124" t="s">
        <v>50</v>
      </c>
      <c r="G2124">
        <v>-480.83409999999998</v>
      </c>
      <c r="H2124" s="1">
        <v>2.02004E-6</v>
      </c>
      <c r="I2124">
        <v>280.7996</v>
      </c>
      <c r="J2124">
        <v>-465.59309999999999</v>
      </c>
      <c r="K2124">
        <v>1.1064829999999899</v>
      </c>
      <c r="L2124">
        <v>284.66520000000003</v>
      </c>
      <c r="M2124">
        <v>-0.99977739999999904</v>
      </c>
      <c r="N2124">
        <v>0</v>
      </c>
      <c r="O2124">
        <v>7.9092429999999998E-3</v>
      </c>
      <c r="P2124">
        <v>-0.9928572</v>
      </c>
      <c r="Q2124">
        <v>2.6398720000000001E-2</v>
      </c>
      <c r="R2124">
        <v>-0.11635230000000001</v>
      </c>
      <c r="S2124">
        <v>-2.942078</v>
      </c>
      <c r="T2124">
        <v>-0.21047539999999901</v>
      </c>
      <c r="U2124">
        <v>-0.73522949999999998</v>
      </c>
      <c r="V2124">
        <v>-0.12430090000000001</v>
      </c>
      <c r="W2124">
        <v>4.5532999999999997E-2</v>
      </c>
      <c r="X2124">
        <v>0.99119930000000001</v>
      </c>
      <c r="Y2124">
        <v>-0.2494933</v>
      </c>
      <c r="Z2124">
        <v>-9.3352929999999997E-3</v>
      </c>
      <c r="AA2124">
        <v>0.96833150000000001</v>
      </c>
      <c r="AB2124">
        <v>35</v>
      </c>
      <c r="AC2124">
        <v>-15.2409999999999</v>
      </c>
      <c r="AD2124">
        <v>-1.1064809799599999</v>
      </c>
      <c r="AE2124">
        <v>-3.8656000000000201</v>
      </c>
      <c r="AF2124">
        <v>-3.9664050437282001</v>
      </c>
      <c r="AG2124">
        <v>-1.1064809799599999</v>
      </c>
      <c r="AH2124">
        <v>15.1349940239879</v>
      </c>
      <c r="AI2124">
        <v>94.045182092869595</v>
      </c>
      <c r="AJ2124">
        <v>104.685171591471</v>
      </c>
      <c r="AK2124">
        <v>15.6851749507641</v>
      </c>
    </row>
    <row r="2125" spans="1:37" x14ac:dyDescent="0.2">
      <c r="A2125" t="str">
        <f>"20200111153438878"</f>
        <v>20200111153438878</v>
      </c>
      <c r="B2125" t="str">
        <f>"1578728078867949"</f>
        <v>1578728078867949</v>
      </c>
      <c r="C2125" t="s">
        <v>37</v>
      </c>
      <c r="D2125">
        <v>4.8055870000000001</v>
      </c>
      <c r="E2125">
        <v>0.44880730000000002</v>
      </c>
      <c r="F2125" t="s">
        <v>50</v>
      </c>
      <c r="G2125">
        <v>-480.90910000000002</v>
      </c>
      <c r="H2125" s="1">
        <v>2.0336060000000001E-6</v>
      </c>
      <c r="I2125">
        <v>280.80250000000001</v>
      </c>
      <c r="J2125">
        <v>-465.78429999999997</v>
      </c>
      <c r="K2125">
        <v>1.106652</v>
      </c>
      <c r="L2125">
        <v>284.666</v>
      </c>
      <c r="M2125">
        <v>-0.99978509999999998</v>
      </c>
      <c r="N2125">
        <v>0</v>
      </c>
      <c r="O2125">
        <v>7.0328359999999998E-3</v>
      </c>
      <c r="P2125">
        <v>-0.99258119999999905</v>
      </c>
      <c r="Q2125">
        <v>2.55199999999999E-2</v>
      </c>
      <c r="R2125">
        <v>-0.1188766</v>
      </c>
      <c r="S2125">
        <v>-2.9403380000000001</v>
      </c>
      <c r="T2125">
        <v>-0.212419999999999</v>
      </c>
      <c r="U2125">
        <v>-0.74154659999999994</v>
      </c>
      <c r="V2125">
        <v>-0.1259721</v>
      </c>
      <c r="W2125">
        <v>4.452598E-2</v>
      </c>
      <c r="X2125">
        <v>0.99103399999999997</v>
      </c>
      <c r="Y2125">
        <v>-0.25072339999999999</v>
      </c>
      <c r="Z2125">
        <v>-9.4056950000000004E-3</v>
      </c>
      <c r="AA2125">
        <v>0.96801299999999901</v>
      </c>
      <c r="AB2125">
        <v>35</v>
      </c>
      <c r="AC2125">
        <v>-15.1248</v>
      </c>
      <c r="AD2125">
        <v>-1.1066499663939999</v>
      </c>
      <c r="AE2125">
        <v>-3.8634999999999802</v>
      </c>
      <c r="AF2125">
        <v>-3.9499439709074302</v>
      </c>
      <c r="AG2125">
        <v>-1.1066499663939999</v>
      </c>
      <c r="AH2125">
        <v>15.0217556532558</v>
      </c>
      <c r="AI2125">
        <v>94.075316224018906</v>
      </c>
      <c r="AJ2125">
        <v>104.732327070493</v>
      </c>
      <c r="AK2125">
        <v>15.5717652958022</v>
      </c>
    </row>
    <row r="2126" spans="1:37" x14ac:dyDescent="0.2">
      <c r="A2126" t="str">
        <f>"20200111153438895"</f>
        <v>20200111153438895</v>
      </c>
      <c r="B2126" t="str">
        <f>"1578728078888444"</f>
        <v>1578728078888444</v>
      </c>
      <c r="C2126" t="s">
        <v>37</v>
      </c>
      <c r="D2126">
        <v>4.5753899999999996</v>
      </c>
      <c r="E2126">
        <v>0.48825600000000002</v>
      </c>
      <c r="F2126" t="s">
        <v>50</v>
      </c>
      <c r="G2126">
        <v>-480.92599999999999</v>
      </c>
      <c r="H2126" s="1">
        <v>2.036702E-6</v>
      </c>
      <c r="I2126">
        <v>280.8039</v>
      </c>
      <c r="J2126">
        <v>-466.03809999999999</v>
      </c>
      <c r="K2126">
        <v>1.106914</v>
      </c>
      <c r="L2126">
        <v>284.66640000000001</v>
      </c>
      <c r="M2126">
        <v>-0.99979649999999998</v>
      </c>
      <c r="N2126">
        <v>0</v>
      </c>
      <c r="O2126">
        <v>5.5455390000000004E-3</v>
      </c>
      <c r="P2126">
        <v>-0.99230849999999904</v>
      </c>
      <c r="Q2126">
        <v>2.5233060000000002E-2</v>
      </c>
      <c r="R2126">
        <v>-0.1211897</v>
      </c>
      <c r="S2126">
        <v>-2.9382320000000002</v>
      </c>
      <c r="T2126">
        <v>-0.21474509999999999</v>
      </c>
      <c r="U2126">
        <v>-0.74945069999999903</v>
      </c>
      <c r="V2126">
        <v>-0.12683759999999999</v>
      </c>
      <c r="W2126">
        <v>4.4045800000000003E-2</v>
      </c>
      <c r="X2126">
        <v>0.99094509999999902</v>
      </c>
      <c r="Y2126">
        <v>-0.25188100000000002</v>
      </c>
      <c r="Z2126">
        <v>-9.4465650000000005E-3</v>
      </c>
      <c r="AA2126">
        <v>0.96771209999999996</v>
      </c>
      <c r="AB2126">
        <v>35</v>
      </c>
      <c r="AC2126">
        <v>-14.8879</v>
      </c>
      <c r="AD2126">
        <v>-1.106911963298</v>
      </c>
      <c r="AE2126">
        <v>-3.86250000000001</v>
      </c>
      <c r="AF2126">
        <v>-3.9246904834139298</v>
      </c>
      <c r="AG2126">
        <v>-1.106911963298</v>
      </c>
      <c r="AH2126">
        <v>14.789647604147</v>
      </c>
      <c r="AI2126">
        <v>94.1375662077171</v>
      </c>
      <c r="AJ2126">
        <v>104.861895017119</v>
      </c>
      <c r="AK2126">
        <v>15.3415164094017</v>
      </c>
    </row>
    <row r="2127" spans="1:37" x14ac:dyDescent="0.2">
      <c r="A2127" t="str">
        <f>"20200111153438909"</f>
        <v>20200111153438909</v>
      </c>
      <c r="B2127" t="str">
        <f>"1578728078898205"</f>
        <v>1578728078898205</v>
      </c>
      <c r="C2127" t="s">
        <v>37</v>
      </c>
      <c r="D2127">
        <v>4.6229319999999996</v>
      </c>
      <c r="E2127">
        <v>0.55022450000000001</v>
      </c>
      <c r="F2127" t="s">
        <v>50</v>
      </c>
      <c r="G2127">
        <v>-484.96660000000003</v>
      </c>
      <c r="H2127" s="1">
        <v>2.843102E-6</v>
      </c>
      <c r="I2127">
        <v>281.82929999999999</v>
      </c>
      <c r="J2127">
        <v>-466.25330000000002</v>
      </c>
      <c r="K2127">
        <v>1.107146</v>
      </c>
      <c r="L2127">
        <v>284.6662</v>
      </c>
      <c r="M2127">
        <v>-0.99980569999999902</v>
      </c>
      <c r="N2127">
        <v>0</v>
      </c>
      <c r="O2127">
        <v>4.0553799999999999E-3</v>
      </c>
      <c r="P2127">
        <v>-0.99210810000000005</v>
      </c>
      <c r="Q2127">
        <v>2.4825360000000001E-2</v>
      </c>
      <c r="R2127">
        <v>-0.1229031</v>
      </c>
      <c r="S2127">
        <v>-2.9732669999999999</v>
      </c>
      <c r="T2127">
        <v>-0.17387169999999999</v>
      </c>
      <c r="U2127">
        <v>-0.44564819999999999</v>
      </c>
      <c r="V2127">
        <v>-0.12709699999999999</v>
      </c>
      <c r="W2127">
        <v>4.3457000000000003E-2</v>
      </c>
      <c r="X2127">
        <v>0.99093790000000004</v>
      </c>
      <c r="Y2127">
        <v>-0.15197859999999999</v>
      </c>
      <c r="Z2127">
        <v>-4.6510370000000002E-3</v>
      </c>
      <c r="AA2127">
        <v>0.988372899999999</v>
      </c>
      <c r="AB2127">
        <v>34</v>
      </c>
      <c r="AC2127">
        <v>-18.7133</v>
      </c>
      <c r="AD2127">
        <v>-1.1071431568979999</v>
      </c>
      <c r="AE2127">
        <v>-2.8369000000000102</v>
      </c>
      <c r="AF2127">
        <v>-2.9028477266569501</v>
      </c>
      <c r="AG2127">
        <v>-1.1071431568979999</v>
      </c>
      <c r="AH2127">
        <v>18.6378664818799</v>
      </c>
      <c r="AI2127">
        <v>93.359135554803302</v>
      </c>
      <c r="AJ2127">
        <v>98.852691939300101</v>
      </c>
      <c r="AK2127">
        <v>18.895035270948998</v>
      </c>
    </row>
    <row r="2128" spans="1:37" x14ac:dyDescent="0.2">
      <c r="A2128" t="str">
        <f>"20200111153438924"</f>
        <v>20200111153438924</v>
      </c>
      <c r="B2128" t="str">
        <f>"1578728078918701"</f>
        <v>1578728078918701</v>
      </c>
      <c r="C2128" t="s">
        <v>37</v>
      </c>
      <c r="D2128">
        <v>4.592238</v>
      </c>
      <c r="E2128">
        <v>0.55563130000000005</v>
      </c>
      <c r="F2128" t="s">
        <v>38</v>
      </c>
      <c r="G2128">
        <v>-530.54859999999996</v>
      </c>
      <c r="H2128">
        <v>-0.05</v>
      </c>
      <c r="I2128">
        <v>285.40640000000002</v>
      </c>
      <c r="J2128">
        <v>-466.48450000000003</v>
      </c>
      <c r="K2128">
        <v>1.1074029999999999</v>
      </c>
      <c r="L2128">
        <v>284.66550000000001</v>
      </c>
      <c r="M2128">
        <v>-0.99981369999999903</v>
      </c>
      <c r="N2128">
        <v>0</v>
      </c>
      <c r="O2128">
        <v>2.2487319999999998E-3</v>
      </c>
      <c r="P2128">
        <v>-0.99187959999999997</v>
      </c>
      <c r="Q2128">
        <v>2.4811630000000001E-2</v>
      </c>
      <c r="R2128">
        <v>-0.12473669999999901</v>
      </c>
      <c r="S2128">
        <v>-3.0295719999999999</v>
      </c>
      <c r="T2128">
        <v>-5.4524299999999998E-2</v>
      </c>
      <c r="U2128">
        <v>3.4881589999999997E-2</v>
      </c>
      <c r="V2128">
        <v>-0.12716669999999999</v>
      </c>
      <c r="W2128">
        <v>4.3236429999999999E-2</v>
      </c>
      <c r="X2128">
        <v>0.99093850000000006</v>
      </c>
      <c r="Y2128">
        <v>9.26278E-3</v>
      </c>
      <c r="Z2128" s="1">
        <v>4.2869389999999999E-5</v>
      </c>
      <c r="AA2128">
        <v>0.99995710000000004</v>
      </c>
      <c r="AB2128">
        <v>34</v>
      </c>
      <c r="AC2128">
        <v>-64.064099999999897</v>
      </c>
      <c r="AD2128">
        <v>-1.157403</v>
      </c>
      <c r="AE2128">
        <v>0.74090000000001</v>
      </c>
      <c r="AF2128">
        <v>0.59661395072400802</v>
      </c>
      <c r="AG2128">
        <v>-1.157403</v>
      </c>
      <c r="AH2128">
        <v>64.044703457398398</v>
      </c>
      <c r="AI2128">
        <v>91.035280194614998</v>
      </c>
      <c r="AJ2128">
        <v>89.466271670160907</v>
      </c>
      <c r="AK2128">
        <v>64.057939171165202</v>
      </c>
    </row>
    <row r="2129" spans="1:37" x14ac:dyDescent="0.2">
      <c r="A2129" t="str">
        <f>"20200111153438936"</f>
        <v>20200111153438936</v>
      </c>
      <c r="B2129" t="str">
        <f>"1578728078928461"</f>
        <v>1578728078928461</v>
      </c>
      <c r="C2129" t="s">
        <v>37</v>
      </c>
      <c r="D2129">
        <v>4.5563070000000003</v>
      </c>
      <c r="E2129">
        <v>0.55608109999999999</v>
      </c>
      <c r="F2129" t="s">
        <v>38</v>
      </c>
      <c r="G2129">
        <v>-525.08180000000004</v>
      </c>
      <c r="H2129">
        <v>-0.05</v>
      </c>
      <c r="I2129">
        <v>286.06119999999999</v>
      </c>
      <c r="J2129">
        <v>-466.67099999999999</v>
      </c>
      <c r="K2129">
        <v>1.107613</v>
      </c>
      <c r="L2129">
        <v>284.66460000000001</v>
      </c>
      <c r="M2129">
        <v>-0.99981799999999998</v>
      </c>
      <c r="N2129">
        <v>0</v>
      </c>
      <c r="O2129">
        <v>6.295955E-4</v>
      </c>
      <c r="P2129">
        <v>-0.99174459999999998</v>
      </c>
      <c r="Q2129">
        <v>2.4157319999999999E-2</v>
      </c>
      <c r="R2129">
        <v>-0.12593379999999901</v>
      </c>
      <c r="S2129">
        <v>-3.0351560000000002</v>
      </c>
      <c r="T2129">
        <v>-5.9949870000000002E-2</v>
      </c>
      <c r="U2129">
        <v>7.2296139999999995E-2</v>
      </c>
      <c r="V2129">
        <v>-0.1267781</v>
      </c>
      <c r="W2129">
        <v>4.2410820000000002E-2</v>
      </c>
      <c r="X2129">
        <v>0.99102400000000002</v>
      </c>
      <c r="Y2129">
        <v>2.3178890000000001E-2</v>
      </c>
      <c r="Z2129">
        <v>2.1642299999999901E-4</v>
      </c>
      <c r="AA2129">
        <v>0.99973129999999999</v>
      </c>
      <c r="AB2129">
        <v>34</v>
      </c>
      <c r="AC2129">
        <v>-58.410800000000002</v>
      </c>
      <c r="AD2129">
        <v>-1.157613</v>
      </c>
      <c r="AE2129">
        <v>1.3965999999999701</v>
      </c>
      <c r="AF2129">
        <v>1.35928427554678</v>
      </c>
      <c r="AG2129">
        <v>-1.157613</v>
      </c>
      <c r="AH2129">
        <v>58.388747512155099</v>
      </c>
      <c r="AI2129">
        <v>91.135487491461902</v>
      </c>
      <c r="AJ2129">
        <v>88.666400793107996</v>
      </c>
      <c r="AK2129">
        <v>58.416038530849697</v>
      </c>
    </row>
    <row r="2130" spans="1:37" x14ac:dyDescent="0.2">
      <c r="A2130" t="str">
        <f>"20200111153438956"</f>
        <v>20200111153438956</v>
      </c>
      <c r="B2130" t="str">
        <f>"1578728078947980"</f>
        <v>1578728078947980</v>
      </c>
      <c r="C2130" t="s">
        <v>37</v>
      </c>
      <c r="D2130">
        <v>4.6273260000000001</v>
      </c>
      <c r="E2130">
        <v>0.55612899999999998</v>
      </c>
      <c r="F2130" t="s">
        <v>38</v>
      </c>
      <c r="G2130">
        <v>-523.26559999999995</v>
      </c>
      <c r="H2130">
        <v>-0.05</v>
      </c>
      <c r="I2130">
        <v>286.00839999999999</v>
      </c>
      <c r="J2130">
        <v>-466.976</v>
      </c>
      <c r="K2130">
        <v>1.107958</v>
      </c>
      <c r="L2130">
        <v>284.6619</v>
      </c>
      <c r="M2130">
        <v>-0.99981889999999995</v>
      </c>
      <c r="N2130">
        <v>0</v>
      </c>
      <c r="O2130">
        <v>-2.383362E-3</v>
      </c>
      <c r="P2130">
        <v>-0.99148749999999997</v>
      </c>
      <c r="Q2130">
        <v>2.3800869999999998E-2</v>
      </c>
      <c r="R2130">
        <v>-0.1280094</v>
      </c>
      <c r="S2130">
        <v>-3.0356450000000001</v>
      </c>
      <c r="T2130">
        <v>-6.2092420000000002E-2</v>
      </c>
      <c r="U2130">
        <v>7.2082519999999997E-2</v>
      </c>
      <c r="V2130">
        <v>-0.12590100000000001</v>
      </c>
      <c r="W2130">
        <v>4.1769099999999899E-2</v>
      </c>
      <c r="X2130">
        <v>0.99116309999999996</v>
      </c>
      <c r="Y2130">
        <v>2.6115780000000002E-2</v>
      </c>
      <c r="Z2130">
        <v>3.1577379999999999E-4</v>
      </c>
      <c r="AA2130">
        <v>0.99965890000000002</v>
      </c>
      <c r="AB2130">
        <v>34</v>
      </c>
      <c r="AC2130">
        <v>-56.289599999999901</v>
      </c>
      <c r="AD2130">
        <v>-1.157958</v>
      </c>
      <c r="AE2130">
        <v>1.34649999999999</v>
      </c>
      <c r="AF2130">
        <v>1.4800526107212499</v>
      </c>
      <c r="AG2130">
        <v>-1.157958</v>
      </c>
      <c r="AH2130">
        <v>56.262434550841903</v>
      </c>
      <c r="AI2130">
        <v>91.178651555484905</v>
      </c>
      <c r="AJ2130">
        <v>88.493111511564393</v>
      </c>
      <c r="AK2130">
        <v>56.2938092870613</v>
      </c>
    </row>
    <row r="2131" spans="1:37" x14ac:dyDescent="0.2">
      <c r="A2131" t="str">
        <f>"20200111153438975"</f>
        <v>20200111153438975</v>
      </c>
      <c r="B2131" t="str">
        <f>"1578728078968476"</f>
        <v>1578728078968476</v>
      </c>
      <c r="C2131" t="s">
        <v>37</v>
      </c>
      <c r="D2131">
        <v>4.5706889999999998</v>
      </c>
      <c r="E2131">
        <v>0.555957699999999</v>
      </c>
      <c r="F2131" t="s">
        <v>38</v>
      </c>
      <c r="G2131">
        <v>-530.52589999999998</v>
      </c>
      <c r="H2131">
        <v>-0.05</v>
      </c>
      <c r="I2131">
        <v>286.03489999999999</v>
      </c>
      <c r="J2131">
        <v>-467.25369999999998</v>
      </c>
      <c r="K2131">
        <v>1.1082689999999999</v>
      </c>
      <c r="L2131">
        <v>284.6583</v>
      </c>
      <c r="M2131">
        <v>-0.99980949999999902</v>
      </c>
      <c r="N2131">
        <v>0</v>
      </c>
      <c r="O2131">
        <v>-5.4983879999999999E-3</v>
      </c>
      <c r="P2131">
        <v>-0.99114380000000002</v>
      </c>
      <c r="Q2131">
        <v>2.372208E-2</v>
      </c>
      <c r="R2131">
        <v>-0.13065689999999999</v>
      </c>
      <c r="S2131">
        <v>-3.0355219999999998</v>
      </c>
      <c r="T2131">
        <v>-5.5310959999999999E-2</v>
      </c>
      <c r="U2131">
        <v>6.5582280000000007E-2</v>
      </c>
      <c r="V2131">
        <v>-0.1254921</v>
      </c>
      <c r="W2131">
        <v>4.1427980000000003E-2</v>
      </c>
      <c r="X2131">
        <v>0.99122919999999903</v>
      </c>
      <c r="Y2131">
        <v>2.709224E-2</v>
      </c>
      <c r="Z2131">
        <v>3.4696379999999999E-4</v>
      </c>
      <c r="AA2131">
        <v>0.99963289999999905</v>
      </c>
      <c r="AB2131">
        <v>34</v>
      </c>
      <c r="AC2131">
        <v>-63.272199999999998</v>
      </c>
      <c r="AD2131">
        <v>-1.158269</v>
      </c>
      <c r="AE2131">
        <v>1.3765999999999901</v>
      </c>
      <c r="AF2131">
        <v>1.7239578641729301</v>
      </c>
      <c r="AG2131">
        <v>-1.158269</v>
      </c>
      <c r="AH2131">
        <v>63.242489380518599</v>
      </c>
      <c r="AI2131">
        <v>91.048849790711699</v>
      </c>
      <c r="AJ2131">
        <v>88.438533088740002</v>
      </c>
      <c r="AK2131">
        <v>63.276583985221698</v>
      </c>
    </row>
    <row r="2132" spans="1:37" x14ac:dyDescent="0.2">
      <c r="A2132" t="str">
        <f>"20200111153438990"</f>
        <v>20200111153438990</v>
      </c>
      <c r="B2132" t="str">
        <f>"1578728078978237"</f>
        <v>1578728078978237</v>
      </c>
      <c r="C2132" t="s">
        <v>37</v>
      </c>
      <c r="D2132">
        <v>4.6252449999999996</v>
      </c>
      <c r="E2132">
        <v>0.55610789999999999</v>
      </c>
      <c r="F2132" t="s">
        <v>38</v>
      </c>
      <c r="G2132">
        <v>-538.25710000000004</v>
      </c>
      <c r="H2132">
        <v>-0.05</v>
      </c>
      <c r="I2132">
        <v>285.96179999999998</v>
      </c>
      <c r="J2132">
        <v>-467.48439999999999</v>
      </c>
      <c r="K2132">
        <v>1.1085199999999999</v>
      </c>
      <c r="L2132">
        <v>284.65440000000001</v>
      </c>
      <c r="M2132">
        <v>-0.99979229999999997</v>
      </c>
      <c r="N2132">
        <v>0</v>
      </c>
      <c r="O2132">
        <v>-8.3577879999999997E-3</v>
      </c>
      <c r="P2132">
        <v>-0.99090059999999902</v>
      </c>
      <c r="Q2132">
        <v>2.3235619999999998E-2</v>
      </c>
      <c r="R2132">
        <v>-0.1325752</v>
      </c>
      <c r="S2132">
        <v>-3.0353699999999999</v>
      </c>
      <c r="T2132">
        <v>-4.95156E-2</v>
      </c>
      <c r="U2132">
        <v>5.57251E-2</v>
      </c>
      <c r="V2132">
        <v>-0.124598499999999</v>
      </c>
      <c r="W2132">
        <v>4.0729519999999998E-2</v>
      </c>
      <c r="X2132">
        <v>0.99137090000000005</v>
      </c>
      <c r="Y2132">
        <v>2.6708010000000001E-2</v>
      </c>
      <c r="Z2132">
        <v>3.541533E-4</v>
      </c>
      <c r="AA2132">
        <v>0.99964319999999895</v>
      </c>
      <c r="AB2132">
        <v>34</v>
      </c>
      <c r="AC2132">
        <v>-70.7727</v>
      </c>
      <c r="AD2132">
        <v>-1.15852</v>
      </c>
      <c r="AE2132">
        <v>1.3073999999999699</v>
      </c>
      <c r="AF2132">
        <v>1.8984512115018399</v>
      </c>
      <c r="AG2132">
        <v>-1.15852</v>
      </c>
      <c r="AH2132">
        <v>70.740349052502495</v>
      </c>
      <c r="AI2132">
        <v>90.937915768981796</v>
      </c>
      <c r="AJ2132">
        <v>88.462728255477302</v>
      </c>
      <c r="AK2132">
        <v>70.775301268611699</v>
      </c>
    </row>
    <row r="2133" spans="1:37" x14ac:dyDescent="0.2">
      <c r="A2133" t="str">
        <f>"20200111153439007"</f>
        <v>20200111153439007</v>
      </c>
      <c r="B2133" t="str">
        <f>"1578728078998734"</f>
        <v>1578728078998734</v>
      </c>
      <c r="C2133" t="s">
        <v>37</v>
      </c>
      <c r="D2133">
        <v>4.5976319999999999</v>
      </c>
      <c r="E2133">
        <v>0.55630119999999905</v>
      </c>
      <c r="F2133" t="s">
        <v>38</v>
      </c>
      <c r="G2133">
        <v>-538.6309</v>
      </c>
      <c r="H2133">
        <v>-0.05</v>
      </c>
      <c r="I2133">
        <v>285.84809999999999</v>
      </c>
      <c r="J2133">
        <v>-467.73180000000002</v>
      </c>
      <c r="K2133">
        <v>1.108798</v>
      </c>
      <c r="L2133">
        <v>284.64929999999998</v>
      </c>
      <c r="M2133">
        <v>-0.99976200000000004</v>
      </c>
      <c r="N2133">
        <v>0</v>
      </c>
      <c r="O2133">
        <v>-1.166057E-2</v>
      </c>
      <c r="P2133">
        <v>-0.99041880000000004</v>
      </c>
      <c r="Q2133">
        <v>2.3531469999999999E-2</v>
      </c>
      <c r="R2133">
        <v>-0.1360769</v>
      </c>
      <c r="S2133">
        <v>-3.0355219999999998</v>
      </c>
      <c r="T2133">
        <v>-4.9429180000000003E-2</v>
      </c>
      <c r="U2133">
        <v>5.0933840000000001E-2</v>
      </c>
      <c r="V2133">
        <v>-0.124859199999999</v>
      </c>
      <c r="W2133">
        <v>4.0784319999999999E-2</v>
      </c>
      <c r="X2133">
        <v>0.99133590000000005</v>
      </c>
      <c r="Y2133">
        <v>2.8431370000000001E-2</v>
      </c>
      <c r="Z2133">
        <v>4.213342E-4</v>
      </c>
      <c r="AA2133">
        <v>0.99959560000000003</v>
      </c>
      <c r="AB2133">
        <v>34</v>
      </c>
      <c r="AC2133">
        <v>-70.899099999999905</v>
      </c>
      <c r="AD2133">
        <v>-1.158798</v>
      </c>
      <c r="AE2133">
        <v>1.1988000000000001</v>
      </c>
      <c r="AF2133">
        <v>2.0250421475475502</v>
      </c>
      <c r="AG2133">
        <v>-1.158798</v>
      </c>
      <c r="AH2133">
        <v>70.861372809136398</v>
      </c>
      <c r="AI2133">
        <v>90.936493708862699</v>
      </c>
      <c r="AJ2133">
        <v>88.363074352072502</v>
      </c>
      <c r="AK2133">
        <v>70.899772671705804</v>
      </c>
    </row>
    <row r="2134" spans="1:37" x14ac:dyDescent="0.2">
      <c r="A2134" t="str">
        <f>"20200111153439025"</f>
        <v>20200111153439025</v>
      </c>
      <c r="B2134" t="str">
        <f>"1578728079018256"</f>
        <v>1578728079018256</v>
      </c>
      <c r="C2134" t="s">
        <v>37</v>
      </c>
      <c r="D2134">
        <v>4.6278800000000002</v>
      </c>
      <c r="E2134">
        <v>0.55592819999999898</v>
      </c>
      <c r="F2134" t="s">
        <v>38</v>
      </c>
      <c r="G2134">
        <v>-541.87950000000001</v>
      </c>
      <c r="H2134">
        <v>-0.05</v>
      </c>
      <c r="I2134">
        <v>285.66820000000001</v>
      </c>
      <c r="J2134">
        <v>-467.99400000000003</v>
      </c>
      <c r="K2134">
        <v>1.1090949999999999</v>
      </c>
      <c r="L2134">
        <v>284.64269999999999</v>
      </c>
      <c r="M2134">
        <v>-0.99971379999999999</v>
      </c>
      <c r="N2134">
        <v>0</v>
      </c>
      <c r="O2134">
        <v>-1.543692E-2</v>
      </c>
      <c r="P2134">
        <v>-0.98972700000000002</v>
      </c>
      <c r="Q2134">
        <v>2.4074069999999999E-2</v>
      </c>
      <c r="R2134">
        <v>-0.1409292</v>
      </c>
      <c r="S2134">
        <v>-3.0359189999999998</v>
      </c>
      <c r="T2134">
        <v>-4.7446009999999997E-2</v>
      </c>
      <c r="U2134">
        <v>4.1717530000000003E-2</v>
      </c>
      <c r="V2134">
        <v>-0.1260087</v>
      </c>
      <c r="W2134">
        <v>4.1058749999999998E-2</v>
      </c>
      <c r="X2134">
        <v>0.99117909999999998</v>
      </c>
      <c r="Y2134">
        <v>2.9170979999999999E-2</v>
      </c>
      <c r="Z2134">
        <v>4.6918570000000002E-4</v>
      </c>
      <c r="AA2134">
        <v>0.99957430000000003</v>
      </c>
      <c r="AB2134">
        <v>34</v>
      </c>
      <c r="AC2134">
        <v>-73.885499999999894</v>
      </c>
      <c r="AD2134">
        <v>-1.159095</v>
      </c>
      <c r="AE2134">
        <v>1.0255000000000201</v>
      </c>
      <c r="AF2134">
        <v>2.1655999888333102</v>
      </c>
      <c r="AG2134">
        <v>-1.159095</v>
      </c>
      <c r="AH2134">
        <v>73.842690404394403</v>
      </c>
      <c r="AI2134">
        <v>90.898900939452503</v>
      </c>
      <c r="AJ2134">
        <v>88.320156211903594</v>
      </c>
      <c r="AK2134">
        <v>73.883531660918194</v>
      </c>
    </row>
    <row r="2135" spans="1:37" x14ac:dyDescent="0.2">
      <c r="A2135" t="str">
        <f>"20200111153439046"</f>
        <v>20200111153439046</v>
      </c>
      <c r="B2135" t="str">
        <f>"1578728079037772"</f>
        <v>1578728079037772</v>
      </c>
      <c r="C2135" t="s">
        <v>37</v>
      </c>
      <c r="D2135">
        <v>4.5806100000000001</v>
      </c>
      <c r="E2135">
        <v>0.55531509999999995</v>
      </c>
      <c r="F2135" t="s">
        <v>38</v>
      </c>
      <c r="G2135">
        <v>-543.93979999999999</v>
      </c>
      <c r="H2135">
        <v>-0.05</v>
      </c>
      <c r="I2135">
        <v>285.23970000000003</v>
      </c>
      <c r="J2135">
        <v>-468.3218</v>
      </c>
      <c r="K2135">
        <v>1.109445</v>
      </c>
      <c r="L2135">
        <v>284.6327</v>
      </c>
      <c r="M2135">
        <v>-0.9996254</v>
      </c>
      <c r="N2135">
        <v>0</v>
      </c>
      <c r="O2135">
        <v>-2.0550680000000002E-2</v>
      </c>
      <c r="P2135">
        <v>-0.98854809999999904</v>
      </c>
      <c r="Q2135">
        <v>2.4839119999999999E-2</v>
      </c>
      <c r="R2135">
        <v>-0.14884710000000001</v>
      </c>
      <c r="S2135">
        <v>-3.0356749999999999</v>
      </c>
      <c r="T2135">
        <v>-4.6330929999999999E-2</v>
      </c>
      <c r="U2135">
        <v>2.3864750000000001E-2</v>
      </c>
      <c r="V2135">
        <v>-0.12891739999999999</v>
      </c>
      <c r="W2135">
        <v>4.1465139999999998E-2</v>
      </c>
      <c r="X2135">
        <v>0.990787999999999</v>
      </c>
      <c r="Y2135">
        <v>2.8407229999999999E-2</v>
      </c>
      <c r="Z2135">
        <v>5.3042720000000005E-4</v>
      </c>
      <c r="AA2135">
        <v>0.99959629999999999</v>
      </c>
      <c r="AB2135">
        <v>34</v>
      </c>
      <c r="AC2135">
        <v>-75.617999999999995</v>
      </c>
      <c r="AD2135">
        <v>-1.1594450000000001</v>
      </c>
      <c r="AE2135">
        <v>0.60700000000002696</v>
      </c>
      <c r="AF2135">
        <v>2.1606190928980702</v>
      </c>
      <c r="AG2135">
        <v>-1.1594450000000001</v>
      </c>
      <c r="AH2135">
        <v>75.571783229582707</v>
      </c>
      <c r="AI2135">
        <v>90.878621133814207</v>
      </c>
      <c r="AJ2135">
        <v>88.362343240065698</v>
      </c>
      <c r="AK2135">
        <v>75.611553403376504</v>
      </c>
    </row>
    <row r="2136" spans="1:37" x14ac:dyDescent="0.2">
      <c r="A2136" t="str">
        <f>"20200111153439062"</f>
        <v>20200111153439062</v>
      </c>
      <c r="B2136" t="str">
        <f>"1578728079058268"</f>
        <v>1578728079058268</v>
      </c>
      <c r="C2136" t="s">
        <v>37</v>
      </c>
      <c r="D2136">
        <v>4.5818129999999897</v>
      </c>
      <c r="E2136">
        <v>0.55492509999999995</v>
      </c>
      <c r="F2136" t="s">
        <v>38</v>
      </c>
      <c r="G2136">
        <v>-548.54610000000002</v>
      </c>
      <c r="H2136">
        <v>-0.05</v>
      </c>
      <c r="I2136">
        <v>284.49149999999997</v>
      </c>
      <c r="J2136">
        <v>-468.55549999999999</v>
      </c>
      <c r="K2136">
        <v>1.109683</v>
      </c>
      <c r="L2136">
        <v>284.62450000000001</v>
      </c>
      <c r="M2136">
        <v>-0.99954120000000002</v>
      </c>
      <c r="N2136">
        <v>0</v>
      </c>
      <c r="O2136">
        <v>-2.4420939999999999E-2</v>
      </c>
      <c r="P2136">
        <v>-0.98779729999999999</v>
      </c>
      <c r="Q2136">
        <v>2.497651E-2</v>
      </c>
      <c r="R2136">
        <v>-0.15372929999999899</v>
      </c>
      <c r="S2136">
        <v>-3.0350039999999998</v>
      </c>
      <c r="T2136">
        <v>-4.3863529999999998E-2</v>
      </c>
      <c r="U2136">
        <v>-5.3405759999999997E-3</v>
      </c>
      <c r="V2136">
        <v>-0.13000319999999899</v>
      </c>
      <c r="W2136">
        <v>4.1351270000000002E-2</v>
      </c>
      <c r="X2136">
        <v>0.99065099999999995</v>
      </c>
      <c r="Y2136">
        <v>2.2660779999999998E-2</v>
      </c>
      <c r="Z2136">
        <v>5.1669889999999999E-4</v>
      </c>
      <c r="AA2136">
        <v>0.9997431</v>
      </c>
      <c r="AB2136">
        <v>34</v>
      </c>
      <c r="AC2136">
        <v>-79.990600000000001</v>
      </c>
      <c r="AD2136">
        <v>-1.159683</v>
      </c>
      <c r="AE2136">
        <v>-0.133000000000038</v>
      </c>
      <c r="AF2136">
        <v>1.82041630957462</v>
      </c>
      <c r="AG2136">
        <v>-1.159683</v>
      </c>
      <c r="AH2136">
        <v>79.953179925929305</v>
      </c>
      <c r="AI2136">
        <v>90.830774587328406</v>
      </c>
      <c r="AJ2136">
        <v>88.695684729800703</v>
      </c>
      <c r="AK2136">
        <v>79.982309046867798</v>
      </c>
    </row>
    <row r="2137" spans="1:37" x14ac:dyDescent="0.2">
      <c r="A2137" t="str">
        <f>"20200111153439074"</f>
        <v>20200111153439074</v>
      </c>
      <c r="B2137" t="str">
        <f>"1578728079068029"</f>
        <v>1578728079068029</v>
      </c>
      <c r="C2137" t="s">
        <v>37</v>
      </c>
      <c r="D2137">
        <v>4.5784409999999998</v>
      </c>
      <c r="E2137">
        <v>0.55481510000000001</v>
      </c>
      <c r="F2137" t="s">
        <v>38</v>
      </c>
      <c r="G2137">
        <v>-552.28049999999996</v>
      </c>
      <c r="H2137">
        <v>-0.05</v>
      </c>
      <c r="I2137">
        <v>283.97519999999997</v>
      </c>
      <c r="J2137">
        <v>-468.7516</v>
      </c>
      <c r="K2137">
        <v>1.109877</v>
      </c>
      <c r="L2137">
        <v>284.61649999999997</v>
      </c>
      <c r="M2137">
        <v>-0.99945439999999997</v>
      </c>
      <c r="N2137">
        <v>0</v>
      </c>
      <c r="O2137">
        <v>-2.7838209999999999E-2</v>
      </c>
      <c r="P2137">
        <v>-0.98710609999999999</v>
      </c>
      <c r="Q2137">
        <v>2.5170990000000001E-2</v>
      </c>
      <c r="R2137">
        <v>-0.1580763</v>
      </c>
      <c r="S2137">
        <v>-3.0344540000000002</v>
      </c>
      <c r="T2137">
        <v>-4.2030449999999997E-2</v>
      </c>
      <c r="U2137">
        <v>-2.3529049999999999E-2</v>
      </c>
      <c r="V2137">
        <v>-0.1309999</v>
      </c>
      <c r="W2137">
        <v>4.1330789999999999E-2</v>
      </c>
      <c r="X2137">
        <v>0.99052050000000003</v>
      </c>
      <c r="Y2137">
        <v>2.0086449999999999E-2</v>
      </c>
      <c r="Z2137">
        <v>5.2467859999999998E-4</v>
      </c>
      <c r="AA2137">
        <v>0.99979810000000002</v>
      </c>
      <c r="AB2137">
        <v>34</v>
      </c>
      <c r="AC2137">
        <v>-83.528899999999894</v>
      </c>
      <c r="AD2137">
        <v>-1.159877</v>
      </c>
      <c r="AE2137">
        <v>-0.64130000000000098</v>
      </c>
      <c r="AF2137">
        <v>1.6842863448821199</v>
      </c>
      <c r="AG2137">
        <v>-1.159877</v>
      </c>
      <c r="AH2137">
        <v>83.498273808863402</v>
      </c>
      <c r="AI2137">
        <v>90.795684346910903</v>
      </c>
      <c r="AJ2137">
        <v>88.844414270894603</v>
      </c>
      <c r="AK2137">
        <v>83.523313297585403</v>
      </c>
    </row>
    <row r="2138" spans="1:37" x14ac:dyDescent="0.2">
      <c r="A2138" t="str">
        <f>"20200111153439087"</f>
        <v>20200111153439087</v>
      </c>
      <c r="B2138" t="str">
        <f>"1578728079077788"</f>
        <v>1578728079077788</v>
      </c>
      <c r="C2138" t="s">
        <v>37</v>
      </c>
      <c r="D2138">
        <v>4.6030930000000003</v>
      </c>
      <c r="E2138">
        <v>0.55460359999999997</v>
      </c>
      <c r="F2138" t="s">
        <v>38</v>
      </c>
      <c r="G2138">
        <v>-552.57190000000003</v>
      </c>
      <c r="H2138">
        <v>-0.05</v>
      </c>
      <c r="I2138">
        <v>283.572</v>
      </c>
      <c r="J2138">
        <v>-468.94119999999998</v>
      </c>
      <c r="K2138">
        <v>1.1100620000000001</v>
      </c>
      <c r="L2138">
        <v>284.60809999999998</v>
      </c>
      <c r="M2138">
        <v>-0.99935469999999904</v>
      </c>
      <c r="N2138">
        <v>0</v>
      </c>
      <c r="O2138">
        <v>-3.1287259999999997E-2</v>
      </c>
      <c r="P2138">
        <v>-0.98646180000000006</v>
      </c>
      <c r="Q2138">
        <v>2.5435880000000001E-2</v>
      </c>
      <c r="R2138">
        <v>-0.1620066</v>
      </c>
      <c r="S2138">
        <v>-3.0342099999999999</v>
      </c>
      <c r="T2138">
        <v>-4.1986349999999999E-2</v>
      </c>
      <c r="U2138">
        <v>-3.7811280000000003E-2</v>
      </c>
      <c r="V2138">
        <v>-0.1315489</v>
      </c>
      <c r="W2138">
        <v>4.1392720000000001E-2</v>
      </c>
      <c r="X2138">
        <v>0.99044509999999897</v>
      </c>
      <c r="Y2138">
        <v>1.8830320000000001E-2</v>
      </c>
      <c r="Z2138">
        <v>5.6317040000000002E-4</v>
      </c>
      <c r="AA2138">
        <v>0.99982260000000001</v>
      </c>
      <c r="AB2138">
        <v>34</v>
      </c>
      <c r="AC2138">
        <v>-83.630700000000004</v>
      </c>
      <c r="AD2138">
        <v>-1.1600619999999999</v>
      </c>
      <c r="AE2138">
        <v>-1.03609999999997</v>
      </c>
      <c r="AF2138">
        <v>1.58108603321179</v>
      </c>
      <c r="AG2138">
        <v>-1.1600619999999999</v>
      </c>
      <c r="AH2138">
        <v>83.606081964526496</v>
      </c>
      <c r="AI2138">
        <v>90.7948047583875</v>
      </c>
      <c r="AJ2138">
        <v>88.916600829454197</v>
      </c>
      <c r="AK2138">
        <v>83.629076990885096</v>
      </c>
    </row>
    <row r="2139" spans="1:37" x14ac:dyDescent="0.2">
      <c r="A2139" t="str">
        <f>"20200111153439101"</f>
        <v>20200111153439101</v>
      </c>
      <c r="B2139" t="str">
        <f>"1578728079088525"</f>
        <v>1578728079088525</v>
      </c>
      <c r="C2139" t="s">
        <v>37</v>
      </c>
      <c r="D2139">
        <v>4.6268180000000001</v>
      </c>
      <c r="E2139">
        <v>0.55437599999999998</v>
      </c>
      <c r="F2139" t="s">
        <v>38</v>
      </c>
      <c r="G2139">
        <v>-549.47360000000003</v>
      </c>
      <c r="H2139">
        <v>-0.05</v>
      </c>
      <c r="I2139">
        <v>283.23579999999998</v>
      </c>
      <c r="J2139">
        <v>-469.13639999999998</v>
      </c>
      <c r="K2139">
        <v>1.1102479999999999</v>
      </c>
      <c r="L2139">
        <v>284.59879999999998</v>
      </c>
      <c r="M2139">
        <v>-0.99923609999999896</v>
      </c>
      <c r="N2139">
        <v>0</v>
      </c>
      <c r="O2139">
        <v>-3.4938289999999997E-2</v>
      </c>
      <c r="P2139">
        <v>-0.98578940000000004</v>
      </c>
      <c r="Q2139">
        <v>2.610196E-2</v>
      </c>
      <c r="R2139">
        <v>-0.16594610000000001</v>
      </c>
      <c r="S2139">
        <v>-3.0338129999999999</v>
      </c>
      <c r="T2139">
        <v>-4.3701770000000001E-2</v>
      </c>
      <c r="U2139">
        <v>-5.1696779999999998E-2</v>
      </c>
      <c r="V2139">
        <v>-0.1319147</v>
      </c>
      <c r="W2139">
        <v>4.1851520000000003E-2</v>
      </c>
      <c r="X2139">
        <v>0.99037719999999996</v>
      </c>
      <c r="Y2139">
        <v>1.790578E-2</v>
      </c>
      <c r="Z2139">
        <v>6.3213220000000005E-4</v>
      </c>
      <c r="AA2139">
        <v>0.99983949999999999</v>
      </c>
      <c r="AB2139">
        <v>34</v>
      </c>
      <c r="AC2139">
        <v>-80.337199999999996</v>
      </c>
      <c r="AD2139">
        <v>-1.1602479999999999</v>
      </c>
      <c r="AE2139">
        <v>-1.36299999999999</v>
      </c>
      <c r="AF2139">
        <v>1.4448058222640801</v>
      </c>
      <c r="AG2139">
        <v>-1.1602479999999999</v>
      </c>
      <c r="AH2139">
        <v>80.319017050781795</v>
      </c>
      <c r="AI2139">
        <v>90.827474514634304</v>
      </c>
      <c r="AJ2139">
        <v>88.9694551576344</v>
      </c>
      <c r="AK2139">
        <v>80.340389215445896</v>
      </c>
    </row>
    <row r="2140" spans="1:37" x14ac:dyDescent="0.2">
      <c r="A2140" t="str">
        <f>"20200111153439112"</f>
        <v>20200111153439112</v>
      </c>
      <c r="B2140" t="str">
        <f>"1578728079108044"</f>
        <v>1578728079108044</v>
      </c>
      <c r="C2140" t="s">
        <v>37</v>
      </c>
      <c r="D2140">
        <v>4.5976359999999996</v>
      </c>
      <c r="E2140">
        <v>0.55425829999999998</v>
      </c>
      <c r="F2140" t="s">
        <v>38</v>
      </c>
      <c r="G2140">
        <v>-549.31899999999996</v>
      </c>
      <c r="H2140">
        <v>-0.05</v>
      </c>
      <c r="I2140">
        <v>282.86849999999998</v>
      </c>
      <c r="J2140">
        <v>-469.31959999999998</v>
      </c>
      <c r="K2140">
        <v>1.110436</v>
      </c>
      <c r="L2140">
        <v>284.58909999999997</v>
      </c>
      <c r="M2140">
        <v>-0.99910599999999905</v>
      </c>
      <c r="N2140">
        <v>0</v>
      </c>
      <c r="O2140">
        <v>-3.8537399999999999E-2</v>
      </c>
      <c r="P2140">
        <v>-0.98510359999999997</v>
      </c>
      <c r="Q2140">
        <v>2.8118130000000002E-2</v>
      </c>
      <c r="R2140">
        <v>-0.16964789999999999</v>
      </c>
      <c r="S2140">
        <v>-3.0333860000000001</v>
      </c>
      <c r="T2140">
        <v>-4.3893340000000003E-2</v>
      </c>
      <c r="U2140">
        <v>-6.5460210000000005E-2</v>
      </c>
      <c r="V2140">
        <v>-0.13211310000000001</v>
      </c>
      <c r="W2140">
        <v>4.3673749999999997E-2</v>
      </c>
      <c r="X2140">
        <v>0.99027199999999904</v>
      </c>
      <c r="Y2140">
        <v>1.696959E-2</v>
      </c>
      <c r="Z2140">
        <v>6.8022269999999999E-4</v>
      </c>
      <c r="AA2140">
        <v>0.99985579999999996</v>
      </c>
      <c r="AB2140">
        <v>34</v>
      </c>
      <c r="AC2140">
        <v>-79.999399999999895</v>
      </c>
      <c r="AD2140">
        <v>-1.160436</v>
      </c>
      <c r="AE2140">
        <v>-1.7205999999999899</v>
      </c>
      <c r="AF2140">
        <v>1.3638263063562099</v>
      </c>
      <c r="AG2140">
        <v>-1.160436</v>
      </c>
      <c r="AH2140">
        <v>79.9894497324577</v>
      </c>
      <c r="AI2140">
        <v>90.831031610935796</v>
      </c>
      <c r="AJ2140">
        <v>89.023197173119897</v>
      </c>
      <c r="AK2140">
        <v>80.009491327000603</v>
      </c>
    </row>
    <row r="2141" spans="1:37" x14ac:dyDescent="0.2">
      <c r="A2141" t="str">
        <f>"20200111153439136"</f>
        <v>20200111153439136</v>
      </c>
      <c r="B2141" t="str">
        <f>"1578728079128541"</f>
        <v>1578728079128541</v>
      </c>
      <c r="C2141" t="s">
        <v>37</v>
      </c>
      <c r="D2141">
        <v>4.6195199999999996</v>
      </c>
      <c r="E2141">
        <v>0.55426679999999995</v>
      </c>
      <c r="F2141" t="s">
        <v>38</v>
      </c>
      <c r="G2141">
        <v>-554.81569999999999</v>
      </c>
      <c r="H2141">
        <v>-0.05</v>
      </c>
      <c r="I2141">
        <v>282.4008</v>
      </c>
      <c r="J2141">
        <v>-469.65949999999998</v>
      </c>
      <c r="K2141">
        <v>1.1107799999999901</v>
      </c>
      <c r="L2141">
        <v>284.56939999999997</v>
      </c>
      <c r="M2141">
        <v>-0.99881759999999997</v>
      </c>
      <c r="N2141">
        <v>0</v>
      </c>
      <c r="O2141">
        <v>-4.5498070000000002E-2</v>
      </c>
      <c r="P2141">
        <v>-0.98395080000000001</v>
      </c>
      <c r="Q2141">
        <v>3.0573309999999999E-2</v>
      </c>
      <c r="R2141">
        <v>-0.17580219999999999</v>
      </c>
      <c r="S2141">
        <v>-3.0331730000000001</v>
      </c>
      <c r="T2141">
        <v>-4.1169169999999998E-2</v>
      </c>
      <c r="U2141">
        <v>-7.7636720000000006E-2</v>
      </c>
      <c r="V2141">
        <v>-0.13147410000000001</v>
      </c>
      <c r="W2141">
        <v>4.5785930000000002E-2</v>
      </c>
      <c r="X2141">
        <v>0.99026170000000002</v>
      </c>
      <c r="Y2141">
        <v>1.9922840000000001E-2</v>
      </c>
      <c r="Z2141">
        <v>7.5243300000000005E-4</v>
      </c>
      <c r="AA2141">
        <v>0.99980119999999895</v>
      </c>
      <c r="AB2141">
        <v>34</v>
      </c>
      <c r="AC2141">
        <v>-85.156199999999998</v>
      </c>
      <c r="AD2141">
        <v>-1.1607799999999999</v>
      </c>
      <c r="AE2141">
        <v>-2.1685999999999601</v>
      </c>
      <c r="AF2141">
        <v>1.7083402980478799</v>
      </c>
      <c r="AG2141">
        <v>-1.1607799999999999</v>
      </c>
      <c r="AH2141">
        <v>85.150858644058601</v>
      </c>
      <c r="AI2141">
        <v>90.780852928236698</v>
      </c>
      <c r="AJ2141">
        <v>88.850656807133802</v>
      </c>
      <c r="AK2141">
        <v>85.175903661791494</v>
      </c>
    </row>
    <row r="2142" spans="1:37" x14ac:dyDescent="0.2">
      <c r="A2142" t="str">
        <f>"20200111153439153"</f>
        <v>20200111153439153</v>
      </c>
      <c r="B2142" t="str">
        <f>"1578728079148060"</f>
        <v>1578728079148060</v>
      </c>
      <c r="C2142" t="s">
        <v>37</v>
      </c>
      <c r="D2142">
        <v>4.5852649999999997</v>
      </c>
      <c r="E2142">
        <v>0.55443189999999998</v>
      </c>
      <c r="F2142" t="s">
        <v>58</v>
      </c>
      <c r="G2142">
        <v>0</v>
      </c>
      <c r="H2142">
        <v>0</v>
      </c>
      <c r="I2142">
        <v>0</v>
      </c>
      <c r="J2142">
        <v>-469.90769999999998</v>
      </c>
      <c r="K2142">
        <v>1.111024</v>
      </c>
      <c r="L2142">
        <v>284.55309999999997</v>
      </c>
      <c r="M2142">
        <v>-0.99856129999999999</v>
      </c>
      <c r="N2142">
        <v>0</v>
      </c>
      <c r="O2142">
        <v>-5.0872090000000002E-2</v>
      </c>
      <c r="P2142">
        <v>-0.98303269999999998</v>
      </c>
      <c r="Q2142">
        <v>3.1826750000000001E-2</v>
      </c>
      <c r="R2142">
        <v>-0.1806489</v>
      </c>
      <c r="S2142">
        <v>-3.0328059999999999</v>
      </c>
      <c r="T2142">
        <v>-3.6390190000000003E-2</v>
      </c>
      <c r="U2142">
        <v>-9.6252439999999995E-2</v>
      </c>
      <c r="V2142">
        <v>-0.1310713</v>
      </c>
      <c r="W2142">
        <v>4.6789549999999999E-2</v>
      </c>
      <c r="X2142">
        <v>0.99026819999999904</v>
      </c>
      <c r="Y2142">
        <v>1.9168729999999998E-2</v>
      </c>
      <c r="Z2142">
        <v>7.2496609999999999E-4</v>
      </c>
      <c r="AA2142">
        <v>0.99981600000000004</v>
      </c>
      <c r="AB2142">
        <v>34</v>
      </c>
      <c r="AC2142">
        <v>-3.0328059999999999</v>
      </c>
      <c r="AD2142">
        <v>-3.6390190000000003E-2</v>
      </c>
      <c r="AE2142">
        <v>-9.6252439999999995E-2</v>
      </c>
      <c r="AF2142">
        <v>5.8171211405442402E-2</v>
      </c>
      <c r="AG2142">
        <v>-3.6390190000000003E-2</v>
      </c>
      <c r="AH2142">
        <v>3.0333389120618799</v>
      </c>
      <c r="AI2142">
        <v>90.6872034769018</v>
      </c>
      <c r="AJ2142">
        <v>88.901357051382504</v>
      </c>
      <c r="AK2142">
        <v>3.03411487771861</v>
      </c>
    </row>
    <row r="2143" spans="1:37" x14ac:dyDescent="0.2">
      <c r="A2143" t="str">
        <f>"20200111153439167"</f>
        <v>20200111153439167</v>
      </c>
      <c r="B2143" t="str">
        <f>"1578728079157820"</f>
        <v>1578728079157820</v>
      </c>
      <c r="C2143" t="s">
        <v>37</v>
      </c>
      <c r="D2143">
        <v>4.5665800000000001</v>
      </c>
      <c r="E2143">
        <v>0.55452950000000001</v>
      </c>
      <c r="F2143" t="s">
        <v>58</v>
      </c>
      <c r="G2143">
        <v>0</v>
      </c>
      <c r="H2143">
        <v>0</v>
      </c>
      <c r="I2143">
        <v>0</v>
      </c>
      <c r="J2143">
        <v>-470.1241</v>
      </c>
      <c r="K2143">
        <v>1.1112340000000001</v>
      </c>
      <c r="L2143">
        <v>284.5376</v>
      </c>
      <c r="M2143">
        <v>-0.99830409999999903</v>
      </c>
      <c r="N2143">
        <v>0</v>
      </c>
      <c r="O2143">
        <v>-5.5736769999999998E-2</v>
      </c>
      <c r="P2143">
        <v>-0.98223189999999905</v>
      </c>
      <c r="Q2143">
        <v>3.2922710000000001E-2</v>
      </c>
      <c r="R2143">
        <v>-0.18476049999999999</v>
      </c>
      <c r="S2143">
        <v>-3.032715</v>
      </c>
      <c r="T2143">
        <v>-3.4257290000000003E-2</v>
      </c>
      <c r="U2143">
        <v>-0.1098938</v>
      </c>
      <c r="V2143">
        <v>-0.13043160000000001</v>
      </c>
      <c r="W2143">
        <v>4.7672619999999999E-2</v>
      </c>
      <c r="X2143">
        <v>0.99031049999999998</v>
      </c>
      <c r="Y2143">
        <v>1.9547249999999999E-2</v>
      </c>
      <c r="Z2143">
        <v>7.3941879999999999E-4</v>
      </c>
      <c r="AA2143">
        <v>0.99980869999999999</v>
      </c>
      <c r="AB2143">
        <v>34</v>
      </c>
      <c r="AC2143">
        <v>-3.032715</v>
      </c>
      <c r="AD2143">
        <v>-3.4257290000000003E-2</v>
      </c>
      <c r="AE2143">
        <v>-0.1098938</v>
      </c>
      <c r="AF2143">
        <v>5.9327124010492498E-2</v>
      </c>
      <c r="AG2143">
        <v>-3.4257290000000003E-2</v>
      </c>
      <c r="AH2143">
        <v>3.0337387058858298</v>
      </c>
      <c r="AI2143">
        <v>90.646838684919899</v>
      </c>
      <c r="AJ2143">
        <v>88.879679191532503</v>
      </c>
      <c r="AK2143">
        <v>3.0345121197898202</v>
      </c>
    </row>
    <row r="2144" spans="1:37" x14ac:dyDescent="0.2">
      <c r="A2144" t="str">
        <f>"20200111153439181"</f>
        <v>20200111153439181</v>
      </c>
      <c r="B2144" t="str">
        <f>"1578728079168557"</f>
        <v>1578728079168557</v>
      </c>
      <c r="C2144" t="s">
        <v>37</v>
      </c>
      <c r="D2144">
        <v>4.6281829999999999</v>
      </c>
      <c r="E2144">
        <v>0.5547358</v>
      </c>
      <c r="F2144" t="s">
        <v>58</v>
      </c>
      <c r="G2144">
        <v>0</v>
      </c>
      <c r="H2144">
        <v>0</v>
      </c>
      <c r="I2144">
        <v>0</v>
      </c>
      <c r="J2144">
        <v>-470.3159</v>
      </c>
      <c r="K2144">
        <v>1.1114269999999999</v>
      </c>
      <c r="L2144">
        <v>284.5231</v>
      </c>
      <c r="M2144">
        <v>-0.99804959999999898</v>
      </c>
      <c r="N2144">
        <v>0</v>
      </c>
      <c r="O2144">
        <v>-6.015732E-2</v>
      </c>
      <c r="P2144">
        <v>-0.98156299999999996</v>
      </c>
      <c r="Q2144">
        <v>3.4551169999999999E-2</v>
      </c>
      <c r="R2144">
        <v>-0.187989299999999</v>
      </c>
      <c r="S2144">
        <v>-3.0323790000000002</v>
      </c>
      <c r="T2144">
        <v>-3.2046199999999997E-2</v>
      </c>
      <c r="U2144">
        <v>-0.1218567</v>
      </c>
      <c r="V2144">
        <v>-0.12935050000000001</v>
      </c>
      <c r="W2144">
        <v>4.9121930000000001E-2</v>
      </c>
      <c r="X2144">
        <v>0.99038150000000003</v>
      </c>
      <c r="Y2144">
        <v>2.0032669999999999E-2</v>
      </c>
      <c r="Z2144">
        <v>7.4088399999999895E-4</v>
      </c>
      <c r="AA2144">
        <v>0.99979910000000005</v>
      </c>
      <c r="AB2144">
        <v>33</v>
      </c>
      <c r="AC2144">
        <v>-3.0323790000000002</v>
      </c>
      <c r="AD2144">
        <v>-3.2046199999999997E-2</v>
      </c>
      <c r="AE2144">
        <v>-0.1218567</v>
      </c>
      <c r="AF2144">
        <v>6.0802439426751703E-2</v>
      </c>
      <c r="AG2144">
        <v>-3.2046199999999997E-2</v>
      </c>
      <c r="AH2144">
        <v>3.0338788611185099</v>
      </c>
      <c r="AI2144">
        <v>90.605058813632695</v>
      </c>
      <c r="AJ2144">
        <v>88.851880043665403</v>
      </c>
      <c r="AK2144">
        <v>3.03465728534812</v>
      </c>
    </row>
    <row r="2145" spans="1:37" x14ac:dyDescent="0.2">
      <c r="A2145" t="str">
        <f>"20200111153439203"</f>
        <v>20200111153439203</v>
      </c>
      <c r="B2145" t="str">
        <f>"1578728079197836"</f>
        <v>1578728079197836</v>
      </c>
      <c r="C2145" t="s">
        <v>37</v>
      </c>
      <c r="D2145">
        <v>4.5581829999999997</v>
      </c>
      <c r="E2145">
        <v>0.55525590000000002</v>
      </c>
      <c r="F2145" t="s">
        <v>58</v>
      </c>
      <c r="G2145">
        <v>0</v>
      </c>
      <c r="H2145">
        <v>0</v>
      </c>
      <c r="I2145">
        <v>0</v>
      </c>
      <c r="J2145">
        <v>-470.6497</v>
      </c>
      <c r="K2145">
        <v>1.1117459999999999</v>
      </c>
      <c r="L2145">
        <v>284.49520000000001</v>
      </c>
      <c r="M2145">
        <v>-0.99753530000000001</v>
      </c>
      <c r="N2145">
        <v>0</v>
      </c>
      <c r="O2145">
        <v>-6.8214529999999995E-2</v>
      </c>
      <c r="P2145">
        <v>-0.98007549999999899</v>
      </c>
      <c r="Q2145">
        <v>3.7074059999999999E-2</v>
      </c>
      <c r="R2145">
        <v>-0.19513469999999999</v>
      </c>
      <c r="S2145">
        <v>-3.03241</v>
      </c>
      <c r="T2145">
        <v>-2.7670980000000001E-2</v>
      </c>
      <c r="U2145">
        <v>-0.13021849999999999</v>
      </c>
      <c r="V2145">
        <v>-0.12865109999999999</v>
      </c>
      <c r="W2145">
        <v>5.131786E-2</v>
      </c>
      <c r="X2145">
        <v>0.99036119999999905</v>
      </c>
      <c r="Y2145">
        <v>2.5354290000000002E-2</v>
      </c>
      <c r="Z2145">
        <v>7.372813E-4</v>
      </c>
      <c r="AA2145">
        <v>0.99967830000000002</v>
      </c>
      <c r="AB2145">
        <v>33</v>
      </c>
      <c r="AC2145">
        <v>-3.03241</v>
      </c>
      <c r="AD2145">
        <v>-2.7670980000000001E-2</v>
      </c>
      <c r="AE2145">
        <v>-0.13021849999999999</v>
      </c>
      <c r="AF2145">
        <v>7.69608711967774E-2</v>
      </c>
      <c r="AG2145">
        <v>-2.7670980000000001E-2</v>
      </c>
      <c r="AH2145">
        <v>3.03397645257406</v>
      </c>
      <c r="AI2145">
        <v>90.522376047291203</v>
      </c>
      <c r="AJ2145">
        <v>88.546927516363695</v>
      </c>
      <c r="AK2145">
        <v>3.0350785448820599</v>
      </c>
    </row>
    <row r="2146" spans="1:37" x14ac:dyDescent="0.2">
      <c r="A2146" t="str">
        <f>"20200111153439220"</f>
        <v>20200111153439220</v>
      </c>
      <c r="B2146" t="str">
        <f>"1578728079208573"</f>
        <v>1578728079208573</v>
      </c>
      <c r="C2146" t="s">
        <v>37</v>
      </c>
      <c r="D2146">
        <v>4.5965669999999896</v>
      </c>
      <c r="E2146">
        <v>0.55547250000000004</v>
      </c>
      <c r="F2146" t="s">
        <v>58</v>
      </c>
      <c r="G2146">
        <v>0</v>
      </c>
      <c r="H2146">
        <v>0</v>
      </c>
      <c r="I2146">
        <v>0</v>
      </c>
      <c r="J2146">
        <v>-470.88240000000002</v>
      </c>
      <c r="K2146">
        <v>1.1119540000000001</v>
      </c>
      <c r="L2146">
        <v>284.4742</v>
      </c>
      <c r="M2146">
        <v>-0.99712459999999903</v>
      </c>
      <c r="N2146">
        <v>0</v>
      </c>
      <c r="O2146">
        <v>-7.4010290000000006E-2</v>
      </c>
      <c r="P2146">
        <v>-0.97885419999999901</v>
      </c>
      <c r="Q2146">
        <v>3.8608160000000002E-2</v>
      </c>
      <c r="R2146">
        <v>-0.20088329999999999</v>
      </c>
      <c r="S2146">
        <v>-3.0325319999999998</v>
      </c>
      <c r="T2146">
        <v>-2.6464459999999999E-2</v>
      </c>
      <c r="U2146">
        <v>-0.14782709999999999</v>
      </c>
      <c r="V2146">
        <v>-0.12876279999999901</v>
      </c>
      <c r="W2146">
        <v>5.2621679999999997E-2</v>
      </c>
      <c r="X2146">
        <v>0.99027829999999994</v>
      </c>
      <c r="Y2146">
        <v>2.5372820000000001E-2</v>
      </c>
      <c r="Z2146">
        <v>7.5547759999999896E-4</v>
      </c>
      <c r="AA2146">
        <v>0.99967779999999995</v>
      </c>
      <c r="AB2146">
        <v>33</v>
      </c>
      <c r="AC2146">
        <v>-3.0325319999999998</v>
      </c>
      <c r="AD2146">
        <v>-2.6464459999999999E-2</v>
      </c>
      <c r="AE2146">
        <v>-0.14782709999999999</v>
      </c>
      <c r="AF2146">
        <v>7.7040891148633897E-2</v>
      </c>
      <c r="AG2146">
        <v>-2.6464459999999999E-2</v>
      </c>
      <c r="AH2146">
        <v>3.0349245967475702</v>
      </c>
      <c r="AI2146">
        <v>90.499444093865094</v>
      </c>
      <c r="AJ2146">
        <v>88.545871567796993</v>
      </c>
      <c r="AK2146">
        <v>3.0360176176194198</v>
      </c>
    </row>
    <row r="2147" spans="1:37" x14ac:dyDescent="0.2">
      <c r="A2147" t="str">
        <f>"20200111153439236"</f>
        <v>20200111153439236</v>
      </c>
      <c r="B2147" t="str">
        <f>"1578728079228094"</f>
        <v>1578728079228094</v>
      </c>
      <c r="C2147" t="s">
        <v>37</v>
      </c>
      <c r="D2147">
        <v>4.5758669999999997</v>
      </c>
      <c r="E2147">
        <v>0.555593</v>
      </c>
      <c r="F2147" t="s">
        <v>58</v>
      </c>
      <c r="G2147">
        <v>0</v>
      </c>
      <c r="H2147">
        <v>0</v>
      </c>
      <c r="I2147">
        <v>0</v>
      </c>
      <c r="J2147">
        <v>-471.14260000000002</v>
      </c>
      <c r="K2147">
        <v>1.1121799999999999</v>
      </c>
      <c r="L2147">
        <v>284.4486</v>
      </c>
      <c r="M2147">
        <v>-0.99660740000000003</v>
      </c>
      <c r="N2147">
        <v>0</v>
      </c>
      <c r="O2147">
        <v>-8.0709699999999995E-2</v>
      </c>
      <c r="P2147">
        <v>-0.97719780000000001</v>
      </c>
      <c r="Q2147">
        <v>4.128706E-2</v>
      </c>
      <c r="R2147">
        <v>-0.20827899999999999</v>
      </c>
      <c r="S2147">
        <v>-3.0320740000000002</v>
      </c>
      <c r="T2147">
        <v>-2.3404959999999999E-2</v>
      </c>
      <c r="U2147">
        <v>-0.16394039999999999</v>
      </c>
      <c r="V2147">
        <v>-0.1296774</v>
      </c>
      <c r="W2147">
        <v>5.5045730000000001E-2</v>
      </c>
      <c r="X2147">
        <v>0.99002710000000005</v>
      </c>
      <c r="Y2147">
        <v>2.678556E-2</v>
      </c>
      <c r="Z2147">
        <v>7.2508079999999996E-4</v>
      </c>
      <c r="AA2147">
        <v>0.99964089999999906</v>
      </c>
      <c r="AB2147">
        <v>33</v>
      </c>
      <c r="AC2147">
        <v>-3.0320740000000002</v>
      </c>
      <c r="AD2147">
        <v>-2.3404959999999999E-2</v>
      </c>
      <c r="AE2147">
        <v>-0.16394039999999999</v>
      </c>
      <c r="AF2147">
        <v>8.13392952126301E-2</v>
      </c>
      <c r="AG2147">
        <v>-2.3404959999999999E-2</v>
      </c>
      <c r="AH2147">
        <v>3.03523271407721</v>
      </c>
      <c r="AI2147">
        <v>90.441645745216604</v>
      </c>
      <c r="AJ2147">
        <v>88.464933790028596</v>
      </c>
      <c r="AK2147">
        <v>3.0364126039955099</v>
      </c>
    </row>
    <row r="2148" spans="1:37" x14ac:dyDescent="0.2">
      <c r="A2148" t="str">
        <f>"20200111153439252"</f>
        <v>20200111153439252</v>
      </c>
      <c r="B2148" t="str">
        <f>"1578728079248588"</f>
        <v>1578728079248588</v>
      </c>
      <c r="C2148" t="s">
        <v>37</v>
      </c>
      <c r="D2148">
        <v>4.5540969999999996</v>
      </c>
      <c r="E2148">
        <v>0.56380830000000004</v>
      </c>
      <c r="F2148" t="s">
        <v>58</v>
      </c>
      <c r="G2148">
        <v>0</v>
      </c>
      <c r="H2148">
        <v>0</v>
      </c>
      <c r="I2148">
        <v>0</v>
      </c>
      <c r="J2148">
        <v>-471.3673</v>
      </c>
      <c r="K2148">
        <v>1.1123540000000001</v>
      </c>
      <c r="L2148">
        <v>284.42489999999998</v>
      </c>
      <c r="M2148">
        <v>-0.99610940000000003</v>
      </c>
      <c r="N2148">
        <v>0</v>
      </c>
      <c r="O2148">
        <v>-8.6663420000000005E-2</v>
      </c>
      <c r="P2148">
        <v>-0.97570319999999899</v>
      </c>
      <c r="Q2148">
        <v>4.282992E-2</v>
      </c>
      <c r="R2148">
        <v>-0.2148698</v>
      </c>
      <c r="S2148">
        <v>-3.0310969999999999</v>
      </c>
      <c r="T2148">
        <v>-1.6880039999999999E-2</v>
      </c>
      <c r="U2148">
        <v>-0.1856689</v>
      </c>
      <c r="V2148">
        <v>-0.1304999</v>
      </c>
      <c r="W2148">
        <v>5.6381649999999998E-2</v>
      </c>
      <c r="X2148">
        <v>0.98984380000000005</v>
      </c>
      <c r="Y2148">
        <v>2.5600599999999901E-2</v>
      </c>
      <c r="Z2148">
        <v>5.5267350000000001E-4</v>
      </c>
      <c r="AA2148">
        <v>0.99967209999999995</v>
      </c>
      <c r="AB2148">
        <v>33</v>
      </c>
      <c r="AC2148">
        <v>-3.0310969999999999</v>
      </c>
      <c r="AD2148">
        <v>-1.6880039999999999E-2</v>
      </c>
      <c r="AE2148">
        <v>-0.1856689</v>
      </c>
      <c r="AF2148">
        <v>7.7746227244008898E-2</v>
      </c>
      <c r="AG2148">
        <v>-1.6880039999999999E-2</v>
      </c>
      <c r="AH2148">
        <v>3.0356889898167898</v>
      </c>
      <c r="AI2148">
        <v>90.3184871928528</v>
      </c>
      <c r="AJ2148">
        <v>88.532933654007905</v>
      </c>
      <c r="AK2148">
        <v>3.0367313108827898</v>
      </c>
    </row>
    <row r="2149" spans="1:37" x14ac:dyDescent="0.2">
      <c r="A2149" t="str">
        <f>"20200111153439271"</f>
        <v>20200111153439271</v>
      </c>
      <c r="B2149" t="str">
        <f>"1578728079258348"</f>
        <v>1578728079258348</v>
      </c>
      <c r="C2149" t="s">
        <v>37</v>
      </c>
      <c r="D2149">
        <v>4.5715279999999998</v>
      </c>
      <c r="E2149">
        <v>0.56443569999999998</v>
      </c>
      <c r="F2149" t="s">
        <v>38</v>
      </c>
      <c r="G2149">
        <v>-512.48749999999995</v>
      </c>
      <c r="H2149">
        <v>-0.05</v>
      </c>
      <c r="I2149">
        <v>282.54320000000001</v>
      </c>
      <c r="J2149">
        <v>-471.63080000000002</v>
      </c>
      <c r="K2149">
        <v>1.1125620000000001</v>
      </c>
      <c r="L2149">
        <v>284.39530000000002</v>
      </c>
      <c r="M2149">
        <v>-0.99546299999999899</v>
      </c>
      <c r="N2149">
        <v>0</v>
      </c>
      <c r="O2149">
        <v>-9.3821669999999996E-2</v>
      </c>
      <c r="P2149">
        <v>-0.97363639999999996</v>
      </c>
      <c r="Q2149">
        <v>4.5103740000000003E-2</v>
      </c>
      <c r="R2149">
        <v>-0.223602</v>
      </c>
      <c r="S2149">
        <v>-3.0477910000000001</v>
      </c>
      <c r="T2149">
        <v>-8.6152670000000001E-2</v>
      </c>
      <c r="U2149">
        <v>-0.13946529999999999</v>
      </c>
      <c r="V2149">
        <v>-0.13233059999999999</v>
      </c>
      <c r="W2149">
        <v>5.840629E-2</v>
      </c>
      <c r="X2149">
        <v>0.98948340000000001</v>
      </c>
      <c r="Y2149">
        <v>4.816894E-2</v>
      </c>
      <c r="Z2149">
        <v>3.326458E-3</v>
      </c>
      <c r="AA2149">
        <v>0.99883369999999905</v>
      </c>
      <c r="AB2149">
        <v>33</v>
      </c>
      <c r="AC2149">
        <v>-40.856699999999897</v>
      </c>
      <c r="AD2149">
        <v>-1.1625620000000001</v>
      </c>
      <c r="AE2149">
        <v>-1.8521000000000001</v>
      </c>
      <c r="AF2149">
        <v>1.9881899800658001</v>
      </c>
      <c r="AG2149">
        <v>-1.1625620000000001</v>
      </c>
      <c r="AH2149">
        <v>40.8172449063944</v>
      </c>
      <c r="AI2149">
        <v>91.629533720242506</v>
      </c>
      <c r="AJ2149">
        <v>87.211351948643994</v>
      </c>
      <c r="AK2149">
        <v>40.882171316470703</v>
      </c>
    </row>
    <row r="2150" spans="1:37" x14ac:dyDescent="0.2">
      <c r="A2150" t="str">
        <f>"20200111153439284"</f>
        <v>20200111153439284</v>
      </c>
      <c r="B2150" t="str">
        <f>"1578728079277869"</f>
        <v>1578728079277869</v>
      </c>
      <c r="C2150" t="s">
        <v>37</v>
      </c>
      <c r="D2150">
        <v>4.6018999999999997</v>
      </c>
      <c r="E2150">
        <v>0.56589040000000002</v>
      </c>
      <c r="F2150" t="s">
        <v>38</v>
      </c>
      <c r="G2150">
        <v>-514.42690000000005</v>
      </c>
      <c r="H2150">
        <v>-0.05</v>
      </c>
      <c r="I2150">
        <v>282.12380000000002</v>
      </c>
      <c r="J2150">
        <v>-471.8347</v>
      </c>
      <c r="K2150">
        <v>1.1127229999999999</v>
      </c>
      <c r="L2150">
        <v>284.37110000000001</v>
      </c>
      <c r="M2150">
        <v>-0.99491399999999997</v>
      </c>
      <c r="N2150">
        <v>0</v>
      </c>
      <c r="O2150">
        <v>-9.9491590000000005E-2</v>
      </c>
      <c r="P2150">
        <v>-0.97202520000000003</v>
      </c>
      <c r="Q2150">
        <v>4.6345240000000003E-2</v>
      </c>
      <c r="R2150">
        <v>-0.23025889999999999</v>
      </c>
      <c r="S2150">
        <v>-3.0479129999999999</v>
      </c>
      <c r="T2150">
        <v>-8.2796930000000005E-2</v>
      </c>
      <c r="U2150">
        <v>-0.16177369999999999</v>
      </c>
      <c r="V2150">
        <v>-0.13351589999999999</v>
      </c>
      <c r="W2150">
        <v>5.9467810000000003E-2</v>
      </c>
      <c r="X2150">
        <v>0.9892609</v>
      </c>
      <c r="Y2150">
        <v>4.657124E-2</v>
      </c>
      <c r="Z2150">
        <v>3.3274950000000002E-3</v>
      </c>
      <c r="AA2150">
        <v>0.99890939999999995</v>
      </c>
      <c r="AB2150">
        <v>33</v>
      </c>
      <c r="AC2150">
        <v>-42.592199999999998</v>
      </c>
      <c r="AD2150">
        <v>-1.162723</v>
      </c>
      <c r="AE2150">
        <v>-2.2472999999999899</v>
      </c>
      <c r="AF2150">
        <v>2.0004566108895601</v>
      </c>
      <c r="AG2150">
        <v>-1.162723</v>
      </c>
      <c r="AH2150">
        <v>42.572798745824301</v>
      </c>
      <c r="AI2150">
        <v>91.562715997032001</v>
      </c>
      <c r="AJ2150">
        <v>87.309702950608198</v>
      </c>
      <c r="AK2150">
        <v>42.635629988065602</v>
      </c>
    </row>
    <row r="2151" spans="1:37" x14ac:dyDescent="0.2">
      <c r="A2151" t="str">
        <f>"20200111153439298"</f>
        <v>20200111153439298</v>
      </c>
      <c r="B2151" t="str">
        <f>"1578728079288604"</f>
        <v>1578728079288604</v>
      </c>
      <c r="C2151" t="s">
        <v>37</v>
      </c>
      <c r="D2151">
        <v>4.5400130000000001</v>
      </c>
      <c r="E2151">
        <v>0.56661459999999997</v>
      </c>
      <c r="F2151" t="s">
        <v>38</v>
      </c>
      <c r="G2151">
        <v>-516.41639999999995</v>
      </c>
      <c r="H2151">
        <v>-0.05</v>
      </c>
      <c r="I2151">
        <v>281.86689999999999</v>
      </c>
      <c r="J2151">
        <v>-472.04410000000001</v>
      </c>
      <c r="K2151">
        <v>1.1128899999999999</v>
      </c>
      <c r="L2151">
        <v>284.34500000000003</v>
      </c>
      <c r="M2151">
        <v>-0.99430419999999997</v>
      </c>
      <c r="N2151">
        <v>0</v>
      </c>
      <c r="O2151">
        <v>-0.1054253</v>
      </c>
      <c r="P2151">
        <v>-0.97019140000000004</v>
      </c>
      <c r="Q2151">
        <v>4.7553100000000001E-2</v>
      </c>
      <c r="R2151">
        <v>-0.23762900000000001</v>
      </c>
      <c r="S2151">
        <v>-3.0495299999999999</v>
      </c>
      <c r="T2151">
        <v>-7.9533820000000005E-2</v>
      </c>
      <c r="U2151">
        <v>-0.17129520000000001</v>
      </c>
      <c r="V2151">
        <v>-0.1351744</v>
      </c>
      <c r="W2151">
        <v>6.048924E-2</v>
      </c>
      <c r="X2151">
        <v>0.98897369999999996</v>
      </c>
      <c r="Y2151">
        <v>4.9449989999999999E-2</v>
      </c>
      <c r="Z2151">
        <v>3.3856279999999999E-3</v>
      </c>
      <c r="AA2151">
        <v>0.99877090000000002</v>
      </c>
      <c r="AB2151">
        <v>33</v>
      </c>
      <c r="AC2151">
        <v>-44.372299999999903</v>
      </c>
      <c r="AD2151">
        <v>-1.16289</v>
      </c>
      <c r="AE2151">
        <v>-2.4781000000000399</v>
      </c>
      <c r="AF2151">
        <v>2.2127336303420102</v>
      </c>
      <c r="AG2151">
        <v>-1.16289</v>
      </c>
      <c r="AH2151">
        <v>44.3558783672866</v>
      </c>
      <c r="AI2151">
        <v>91.499930496266401</v>
      </c>
      <c r="AJ2151">
        <v>87.144115031777304</v>
      </c>
      <c r="AK2151">
        <v>44.426258552847699</v>
      </c>
    </row>
    <row r="2152" spans="1:37" x14ac:dyDescent="0.2">
      <c r="A2152" t="str">
        <f>"20200111153439313"</f>
        <v>20200111153439313</v>
      </c>
      <c r="B2152" t="str">
        <f>"1578728079308126"</f>
        <v>1578728079308126</v>
      </c>
      <c r="C2152" t="s">
        <v>37</v>
      </c>
      <c r="D2152">
        <v>4.5549710000000001</v>
      </c>
      <c r="E2152">
        <v>0.57248739999999998</v>
      </c>
      <c r="F2152" t="s">
        <v>38</v>
      </c>
      <c r="G2152">
        <v>-519.01409999999998</v>
      </c>
      <c r="H2152">
        <v>-0.05</v>
      </c>
      <c r="I2152">
        <v>281.43979999999999</v>
      </c>
      <c r="J2152">
        <v>-472.24340000000001</v>
      </c>
      <c r="K2152">
        <v>1.1130500000000001</v>
      </c>
      <c r="L2152">
        <v>284.31849999999997</v>
      </c>
      <c r="M2152">
        <v>-0.99367340000000004</v>
      </c>
      <c r="N2152">
        <v>0</v>
      </c>
      <c r="O2152">
        <v>-0.11122559999999999</v>
      </c>
      <c r="P2152">
        <v>-0.968288699999999</v>
      </c>
      <c r="Q2152">
        <v>4.8478849999999997E-2</v>
      </c>
      <c r="R2152">
        <v>-0.24508569999999999</v>
      </c>
      <c r="S2152">
        <v>-3.049652</v>
      </c>
      <c r="T2152">
        <v>-7.5503829999999994E-2</v>
      </c>
      <c r="U2152">
        <v>-0.1886292</v>
      </c>
      <c r="V2152">
        <v>-0.13705789999999901</v>
      </c>
      <c r="W2152">
        <v>6.1243640000000002E-2</v>
      </c>
      <c r="X2152">
        <v>0.98866799999999999</v>
      </c>
      <c r="Y2152">
        <v>4.9626419999999997E-2</v>
      </c>
      <c r="Z2152">
        <v>3.3580350000000001E-3</v>
      </c>
      <c r="AA2152">
        <v>0.99876219999999905</v>
      </c>
      <c r="AB2152">
        <v>33</v>
      </c>
      <c r="AC2152">
        <v>-46.770699999999898</v>
      </c>
      <c r="AD2152">
        <v>-1.1630499999999999</v>
      </c>
      <c r="AE2152">
        <v>-2.8786999999999798</v>
      </c>
      <c r="AF2152">
        <v>2.3404531805708699</v>
      </c>
      <c r="AG2152">
        <v>-1.1630499999999999</v>
      </c>
      <c r="AH2152">
        <v>46.771836593680199</v>
      </c>
      <c r="AI2152">
        <v>91.422670331380203</v>
      </c>
      <c r="AJ2152">
        <v>87.135320298636401</v>
      </c>
      <c r="AK2152">
        <v>46.844798054200901</v>
      </c>
    </row>
    <row r="2153" spans="1:37" x14ac:dyDescent="0.2">
      <c r="A2153" t="str">
        <f>"20200111153439325"</f>
        <v>20200111153439325</v>
      </c>
      <c r="B2153" t="str">
        <f>"1578728079317885"</f>
        <v>1578728079317885</v>
      </c>
      <c r="C2153" t="s">
        <v>37</v>
      </c>
      <c r="D2153">
        <v>4.5817449999999997</v>
      </c>
      <c r="E2153">
        <v>0.5730423</v>
      </c>
      <c r="F2153" t="s">
        <v>38</v>
      </c>
      <c r="G2153">
        <v>-520.53599999999994</v>
      </c>
      <c r="H2153">
        <v>-0.05</v>
      </c>
      <c r="I2153">
        <v>281.6925</v>
      </c>
      <c r="J2153">
        <v>-472.43889999999999</v>
      </c>
      <c r="K2153">
        <v>1.113219</v>
      </c>
      <c r="L2153">
        <v>284.29140000000001</v>
      </c>
      <c r="M2153">
        <v>-0.99301170000000005</v>
      </c>
      <c r="N2153">
        <v>0</v>
      </c>
      <c r="O2153">
        <v>-0.11699619999999999</v>
      </c>
      <c r="P2153">
        <v>-0.96527929999999995</v>
      </c>
      <c r="Q2153">
        <v>5.1204329999999999E-2</v>
      </c>
      <c r="R2153">
        <v>-0.25615270000000001</v>
      </c>
      <c r="S2153">
        <v>-3.0598139999999998</v>
      </c>
      <c r="T2153">
        <v>-7.3690770000000003E-2</v>
      </c>
      <c r="U2153">
        <v>-0.1663818</v>
      </c>
      <c r="V2153">
        <v>-0.14272460000000001</v>
      </c>
      <c r="W2153">
        <v>6.3719769999999995E-2</v>
      </c>
      <c r="X2153">
        <v>0.98770919999999895</v>
      </c>
      <c r="Y2153">
        <v>6.2862580000000001E-2</v>
      </c>
      <c r="Z2153">
        <v>3.5647370000000001E-3</v>
      </c>
      <c r="AA2153">
        <v>0.99801580000000001</v>
      </c>
      <c r="AB2153">
        <v>33</v>
      </c>
      <c r="AC2153">
        <v>-48.097099999999898</v>
      </c>
      <c r="AD2153">
        <v>-1.163219</v>
      </c>
      <c r="AE2153">
        <v>-2.5989000000000102</v>
      </c>
      <c r="AF2153">
        <v>3.0450290664008199</v>
      </c>
      <c r="AG2153">
        <v>-1.163219</v>
      </c>
      <c r="AH2153">
        <v>48.042786307994</v>
      </c>
      <c r="AI2153">
        <v>91.384206377861105</v>
      </c>
      <c r="AJ2153">
        <v>86.373352507544396</v>
      </c>
      <c r="AK2153">
        <v>48.153240770406697</v>
      </c>
    </row>
    <row r="2154" spans="1:37" x14ac:dyDescent="0.2">
      <c r="A2154" t="str">
        <f>"20200111153439340"</f>
        <v>20200111153439340</v>
      </c>
      <c r="B2154" t="str">
        <f>"1578728079328621"</f>
        <v>1578728079328621</v>
      </c>
      <c r="C2154" t="s">
        <v>37</v>
      </c>
      <c r="D2154">
        <v>4.6498499999999998</v>
      </c>
      <c r="E2154">
        <v>0.5730423</v>
      </c>
      <c r="F2154" t="s">
        <v>38</v>
      </c>
      <c r="G2154">
        <v>-527.11400000000003</v>
      </c>
      <c r="H2154">
        <v>-0.05</v>
      </c>
      <c r="I2154">
        <v>280.77890000000002</v>
      </c>
      <c r="J2154">
        <v>-472.64830000000001</v>
      </c>
      <c r="K2154">
        <v>1.113386</v>
      </c>
      <c r="L2154">
        <v>284.26130000000001</v>
      </c>
      <c r="M2154">
        <v>-0.99225339999999995</v>
      </c>
      <c r="N2154">
        <v>0</v>
      </c>
      <c r="O2154">
        <v>-0.123270399999999</v>
      </c>
      <c r="P2154">
        <v>-0.96272190000000002</v>
      </c>
      <c r="Q2154">
        <v>5.241693E-2</v>
      </c>
      <c r="R2154">
        <v>-0.26536679999999901</v>
      </c>
      <c r="S2154">
        <v>-3.0591740000000001</v>
      </c>
      <c r="T2154">
        <v>-6.5084219999999998E-2</v>
      </c>
      <c r="U2154">
        <v>-0.19653319999999999</v>
      </c>
      <c r="V2154">
        <v>-0.14598</v>
      </c>
      <c r="W2154">
        <v>6.4730960000000004E-2</v>
      </c>
      <c r="X2154">
        <v>0.98716749999999998</v>
      </c>
      <c r="Y2154">
        <v>5.9367839999999998E-2</v>
      </c>
      <c r="Z2154">
        <v>3.2431109999999999E-3</v>
      </c>
      <c r="AA2154">
        <v>0.99823090000000003</v>
      </c>
      <c r="AB2154">
        <v>33</v>
      </c>
      <c r="AC2154">
        <v>-54.465699999999998</v>
      </c>
      <c r="AD2154">
        <v>-1.163386</v>
      </c>
      <c r="AE2154">
        <v>-3.4823999999999802</v>
      </c>
      <c r="AF2154">
        <v>3.2574923967090901</v>
      </c>
      <c r="AG2154">
        <v>-1.163386</v>
      </c>
      <c r="AH2154">
        <v>54.454781603251497</v>
      </c>
      <c r="AI2154">
        <v>91.221712325012504</v>
      </c>
      <c r="AJ2154">
        <v>86.576638276221303</v>
      </c>
      <c r="AK2154">
        <v>54.564530266075103</v>
      </c>
    </row>
    <row r="2155" spans="1:37" x14ac:dyDescent="0.2">
      <c r="A2155" t="str">
        <f>"20200111153439353"</f>
        <v>20200111153439353</v>
      </c>
      <c r="B2155" t="str">
        <f>"1578728079348141"</f>
        <v>1578728079348141</v>
      </c>
      <c r="C2155" t="s">
        <v>37</v>
      </c>
      <c r="D2155">
        <v>4.6177039999999998</v>
      </c>
      <c r="E2155">
        <v>0.54707620000000001</v>
      </c>
      <c r="F2155" t="s">
        <v>38</v>
      </c>
      <c r="G2155">
        <v>-531.64890000000003</v>
      </c>
      <c r="H2155">
        <v>-0.05</v>
      </c>
      <c r="I2155">
        <v>279.91090000000003</v>
      </c>
      <c r="J2155">
        <v>-472.85090000000002</v>
      </c>
      <c r="K2155">
        <v>1.1135440000000001</v>
      </c>
      <c r="L2155">
        <v>284.23039999999997</v>
      </c>
      <c r="M2155">
        <v>-0.99146369999999895</v>
      </c>
      <c r="N2155">
        <v>0</v>
      </c>
      <c r="O2155">
        <v>-0.12947690000000001</v>
      </c>
      <c r="P2155">
        <v>-0.960004999999999</v>
      </c>
      <c r="Q2155">
        <v>5.3913059999999999E-2</v>
      </c>
      <c r="R2155">
        <v>-0.27474330000000002</v>
      </c>
      <c r="S2155">
        <v>-3.057312</v>
      </c>
      <c r="T2155">
        <v>-6.0284730000000002E-2</v>
      </c>
      <c r="U2155">
        <v>-0.2254333</v>
      </c>
      <c r="V2155">
        <v>-0.1494972</v>
      </c>
      <c r="W2155">
        <v>6.6032789999999994E-2</v>
      </c>
      <c r="X2155">
        <v>0.98655469999999901</v>
      </c>
      <c r="Y2155">
        <v>5.6188809999999999E-2</v>
      </c>
      <c r="Z2155">
        <v>3.0943909999999902E-3</v>
      </c>
      <c r="AA2155">
        <v>0.99841539999999995</v>
      </c>
      <c r="AB2155">
        <v>33</v>
      </c>
      <c r="AC2155">
        <v>-58.798000000000002</v>
      </c>
      <c r="AD2155">
        <v>-1.1635439999999999</v>
      </c>
      <c r="AE2155">
        <v>-4.3194999999999402</v>
      </c>
      <c r="AF2155">
        <v>3.3294506649439501</v>
      </c>
      <c r="AG2155">
        <v>-1.1635439999999999</v>
      </c>
      <c r="AH2155">
        <v>58.839370784859298</v>
      </c>
      <c r="AI2155">
        <v>91.131063085806602</v>
      </c>
      <c r="AJ2155">
        <v>86.761347777485994</v>
      </c>
      <c r="AK2155">
        <v>58.944979690626603</v>
      </c>
    </row>
    <row r="2156" spans="1:37" x14ac:dyDescent="0.2">
      <c r="A2156" t="str">
        <f>"20200111153439370"</f>
        <v>20200111153439370</v>
      </c>
      <c r="B2156" t="str">
        <f>"1578728079357901"</f>
        <v>1578728079357901</v>
      </c>
      <c r="C2156" t="s">
        <v>37</v>
      </c>
      <c r="D2156">
        <v>4.4785329999999997</v>
      </c>
      <c r="E2156">
        <v>0.48959380000000002</v>
      </c>
      <c r="F2156" t="s">
        <v>50</v>
      </c>
      <c r="G2156">
        <v>-502.13819999999998</v>
      </c>
      <c r="H2156">
        <v>7.9980969999999998E-2</v>
      </c>
      <c r="I2156">
        <v>279.81799999999998</v>
      </c>
      <c r="J2156">
        <v>-473.08510000000001</v>
      </c>
      <c r="K2156">
        <v>1.113723</v>
      </c>
      <c r="L2156">
        <v>284.19299999999998</v>
      </c>
      <c r="M2156">
        <v>-0.99048530000000001</v>
      </c>
      <c r="N2156">
        <v>0</v>
      </c>
      <c r="O2156">
        <v>-0.13676569999999999</v>
      </c>
      <c r="P2156">
        <v>-0.95555849999999898</v>
      </c>
      <c r="Q2156">
        <v>5.6326979999999999E-2</v>
      </c>
      <c r="R2156">
        <v>-0.28937099999999999</v>
      </c>
      <c r="S2156">
        <v>-3.0015259999999899</v>
      </c>
      <c r="T2156">
        <v>-0.105925299999999</v>
      </c>
      <c r="U2156">
        <v>-0.45220949999999999</v>
      </c>
      <c r="V2156">
        <v>-0.15740219999999999</v>
      </c>
      <c r="W2156">
        <v>6.8138989999999997E-2</v>
      </c>
      <c r="X2156">
        <v>0.98518099999999997</v>
      </c>
      <c r="Y2156">
        <v>-1.2397989999999999E-2</v>
      </c>
      <c r="Z2156">
        <v>4.5575119999999997E-3</v>
      </c>
      <c r="AA2156">
        <v>0.99991269999999999</v>
      </c>
      <c r="AB2156">
        <v>33</v>
      </c>
      <c r="AC2156">
        <v>-29.053099999999901</v>
      </c>
      <c r="AD2156">
        <v>-1.03374203</v>
      </c>
      <c r="AE2156">
        <v>-4.375</v>
      </c>
      <c r="AF2156">
        <v>-0.35950270321932998</v>
      </c>
      <c r="AG2156">
        <v>-1.03374203</v>
      </c>
      <c r="AH2156">
        <v>29.3421321548626</v>
      </c>
      <c r="AI2156">
        <v>92.017581026848703</v>
      </c>
      <c r="AJ2156">
        <v>90.701958430305297</v>
      </c>
      <c r="AK2156">
        <v>29.362537086764601</v>
      </c>
    </row>
    <row r="2157" spans="1:37" x14ac:dyDescent="0.2">
      <c r="A2157" t="str">
        <f>"20200111153439385"</f>
        <v>20200111153439385</v>
      </c>
      <c r="B2157" t="str">
        <f>"1578728079378397"</f>
        <v>1578728079378397</v>
      </c>
      <c r="C2157" t="s">
        <v>37</v>
      </c>
      <c r="D2157">
        <v>4.3437979999999996</v>
      </c>
      <c r="E2157">
        <v>0.47598400000000002</v>
      </c>
      <c r="F2157" t="s">
        <v>38</v>
      </c>
      <c r="G2157">
        <v>-510.35079999999999</v>
      </c>
      <c r="H2157">
        <v>-0.05</v>
      </c>
      <c r="I2157">
        <v>271.9871</v>
      </c>
      <c r="J2157">
        <v>-473.29719999999998</v>
      </c>
      <c r="K2157">
        <v>1.113872</v>
      </c>
      <c r="L2157">
        <v>284.15769999999998</v>
      </c>
      <c r="M2157">
        <v>-0.98953679999999999</v>
      </c>
      <c r="N2157">
        <v>0</v>
      </c>
      <c r="O2157">
        <v>-0.1434734</v>
      </c>
      <c r="P2157">
        <v>-0.95233760000000001</v>
      </c>
      <c r="Q2157">
        <v>5.7535120000000002E-2</v>
      </c>
      <c r="R2157">
        <v>-0.29957109999999998</v>
      </c>
      <c r="S2157">
        <v>-2.8609619999999998</v>
      </c>
      <c r="T2157">
        <v>-8.9341160000000003E-2</v>
      </c>
      <c r="U2157">
        <v>-0.93707280000000004</v>
      </c>
      <c r="V2157">
        <v>-0.16132270000000001</v>
      </c>
      <c r="W2157">
        <v>6.9147500000000001E-2</v>
      </c>
      <c r="X2157">
        <v>0.98447629999999997</v>
      </c>
      <c r="Y2157">
        <v>-0.17167099999999999</v>
      </c>
      <c r="Z2157">
        <v>1.718104E-3</v>
      </c>
      <c r="AA2157">
        <v>0.98515280000000005</v>
      </c>
      <c r="AB2157">
        <v>33</v>
      </c>
      <c r="AC2157">
        <v>-37.053600000000003</v>
      </c>
      <c r="AD2157">
        <v>-1.163872</v>
      </c>
      <c r="AE2157">
        <v>-12.170599999999901</v>
      </c>
      <c r="AF2157">
        <v>-6.7218460128036703</v>
      </c>
      <c r="AG2157">
        <v>-1.163872</v>
      </c>
      <c r="AH2157">
        <v>38.382339456123397</v>
      </c>
      <c r="AI2157">
        <v>91.710832481694496</v>
      </c>
      <c r="AJ2157">
        <v>99.933395566412997</v>
      </c>
      <c r="AK2157">
        <v>38.983865816223499</v>
      </c>
    </row>
    <row r="2158" spans="1:37" x14ac:dyDescent="0.2">
      <c r="A2158" t="str">
        <f>"20200111153439404"</f>
        <v>20200111153439404</v>
      </c>
      <c r="B2158" t="str">
        <f>"1578728079397919"</f>
        <v>1578728079397919</v>
      </c>
      <c r="C2158" t="s">
        <v>37</v>
      </c>
      <c r="D2158">
        <v>4.3903089999999896</v>
      </c>
      <c r="E2158">
        <v>0.39064789999999999</v>
      </c>
      <c r="F2158" t="s">
        <v>50</v>
      </c>
      <c r="G2158">
        <v>-499.98719999999997</v>
      </c>
      <c r="H2158">
        <v>7.9431879999999996E-2</v>
      </c>
      <c r="I2158">
        <v>274.03309999999999</v>
      </c>
      <c r="J2158">
        <v>-473.57150000000001</v>
      </c>
      <c r="K2158">
        <v>1.114074</v>
      </c>
      <c r="L2158">
        <v>284.10950000000003</v>
      </c>
      <c r="M2158">
        <v>-0.98821530000000002</v>
      </c>
      <c r="N2158">
        <v>0</v>
      </c>
      <c r="O2158">
        <v>-0.1523157</v>
      </c>
      <c r="P2158">
        <v>-0.94640049999999898</v>
      </c>
      <c r="Q2158">
        <v>5.970309E-2</v>
      </c>
      <c r="R2158">
        <v>-0.31743059999999901</v>
      </c>
      <c r="S2158">
        <v>-2.8202210000000001</v>
      </c>
      <c r="T2158">
        <v>-0.1093049</v>
      </c>
      <c r="U2158">
        <v>-1.0698239999999899</v>
      </c>
      <c r="V2158">
        <v>-0.17113449999999999</v>
      </c>
      <c r="W2158">
        <v>7.0948849999999994E-2</v>
      </c>
      <c r="X2158">
        <v>0.98268979999999995</v>
      </c>
      <c r="Y2158">
        <v>-0.20807310000000001</v>
      </c>
      <c r="Z2158">
        <v>1.7523629999999901E-3</v>
      </c>
      <c r="AA2158">
        <v>0.97811170000000003</v>
      </c>
      <c r="AB2158">
        <v>33</v>
      </c>
      <c r="AC2158">
        <v>-26.415699999999902</v>
      </c>
      <c r="AD2158">
        <v>-1.03464212</v>
      </c>
      <c r="AE2158">
        <v>-10.0764</v>
      </c>
      <c r="AF2158">
        <v>-5.9268731879159304</v>
      </c>
      <c r="AG2158">
        <v>-1.03464212</v>
      </c>
      <c r="AH2158">
        <v>27.605407844591799</v>
      </c>
      <c r="AI2158">
        <v>92.098643032431397</v>
      </c>
      <c r="AJ2158">
        <v>102.11743424106101</v>
      </c>
      <c r="AK2158">
        <v>28.253439655524499</v>
      </c>
    </row>
    <row r="2159" spans="1:37" x14ac:dyDescent="0.2">
      <c r="A2159" t="str">
        <f>"20200111153439418"</f>
        <v>20200111153439418</v>
      </c>
      <c r="B2159" t="str">
        <f>"1578728079408652"</f>
        <v>1578728079408652</v>
      </c>
      <c r="C2159" t="s">
        <v>37</v>
      </c>
      <c r="D2159">
        <v>4.2764569999999997</v>
      </c>
      <c r="E2159">
        <v>0.38525879999999901</v>
      </c>
      <c r="F2159" t="s">
        <v>40</v>
      </c>
      <c r="G2159">
        <v>-474.42689999999999</v>
      </c>
      <c r="H2159">
        <v>1.0793379999999999</v>
      </c>
      <c r="I2159">
        <v>283.52440000000001</v>
      </c>
      <c r="J2159">
        <v>-473.78100000000001</v>
      </c>
      <c r="K2159">
        <v>1.1142160000000001</v>
      </c>
      <c r="L2159">
        <v>284.07130000000001</v>
      </c>
      <c r="M2159">
        <v>-0.98713419999999896</v>
      </c>
      <c r="N2159">
        <v>0</v>
      </c>
      <c r="O2159">
        <v>-0.159173799999999</v>
      </c>
      <c r="P2159">
        <v>-0.94240290000000004</v>
      </c>
      <c r="Q2159">
        <v>6.050345E-2</v>
      </c>
      <c r="R2159">
        <v>-0.32896259999999999</v>
      </c>
      <c r="S2159">
        <v>-2.583405</v>
      </c>
      <c r="T2159">
        <v>-0.10487589999999999</v>
      </c>
      <c r="U2159">
        <v>-1.76821899999999</v>
      </c>
      <c r="V2159">
        <v>-0.1763612</v>
      </c>
      <c r="W2159">
        <v>7.15258E-2</v>
      </c>
      <c r="X2159">
        <v>0.98172340000000002</v>
      </c>
      <c r="Y2159">
        <v>-0.42610340000000002</v>
      </c>
      <c r="Z2159">
        <v>-2.0654269999999999E-3</v>
      </c>
      <c r="AA2159">
        <v>0.90467209999999998</v>
      </c>
      <c r="AB2159">
        <v>33</v>
      </c>
      <c r="AC2159">
        <v>-0.64589999999998304</v>
      </c>
      <c r="AD2159">
        <v>-3.4878000000000103E-2</v>
      </c>
      <c r="AE2159">
        <v>-0.54689999999999295</v>
      </c>
      <c r="AF2159">
        <v>-0.43636247880783002</v>
      </c>
      <c r="AG2159">
        <v>-3.4878000000000103E-2</v>
      </c>
      <c r="AH2159">
        <v>0.72349667667697504</v>
      </c>
      <c r="AI2159">
        <v>92.363857421578004</v>
      </c>
      <c r="AJ2159">
        <v>121.0954348441</v>
      </c>
      <c r="AK2159">
        <v>0.84562174106271804</v>
      </c>
    </row>
    <row r="2160" spans="1:37" x14ac:dyDescent="0.2">
      <c r="A2160" t="str">
        <f>"20200111153439432"</f>
        <v>20200111153439432</v>
      </c>
      <c r="B2160" t="str">
        <f>"1578728079428173"</f>
        <v>1578728079428173</v>
      </c>
      <c r="C2160" t="s">
        <v>37</v>
      </c>
      <c r="D2160">
        <v>4.1643910000000002</v>
      </c>
      <c r="E2160">
        <v>0.3771757</v>
      </c>
      <c r="F2160" t="s">
        <v>39</v>
      </c>
      <c r="G2160">
        <v>-500.16090000000003</v>
      </c>
      <c r="H2160">
        <v>7.9986710000000003E-2</v>
      </c>
      <c r="I2160">
        <v>265.01440000000002</v>
      </c>
      <c r="J2160">
        <v>-473.96980000000002</v>
      </c>
      <c r="K2160">
        <v>1.114336</v>
      </c>
      <c r="L2160">
        <v>284.03480000000002</v>
      </c>
      <c r="M2160">
        <v>-0.98609720000000001</v>
      </c>
      <c r="N2160">
        <v>0</v>
      </c>
      <c r="O2160">
        <v>-0.16548009999999999</v>
      </c>
      <c r="P2160">
        <v>-0.93837169999999903</v>
      </c>
      <c r="Q2160">
        <v>6.1548489999999997E-2</v>
      </c>
      <c r="R2160">
        <v>-0.34010419999999902</v>
      </c>
      <c r="S2160">
        <v>-2.5473939999999899</v>
      </c>
      <c r="T2160">
        <v>-9.9871039999999994E-2</v>
      </c>
      <c r="U2160">
        <v>-1.8402400000000001</v>
      </c>
      <c r="V2160">
        <v>-0.18177309999999999</v>
      </c>
      <c r="W2160">
        <v>7.2358560000000002E-2</v>
      </c>
      <c r="X2160">
        <v>0.98067469999999901</v>
      </c>
      <c r="Y2160">
        <v>-0.44321859999999902</v>
      </c>
      <c r="Z2160">
        <v>-2.0649900000000001E-3</v>
      </c>
      <c r="AA2160">
        <v>0.89641119999999996</v>
      </c>
      <c r="AB2160">
        <v>33</v>
      </c>
      <c r="AC2160">
        <v>-26.191099999999999</v>
      </c>
      <c r="AD2160">
        <v>-1.03434929</v>
      </c>
      <c r="AE2160">
        <v>-19.020399999999899</v>
      </c>
      <c r="AF2160">
        <v>-14.408793271757601</v>
      </c>
      <c r="AG2160">
        <v>-1.03434929</v>
      </c>
      <c r="AH2160">
        <v>28.9482214977476</v>
      </c>
      <c r="AI2160">
        <v>91.832130219498893</v>
      </c>
      <c r="AJ2160">
        <v>116.461534145991</v>
      </c>
      <c r="AK2160">
        <v>32.3524764103867</v>
      </c>
    </row>
    <row r="2161" spans="1:37" x14ac:dyDescent="0.2">
      <c r="A2161" t="str">
        <f>"20200111153439449"</f>
        <v>20200111153439449</v>
      </c>
      <c r="B2161" t="str">
        <f>"1578728079437933"</f>
        <v>1578728079437933</v>
      </c>
      <c r="C2161" t="s">
        <v>37</v>
      </c>
      <c r="D2161">
        <v>4.2744309999999999</v>
      </c>
      <c r="E2161">
        <v>0.37500800000000001</v>
      </c>
      <c r="F2161" t="s">
        <v>40</v>
      </c>
      <c r="G2161">
        <v>-474.70800000000003</v>
      </c>
      <c r="H2161">
        <v>1.072314</v>
      </c>
      <c r="I2161">
        <v>283.46699999999998</v>
      </c>
      <c r="J2161">
        <v>-474.21190000000001</v>
      </c>
      <c r="K2161">
        <v>1.114492</v>
      </c>
      <c r="L2161">
        <v>283.98649999999998</v>
      </c>
      <c r="M2161">
        <v>-0.98468889999999998</v>
      </c>
      <c r="N2161">
        <v>0</v>
      </c>
      <c r="O2161">
        <v>-0.17366589999999901</v>
      </c>
      <c r="P2161">
        <v>-0.93145319999999898</v>
      </c>
      <c r="Q2161">
        <v>6.2177259999999998E-2</v>
      </c>
      <c r="R2161">
        <v>-0.35850979999999999</v>
      </c>
      <c r="S2161">
        <v>-2.507355</v>
      </c>
      <c r="T2161">
        <v>-0.1427213</v>
      </c>
      <c r="U2161">
        <v>-1.9288019999999999</v>
      </c>
      <c r="V2161">
        <v>-0.1929766</v>
      </c>
      <c r="W2161">
        <v>7.2604920000000003E-2</v>
      </c>
      <c r="X2161">
        <v>0.97851339999999998</v>
      </c>
      <c r="Y2161">
        <v>-0.46250550000000001</v>
      </c>
      <c r="Z2161">
        <v>-3.0547619999999999E-3</v>
      </c>
      <c r="AA2161">
        <v>0.88661109999999899</v>
      </c>
      <c r="AB2161">
        <v>33</v>
      </c>
      <c r="AC2161">
        <v>-0.49610000000001198</v>
      </c>
      <c r="AD2161">
        <v>-4.2178E-2</v>
      </c>
      <c r="AE2161">
        <v>-0.51949999999999297</v>
      </c>
      <c r="AF2161">
        <v>-0.42397698341208201</v>
      </c>
      <c r="AG2161">
        <v>-4.2178E-2</v>
      </c>
      <c r="AH2161">
        <v>0.576800941409914</v>
      </c>
      <c r="AI2161">
        <v>93.371930464125697</v>
      </c>
      <c r="AJ2161">
        <v>126.317710983068</v>
      </c>
      <c r="AK2161">
        <v>0.71710166096486705</v>
      </c>
    </row>
    <row r="2162" spans="1:37" x14ac:dyDescent="0.2">
      <c r="A2162" t="str">
        <f>"20200111153439463"</f>
        <v>20200111153439463</v>
      </c>
      <c r="B2162" t="str">
        <f>"1578728079458429"</f>
        <v>1578728079458429</v>
      </c>
      <c r="C2162" t="s">
        <v>37</v>
      </c>
      <c r="D2162">
        <v>4.3251339999999896</v>
      </c>
      <c r="E2162">
        <v>0.36840339999999999</v>
      </c>
      <c r="F2162" t="s">
        <v>40</v>
      </c>
      <c r="G2162">
        <v>-474.9742</v>
      </c>
      <c r="H2162">
        <v>1.0657449999999999</v>
      </c>
      <c r="I2162">
        <v>283.37040000000002</v>
      </c>
      <c r="J2162">
        <v>-474.40629999999999</v>
      </c>
      <c r="K2162">
        <v>1.114614</v>
      </c>
      <c r="L2162">
        <v>283.94630000000001</v>
      </c>
      <c r="M2162">
        <v>-0.98349169999999997</v>
      </c>
      <c r="N2162">
        <v>0</v>
      </c>
      <c r="O2162">
        <v>-0.18032409999999999</v>
      </c>
      <c r="P2162">
        <v>-0.92687109999999995</v>
      </c>
      <c r="Q2162">
        <v>6.2375890000000003E-2</v>
      </c>
      <c r="R2162">
        <v>-0.37016109999999902</v>
      </c>
      <c r="S2162">
        <v>-2.464569</v>
      </c>
      <c r="T2162">
        <v>-0.1575811</v>
      </c>
      <c r="U2162">
        <v>-1.9920040000000001</v>
      </c>
      <c r="V2162">
        <v>-0.19865579999999999</v>
      </c>
      <c r="W2162">
        <v>7.2579229999999995E-2</v>
      </c>
      <c r="X2162">
        <v>0.97737819999999997</v>
      </c>
      <c r="Y2162">
        <v>-0.477680199999999</v>
      </c>
      <c r="Z2162">
        <v>-3.4675229999999902E-3</v>
      </c>
      <c r="AA2162">
        <v>0.87852699999999995</v>
      </c>
      <c r="AB2162">
        <v>33</v>
      </c>
      <c r="AC2162">
        <v>-0.56790000000000795</v>
      </c>
      <c r="AD2162">
        <v>-4.8868999999999801E-2</v>
      </c>
      <c r="AE2162">
        <v>-0.57589999999998998</v>
      </c>
      <c r="AF2162">
        <v>-0.46235164902829001</v>
      </c>
      <c r="AG2162">
        <v>-4.8868999999999801E-2</v>
      </c>
      <c r="AH2162">
        <v>0.66003927392172101</v>
      </c>
      <c r="AI2162">
        <v>93.470255456178705</v>
      </c>
      <c r="AJ2162">
        <v>125.010901075527</v>
      </c>
      <c r="AK2162">
        <v>0.80734693263756996</v>
      </c>
    </row>
    <row r="2163" spans="1:37" x14ac:dyDescent="0.2">
      <c r="A2163" t="str">
        <f>"20200111153439475"</f>
        <v>20200111153439475</v>
      </c>
      <c r="B2163" t="str">
        <f>"1578728079468189"</f>
        <v>1578728079468189</v>
      </c>
      <c r="C2163" t="s">
        <v>37</v>
      </c>
      <c r="D2163">
        <v>4.2227509999999997</v>
      </c>
      <c r="E2163">
        <v>0.36598350000000002</v>
      </c>
      <c r="F2163" t="s">
        <v>40</v>
      </c>
      <c r="G2163">
        <v>-475.22710000000001</v>
      </c>
      <c r="H2163">
        <v>1.06158</v>
      </c>
      <c r="I2163">
        <v>283.24360000000001</v>
      </c>
      <c r="J2163">
        <v>-474.59399999999999</v>
      </c>
      <c r="K2163">
        <v>1.11473</v>
      </c>
      <c r="L2163">
        <v>283.90589999999997</v>
      </c>
      <c r="M2163">
        <v>-0.98227379999999997</v>
      </c>
      <c r="N2163">
        <v>0</v>
      </c>
      <c r="O2163">
        <v>-0.18684500000000001</v>
      </c>
      <c r="P2163">
        <v>-0.92219110000000004</v>
      </c>
      <c r="Q2163">
        <v>6.2506939999999997E-2</v>
      </c>
      <c r="R2163">
        <v>-0.38164949999999997</v>
      </c>
      <c r="S2163">
        <v>-2.4200740000000001</v>
      </c>
      <c r="T2163">
        <v>-0.15636800000000001</v>
      </c>
      <c r="U2163">
        <v>-2.071167</v>
      </c>
      <c r="V2163">
        <v>-0.20434240000000001</v>
      </c>
      <c r="W2163">
        <v>7.2490299999999994E-2</v>
      </c>
      <c r="X2163">
        <v>0.97621170000000002</v>
      </c>
      <c r="Y2163">
        <v>-0.49642920000000001</v>
      </c>
      <c r="Z2163">
        <v>-3.6403550000000001E-3</v>
      </c>
      <c r="AA2163">
        <v>0.8680696</v>
      </c>
      <c r="AB2163">
        <v>33</v>
      </c>
      <c r="AC2163">
        <v>-0.63310000000001299</v>
      </c>
      <c r="AD2163">
        <v>-5.3150000000000003E-2</v>
      </c>
      <c r="AE2163">
        <v>-0.66229999999995903</v>
      </c>
      <c r="AF2163">
        <v>-0.53054345147741</v>
      </c>
      <c r="AG2163">
        <v>-5.3150000000000003E-2</v>
      </c>
      <c r="AH2163">
        <v>0.74320864686524402</v>
      </c>
      <c r="AI2163">
        <v>93.3311638846764</v>
      </c>
      <c r="AJ2163">
        <v>125.521345954637</v>
      </c>
      <c r="AK2163">
        <v>0.91469140653054604</v>
      </c>
    </row>
    <row r="2164" spans="1:37" x14ac:dyDescent="0.2">
      <c r="A2164" t="str">
        <f>"20200111153439489"</f>
        <v>20200111153439489</v>
      </c>
      <c r="B2164" t="str">
        <f>"1578728079477948"</f>
        <v>1578728079477948</v>
      </c>
      <c r="C2164" t="s">
        <v>37</v>
      </c>
      <c r="D2164">
        <v>4.2378239999999998</v>
      </c>
      <c r="E2164">
        <v>0.365037099999999</v>
      </c>
      <c r="F2164" t="s">
        <v>40</v>
      </c>
      <c r="G2164">
        <v>-475.25810000000001</v>
      </c>
      <c r="H2164">
        <v>1.0697680000000001</v>
      </c>
      <c r="I2164">
        <v>283.31670000000003</v>
      </c>
      <c r="J2164">
        <v>-474.78800000000001</v>
      </c>
      <c r="K2164">
        <v>1.1148450000000001</v>
      </c>
      <c r="L2164">
        <v>283.86259999999999</v>
      </c>
      <c r="M2164">
        <v>-0.98095010000000005</v>
      </c>
      <c r="N2164">
        <v>0</v>
      </c>
      <c r="O2164">
        <v>-0.1936755</v>
      </c>
      <c r="P2164">
        <v>-0.91729950000000005</v>
      </c>
      <c r="Q2164">
        <v>6.2435879999999999E-2</v>
      </c>
      <c r="R2164">
        <v>-0.39327240000000002</v>
      </c>
      <c r="S2164">
        <v>-2.387543</v>
      </c>
      <c r="T2164">
        <v>-0.16167229999999999</v>
      </c>
      <c r="U2164">
        <v>-2.118134</v>
      </c>
      <c r="V2164">
        <v>-0.20990419999999901</v>
      </c>
      <c r="W2164">
        <v>7.2203059999999999E-2</v>
      </c>
      <c r="X2164">
        <v>0.97505229999999998</v>
      </c>
      <c r="Y2164">
        <v>-0.50579049999999903</v>
      </c>
      <c r="Z2164">
        <v>-3.6806429999999999E-3</v>
      </c>
      <c r="AA2164">
        <v>0.86264850000000004</v>
      </c>
      <c r="AB2164">
        <v>33</v>
      </c>
      <c r="AC2164">
        <v>-0.47010000000000202</v>
      </c>
      <c r="AD2164">
        <v>-4.5076999999999999E-2</v>
      </c>
      <c r="AE2164">
        <v>-0.54589999999995997</v>
      </c>
      <c r="AF2164">
        <v>-0.44277070686581499</v>
      </c>
      <c r="AG2164">
        <v>-4.5076999999999999E-2</v>
      </c>
      <c r="AH2164">
        <v>0.56472541199833204</v>
      </c>
      <c r="AI2164">
        <v>93.594349951690901</v>
      </c>
      <c r="AJ2164">
        <v>128.09807875338899</v>
      </c>
      <c r="AK2164">
        <v>0.71902199253161903</v>
      </c>
    </row>
    <row r="2165" spans="1:37" x14ac:dyDescent="0.2">
      <c r="A2165" t="str">
        <f>"20200111153439505"</f>
        <v>20200111153439505</v>
      </c>
      <c r="B2165" t="str">
        <f>"1578728079498444"</f>
        <v>1578728079498444</v>
      </c>
      <c r="C2165" t="s">
        <v>37</v>
      </c>
      <c r="D2165">
        <v>4.2908759999999999</v>
      </c>
      <c r="E2165">
        <v>0.36495859999999902</v>
      </c>
      <c r="F2165" t="s">
        <v>40</v>
      </c>
      <c r="G2165">
        <v>-475.5145</v>
      </c>
      <c r="H2165">
        <v>1.06332</v>
      </c>
      <c r="I2165">
        <v>283.19920000000002</v>
      </c>
      <c r="J2165">
        <v>-475.00720000000001</v>
      </c>
      <c r="K2165">
        <v>1.114973</v>
      </c>
      <c r="L2165">
        <v>283.81209999999999</v>
      </c>
      <c r="M2165">
        <v>-0.97937669999999999</v>
      </c>
      <c r="N2165">
        <v>0</v>
      </c>
      <c r="O2165">
        <v>-0.20148239999999901</v>
      </c>
      <c r="P2165">
        <v>-0.90972719999999896</v>
      </c>
      <c r="Q2165">
        <v>6.2737059999999997E-2</v>
      </c>
      <c r="R2165">
        <v>-0.41043999999999897</v>
      </c>
      <c r="S2165">
        <v>-2.35818499999999</v>
      </c>
      <c r="T2165">
        <v>-0.167209</v>
      </c>
      <c r="U2165">
        <v>-2.1542970000000001</v>
      </c>
      <c r="V2165">
        <v>-0.22048999999999999</v>
      </c>
      <c r="W2165">
        <v>7.2141699999999906E-2</v>
      </c>
      <c r="X2165">
        <v>0.97271770000000002</v>
      </c>
      <c r="Y2165">
        <v>-0.51145289999999999</v>
      </c>
      <c r="Z2165">
        <v>-3.5539579999999999E-3</v>
      </c>
      <c r="AA2165">
        <v>0.85930399999999996</v>
      </c>
      <c r="AB2165">
        <v>33</v>
      </c>
      <c r="AC2165">
        <v>-0.50729999999998598</v>
      </c>
      <c r="AD2165">
        <v>-5.16529999999999E-2</v>
      </c>
      <c r="AE2165">
        <v>-0.61289999999996703</v>
      </c>
      <c r="AF2165">
        <v>-0.49601362787193898</v>
      </c>
      <c r="AG2165">
        <v>-5.16529999999999E-2</v>
      </c>
      <c r="AH2165">
        <v>0.61779257363677997</v>
      </c>
      <c r="AI2165">
        <v>93.730172355412193</v>
      </c>
      <c r="AJ2165">
        <v>128.760302376933</v>
      </c>
      <c r="AK2165">
        <v>0.793955424116769</v>
      </c>
    </row>
    <row r="2166" spans="1:37" x14ac:dyDescent="0.2">
      <c r="A2166" t="str">
        <f>"20200111153439520"</f>
        <v>20200111153439520</v>
      </c>
      <c r="B2166" t="str">
        <f>"1578728079517965"</f>
        <v>1578728079517965</v>
      </c>
      <c r="C2166" t="s">
        <v>37</v>
      </c>
      <c r="D2166">
        <v>4.2281279999999999</v>
      </c>
      <c r="E2166">
        <v>0.36623109999999998</v>
      </c>
      <c r="F2166" t="s">
        <v>40</v>
      </c>
      <c r="G2166">
        <v>-475.7724</v>
      </c>
      <c r="H2166">
        <v>1.055199</v>
      </c>
      <c r="I2166">
        <v>283.0874</v>
      </c>
      <c r="J2166">
        <v>-475.23039999999997</v>
      </c>
      <c r="K2166">
        <v>1.115092</v>
      </c>
      <c r="L2166">
        <v>283.75889999999998</v>
      </c>
      <c r="M2166">
        <v>-0.97768739999999998</v>
      </c>
      <c r="N2166">
        <v>0</v>
      </c>
      <c r="O2166">
        <v>-0.20952689999999999</v>
      </c>
      <c r="P2166">
        <v>-0.90406359999999997</v>
      </c>
      <c r="Q2166">
        <v>6.3059509999999999E-2</v>
      </c>
      <c r="R2166">
        <v>-0.4227206</v>
      </c>
      <c r="S2166">
        <v>-2.319153</v>
      </c>
      <c r="T2166">
        <v>-0.18116889999999999</v>
      </c>
      <c r="U2166">
        <v>-2.1966860000000001</v>
      </c>
      <c r="V2166">
        <v>-0.22569989999999901</v>
      </c>
      <c r="W2166">
        <v>7.2244900000000001E-2</v>
      </c>
      <c r="X2166">
        <v>0.9715144</v>
      </c>
      <c r="Y2166">
        <v>-0.51979240000000004</v>
      </c>
      <c r="Z2166">
        <v>-3.6580999999999901E-3</v>
      </c>
      <c r="AA2166">
        <v>0.85428479999999996</v>
      </c>
      <c r="AB2166">
        <v>33</v>
      </c>
      <c r="AC2166">
        <v>-0.54200000000003001</v>
      </c>
      <c r="AD2166">
        <v>-5.9892999999999898E-2</v>
      </c>
      <c r="AE2166">
        <v>-0.67149999999998</v>
      </c>
      <c r="AF2166">
        <v>-0.54041161559638395</v>
      </c>
      <c r="AG2166">
        <v>-5.9892999999999898E-2</v>
      </c>
      <c r="AH2166">
        <v>0.66746438185097501</v>
      </c>
      <c r="AI2166">
        <v>93.989324464678205</v>
      </c>
      <c r="AJ2166">
        <v>128.995313831533</v>
      </c>
      <c r="AK2166">
        <v>0.86089522403147201</v>
      </c>
    </row>
    <row r="2167" spans="1:37" x14ac:dyDescent="0.2">
      <c r="A2167" t="str">
        <f>"20200111153439536"</f>
        <v>20200111153439536</v>
      </c>
      <c r="B2167" t="str">
        <f>"1578728079527726"</f>
        <v>1578728079527726</v>
      </c>
      <c r="C2167" t="s">
        <v>37</v>
      </c>
      <c r="D2167">
        <v>4.2402369999999996</v>
      </c>
      <c r="E2167">
        <v>0.36677490000000001</v>
      </c>
      <c r="F2167" t="s">
        <v>40</v>
      </c>
      <c r="G2167">
        <v>-476.03309999999999</v>
      </c>
      <c r="H2167">
        <v>1.0490950000000001</v>
      </c>
      <c r="I2167">
        <v>282.98360000000002</v>
      </c>
      <c r="J2167">
        <v>-475.45830000000001</v>
      </c>
      <c r="K2167">
        <v>1.1152059999999999</v>
      </c>
      <c r="L2167">
        <v>283.70229999999998</v>
      </c>
      <c r="M2167">
        <v>-0.97586419999999996</v>
      </c>
      <c r="N2167">
        <v>0</v>
      </c>
      <c r="O2167">
        <v>-0.21786</v>
      </c>
      <c r="P2167">
        <v>-0.89828159999999901</v>
      </c>
      <c r="Q2167">
        <v>6.3292180000000003E-2</v>
      </c>
      <c r="R2167">
        <v>-0.43483840000000001</v>
      </c>
      <c r="S2167">
        <v>-2.2948</v>
      </c>
      <c r="T2167">
        <v>-0.18863779999999999</v>
      </c>
      <c r="U2167">
        <v>-2.2172239999999999</v>
      </c>
      <c r="V2167">
        <v>-0.23050709999999999</v>
      </c>
      <c r="W2167">
        <v>7.2271059999999998E-2</v>
      </c>
      <c r="X2167">
        <v>0.97038310000000005</v>
      </c>
      <c r="Y2167">
        <v>-0.52095040000000004</v>
      </c>
      <c r="Z2167">
        <v>-3.3323950000000001E-3</v>
      </c>
      <c r="AA2167">
        <v>0.85358040000000002</v>
      </c>
      <c r="AB2167">
        <v>33</v>
      </c>
      <c r="AC2167">
        <v>-0.57479999999998199</v>
      </c>
      <c r="AD2167">
        <v>-6.6110999999999795E-2</v>
      </c>
      <c r="AE2167">
        <v>-0.71869999999995504</v>
      </c>
      <c r="AF2167">
        <v>-0.57323455919321298</v>
      </c>
      <c r="AG2167">
        <v>-6.6110999999999795E-2</v>
      </c>
      <c r="AH2167">
        <v>0.71389967433866497</v>
      </c>
      <c r="AI2167">
        <v>94.130059541881096</v>
      </c>
      <c r="AJ2167">
        <v>128.763152751615</v>
      </c>
      <c r="AK2167">
        <v>0.91794404469732804</v>
      </c>
    </row>
    <row r="2168" spans="1:37" x14ac:dyDescent="0.2">
      <c r="A2168" t="str">
        <f>"20200111153439550"</f>
        <v>20200111153439550</v>
      </c>
      <c r="B2168" t="str">
        <f>"1578728079538461"</f>
        <v>1578728079538461</v>
      </c>
      <c r="C2168" t="s">
        <v>37</v>
      </c>
      <c r="D2168">
        <v>4.2482179999999996</v>
      </c>
      <c r="E2168">
        <v>0.36733459999999901</v>
      </c>
      <c r="F2168" t="s">
        <v>40</v>
      </c>
      <c r="G2168">
        <v>-476.0806</v>
      </c>
      <c r="H2168">
        <v>1.0625979999999999</v>
      </c>
      <c r="I2168">
        <v>283.08679999999998</v>
      </c>
      <c r="J2168">
        <v>-475.62830000000002</v>
      </c>
      <c r="K2168">
        <v>1.1152850000000001</v>
      </c>
      <c r="L2168">
        <v>283.65820000000002</v>
      </c>
      <c r="M2168">
        <v>-0.97443690000000005</v>
      </c>
      <c r="N2168">
        <v>0</v>
      </c>
      <c r="O2168">
        <v>-0.2241582</v>
      </c>
      <c r="P2168">
        <v>-0.89115909999999998</v>
      </c>
      <c r="Q2168">
        <v>6.3318920000000001E-2</v>
      </c>
      <c r="R2168">
        <v>-0.44925119999999902</v>
      </c>
      <c r="S2168">
        <v>-2.2671809999999999</v>
      </c>
      <c r="T2168">
        <v>-0.19161610000000001</v>
      </c>
      <c r="U2168">
        <v>-2.2434080000000001</v>
      </c>
      <c r="V2168">
        <v>-0.23988319999999999</v>
      </c>
      <c r="W2168">
        <v>7.1983320000000003E-2</v>
      </c>
      <c r="X2168">
        <v>0.96812929999999997</v>
      </c>
      <c r="Y2168">
        <v>-0.52559040000000001</v>
      </c>
      <c r="Z2168">
        <v>-3.1562280000000001E-3</v>
      </c>
      <c r="AA2168">
        <v>0.85073189999999999</v>
      </c>
      <c r="AB2168">
        <v>33</v>
      </c>
      <c r="AC2168">
        <v>-0.452299999999979</v>
      </c>
      <c r="AD2168">
        <v>-5.2687000000000102E-2</v>
      </c>
      <c r="AE2168">
        <v>-0.57140000000003899</v>
      </c>
      <c r="AF2168">
        <v>-0.45308962204137798</v>
      </c>
      <c r="AG2168">
        <v>-5.2687000000000102E-2</v>
      </c>
      <c r="AH2168">
        <v>0.56592793910810202</v>
      </c>
      <c r="AI2168">
        <v>94.156714173111993</v>
      </c>
      <c r="AJ2168">
        <v>128.68123991658501</v>
      </c>
      <c r="AK2168">
        <v>0.726870385855513</v>
      </c>
    </row>
    <row r="2169" spans="1:37" x14ac:dyDescent="0.2">
      <c r="A2169" t="str">
        <f>"20200111153439563"</f>
        <v>20200111153439563</v>
      </c>
      <c r="B2169" t="str">
        <f>"1578728079557981"</f>
        <v>1578728079557981</v>
      </c>
      <c r="C2169" t="s">
        <v>37</v>
      </c>
      <c r="D2169">
        <v>4.282521</v>
      </c>
      <c r="E2169">
        <v>0.36887690000000001</v>
      </c>
      <c r="F2169" t="s">
        <v>40</v>
      </c>
      <c r="G2169">
        <v>-476.32569999999998</v>
      </c>
      <c r="H2169">
        <v>1.053504</v>
      </c>
      <c r="I2169">
        <v>282.94850000000002</v>
      </c>
      <c r="J2169">
        <v>-475.82350000000002</v>
      </c>
      <c r="K2169">
        <v>1.115378</v>
      </c>
      <c r="L2169">
        <v>283.60669999999999</v>
      </c>
      <c r="M2169">
        <v>-0.97273319999999996</v>
      </c>
      <c r="N2169">
        <v>0</v>
      </c>
      <c r="O2169">
        <v>-0.2314396</v>
      </c>
      <c r="P2169">
        <v>-0.88576309999999903</v>
      </c>
      <c r="Q2169">
        <v>6.3140619999999995E-2</v>
      </c>
      <c r="R2169">
        <v>-0.45982299999999998</v>
      </c>
      <c r="S2169">
        <v>-2.23419199999999</v>
      </c>
      <c r="T2169">
        <v>-0.19791979999999901</v>
      </c>
      <c r="U2169">
        <v>-2.2738339999999999</v>
      </c>
      <c r="V2169">
        <v>-0.24417349999999999</v>
      </c>
      <c r="W2169">
        <v>7.1624709999999994E-2</v>
      </c>
      <c r="X2169">
        <v>0.96708289999999997</v>
      </c>
      <c r="Y2169">
        <v>-0.5311477</v>
      </c>
      <c r="Z2169">
        <v>-2.993524E-3</v>
      </c>
      <c r="AA2169">
        <v>0.84727399999999997</v>
      </c>
      <c r="AB2169">
        <v>33</v>
      </c>
      <c r="AC2169">
        <v>-0.50219999999995901</v>
      </c>
      <c r="AD2169">
        <v>-6.1873999999999901E-2</v>
      </c>
      <c r="AE2169">
        <v>-0.65819999999996504</v>
      </c>
      <c r="AF2169">
        <v>-0.52117226613160295</v>
      </c>
      <c r="AG2169">
        <v>-6.1873999999999901E-2</v>
      </c>
      <c r="AH2169">
        <v>0.63735268086500696</v>
      </c>
      <c r="AI2169">
        <v>94.2978566889375</v>
      </c>
      <c r="AJ2169">
        <v>129.27335033467</v>
      </c>
      <c r="AK2169">
        <v>0.825631493262316</v>
      </c>
    </row>
    <row r="2170" spans="1:37" x14ac:dyDescent="0.2">
      <c r="A2170" t="str">
        <f>"20200111153439576"</f>
        <v>20200111153439576</v>
      </c>
      <c r="B2170" t="str">
        <f>"1578728079567741"</f>
        <v>1578728079567741</v>
      </c>
      <c r="C2170" t="s">
        <v>37</v>
      </c>
      <c r="D2170">
        <v>4.2935359999999996</v>
      </c>
      <c r="E2170">
        <v>0.369842</v>
      </c>
      <c r="F2170" t="s">
        <v>40</v>
      </c>
      <c r="G2170">
        <v>-476.57760000000002</v>
      </c>
      <c r="H2170">
        <v>1.0470219999999999</v>
      </c>
      <c r="I2170">
        <v>282.827</v>
      </c>
      <c r="J2170">
        <v>-476.01659999999998</v>
      </c>
      <c r="K2170">
        <v>1.1154649999999999</v>
      </c>
      <c r="L2170">
        <v>283.55410000000001</v>
      </c>
      <c r="M2170">
        <v>-0.97097330000000004</v>
      </c>
      <c r="N2170">
        <v>0</v>
      </c>
      <c r="O2170">
        <v>-0.23871439999999899</v>
      </c>
      <c r="P2170">
        <v>-0.88042240000000005</v>
      </c>
      <c r="Q2170">
        <v>6.2780069999999993E-2</v>
      </c>
      <c r="R2170">
        <v>-0.47001559999999998</v>
      </c>
      <c r="S2170">
        <v>-2.2129819999999998</v>
      </c>
      <c r="T2170">
        <v>-0.20058499999999899</v>
      </c>
      <c r="U2170">
        <v>-2.288818</v>
      </c>
      <c r="V2170">
        <v>-0.24809929999999999</v>
      </c>
      <c r="W2170">
        <v>7.1095350000000002E-2</v>
      </c>
      <c r="X2170">
        <v>0.96612229999999999</v>
      </c>
      <c r="Y2170">
        <v>-0.53162319999999996</v>
      </c>
      <c r="Z2170">
        <v>-2.566353E-3</v>
      </c>
      <c r="AA2170">
        <v>0.84697710000000004</v>
      </c>
      <c r="AB2170">
        <v>33</v>
      </c>
      <c r="AC2170">
        <v>-0.56100000000003503</v>
      </c>
      <c r="AD2170">
        <v>-6.8443000000000004E-2</v>
      </c>
      <c r="AE2170">
        <v>-0.72710000000000696</v>
      </c>
      <c r="AF2170">
        <v>-0.56898037580910699</v>
      </c>
      <c r="AG2170">
        <v>-6.8443000000000004E-2</v>
      </c>
      <c r="AH2170">
        <v>0.71439858297224701</v>
      </c>
      <c r="AI2170">
        <v>94.285786369663299</v>
      </c>
      <c r="AJ2170">
        <v>128.535452323806</v>
      </c>
      <c r="AK2170">
        <v>0.91585394450077495</v>
      </c>
    </row>
    <row r="2171" spans="1:37" x14ac:dyDescent="0.2">
      <c r="A2171" t="str">
        <f>"20200111153439594"</f>
        <v>20200111153439594</v>
      </c>
      <c r="B2171" t="str">
        <f>"1578728079588237"</f>
        <v>1578728079588237</v>
      </c>
      <c r="C2171" t="s">
        <v>37</v>
      </c>
      <c r="D2171">
        <v>4.2903979999999997</v>
      </c>
      <c r="E2171">
        <v>0.3716392</v>
      </c>
      <c r="F2171" t="s">
        <v>40</v>
      </c>
      <c r="G2171">
        <v>-476.6216</v>
      </c>
      <c r="H2171">
        <v>1.05951</v>
      </c>
      <c r="I2171">
        <v>282.91730000000001</v>
      </c>
      <c r="J2171">
        <v>-476.25</v>
      </c>
      <c r="K2171">
        <v>1.115572</v>
      </c>
      <c r="L2171">
        <v>283.488</v>
      </c>
      <c r="M2171">
        <v>-0.96873809999999905</v>
      </c>
      <c r="N2171">
        <v>0</v>
      </c>
      <c r="O2171">
        <v>-0.2476294</v>
      </c>
      <c r="P2171">
        <v>-0.87225589999999997</v>
      </c>
      <c r="Q2171">
        <v>6.181478E-2</v>
      </c>
      <c r="R2171">
        <v>-0.4851278</v>
      </c>
      <c r="S2171">
        <v>-2.1903990000000002</v>
      </c>
      <c r="T2171">
        <v>-0.20257720000000001</v>
      </c>
      <c r="U2171">
        <v>-2.3067929999999999</v>
      </c>
      <c r="V2171">
        <v>-0.25585380000000002</v>
      </c>
      <c r="W2171">
        <v>6.9841059999999996E-2</v>
      </c>
      <c r="X2171">
        <v>0.96418930000000003</v>
      </c>
      <c r="Y2171">
        <v>-0.53149329999999995</v>
      </c>
      <c r="Z2171">
        <v>-1.9805920000000002E-3</v>
      </c>
      <c r="AA2171">
        <v>0.84706019999999904</v>
      </c>
      <c r="AB2171">
        <v>33</v>
      </c>
      <c r="AC2171">
        <v>-0.37159999999999999</v>
      </c>
      <c r="AD2171">
        <v>-5.6062000000000001E-2</v>
      </c>
      <c r="AE2171">
        <v>-0.570699999999987</v>
      </c>
      <c r="AF2171">
        <v>-0.45778955445879399</v>
      </c>
      <c r="AG2171">
        <v>-5.6062000000000001E-2</v>
      </c>
      <c r="AH2171">
        <v>0.49798715084447698</v>
      </c>
      <c r="AI2171">
        <v>94.737776732502397</v>
      </c>
      <c r="AJ2171">
        <v>132.59170098983699</v>
      </c>
      <c r="AK2171">
        <v>0.67875284634525201</v>
      </c>
    </row>
    <row r="2172" spans="1:37" x14ac:dyDescent="0.2">
      <c r="A2172" t="str">
        <f>"20200111153439607"</f>
        <v>20200111153439607</v>
      </c>
      <c r="B2172" t="str">
        <f>"1578728079597997"</f>
        <v>1578728079597997</v>
      </c>
      <c r="C2172" t="s">
        <v>37</v>
      </c>
      <c r="D2172">
        <v>4.2420559999999998</v>
      </c>
      <c r="E2172">
        <v>0.37273410000000001</v>
      </c>
      <c r="F2172" t="s">
        <v>40</v>
      </c>
      <c r="G2172">
        <v>-476.87990000000002</v>
      </c>
      <c r="H2172">
        <v>1.054637</v>
      </c>
      <c r="I2172">
        <v>282.8082</v>
      </c>
      <c r="J2172">
        <v>-476.4323</v>
      </c>
      <c r="K2172">
        <v>1.115656</v>
      </c>
      <c r="L2172">
        <v>283.4348</v>
      </c>
      <c r="M2172">
        <v>-0.96691329999999998</v>
      </c>
      <c r="N2172">
        <v>0</v>
      </c>
      <c r="O2172">
        <v>-0.25466079999999902</v>
      </c>
      <c r="P2172">
        <v>-0.86672590000000005</v>
      </c>
      <c r="Q2172">
        <v>6.1685879999999998E-2</v>
      </c>
      <c r="R2172">
        <v>-0.494955599999999</v>
      </c>
      <c r="S2172">
        <v>-2.1584469999999998</v>
      </c>
      <c r="T2172">
        <v>-0.20882519999999999</v>
      </c>
      <c r="U2172">
        <v>-2.3296809999999999</v>
      </c>
      <c r="V2172">
        <v>-0.25975670000000001</v>
      </c>
      <c r="W2172">
        <v>6.9548040000000005E-2</v>
      </c>
      <c r="X2172">
        <v>0.96316639999999998</v>
      </c>
      <c r="Y2172">
        <v>-0.53568490000000002</v>
      </c>
      <c r="Z2172">
        <v>-1.71899799999999E-3</v>
      </c>
      <c r="AA2172">
        <v>0.84441619999999995</v>
      </c>
      <c r="AB2172">
        <v>33</v>
      </c>
      <c r="AC2172">
        <v>-0.44760000000002198</v>
      </c>
      <c r="AD2172">
        <v>-6.10189999999999E-2</v>
      </c>
      <c r="AE2172">
        <v>-0.62659999999999605</v>
      </c>
      <c r="AF2172">
        <v>-0.48886779345311698</v>
      </c>
      <c r="AG2172">
        <v>-6.10189999999999E-2</v>
      </c>
      <c r="AH2172">
        <v>0.58873127831375005</v>
      </c>
      <c r="AI2172">
        <v>94.559011281014605</v>
      </c>
      <c r="AJ2172">
        <v>129.705396001206</v>
      </c>
      <c r="AK2172">
        <v>0.76767151562478997</v>
      </c>
    </row>
    <row r="2173" spans="1:37" x14ac:dyDescent="0.2">
      <c r="A2173" t="str">
        <f>"20200111153439622"</f>
        <v>20200111153439622</v>
      </c>
      <c r="B2173" t="str">
        <f>"1578728079618493"</f>
        <v>1578728079618493</v>
      </c>
      <c r="C2173" t="s">
        <v>37</v>
      </c>
      <c r="D2173">
        <v>4.2458210000000003</v>
      </c>
      <c r="E2173">
        <v>0.37507859999999998</v>
      </c>
      <c r="F2173" t="s">
        <v>40</v>
      </c>
      <c r="G2173">
        <v>-477.12509999999997</v>
      </c>
      <c r="H2173">
        <v>1.047334</v>
      </c>
      <c r="I2173">
        <v>282.6746</v>
      </c>
      <c r="J2173">
        <v>-476.63699999999898</v>
      </c>
      <c r="K2173">
        <v>1.1157509999999999</v>
      </c>
      <c r="L2173">
        <v>283.37349999999998</v>
      </c>
      <c r="M2173">
        <v>-0.96478220000000003</v>
      </c>
      <c r="N2173">
        <v>0</v>
      </c>
      <c r="O2173">
        <v>-0.26261879999999999</v>
      </c>
      <c r="P2173">
        <v>-0.86049039999999999</v>
      </c>
      <c r="Q2173">
        <v>6.1718769999999999E-2</v>
      </c>
      <c r="R2173">
        <v>-0.5057142</v>
      </c>
      <c r="S2173">
        <v>-2.136749</v>
      </c>
      <c r="T2173">
        <v>-0.21070410000000001</v>
      </c>
      <c r="U2173">
        <v>-2.345764</v>
      </c>
      <c r="V2173">
        <v>-0.26383809999999902</v>
      </c>
      <c r="W2173">
        <v>6.9405320000000006E-2</v>
      </c>
      <c r="X2173">
        <v>0.96206669999999905</v>
      </c>
      <c r="Y2173">
        <v>-0.5358771</v>
      </c>
      <c r="Z2173">
        <v>-1.1748239999999899E-3</v>
      </c>
      <c r="AA2173">
        <v>0.84429509999999997</v>
      </c>
      <c r="AB2173">
        <v>33</v>
      </c>
      <c r="AC2173">
        <v>-0.48810000000003101</v>
      </c>
      <c r="AD2173">
        <v>-6.8416999999999895E-2</v>
      </c>
      <c r="AE2173">
        <v>-0.69889999999997998</v>
      </c>
      <c r="AF2173">
        <v>-0.54266847517688699</v>
      </c>
      <c r="AG2173">
        <v>-6.8416999999999895E-2</v>
      </c>
      <c r="AH2173">
        <v>0.65033964674468203</v>
      </c>
      <c r="AI2173">
        <v>94.618009390583893</v>
      </c>
      <c r="AJ2173">
        <v>129.84292264690501</v>
      </c>
      <c r="AK2173">
        <v>0.84977150809367996</v>
      </c>
    </row>
    <row r="2174" spans="1:37" x14ac:dyDescent="0.2">
      <c r="A2174" t="str">
        <f>"20200111153439638"</f>
        <v>20200111153439638</v>
      </c>
      <c r="B2174" t="str">
        <f>"1578728079628252"</f>
        <v>1578728079628252</v>
      </c>
      <c r="C2174" t="s">
        <v>37</v>
      </c>
      <c r="D2174">
        <v>4.461125</v>
      </c>
      <c r="E2174">
        <v>0.37507859999999998</v>
      </c>
      <c r="F2174" t="s">
        <v>40</v>
      </c>
      <c r="G2174">
        <v>-477.37520000000001</v>
      </c>
      <c r="H2174">
        <v>1.041668</v>
      </c>
      <c r="I2174">
        <v>282.55239999999998</v>
      </c>
      <c r="J2174">
        <v>-476.86540000000002</v>
      </c>
      <c r="K2174">
        <v>1.1158629999999901</v>
      </c>
      <c r="L2174">
        <v>283.30290000000002</v>
      </c>
      <c r="M2174">
        <v>-0.96229359999999997</v>
      </c>
      <c r="N2174">
        <v>0</v>
      </c>
      <c r="O2174">
        <v>-0.27159539999999999</v>
      </c>
      <c r="P2174">
        <v>-0.85153009999999996</v>
      </c>
      <c r="Q2174">
        <v>6.2615770000000001E-2</v>
      </c>
      <c r="R2174">
        <v>-0.52055309999999999</v>
      </c>
      <c r="S2174">
        <v>-2.1173709999999999</v>
      </c>
      <c r="T2174">
        <v>-0.21248629999999999</v>
      </c>
      <c r="U2174">
        <v>-2.3553160000000002</v>
      </c>
      <c r="V2174">
        <v>-0.2716075</v>
      </c>
      <c r="W2174">
        <v>7.0008490000000007E-2</v>
      </c>
      <c r="X2174">
        <v>0.9598584</v>
      </c>
      <c r="Y2174">
        <v>-0.53355649999999999</v>
      </c>
      <c r="Z2174">
        <v>-4.4074839999999897E-4</v>
      </c>
      <c r="AA2174">
        <v>0.84576430000000002</v>
      </c>
      <c r="AB2174">
        <v>33</v>
      </c>
      <c r="AC2174">
        <v>-0.50979999999998404</v>
      </c>
      <c r="AD2174">
        <v>-7.4194999999999706E-2</v>
      </c>
      <c r="AE2174">
        <v>-0.75050000000004502</v>
      </c>
      <c r="AF2174">
        <v>-0.57992991116811698</v>
      </c>
      <c r="AG2174">
        <v>-7.4194999999999706E-2</v>
      </c>
      <c r="AH2174">
        <v>0.68987481444403398</v>
      </c>
      <c r="AI2174">
        <v>94.706252614109104</v>
      </c>
      <c r="AJ2174">
        <v>130.05143783280701</v>
      </c>
      <c r="AK2174">
        <v>0.90429578097912799</v>
      </c>
    </row>
    <row r="2175" spans="1:37" x14ac:dyDescent="0.2">
      <c r="A2175" t="str">
        <f>"20200111153439650"</f>
        <v>20200111153439650</v>
      </c>
      <c r="B2175" t="str">
        <f>"1578728079638013"</f>
        <v>1578728079638013</v>
      </c>
      <c r="C2175" t="s">
        <v>37</v>
      </c>
      <c r="D2175">
        <v>4.4339409999999999</v>
      </c>
      <c r="E2175">
        <v>0.41326190000000002</v>
      </c>
      <c r="F2175" t="s">
        <v>40</v>
      </c>
      <c r="G2175">
        <v>-477.42899999999997</v>
      </c>
      <c r="H2175">
        <v>1.0582149999999999</v>
      </c>
      <c r="I2175">
        <v>282.65410000000003</v>
      </c>
      <c r="J2175">
        <v>-477.02640000000002</v>
      </c>
      <c r="K2175">
        <v>1.1159379999999901</v>
      </c>
      <c r="L2175">
        <v>283.25110000000001</v>
      </c>
      <c r="M2175">
        <v>-0.96046010000000004</v>
      </c>
      <c r="N2175">
        <v>0</v>
      </c>
      <c r="O2175">
        <v>-0.27800959999999902</v>
      </c>
      <c r="P2175">
        <v>-0.84620319999999905</v>
      </c>
      <c r="Q2175">
        <v>6.3365900000000003E-2</v>
      </c>
      <c r="R2175">
        <v>-0.52907879999999996</v>
      </c>
      <c r="S2175">
        <v>-2.0769039999999999</v>
      </c>
      <c r="T2175">
        <v>-0.21243299999999901</v>
      </c>
      <c r="U2175">
        <v>-2.3911739999999999</v>
      </c>
      <c r="V2175">
        <v>-0.27489219999999998</v>
      </c>
      <c r="W2175">
        <v>7.0619230000000005E-2</v>
      </c>
      <c r="X2175">
        <v>0.95887809999999996</v>
      </c>
      <c r="Y2175">
        <v>-0.54231580000000001</v>
      </c>
      <c r="Z2175">
        <v>-3.3817249999999998E-4</v>
      </c>
      <c r="AA2175">
        <v>0.84017469999999905</v>
      </c>
      <c r="AB2175">
        <v>33</v>
      </c>
      <c r="AC2175">
        <v>-0.40260000000000601</v>
      </c>
      <c r="AD2175">
        <v>-5.7722999999999899E-2</v>
      </c>
      <c r="AE2175">
        <v>-0.59699999999997999</v>
      </c>
      <c r="AF2175">
        <v>-0.45857353977981502</v>
      </c>
      <c r="AG2175">
        <v>-5.7722999999999899E-2</v>
      </c>
      <c r="AH2175">
        <v>0.54918655131656702</v>
      </c>
      <c r="AI2175">
        <v>94.612551348167401</v>
      </c>
      <c r="AJ2175">
        <v>129.862051659061</v>
      </c>
      <c r="AK2175">
        <v>0.71779349694893002</v>
      </c>
    </row>
    <row r="2176" spans="1:37" x14ac:dyDescent="0.2">
      <c r="A2176" t="str">
        <f>"20200111153439663"</f>
        <v>20200111153439663</v>
      </c>
      <c r="B2176" t="str">
        <f>"1578728079658509"</f>
        <v>1578728079658509</v>
      </c>
      <c r="C2176" t="s">
        <v>37</v>
      </c>
      <c r="D2176">
        <v>4.4838789999999999</v>
      </c>
      <c r="E2176">
        <v>0.41720190000000001</v>
      </c>
      <c r="F2176" t="s">
        <v>40</v>
      </c>
      <c r="G2176">
        <v>-477.71010000000001</v>
      </c>
      <c r="H2176">
        <v>1.047104</v>
      </c>
      <c r="I2176">
        <v>282.587999999999</v>
      </c>
      <c r="J2176">
        <v>-477.19450000000001</v>
      </c>
      <c r="K2176">
        <v>1.1160159999999999</v>
      </c>
      <c r="L2176">
        <v>283.19630000000001</v>
      </c>
      <c r="M2176">
        <v>-0.95848999999999995</v>
      </c>
      <c r="N2176">
        <v>0</v>
      </c>
      <c r="O2176">
        <v>-0.2847269</v>
      </c>
      <c r="P2176">
        <v>-0.84066099999999999</v>
      </c>
      <c r="Q2176">
        <v>6.4382850000000005E-2</v>
      </c>
      <c r="R2176">
        <v>-0.537721</v>
      </c>
      <c r="S2176">
        <v>-2.217041</v>
      </c>
      <c r="T2176">
        <v>-0.22318840000000001</v>
      </c>
      <c r="U2176">
        <v>-2.1510929999999999</v>
      </c>
      <c r="V2176">
        <v>-0.27806559999999902</v>
      </c>
      <c r="W2176">
        <v>7.1496770000000001E-2</v>
      </c>
      <c r="X2176">
        <v>0.95789749999999996</v>
      </c>
      <c r="Y2176">
        <v>-0.46269849999999901</v>
      </c>
      <c r="Z2176">
        <v>3.5824720000000002E-3</v>
      </c>
      <c r="AA2176">
        <v>0.88650849999999903</v>
      </c>
      <c r="AB2176">
        <v>33</v>
      </c>
      <c r="AC2176">
        <v>-0.51560000000000605</v>
      </c>
      <c r="AD2176">
        <v>-6.8911999999999807E-2</v>
      </c>
      <c r="AE2176">
        <v>-0.60830000000004203</v>
      </c>
      <c r="AF2176">
        <v>-0.43305970579057301</v>
      </c>
      <c r="AG2176">
        <v>-6.8911999999999807E-2</v>
      </c>
      <c r="AH2176">
        <v>0.66252483833497799</v>
      </c>
      <c r="AI2176">
        <v>94.9758830339957</v>
      </c>
      <c r="AJ2176">
        <v>123.170658894825</v>
      </c>
      <c r="AK2176">
        <v>0.794499045898865</v>
      </c>
    </row>
    <row r="2177" spans="1:37" x14ac:dyDescent="0.2">
      <c r="A2177" t="str">
        <f>"20200111153439676"</f>
        <v>20200111153439676</v>
      </c>
      <c r="B2177" t="str">
        <f>"1578728079668268"</f>
        <v>1578728079668268</v>
      </c>
      <c r="C2177" t="s">
        <v>37</v>
      </c>
      <c r="D2177">
        <v>4.4397699999999896</v>
      </c>
      <c r="E2177">
        <v>0.41871909999999901</v>
      </c>
      <c r="F2177" t="s">
        <v>40</v>
      </c>
      <c r="G2177">
        <v>-477.9563</v>
      </c>
      <c r="H2177">
        <v>1.0362089999999999</v>
      </c>
      <c r="I2177">
        <v>282.45749999999998</v>
      </c>
      <c r="J2177">
        <v>-477.38929999999999</v>
      </c>
      <c r="K2177">
        <v>1.116106</v>
      </c>
      <c r="L2177">
        <v>283.13099999999997</v>
      </c>
      <c r="M2177">
        <v>-0.95611829999999998</v>
      </c>
      <c r="N2177">
        <v>0</v>
      </c>
      <c r="O2177">
        <v>-0.29259190000000002</v>
      </c>
      <c r="P2177">
        <v>-0.83444300000000005</v>
      </c>
      <c r="Q2177">
        <v>6.5152180000000004E-2</v>
      </c>
      <c r="R2177">
        <v>-0.54722979999999999</v>
      </c>
      <c r="S2177">
        <v>-2.213409</v>
      </c>
      <c r="T2177">
        <v>-0.23186709999999999</v>
      </c>
      <c r="U2177">
        <v>-2.1464840000000001</v>
      </c>
      <c r="V2177">
        <v>-0.281124599999999</v>
      </c>
      <c r="W2177">
        <v>7.212172E-2</v>
      </c>
      <c r="X2177">
        <v>0.95695739999999996</v>
      </c>
      <c r="Y2177">
        <v>-0.45517920000000001</v>
      </c>
      <c r="Z2177">
        <v>4.68453599999999E-3</v>
      </c>
      <c r="AA2177">
        <v>0.8903875</v>
      </c>
      <c r="AB2177">
        <v>33</v>
      </c>
      <c r="AC2177">
        <v>-0.56700000000000705</v>
      </c>
      <c r="AD2177">
        <v>-7.9897000000000107E-2</v>
      </c>
      <c r="AE2177">
        <v>-0.67349999999999</v>
      </c>
      <c r="AF2177">
        <v>-0.47419512381481199</v>
      </c>
      <c r="AG2177">
        <v>-7.9897000000000107E-2</v>
      </c>
      <c r="AH2177">
        <v>0.73322519072735404</v>
      </c>
      <c r="AI2177">
        <v>95.227947474242299</v>
      </c>
      <c r="AJ2177">
        <v>122.891762328666</v>
      </c>
      <c r="AK2177">
        <v>0.876848747718733</v>
      </c>
    </row>
    <row r="2178" spans="1:37" x14ac:dyDescent="0.2">
      <c r="A2178" t="str">
        <f>"20200111153439688"</f>
        <v>20200111153439688</v>
      </c>
      <c r="B2178" t="str">
        <f>"1578728079678585"</f>
        <v>1578728079678585</v>
      </c>
      <c r="C2178" t="s">
        <v>37</v>
      </c>
      <c r="D2178">
        <v>4.3909649999999996</v>
      </c>
      <c r="E2178">
        <v>0.41682249999999998</v>
      </c>
      <c r="F2178" t="s">
        <v>40</v>
      </c>
      <c r="G2178">
        <v>-478.07240000000002</v>
      </c>
      <c r="H2178">
        <v>1.0446009999999999</v>
      </c>
      <c r="I2178">
        <v>282.45850000000002</v>
      </c>
      <c r="J2178">
        <v>-477.54629999999997</v>
      </c>
      <c r="K2178">
        <v>1.1161799999999999</v>
      </c>
      <c r="L2178">
        <v>283.07670000000002</v>
      </c>
      <c r="M2178">
        <v>-0.95413429999999999</v>
      </c>
      <c r="N2178">
        <v>0</v>
      </c>
      <c r="O2178">
        <v>-0.29899759999999997</v>
      </c>
      <c r="P2178">
        <v>-0.8291364</v>
      </c>
      <c r="Q2178">
        <v>6.5688759999999999E-2</v>
      </c>
      <c r="R2178">
        <v>-0.55517380000000005</v>
      </c>
      <c r="S2178">
        <v>-2.1956180000000001</v>
      </c>
      <c r="T2178">
        <v>-0.229800799999999</v>
      </c>
      <c r="U2178">
        <v>-2.1615599999999899</v>
      </c>
      <c r="V2178">
        <v>-0.28388649999999999</v>
      </c>
      <c r="W2178">
        <v>7.2534539999999995E-2</v>
      </c>
      <c r="X2178">
        <v>0.95611049999999997</v>
      </c>
      <c r="Y2178">
        <v>-0.45593599999999901</v>
      </c>
      <c r="Z2178">
        <v>5.1269380000000002E-3</v>
      </c>
      <c r="AA2178">
        <v>0.88999779999999995</v>
      </c>
      <c r="AB2178">
        <v>33</v>
      </c>
      <c r="AC2178">
        <v>-0.52610000000004198</v>
      </c>
      <c r="AD2178">
        <v>-7.1578999999999796E-2</v>
      </c>
      <c r="AE2178">
        <v>-0.61820000000000097</v>
      </c>
      <c r="AF2178">
        <v>-0.42925495640265798</v>
      </c>
      <c r="AG2178">
        <v>-7.1578999999999796E-2</v>
      </c>
      <c r="AH2178">
        <v>0.68158918005284097</v>
      </c>
      <c r="AI2178">
        <v>95.0781516004742</v>
      </c>
      <c r="AJ2178">
        <v>122.202127285261</v>
      </c>
      <c r="AK2178">
        <v>0.80867000760653496</v>
      </c>
    </row>
    <row r="2179" spans="1:37" x14ac:dyDescent="0.2">
      <c r="A2179" t="str">
        <f>"20200111153439702"</f>
        <v>20200111153439702</v>
      </c>
      <c r="B2179" t="str">
        <f>"1578728079698105"</f>
        <v>1578728079698105</v>
      </c>
      <c r="C2179" t="s">
        <v>37</v>
      </c>
      <c r="D2179">
        <v>4.3132979999999996</v>
      </c>
      <c r="E2179">
        <v>0.374585</v>
      </c>
      <c r="F2179" t="s">
        <v>40</v>
      </c>
      <c r="G2179">
        <v>-478.2328</v>
      </c>
      <c r="H2179">
        <v>1.0439000000000001</v>
      </c>
      <c r="I2179">
        <v>282.3811</v>
      </c>
      <c r="J2179">
        <v>-477.73070000000001</v>
      </c>
      <c r="K2179">
        <v>1.1162650000000001</v>
      </c>
      <c r="L2179">
        <v>283.01179999999999</v>
      </c>
      <c r="M2179">
        <v>-0.95173009999999902</v>
      </c>
      <c r="N2179">
        <v>0</v>
      </c>
      <c r="O2179">
        <v>-0.3065638</v>
      </c>
      <c r="P2179">
        <v>-0.82280450000000005</v>
      </c>
      <c r="Q2179">
        <v>6.6156290000000006E-2</v>
      </c>
      <c r="R2179">
        <v>-0.56446109999999905</v>
      </c>
      <c r="S2179">
        <v>-2.166382</v>
      </c>
      <c r="T2179">
        <v>-0.22805929999999999</v>
      </c>
      <c r="U2179">
        <v>-2.1952509999999998</v>
      </c>
      <c r="V2179">
        <v>-0.28708449999999902</v>
      </c>
      <c r="W2179">
        <v>7.2856980000000002E-2</v>
      </c>
      <c r="X2179">
        <v>0.95513049999999999</v>
      </c>
      <c r="Y2179">
        <v>-0.4617173</v>
      </c>
      <c r="Z2179">
        <v>5.4424679999999998E-3</v>
      </c>
      <c r="AA2179">
        <v>0.88701049999999904</v>
      </c>
      <c r="AB2179">
        <v>33</v>
      </c>
      <c r="AC2179">
        <v>-0.502099999999984</v>
      </c>
      <c r="AD2179">
        <v>-7.2364999999999999E-2</v>
      </c>
      <c r="AE2179">
        <v>-0.63069999999999005</v>
      </c>
      <c r="AF2179">
        <v>-0.44281335664525501</v>
      </c>
      <c r="AG2179">
        <v>-7.2364999999999999E-2</v>
      </c>
      <c r="AH2179">
        <v>0.66592423574811699</v>
      </c>
      <c r="AI2179">
        <v>95.1705480856901</v>
      </c>
      <c r="AJ2179">
        <v>123.622339506076</v>
      </c>
      <c r="AK2179">
        <v>0.80297910919596904</v>
      </c>
    </row>
    <row r="2180" spans="1:37" x14ac:dyDescent="0.2">
      <c r="A2180" t="str">
        <f>"20200111153439714"</f>
        <v>20200111153439714</v>
      </c>
      <c r="B2180" t="str">
        <f>"1578728079707866"</f>
        <v>1578728079707866</v>
      </c>
      <c r="C2180" t="s">
        <v>37</v>
      </c>
      <c r="D2180">
        <v>4.4365610000000002</v>
      </c>
      <c r="E2180">
        <v>0.36671219999999999</v>
      </c>
      <c r="F2180" t="s">
        <v>40</v>
      </c>
      <c r="G2180">
        <v>-478.41379999999998</v>
      </c>
      <c r="H2180">
        <v>1.022858</v>
      </c>
      <c r="I2180">
        <v>282.13889999999998</v>
      </c>
      <c r="J2180">
        <v>-477.90899999999999</v>
      </c>
      <c r="K2180">
        <v>1.116341</v>
      </c>
      <c r="L2180">
        <v>282.94740000000002</v>
      </c>
      <c r="M2180">
        <v>-0.94932090000000002</v>
      </c>
      <c r="N2180">
        <v>0</v>
      </c>
      <c r="O2180">
        <v>-0.31394450000000002</v>
      </c>
      <c r="P2180">
        <v>-0.81619969999999997</v>
      </c>
      <c r="Q2180">
        <v>6.6332929999999998E-2</v>
      </c>
      <c r="R2180">
        <v>-0.57394979999999995</v>
      </c>
      <c r="S2180">
        <v>-1.954407</v>
      </c>
      <c r="T2180">
        <v>-0.26729029999999998</v>
      </c>
      <c r="U2180">
        <v>-2.497223</v>
      </c>
      <c r="V2180">
        <v>-0.29075109999999998</v>
      </c>
      <c r="W2180">
        <v>7.2875049999999997E-2</v>
      </c>
      <c r="X2180">
        <v>0.95401939999999996</v>
      </c>
      <c r="Y2180">
        <v>-0.55335100000000004</v>
      </c>
      <c r="Z2180">
        <v>2.3019999999999998E-3</v>
      </c>
      <c r="AA2180">
        <v>0.83294500000000005</v>
      </c>
      <c r="AB2180">
        <v>33</v>
      </c>
      <c r="AC2180">
        <v>-0.50479999999998804</v>
      </c>
      <c r="AD2180">
        <v>-9.34829999999999E-2</v>
      </c>
      <c r="AE2180">
        <v>-0.80850000000003697</v>
      </c>
      <c r="AF2180">
        <v>-0.60331297739217005</v>
      </c>
      <c r="AG2180">
        <v>-9.34829999999999E-2</v>
      </c>
      <c r="AH2180">
        <v>0.726140202300811</v>
      </c>
      <c r="AI2180">
        <v>95.655071647157399</v>
      </c>
      <c r="AJ2180">
        <v>129.721468819997</v>
      </c>
      <c r="AK2180">
        <v>0.94868604573708604</v>
      </c>
    </row>
    <row r="2181" spans="1:37" x14ac:dyDescent="0.2">
      <c r="A2181" t="str">
        <f>"20200111153439728"</f>
        <v>20200111153439728</v>
      </c>
      <c r="B2181" t="str">
        <f>"1578728079718601"</f>
        <v>1578728079718601</v>
      </c>
      <c r="C2181" t="s">
        <v>37</v>
      </c>
      <c r="D2181">
        <v>4.409389</v>
      </c>
      <c r="E2181">
        <v>0.36275649999999998</v>
      </c>
      <c r="F2181" t="s">
        <v>40</v>
      </c>
      <c r="G2181">
        <v>-478.45299999999997</v>
      </c>
      <c r="H2181">
        <v>1.035517</v>
      </c>
      <c r="I2181">
        <v>282.20749999999998</v>
      </c>
      <c r="J2181">
        <v>-478.0761</v>
      </c>
      <c r="K2181">
        <v>1.1164069999999999</v>
      </c>
      <c r="L2181">
        <v>282.8852</v>
      </c>
      <c r="M2181">
        <v>-0.94698040000000006</v>
      </c>
      <c r="N2181">
        <v>0</v>
      </c>
      <c r="O2181">
        <v>-0.32093379999999999</v>
      </c>
      <c r="P2181">
        <v>-0.80714019999999898</v>
      </c>
      <c r="Q2181">
        <v>6.5393350000000003E-2</v>
      </c>
      <c r="R2181">
        <v>-0.58672679999999999</v>
      </c>
      <c r="S2181">
        <v>-1.8908689999999999</v>
      </c>
      <c r="T2181">
        <v>-0.28090470000000001</v>
      </c>
      <c r="U2181">
        <v>-2.5704959999999999</v>
      </c>
      <c r="V2181">
        <v>-0.29869449999999997</v>
      </c>
      <c r="W2181">
        <v>7.164326E-2</v>
      </c>
      <c r="X2181">
        <v>0.9516559</v>
      </c>
      <c r="Y2181">
        <v>-0.57179859999999905</v>
      </c>
      <c r="Z2181">
        <v>2.0635050000000002E-3</v>
      </c>
      <c r="AA2181">
        <v>0.82039139999999999</v>
      </c>
      <c r="AB2181">
        <v>33</v>
      </c>
      <c r="AC2181">
        <v>-0.37690000000003399</v>
      </c>
      <c r="AD2181">
        <v>-8.0889999999999906E-2</v>
      </c>
      <c r="AE2181">
        <v>-0.67770000000001496</v>
      </c>
      <c r="AF2181">
        <v>-0.51526181315128605</v>
      </c>
      <c r="AG2181">
        <v>-8.0889999999999906E-2</v>
      </c>
      <c r="AH2181">
        <v>0.56829597524796105</v>
      </c>
      <c r="AI2181">
        <v>96.019478174391395</v>
      </c>
      <c r="AJ2181">
        <v>132.19792450266601</v>
      </c>
      <c r="AK2181">
        <v>0.771361292569819</v>
      </c>
    </row>
    <row r="2182" spans="1:37" x14ac:dyDescent="0.2">
      <c r="A2182" t="str">
        <f>"20200111153439741"</f>
        <v>20200111153439741</v>
      </c>
      <c r="B2182" t="str">
        <f>"1578728079738120"</f>
        <v>1578728079738120</v>
      </c>
      <c r="C2182" t="s">
        <v>37</v>
      </c>
      <c r="D2182">
        <v>4.3647390000000001</v>
      </c>
      <c r="E2182">
        <v>0.36154359999999902</v>
      </c>
      <c r="F2182" t="s">
        <v>50</v>
      </c>
      <c r="G2182">
        <v>-485.24549999999999</v>
      </c>
      <c r="H2182" s="1">
        <v>6.3590459999999998E-7</v>
      </c>
      <c r="I2182">
        <v>272.59750000000003</v>
      </c>
      <c r="J2182">
        <v>-478.24930000000001</v>
      </c>
      <c r="K2182">
        <v>1.1164769999999999</v>
      </c>
      <c r="L2182">
        <v>282.81979999999999</v>
      </c>
      <c r="M2182">
        <v>-0.94448469999999995</v>
      </c>
      <c r="N2182">
        <v>0</v>
      </c>
      <c r="O2182">
        <v>-0.32820589999999999</v>
      </c>
      <c r="P2182">
        <v>-0.80017209999999905</v>
      </c>
      <c r="Q2182">
        <v>6.4780980000000002E-2</v>
      </c>
      <c r="R2182">
        <v>-0.59626199999999996</v>
      </c>
      <c r="S2182">
        <v>-1.8305049999999901</v>
      </c>
      <c r="T2182">
        <v>-0.28504409999999902</v>
      </c>
      <c r="U2182">
        <v>-2.6266780000000001</v>
      </c>
      <c r="V2182">
        <v>-0.30264869999999999</v>
      </c>
      <c r="W2182">
        <v>7.0862289999999994E-2</v>
      </c>
      <c r="X2182">
        <v>0.95046419999999998</v>
      </c>
      <c r="Y2182">
        <v>-0.58633489999999999</v>
      </c>
      <c r="Z2182">
        <v>1.978423E-3</v>
      </c>
      <c r="AA2182">
        <v>0.81006630000000002</v>
      </c>
      <c r="AB2182">
        <v>33</v>
      </c>
      <c r="AC2182">
        <v>-6.9961999999999804</v>
      </c>
      <c r="AD2182">
        <v>-1.1164763640954001</v>
      </c>
      <c r="AE2182">
        <v>-10.222299999999899</v>
      </c>
      <c r="AF2182">
        <v>-7.3001522342230301</v>
      </c>
      <c r="AG2182">
        <v>-1.1164763640954001</v>
      </c>
      <c r="AH2182">
        <v>9.8836745934659902</v>
      </c>
      <c r="AI2182">
        <v>95.191855329896896</v>
      </c>
      <c r="AJ2182">
        <v>126.44983836286799</v>
      </c>
      <c r="AK2182">
        <v>12.337980612075</v>
      </c>
    </row>
    <row r="2183" spans="1:37" x14ac:dyDescent="0.2">
      <c r="A2183" t="str">
        <f>"20200111153439752"</f>
        <v>20200111153439752</v>
      </c>
      <c r="B2183" t="str">
        <f>"1578728079747881"</f>
        <v>1578728079747881</v>
      </c>
      <c r="C2183" t="s">
        <v>37</v>
      </c>
      <c r="D2183">
        <v>4.2971959999999996</v>
      </c>
      <c r="E2183">
        <v>0.36176570000000002</v>
      </c>
      <c r="F2183" t="s">
        <v>50</v>
      </c>
      <c r="G2183">
        <v>-485.28070000000002</v>
      </c>
      <c r="H2183" s="1">
        <v>5.6938539999999998E-7</v>
      </c>
      <c r="I2183">
        <v>272.40050000000002</v>
      </c>
      <c r="J2183">
        <v>-478.40859999999998</v>
      </c>
      <c r="K2183">
        <v>1.1165419999999999</v>
      </c>
      <c r="L2183">
        <v>282.7577</v>
      </c>
      <c r="M2183">
        <v>-0.94210550000000004</v>
      </c>
      <c r="N2183">
        <v>0</v>
      </c>
      <c r="O2183">
        <v>-0.33497259999999901</v>
      </c>
      <c r="P2183">
        <v>-0.79368099999999997</v>
      </c>
      <c r="Q2183">
        <v>6.480329E-2</v>
      </c>
      <c r="R2183">
        <v>-0.60487270000000004</v>
      </c>
      <c r="S2183">
        <v>-1.7927249999999999</v>
      </c>
      <c r="T2183">
        <v>-0.2846535</v>
      </c>
      <c r="U2183">
        <v>-2.6564640000000002</v>
      </c>
      <c r="V2183">
        <v>-0.30611329999999998</v>
      </c>
      <c r="W2183">
        <v>7.0735279999999998E-2</v>
      </c>
      <c r="X2183">
        <v>0.94936359999999997</v>
      </c>
      <c r="Y2183">
        <v>-0.5926477</v>
      </c>
      <c r="Z2183">
        <v>2.2809649999999998E-3</v>
      </c>
      <c r="AA2183">
        <v>0.80545849999999997</v>
      </c>
      <c r="AB2183">
        <v>32</v>
      </c>
      <c r="AC2183">
        <v>-6.8721000000000396</v>
      </c>
      <c r="AD2183">
        <v>-1.1165414306146</v>
      </c>
      <c r="AE2183">
        <v>-10.357199999999899</v>
      </c>
      <c r="AF2183">
        <v>-7.3967837256643598</v>
      </c>
      <c r="AG2183">
        <v>-1.1165414306146</v>
      </c>
      <c r="AH2183">
        <v>9.8651643890524205</v>
      </c>
      <c r="AI2183">
        <v>95.174214471537297</v>
      </c>
      <c r="AJ2183">
        <v>126.862129836577</v>
      </c>
      <c r="AK2183">
        <v>12.3806519486479</v>
      </c>
    </row>
    <row r="2184" spans="1:37" x14ac:dyDescent="0.2">
      <c r="A2184" t="str">
        <f>"20200111153439764"</f>
        <v>20200111153439764</v>
      </c>
      <c r="B2184" t="str">
        <f>"1578728079758617"</f>
        <v>1578728079758617</v>
      </c>
      <c r="C2184" t="s">
        <v>37</v>
      </c>
      <c r="D2184">
        <v>4.3438540000000003</v>
      </c>
      <c r="E2184">
        <v>0.36285450000000002</v>
      </c>
      <c r="F2184" t="s">
        <v>40</v>
      </c>
      <c r="G2184">
        <v>-478.94229999999999</v>
      </c>
      <c r="H2184">
        <v>1.031379</v>
      </c>
      <c r="I2184">
        <v>281.94889999999998</v>
      </c>
      <c r="J2184">
        <v>-478.56420000000003</v>
      </c>
      <c r="K2184">
        <v>1.116601</v>
      </c>
      <c r="L2184">
        <v>282.695999999999</v>
      </c>
      <c r="M2184">
        <v>-0.93971579999999999</v>
      </c>
      <c r="N2184">
        <v>0</v>
      </c>
      <c r="O2184">
        <v>-0.3416187</v>
      </c>
      <c r="P2184">
        <v>-0.787574199999999</v>
      </c>
      <c r="Q2184">
        <v>6.5621579999999999E-2</v>
      </c>
      <c r="R2184">
        <v>-0.61271600000000004</v>
      </c>
      <c r="S2184">
        <v>-1.764343</v>
      </c>
      <c r="T2184">
        <v>-0.28157650000000001</v>
      </c>
      <c r="U2184">
        <v>-2.674744</v>
      </c>
      <c r="V2184">
        <v>-0.30888349999999998</v>
      </c>
      <c r="W2184">
        <v>7.1426390000000006E-2</v>
      </c>
      <c r="X2184">
        <v>0.94841409999999904</v>
      </c>
      <c r="Y2184">
        <v>-0.59547069999999902</v>
      </c>
      <c r="Z2184">
        <v>2.7482979999999902E-3</v>
      </c>
      <c r="AA2184">
        <v>0.80337230000000004</v>
      </c>
      <c r="AB2184">
        <v>32</v>
      </c>
      <c r="AC2184">
        <v>-0.37809999999996002</v>
      </c>
      <c r="AD2184">
        <v>-8.5221999999999895E-2</v>
      </c>
      <c r="AE2184">
        <v>-0.747099999999989</v>
      </c>
      <c r="AF2184">
        <v>-0.56708740616520803</v>
      </c>
      <c r="AG2184">
        <v>-8.5221999999999895E-2</v>
      </c>
      <c r="AH2184">
        <v>0.60434008681968698</v>
      </c>
      <c r="AI2184">
        <v>95.871250202646095</v>
      </c>
      <c r="AJ2184">
        <v>133.178545146277</v>
      </c>
      <c r="AK2184">
        <v>0.83311335126284602</v>
      </c>
    </row>
    <row r="2185" spans="1:37" x14ac:dyDescent="0.2">
      <c r="A2185" t="str">
        <f>"20200111153439776"</f>
        <v>20200111153439776</v>
      </c>
      <c r="B2185" t="str">
        <f>"1578728079768377"</f>
        <v>1578728079768377</v>
      </c>
      <c r="C2185" t="s">
        <v>37</v>
      </c>
      <c r="D2185">
        <v>4.483962</v>
      </c>
      <c r="E2185">
        <v>0.36143009999999998</v>
      </c>
      <c r="F2185" t="s">
        <v>50</v>
      </c>
      <c r="G2185">
        <v>-485.54070000000002</v>
      </c>
      <c r="H2185" s="1">
        <v>4.3180479999999998E-7</v>
      </c>
      <c r="I2185">
        <v>271.9461</v>
      </c>
      <c r="J2185">
        <v>-478.72550000000001</v>
      </c>
      <c r="K2185">
        <v>1.116665</v>
      </c>
      <c r="L2185">
        <v>282.6309</v>
      </c>
      <c r="M2185">
        <v>-0.93716869999999997</v>
      </c>
      <c r="N2185">
        <v>0</v>
      </c>
      <c r="O2185">
        <v>-0.348545099999999</v>
      </c>
      <c r="P2185">
        <v>-0.78144159999999996</v>
      </c>
      <c r="Q2185">
        <v>6.6255960000000003E-2</v>
      </c>
      <c r="R2185">
        <v>-0.62045099999999997</v>
      </c>
      <c r="S2185">
        <v>-1.7430110000000001</v>
      </c>
      <c r="T2185">
        <v>-0.27897179999999999</v>
      </c>
      <c r="U2185">
        <v>-2.6857599999999899</v>
      </c>
      <c r="V2185">
        <v>-0.31128309999999998</v>
      </c>
      <c r="W2185">
        <v>7.1944330000000001E-2</v>
      </c>
      <c r="X2185">
        <v>0.94758999999999904</v>
      </c>
      <c r="Y2185">
        <v>-0.59557009999999999</v>
      </c>
      <c r="Z2185">
        <v>3.3950640000000002E-3</v>
      </c>
      <c r="AA2185">
        <v>0.80329609999999996</v>
      </c>
      <c r="AB2185">
        <v>32</v>
      </c>
      <c r="AC2185">
        <v>-6.8151999999999999</v>
      </c>
      <c r="AD2185">
        <v>-1.1166645681952001</v>
      </c>
      <c r="AE2185">
        <v>-10.6847999999999</v>
      </c>
      <c r="AF2185">
        <v>-7.5800890451765897</v>
      </c>
      <c r="AG2185">
        <v>-1.1166645681952001</v>
      </c>
      <c r="AH2185">
        <v>10.0343917313376</v>
      </c>
      <c r="AI2185">
        <v>95.074317798409197</v>
      </c>
      <c r="AJ2185">
        <v>127.067797344989</v>
      </c>
      <c r="AK2185">
        <v>12.6251220631171</v>
      </c>
    </row>
    <row r="2186" spans="1:37" x14ac:dyDescent="0.2">
      <c r="A2186" t="str">
        <f>"20200111153439788"</f>
        <v>20200111153439788</v>
      </c>
      <c r="B2186" t="str">
        <f>"1578728079778670"</f>
        <v>1578728079778670</v>
      </c>
      <c r="C2186" t="s">
        <v>37</v>
      </c>
      <c r="D2186">
        <v>4.2928290000000002</v>
      </c>
      <c r="E2186">
        <v>0.36133779999999999</v>
      </c>
      <c r="F2186" t="s">
        <v>40</v>
      </c>
      <c r="G2186">
        <v>-479.2115</v>
      </c>
      <c r="H2186">
        <v>1.0409059999999899</v>
      </c>
      <c r="I2186">
        <v>281.85930000000002</v>
      </c>
      <c r="J2186">
        <v>-478.87729999999999</v>
      </c>
      <c r="K2186">
        <v>1.116724</v>
      </c>
      <c r="L2186">
        <v>282.5677</v>
      </c>
      <c r="M2186">
        <v>-0.93469199999999997</v>
      </c>
      <c r="N2186">
        <v>0</v>
      </c>
      <c r="O2186">
        <v>-0.35513319999999998</v>
      </c>
      <c r="P2186">
        <v>-0.77567589999999997</v>
      </c>
      <c r="Q2186">
        <v>6.6671690000000006E-2</v>
      </c>
      <c r="R2186">
        <v>-0.62760039999999995</v>
      </c>
      <c r="S2186">
        <v>-1.708008</v>
      </c>
      <c r="T2186">
        <v>-0.26626499999999997</v>
      </c>
      <c r="U2186">
        <v>-2.712402</v>
      </c>
      <c r="V2186">
        <v>-0.31335059999999998</v>
      </c>
      <c r="W2186">
        <v>7.2257740000000001E-2</v>
      </c>
      <c r="X2186">
        <v>0.94688449999999902</v>
      </c>
      <c r="Y2186">
        <v>-0.60097650000000002</v>
      </c>
      <c r="Z2186">
        <v>3.5611929999999998E-3</v>
      </c>
      <c r="AA2186">
        <v>0.79925880000000005</v>
      </c>
      <c r="AB2186">
        <v>32</v>
      </c>
      <c r="AC2186">
        <v>-0.33420000000000899</v>
      </c>
      <c r="AD2186">
        <v>-7.5818000000000094E-2</v>
      </c>
      <c r="AE2186">
        <v>-0.70839999999998304</v>
      </c>
      <c r="AF2186">
        <v>-0.53846798319840805</v>
      </c>
      <c r="AG2186">
        <v>-7.5818000000000094E-2</v>
      </c>
      <c r="AH2186">
        <v>0.558780167385312</v>
      </c>
      <c r="AI2186">
        <v>95.580260455761106</v>
      </c>
      <c r="AJ2186">
        <v>133.939465506034</v>
      </c>
      <c r="AK2186">
        <v>0.779699566190028</v>
      </c>
    </row>
    <row r="2187" spans="1:37" x14ac:dyDescent="0.2">
      <c r="A2187" t="str">
        <f>"20200111153439803"</f>
        <v>20200111153439803</v>
      </c>
      <c r="B2187" t="str">
        <f>"1578728079798190"</f>
        <v>1578728079798190</v>
      </c>
      <c r="C2187" t="s">
        <v>37</v>
      </c>
      <c r="D2187">
        <v>4.2447269999999904</v>
      </c>
      <c r="E2187">
        <v>0.36214239999999998</v>
      </c>
      <c r="F2187" t="s">
        <v>50</v>
      </c>
      <c r="G2187">
        <v>-486.19499999999999</v>
      </c>
      <c r="H2187" s="1">
        <v>1.89667899999999E-7</v>
      </c>
      <c r="I2187">
        <v>270.69330000000002</v>
      </c>
      <c r="J2187">
        <v>-479.06439999999998</v>
      </c>
      <c r="K2187">
        <v>1.116792</v>
      </c>
      <c r="L2187">
        <v>282.48860000000002</v>
      </c>
      <c r="M2187">
        <v>-0.93154999999999999</v>
      </c>
      <c r="N2187">
        <v>0</v>
      </c>
      <c r="O2187">
        <v>-0.36329420000000001</v>
      </c>
      <c r="P2187">
        <v>-0.76907590000000003</v>
      </c>
      <c r="Q2187">
        <v>6.6980529999999996E-2</v>
      </c>
      <c r="R2187">
        <v>-0.63563840000000005</v>
      </c>
      <c r="S2187">
        <v>-1.681732</v>
      </c>
      <c r="T2187">
        <v>-0.25663910000000001</v>
      </c>
      <c r="U2187">
        <v>-2.7289119999999998</v>
      </c>
      <c r="V2187">
        <v>-0.31495630000000002</v>
      </c>
      <c r="W2187">
        <v>7.2470800000000002E-2</v>
      </c>
      <c r="X2187">
        <v>0.94633529999999999</v>
      </c>
      <c r="Y2187">
        <v>-0.60180049999999996</v>
      </c>
      <c r="Z2187">
        <v>4.1263350000000001E-3</v>
      </c>
      <c r="AA2187">
        <v>0.79863580000000001</v>
      </c>
      <c r="AB2187">
        <v>32</v>
      </c>
      <c r="AC2187">
        <v>-7.13060000000001</v>
      </c>
      <c r="AD2187">
        <v>-1.1167918103321</v>
      </c>
      <c r="AE2187">
        <v>-11.7952999999999</v>
      </c>
      <c r="AF2187">
        <v>-8.3436024826890893</v>
      </c>
      <c r="AG2187">
        <v>-1.1167918103321</v>
      </c>
      <c r="AH2187">
        <v>10.857659037168901</v>
      </c>
      <c r="AI2187">
        <v>94.662607747173197</v>
      </c>
      <c r="AJ2187">
        <v>127.54059078821</v>
      </c>
      <c r="AK2187">
        <v>13.7386930275109</v>
      </c>
    </row>
    <row r="2188" spans="1:37" x14ac:dyDescent="0.2">
      <c r="A2188" t="str">
        <f>"20200111153439816"</f>
        <v>20200111153439816</v>
      </c>
      <c r="B2188" t="str">
        <f>"1578728079807950"</f>
        <v>1578728079807950</v>
      </c>
      <c r="C2188" t="s">
        <v>37</v>
      </c>
      <c r="D2188">
        <v>4.2697389999999897</v>
      </c>
      <c r="E2188">
        <v>0.36255479999999901</v>
      </c>
      <c r="F2188" t="s">
        <v>50</v>
      </c>
      <c r="G2188">
        <v>-486.61610000000002</v>
      </c>
      <c r="H2188" s="1">
        <v>6.4317069999999995E-8</v>
      </c>
      <c r="I2188">
        <v>269.98149999999998</v>
      </c>
      <c r="J2188">
        <v>-479.24439999999998</v>
      </c>
      <c r="K2188">
        <v>1.1168559999999901</v>
      </c>
      <c r="L2188">
        <v>282.41059999999999</v>
      </c>
      <c r="M2188">
        <v>-0.92842159999999996</v>
      </c>
      <c r="N2188">
        <v>0</v>
      </c>
      <c r="O2188">
        <v>-0.37121520000000002</v>
      </c>
      <c r="P2188">
        <v>-0.76247900000000002</v>
      </c>
      <c r="Q2188">
        <v>6.7209619999999998E-2</v>
      </c>
      <c r="R2188">
        <v>-0.6435128</v>
      </c>
      <c r="S2188">
        <v>-1.6557009999999901</v>
      </c>
      <c r="T2188">
        <v>-0.24485689999999999</v>
      </c>
      <c r="U2188">
        <v>-2.7421880000000001</v>
      </c>
      <c r="V2188">
        <v>-0.31665529999999997</v>
      </c>
      <c r="W2188">
        <v>7.2602550000000002E-2</v>
      </c>
      <c r="X2188">
        <v>0.94575799999999999</v>
      </c>
      <c r="Y2188">
        <v>-0.60234209999999999</v>
      </c>
      <c r="Z2188">
        <v>4.5979769999999996E-3</v>
      </c>
      <c r="AA2188">
        <v>0.79822479999999996</v>
      </c>
      <c r="AB2188">
        <v>32</v>
      </c>
      <c r="AC2188">
        <v>-7.3717000000000299</v>
      </c>
      <c r="AD2188">
        <v>-1.11685593568293</v>
      </c>
      <c r="AE2188">
        <v>-12.4291</v>
      </c>
      <c r="AF2188">
        <v>-8.7517054274294708</v>
      </c>
      <c r="AG2188">
        <v>-1.11685593568293</v>
      </c>
      <c r="AH2188">
        <v>11.3912063174023</v>
      </c>
      <c r="AI2188">
        <v>94.445726319574405</v>
      </c>
      <c r="AJ2188">
        <v>127.534571814355</v>
      </c>
      <c r="AK2188">
        <v>14.408306508233199</v>
      </c>
    </row>
    <row r="2189" spans="1:37" x14ac:dyDescent="0.2">
      <c r="A2189" t="str">
        <f>"20200111153439828"</f>
        <v>20200111153439828</v>
      </c>
      <c r="B2189" t="str">
        <f>"1578728079818686"</f>
        <v>1578728079818686</v>
      </c>
      <c r="C2189" t="s">
        <v>37</v>
      </c>
      <c r="D2189">
        <v>4.2450650000000003</v>
      </c>
      <c r="E2189">
        <v>0.36336839999999998</v>
      </c>
      <c r="F2189" t="s">
        <v>40</v>
      </c>
      <c r="G2189">
        <v>-479.7122</v>
      </c>
      <c r="H2189">
        <v>1.0479240000000001</v>
      </c>
      <c r="I2189">
        <v>281.62009999999998</v>
      </c>
      <c r="J2189">
        <v>-479.40010000000001</v>
      </c>
      <c r="K2189">
        <v>1.116897</v>
      </c>
      <c r="L2189">
        <v>282.34129999999999</v>
      </c>
      <c r="M2189">
        <v>-0.92562710000000004</v>
      </c>
      <c r="N2189">
        <v>0</v>
      </c>
      <c r="O2189">
        <v>-0.37812879999999999</v>
      </c>
      <c r="P2189">
        <v>-0.75539789999999996</v>
      </c>
      <c r="Q2189">
        <v>6.6284919999999997E-2</v>
      </c>
      <c r="R2189">
        <v>-0.65190539999999997</v>
      </c>
      <c r="S2189">
        <v>-1.6292719999999901</v>
      </c>
      <c r="T2189">
        <v>-0.24007239999999999</v>
      </c>
      <c r="U2189">
        <v>-2.7565</v>
      </c>
      <c r="V2189">
        <v>-0.32001439999999998</v>
      </c>
      <c r="W2189">
        <v>7.153197E-2</v>
      </c>
      <c r="X2189">
        <v>0.9447084</v>
      </c>
      <c r="Y2189">
        <v>-0.60390859999999902</v>
      </c>
      <c r="Z2189">
        <v>5.02218299999999E-3</v>
      </c>
      <c r="AA2189">
        <v>0.79703780000000002</v>
      </c>
      <c r="AB2189">
        <v>32</v>
      </c>
      <c r="AC2189">
        <v>-0.312099999999986</v>
      </c>
      <c r="AD2189">
        <v>-6.8972999999999896E-2</v>
      </c>
      <c r="AE2189">
        <v>-0.72120000000001006</v>
      </c>
      <c r="AF2189">
        <v>-0.54541067400185395</v>
      </c>
      <c r="AG2189">
        <v>-6.8972999999999896E-2</v>
      </c>
      <c r="AH2189">
        <v>0.55736641782105101</v>
      </c>
      <c r="AI2189">
        <v>95.054460939372902</v>
      </c>
      <c r="AJ2189">
        <v>134.37885287026</v>
      </c>
      <c r="AK2189">
        <v>0.78287125490646803</v>
      </c>
    </row>
    <row r="2190" spans="1:37" x14ac:dyDescent="0.2">
      <c r="A2190" t="str">
        <f>"20200111153439841"</f>
        <v>20200111153439841</v>
      </c>
      <c r="B2190" t="str">
        <f>"1578728079838205"</f>
        <v>1578728079838205</v>
      </c>
      <c r="C2190" t="s">
        <v>37</v>
      </c>
      <c r="D2190">
        <v>4.2595299999999998</v>
      </c>
      <c r="E2190">
        <v>0.36434030000000001</v>
      </c>
      <c r="F2190" t="s">
        <v>39</v>
      </c>
      <c r="G2190">
        <v>-486.79520000000002</v>
      </c>
      <c r="H2190" s="1">
        <v>-4.8291050000000004E-6</v>
      </c>
      <c r="I2190">
        <v>269.56439999999998</v>
      </c>
      <c r="J2190">
        <v>-479.55869999999999</v>
      </c>
      <c r="K2190">
        <v>1.1169450000000001</v>
      </c>
      <c r="L2190">
        <v>282.26979999999998</v>
      </c>
      <c r="M2190">
        <v>-0.92270790000000003</v>
      </c>
      <c r="N2190">
        <v>0</v>
      </c>
      <c r="O2190">
        <v>-0.3851965</v>
      </c>
      <c r="P2190">
        <v>-0.74955709999999998</v>
      </c>
      <c r="Q2190">
        <v>6.5860639999999998E-2</v>
      </c>
      <c r="R2190">
        <v>-0.65865499999999999</v>
      </c>
      <c r="S2190">
        <v>-1.602814</v>
      </c>
      <c r="T2190">
        <v>-0.24207600000000001</v>
      </c>
      <c r="U2190">
        <v>-2.7692570000000001</v>
      </c>
      <c r="V2190">
        <v>-0.32124910000000001</v>
      </c>
      <c r="W2190">
        <v>7.1031620000000004E-2</v>
      </c>
      <c r="X2190">
        <v>0.94432700000000003</v>
      </c>
      <c r="Y2190">
        <v>-0.60510589999999997</v>
      </c>
      <c r="Z2190">
        <v>5.617464E-3</v>
      </c>
      <c r="AA2190">
        <v>0.79612519999999998</v>
      </c>
      <c r="AB2190">
        <v>32</v>
      </c>
      <c r="AC2190">
        <v>-7.2365000000000297</v>
      </c>
      <c r="AD2190">
        <v>-1.116949829105</v>
      </c>
      <c r="AE2190">
        <v>-12.7053999999999</v>
      </c>
      <c r="AF2190">
        <v>-8.8850950191417599</v>
      </c>
      <c r="AG2190">
        <v>-1.116949829105</v>
      </c>
      <c r="AH2190">
        <v>11.5054650383424</v>
      </c>
      <c r="AI2190">
        <v>94.393724974547396</v>
      </c>
      <c r="AJ2190">
        <v>127.677113375044</v>
      </c>
      <c r="AK2190">
        <v>14.5797193446388</v>
      </c>
    </row>
    <row r="2191" spans="1:37" x14ac:dyDescent="0.2">
      <c r="A2191" t="str">
        <f>"20200111153439852"</f>
        <v>20200111153439852</v>
      </c>
      <c r="B2191" t="str">
        <f>"1578728079847966"</f>
        <v>1578728079847966</v>
      </c>
      <c r="C2191" t="s">
        <v>37</v>
      </c>
      <c r="D2191">
        <v>4.2492779999999897</v>
      </c>
      <c r="E2191">
        <v>0.36498390000000003</v>
      </c>
      <c r="F2191" t="s">
        <v>39</v>
      </c>
      <c r="G2191">
        <v>-486.9898</v>
      </c>
      <c r="H2191" s="1">
        <v>-4.6486599999999998E-6</v>
      </c>
      <c r="I2191">
        <v>269.2242</v>
      </c>
      <c r="J2191">
        <v>-479.71910000000003</v>
      </c>
      <c r="K2191">
        <v>1.1169990000000001</v>
      </c>
      <c r="L2191">
        <v>282.19540000000001</v>
      </c>
      <c r="M2191">
        <v>-0.91965849999999905</v>
      </c>
      <c r="N2191">
        <v>0</v>
      </c>
      <c r="O2191">
        <v>-0.39242090000000002</v>
      </c>
      <c r="P2191">
        <v>-0.74377609999999905</v>
      </c>
      <c r="Q2191">
        <v>6.5138970000000004E-2</v>
      </c>
      <c r="R2191">
        <v>-0.66524759999999905</v>
      </c>
      <c r="S2191">
        <v>-1.582306</v>
      </c>
      <c r="T2191">
        <v>-0.23783370000000001</v>
      </c>
      <c r="U2191">
        <v>-2.7778019999999999</v>
      </c>
      <c r="V2191">
        <v>-0.32214729999999903</v>
      </c>
      <c r="W2191">
        <v>7.0245360000000007E-2</v>
      </c>
      <c r="X2191">
        <v>0.94407980000000002</v>
      </c>
      <c r="Y2191">
        <v>-0.6043868</v>
      </c>
      <c r="Z2191">
        <v>6.171513E-3</v>
      </c>
      <c r="AA2191">
        <v>0.79666719999999902</v>
      </c>
      <c r="AB2191">
        <v>32</v>
      </c>
      <c r="AC2191">
        <v>-7.2706999999999704</v>
      </c>
      <c r="AD2191">
        <v>-1.1170036486599999</v>
      </c>
      <c r="AE2191">
        <v>-12.9712</v>
      </c>
      <c r="AF2191">
        <v>-9.0260305016678899</v>
      </c>
      <c r="AG2191">
        <v>-1.1170036486599999</v>
      </c>
      <c r="AH2191">
        <v>11.7120216248702</v>
      </c>
      <c r="AI2191">
        <v>94.320038940765102</v>
      </c>
      <c r="AJ2191">
        <v>127.62013821641401</v>
      </c>
      <c r="AK2191">
        <v>14.828633595499801</v>
      </c>
    </row>
    <row r="2192" spans="1:37" x14ac:dyDescent="0.2">
      <c r="A2192" t="str">
        <f>"20200111153439864"</f>
        <v>20200111153439864</v>
      </c>
      <c r="B2192" t="str">
        <f>"1578728079858702"</f>
        <v>1578728079858702</v>
      </c>
      <c r="C2192" t="s">
        <v>37</v>
      </c>
      <c r="D2192">
        <v>4.2146739999999996</v>
      </c>
      <c r="E2192">
        <v>0.36564429999999998</v>
      </c>
      <c r="F2192" t="s">
        <v>40</v>
      </c>
      <c r="G2192">
        <v>-480.19209999999998</v>
      </c>
      <c r="H2192">
        <v>1.0452489999999901</v>
      </c>
      <c r="I2192">
        <v>281.35070000000002</v>
      </c>
      <c r="J2192">
        <v>-479.85610000000003</v>
      </c>
      <c r="K2192">
        <v>1.1170450000000001</v>
      </c>
      <c r="L2192">
        <v>282.13080000000002</v>
      </c>
      <c r="M2192">
        <v>-0.91698899999999905</v>
      </c>
      <c r="N2192">
        <v>0</v>
      </c>
      <c r="O2192">
        <v>-0.39861829999999998</v>
      </c>
      <c r="P2192">
        <v>-0.73905189999999998</v>
      </c>
      <c r="Q2192">
        <v>6.4779409999999996E-2</v>
      </c>
      <c r="R2192">
        <v>-0.67052670000000003</v>
      </c>
      <c r="S2192">
        <v>-1.5605770000000001</v>
      </c>
      <c r="T2192">
        <v>-0.23675470000000001</v>
      </c>
      <c r="U2192">
        <v>-2.7879640000000001</v>
      </c>
      <c r="V2192">
        <v>-0.32248589999999999</v>
      </c>
      <c r="W2192">
        <v>6.9845340000000006E-2</v>
      </c>
      <c r="X2192">
        <v>0.94399390000000005</v>
      </c>
      <c r="Y2192">
        <v>-0.60498909999999995</v>
      </c>
      <c r="Z2192">
        <v>6.6435859999999999E-3</v>
      </c>
      <c r="AA2192">
        <v>0.79620609999999903</v>
      </c>
      <c r="AB2192">
        <v>32</v>
      </c>
      <c r="AC2192">
        <v>-0.335999999999955</v>
      </c>
      <c r="AD2192">
        <v>-7.1796000000000096E-2</v>
      </c>
      <c r="AE2192">
        <v>-0.78010000000000401</v>
      </c>
      <c r="AF2192">
        <v>-0.577350506251608</v>
      </c>
      <c r="AG2192">
        <v>-7.1796000000000096E-2</v>
      </c>
      <c r="AH2192">
        <v>0.61475077582822102</v>
      </c>
      <c r="AI2192">
        <v>94.865922838719101</v>
      </c>
      <c r="AJ2192">
        <v>133.20302605543</v>
      </c>
      <c r="AK2192">
        <v>0.846408169305087</v>
      </c>
    </row>
    <row r="2193" spans="1:37" x14ac:dyDescent="0.2">
      <c r="A2193" t="str">
        <f>"20200111153439875"</f>
        <v>20200111153439875</v>
      </c>
      <c r="B2193" t="str">
        <f>"1578728079868462"</f>
        <v>1578728079868462</v>
      </c>
      <c r="C2193" t="s">
        <v>37</v>
      </c>
      <c r="D2193">
        <v>4.2415089999999998</v>
      </c>
      <c r="E2193">
        <v>0.3662974</v>
      </c>
      <c r="F2193" t="s">
        <v>39</v>
      </c>
      <c r="G2193">
        <v>-487.22320000000002</v>
      </c>
      <c r="H2193" s="1">
        <v>-4.4203519999999996E-6</v>
      </c>
      <c r="I2193">
        <v>268.78859999999997</v>
      </c>
      <c r="J2193">
        <v>-480.01260000000002</v>
      </c>
      <c r="K2193">
        <v>1.1171</v>
      </c>
      <c r="L2193">
        <v>282.0557</v>
      </c>
      <c r="M2193">
        <v>-0.9138598</v>
      </c>
      <c r="N2193">
        <v>0</v>
      </c>
      <c r="O2193">
        <v>-0.40573999999999999</v>
      </c>
      <c r="P2193">
        <v>-0.73376009999999903</v>
      </c>
      <c r="Q2193">
        <v>6.457976E-2</v>
      </c>
      <c r="R2193">
        <v>-0.67633219999999905</v>
      </c>
      <c r="S2193">
        <v>-1.5435490000000001</v>
      </c>
      <c r="T2193">
        <v>-0.23404229999999901</v>
      </c>
      <c r="U2193">
        <v>-2.7954409999999998</v>
      </c>
      <c r="V2193">
        <v>-0.32258219999999999</v>
      </c>
      <c r="W2193">
        <v>6.9609399999999905E-2</v>
      </c>
      <c r="X2193">
        <v>0.9439784</v>
      </c>
      <c r="Y2193">
        <v>-0.60344069999999905</v>
      </c>
      <c r="Z2193">
        <v>7.2419590000000001E-3</v>
      </c>
      <c r="AA2193">
        <v>0.79737499999999994</v>
      </c>
      <c r="AB2193">
        <v>32</v>
      </c>
      <c r="AC2193">
        <v>-7.2105999999999897</v>
      </c>
      <c r="AD2193">
        <v>-1.117104420352</v>
      </c>
      <c r="AE2193">
        <v>-13.267099999999999</v>
      </c>
      <c r="AF2193">
        <v>-9.1496457608838302</v>
      </c>
      <c r="AG2193">
        <v>-1.117104420352</v>
      </c>
      <c r="AH2193">
        <v>11.9087016201482</v>
      </c>
      <c r="AI2193">
        <v>94.254142856582405</v>
      </c>
      <c r="AJ2193">
        <v>127.535648517246</v>
      </c>
      <c r="AK2193">
        <v>15.0592534381141</v>
      </c>
    </row>
    <row r="2194" spans="1:37" x14ac:dyDescent="0.2">
      <c r="A2194" t="str">
        <f>"20200111153439887"</f>
        <v>20200111153439887</v>
      </c>
      <c r="B2194" t="str">
        <f>"1578728079878769"</f>
        <v>1578728079878769</v>
      </c>
      <c r="C2194" t="s">
        <v>37</v>
      </c>
      <c r="D2194">
        <v>4.2248939999999999</v>
      </c>
      <c r="E2194">
        <v>0.36689670000000002</v>
      </c>
      <c r="F2194" t="s">
        <v>40</v>
      </c>
      <c r="G2194">
        <v>-480.45319999999998</v>
      </c>
      <c r="H2194">
        <v>1.050368</v>
      </c>
      <c r="I2194">
        <v>281.24549999999999</v>
      </c>
      <c r="J2194">
        <v>-480.15929999999997</v>
      </c>
      <c r="K2194">
        <v>1.1171519999999999</v>
      </c>
      <c r="L2194">
        <v>281.98349999999999</v>
      </c>
      <c r="M2194">
        <v>-0.91083429999999999</v>
      </c>
      <c r="N2194">
        <v>0</v>
      </c>
      <c r="O2194">
        <v>-0.41248669999999998</v>
      </c>
      <c r="P2194">
        <v>-0.72901349999999998</v>
      </c>
      <c r="Q2194">
        <v>6.4735020000000004E-2</v>
      </c>
      <c r="R2194">
        <v>-0.68143169999999897</v>
      </c>
      <c r="S2194">
        <v>-1.524384</v>
      </c>
      <c r="T2194">
        <v>-0.23084579999999999</v>
      </c>
      <c r="U2194">
        <v>-2.8038639999999999</v>
      </c>
      <c r="V2194">
        <v>-0.32220320000000002</v>
      </c>
      <c r="W2194">
        <v>6.9746870000000002E-2</v>
      </c>
      <c r="X2194">
        <v>0.94409769999999904</v>
      </c>
      <c r="Y2194">
        <v>-0.60278240000000005</v>
      </c>
      <c r="Z2194">
        <v>7.7382919999999999E-3</v>
      </c>
      <c r="AA2194">
        <v>0.79786809999999997</v>
      </c>
      <c r="AB2194">
        <v>32</v>
      </c>
      <c r="AC2194">
        <v>-0.29390000000000699</v>
      </c>
      <c r="AD2194">
        <v>-6.6784000000000093E-2</v>
      </c>
      <c r="AE2194">
        <v>-0.73799999999999899</v>
      </c>
      <c r="AF2194">
        <v>-0.54716339789999002</v>
      </c>
      <c r="AG2194">
        <v>-6.6784000000000093E-2</v>
      </c>
      <c r="AH2194">
        <v>0.56816098968127404</v>
      </c>
      <c r="AI2194">
        <v>94.839465454754404</v>
      </c>
      <c r="AJ2194">
        <v>133.921451646246</v>
      </c>
      <c r="AK2194">
        <v>0.79161530862728302</v>
      </c>
    </row>
    <row r="2195" spans="1:37" x14ac:dyDescent="0.2">
      <c r="A2195" t="str">
        <f>"20200111153439900"</f>
        <v>20200111153439900</v>
      </c>
      <c r="B2195" t="str">
        <f>"1578728079888529"</f>
        <v>1578728079888529</v>
      </c>
      <c r="C2195" t="s">
        <v>37</v>
      </c>
      <c r="D2195">
        <v>4.2134199999999904</v>
      </c>
      <c r="E2195">
        <v>0.36753789999999997</v>
      </c>
      <c r="F2195" t="s">
        <v>39</v>
      </c>
      <c r="G2195">
        <v>-487.57659999999998</v>
      </c>
      <c r="H2195" s="1">
        <v>-4.0848780000000003E-6</v>
      </c>
      <c r="I2195">
        <v>268.15269999999998</v>
      </c>
      <c r="J2195">
        <v>-480.3098</v>
      </c>
      <c r="K2195">
        <v>1.117208</v>
      </c>
      <c r="L2195">
        <v>281.90870000000001</v>
      </c>
      <c r="M2195">
        <v>-0.90766460000000004</v>
      </c>
      <c r="N2195">
        <v>0</v>
      </c>
      <c r="O2195">
        <v>-0.41941499999999998</v>
      </c>
      <c r="P2195">
        <v>-0.72398879999999999</v>
      </c>
      <c r="Q2195">
        <v>6.4886940000000004E-2</v>
      </c>
      <c r="R2195">
        <v>-0.68675319999999995</v>
      </c>
      <c r="S2195">
        <v>-1.5075989999999999</v>
      </c>
      <c r="T2195">
        <v>-0.22706799999999999</v>
      </c>
      <c r="U2195">
        <v>-2.811188</v>
      </c>
      <c r="V2195">
        <v>-0.3219455</v>
      </c>
      <c r="W2195">
        <v>6.9875779999999998E-2</v>
      </c>
      <c r="X2195">
        <v>0.94417609999999996</v>
      </c>
      <c r="Y2195">
        <v>-0.60129790000000005</v>
      </c>
      <c r="Z2195">
        <v>8.2503719999999902E-3</v>
      </c>
      <c r="AA2195">
        <v>0.79898230000000003</v>
      </c>
      <c r="AB2195">
        <v>32</v>
      </c>
      <c r="AC2195">
        <v>-7.2667999999999804</v>
      </c>
      <c r="AD2195">
        <v>-1.1172120848780001</v>
      </c>
      <c r="AE2195">
        <v>-13.756</v>
      </c>
      <c r="AF2195">
        <v>-9.3907156647546994</v>
      </c>
      <c r="AG2195">
        <v>-1.1172120848780001</v>
      </c>
      <c r="AH2195">
        <v>12.3033015961582</v>
      </c>
      <c r="AI2195">
        <v>94.128587195782202</v>
      </c>
      <c r="AJ2195">
        <v>127.35333334442301</v>
      </c>
      <c r="AK2195">
        <v>15.517890762113799</v>
      </c>
    </row>
    <row r="2196" spans="1:37" x14ac:dyDescent="0.2">
      <c r="A2196" t="str">
        <f>"20200111153439912"</f>
        <v>20200111153439912</v>
      </c>
      <c r="B2196" t="str">
        <f>"1578728079908049"</f>
        <v>1578728079908049</v>
      </c>
      <c r="C2196" t="s">
        <v>37</v>
      </c>
      <c r="D2196">
        <v>4.2306989999999898</v>
      </c>
      <c r="E2196">
        <v>0.36871340000000002</v>
      </c>
      <c r="F2196" t="s">
        <v>39</v>
      </c>
      <c r="G2196">
        <v>-487.72370000000001</v>
      </c>
      <c r="H2196" s="1">
        <v>-3.94221E-6</v>
      </c>
      <c r="I2196">
        <v>267.88099999999997</v>
      </c>
      <c r="J2196">
        <v>-480.4796</v>
      </c>
      <c r="K2196">
        <v>1.117273</v>
      </c>
      <c r="L2196">
        <v>281.82159999999999</v>
      </c>
      <c r="M2196">
        <v>-0.90395949999999903</v>
      </c>
      <c r="N2196">
        <v>0</v>
      </c>
      <c r="O2196">
        <v>-0.42734109999999997</v>
      </c>
      <c r="P2196">
        <v>-0.71821780000000002</v>
      </c>
      <c r="Q2196">
        <v>6.4843239999999996E-2</v>
      </c>
      <c r="R2196">
        <v>-0.69279019999999902</v>
      </c>
      <c r="S2196">
        <v>-1.489868</v>
      </c>
      <c r="T2196">
        <v>-0.22450909999999999</v>
      </c>
      <c r="U2196">
        <v>-2.8189389999999999</v>
      </c>
      <c r="V2196">
        <v>-0.3215981</v>
      </c>
      <c r="W2196">
        <v>6.9807770000000005E-2</v>
      </c>
      <c r="X2196">
        <v>0.94429949999999996</v>
      </c>
      <c r="Y2196">
        <v>-0.59916809999999998</v>
      </c>
      <c r="Z2196">
        <v>8.8999089999999993E-3</v>
      </c>
      <c r="AA2196">
        <v>0.8005738</v>
      </c>
      <c r="AB2196">
        <v>32</v>
      </c>
      <c r="AC2196">
        <v>-7.2441000000000004</v>
      </c>
      <c r="AD2196">
        <v>-1.11727694221</v>
      </c>
      <c r="AE2196">
        <v>-13.9406</v>
      </c>
      <c r="AF2196">
        <v>-9.4593202577698303</v>
      </c>
      <c r="AG2196">
        <v>-1.11727694221</v>
      </c>
      <c r="AH2196">
        <v>12.444306785461199</v>
      </c>
      <c r="AI2196">
        <v>94.088355574775804</v>
      </c>
      <c r="AJ2196">
        <v>127.239640687104</v>
      </c>
      <c r="AK2196">
        <v>15.671241778344299</v>
      </c>
    </row>
    <row r="2197" spans="1:37" x14ac:dyDescent="0.2">
      <c r="A2197" t="str">
        <f>"20200111153439924"</f>
        <v>20200111153439924</v>
      </c>
      <c r="B2197" t="str">
        <f>"1578728079918787"</f>
        <v>1578728079918787</v>
      </c>
      <c r="C2197" t="s">
        <v>37</v>
      </c>
      <c r="D2197">
        <v>4.2546860000000004</v>
      </c>
      <c r="E2197">
        <v>0.3693149</v>
      </c>
      <c r="F2197" t="s">
        <v>40</v>
      </c>
      <c r="G2197">
        <v>-480.92540000000002</v>
      </c>
      <c r="H2197">
        <v>1.050384</v>
      </c>
      <c r="I2197">
        <v>280.96589999999998</v>
      </c>
      <c r="J2197">
        <v>-480.62790000000001</v>
      </c>
      <c r="K2197">
        <v>1.1173280000000001</v>
      </c>
      <c r="L2197">
        <v>281.74430000000001</v>
      </c>
      <c r="M2197">
        <v>-0.90063909999999903</v>
      </c>
      <c r="N2197">
        <v>0</v>
      </c>
      <c r="O2197">
        <v>-0.43429499999999999</v>
      </c>
      <c r="P2197">
        <v>-0.71323139999999996</v>
      </c>
      <c r="Q2197">
        <v>6.4847639999999998E-2</v>
      </c>
      <c r="R2197">
        <v>-0.69792240000000005</v>
      </c>
      <c r="S2197">
        <v>-1.471924</v>
      </c>
      <c r="T2197">
        <v>-0.22087289999999901</v>
      </c>
      <c r="U2197">
        <v>-2.8250120000000001</v>
      </c>
      <c r="V2197">
        <v>-0.32110290000000002</v>
      </c>
      <c r="W2197">
        <v>6.9797750000000006E-2</v>
      </c>
      <c r="X2197">
        <v>0.94446869999999905</v>
      </c>
      <c r="Y2197">
        <v>-0.59772650000000005</v>
      </c>
      <c r="Z2197">
        <v>9.3845669999999999E-3</v>
      </c>
      <c r="AA2197">
        <v>0.80164519999999995</v>
      </c>
      <c r="AB2197">
        <v>32</v>
      </c>
      <c r="AC2197">
        <v>-0.29750000000001298</v>
      </c>
      <c r="AD2197">
        <v>-6.6944000000000101E-2</v>
      </c>
      <c r="AE2197">
        <v>-0.77840000000003295</v>
      </c>
      <c r="AF2197">
        <v>-0.56825518658384599</v>
      </c>
      <c r="AG2197">
        <v>-6.6944000000000101E-2</v>
      </c>
      <c r="AH2197">
        <v>0.60218093637350201</v>
      </c>
      <c r="AI2197">
        <v>94.622485100022004</v>
      </c>
      <c r="AJ2197">
        <v>133.33971444853401</v>
      </c>
      <c r="AK2197">
        <v>0.83067282148094301</v>
      </c>
    </row>
    <row r="2198" spans="1:37" x14ac:dyDescent="0.2">
      <c r="A2198" t="str">
        <f>"20200111153439936"</f>
        <v>20200111153439936</v>
      </c>
      <c r="B2198" t="str">
        <f>"1578728079928545"</f>
        <v>1578728079928545</v>
      </c>
      <c r="C2198" t="s">
        <v>37</v>
      </c>
      <c r="D2198">
        <v>4.2078829999999998</v>
      </c>
      <c r="E2198">
        <v>0.36990190000000001</v>
      </c>
      <c r="F2198" t="s">
        <v>39</v>
      </c>
      <c r="G2198">
        <v>-488.06549999999999</v>
      </c>
      <c r="H2198" s="1">
        <v>-3.6161049999999999E-6</v>
      </c>
      <c r="I2198">
        <v>267.26209999999998</v>
      </c>
      <c r="J2198">
        <v>-480.7713</v>
      </c>
      <c r="K2198">
        <v>1.117386</v>
      </c>
      <c r="L2198">
        <v>281.66840000000002</v>
      </c>
      <c r="M2198">
        <v>-0.89734780000000003</v>
      </c>
      <c r="N2198">
        <v>0</v>
      </c>
      <c r="O2198">
        <v>-0.44105429999999901</v>
      </c>
      <c r="P2198">
        <v>-0.70807559999999903</v>
      </c>
      <c r="Q2198">
        <v>6.5324789999999994E-2</v>
      </c>
      <c r="R2198">
        <v>-0.70310819999999996</v>
      </c>
      <c r="S2198">
        <v>-1.45459</v>
      </c>
      <c r="T2198">
        <v>-0.21851869999999901</v>
      </c>
      <c r="U2198">
        <v>-2.832306</v>
      </c>
      <c r="V2198">
        <v>-0.3209378</v>
      </c>
      <c r="W2198">
        <v>7.0250129999999994E-2</v>
      </c>
      <c r="X2198">
        <v>0.94449130000000003</v>
      </c>
      <c r="Y2198">
        <v>-0.59644010000000003</v>
      </c>
      <c r="Z2198">
        <v>9.8819549999999996E-3</v>
      </c>
      <c r="AA2198">
        <v>0.80259669999999905</v>
      </c>
      <c r="AB2198">
        <v>32</v>
      </c>
      <c r="AC2198">
        <v>-7.2941999999999796</v>
      </c>
      <c r="AD2198">
        <v>-1.1173896161050001</v>
      </c>
      <c r="AE2198">
        <v>-14.4063</v>
      </c>
      <c r="AF2198">
        <v>-9.6651984035167295</v>
      </c>
      <c r="AG2198">
        <v>-1.1173896161050001</v>
      </c>
      <c r="AH2198">
        <v>12.8394499886668</v>
      </c>
      <c r="AI2198">
        <v>93.977351462726304</v>
      </c>
      <c r="AJ2198">
        <v>126.971466612366</v>
      </c>
      <c r="AK2198">
        <v>16.109503274309802</v>
      </c>
    </row>
    <row r="2199" spans="1:37" x14ac:dyDescent="0.2">
      <c r="A2199" t="str">
        <f>"20200111153439947"</f>
        <v>20200111153439947</v>
      </c>
      <c r="B2199" t="str">
        <f>"1578728079938304"</f>
        <v>1578728079938304</v>
      </c>
      <c r="C2199" t="s">
        <v>37</v>
      </c>
      <c r="D2199">
        <v>4.2102490000000001</v>
      </c>
      <c r="E2199">
        <v>0.37044739999999998</v>
      </c>
      <c r="F2199" t="s">
        <v>40</v>
      </c>
      <c r="G2199">
        <v>-481.18340000000001</v>
      </c>
      <c r="H2199">
        <v>1.055615</v>
      </c>
      <c r="I2199">
        <v>280.85419999999999</v>
      </c>
      <c r="J2199">
        <v>-480.90539999999999</v>
      </c>
      <c r="K2199">
        <v>1.117437</v>
      </c>
      <c r="L2199">
        <v>281.59550000000002</v>
      </c>
      <c r="M2199">
        <v>-0.89417719999999901</v>
      </c>
      <c r="N2199">
        <v>0</v>
      </c>
      <c r="O2199">
        <v>-0.44744689999999998</v>
      </c>
      <c r="P2199">
        <v>-0.70317689999999999</v>
      </c>
      <c r="Q2199">
        <v>6.5600229999999995E-2</v>
      </c>
      <c r="R2199">
        <v>-0.70798209999999995</v>
      </c>
      <c r="S2199">
        <v>-1.437073</v>
      </c>
      <c r="T2199">
        <v>-0.2153969</v>
      </c>
      <c r="U2199">
        <v>-2.8395999999999999</v>
      </c>
      <c r="V2199">
        <v>-0.32075100000000001</v>
      </c>
      <c r="W2199">
        <v>7.0503179999999999E-2</v>
      </c>
      <c r="X2199">
        <v>0.94453600000000004</v>
      </c>
      <c r="Y2199">
        <v>-0.59550509999999901</v>
      </c>
      <c r="Z2199">
        <v>1.0287599999999999E-2</v>
      </c>
      <c r="AA2199">
        <v>0.80328569999999999</v>
      </c>
      <c r="AB2199">
        <v>32</v>
      </c>
      <c r="AC2199">
        <v>-0.27800000000002001</v>
      </c>
      <c r="AD2199">
        <v>-6.1822000000000002E-2</v>
      </c>
      <c r="AE2199">
        <v>-0.74130000000002305</v>
      </c>
      <c r="AF2199">
        <v>-0.53526375809024096</v>
      </c>
      <c r="AG2199">
        <v>-6.1822000000000002E-2</v>
      </c>
      <c r="AH2199">
        <v>0.57682564851776696</v>
      </c>
      <c r="AI2199">
        <v>94.492072700818397</v>
      </c>
      <c r="AJ2199">
        <v>132.859692629069</v>
      </c>
      <c r="AK2199">
        <v>0.78933964755156605</v>
      </c>
    </row>
    <row r="2200" spans="1:37" x14ac:dyDescent="0.2">
      <c r="A2200" t="str">
        <f>"20200111153439958"</f>
        <v>20200111153439958</v>
      </c>
      <c r="B2200" t="str">
        <f>"1578728079948066"</f>
        <v>1578728079948066</v>
      </c>
      <c r="C2200" t="s">
        <v>37</v>
      </c>
      <c r="D2200">
        <v>4.2278260000000003</v>
      </c>
      <c r="E2200">
        <v>0.37098680000000001</v>
      </c>
      <c r="F2200" t="s">
        <v>39</v>
      </c>
      <c r="G2200">
        <v>-488.34129999999999</v>
      </c>
      <c r="H2200" s="1">
        <v>-3.3233649999999999E-6</v>
      </c>
      <c r="I2200">
        <v>266.69380000000001</v>
      </c>
      <c r="J2200">
        <v>-481.0471</v>
      </c>
      <c r="K2200">
        <v>1.1174949999999999</v>
      </c>
      <c r="L2200">
        <v>281.51799999999997</v>
      </c>
      <c r="M2200">
        <v>-0.89076409999999995</v>
      </c>
      <c r="N2200">
        <v>0</v>
      </c>
      <c r="O2200">
        <v>-0.45420329999999898</v>
      </c>
      <c r="P2200">
        <v>-0.69800169999999995</v>
      </c>
      <c r="Q2200">
        <v>6.5974039999999998E-2</v>
      </c>
      <c r="R2200">
        <v>-0.71305069999999904</v>
      </c>
      <c r="S2200">
        <v>-1.42038</v>
      </c>
      <c r="T2200">
        <v>-0.2134471</v>
      </c>
      <c r="U2200">
        <v>-2.8464360000000002</v>
      </c>
      <c r="V2200">
        <v>-0.32047179999999997</v>
      </c>
      <c r="W2200">
        <v>7.0854669999999995E-2</v>
      </c>
      <c r="X2200">
        <v>0.94460440000000001</v>
      </c>
      <c r="Y2200">
        <v>-0.5939837</v>
      </c>
      <c r="Z2200">
        <v>1.0790020000000001E-2</v>
      </c>
      <c r="AA2200">
        <v>0.80440469999999997</v>
      </c>
      <c r="AB2200">
        <v>32</v>
      </c>
      <c r="AC2200">
        <v>-7.2941999999999796</v>
      </c>
      <c r="AD2200">
        <v>-1.117498323365</v>
      </c>
      <c r="AE2200">
        <v>-14.8241999999999</v>
      </c>
      <c r="AF2200">
        <v>-9.8479418232091298</v>
      </c>
      <c r="AG2200">
        <v>-1.117498323365</v>
      </c>
      <c r="AH2200">
        <v>13.1719296984013</v>
      </c>
      <c r="AI2200">
        <v>93.887170026068404</v>
      </c>
      <c r="AJ2200">
        <v>126.783484086193</v>
      </c>
      <c r="AK2200">
        <v>16.4842498353932</v>
      </c>
    </row>
    <row r="2201" spans="1:37" x14ac:dyDescent="0.2">
      <c r="A2201" t="str">
        <f>"20200111153439970"</f>
        <v>20200111153439970</v>
      </c>
      <c r="B2201" t="str">
        <f>"1578728079958801"</f>
        <v>1578728079958801</v>
      </c>
      <c r="C2201" t="s">
        <v>37</v>
      </c>
      <c r="D2201">
        <v>4.1379440000000001</v>
      </c>
      <c r="E2201">
        <v>0.37098680000000001</v>
      </c>
      <c r="F2201" t="s">
        <v>39</v>
      </c>
      <c r="G2201">
        <v>-488.44889999999998</v>
      </c>
      <c r="H2201" s="1">
        <v>-3.20459099999999E-6</v>
      </c>
      <c r="I2201">
        <v>266.46140000000003</v>
      </c>
      <c r="J2201">
        <v>-481.18529999999998</v>
      </c>
      <c r="K2201">
        <v>1.1175549999999901</v>
      </c>
      <c r="L2201">
        <v>281.44</v>
      </c>
      <c r="M2201">
        <v>-0.88731859999999996</v>
      </c>
      <c r="N2201">
        <v>0</v>
      </c>
      <c r="O2201">
        <v>-0.460897099999999</v>
      </c>
      <c r="P2201">
        <v>-0.69281969999999904</v>
      </c>
      <c r="Q2201">
        <v>6.6656279999999998E-2</v>
      </c>
      <c r="R2201">
        <v>-0.71802369999999904</v>
      </c>
      <c r="S2201">
        <v>-1.4028320000000001</v>
      </c>
      <c r="T2201">
        <v>-0.21179429999999899</v>
      </c>
      <c r="U2201">
        <v>-2.8536069999999998</v>
      </c>
      <c r="V2201">
        <v>-0.32017600000000002</v>
      </c>
      <c r="W2201">
        <v>7.1516280000000002E-2</v>
      </c>
      <c r="X2201">
        <v>0.94465480000000002</v>
      </c>
      <c r="Y2201">
        <v>-0.59272619999999998</v>
      </c>
      <c r="Z2201">
        <v>1.1283029999999999E-2</v>
      </c>
      <c r="AA2201">
        <v>0.80532499999999996</v>
      </c>
      <c r="AB2201">
        <v>32</v>
      </c>
      <c r="AC2201">
        <v>-7.2635999999999896</v>
      </c>
      <c r="AD2201">
        <v>-1.11755820459099</v>
      </c>
      <c r="AE2201">
        <v>-14.978599999999901</v>
      </c>
      <c r="AF2201">
        <v>-9.89959324193482</v>
      </c>
      <c r="AG2201">
        <v>-1.11755820459099</v>
      </c>
      <c r="AH2201">
        <v>13.2904217148914</v>
      </c>
      <c r="AI2201">
        <v>93.857944908460894</v>
      </c>
      <c r="AJ2201">
        <v>126.681200742301</v>
      </c>
      <c r="AK2201">
        <v>16.6098221560638</v>
      </c>
    </row>
    <row r="2202" spans="1:37" x14ac:dyDescent="0.2">
      <c r="A2202" t="str">
        <f>"20200111153439981"</f>
        <v>20200111153439981</v>
      </c>
      <c r="B2202" t="str">
        <f>"1578728079977961"</f>
        <v>1578728079977961</v>
      </c>
      <c r="C2202" t="s">
        <v>37</v>
      </c>
      <c r="D2202">
        <v>4.1980269999999997</v>
      </c>
      <c r="E2202">
        <v>0.38553709999999902</v>
      </c>
      <c r="F2202" t="s">
        <v>40</v>
      </c>
      <c r="G2202">
        <v>-481.62270000000001</v>
      </c>
      <c r="H2202">
        <v>1.051401</v>
      </c>
      <c r="I2202">
        <v>280.53390000000002</v>
      </c>
      <c r="J2202">
        <v>-481.32400000000001</v>
      </c>
      <c r="K2202">
        <v>1.117618</v>
      </c>
      <c r="L2202">
        <v>281.36099999999999</v>
      </c>
      <c r="M2202">
        <v>-0.883795</v>
      </c>
      <c r="N2202">
        <v>0</v>
      </c>
      <c r="O2202">
        <v>-0.46761759999999902</v>
      </c>
      <c r="P2202">
        <v>-0.68739749999999999</v>
      </c>
      <c r="Q2202">
        <v>6.7122299999999996E-2</v>
      </c>
      <c r="R2202">
        <v>-0.72317310000000001</v>
      </c>
      <c r="S2202">
        <v>-1.3819889999999999</v>
      </c>
      <c r="T2202">
        <v>-0.20903749999999999</v>
      </c>
      <c r="U2202">
        <v>-2.864166</v>
      </c>
      <c r="V2202">
        <v>-0.32010329999999998</v>
      </c>
      <c r="W2202">
        <v>7.1952870000000002E-2</v>
      </c>
      <c r="X2202">
        <v>0.94464629999999905</v>
      </c>
      <c r="Y2202">
        <v>-0.59254989999999996</v>
      </c>
      <c r="Z2202">
        <v>1.165938E-2</v>
      </c>
      <c r="AA2202">
        <v>0.80544939999999998</v>
      </c>
      <c r="AB2202">
        <v>32</v>
      </c>
      <c r="AC2202">
        <v>-0.29869999999999602</v>
      </c>
      <c r="AD2202">
        <v>-6.6216999999999901E-2</v>
      </c>
      <c r="AE2202">
        <v>-0.82709999999997297</v>
      </c>
      <c r="AF2202">
        <v>-0.58804627610902205</v>
      </c>
      <c r="AG2202">
        <v>-6.6216999999999901E-2</v>
      </c>
      <c r="AH2202">
        <v>0.64716483101399003</v>
      </c>
      <c r="AI2202">
        <v>94.330529513395206</v>
      </c>
      <c r="AJ2202">
        <v>132.259852305642</v>
      </c>
      <c r="AK2202">
        <v>0.87692954815997404</v>
      </c>
    </row>
    <row r="2203" spans="1:37" x14ac:dyDescent="0.2">
      <c r="A2203" t="str">
        <f>"20200111153439993"</f>
        <v>20200111153439993</v>
      </c>
      <c r="B2203" t="str">
        <f>"1578728079988697"</f>
        <v>1578728079988697</v>
      </c>
      <c r="C2203" t="s">
        <v>37</v>
      </c>
      <c r="D2203">
        <v>4.205616</v>
      </c>
      <c r="E2203">
        <v>0.385297</v>
      </c>
      <c r="F2203" t="s">
        <v>39</v>
      </c>
      <c r="G2203">
        <v>-489.90449999999998</v>
      </c>
      <c r="H2203" s="1">
        <v>-2.206387E-6</v>
      </c>
      <c r="I2203">
        <v>264.7364</v>
      </c>
      <c r="J2203">
        <v>-481.47190000000001</v>
      </c>
      <c r="K2203">
        <v>1.117685</v>
      </c>
      <c r="L2203">
        <v>281.27480000000003</v>
      </c>
      <c r="M2203">
        <v>-0.87992459999999995</v>
      </c>
      <c r="N2203">
        <v>0</v>
      </c>
      <c r="O2203">
        <v>-0.4748597</v>
      </c>
      <c r="P2203">
        <v>-0.68172529999999998</v>
      </c>
      <c r="Q2203">
        <v>6.7369680000000001E-2</v>
      </c>
      <c r="R2203">
        <v>-0.72849960000000002</v>
      </c>
      <c r="S2203">
        <v>-1.442474</v>
      </c>
      <c r="T2203">
        <v>-0.18788369999999999</v>
      </c>
      <c r="U2203">
        <v>-2.7947690000000001</v>
      </c>
      <c r="V2203">
        <v>-0.31972729999999999</v>
      </c>
      <c r="W2203">
        <v>7.2180209999999995E-2</v>
      </c>
      <c r="X2203">
        <v>0.94475629999999999</v>
      </c>
      <c r="Y2203">
        <v>-0.56400380000000006</v>
      </c>
      <c r="Z2203">
        <v>1.2118540000000001E-2</v>
      </c>
      <c r="AA2203">
        <v>0.82568330000000001</v>
      </c>
      <c r="AB2203">
        <v>32</v>
      </c>
      <c r="AC2203">
        <v>-8.4325999999999794</v>
      </c>
      <c r="AD2203">
        <v>-1.117687206387</v>
      </c>
      <c r="AE2203">
        <v>-16.538399999999999</v>
      </c>
      <c r="AF2203">
        <v>-10.5114118474539</v>
      </c>
      <c r="AG2203">
        <v>-1.117687206387</v>
      </c>
      <c r="AH2203">
        <v>15.2201415344179</v>
      </c>
      <c r="AI2203">
        <v>93.457894028458597</v>
      </c>
      <c r="AJ2203">
        <v>124.629932323974</v>
      </c>
      <c r="AK2203">
        <v>18.530831391112201</v>
      </c>
    </row>
    <row r="2204" spans="1:37" x14ac:dyDescent="0.2">
      <c r="A2204" t="str">
        <f>"20200111153440007"</f>
        <v>20200111153440007</v>
      </c>
      <c r="B2204" t="str">
        <f>"1578728079998456"</f>
        <v>1578728079998456</v>
      </c>
      <c r="C2204" t="s">
        <v>37</v>
      </c>
      <c r="D2204">
        <v>4.1754220000000002</v>
      </c>
      <c r="E2204">
        <v>0.38547720000000002</v>
      </c>
      <c r="F2204" t="s">
        <v>40</v>
      </c>
      <c r="G2204">
        <v>-481.8954</v>
      </c>
      <c r="H2204">
        <v>1.0624089999999999</v>
      </c>
      <c r="I2204">
        <v>280.43680000000001</v>
      </c>
      <c r="J2204">
        <v>-481.63479999999998</v>
      </c>
      <c r="K2204">
        <v>1.1177589999999999</v>
      </c>
      <c r="L2204">
        <v>281.17790000000002</v>
      </c>
      <c r="M2204">
        <v>-0.87553419999999904</v>
      </c>
      <c r="N2204">
        <v>0</v>
      </c>
      <c r="O2204">
        <v>-0.482906</v>
      </c>
      <c r="P2204">
        <v>-0.67539959999999999</v>
      </c>
      <c r="Q2204">
        <v>6.8213360000000001E-2</v>
      </c>
      <c r="R2204">
        <v>-0.73429049999999996</v>
      </c>
      <c r="S2204">
        <v>-1.4188229999999999</v>
      </c>
      <c r="T2204">
        <v>-0.18517310000000001</v>
      </c>
      <c r="U2204">
        <v>-2.8074650000000001</v>
      </c>
      <c r="V2204">
        <v>-0.31920939999999998</v>
      </c>
      <c r="W2204">
        <v>7.3005349999999997E-2</v>
      </c>
      <c r="X2204">
        <v>0.94486800000000004</v>
      </c>
      <c r="Y2204">
        <v>-0.56349519999999997</v>
      </c>
      <c r="Z2204">
        <v>1.2512229999999999E-2</v>
      </c>
      <c r="AA2204">
        <v>0.826024599999999</v>
      </c>
      <c r="AB2204">
        <v>32</v>
      </c>
      <c r="AC2204">
        <v>-0.26060000000000999</v>
      </c>
      <c r="AD2204">
        <v>-5.5350000000000003E-2</v>
      </c>
      <c r="AE2204">
        <v>-0.74110000000001697</v>
      </c>
      <c r="AF2204">
        <v>-0.52049246339204702</v>
      </c>
      <c r="AG2204">
        <v>-5.5350000000000003E-2</v>
      </c>
      <c r="AH2204">
        <v>0.58322143809258997</v>
      </c>
      <c r="AI2204">
        <v>94.050179114668794</v>
      </c>
      <c r="AJ2204">
        <v>131.747125190378</v>
      </c>
      <c r="AK2204">
        <v>0.78366017686157197</v>
      </c>
    </row>
    <row r="2205" spans="1:37" x14ac:dyDescent="0.2">
      <c r="A2205" t="str">
        <f>"20200111153440017"</f>
        <v>20200111153440017</v>
      </c>
      <c r="B2205" t="str">
        <f>"1578728080008217"</f>
        <v>1578728080008217</v>
      </c>
      <c r="C2205" t="s">
        <v>37</v>
      </c>
      <c r="D2205">
        <v>4.2129399999999997</v>
      </c>
      <c r="E2205">
        <v>0.38542989999999999</v>
      </c>
      <c r="F2205" t="s">
        <v>40</v>
      </c>
      <c r="G2205">
        <v>-482.0933</v>
      </c>
      <c r="H2205">
        <v>1.05823</v>
      </c>
      <c r="I2205">
        <v>280.25200000000001</v>
      </c>
      <c r="J2205">
        <v>-481.76780000000002</v>
      </c>
      <c r="K2205">
        <v>1.117823</v>
      </c>
      <c r="L2205">
        <v>281.09780000000001</v>
      </c>
      <c r="M2205">
        <v>-0.87186929999999996</v>
      </c>
      <c r="N2205">
        <v>0</v>
      </c>
      <c r="O2205">
        <v>-0.48949140000000002</v>
      </c>
      <c r="P2205">
        <v>-0.66997410000000002</v>
      </c>
      <c r="Q2205">
        <v>6.8452029999999997E-2</v>
      </c>
      <c r="R2205">
        <v>-0.73922200000000005</v>
      </c>
      <c r="S2205">
        <v>-1.395386</v>
      </c>
      <c r="T2205">
        <v>-0.18116579999999999</v>
      </c>
      <c r="U2205">
        <v>-2.8189389999999999</v>
      </c>
      <c r="V2205">
        <v>-0.31904579999999999</v>
      </c>
      <c r="W2205">
        <v>7.3219350000000002E-2</v>
      </c>
      <c r="X2205">
        <v>0.94490669999999899</v>
      </c>
      <c r="Y2205">
        <v>-0.56413530000000001</v>
      </c>
      <c r="Z2205">
        <v>1.266551E-2</v>
      </c>
      <c r="AA2205">
        <v>0.82558519999999902</v>
      </c>
      <c r="AB2205">
        <v>32</v>
      </c>
      <c r="AC2205">
        <v>-0.32549999999997598</v>
      </c>
      <c r="AD2205">
        <v>-5.9593E-2</v>
      </c>
      <c r="AE2205">
        <v>-0.845799999999997</v>
      </c>
      <c r="AF2205">
        <v>-0.57567842652686496</v>
      </c>
      <c r="AG2205">
        <v>-5.9593E-2</v>
      </c>
      <c r="AH2205">
        <v>0.69488516341109197</v>
      </c>
      <c r="AI2205">
        <v>93.778358876085704</v>
      </c>
      <c r="AJ2205">
        <v>129.64008921730101</v>
      </c>
      <c r="AK2205">
        <v>0.90433531764844099</v>
      </c>
    </row>
    <row r="2206" spans="1:37" x14ac:dyDescent="0.2">
      <c r="A2206" t="str">
        <f>"20200111153440029"</f>
        <v>20200111153440029</v>
      </c>
      <c r="B2206" t="str">
        <f>"1578728080017977"</f>
        <v>1578728080017977</v>
      </c>
      <c r="C2206" t="s">
        <v>37</v>
      </c>
      <c r="D2206">
        <v>4.2620879999999897</v>
      </c>
      <c r="E2206">
        <v>0.38558219999999999</v>
      </c>
      <c r="F2206" t="s">
        <v>40</v>
      </c>
      <c r="G2206">
        <v>-482.14830000000001</v>
      </c>
      <c r="H2206">
        <v>1.0681529999999999</v>
      </c>
      <c r="I2206">
        <v>280.31439999999998</v>
      </c>
      <c r="J2206">
        <v>-481.89690000000002</v>
      </c>
      <c r="K2206">
        <v>1.1178920000000001</v>
      </c>
      <c r="L2206">
        <v>281.01769999999999</v>
      </c>
      <c r="M2206">
        <v>-0.86818739999999905</v>
      </c>
      <c r="N2206">
        <v>0</v>
      </c>
      <c r="O2206">
        <v>-0.49599169999999998</v>
      </c>
      <c r="P2206">
        <v>-0.66451099999999996</v>
      </c>
      <c r="Q2206">
        <v>6.9209839999999995E-2</v>
      </c>
      <c r="R2206">
        <v>-0.74406700000000003</v>
      </c>
      <c r="S2206">
        <v>-1.373688</v>
      </c>
      <c r="T2206">
        <v>-0.17932379999999901</v>
      </c>
      <c r="U2206">
        <v>-2.8299259999999999</v>
      </c>
      <c r="V2206">
        <v>-0.3189208</v>
      </c>
      <c r="W2206">
        <v>7.3950279999999993E-2</v>
      </c>
      <c r="X2206">
        <v>0.94489199999999995</v>
      </c>
      <c r="Y2206">
        <v>-0.56435939999999996</v>
      </c>
      <c r="Z2206">
        <v>1.296332E-2</v>
      </c>
      <c r="AA2206">
        <v>0.82542739999999903</v>
      </c>
      <c r="AB2206">
        <v>32</v>
      </c>
      <c r="AC2206">
        <v>-0.25139999999998902</v>
      </c>
      <c r="AD2206">
        <v>-4.9738999999999901E-2</v>
      </c>
      <c r="AE2206">
        <v>-0.70330000000001203</v>
      </c>
      <c r="AF2206">
        <v>-0.483817190616811</v>
      </c>
      <c r="AG2206">
        <v>-4.9738999999999901E-2</v>
      </c>
      <c r="AH2206">
        <v>0.56465791602196302</v>
      </c>
      <c r="AI2206">
        <v>93.826863565299107</v>
      </c>
      <c r="AJ2206">
        <v>130.59103848509901</v>
      </c>
      <c r="AK2206">
        <v>0.74524600246067096</v>
      </c>
    </row>
    <row r="2207" spans="1:37" x14ac:dyDescent="0.2">
      <c r="A2207" t="str">
        <f>"20200111153440041"</f>
        <v>20200111153440041</v>
      </c>
      <c r="B2207" t="str">
        <f>"1578728080038473"</f>
        <v>1578728080038473</v>
      </c>
      <c r="C2207" t="s">
        <v>37</v>
      </c>
      <c r="D2207">
        <v>4.1823459999999999</v>
      </c>
      <c r="E2207">
        <v>0.3854725</v>
      </c>
      <c r="F2207" t="s">
        <v>40</v>
      </c>
      <c r="G2207">
        <v>-482.32929999999999</v>
      </c>
      <c r="H2207">
        <v>1.0624020000000001</v>
      </c>
      <c r="I2207">
        <v>280.11110000000002</v>
      </c>
      <c r="J2207">
        <v>-482.0367</v>
      </c>
      <c r="K2207">
        <v>1.1179600000000001</v>
      </c>
      <c r="L2207">
        <v>280.93040000000002</v>
      </c>
      <c r="M2207">
        <v>-0.8641278</v>
      </c>
      <c r="N2207">
        <v>0</v>
      </c>
      <c r="O2207">
        <v>-0.50303059999999999</v>
      </c>
      <c r="P2207">
        <v>-0.65833850000000005</v>
      </c>
      <c r="Q2207">
        <v>7.0239410000000002E-2</v>
      </c>
      <c r="R2207">
        <v>-0.74943800000000005</v>
      </c>
      <c r="S2207">
        <v>-1.353699</v>
      </c>
      <c r="T2207">
        <v>-0.17377020000000001</v>
      </c>
      <c r="U2207">
        <v>-2.8390810000000002</v>
      </c>
      <c r="V2207">
        <v>-0.3190152</v>
      </c>
      <c r="W2207">
        <v>7.4941229999999998E-2</v>
      </c>
      <c r="X2207">
        <v>0.94478209999999996</v>
      </c>
      <c r="Y2207">
        <v>-0.56343650000000001</v>
      </c>
      <c r="Z2207">
        <v>1.3051190000000001E-2</v>
      </c>
      <c r="AA2207">
        <v>0.82605620000000002</v>
      </c>
      <c r="AB2207">
        <v>32</v>
      </c>
      <c r="AC2207">
        <v>-0.29259999999999298</v>
      </c>
      <c r="AD2207">
        <v>-5.5558000000000003E-2</v>
      </c>
      <c r="AE2207">
        <v>-0.81929999999999803</v>
      </c>
      <c r="AF2207">
        <v>-0.55858336219995797</v>
      </c>
      <c r="AG2207">
        <v>-5.5558000000000003E-2</v>
      </c>
      <c r="AH2207">
        <v>0.66235644127700699</v>
      </c>
      <c r="AI2207">
        <v>93.668873882359605</v>
      </c>
      <c r="AJ2207">
        <v>130.14185409634999</v>
      </c>
      <c r="AK2207">
        <v>0.86822699750223797</v>
      </c>
    </row>
    <row r="2208" spans="1:37" x14ac:dyDescent="0.2">
      <c r="A2208" t="str">
        <f>"20200111153440052"</f>
        <v>20200111153440052</v>
      </c>
      <c r="B2208" t="str">
        <f>"1578728080048232"</f>
        <v>1578728080048232</v>
      </c>
      <c r="C2208" t="s">
        <v>37</v>
      </c>
      <c r="D2208">
        <v>4.1993819999999999</v>
      </c>
      <c r="E2208">
        <v>0.38558389999999998</v>
      </c>
      <c r="F2208" t="s">
        <v>39</v>
      </c>
      <c r="G2208">
        <v>-490.67469999999997</v>
      </c>
      <c r="H2208" s="1">
        <v>-1.3898560000000001E-6</v>
      </c>
      <c r="I2208">
        <v>262.41039999999998</v>
      </c>
      <c r="J2208">
        <v>-482.16879999999998</v>
      </c>
      <c r="K2208">
        <v>1.118031</v>
      </c>
      <c r="L2208">
        <v>280.84570000000002</v>
      </c>
      <c r="M2208">
        <v>-0.860170199999999</v>
      </c>
      <c r="N2208">
        <v>0</v>
      </c>
      <c r="O2208">
        <v>-0.50976779999999999</v>
      </c>
      <c r="P2208">
        <v>-0.65225999999999995</v>
      </c>
      <c r="Q2208">
        <v>7.0639069999999998E-2</v>
      </c>
      <c r="R2208">
        <v>-0.7546967</v>
      </c>
      <c r="S2208">
        <v>-1.3297729999999901</v>
      </c>
      <c r="T2208">
        <v>-0.17210439999999999</v>
      </c>
      <c r="U2208">
        <v>-2.8510439999999999</v>
      </c>
      <c r="V2208">
        <v>-0.3192624</v>
      </c>
      <c r="W2208">
        <v>7.5298790000000004E-2</v>
      </c>
      <c r="X2208">
        <v>0.94467009999999996</v>
      </c>
      <c r="Y2208">
        <v>-0.56401199999999996</v>
      </c>
      <c r="Z2208">
        <v>1.334078E-2</v>
      </c>
      <c r="AA2208">
        <v>0.82565880000000003</v>
      </c>
      <c r="AB2208">
        <v>32</v>
      </c>
      <c r="AC2208">
        <v>-8.5058999999999898</v>
      </c>
      <c r="AD2208">
        <v>-1.1180323898559901</v>
      </c>
      <c r="AE2208">
        <v>-18.435300000000002</v>
      </c>
      <c r="AF2208">
        <v>-11.4880311774495</v>
      </c>
      <c r="AG2208">
        <v>-1.1180323898559901</v>
      </c>
      <c r="AH2208">
        <v>16.665746111742799</v>
      </c>
      <c r="AI2208">
        <v>93.161486478353297</v>
      </c>
      <c r="AJ2208">
        <v>124.579270346821</v>
      </c>
      <c r="AK2208">
        <v>20.272443124100601</v>
      </c>
    </row>
    <row r="2209" spans="1:37" x14ac:dyDescent="0.2">
      <c r="A2209" t="str">
        <f>"20200111153440063"</f>
        <v>20200111153440063</v>
      </c>
      <c r="B2209" t="str">
        <f>"1578728080057993"</f>
        <v>1578728080057993</v>
      </c>
      <c r="C2209" t="s">
        <v>37</v>
      </c>
      <c r="D2209">
        <v>4.207891</v>
      </c>
      <c r="E2209">
        <v>0.3855035</v>
      </c>
      <c r="F2209" t="s">
        <v>40</v>
      </c>
      <c r="G2209">
        <v>-482.56799999999998</v>
      </c>
      <c r="H2209">
        <v>1.06545499999999</v>
      </c>
      <c r="I2209">
        <v>279.97219999999999</v>
      </c>
      <c r="J2209">
        <v>-482.30040000000002</v>
      </c>
      <c r="K2209">
        <v>1.118101</v>
      </c>
      <c r="L2209">
        <v>280.76010000000002</v>
      </c>
      <c r="M2209">
        <v>-0.85613189999999995</v>
      </c>
      <c r="N2209">
        <v>0</v>
      </c>
      <c r="O2209">
        <v>-0.51652010000000004</v>
      </c>
      <c r="P2209">
        <v>-0.64607700000000001</v>
      </c>
      <c r="Q2209">
        <v>7.081846E-2</v>
      </c>
      <c r="R2209">
        <v>-0.75997999999999999</v>
      </c>
      <c r="S2209">
        <v>-1.307404</v>
      </c>
      <c r="T2209">
        <v>-0.1721983</v>
      </c>
      <c r="U2209">
        <v>-2.8612980000000001</v>
      </c>
      <c r="V2209">
        <v>-0.3195461</v>
      </c>
      <c r="W2209">
        <v>7.5434790000000002E-2</v>
      </c>
      <c r="X2209">
        <v>0.94456329999999999</v>
      </c>
      <c r="Y2209">
        <v>-0.56397959999999903</v>
      </c>
      <c r="Z2209">
        <v>1.378679E-2</v>
      </c>
      <c r="AA2209">
        <v>0.82567359999999901</v>
      </c>
      <c r="AB2209">
        <v>32</v>
      </c>
      <c r="AC2209">
        <v>-0.26760000000001499</v>
      </c>
      <c r="AD2209">
        <v>-5.2646000000000102E-2</v>
      </c>
      <c r="AE2209">
        <v>-0.78790000000003502</v>
      </c>
      <c r="AF2209">
        <v>-0.53425273211494795</v>
      </c>
      <c r="AG2209">
        <v>-5.2646000000000102E-2</v>
      </c>
      <c r="AH2209">
        <v>0.63360878487638395</v>
      </c>
      <c r="AI2209">
        <v>93.634649571440406</v>
      </c>
      <c r="AJ2209">
        <v>130.13725934140399</v>
      </c>
      <c r="AK2209">
        <v>0.83045630550969696</v>
      </c>
    </row>
    <row r="2210" spans="1:37" x14ac:dyDescent="0.2">
      <c r="A2210" t="str">
        <f>"20200111153440075"</f>
        <v>20200111153440075</v>
      </c>
      <c r="B2210" t="str">
        <f>"1578728080068729"</f>
        <v>1578728080068729</v>
      </c>
      <c r="C2210" t="s">
        <v>37</v>
      </c>
      <c r="D2210">
        <v>4.2068649999999996</v>
      </c>
      <c r="E2210">
        <v>0.38561909999999999</v>
      </c>
      <c r="F2210" t="s">
        <v>40</v>
      </c>
      <c r="G2210">
        <v>-482.74439999999998</v>
      </c>
      <c r="H2210">
        <v>1.0584899999999999</v>
      </c>
      <c r="I2210">
        <v>279.76609999999999</v>
      </c>
      <c r="J2210">
        <v>-482.43779999999998</v>
      </c>
      <c r="K2210">
        <v>1.1181729999999901</v>
      </c>
      <c r="L2210">
        <v>280.66930000000002</v>
      </c>
      <c r="M2210">
        <v>-0.85181109999999904</v>
      </c>
      <c r="N2210">
        <v>0</v>
      </c>
      <c r="O2210">
        <v>-0.52361440000000004</v>
      </c>
      <c r="P2210">
        <v>-0.63953950000000004</v>
      </c>
      <c r="Q2210">
        <v>7.0442400000000002E-2</v>
      </c>
      <c r="R2210">
        <v>-0.76552439999999999</v>
      </c>
      <c r="S2210">
        <v>-1.2831729999999999</v>
      </c>
      <c r="T2210">
        <v>-0.17227890000000001</v>
      </c>
      <c r="U2210">
        <v>-2.87262</v>
      </c>
      <c r="V2210">
        <v>-0.3198278</v>
      </c>
      <c r="W2210">
        <v>7.5013979999999994E-2</v>
      </c>
      <c r="X2210">
        <v>0.94450149999999999</v>
      </c>
      <c r="Y2210">
        <v>-0.56414500000000001</v>
      </c>
      <c r="Z2210">
        <v>1.42477E-2</v>
      </c>
      <c r="AA2210">
        <v>0.82555279999999998</v>
      </c>
      <c r="AB2210">
        <v>32</v>
      </c>
      <c r="AC2210">
        <v>-0.30660000000000298</v>
      </c>
      <c r="AD2210">
        <v>-5.9682999999999903E-2</v>
      </c>
      <c r="AE2210">
        <v>-0.90320000000002598</v>
      </c>
      <c r="AF2210">
        <v>-0.60651574425584998</v>
      </c>
      <c r="AG2210">
        <v>-5.9682999999999903E-2</v>
      </c>
      <c r="AH2210">
        <v>0.73132069129177402</v>
      </c>
      <c r="AI2210">
        <v>93.594457679176699</v>
      </c>
      <c r="AJ2210">
        <v>129.67037952378999</v>
      </c>
      <c r="AK2210">
        <v>0.95197340405638797</v>
      </c>
    </row>
    <row r="2211" spans="1:37" x14ac:dyDescent="0.2">
      <c r="A2211" t="str">
        <f>"20200111153440086"</f>
        <v>20200111153440086</v>
      </c>
      <c r="B2211" t="str">
        <f>"1578728080078159"</f>
        <v>1578728080078159</v>
      </c>
      <c r="C2211" t="s">
        <v>37</v>
      </c>
      <c r="D2211">
        <v>4.2163059999999897</v>
      </c>
      <c r="E2211">
        <v>0.38565670000000002</v>
      </c>
      <c r="F2211" t="s">
        <v>40</v>
      </c>
      <c r="G2211">
        <v>-482.80410000000001</v>
      </c>
      <c r="H2211">
        <v>1.0676190000000001</v>
      </c>
      <c r="I2211">
        <v>279.82979999999998</v>
      </c>
      <c r="J2211">
        <v>-482.56610000000001</v>
      </c>
      <c r="K2211">
        <v>1.118236</v>
      </c>
      <c r="L2211">
        <v>280.58249999999998</v>
      </c>
      <c r="M2211">
        <v>-0.84765369999999995</v>
      </c>
      <c r="N2211">
        <v>0</v>
      </c>
      <c r="O2211">
        <v>-0.53031759999999994</v>
      </c>
      <c r="P2211">
        <v>-0.63325819999999999</v>
      </c>
      <c r="Q2211">
        <v>7.0644129999999999E-2</v>
      </c>
      <c r="R2211">
        <v>-0.77070950000000005</v>
      </c>
      <c r="S2211">
        <v>-1.258453</v>
      </c>
      <c r="T2211">
        <v>-0.17367569999999999</v>
      </c>
      <c r="U2211">
        <v>-2.8835449999999998</v>
      </c>
      <c r="V2211">
        <v>-0.32010499999999997</v>
      </c>
      <c r="W2211">
        <v>7.5173279999999995E-2</v>
      </c>
      <c r="X2211">
        <v>0.94439490000000004</v>
      </c>
      <c r="Y2211">
        <v>-0.56472719999999998</v>
      </c>
      <c r="Z2211">
        <v>1.4785380000000001E-2</v>
      </c>
      <c r="AA2211">
        <v>0.82514519999999902</v>
      </c>
      <c r="AB2211">
        <v>32</v>
      </c>
      <c r="AC2211">
        <v>-0.23799999999999899</v>
      </c>
      <c r="AD2211">
        <v>-5.0616999999999898E-2</v>
      </c>
      <c r="AE2211">
        <v>-0.75270000000000403</v>
      </c>
      <c r="AF2211">
        <v>-0.50978064037474902</v>
      </c>
      <c r="AG2211">
        <v>-5.0616999999999898E-2</v>
      </c>
      <c r="AH2211">
        <v>0.59852506578268605</v>
      </c>
      <c r="AI2211">
        <v>93.683729028885693</v>
      </c>
      <c r="AJ2211">
        <v>130.42197092252101</v>
      </c>
      <c r="AK2211">
        <v>0.78782652681923404</v>
      </c>
    </row>
    <row r="2212" spans="1:37" x14ac:dyDescent="0.2">
      <c r="A2212" t="str">
        <f>"20200111153440097"</f>
        <v>20200111153440097</v>
      </c>
      <c r="B2212" t="str">
        <f>"1578728080087919"</f>
        <v>1578728080087919</v>
      </c>
      <c r="C2212" t="s">
        <v>37</v>
      </c>
      <c r="D2212">
        <v>4.2009749999999997</v>
      </c>
      <c r="E2212">
        <v>0.38574259999999999</v>
      </c>
      <c r="F2212" t="s">
        <v>40</v>
      </c>
      <c r="G2212">
        <v>-482.97609999999997</v>
      </c>
      <c r="H2212">
        <v>1.0610930000000001</v>
      </c>
      <c r="I2212">
        <v>279.62119999999999</v>
      </c>
      <c r="J2212">
        <v>-482.69799999999998</v>
      </c>
      <c r="K2212">
        <v>1.1183019999999999</v>
      </c>
      <c r="L2212">
        <v>280.49239999999998</v>
      </c>
      <c r="M2212">
        <v>-0.84329769999999904</v>
      </c>
      <c r="N2212">
        <v>0</v>
      </c>
      <c r="O2212">
        <v>-0.53721669999999999</v>
      </c>
      <c r="P2212">
        <v>-0.62696470000000004</v>
      </c>
      <c r="Q2212">
        <v>7.0641709999999996E-2</v>
      </c>
      <c r="R2212">
        <v>-0.77583849999999999</v>
      </c>
      <c r="S2212">
        <v>-1.234283</v>
      </c>
      <c r="T2212">
        <v>-0.17201379999999999</v>
      </c>
      <c r="U2212">
        <v>-2.8941349999999999</v>
      </c>
      <c r="V2212">
        <v>-0.32009860000000001</v>
      </c>
      <c r="W2212">
        <v>7.5138090000000005E-2</v>
      </c>
      <c r="X2212">
        <v>0.94439989999999996</v>
      </c>
      <c r="Y2212">
        <v>-0.56492200000000004</v>
      </c>
      <c r="Z2212">
        <v>1.50879E-2</v>
      </c>
      <c r="AA2212">
        <v>0.82500640000000003</v>
      </c>
      <c r="AB2212">
        <v>32</v>
      </c>
      <c r="AC2212">
        <v>-0.27809999999993801</v>
      </c>
      <c r="AD2212">
        <v>-5.7209000000000003E-2</v>
      </c>
      <c r="AE2212">
        <v>-0.87119999999998698</v>
      </c>
      <c r="AF2212">
        <v>-0.58307156995043297</v>
      </c>
      <c r="AG2212">
        <v>-5.7209000000000003E-2</v>
      </c>
      <c r="AH2212">
        <v>0.69989219123014201</v>
      </c>
      <c r="AI2212">
        <v>93.593557926989803</v>
      </c>
      <c r="AJ2212">
        <v>129.79726398260101</v>
      </c>
      <c r="AK2212">
        <v>0.91274005319718099</v>
      </c>
    </row>
    <row r="2213" spans="1:37" x14ac:dyDescent="0.2">
      <c r="A2213" t="str">
        <f>"20200111153440109"</f>
        <v>20200111153440109</v>
      </c>
      <c r="B2213" t="str">
        <f>"1578728080098655"</f>
        <v>1578728080098655</v>
      </c>
      <c r="C2213" t="s">
        <v>37</v>
      </c>
      <c r="D2213">
        <v>4.230505</v>
      </c>
      <c r="E2213">
        <v>0.385878</v>
      </c>
      <c r="F2213" t="s">
        <v>40</v>
      </c>
      <c r="G2213">
        <v>-483.03590000000003</v>
      </c>
      <c r="H2213">
        <v>1.0707879999999901</v>
      </c>
      <c r="I2213">
        <v>279.68180000000001</v>
      </c>
      <c r="J2213">
        <v>-482.82319999999999</v>
      </c>
      <c r="K2213">
        <v>1.1183650000000001</v>
      </c>
      <c r="L2213">
        <v>280.40440000000001</v>
      </c>
      <c r="M2213">
        <v>-0.83901409999999998</v>
      </c>
      <c r="N2213">
        <v>0</v>
      </c>
      <c r="O2213">
        <v>-0.54388169999999902</v>
      </c>
      <c r="P2213">
        <v>-0.6208669</v>
      </c>
      <c r="Q2213">
        <v>7.1188840000000003E-2</v>
      </c>
      <c r="R2213">
        <v>-0.78067699999999995</v>
      </c>
      <c r="S2213">
        <v>-1.2106319999999999</v>
      </c>
      <c r="T2213">
        <v>-0.17019339999999999</v>
      </c>
      <c r="U2213">
        <v>-2.9039609999999998</v>
      </c>
      <c r="V2213">
        <v>-0.32000499999999998</v>
      </c>
      <c r="W2213">
        <v>7.5655879999999995E-2</v>
      </c>
      <c r="X2213">
        <v>0.94439030000000002</v>
      </c>
      <c r="Y2213">
        <v>-0.56510749999999998</v>
      </c>
      <c r="Z2213">
        <v>1.535537E-2</v>
      </c>
      <c r="AA2213">
        <v>0.82487429999999995</v>
      </c>
      <c r="AB2213">
        <v>32</v>
      </c>
      <c r="AC2213">
        <v>-0.21270000000004</v>
      </c>
      <c r="AD2213">
        <v>-4.7577000000000202E-2</v>
      </c>
      <c r="AE2213">
        <v>-0.72259999999999902</v>
      </c>
      <c r="AF2213">
        <v>-0.48869917303063998</v>
      </c>
      <c r="AG2213">
        <v>-4.7577000000000202E-2</v>
      </c>
      <c r="AH2213">
        <v>0.56926704990409804</v>
      </c>
      <c r="AI2213">
        <v>93.628491158965303</v>
      </c>
      <c r="AJ2213">
        <v>130.645128869319</v>
      </c>
      <c r="AK2213">
        <v>0.75176820014971801</v>
      </c>
    </row>
    <row r="2214" spans="1:37" x14ac:dyDescent="0.2">
      <c r="A2214" t="str">
        <f>"20200111153440123"</f>
        <v>20200111153440123</v>
      </c>
      <c r="B2214" t="str">
        <f>"1578728080118176"</f>
        <v>1578728080118176</v>
      </c>
      <c r="C2214" t="s">
        <v>37</v>
      </c>
      <c r="D2214">
        <v>4.1962479999999998</v>
      </c>
      <c r="E2214">
        <v>0.38619150000000002</v>
      </c>
      <c r="F2214" t="s">
        <v>40</v>
      </c>
      <c r="G2214">
        <v>-483.20409999999998</v>
      </c>
      <c r="H2214">
        <v>1.0647149999999901</v>
      </c>
      <c r="I2214">
        <v>279.47039999999998</v>
      </c>
      <c r="J2214">
        <v>-482.97890000000001</v>
      </c>
      <c r="K2214">
        <v>1.1184459999999901</v>
      </c>
      <c r="L2214">
        <v>280.29360000000003</v>
      </c>
      <c r="M2214">
        <v>-0.83356770000000002</v>
      </c>
      <c r="N2214">
        <v>0</v>
      </c>
      <c r="O2214">
        <v>-0.55219189999999996</v>
      </c>
      <c r="P2214">
        <v>-0.61339580000000005</v>
      </c>
      <c r="Q2214">
        <v>7.119019E-2</v>
      </c>
      <c r="R2214">
        <v>-0.78656090000000001</v>
      </c>
      <c r="S2214">
        <v>-1.188202</v>
      </c>
      <c r="T2214">
        <v>-0.16733619999999999</v>
      </c>
      <c r="U2214">
        <v>-2.9131469999999999</v>
      </c>
      <c r="V2214">
        <v>-0.31964219999999999</v>
      </c>
      <c r="W2214">
        <v>7.5630199999999995E-2</v>
      </c>
      <c r="X2214">
        <v>0.9445152</v>
      </c>
      <c r="Y2214">
        <v>-0.56327530000000003</v>
      </c>
      <c r="Z2214">
        <v>1.5683320000000001E-2</v>
      </c>
      <c r="AA2214">
        <v>0.82612039999999998</v>
      </c>
      <c r="AB2214">
        <v>32</v>
      </c>
      <c r="AC2214">
        <v>-0.22519999999997201</v>
      </c>
      <c r="AD2214">
        <v>-5.3730999999999897E-2</v>
      </c>
      <c r="AE2214">
        <v>-0.82320000000004201</v>
      </c>
      <c r="AF2214">
        <v>-0.55969085401363206</v>
      </c>
      <c r="AG2214">
        <v>-5.3730999999999897E-2</v>
      </c>
      <c r="AH2214">
        <v>0.63982773942447602</v>
      </c>
      <c r="AI2214">
        <v>93.616689183418899</v>
      </c>
      <c r="AJ2214">
        <v>131.17788955541999</v>
      </c>
      <c r="AK2214">
        <v>0.85177485790820595</v>
      </c>
    </row>
    <row r="2215" spans="1:37" x14ac:dyDescent="0.2">
      <c r="A2215" t="str">
        <f>"20200111153440135"</f>
        <v>20200111153440135</v>
      </c>
      <c r="B2215" t="str">
        <f>"1578728080127936"</f>
        <v>1578728080127936</v>
      </c>
      <c r="C2215" t="s">
        <v>37</v>
      </c>
      <c r="D2215">
        <v>4.2046409999999996</v>
      </c>
      <c r="E2215">
        <v>0.38624940000000002</v>
      </c>
      <c r="F2215" t="s">
        <v>39</v>
      </c>
      <c r="G2215">
        <v>-490.6891</v>
      </c>
      <c r="H2215" s="1">
        <v>-7.4756069999999905E-7</v>
      </c>
      <c r="I2215">
        <v>260.90429999999998</v>
      </c>
      <c r="J2215">
        <v>-483.13060000000002</v>
      </c>
      <c r="K2215">
        <v>1.1185179999999999</v>
      </c>
      <c r="L2215">
        <v>280.18329999999997</v>
      </c>
      <c r="M2215">
        <v>-0.82809029999999995</v>
      </c>
      <c r="N2215">
        <v>0</v>
      </c>
      <c r="O2215">
        <v>-0.56037179999999998</v>
      </c>
      <c r="P2215">
        <v>-0.60602129999999998</v>
      </c>
      <c r="Q2215">
        <v>7.1275669999999999E-2</v>
      </c>
      <c r="R2215">
        <v>-0.79224899999999998</v>
      </c>
      <c r="S2215">
        <v>-1.1622920000000001</v>
      </c>
      <c r="T2215">
        <v>-0.16860220000000001</v>
      </c>
      <c r="U2215">
        <v>-2.922882</v>
      </c>
      <c r="V2215">
        <v>-0.31917990000000002</v>
      </c>
      <c r="W2215">
        <v>7.5692969999999998E-2</v>
      </c>
      <c r="X2215">
        <v>0.94466649999999996</v>
      </c>
      <c r="Y2215">
        <v>-0.5624133</v>
      </c>
      <c r="Z2215">
        <v>1.6358770000000002E-2</v>
      </c>
      <c r="AA2215">
        <v>0.82669439999999905</v>
      </c>
      <c r="AB2215">
        <v>32</v>
      </c>
      <c r="AC2215">
        <v>-7.55849999999998</v>
      </c>
      <c r="AD2215">
        <v>-1.1185187475606999</v>
      </c>
      <c r="AE2215">
        <v>-19.279</v>
      </c>
      <c r="AF2215">
        <v>-11.696523092934401</v>
      </c>
      <c r="AG2215">
        <v>-1.1185187475606999</v>
      </c>
      <c r="AH2215">
        <v>17.0150183759051</v>
      </c>
      <c r="AI2215">
        <v>93.100801816700894</v>
      </c>
      <c r="AJ2215">
        <v>124.505545644919</v>
      </c>
      <c r="AK2215">
        <v>20.6777800303752</v>
      </c>
    </row>
    <row r="2216" spans="1:37" x14ac:dyDescent="0.2">
      <c r="A2216" t="str">
        <f>"20200111153440147"</f>
        <v>20200111153440147</v>
      </c>
      <c r="B2216" t="str">
        <f>"1578728080138671"</f>
        <v>1578728080138671</v>
      </c>
      <c r="C2216" t="s">
        <v>37</v>
      </c>
      <c r="D2216">
        <v>4.1661539999999997</v>
      </c>
      <c r="E2216">
        <v>0.38645439999999998</v>
      </c>
      <c r="F2216" t="s">
        <v>40</v>
      </c>
      <c r="G2216">
        <v>-483.4563</v>
      </c>
      <c r="H2216">
        <v>1.0700529999999999</v>
      </c>
      <c r="I2216">
        <v>279.3417</v>
      </c>
      <c r="J2216">
        <v>-483.25420000000003</v>
      </c>
      <c r="K2216">
        <v>1.1185829999999899</v>
      </c>
      <c r="L2216">
        <v>280.09120000000001</v>
      </c>
      <c r="M2216">
        <v>-0.8234804</v>
      </c>
      <c r="N2216">
        <v>0</v>
      </c>
      <c r="O2216">
        <v>-0.56712340000000006</v>
      </c>
      <c r="P2216">
        <v>-0.60001930000000003</v>
      </c>
      <c r="Q2216">
        <v>7.0888649999999997E-2</v>
      </c>
      <c r="R2216">
        <v>-0.79683839999999995</v>
      </c>
      <c r="S2216">
        <v>-1.1352229999999901</v>
      </c>
      <c r="T2216">
        <v>-0.16892760000000001</v>
      </c>
      <c r="U2216">
        <v>-2.9335019999999998</v>
      </c>
      <c r="V2216">
        <v>-0.31862180000000001</v>
      </c>
      <c r="W2216">
        <v>7.5296890000000005E-2</v>
      </c>
      <c r="X2216">
        <v>0.94488649999999996</v>
      </c>
      <c r="Y2216">
        <v>-0.56329929999999995</v>
      </c>
      <c r="Z2216">
        <v>1.6802689999999999E-2</v>
      </c>
      <c r="AA2216">
        <v>0.82608210000000004</v>
      </c>
      <c r="AB2216">
        <v>32</v>
      </c>
      <c r="AC2216">
        <v>-0.202099999999973</v>
      </c>
      <c r="AD2216">
        <v>-4.8529999999999698E-2</v>
      </c>
      <c r="AE2216">
        <v>-0.74950000000001105</v>
      </c>
      <c r="AF2216">
        <v>-0.50068915000206304</v>
      </c>
      <c r="AG2216">
        <v>-4.8529999999999698E-2</v>
      </c>
      <c r="AH2216">
        <v>0.58925561903455703</v>
      </c>
      <c r="AI2216">
        <v>93.591245573373399</v>
      </c>
      <c r="AJ2216">
        <v>130.354479949362</v>
      </c>
      <c r="AK2216">
        <v>0.77476897872436001</v>
      </c>
    </row>
    <row r="2217" spans="1:37" x14ac:dyDescent="0.2">
      <c r="A2217" t="str">
        <f>"20200111153440159"</f>
        <v>20200111153440159</v>
      </c>
      <c r="B2217" t="str">
        <f>"1578728080148430"</f>
        <v>1578728080148430</v>
      </c>
      <c r="C2217" t="s">
        <v>37</v>
      </c>
      <c r="D2217">
        <v>4.2435609999999997</v>
      </c>
      <c r="E2217">
        <v>0.38659490000000002</v>
      </c>
      <c r="F2217" t="s">
        <v>40</v>
      </c>
      <c r="G2217">
        <v>-483.61900000000003</v>
      </c>
      <c r="H2217">
        <v>1.0629249999999999</v>
      </c>
      <c r="I2217">
        <v>279.12759999999997</v>
      </c>
      <c r="J2217">
        <v>-483.38260000000002</v>
      </c>
      <c r="K2217">
        <v>1.11864599999999</v>
      </c>
      <c r="L2217">
        <v>279.9948</v>
      </c>
      <c r="M2217">
        <v>-0.81860639999999996</v>
      </c>
      <c r="N2217">
        <v>0</v>
      </c>
      <c r="O2217">
        <v>-0.57413549999999902</v>
      </c>
      <c r="P2217">
        <v>-0.59393499999999999</v>
      </c>
      <c r="Q2217">
        <v>7.0193939999999996E-2</v>
      </c>
      <c r="R2217">
        <v>-0.80144490000000002</v>
      </c>
      <c r="S2217">
        <v>-1.1134949999999999</v>
      </c>
      <c r="T2217">
        <v>-0.1698905</v>
      </c>
      <c r="U2217">
        <v>-2.941589</v>
      </c>
      <c r="V2217">
        <v>-0.31778689999999998</v>
      </c>
      <c r="W2217">
        <v>7.4601249999999994E-2</v>
      </c>
      <c r="X2217">
        <v>0.94522280000000003</v>
      </c>
      <c r="Y2217">
        <v>-0.56233730000000004</v>
      </c>
      <c r="Z2217">
        <v>1.7387010000000001E-2</v>
      </c>
      <c r="AA2217">
        <v>0.82672520000000005</v>
      </c>
      <c r="AB2217">
        <v>32</v>
      </c>
      <c r="AC2217">
        <v>-0.236400000000003</v>
      </c>
      <c r="AD2217">
        <v>-5.5720999999999903E-2</v>
      </c>
      <c r="AE2217">
        <v>-0.86720000000002495</v>
      </c>
      <c r="AF2217">
        <v>-0.57204383641642298</v>
      </c>
      <c r="AG2217">
        <v>-5.5720999999999903E-2</v>
      </c>
      <c r="AH2217">
        <v>0.68884875151805003</v>
      </c>
      <c r="AI2217">
        <v>93.560928506152607</v>
      </c>
      <c r="AJ2217">
        <v>129.70741371788301</v>
      </c>
      <c r="AK2217">
        <v>0.89713520892393706</v>
      </c>
    </row>
    <row r="2218" spans="1:37" x14ac:dyDescent="0.2">
      <c r="A2218" t="str">
        <f>"20200111153440170"</f>
        <v>20200111153440170</v>
      </c>
      <c r="B2218" t="str">
        <f>"1578728080167951"</f>
        <v>1578728080167951</v>
      </c>
      <c r="C2218" t="s">
        <v>37</v>
      </c>
      <c r="D2218">
        <v>4.2329460000000001</v>
      </c>
      <c r="E2218">
        <v>0.38703280000000001</v>
      </c>
      <c r="F2218" t="s">
        <v>39</v>
      </c>
      <c r="G2218">
        <v>-490.51479999999998</v>
      </c>
      <c r="H2218" s="1">
        <v>-6.2117569999999897E-7</v>
      </c>
      <c r="I2218">
        <v>260.71780000000001</v>
      </c>
      <c r="J2218">
        <v>-483.5181</v>
      </c>
      <c r="K2218">
        <v>1.118717</v>
      </c>
      <c r="L2218">
        <v>279.88979999999998</v>
      </c>
      <c r="M2218">
        <v>-0.81326709999999902</v>
      </c>
      <c r="N2218">
        <v>0</v>
      </c>
      <c r="O2218">
        <v>-0.581673</v>
      </c>
      <c r="P2218">
        <v>-0.58740749999999997</v>
      </c>
      <c r="Q2218">
        <v>6.9398370000000001E-2</v>
      </c>
      <c r="R2218">
        <v>-0.80631009999999903</v>
      </c>
      <c r="S2218">
        <v>-1.091248</v>
      </c>
      <c r="T2218">
        <v>-0.1711578</v>
      </c>
      <c r="U2218">
        <v>-2.9494630000000002</v>
      </c>
      <c r="V2218">
        <v>-0.31677450000000001</v>
      </c>
      <c r="W2218">
        <v>7.3811409999999994E-2</v>
      </c>
      <c r="X2218">
        <v>0.94562449999999998</v>
      </c>
      <c r="Y2218">
        <v>-0.56090689999999999</v>
      </c>
      <c r="Z2218">
        <v>1.8059749999999999E-2</v>
      </c>
      <c r="AA2218">
        <v>0.82768189999999997</v>
      </c>
      <c r="AB2218">
        <v>32</v>
      </c>
      <c r="AC2218">
        <v>-6.9966999999999704</v>
      </c>
      <c r="AD2218">
        <v>-1.1187176211756999</v>
      </c>
      <c r="AE2218">
        <v>-19.171999999999901</v>
      </c>
      <c r="AF2218">
        <v>-11.489102356623</v>
      </c>
      <c r="AG2218">
        <v>-1.1187176211756999</v>
      </c>
      <c r="AH2218">
        <v>16.7936922741081</v>
      </c>
      <c r="AI2218">
        <v>93.146961671605197</v>
      </c>
      <c r="AJ2218">
        <v>124.377280215627</v>
      </c>
      <c r="AK2218">
        <v>20.3783979319849</v>
      </c>
    </row>
    <row r="2219" spans="1:37" x14ac:dyDescent="0.2">
      <c r="A2219" t="str">
        <f>"20200111153440183"</f>
        <v>20200111153440183</v>
      </c>
      <c r="B2219" t="str">
        <f>"1578728080178687"</f>
        <v>1578728080178687</v>
      </c>
      <c r="C2219" t="s">
        <v>37</v>
      </c>
      <c r="D2219">
        <v>4.1912739999999999</v>
      </c>
      <c r="E2219">
        <v>0.38703280000000001</v>
      </c>
      <c r="F2219" t="s">
        <v>40</v>
      </c>
      <c r="G2219">
        <v>-483.8485</v>
      </c>
      <c r="H2219">
        <v>1.0647610000000001</v>
      </c>
      <c r="I2219">
        <v>278.97629999999998</v>
      </c>
      <c r="J2219">
        <v>-483.64370000000002</v>
      </c>
      <c r="K2219">
        <v>1.1187819999999999</v>
      </c>
      <c r="L2219">
        <v>279.79140000000001</v>
      </c>
      <c r="M2219">
        <v>-0.80821080000000001</v>
      </c>
      <c r="N2219">
        <v>0</v>
      </c>
      <c r="O2219">
        <v>-0.58867760000000002</v>
      </c>
      <c r="P2219">
        <v>-0.58125819999999995</v>
      </c>
      <c r="Q2219">
        <v>6.9078130000000001E-2</v>
      </c>
      <c r="R2219">
        <v>-0.81078169999999905</v>
      </c>
      <c r="S2219">
        <v>-1.069275</v>
      </c>
      <c r="T2219">
        <v>-0.17458799999999999</v>
      </c>
      <c r="U2219">
        <v>-2.9567869999999998</v>
      </c>
      <c r="V2219">
        <v>-0.31582169999999998</v>
      </c>
      <c r="W2219">
        <v>7.3497060000000003E-2</v>
      </c>
      <c r="X2219">
        <v>0.94596769999999997</v>
      </c>
      <c r="Y2219">
        <v>-0.55985209999999996</v>
      </c>
      <c r="Z2219">
        <v>1.8930619999999999E-2</v>
      </c>
      <c r="AA2219">
        <v>0.82837629999999995</v>
      </c>
      <c r="AB2219">
        <v>32</v>
      </c>
      <c r="AC2219">
        <v>-0.204799999999977</v>
      </c>
      <c r="AD2219">
        <v>-5.4020999999999798E-2</v>
      </c>
      <c r="AE2219">
        <v>-0.81510000000002902</v>
      </c>
      <c r="AF2219">
        <v>-0.53606501327997302</v>
      </c>
      <c r="AG2219">
        <v>-5.4020999999999798E-2</v>
      </c>
      <c r="AH2219">
        <v>0.642778957078317</v>
      </c>
      <c r="AI2219">
        <v>93.692918783851198</v>
      </c>
      <c r="AJ2219">
        <v>129.82744195817699</v>
      </c>
      <c r="AK2219">
        <v>0.83871851927005003</v>
      </c>
    </row>
    <row r="2220" spans="1:37" x14ac:dyDescent="0.2">
      <c r="A2220" t="str">
        <f>"20200111153440197"</f>
        <v>20200111153440197</v>
      </c>
      <c r="B2220" t="str">
        <f>"1578728080188447"</f>
        <v>1578728080188447</v>
      </c>
      <c r="C2220" t="s">
        <v>37</v>
      </c>
      <c r="D2220">
        <v>4.1355949999999897</v>
      </c>
      <c r="E2220">
        <v>0.39572259999999998</v>
      </c>
      <c r="F2220" t="s">
        <v>40</v>
      </c>
      <c r="G2220">
        <v>-484.00699999999898</v>
      </c>
      <c r="H2220">
        <v>1.0582020000000001</v>
      </c>
      <c r="I2220">
        <v>278.76139999999998</v>
      </c>
      <c r="J2220">
        <v>-483.80040000000002</v>
      </c>
      <c r="K2220">
        <v>1.1188549999999999</v>
      </c>
      <c r="L2220">
        <v>279.66609999999997</v>
      </c>
      <c r="M2220">
        <v>-0.80171780000000004</v>
      </c>
      <c r="N2220">
        <v>0</v>
      </c>
      <c r="O2220">
        <v>-0.5974893</v>
      </c>
      <c r="P2220">
        <v>-0.57474399999999903</v>
      </c>
      <c r="Q2220">
        <v>6.8492579999999997E-2</v>
      </c>
      <c r="R2220">
        <v>-0.81546189999999996</v>
      </c>
      <c r="S2220">
        <v>-1.046265</v>
      </c>
      <c r="T2220">
        <v>-0.1744047</v>
      </c>
      <c r="U2220">
        <v>-2.9649349999999899</v>
      </c>
      <c r="V2220">
        <v>-0.31308029999999998</v>
      </c>
      <c r="W2220">
        <v>7.2980610000000001E-2</v>
      </c>
      <c r="X2220">
        <v>0.94691840000000005</v>
      </c>
      <c r="Y2220">
        <v>-0.55722069999999901</v>
      </c>
      <c r="Z2220">
        <v>1.9586530000000001E-2</v>
      </c>
      <c r="AA2220">
        <v>0.83013340000000002</v>
      </c>
      <c r="AB2220">
        <v>32</v>
      </c>
      <c r="AC2220">
        <v>-0.20659999999992301</v>
      </c>
      <c r="AD2220">
        <v>-6.0652999999999797E-2</v>
      </c>
      <c r="AE2220">
        <v>-0.90469999999999096</v>
      </c>
      <c r="AF2220">
        <v>-0.59938907819833298</v>
      </c>
      <c r="AG2220">
        <v>-6.0652999999999797E-2</v>
      </c>
      <c r="AH2220">
        <v>0.70326928618116102</v>
      </c>
      <c r="AI2220">
        <v>93.755435588448506</v>
      </c>
      <c r="AJ2220">
        <v>130.44060892694901</v>
      </c>
      <c r="AK2220">
        <v>0.92603117785429201</v>
      </c>
    </row>
    <row r="2221" spans="1:37" x14ac:dyDescent="0.2">
      <c r="A2221" t="str">
        <f>"20200111153440208"</f>
        <v>20200111153440208</v>
      </c>
      <c r="B2221" t="str">
        <f>"1578728080198207"</f>
        <v>1578728080198207</v>
      </c>
      <c r="C2221" t="s">
        <v>37</v>
      </c>
      <c r="D2221">
        <v>4.2304349999999999</v>
      </c>
      <c r="E2221">
        <v>0.39480679999999901</v>
      </c>
      <c r="F2221" t="s">
        <v>40</v>
      </c>
      <c r="G2221">
        <v>-484.10250000000002</v>
      </c>
      <c r="H2221">
        <v>1.065304</v>
      </c>
      <c r="I2221">
        <v>278.8449</v>
      </c>
      <c r="J2221">
        <v>-483.92070000000001</v>
      </c>
      <c r="K2221">
        <v>1.1189249999999999</v>
      </c>
      <c r="L2221">
        <v>279.56709999999998</v>
      </c>
      <c r="M2221">
        <v>-0.79654499999999995</v>
      </c>
      <c r="N2221">
        <v>0</v>
      </c>
      <c r="O2221">
        <v>-0.60436749999999995</v>
      </c>
      <c r="P2221">
        <v>-0.56894679999999997</v>
      </c>
      <c r="Q2221">
        <v>6.8438219999999994E-2</v>
      </c>
      <c r="R2221">
        <v>-0.81952159999999996</v>
      </c>
      <c r="S2221">
        <v>-1.0799259999999999</v>
      </c>
      <c r="T2221">
        <v>-0.1913541</v>
      </c>
      <c r="U2221">
        <v>-2.9338069999999998</v>
      </c>
      <c r="V2221">
        <v>-0.31165959999999998</v>
      </c>
      <c r="W2221">
        <v>7.2954450000000004E-2</v>
      </c>
      <c r="X2221">
        <v>0.94738899999999904</v>
      </c>
      <c r="Y2221">
        <v>-0.5387786</v>
      </c>
      <c r="Z2221">
        <v>2.2709159999999999E-2</v>
      </c>
      <c r="AA2221">
        <v>0.84214129999999998</v>
      </c>
      <c r="AB2221">
        <v>32</v>
      </c>
      <c r="AC2221">
        <v>-0.18180000000000901</v>
      </c>
      <c r="AD2221">
        <v>-5.3620999999999898E-2</v>
      </c>
      <c r="AE2221">
        <v>-0.72219999999998596</v>
      </c>
      <c r="AF2221">
        <v>-0.46304988182284401</v>
      </c>
      <c r="AG2221">
        <v>-5.3620999999999898E-2</v>
      </c>
      <c r="AH2221">
        <v>0.57836223294009104</v>
      </c>
      <c r="AI2221">
        <v>94.1394936661614</v>
      </c>
      <c r="AJ2221">
        <v>128.68155351463599</v>
      </c>
      <c r="AK2221">
        <v>0.74282789203731303</v>
      </c>
    </row>
    <row r="2222" spans="1:37" x14ac:dyDescent="0.2">
      <c r="A2222" t="str">
        <f>"20200111153440221"</f>
        <v>20200111153440221</v>
      </c>
      <c r="B2222" t="str">
        <f>"1578728080218702"</f>
        <v>1578728080218702</v>
      </c>
      <c r="C2222" t="s">
        <v>37</v>
      </c>
      <c r="D2222">
        <v>4.1895879999999996</v>
      </c>
      <c r="E2222">
        <v>0.39611409999999903</v>
      </c>
      <c r="F2222" t="s">
        <v>40</v>
      </c>
      <c r="G2222">
        <v>-484.25720000000001</v>
      </c>
      <c r="H2222">
        <v>1.0573299999999899</v>
      </c>
      <c r="I2222">
        <v>278.62650000000002</v>
      </c>
      <c r="J2222">
        <v>-484.05509999999998</v>
      </c>
      <c r="K2222">
        <v>1.119005</v>
      </c>
      <c r="L2222">
        <v>279.4554</v>
      </c>
      <c r="M2222">
        <v>-0.79065600000000003</v>
      </c>
      <c r="N2222">
        <v>0</v>
      </c>
      <c r="O2222">
        <v>-0.61205080000000001</v>
      </c>
      <c r="P2222">
        <v>-0.56228459999999902</v>
      </c>
      <c r="Q2222">
        <v>6.835745E-2</v>
      </c>
      <c r="R2222">
        <v>-0.82411380000000001</v>
      </c>
      <c r="S2222">
        <v>-1.0528869999999999</v>
      </c>
      <c r="T2222">
        <v>-0.1928134</v>
      </c>
      <c r="U2222">
        <v>-2.94577</v>
      </c>
      <c r="V2222">
        <v>-0.31018459999999998</v>
      </c>
      <c r="W2222">
        <v>7.2900259999999995E-2</v>
      </c>
      <c r="X2222">
        <v>0.94787710000000003</v>
      </c>
      <c r="Y2222">
        <v>-0.53857359999999999</v>
      </c>
      <c r="Z2222">
        <v>2.3452299999999999E-2</v>
      </c>
      <c r="AA2222">
        <v>0.84225209999999995</v>
      </c>
      <c r="AB2222">
        <v>32</v>
      </c>
      <c r="AC2222">
        <v>-0.20210000000002901</v>
      </c>
      <c r="AD2222">
        <v>-6.1675000000000098E-2</v>
      </c>
      <c r="AE2222">
        <v>-0.82889999999997599</v>
      </c>
      <c r="AF2222">
        <v>-0.52898335386537199</v>
      </c>
      <c r="AG2222">
        <v>-6.1675000000000098E-2</v>
      </c>
      <c r="AH2222">
        <v>0.66373777851467997</v>
      </c>
      <c r="AI2222">
        <v>94.156147454259397</v>
      </c>
      <c r="AJ2222">
        <v>128.55401894300201</v>
      </c>
      <c r="AK2222">
        <v>0.85098474305904004</v>
      </c>
    </row>
    <row r="2223" spans="1:37" x14ac:dyDescent="0.2">
      <c r="A2223" t="str">
        <f>"20200111153440233"</f>
        <v>20200111153440233</v>
      </c>
      <c r="B2223" t="str">
        <f>"1578728080228463"</f>
        <v>1578728080228463</v>
      </c>
      <c r="C2223" t="s">
        <v>37</v>
      </c>
      <c r="D2223">
        <v>4.3373549999999996</v>
      </c>
      <c r="E2223">
        <v>0.39685349999999903</v>
      </c>
      <c r="F2223" t="s">
        <v>40</v>
      </c>
      <c r="G2223">
        <v>-484.4203</v>
      </c>
      <c r="H2223">
        <v>1.04897</v>
      </c>
      <c r="I2223">
        <v>278.41730000000001</v>
      </c>
      <c r="J2223">
        <v>-484.17610000000002</v>
      </c>
      <c r="K2223">
        <v>1.1190799999999901</v>
      </c>
      <c r="L2223">
        <v>279.35219999999998</v>
      </c>
      <c r="M2223">
        <v>-0.78516769999999902</v>
      </c>
      <c r="N2223">
        <v>0</v>
      </c>
      <c r="O2223">
        <v>-0.61907489999999998</v>
      </c>
      <c r="P2223">
        <v>-0.55605519999999997</v>
      </c>
      <c r="Q2223">
        <v>6.8656019999999998E-2</v>
      </c>
      <c r="R2223">
        <v>-0.82830469999999901</v>
      </c>
      <c r="S2223">
        <v>-1.0374760000000001</v>
      </c>
      <c r="T2223">
        <v>-0.19894220000000001</v>
      </c>
      <c r="U2223">
        <v>-2.9489139999999998</v>
      </c>
      <c r="V2223">
        <v>-0.30888569999999999</v>
      </c>
      <c r="W2223">
        <v>7.3221250000000002E-2</v>
      </c>
      <c r="X2223">
        <v>0.94827649999999997</v>
      </c>
      <c r="Y2223">
        <v>-0.53526289999999999</v>
      </c>
      <c r="Z2223">
        <v>2.4866929999999999E-2</v>
      </c>
      <c r="AA2223">
        <v>0.84431939999999905</v>
      </c>
      <c r="AB2223">
        <v>31</v>
      </c>
      <c r="AC2223">
        <v>-0.24419999999997799</v>
      </c>
      <c r="AD2223">
        <v>-7.0109999999999603E-2</v>
      </c>
      <c r="AE2223">
        <v>-0.93489999999996998</v>
      </c>
      <c r="AF2223">
        <v>-0.57989745251708902</v>
      </c>
      <c r="AG2223">
        <v>-7.0109999999999603E-2</v>
      </c>
      <c r="AH2223">
        <v>0.76657475962120902</v>
      </c>
      <c r="AI2223">
        <v>94.171742552170201</v>
      </c>
      <c r="AJ2223">
        <v>127.10672799356701</v>
      </c>
      <c r="AK2223">
        <v>0.96375999586210503</v>
      </c>
    </row>
    <row r="2224" spans="1:37" x14ac:dyDescent="0.2">
      <c r="A2224" t="str">
        <f>"20200111153440245"</f>
        <v>20200111153440245</v>
      </c>
      <c r="B2224" t="str">
        <f>"1578728080238223"</f>
        <v>1578728080238223</v>
      </c>
      <c r="C2224" t="s">
        <v>37</v>
      </c>
      <c r="D2224">
        <v>4.2769209999999998</v>
      </c>
      <c r="E2224">
        <v>0.39723550000000002</v>
      </c>
      <c r="F2224" t="s">
        <v>40</v>
      </c>
      <c r="G2224">
        <v>-484.48169999999999</v>
      </c>
      <c r="H2224">
        <v>1.058362</v>
      </c>
      <c r="I2224">
        <v>278.46780000000001</v>
      </c>
      <c r="J2224">
        <v>-484.29430000000002</v>
      </c>
      <c r="K2224">
        <v>1.1191530000000001</v>
      </c>
      <c r="L2224">
        <v>279.24979999999999</v>
      </c>
      <c r="M2224">
        <v>-0.77968210000000004</v>
      </c>
      <c r="N2224">
        <v>0</v>
      </c>
      <c r="O2224">
        <v>-0.62596890000000005</v>
      </c>
      <c r="P2224">
        <v>-0.55006299999999997</v>
      </c>
      <c r="Q2224">
        <v>6.8924490000000005E-2</v>
      </c>
      <c r="R2224">
        <v>-0.83227430000000002</v>
      </c>
      <c r="S2224">
        <v>-1.0202639999999901</v>
      </c>
      <c r="T2224">
        <v>-0.20276920000000001</v>
      </c>
      <c r="U2224">
        <v>-2.9537049999999998</v>
      </c>
      <c r="V2224">
        <v>-0.30737950000000003</v>
      </c>
      <c r="W2224">
        <v>7.3522749999999998E-2</v>
      </c>
      <c r="X2224">
        <v>0.94874239999999999</v>
      </c>
      <c r="Y2224">
        <v>-0.53264460000000002</v>
      </c>
      <c r="Z2224">
        <v>2.5987469999999999E-2</v>
      </c>
      <c r="AA2224">
        <v>0.84593999999999903</v>
      </c>
      <c r="AB2224">
        <v>31</v>
      </c>
      <c r="AC2224">
        <v>-0.18739999999996801</v>
      </c>
      <c r="AD2224">
        <v>-6.0790999999999998E-2</v>
      </c>
      <c r="AE2224">
        <v>-0.78199999999998204</v>
      </c>
      <c r="AF2224">
        <v>-0.489670098623397</v>
      </c>
      <c r="AG2224">
        <v>-6.0790999999999998E-2</v>
      </c>
      <c r="AH2224">
        <v>0.63208998062411303</v>
      </c>
      <c r="AI2224">
        <v>94.347803464841803</v>
      </c>
      <c r="AJ2224">
        <v>127.764376972839</v>
      </c>
      <c r="AK2224">
        <v>0.80187910234164295</v>
      </c>
    </row>
    <row r="2225" spans="1:37" x14ac:dyDescent="0.2">
      <c r="A2225" t="str">
        <f>"20200111153440254"</f>
        <v>20200111153440254</v>
      </c>
      <c r="B2225" t="str">
        <f>"1578728080247984"</f>
        <v>1578728080247984</v>
      </c>
      <c r="C2225" t="s">
        <v>37</v>
      </c>
      <c r="D2225">
        <v>4.2755809999999999</v>
      </c>
      <c r="E2225">
        <v>0.39771119999999999</v>
      </c>
      <c r="F2225" t="s">
        <v>40</v>
      </c>
      <c r="G2225">
        <v>-484.63290000000001</v>
      </c>
      <c r="H2225">
        <v>1.0496110000000001</v>
      </c>
      <c r="I2225">
        <v>278.2491</v>
      </c>
      <c r="J2225">
        <v>-484.40899999999999</v>
      </c>
      <c r="K2225">
        <v>1.1192229999999901</v>
      </c>
      <c r="L2225">
        <v>279.14890000000003</v>
      </c>
      <c r="M2225">
        <v>-0.77422959999999996</v>
      </c>
      <c r="N2225">
        <v>0</v>
      </c>
      <c r="O2225">
        <v>-0.63269940000000002</v>
      </c>
      <c r="P2225">
        <v>-0.54401330000000003</v>
      </c>
      <c r="Q2225">
        <v>6.9603559999999995E-2</v>
      </c>
      <c r="R2225">
        <v>-0.83618459999999994</v>
      </c>
      <c r="S2225">
        <v>-1.0012509999999999</v>
      </c>
      <c r="T2225">
        <v>-0.20562610000000001</v>
      </c>
      <c r="U2225">
        <v>-2.9598689999999999</v>
      </c>
      <c r="V2225">
        <v>-0.30603359999999902</v>
      </c>
      <c r="W2225">
        <v>7.423035E-2</v>
      </c>
      <c r="X2225">
        <v>0.94912240000000003</v>
      </c>
      <c r="Y2225">
        <v>-0.53073130000000002</v>
      </c>
      <c r="Z2225">
        <v>2.6962759999999999E-2</v>
      </c>
      <c r="AA2225">
        <v>0.84711119999999995</v>
      </c>
      <c r="AB2225">
        <v>31</v>
      </c>
      <c r="AC2225">
        <v>-0.223900000000014</v>
      </c>
      <c r="AD2225">
        <v>-6.9611999999999702E-2</v>
      </c>
      <c r="AE2225">
        <v>-0.89980000000002702</v>
      </c>
      <c r="AF2225">
        <v>-0.55195165793841905</v>
      </c>
      <c r="AG2225">
        <v>-6.9611999999999702E-2</v>
      </c>
      <c r="AH2225">
        <v>0.73858667790746702</v>
      </c>
      <c r="AI2225">
        <v>94.317507125998901</v>
      </c>
      <c r="AJ2225">
        <v>126.77105253133701</v>
      </c>
      <c r="AK2225">
        <v>0.92466574719049599</v>
      </c>
    </row>
    <row r="2226" spans="1:37" x14ac:dyDescent="0.2">
      <c r="A2226" t="str">
        <f>"20200111153440266"</f>
        <v>20200111153440266</v>
      </c>
      <c r="B2226" t="str">
        <f>"1578728080258718"</f>
        <v>1578728080258718</v>
      </c>
      <c r="C2226" t="s">
        <v>37</v>
      </c>
      <c r="D2226">
        <v>4.3073940000000004</v>
      </c>
      <c r="E2226">
        <v>0.39802719999999903</v>
      </c>
      <c r="F2226" t="s">
        <v>40</v>
      </c>
      <c r="G2226">
        <v>-484.69189999999998</v>
      </c>
      <c r="H2226">
        <v>1.0599240000000001</v>
      </c>
      <c r="I2226">
        <v>278.29610000000002</v>
      </c>
      <c r="J2226">
        <v>-484.51459999999997</v>
      </c>
      <c r="K2226">
        <v>1.1192930000000001</v>
      </c>
      <c r="L2226">
        <v>279.0539</v>
      </c>
      <c r="M2226">
        <v>-0.76906680000000005</v>
      </c>
      <c r="N2226">
        <v>0</v>
      </c>
      <c r="O2226">
        <v>-0.63896419999999998</v>
      </c>
      <c r="P2226">
        <v>-0.53847279999999997</v>
      </c>
      <c r="Q2226">
        <v>6.9886420000000005E-2</v>
      </c>
      <c r="R2226">
        <v>-0.83973960000000003</v>
      </c>
      <c r="S2226">
        <v>-0.98309329999999995</v>
      </c>
      <c r="T2226">
        <v>-0.20609179999999899</v>
      </c>
      <c r="U2226">
        <v>-2.9652099999999999</v>
      </c>
      <c r="V2226">
        <v>-0.30460670000000001</v>
      </c>
      <c r="W2226">
        <v>7.4547989999999995E-2</v>
      </c>
      <c r="X2226">
        <v>0.94955639999999997</v>
      </c>
      <c r="Y2226">
        <v>-0.52898650000000003</v>
      </c>
      <c r="Z2226">
        <v>2.7596209999999999E-2</v>
      </c>
      <c r="AA2226">
        <v>0.84818139999999997</v>
      </c>
      <c r="AB2226">
        <v>31</v>
      </c>
      <c r="AC2226">
        <v>-0.17730000000000201</v>
      </c>
      <c r="AD2226">
        <v>-5.9368999999999998E-2</v>
      </c>
      <c r="AE2226">
        <v>-0.75779999999997405</v>
      </c>
      <c r="AF2226">
        <v>-0.466855022022795</v>
      </c>
      <c r="AG2226">
        <v>-5.9368999999999998E-2</v>
      </c>
      <c r="AH2226">
        <v>0.61705285083816597</v>
      </c>
      <c r="AI2226">
        <v>94.387577610461094</v>
      </c>
      <c r="AJ2226">
        <v>127.110726206842</v>
      </c>
      <c r="AK2226">
        <v>0.77603641053523598</v>
      </c>
    </row>
    <row r="2227" spans="1:37" x14ac:dyDescent="0.2">
      <c r="A2227" t="str">
        <f>"20200111153440277"</f>
        <v>20200111153440277</v>
      </c>
      <c r="B2227" t="str">
        <f>"1578728080268479"</f>
        <v>1578728080268479</v>
      </c>
      <c r="C2227" t="s">
        <v>37</v>
      </c>
      <c r="D2227">
        <v>4.3039750000000003</v>
      </c>
      <c r="E2227">
        <v>0.39912409999999998</v>
      </c>
      <c r="F2227" t="s">
        <v>40</v>
      </c>
      <c r="G2227">
        <v>-484.834</v>
      </c>
      <c r="H2227">
        <v>1.050532</v>
      </c>
      <c r="I2227">
        <v>278.07089999999999</v>
      </c>
      <c r="J2227">
        <v>-484.63679999999999</v>
      </c>
      <c r="K2227">
        <v>1.11937</v>
      </c>
      <c r="L2227">
        <v>278.9427</v>
      </c>
      <c r="M2227">
        <v>-0.76297399999999904</v>
      </c>
      <c r="N2227">
        <v>0</v>
      </c>
      <c r="O2227">
        <v>-0.64622650000000004</v>
      </c>
      <c r="P2227">
        <v>-0.53195950000000003</v>
      </c>
      <c r="Q2227">
        <v>6.9980730000000005E-2</v>
      </c>
      <c r="R2227">
        <v>-0.84387279999999998</v>
      </c>
      <c r="S2227">
        <v>-0.96563719999999997</v>
      </c>
      <c r="T2227">
        <v>-0.20780679999999899</v>
      </c>
      <c r="U2227">
        <v>-2.9706419999999998</v>
      </c>
      <c r="V2227">
        <v>-0.30296230000000002</v>
      </c>
      <c r="W2227">
        <v>7.4682090000000007E-2</v>
      </c>
      <c r="X2227">
        <v>0.95007180000000002</v>
      </c>
      <c r="Y2227">
        <v>-0.52591290000000002</v>
      </c>
      <c r="Z2227">
        <v>2.852466E-2</v>
      </c>
      <c r="AA2227">
        <v>0.85006000000000004</v>
      </c>
      <c r="AB2227">
        <v>31</v>
      </c>
      <c r="AC2227">
        <v>-0.19720000000000901</v>
      </c>
      <c r="AD2227">
        <v>-6.8837999999999899E-2</v>
      </c>
      <c r="AE2227">
        <v>-0.87180000000000701</v>
      </c>
      <c r="AF2227">
        <v>-0.53462429049083304</v>
      </c>
      <c r="AG2227">
        <v>-6.8837999999999899E-2</v>
      </c>
      <c r="AH2227">
        <v>0.70972266790793304</v>
      </c>
      <c r="AI2227">
        <v>94.429963137564599</v>
      </c>
      <c r="AJ2227">
        <v>126.990210285198</v>
      </c>
      <c r="AK2227">
        <v>0.89121718316535103</v>
      </c>
    </row>
    <row r="2228" spans="1:37" x14ac:dyDescent="0.2">
      <c r="A2228" t="str">
        <f>"20200111153440289"</f>
        <v>20200111153440289</v>
      </c>
      <c r="B2228" t="str">
        <f>"1578728080278238"</f>
        <v>1578728080278238</v>
      </c>
      <c r="C2228" t="s">
        <v>37</v>
      </c>
      <c r="D2228">
        <v>4.2910709999999996</v>
      </c>
      <c r="E2228">
        <v>0.40000289999999999</v>
      </c>
      <c r="F2228" t="s">
        <v>40</v>
      </c>
      <c r="G2228">
        <v>-484.89929999999998</v>
      </c>
      <c r="H2228">
        <v>1.06062099999999</v>
      </c>
      <c r="I2228">
        <v>278.12119999999999</v>
      </c>
      <c r="J2228">
        <v>-484.75110000000001</v>
      </c>
      <c r="K2228">
        <v>1.119443</v>
      </c>
      <c r="L2228">
        <v>278.8356</v>
      </c>
      <c r="M2228">
        <v>-0.75706490000000004</v>
      </c>
      <c r="N2228">
        <v>0</v>
      </c>
      <c r="O2228">
        <v>-0.65313859999999901</v>
      </c>
      <c r="P2228">
        <v>-0.52530059999999901</v>
      </c>
      <c r="Q2228">
        <v>6.9973590000000002E-2</v>
      </c>
      <c r="R2228">
        <v>-0.84803510000000004</v>
      </c>
      <c r="S2228">
        <v>-0.95028690000000005</v>
      </c>
      <c r="T2228">
        <v>-0.21265139999999999</v>
      </c>
      <c r="U2228">
        <v>-2.9737239999999998</v>
      </c>
      <c r="V2228">
        <v>-0.30181379999999902</v>
      </c>
      <c r="W2228">
        <v>7.4698730000000005E-2</v>
      </c>
      <c r="X2228">
        <v>0.95043599999999995</v>
      </c>
      <c r="Y2228">
        <v>-0.52242060000000001</v>
      </c>
      <c r="Z2228">
        <v>2.990195E-2</v>
      </c>
      <c r="AA2228">
        <v>0.85216340000000002</v>
      </c>
      <c r="AB2228">
        <v>31</v>
      </c>
      <c r="AC2228">
        <v>-0.14819999999997399</v>
      </c>
      <c r="AD2228">
        <v>-5.8822000000000103E-2</v>
      </c>
      <c r="AE2228">
        <v>-0.71440000000001103</v>
      </c>
      <c r="AF2228">
        <v>-0.44124238813586403</v>
      </c>
      <c r="AG2228">
        <v>-5.8822000000000103E-2</v>
      </c>
      <c r="AH2228">
        <v>0.57513701648428495</v>
      </c>
      <c r="AI2228">
        <v>94.639112275303404</v>
      </c>
      <c r="AJ2228">
        <v>127.495248957722</v>
      </c>
      <c r="AK2228">
        <v>0.72728086768612599</v>
      </c>
    </row>
    <row r="2229" spans="1:37" x14ac:dyDescent="0.2">
      <c r="A2229" t="str">
        <f>"20200111153440301"</f>
        <v>20200111153440301</v>
      </c>
      <c r="B2229" t="str">
        <f>"1578728080298735"</f>
        <v>1578728080298735</v>
      </c>
      <c r="C2229" t="s">
        <v>37</v>
      </c>
      <c r="D2229">
        <v>4.138458</v>
      </c>
      <c r="E2229">
        <v>0.39937729999999999</v>
      </c>
      <c r="F2229" t="s">
        <v>40</v>
      </c>
      <c r="G2229">
        <v>-485.04450000000003</v>
      </c>
      <c r="H2229">
        <v>1.0513680000000001</v>
      </c>
      <c r="I2229">
        <v>277.89909999999998</v>
      </c>
      <c r="J2229">
        <v>-484.86790000000002</v>
      </c>
      <c r="K2229">
        <v>1.1195170000000001</v>
      </c>
      <c r="L2229">
        <v>278.72519999999997</v>
      </c>
      <c r="M2229">
        <v>-0.75091850000000004</v>
      </c>
      <c r="N2229">
        <v>0</v>
      </c>
      <c r="O2229">
        <v>-0.66019479999999997</v>
      </c>
      <c r="P2229">
        <v>-0.51833359999999995</v>
      </c>
      <c r="Q2229">
        <v>7.0284810000000003E-2</v>
      </c>
      <c r="R2229">
        <v>-0.85228519999999897</v>
      </c>
      <c r="S2229">
        <v>-0.93258669999999999</v>
      </c>
      <c r="T2229">
        <v>-0.21640609999999999</v>
      </c>
      <c r="U2229">
        <v>-2.977814</v>
      </c>
      <c r="V2229">
        <v>-0.30071379999999998</v>
      </c>
      <c r="W2229">
        <v>7.5030159999999999E-2</v>
      </c>
      <c r="X2229">
        <v>0.95075849999999995</v>
      </c>
      <c r="Y2229">
        <v>-0.51939480000000005</v>
      </c>
      <c r="Z2229">
        <v>3.1149650000000001E-2</v>
      </c>
      <c r="AA2229">
        <v>0.85396649999999996</v>
      </c>
      <c r="AB2229">
        <v>31</v>
      </c>
      <c r="AC2229">
        <v>-0.176600000000007</v>
      </c>
      <c r="AD2229">
        <v>-6.8149000000000001E-2</v>
      </c>
      <c r="AE2229">
        <v>-0.82609999999999595</v>
      </c>
      <c r="AF2229">
        <v>-0.500552349233645</v>
      </c>
      <c r="AG2229">
        <v>-6.8149000000000001E-2</v>
      </c>
      <c r="AH2229">
        <v>0.67370426573039099</v>
      </c>
      <c r="AI2229">
        <v>94.642067546954706</v>
      </c>
      <c r="AJ2229">
        <v>126.611805328594</v>
      </c>
      <c r="AK2229">
        <v>0.84206554269109302</v>
      </c>
    </row>
    <row r="2230" spans="1:37" x14ac:dyDescent="0.2">
      <c r="A2230" t="str">
        <f>"20200111153440313"</f>
        <v>20200111153440313</v>
      </c>
      <c r="B2230" t="str">
        <f>"1578728080308495"</f>
        <v>1578728080308495</v>
      </c>
      <c r="C2230" t="s">
        <v>37</v>
      </c>
      <c r="D2230">
        <v>4.1081300000000001</v>
      </c>
      <c r="E2230">
        <v>0.37612820000000002</v>
      </c>
      <c r="F2230" t="s">
        <v>40</v>
      </c>
      <c r="G2230">
        <v>-485.18529999999998</v>
      </c>
      <c r="H2230">
        <v>1.044319</v>
      </c>
      <c r="I2230">
        <v>277.67570000000001</v>
      </c>
      <c r="J2230">
        <v>-484.9896</v>
      </c>
      <c r="K2230">
        <v>1.11959599999999</v>
      </c>
      <c r="L2230">
        <v>278.60700000000003</v>
      </c>
      <c r="M2230">
        <v>-0.74429429999999996</v>
      </c>
      <c r="N2230">
        <v>0</v>
      </c>
      <c r="O2230">
        <v>-0.66765339999999995</v>
      </c>
      <c r="P2230">
        <v>-0.51058239999999999</v>
      </c>
      <c r="Q2230">
        <v>7.0390869999999994E-2</v>
      </c>
      <c r="R2230">
        <v>-0.85694269999999995</v>
      </c>
      <c r="S2230">
        <v>-0.90374759999999998</v>
      </c>
      <c r="T2230">
        <v>-0.21407570000000001</v>
      </c>
      <c r="U2230">
        <v>-2.98797599999999</v>
      </c>
      <c r="V2230">
        <v>-0.29986370000000001</v>
      </c>
      <c r="W2230">
        <v>7.5146160000000004E-2</v>
      </c>
      <c r="X2230">
        <v>0.95101780000000002</v>
      </c>
      <c r="Y2230">
        <v>-0.51923679999999905</v>
      </c>
      <c r="Z2230">
        <v>3.1445599999999997E-2</v>
      </c>
      <c r="AA2230">
        <v>0.85405169999999997</v>
      </c>
      <c r="AB2230">
        <v>31</v>
      </c>
      <c r="AC2230">
        <v>-0.19569999999998799</v>
      </c>
      <c r="AD2230">
        <v>-7.5276999999999802E-2</v>
      </c>
      <c r="AE2230">
        <v>-0.931300000000021</v>
      </c>
      <c r="AF2230">
        <v>-0.55907778151336396</v>
      </c>
      <c r="AG2230">
        <v>-7.5276999999999802E-2</v>
      </c>
      <c r="AH2230">
        <v>0.762772870330789</v>
      </c>
      <c r="AI2230">
        <v>94.550998395519599</v>
      </c>
      <c r="AJ2230">
        <v>126.239719021955</v>
      </c>
      <c r="AK2230">
        <v>0.94871336251977401</v>
      </c>
    </row>
    <row r="2231" spans="1:37" x14ac:dyDescent="0.2">
      <c r="A2231" t="str">
        <f>"20200111153440325"</f>
        <v>20200111153440325</v>
      </c>
      <c r="B2231" t="str">
        <f>"1578728080318255"</f>
        <v>1578728080318255</v>
      </c>
      <c r="C2231" t="s">
        <v>37</v>
      </c>
      <c r="D2231">
        <v>4.2362039999999999</v>
      </c>
      <c r="E2231">
        <v>0.37246629999999997</v>
      </c>
      <c r="F2231" t="s">
        <v>40</v>
      </c>
      <c r="G2231">
        <v>-485.20260000000002</v>
      </c>
      <c r="H2231">
        <v>1.0572729999999999</v>
      </c>
      <c r="I2231">
        <v>277.68799999999999</v>
      </c>
      <c r="J2231">
        <v>-485.101</v>
      </c>
      <c r="K2231">
        <v>1.1196660000000001</v>
      </c>
      <c r="L2231">
        <v>278.49689999999998</v>
      </c>
      <c r="M2231">
        <v>-0.73807539999999905</v>
      </c>
      <c r="N2231">
        <v>0</v>
      </c>
      <c r="O2231">
        <v>-0.67452089999999998</v>
      </c>
      <c r="P2231">
        <v>-0.50318589999999996</v>
      </c>
      <c r="Q2231">
        <v>7.0587070000000002E-2</v>
      </c>
      <c r="R2231">
        <v>-0.86129040000000001</v>
      </c>
      <c r="S2231">
        <v>-0.71624759999999998</v>
      </c>
      <c r="T2231">
        <v>-0.20960999999999999</v>
      </c>
      <c r="U2231">
        <v>-3.091278</v>
      </c>
      <c r="V2231">
        <v>-0.29924829999999902</v>
      </c>
      <c r="W2231">
        <v>7.5347300000000006E-2</v>
      </c>
      <c r="X2231">
        <v>0.95119569999999998</v>
      </c>
      <c r="Y2231">
        <v>-0.56680489999999994</v>
      </c>
      <c r="Z2231">
        <v>2.9361580000000002E-2</v>
      </c>
      <c r="AA2231">
        <v>0.82332870000000002</v>
      </c>
      <c r="AB2231">
        <v>31</v>
      </c>
      <c r="AC2231">
        <v>-0.10160000000001899</v>
      </c>
      <c r="AD2231">
        <v>-6.2393000000000101E-2</v>
      </c>
      <c r="AE2231">
        <v>-0.80889999999999396</v>
      </c>
      <c r="AF2231">
        <v>-0.52549038033611795</v>
      </c>
      <c r="AG2231">
        <v>-6.2393000000000101E-2</v>
      </c>
      <c r="AH2231">
        <v>0.61707676205745798</v>
      </c>
      <c r="AI2231">
        <v>94.401952048996705</v>
      </c>
      <c r="AJ2231">
        <v>130.417059537124</v>
      </c>
      <c r="AK2231">
        <v>0.81290636394735805</v>
      </c>
    </row>
    <row r="2232" spans="1:37" x14ac:dyDescent="0.2">
      <c r="A2232" t="str">
        <f>"20200111153440335"</f>
        <v>20200111153440335</v>
      </c>
      <c r="B2232" t="str">
        <f>"1578728080328015"</f>
        <v>1578728080328015</v>
      </c>
      <c r="C2232" t="s">
        <v>37</v>
      </c>
      <c r="D2232">
        <v>4.2149779999999897</v>
      </c>
      <c r="E2232">
        <v>0.3684711</v>
      </c>
      <c r="F2232" t="s">
        <v>40</v>
      </c>
      <c r="G2232">
        <v>-485.32420000000002</v>
      </c>
      <c r="H2232">
        <v>1.05452099999999</v>
      </c>
      <c r="I2232">
        <v>277.45139999999998</v>
      </c>
      <c r="J2232">
        <v>-485.20589999999999</v>
      </c>
      <c r="K2232">
        <v>1.1197299999999999</v>
      </c>
      <c r="L2232">
        <v>278.39170000000001</v>
      </c>
      <c r="M2232">
        <v>-0.73208509999999904</v>
      </c>
      <c r="N2232">
        <v>0</v>
      </c>
      <c r="O2232">
        <v>-0.68101690000000004</v>
      </c>
      <c r="P2232">
        <v>-0.4961332</v>
      </c>
      <c r="Q2232">
        <v>7.0827539999999994E-2</v>
      </c>
      <c r="R2232">
        <v>-0.86535280000000003</v>
      </c>
      <c r="S2232">
        <v>-0.66345209999999999</v>
      </c>
      <c r="T2232">
        <v>-0.19379079999999901</v>
      </c>
      <c r="U2232">
        <v>-3.11145</v>
      </c>
      <c r="V2232">
        <v>-0.29861989999999999</v>
      </c>
      <c r="W2232">
        <v>7.5594069999999999E-2</v>
      </c>
      <c r="X2232">
        <v>0.95137359999999904</v>
      </c>
      <c r="Y2232">
        <v>-0.57399829999999996</v>
      </c>
      <c r="Z2232">
        <v>2.7376029999999999E-2</v>
      </c>
      <c r="AA2232">
        <v>0.81839869999999904</v>
      </c>
      <c r="AB2232">
        <v>31</v>
      </c>
      <c r="AC2232">
        <v>-0.118300000000033</v>
      </c>
      <c r="AD2232">
        <v>-6.5209000000000003E-2</v>
      </c>
      <c r="AE2232">
        <v>-0.940300000000035</v>
      </c>
      <c r="AF2232">
        <v>-0.60503215401382904</v>
      </c>
      <c r="AG2232">
        <v>-6.5209000000000003E-2</v>
      </c>
      <c r="AH2232">
        <v>0.72363710578098905</v>
      </c>
      <c r="AI2232">
        <v>93.954707575050094</v>
      </c>
      <c r="AJ2232">
        <v>129.89895700338201</v>
      </c>
      <c r="AK2232">
        <v>0.94549816601339898</v>
      </c>
    </row>
    <row r="2233" spans="1:37" x14ac:dyDescent="0.2">
      <c r="A2233" t="str">
        <f>"20200111153440346"</f>
        <v>20200111153440346</v>
      </c>
      <c r="B2233" t="str">
        <f>"1578728080337775"</f>
        <v>1578728080337775</v>
      </c>
      <c r="C2233" t="s">
        <v>37</v>
      </c>
      <c r="D2233">
        <v>4.1098410000000003</v>
      </c>
      <c r="E2233">
        <v>0.36718079999999997</v>
      </c>
      <c r="F2233" t="s">
        <v>40</v>
      </c>
      <c r="G2233">
        <v>-485.3811</v>
      </c>
      <c r="H2233">
        <v>1.0633999999999999</v>
      </c>
      <c r="I2233">
        <v>277.49220000000003</v>
      </c>
      <c r="J2233">
        <v>-485.30520000000001</v>
      </c>
      <c r="K2233">
        <v>1.1197900000000001</v>
      </c>
      <c r="L2233">
        <v>278.28960000000001</v>
      </c>
      <c r="M2233">
        <v>-0.726242099999999</v>
      </c>
      <c r="N2233">
        <v>0</v>
      </c>
      <c r="O2233">
        <v>-0.68724390000000002</v>
      </c>
      <c r="P2233">
        <v>-0.48960909999999902</v>
      </c>
      <c r="Q2233">
        <v>7.0569679999999996E-2</v>
      </c>
      <c r="R2233">
        <v>-0.86908129999999995</v>
      </c>
      <c r="S2233">
        <v>-0.60983279999999995</v>
      </c>
      <c r="T2233">
        <v>-0.1961502</v>
      </c>
      <c r="U2233">
        <v>-3.1332399999999998</v>
      </c>
      <c r="V2233">
        <v>-0.29766969999999998</v>
      </c>
      <c r="W2233">
        <v>7.5358250000000002E-2</v>
      </c>
      <c r="X2233">
        <v>0.95168999999999904</v>
      </c>
      <c r="Y2233">
        <v>-0.58158799999999999</v>
      </c>
      <c r="Z2233">
        <v>2.788318E-2</v>
      </c>
      <c r="AA2233">
        <v>0.81300550000000005</v>
      </c>
      <c r="AB2233">
        <v>31</v>
      </c>
      <c r="AC2233">
        <v>-7.5899999999990003E-2</v>
      </c>
      <c r="AD2233">
        <v>-5.63900000000001E-2</v>
      </c>
      <c r="AE2233">
        <v>-0.79739999999998101</v>
      </c>
      <c r="AF2233">
        <v>-0.52441530221947597</v>
      </c>
      <c r="AG2233">
        <v>-5.63900000000001E-2</v>
      </c>
      <c r="AH2233">
        <v>0.60023617370239202</v>
      </c>
      <c r="AI2233">
        <v>94.046821318260697</v>
      </c>
      <c r="AJ2233">
        <v>131.14311427702</v>
      </c>
      <c r="AK2233">
        <v>0.79904612227507399</v>
      </c>
    </row>
    <row r="2234" spans="1:37" x14ac:dyDescent="0.2">
      <c r="A2234" t="str">
        <f>"20200111153440357"</f>
        <v>20200111153440357</v>
      </c>
      <c r="B2234" t="str">
        <f>"1578728080348511"</f>
        <v>1578728080348511</v>
      </c>
      <c r="C2234" t="s">
        <v>37</v>
      </c>
      <c r="D2234">
        <v>4.1082769999999904</v>
      </c>
      <c r="E2234">
        <v>0.36671320000000002</v>
      </c>
      <c r="F2234" t="s">
        <v>40</v>
      </c>
      <c r="G2234">
        <v>-485.49560000000002</v>
      </c>
      <c r="H2234">
        <v>1.0558239999999901</v>
      </c>
      <c r="I2234">
        <v>277.25220000000002</v>
      </c>
      <c r="J2234">
        <v>-485.4076</v>
      </c>
      <c r="K2234">
        <v>1.1198520000000001</v>
      </c>
      <c r="L2234">
        <v>278.18340000000001</v>
      </c>
      <c r="M2234">
        <v>-0.72011759999999903</v>
      </c>
      <c r="N2234">
        <v>0</v>
      </c>
      <c r="O2234">
        <v>-0.69365810000000006</v>
      </c>
      <c r="P2234">
        <v>-0.48263909999999999</v>
      </c>
      <c r="Q2234">
        <v>7.0117460000000006E-2</v>
      </c>
      <c r="R2234">
        <v>-0.87300829999999996</v>
      </c>
      <c r="S2234">
        <v>-0.57662959999999996</v>
      </c>
      <c r="T2234">
        <v>-0.1937787</v>
      </c>
      <c r="U2234">
        <v>-3.1428219999999998</v>
      </c>
      <c r="V2234">
        <v>-0.29686709999999999</v>
      </c>
      <c r="W2234">
        <v>7.4921730000000006E-2</v>
      </c>
      <c r="X2234">
        <v>0.95197520000000002</v>
      </c>
      <c r="Y2234">
        <v>-0.58313530000000002</v>
      </c>
      <c r="Z2234">
        <v>2.7980459999999999E-2</v>
      </c>
      <c r="AA2234">
        <v>0.81189299999999998</v>
      </c>
      <c r="AB2234">
        <v>31</v>
      </c>
      <c r="AC2234">
        <v>-8.8000000000022199E-2</v>
      </c>
      <c r="AD2234">
        <v>-6.4028000000000196E-2</v>
      </c>
      <c r="AE2234">
        <v>-0.93119999999998904</v>
      </c>
      <c r="AF2234">
        <v>-0.60677035715869798</v>
      </c>
      <c r="AG2234">
        <v>-6.4028000000000196E-2</v>
      </c>
      <c r="AH2234">
        <v>0.70609154988518696</v>
      </c>
      <c r="AI2234">
        <v>93.934286109975801</v>
      </c>
      <c r="AJ2234">
        <v>130.673676128865</v>
      </c>
      <c r="AK2234">
        <v>0.93318547348839498</v>
      </c>
    </row>
    <row r="2235" spans="1:37" x14ac:dyDescent="0.2">
      <c r="A2235" t="str">
        <f>"20200111153440367"</f>
        <v>20200111153440367</v>
      </c>
      <c r="B2235" t="str">
        <f>"1578728080358271"</f>
        <v>1578728080358271</v>
      </c>
      <c r="C2235" t="s">
        <v>37</v>
      </c>
      <c r="D2235">
        <v>4.1365429999999996</v>
      </c>
      <c r="E2235">
        <v>0.36613800000000002</v>
      </c>
      <c r="F2235" t="s">
        <v>40</v>
      </c>
      <c r="G2235">
        <v>-485.56130000000002</v>
      </c>
      <c r="H2235">
        <v>1.066171</v>
      </c>
      <c r="I2235">
        <v>277.29759999999999</v>
      </c>
      <c r="J2235">
        <v>-485.5027</v>
      </c>
      <c r="K2235">
        <v>1.119907</v>
      </c>
      <c r="L2235">
        <v>278.08190000000002</v>
      </c>
      <c r="M2235">
        <v>-0.71423630000000005</v>
      </c>
      <c r="N2235">
        <v>0</v>
      </c>
      <c r="O2235">
        <v>-0.69971169999999905</v>
      </c>
      <c r="P2235">
        <v>-0.47606660000000001</v>
      </c>
      <c r="Q2235">
        <v>6.9832649999999996E-2</v>
      </c>
      <c r="R2235">
        <v>-0.87663250000000004</v>
      </c>
      <c r="S2235">
        <v>-0.54641719999999905</v>
      </c>
      <c r="T2235">
        <v>-0.1908521</v>
      </c>
      <c r="U2235">
        <v>-3.1495669999999998</v>
      </c>
      <c r="V2235">
        <v>-0.29600080000000001</v>
      </c>
      <c r="W2235">
        <v>7.4657370000000001E-2</v>
      </c>
      <c r="X2235">
        <v>0.95226559999999905</v>
      </c>
      <c r="Y2235">
        <v>-0.58413959999999998</v>
      </c>
      <c r="Z2235">
        <v>2.7992079999999999E-2</v>
      </c>
      <c r="AA2235">
        <v>0.81117039999999996</v>
      </c>
      <c r="AB2235">
        <v>31</v>
      </c>
      <c r="AC2235">
        <v>-5.86000000000126E-2</v>
      </c>
      <c r="AD2235">
        <v>-5.3735999999999999E-2</v>
      </c>
      <c r="AE2235">
        <v>-0.78430000000002997</v>
      </c>
      <c r="AF2235">
        <v>-0.51682987847627504</v>
      </c>
      <c r="AG2235">
        <v>-5.3735999999999999E-2</v>
      </c>
      <c r="AH2235">
        <v>0.58797312870906904</v>
      </c>
      <c r="AI2235">
        <v>93.926800342223601</v>
      </c>
      <c r="AJ2235">
        <v>131.315553340907</v>
      </c>
      <c r="AK2235">
        <v>0.78467386923851001</v>
      </c>
    </row>
    <row r="2236" spans="1:37" x14ac:dyDescent="0.2">
      <c r="A2236" t="str">
        <f>"20200111153440379"</f>
        <v>20200111153440379</v>
      </c>
      <c r="B2236" t="str">
        <f>"1578728080368030"</f>
        <v>1578728080368030</v>
      </c>
      <c r="C2236" t="s">
        <v>37</v>
      </c>
      <c r="D2236">
        <v>4.1155660000000003</v>
      </c>
      <c r="E2236">
        <v>0.36614649999999999</v>
      </c>
      <c r="F2236" t="s">
        <v>40</v>
      </c>
      <c r="G2236">
        <v>-485.67129999999997</v>
      </c>
      <c r="H2236">
        <v>1.058435</v>
      </c>
      <c r="I2236">
        <v>277.05700000000002</v>
      </c>
      <c r="J2236">
        <v>-485.61180000000002</v>
      </c>
      <c r="K2236">
        <v>1.1199709999999901</v>
      </c>
      <c r="L2236">
        <v>277.96469999999999</v>
      </c>
      <c r="M2236">
        <v>-0.70738579999999995</v>
      </c>
      <c r="N2236">
        <v>0</v>
      </c>
      <c r="O2236">
        <v>-0.70663560000000003</v>
      </c>
      <c r="P2236">
        <v>-0.46858519999999998</v>
      </c>
      <c r="Q2236">
        <v>6.9280739999999993E-2</v>
      </c>
      <c r="R2236">
        <v>-0.88069739999999996</v>
      </c>
      <c r="S2236">
        <v>-0.51791379999999998</v>
      </c>
      <c r="T2236">
        <v>-0.18914629999999999</v>
      </c>
      <c r="U2236">
        <v>-3.1560359999999998</v>
      </c>
      <c r="V2236">
        <v>-0.29485600000000001</v>
      </c>
      <c r="W2236">
        <v>7.4135240000000005E-2</v>
      </c>
      <c r="X2236">
        <v>0.95266149999999905</v>
      </c>
      <c r="Y2236">
        <v>-0.58364269999999996</v>
      </c>
      <c r="Z2236">
        <v>2.8281690000000002E-2</v>
      </c>
      <c r="AA2236">
        <v>0.81151799999999996</v>
      </c>
      <c r="AB2236">
        <v>31</v>
      </c>
      <c r="AC2236">
        <v>-5.9499999999957198E-2</v>
      </c>
      <c r="AD2236">
        <v>-6.1535999999999799E-2</v>
      </c>
      <c r="AE2236">
        <v>-0.90769999999997697</v>
      </c>
      <c r="AF2236">
        <v>-0.59739688318836404</v>
      </c>
      <c r="AG2236">
        <v>-6.1535999999999799E-2</v>
      </c>
      <c r="AH2236">
        <v>0.68048131243819998</v>
      </c>
      <c r="AI2236">
        <v>93.887713034450499</v>
      </c>
      <c r="AJ2236">
        <v>131.280008299608</v>
      </c>
      <c r="AK2236">
        <v>0.90759271257364504</v>
      </c>
    </row>
    <row r="2237" spans="1:37" x14ac:dyDescent="0.2">
      <c r="A2237" t="str">
        <f>"20200111153440390"</f>
        <v>20200111153440390</v>
      </c>
      <c r="B2237" t="str">
        <f>"1578728080388527"</f>
        <v>1578728080388527</v>
      </c>
      <c r="C2237" t="s">
        <v>37</v>
      </c>
      <c r="D2237">
        <v>4.1318839999999897</v>
      </c>
      <c r="E2237">
        <v>0.36361650000000001</v>
      </c>
      <c r="F2237" t="s">
        <v>39</v>
      </c>
      <c r="G2237">
        <v>-488.5154</v>
      </c>
      <c r="H2237" s="1">
        <v>-4.3927960000000004E-6</v>
      </c>
      <c r="I2237">
        <v>259.2586</v>
      </c>
      <c r="J2237">
        <v>-485.71699999999998</v>
      </c>
      <c r="K2237">
        <v>1.1200330000000001</v>
      </c>
      <c r="L2237">
        <v>277.84780000000001</v>
      </c>
      <c r="M2237">
        <v>-0.70051770000000002</v>
      </c>
      <c r="N2237">
        <v>0</v>
      </c>
      <c r="O2237">
        <v>-0.71344419999999897</v>
      </c>
      <c r="P2237">
        <v>-0.46077170000000001</v>
      </c>
      <c r="Q2237">
        <v>6.8786470000000002E-2</v>
      </c>
      <c r="R2237">
        <v>-0.884849</v>
      </c>
      <c r="S2237">
        <v>-0.49053959999999902</v>
      </c>
      <c r="T2237">
        <v>-0.18920909999999999</v>
      </c>
      <c r="U2237">
        <v>-3.1602169999999998</v>
      </c>
      <c r="V2237">
        <v>-0.294095099999999</v>
      </c>
      <c r="W2237">
        <v>7.3656860000000005E-2</v>
      </c>
      <c r="X2237">
        <v>0.95293379999999905</v>
      </c>
      <c r="Y2237">
        <v>-0.58281989999999995</v>
      </c>
      <c r="Z2237">
        <v>2.884857E-2</v>
      </c>
      <c r="AA2237">
        <v>0.81208910000000001</v>
      </c>
      <c r="AB2237">
        <v>31</v>
      </c>
      <c r="AC2237">
        <v>-2.7984000000000102</v>
      </c>
      <c r="AD2237">
        <v>-1.1200373927959999</v>
      </c>
      <c r="AE2237">
        <v>-18.589200000000002</v>
      </c>
      <c r="AF2237">
        <v>-10.988056866308799</v>
      </c>
      <c r="AG2237">
        <v>-1.1200373927959999</v>
      </c>
      <c r="AH2237">
        <v>15.1709042169686</v>
      </c>
      <c r="AI2237">
        <v>93.421768320147507</v>
      </c>
      <c r="AJ2237">
        <v>125.91524678223</v>
      </c>
      <c r="AK2237">
        <v>18.765612492507</v>
      </c>
    </row>
    <row r="2238" spans="1:37" x14ac:dyDescent="0.2">
      <c r="A2238" t="str">
        <f>"20200111153440402"</f>
        <v>20200111153440402</v>
      </c>
      <c r="B2238" t="str">
        <f>"1578728080398289"</f>
        <v>1578728080398289</v>
      </c>
      <c r="C2238" t="s">
        <v>37</v>
      </c>
      <c r="D2238">
        <v>4.1067849999999897</v>
      </c>
      <c r="E2238">
        <v>0.36293720000000002</v>
      </c>
      <c r="F2238" t="s">
        <v>40</v>
      </c>
      <c r="G2238">
        <v>-485.85419999999999</v>
      </c>
      <c r="H2238">
        <v>1.0670869999999999</v>
      </c>
      <c r="I2238">
        <v>276.8648</v>
      </c>
      <c r="J2238">
        <v>-485.81479999999999</v>
      </c>
      <c r="K2238">
        <v>1.1200909999999999</v>
      </c>
      <c r="L2238">
        <v>277.73829999999998</v>
      </c>
      <c r="M2238">
        <v>-0.69403559999999997</v>
      </c>
      <c r="N2238">
        <v>0</v>
      </c>
      <c r="O2238">
        <v>-0.71975089999999997</v>
      </c>
      <c r="P2238">
        <v>-0.45376819999999901</v>
      </c>
      <c r="Q2238">
        <v>6.8626300000000001E-2</v>
      </c>
      <c r="R2238">
        <v>-0.88847350000000003</v>
      </c>
      <c r="S2238">
        <v>-0.442749</v>
      </c>
      <c r="T2238">
        <v>-0.1709241</v>
      </c>
      <c r="U2238">
        <v>-3.1732179999999999</v>
      </c>
      <c r="V2238">
        <v>-0.29301709999999997</v>
      </c>
      <c r="W2238">
        <v>7.3527980000000007E-2</v>
      </c>
      <c r="X2238">
        <v>0.95327569999999995</v>
      </c>
      <c r="Y2238">
        <v>-0.58794579999999996</v>
      </c>
      <c r="Z2238">
        <v>2.633717E-2</v>
      </c>
      <c r="AA2238">
        <v>0.80847139999999995</v>
      </c>
      <c r="AB2238">
        <v>31</v>
      </c>
      <c r="AC2238">
        <v>-3.9400000000000497E-2</v>
      </c>
      <c r="AD2238">
        <v>-5.3003999999999801E-2</v>
      </c>
      <c r="AE2238">
        <v>-0.87349999999997796</v>
      </c>
      <c r="AF2238">
        <v>-0.57584488073996998</v>
      </c>
      <c r="AG2238">
        <v>-5.3003999999999801E-2</v>
      </c>
      <c r="AH2238">
        <v>0.653734850444465</v>
      </c>
      <c r="AI2238">
        <v>93.481648637724405</v>
      </c>
      <c r="AJ2238">
        <v>131.375337586776</v>
      </c>
      <c r="AK2238">
        <v>0.87279780326034195</v>
      </c>
    </row>
    <row r="2239" spans="1:37" x14ac:dyDescent="0.2">
      <c r="A2239" t="str">
        <f>"20200111153440412"</f>
        <v>20200111153440412</v>
      </c>
      <c r="B2239" t="str">
        <f>"1578728080408046"</f>
        <v>1578728080408046</v>
      </c>
      <c r="C2239" t="s">
        <v>37</v>
      </c>
      <c r="D2239">
        <v>4.1191259999999996</v>
      </c>
      <c r="E2239">
        <v>0.36261320000000002</v>
      </c>
      <c r="F2239" t="s">
        <v>39</v>
      </c>
      <c r="G2239">
        <v>-488.62369999999999</v>
      </c>
      <c r="H2239" s="1">
        <v>-3.0033469999999999E-6</v>
      </c>
      <c r="I2239">
        <v>256.06459999999998</v>
      </c>
      <c r="J2239">
        <v>-485.9203</v>
      </c>
      <c r="K2239">
        <v>1.120152</v>
      </c>
      <c r="L2239">
        <v>277.61700000000002</v>
      </c>
      <c r="M2239">
        <v>-0.68681879999999995</v>
      </c>
      <c r="N2239">
        <v>0</v>
      </c>
      <c r="O2239">
        <v>-0.72663959999999905</v>
      </c>
      <c r="P2239">
        <v>-0.44565139999999998</v>
      </c>
      <c r="Q2239">
        <v>6.85471E-2</v>
      </c>
      <c r="R2239">
        <v>-0.89257819999999899</v>
      </c>
      <c r="S2239">
        <v>-0.411987299999999</v>
      </c>
      <c r="T2239">
        <v>-0.1642817</v>
      </c>
      <c r="U2239">
        <v>-3.178833</v>
      </c>
      <c r="V2239">
        <v>-0.29220740000000001</v>
      </c>
      <c r="W2239">
        <v>7.3469019999999996E-2</v>
      </c>
      <c r="X2239">
        <v>0.95352879999999995</v>
      </c>
      <c r="Y2239">
        <v>-0.58776209999999995</v>
      </c>
      <c r="Z2239">
        <v>2.5781330000000002E-2</v>
      </c>
      <c r="AA2239">
        <v>0.80862299999999998</v>
      </c>
      <c r="AB2239">
        <v>31</v>
      </c>
      <c r="AC2239">
        <v>-2.7033999999999798</v>
      </c>
      <c r="AD2239">
        <v>-1.120155003347</v>
      </c>
      <c r="AE2239">
        <v>-21.552399999999999</v>
      </c>
      <c r="AF2239">
        <v>-12.8059043829027</v>
      </c>
      <c r="AG2239">
        <v>-1.120155003347</v>
      </c>
      <c r="AH2239">
        <v>17.473511698342399</v>
      </c>
      <c r="AI2239">
        <v>92.959934084048399</v>
      </c>
      <c r="AJ2239">
        <v>126.23676664034301</v>
      </c>
      <c r="AK2239">
        <v>21.6926149960691</v>
      </c>
    </row>
    <row r="2240" spans="1:37" x14ac:dyDescent="0.2">
      <c r="A2240" t="str">
        <f>"20200111153440425"</f>
        <v>20200111153440425</v>
      </c>
      <c r="B2240" t="str">
        <f>"1578728080417807"</f>
        <v>1578728080417807</v>
      </c>
      <c r="C2240" t="s">
        <v>37</v>
      </c>
      <c r="D2240">
        <v>4.1692549999999997</v>
      </c>
      <c r="E2240">
        <v>0.3623789</v>
      </c>
      <c r="F2240" t="s">
        <v>40</v>
      </c>
      <c r="G2240">
        <v>-486.0335</v>
      </c>
      <c r="H2240">
        <v>1.0729819999999901</v>
      </c>
      <c r="I2240">
        <v>276.6696</v>
      </c>
      <c r="J2240">
        <v>-486.0256</v>
      </c>
      <c r="K2240">
        <v>1.120214</v>
      </c>
      <c r="L2240">
        <v>277.49360000000001</v>
      </c>
      <c r="M2240">
        <v>-0.67942309999999995</v>
      </c>
      <c r="N2240">
        <v>0</v>
      </c>
      <c r="O2240">
        <v>-0.73355909999999902</v>
      </c>
      <c r="P2240">
        <v>-0.43749090000000002</v>
      </c>
      <c r="Q2240">
        <v>6.8601419999999996E-2</v>
      </c>
      <c r="R2240">
        <v>-0.89660249999999997</v>
      </c>
      <c r="S2240">
        <v>-0.3800964</v>
      </c>
      <c r="T2240">
        <v>-0.15847229999999901</v>
      </c>
      <c r="U2240">
        <v>-3.183411</v>
      </c>
      <c r="V2240">
        <v>-0.29125879999999998</v>
      </c>
      <c r="W2240">
        <v>7.3550329999999997E-2</v>
      </c>
      <c r="X2240">
        <v>0.95381269999999996</v>
      </c>
      <c r="Y2240">
        <v>-0.58769899999999997</v>
      </c>
      <c r="Z2240">
        <v>2.5328429999999999E-2</v>
      </c>
      <c r="AA2240">
        <v>0.80868309999999999</v>
      </c>
      <c r="AB2240">
        <v>31</v>
      </c>
      <c r="AC2240">
        <v>-7.9000000000064505E-3</v>
      </c>
      <c r="AD2240">
        <v>-4.72320000000001E-2</v>
      </c>
      <c r="AE2240">
        <v>-0.82400000000001195</v>
      </c>
      <c r="AF2240">
        <v>-0.55231127561170001</v>
      </c>
      <c r="AG2240">
        <v>-4.72320000000001E-2</v>
      </c>
      <c r="AH2240">
        <v>0.607906927565529</v>
      </c>
      <c r="AI2240">
        <v>93.291229845298005</v>
      </c>
      <c r="AJ2240">
        <v>132.25658371826299</v>
      </c>
      <c r="AK2240">
        <v>0.82269644436692702</v>
      </c>
    </row>
    <row r="2241" spans="1:37" x14ac:dyDescent="0.2">
      <c r="A2241" t="str">
        <f>"20200111153440436"</f>
        <v>20200111153440436</v>
      </c>
      <c r="B2241" t="str">
        <f>"1578728080428544"</f>
        <v>1578728080428544</v>
      </c>
      <c r="C2241" t="s">
        <v>37</v>
      </c>
      <c r="D2241">
        <v>4.1288489999999998</v>
      </c>
      <c r="E2241">
        <v>0.362878599999999</v>
      </c>
      <c r="F2241" t="s">
        <v>39</v>
      </c>
      <c r="G2241">
        <v>-488.57929999999999</v>
      </c>
      <c r="H2241" s="1">
        <v>-2.199212E-6</v>
      </c>
      <c r="I2241">
        <v>254.17169999999999</v>
      </c>
      <c r="J2241">
        <v>-486.12799999999999</v>
      </c>
      <c r="K2241">
        <v>1.1202650000000001</v>
      </c>
      <c r="L2241">
        <v>277.37189999999998</v>
      </c>
      <c r="M2241">
        <v>-0.67207349999999999</v>
      </c>
      <c r="N2241">
        <v>0</v>
      </c>
      <c r="O2241">
        <v>-0.7402976</v>
      </c>
      <c r="P2241">
        <v>-0.42969839999999998</v>
      </c>
      <c r="Q2241">
        <v>6.8748119999999996E-2</v>
      </c>
      <c r="R2241">
        <v>-0.90035159999999903</v>
      </c>
      <c r="S2241">
        <v>-0.348999</v>
      </c>
      <c r="T2241">
        <v>-0.15309729999999999</v>
      </c>
      <c r="U2241">
        <v>-3.1873469999999999</v>
      </c>
      <c r="V2241">
        <v>-0.29002840000000002</v>
      </c>
      <c r="W2241">
        <v>7.3736759999999998E-2</v>
      </c>
      <c r="X2241">
        <v>0.9541731</v>
      </c>
      <c r="Y2241">
        <v>-0.5875418</v>
      </c>
      <c r="Z2241">
        <v>2.4906749999999998E-2</v>
      </c>
      <c r="AA2241">
        <v>0.80881040000000004</v>
      </c>
      <c r="AB2241">
        <v>31</v>
      </c>
      <c r="AC2241">
        <v>-2.4512999999999399</v>
      </c>
      <c r="AD2241">
        <v>-1.1202671992119999</v>
      </c>
      <c r="AE2241">
        <v>-23.200199999999899</v>
      </c>
      <c r="AF2241">
        <v>-13.747753661619999</v>
      </c>
      <c r="AG2241">
        <v>-1.1202671992119999</v>
      </c>
      <c r="AH2241">
        <v>18.781801799597002</v>
      </c>
      <c r="AI2241">
        <v>92.755542074115198</v>
      </c>
      <c r="AJ2241">
        <v>126.203084393761</v>
      </c>
      <c r="AK2241">
        <v>23.302613762785601</v>
      </c>
    </row>
    <row r="2242" spans="1:37" x14ac:dyDescent="0.2">
      <c r="A2242" t="str">
        <f>"20200111153440448"</f>
        <v>20200111153440448</v>
      </c>
      <c r="B2242" t="str">
        <f>"1578728080438302"</f>
        <v>1578728080438302</v>
      </c>
      <c r="C2242" t="s">
        <v>37</v>
      </c>
      <c r="D2242">
        <v>4.1406650000000003</v>
      </c>
      <c r="E2242">
        <v>0.36339320000000003</v>
      </c>
      <c r="F2242" t="s">
        <v>40</v>
      </c>
      <c r="G2242">
        <v>-486.21899999999999</v>
      </c>
      <c r="H2242">
        <v>1.0777410000000001</v>
      </c>
      <c r="I2242">
        <v>276.47719999999998</v>
      </c>
      <c r="J2242">
        <v>-486.21809999999999</v>
      </c>
      <c r="K2242">
        <v>1.1203160000000001</v>
      </c>
      <c r="L2242">
        <v>277.26130000000001</v>
      </c>
      <c r="M2242">
        <v>-0.66536799999999996</v>
      </c>
      <c r="N2242">
        <v>0</v>
      </c>
      <c r="O2242">
        <v>-0.74632949999999998</v>
      </c>
      <c r="P2242">
        <v>-0.42252629999999902</v>
      </c>
      <c r="Q2242">
        <v>6.8554190000000001E-2</v>
      </c>
      <c r="R2242">
        <v>-0.90375469999999902</v>
      </c>
      <c r="S2242">
        <v>-0.3243103</v>
      </c>
      <c r="T2242">
        <v>-0.151558</v>
      </c>
      <c r="U2242">
        <v>-3.1888730000000001</v>
      </c>
      <c r="V2242">
        <v>-0.28902070000000002</v>
      </c>
      <c r="W2242">
        <v>7.3575539999999995E-2</v>
      </c>
      <c r="X2242">
        <v>0.95449130000000004</v>
      </c>
      <c r="Y2242">
        <v>-0.58648009999999995</v>
      </c>
      <c r="Z2242">
        <v>2.507554E-2</v>
      </c>
      <c r="AA2242">
        <v>0.8095753</v>
      </c>
      <c r="AB2242">
        <v>31</v>
      </c>
      <c r="AC2242">
        <v>-9.0000000000145497E-4</v>
      </c>
      <c r="AD2242">
        <v>-4.2575000000000002E-2</v>
      </c>
      <c r="AE2242">
        <v>-0.784100000000023</v>
      </c>
      <c r="AF2242">
        <v>-0.51958384625584397</v>
      </c>
      <c r="AG2242">
        <v>-4.2575000000000002E-2</v>
      </c>
      <c r="AH2242">
        <v>0.58415490667223402</v>
      </c>
      <c r="AI2242">
        <v>93.117132796026794</v>
      </c>
      <c r="AJ2242">
        <v>131.65189140495499</v>
      </c>
      <c r="AK2242">
        <v>0.78295399539453303</v>
      </c>
    </row>
    <row r="2243" spans="1:37" x14ac:dyDescent="0.2">
      <c r="A2243" t="str">
        <f>"20200111153440460"</f>
        <v>20200111153440460</v>
      </c>
      <c r="B2243" t="str">
        <f>"1578728080448062"</f>
        <v>1578728080448062</v>
      </c>
      <c r="C2243" t="s">
        <v>37</v>
      </c>
      <c r="D2243">
        <v>4.1584640000000004</v>
      </c>
      <c r="E2243">
        <v>0.36391240000000002</v>
      </c>
      <c r="F2243" t="s">
        <v>40</v>
      </c>
      <c r="G2243">
        <v>-486.31569999999999</v>
      </c>
      <c r="H2243">
        <v>1.0717570000000001</v>
      </c>
      <c r="I2243">
        <v>276.23390000000001</v>
      </c>
      <c r="J2243">
        <v>-486.32190000000003</v>
      </c>
      <c r="K2243">
        <v>1.1203730000000001</v>
      </c>
      <c r="L2243">
        <v>277.13290000000001</v>
      </c>
      <c r="M2243">
        <v>-0.65752699999999997</v>
      </c>
      <c r="N2243">
        <v>0</v>
      </c>
      <c r="O2243">
        <v>-0.75324590000000002</v>
      </c>
      <c r="P2243">
        <v>-0.41437380000000001</v>
      </c>
      <c r="Q2243">
        <v>6.8440879999999996E-2</v>
      </c>
      <c r="R2243">
        <v>-0.90752980000000005</v>
      </c>
      <c r="S2243">
        <v>-0.30239870000000002</v>
      </c>
      <c r="T2243">
        <v>-0.1507193</v>
      </c>
      <c r="U2243">
        <v>-3.1894840000000002</v>
      </c>
      <c r="V2243">
        <v>-0.28764459999999997</v>
      </c>
      <c r="W2243">
        <v>7.3509909999999998E-2</v>
      </c>
      <c r="X2243">
        <v>0.95491199999999998</v>
      </c>
      <c r="Y2243">
        <v>-0.58353500000000003</v>
      </c>
      <c r="Z2243">
        <v>2.545532E-2</v>
      </c>
      <c r="AA2243">
        <v>0.81168899999999999</v>
      </c>
      <c r="AB2243">
        <v>31</v>
      </c>
      <c r="AC2243">
        <v>6.2000000000352797E-3</v>
      </c>
      <c r="AD2243">
        <v>-4.8615999999999902E-2</v>
      </c>
      <c r="AE2243">
        <v>-0.89900000000000002</v>
      </c>
      <c r="AF2243">
        <v>-0.59413257722236901</v>
      </c>
      <c r="AG2243">
        <v>-4.8615999999999902E-2</v>
      </c>
      <c r="AH2243">
        <v>0.67122242508504504</v>
      </c>
      <c r="AI2243">
        <v>93.104378806726203</v>
      </c>
      <c r="AJ2243">
        <v>131.51365005681899</v>
      </c>
      <c r="AK2243">
        <v>0.89771742698353796</v>
      </c>
    </row>
    <row r="2244" spans="1:37" x14ac:dyDescent="0.2">
      <c r="A2244" t="str">
        <f>"20200111153440473"</f>
        <v>20200111153440473</v>
      </c>
      <c r="B2244" t="str">
        <f>"1578728080468559"</f>
        <v>1578728080468559</v>
      </c>
      <c r="C2244" t="s">
        <v>37</v>
      </c>
      <c r="D2244">
        <v>4.0838199999999896</v>
      </c>
      <c r="E2244">
        <v>0.36455520000000002</v>
      </c>
      <c r="F2244" t="s">
        <v>39</v>
      </c>
      <c r="G2244">
        <v>-488.38130000000001</v>
      </c>
      <c r="H2244" s="1">
        <v>-1.89041E-6</v>
      </c>
      <c r="I2244">
        <v>253.37</v>
      </c>
      <c r="J2244">
        <v>-486.43169999999998</v>
      </c>
      <c r="K2244">
        <v>1.1204369999999999</v>
      </c>
      <c r="L2244">
        <v>276.99250000000001</v>
      </c>
      <c r="M2244">
        <v>-0.64890709999999996</v>
      </c>
      <c r="N2244">
        <v>0</v>
      </c>
      <c r="O2244">
        <v>-0.76068380000000002</v>
      </c>
      <c r="P2244">
        <v>-0.405088</v>
      </c>
      <c r="Q2244">
        <v>6.8221519999999994E-2</v>
      </c>
      <c r="R2244">
        <v>-0.91172889999999995</v>
      </c>
      <c r="S2244">
        <v>-0.27651979999999998</v>
      </c>
      <c r="T2244">
        <v>-0.15043999999999999</v>
      </c>
      <c r="U2244">
        <v>-3.19079599999999</v>
      </c>
      <c r="V2244">
        <v>-0.2865335</v>
      </c>
      <c r="W2244">
        <v>7.332777E-2</v>
      </c>
      <c r="X2244">
        <v>0.95526</v>
      </c>
      <c r="Y2244">
        <v>-0.58084899999999995</v>
      </c>
      <c r="Z2244">
        <v>2.5951109999999999E-2</v>
      </c>
      <c r="AA2244">
        <v>0.81359759999999903</v>
      </c>
      <c r="AB2244">
        <v>31</v>
      </c>
      <c r="AC2244">
        <v>-1.94960000000003</v>
      </c>
      <c r="AD2244">
        <v>-1.12043889041</v>
      </c>
      <c r="AE2244">
        <v>-23.622499999999999</v>
      </c>
      <c r="AF2244">
        <v>-13.816842334112501</v>
      </c>
      <c r="AG2244">
        <v>-1.12043889041</v>
      </c>
      <c r="AH2244">
        <v>19.1941641676536</v>
      </c>
      <c r="AI2244">
        <v>92.712411715098199</v>
      </c>
      <c r="AJ2244">
        <v>125.748075814205</v>
      </c>
      <c r="AK2244">
        <v>23.676495802540199</v>
      </c>
    </row>
    <row r="2245" spans="1:37" x14ac:dyDescent="0.2">
      <c r="A2245" t="str">
        <f>"20200111153440487"</f>
        <v>20200111153440487</v>
      </c>
      <c r="B2245" t="str">
        <f>"1578728080478319"</f>
        <v>1578728080478319</v>
      </c>
      <c r="C2245" t="s">
        <v>37</v>
      </c>
      <c r="D2245">
        <v>4.1143349999999996</v>
      </c>
      <c r="E2245">
        <v>0.36505559999999998</v>
      </c>
      <c r="F2245" t="s">
        <v>40</v>
      </c>
      <c r="G2245">
        <v>-486.50549999999998</v>
      </c>
      <c r="H2245">
        <v>1.0762620000000001</v>
      </c>
      <c r="I2245">
        <v>276.04309999999998</v>
      </c>
      <c r="J2245">
        <v>-486.54039999999998</v>
      </c>
      <c r="K2245">
        <v>1.120493</v>
      </c>
      <c r="L2245">
        <v>276.85059999999999</v>
      </c>
      <c r="M2245">
        <v>-0.64013929999999997</v>
      </c>
      <c r="N2245">
        <v>0</v>
      </c>
      <c r="O2245">
        <v>-0.76807590000000003</v>
      </c>
      <c r="P2245">
        <v>-0.39573619999999998</v>
      </c>
      <c r="Q2245">
        <v>6.7844660000000001E-2</v>
      </c>
      <c r="R2245">
        <v>-0.91585509999999903</v>
      </c>
      <c r="S2245">
        <v>-0.24798579999999901</v>
      </c>
      <c r="T2245">
        <v>-0.14849979999999999</v>
      </c>
      <c r="U2245">
        <v>-3.1913149999999999</v>
      </c>
      <c r="V2245">
        <v>-0.28536879999999998</v>
      </c>
      <c r="W2245">
        <v>7.2992029999999999E-2</v>
      </c>
      <c r="X2245">
        <v>0.95563419999999899</v>
      </c>
      <c r="Y2245">
        <v>-0.57875200000000004</v>
      </c>
      <c r="Z2245">
        <v>2.6146289999999999E-2</v>
      </c>
      <c r="AA2245">
        <v>0.81508429999999998</v>
      </c>
      <c r="AB2245">
        <v>31</v>
      </c>
      <c r="AC2245">
        <v>3.48999999999932E-2</v>
      </c>
      <c r="AD2245">
        <v>-4.4230999999999902E-2</v>
      </c>
      <c r="AE2245">
        <v>-0.80750000000000399</v>
      </c>
      <c r="AF2245">
        <v>-0.54217110904680299</v>
      </c>
      <c r="AG2245">
        <v>-4.4230999999999902E-2</v>
      </c>
      <c r="AH2245">
        <v>0.59617907744738396</v>
      </c>
      <c r="AI2245">
        <v>93.141699951264499</v>
      </c>
      <c r="AJ2245">
        <v>132.28369176220801</v>
      </c>
      <c r="AK2245">
        <v>0.80705352067384895</v>
      </c>
    </row>
    <row r="2246" spans="1:37" x14ac:dyDescent="0.2">
      <c r="A2246" t="str">
        <f>"20200111153440501"</f>
        <v>20200111153440501</v>
      </c>
      <c r="B2246" t="str">
        <f>"1578728080497839"</f>
        <v>1578728080497839</v>
      </c>
      <c r="C2246" t="s">
        <v>37</v>
      </c>
      <c r="D2246">
        <v>4.0887830000000003</v>
      </c>
      <c r="E2246">
        <v>0.36631419999999998</v>
      </c>
      <c r="F2246" t="s">
        <v>40</v>
      </c>
      <c r="G2246">
        <v>-486.611999999999</v>
      </c>
      <c r="H2246">
        <v>1.0715239999999999</v>
      </c>
      <c r="I2246">
        <v>275.80770000000001</v>
      </c>
      <c r="J2246">
        <v>-486.65690000000001</v>
      </c>
      <c r="K2246">
        <v>1.1205559999999899</v>
      </c>
      <c r="L2246">
        <v>276.69540000000001</v>
      </c>
      <c r="M2246">
        <v>-0.63047149999999996</v>
      </c>
      <c r="N2246">
        <v>0</v>
      </c>
      <c r="O2246">
        <v>-0.77603040000000001</v>
      </c>
      <c r="P2246">
        <v>-0.38707140000000001</v>
      </c>
      <c r="Q2246">
        <v>6.7093440000000004E-2</v>
      </c>
      <c r="R2246">
        <v>-0.91960560000000002</v>
      </c>
      <c r="S2246">
        <v>-0.21868899999999999</v>
      </c>
      <c r="T2246">
        <v>-0.149816</v>
      </c>
      <c r="U2246">
        <v>-3.1922299999999999</v>
      </c>
      <c r="V2246">
        <v>-0.28244229999999998</v>
      </c>
      <c r="W2246">
        <v>7.2359510000000002E-2</v>
      </c>
      <c r="X2246">
        <v>0.95655129999999999</v>
      </c>
      <c r="Y2246">
        <v>-0.57599869999999898</v>
      </c>
      <c r="Z2246">
        <v>2.6958579999999999E-2</v>
      </c>
      <c r="AA2246">
        <v>0.81700589999999995</v>
      </c>
      <c r="AB2246">
        <v>31</v>
      </c>
      <c r="AC2246">
        <v>4.4900000000040997E-2</v>
      </c>
      <c r="AD2246">
        <v>-4.9031999999999902E-2</v>
      </c>
      <c r="AE2246">
        <v>-0.88769999999999505</v>
      </c>
      <c r="AF2246">
        <v>-0.59279337684838296</v>
      </c>
      <c r="AG2246">
        <v>-4.9031999999999902E-2</v>
      </c>
      <c r="AH2246">
        <v>0.65866296216919695</v>
      </c>
      <c r="AI2246">
        <v>93.167073596510505</v>
      </c>
      <c r="AJ2246">
        <v>131.98705442216499</v>
      </c>
      <c r="AK2246">
        <v>0.88749367456495698</v>
      </c>
    </row>
    <row r="2247" spans="1:37" x14ac:dyDescent="0.2">
      <c r="A2247" t="str">
        <f>"20200111153440513"</f>
        <v>20200111153440513</v>
      </c>
      <c r="B2247" t="str">
        <f>"1578728080508575"</f>
        <v>1578728080508575</v>
      </c>
      <c r="C2247" t="s">
        <v>37</v>
      </c>
      <c r="D2247">
        <v>4.1616849999999896</v>
      </c>
      <c r="E2247">
        <v>0.36666739999999998</v>
      </c>
      <c r="F2247" t="s">
        <v>39</v>
      </c>
      <c r="G2247">
        <v>-488.11009999999999</v>
      </c>
      <c r="H2247" s="1">
        <v>-1.8358539999999899E-6</v>
      </c>
      <c r="I2247">
        <v>253.13069999999999</v>
      </c>
      <c r="J2247">
        <v>-486.75819999999999</v>
      </c>
      <c r="K2247">
        <v>1.1206119999999999</v>
      </c>
      <c r="L2247">
        <v>276.55619999999999</v>
      </c>
      <c r="M2247">
        <v>-0.62175409999999998</v>
      </c>
      <c r="N2247">
        <v>0</v>
      </c>
      <c r="O2247">
        <v>-0.78303159999999905</v>
      </c>
      <c r="P2247">
        <v>-0.37800119999999998</v>
      </c>
      <c r="Q2247">
        <v>6.7555130000000005E-2</v>
      </c>
      <c r="R2247">
        <v>-0.92333719999999997</v>
      </c>
      <c r="S2247">
        <v>-0.196746799999999</v>
      </c>
      <c r="T2247">
        <v>-0.15171709999999999</v>
      </c>
      <c r="U2247">
        <v>-3.1905209999999999</v>
      </c>
      <c r="V2247">
        <v>-0.28116809999999998</v>
      </c>
      <c r="W2247">
        <v>7.2870290000000004E-2</v>
      </c>
      <c r="X2247">
        <v>0.95688790000000001</v>
      </c>
      <c r="Y2247">
        <v>-0.57241949999999997</v>
      </c>
      <c r="Z2247">
        <v>2.7860429999999999E-2</v>
      </c>
      <c r="AA2247">
        <v>0.81948750000000004</v>
      </c>
      <c r="AB2247">
        <v>31</v>
      </c>
      <c r="AC2247">
        <v>-1.3519000000000001</v>
      </c>
      <c r="AD2247">
        <v>-1.1206138358540001</v>
      </c>
      <c r="AE2247">
        <v>-23.4255</v>
      </c>
      <c r="AF2247">
        <v>-13.477494499743999</v>
      </c>
      <c r="AG2247">
        <v>-1.1206138358540001</v>
      </c>
      <c r="AH2247">
        <v>19.1425139846192</v>
      </c>
      <c r="AI2247">
        <v>92.740474653672905</v>
      </c>
      <c r="AJ2247">
        <v>125.147876209789</v>
      </c>
      <c r="AK2247">
        <v>23.437885463733299</v>
      </c>
    </row>
    <row r="2248" spans="1:37" x14ac:dyDescent="0.2">
      <c r="A2248" t="str">
        <f>"20200111153440528"</f>
        <v>20200111153440528</v>
      </c>
      <c r="B2248" t="str">
        <f>"1578728080518335"</f>
        <v>1578728080518335</v>
      </c>
      <c r="C2248" t="s">
        <v>37</v>
      </c>
      <c r="D2248">
        <v>4.1246619999999998</v>
      </c>
      <c r="E2248">
        <v>0.36706879999999997</v>
      </c>
      <c r="F2248" t="s">
        <v>40</v>
      </c>
      <c r="G2248">
        <v>-486.80739999999997</v>
      </c>
      <c r="H2248">
        <v>1.0773680000000001</v>
      </c>
      <c r="I2248">
        <v>275.61750000000001</v>
      </c>
      <c r="J2248">
        <v>-486.86739999999998</v>
      </c>
      <c r="K2248">
        <v>1.1206700000000001</v>
      </c>
      <c r="L2248">
        <v>276.40210000000002</v>
      </c>
      <c r="M2248">
        <v>-0.61205259999999995</v>
      </c>
      <c r="N2248">
        <v>0</v>
      </c>
      <c r="O2248">
        <v>-0.79063719999999904</v>
      </c>
      <c r="P2248">
        <v>-0.36830619999999997</v>
      </c>
      <c r="Q2248">
        <v>6.8449380000000004E-2</v>
      </c>
      <c r="R2248">
        <v>-0.92718159999999905</v>
      </c>
      <c r="S2248">
        <v>-0.16726679999999999</v>
      </c>
      <c r="T2248">
        <v>-0.14700949999999999</v>
      </c>
      <c r="U2248">
        <v>-3.1913450000000001</v>
      </c>
      <c r="V2248">
        <v>-0.27940110000000001</v>
      </c>
      <c r="W2248">
        <v>7.3835659999999997E-2</v>
      </c>
      <c r="X2248">
        <v>0.95733140000000005</v>
      </c>
      <c r="Y2248">
        <v>-0.56987149999999998</v>
      </c>
      <c r="Z2248">
        <v>2.754239E-2</v>
      </c>
      <c r="AA2248">
        <v>0.82127209999999995</v>
      </c>
      <c r="AB2248">
        <v>31</v>
      </c>
      <c r="AC2248">
        <v>6.0000000000002197E-2</v>
      </c>
      <c r="AD2248">
        <v>-4.3301999999999903E-2</v>
      </c>
      <c r="AE2248">
        <v>-0.78460000000001096</v>
      </c>
      <c r="AF2248">
        <v>-0.52613650375943599</v>
      </c>
      <c r="AG2248">
        <v>-4.3301999999999903E-2</v>
      </c>
      <c r="AH2248">
        <v>0.58193159286853402</v>
      </c>
      <c r="AI2248">
        <v>93.159284986488601</v>
      </c>
      <c r="AJ2248">
        <v>132.117392499527</v>
      </c>
      <c r="AK2248">
        <v>0.78570927356797404</v>
      </c>
    </row>
    <row r="2249" spans="1:37" x14ac:dyDescent="0.2">
      <c r="A2249" t="str">
        <f>"20200111153440542"</f>
        <v>20200111153440542</v>
      </c>
      <c r="B2249" t="str">
        <f>"1578728080537855"</f>
        <v>1578728080537855</v>
      </c>
      <c r="C2249" t="s">
        <v>37</v>
      </c>
      <c r="D2249">
        <v>4.154738</v>
      </c>
      <c r="E2249">
        <v>0.36790020000000001</v>
      </c>
      <c r="F2249" t="s">
        <v>40</v>
      </c>
      <c r="G2249">
        <v>-486.91140000000001</v>
      </c>
      <c r="H2249">
        <v>1.0754980000000001</v>
      </c>
      <c r="I2249">
        <v>275.38200000000001</v>
      </c>
      <c r="J2249">
        <v>-486.98070000000001</v>
      </c>
      <c r="K2249">
        <v>1.1207290000000001</v>
      </c>
      <c r="L2249">
        <v>276.23880000000003</v>
      </c>
      <c r="M2249">
        <v>-0.60170639999999997</v>
      </c>
      <c r="N2249">
        <v>0</v>
      </c>
      <c r="O2249">
        <v>-0.79853850000000004</v>
      </c>
      <c r="P2249">
        <v>-0.35790870000000002</v>
      </c>
      <c r="Q2249">
        <v>6.9087099999999999E-2</v>
      </c>
      <c r="R2249">
        <v>-0.93119759999999996</v>
      </c>
      <c r="S2249">
        <v>-0.1365662</v>
      </c>
      <c r="T2249">
        <v>-0.14125389999999999</v>
      </c>
      <c r="U2249">
        <v>-3.19180299999999</v>
      </c>
      <c r="V2249">
        <v>-0.27765590000000001</v>
      </c>
      <c r="W2249">
        <v>7.4545139999999996E-2</v>
      </c>
      <c r="X2249">
        <v>0.95778410000000003</v>
      </c>
      <c r="Y2249">
        <v>-0.56706279999999998</v>
      </c>
      <c r="Z2249">
        <v>2.7015910000000001E-2</v>
      </c>
      <c r="AA2249">
        <v>0.82323139999999995</v>
      </c>
      <c r="AB2249">
        <v>31</v>
      </c>
      <c r="AC2249">
        <v>6.9299999999998294E-2</v>
      </c>
      <c r="AD2249">
        <v>-4.5231E-2</v>
      </c>
      <c r="AE2249">
        <v>-0.85680000000002099</v>
      </c>
      <c r="AF2249">
        <v>-0.56938584222910305</v>
      </c>
      <c r="AG2249">
        <v>-4.5231E-2</v>
      </c>
      <c r="AH2249">
        <v>0.64080709783239498</v>
      </c>
      <c r="AI2249">
        <v>93.020380485434501</v>
      </c>
      <c r="AJ2249">
        <v>131.62252571793499</v>
      </c>
      <c r="AK2249">
        <v>0.85841704160875199</v>
      </c>
    </row>
    <row r="2250" spans="1:37" x14ac:dyDescent="0.2">
      <c r="A2250" t="str">
        <f>"20200111153440556"</f>
        <v>20200111153440556</v>
      </c>
      <c r="B2250" t="str">
        <f>"1578728080548590"</f>
        <v>1578728080548590</v>
      </c>
      <c r="C2250" t="s">
        <v>37</v>
      </c>
      <c r="D2250">
        <v>4.159338</v>
      </c>
      <c r="E2250">
        <v>0.36823909999999999</v>
      </c>
      <c r="F2250" t="s">
        <v>40</v>
      </c>
      <c r="G2250">
        <v>-487.01710000000003</v>
      </c>
      <c r="H2250">
        <v>1.0746020000000001</v>
      </c>
      <c r="I2250">
        <v>275.14760000000001</v>
      </c>
      <c r="J2250">
        <v>-487.0813</v>
      </c>
      <c r="K2250">
        <v>1.1207819999999999</v>
      </c>
      <c r="L2250">
        <v>276.08949999999999</v>
      </c>
      <c r="M2250">
        <v>-0.59219169999999999</v>
      </c>
      <c r="N2250">
        <v>0</v>
      </c>
      <c r="O2250">
        <v>-0.80561890000000003</v>
      </c>
      <c r="P2250">
        <v>-0.34986230000000001</v>
      </c>
      <c r="Q2250">
        <v>7.072465E-2</v>
      </c>
      <c r="R2250">
        <v>-0.93412739999999905</v>
      </c>
      <c r="S2250">
        <v>-0.106536899999999</v>
      </c>
      <c r="T2250">
        <v>-0.13487270000000001</v>
      </c>
      <c r="U2250">
        <v>-3.1907040000000002</v>
      </c>
      <c r="V2250">
        <v>-0.27455580000000002</v>
      </c>
      <c r="W2250">
        <v>7.6315350000000004E-2</v>
      </c>
      <c r="X2250">
        <v>0.958537999999999</v>
      </c>
      <c r="Y2250">
        <v>-0.565021</v>
      </c>
      <c r="Z2250">
        <v>2.6273100000000001E-2</v>
      </c>
      <c r="AA2250">
        <v>0.82465809999999995</v>
      </c>
      <c r="AB2250">
        <v>31</v>
      </c>
      <c r="AC2250">
        <v>6.41999999999711E-2</v>
      </c>
      <c r="AD2250">
        <v>-4.6179999999999798E-2</v>
      </c>
      <c r="AE2250">
        <v>-0.94189999999997498</v>
      </c>
      <c r="AF2250">
        <v>-0.60813854976738801</v>
      </c>
      <c r="AG2250">
        <v>-4.6179999999999798E-2</v>
      </c>
      <c r="AH2250">
        <v>0.71917649339630496</v>
      </c>
      <c r="AI2250">
        <v>92.807084537548704</v>
      </c>
      <c r="AJ2250">
        <v>130.21799558747401</v>
      </c>
      <c r="AK2250">
        <v>0.94296336979067596</v>
      </c>
    </row>
    <row r="2251" spans="1:37" x14ac:dyDescent="0.2">
      <c r="A2251" t="str">
        <f>"20200111153440568"</f>
        <v>20200111153440568</v>
      </c>
      <c r="B2251" t="str">
        <f>"1578728080558351"</f>
        <v>1578728080558351</v>
      </c>
      <c r="C2251" t="s">
        <v>37</v>
      </c>
      <c r="D2251">
        <v>4.164498</v>
      </c>
      <c r="E2251">
        <v>0.36862859999999997</v>
      </c>
      <c r="F2251" t="s">
        <v>40</v>
      </c>
      <c r="G2251">
        <v>-487.10430000000002</v>
      </c>
      <c r="H2251">
        <v>1.084525</v>
      </c>
      <c r="I2251">
        <v>275.18770000000001</v>
      </c>
      <c r="J2251">
        <v>-487.1644</v>
      </c>
      <c r="K2251">
        <v>1.120816</v>
      </c>
      <c r="L2251">
        <v>275.9624</v>
      </c>
      <c r="M2251">
        <v>-0.58406539999999996</v>
      </c>
      <c r="N2251">
        <v>0</v>
      </c>
      <c r="O2251">
        <v>-0.81152919999999995</v>
      </c>
      <c r="P2251">
        <v>-0.34204519999999999</v>
      </c>
      <c r="Q2251">
        <v>7.1222980000000005E-2</v>
      </c>
      <c r="R2251">
        <v>-0.93698040000000005</v>
      </c>
      <c r="S2251">
        <v>-8.169556E-2</v>
      </c>
      <c r="T2251">
        <v>-0.1283067</v>
      </c>
      <c r="U2251">
        <v>-3.190674</v>
      </c>
      <c r="V2251">
        <v>-0.27293600000000001</v>
      </c>
      <c r="W2251">
        <v>7.6883969999999996E-2</v>
      </c>
      <c r="X2251">
        <v>0.958954999999999</v>
      </c>
      <c r="Y2251">
        <v>-0.56314759999999997</v>
      </c>
      <c r="Z2251">
        <v>2.536944E-2</v>
      </c>
      <c r="AA2251">
        <v>0.8259668</v>
      </c>
      <c r="AB2251">
        <v>31</v>
      </c>
      <c r="AC2251">
        <v>6.0099999999977102E-2</v>
      </c>
      <c r="AD2251">
        <v>-3.6290999999999997E-2</v>
      </c>
      <c r="AE2251">
        <v>-0.77469999999999495</v>
      </c>
      <c r="AF2251">
        <v>-0.50022938310451104</v>
      </c>
      <c r="AG2251">
        <v>-3.6290999999999997E-2</v>
      </c>
      <c r="AH2251">
        <v>0.59238263365939103</v>
      </c>
      <c r="AI2251">
        <v>92.679874782313206</v>
      </c>
      <c r="AJ2251">
        <v>130.17896060492399</v>
      </c>
      <c r="AK2251">
        <v>0.77618532391649597</v>
      </c>
    </row>
    <row r="2252" spans="1:37" x14ac:dyDescent="0.2">
      <c r="A2252" t="str">
        <f>"20200111153440579"</f>
        <v>20200111153440579</v>
      </c>
      <c r="B2252" t="str">
        <f>"1578728080568111"</f>
        <v>1578728080568111</v>
      </c>
      <c r="C2252" t="s">
        <v>37</v>
      </c>
      <c r="D2252">
        <v>4.181692</v>
      </c>
      <c r="E2252">
        <v>0.36903639999999999</v>
      </c>
      <c r="F2252" t="s">
        <v>40</v>
      </c>
      <c r="G2252">
        <v>-487.18310000000002</v>
      </c>
      <c r="H2252">
        <v>1.080781</v>
      </c>
      <c r="I2252">
        <v>274.94220000000001</v>
      </c>
      <c r="J2252">
        <v>-487.24720000000002</v>
      </c>
      <c r="K2252">
        <v>1.120846</v>
      </c>
      <c r="L2252">
        <v>275.83449999999999</v>
      </c>
      <c r="M2252">
        <v>-0.57584009999999997</v>
      </c>
      <c r="N2252">
        <v>0</v>
      </c>
      <c r="O2252">
        <v>-0.81738599999999995</v>
      </c>
      <c r="P2252">
        <v>-0.33420420000000001</v>
      </c>
      <c r="Q2252">
        <v>7.1077790000000002E-2</v>
      </c>
      <c r="R2252">
        <v>-0.93981700000000001</v>
      </c>
      <c r="S2252">
        <v>-5.7800289999999997E-2</v>
      </c>
      <c r="T2252">
        <v>-0.125109199999999</v>
      </c>
      <c r="U2252">
        <v>-3.1901860000000002</v>
      </c>
      <c r="V2252">
        <v>-0.27127129999999999</v>
      </c>
      <c r="W2252">
        <v>7.6811710000000005E-2</v>
      </c>
      <c r="X2252">
        <v>0.95943310000000004</v>
      </c>
      <c r="Y2252">
        <v>-0.56098429999999999</v>
      </c>
      <c r="Z2252">
        <v>2.5107029999999999E-2</v>
      </c>
      <c r="AA2252">
        <v>0.8274456</v>
      </c>
      <c r="AB2252">
        <v>31</v>
      </c>
      <c r="AC2252">
        <v>6.4099999999996202E-2</v>
      </c>
      <c r="AD2252">
        <v>-4.0065000000000003E-2</v>
      </c>
      <c r="AE2252">
        <v>-0.892299999999977</v>
      </c>
      <c r="AF2252">
        <v>-0.56516463410917905</v>
      </c>
      <c r="AG2252">
        <v>-4.0065000000000003E-2</v>
      </c>
      <c r="AH2252">
        <v>0.69115574291797199</v>
      </c>
      <c r="AI2252">
        <v>92.5694377953903</v>
      </c>
      <c r="AJ2252">
        <v>129.27319365230801</v>
      </c>
      <c r="AK2252">
        <v>0.89370718294151397</v>
      </c>
    </row>
    <row r="2253" spans="1:37" x14ac:dyDescent="0.2">
      <c r="A2253" t="str">
        <f>"20200111153440590"</f>
        <v>20200111153440590</v>
      </c>
      <c r="B2253" t="str">
        <f>"1578728080577871"</f>
        <v>1578728080577871</v>
      </c>
      <c r="C2253" t="s">
        <v>37</v>
      </c>
      <c r="D2253">
        <v>4.1990239999999996</v>
      </c>
      <c r="E2253">
        <v>0.36945129999999998</v>
      </c>
      <c r="F2253" t="s">
        <v>39</v>
      </c>
      <c r="G2253">
        <v>-487.55279999999999</v>
      </c>
      <c r="H2253" s="1">
        <v>-3.6431229999999999E-6</v>
      </c>
      <c r="I2253">
        <v>247.1131</v>
      </c>
      <c r="J2253">
        <v>-487.33</v>
      </c>
      <c r="K2253">
        <v>1.1208719999999901</v>
      </c>
      <c r="L2253">
        <v>275.70150000000001</v>
      </c>
      <c r="M2253">
        <v>-0.56727839999999996</v>
      </c>
      <c r="N2253">
        <v>0</v>
      </c>
      <c r="O2253">
        <v>-0.82335020000000003</v>
      </c>
      <c r="P2253">
        <v>-0.32619599999999999</v>
      </c>
      <c r="Q2253">
        <v>7.0552399999999904E-2</v>
      </c>
      <c r="R2253">
        <v>-0.9426658</v>
      </c>
      <c r="S2253">
        <v>-3.3935550000000002E-2</v>
      </c>
      <c r="T2253">
        <v>-0.124468</v>
      </c>
      <c r="U2253">
        <v>-3.1894529999999999</v>
      </c>
      <c r="V2253">
        <v>-0.26942929999999998</v>
      </c>
      <c r="W2253">
        <v>7.6369549999999994E-2</v>
      </c>
      <c r="X2253">
        <v>0.95998729999999999</v>
      </c>
      <c r="Y2253">
        <v>-0.558531</v>
      </c>
      <c r="Z2253">
        <v>2.535776E-2</v>
      </c>
      <c r="AA2253">
        <v>0.82909599999999894</v>
      </c>
      <c r="AB2253">
        <v>31</v>
      </c>
      <c r="AC2253">
        <v>-0.22280000000000599</v>
      </c>
      <c r="AD2253">
        <v>-1.12087564312299</v>
      </c>
      <c r="AE2253">
        <v>-28.5884</v>
      </c>
      <c r="AF2253">
        <v>-16.011849963282799</v>
      </c>
      <c r="AG2253">
        <v>-1.12087564312299</v>
      </c>
      <c r="AH2253">
        <v>23.631757709477998</v>
      </c>
      <c r="AI2253">
        <v>92.2486456376256</v>
      </c>
      <c r="AJ2253">
        <v>124.119856959713</v>
      </c>
      <c r="AK2253">
        <v>28.5673882931832</v>
      </c>
    </row>
    <row r="2254" spans="1:37" x14ac:dyDescent="0.2">
      <c r="A2254" t="str">
        <f>"20200111153440603"</f>
        <v>20200111153440603</v>
      </c>
      <c r="B2254" t="str">
        <f>"1578728080598367"</f>
        <v>1578728080598367</v>
      </c>
      <c r="C2254" t="s">
        <v>37</v>
      </c>
      <c r="D2254">
        <v>4.2376180000000003</v>
      </c>
      <c r="E2254">
        <v>0.3703591</v>
      </c>
      <c r="F2254" t="s">
        <v>40</v>
      </c>
      <c r="G2254">
        <v>-487.33300000000003</v>
      </c>
      <c r="H2254">
        <v>1.0827910000000001</v>
      </c>
      <c r="I2254">
        <v>274.72739999999999</v>
      </c>
      <c r="J2254">
        <v>-487.41340000000002</v>
      </c>
      <c r="K2254">
        <v>1.120897</v>
      </c>
      <c r="L2254">
        <v>275.56599999999997</v>
      </c>
      <c r="M2254">
        <v>-0.55850429999999995</v>
      </c>
      <c r="N2254">
        <v>0</v>
      </c>
      <c r="O2254">
        <v>-0.82932669999999997</v>
      </c>
      <c r="P2254">
        <v>-0.31833119999999998</v>
      </c>
      <c r="Q2254">
        <v>6.9548440000000003E-2</v>
      </c>
      <c r="R2254">
        <v>-0.94542519999999997</v>
      </c>
      <c r="S2254">
        <v>-9.5214840000000002E-3</v>
      </c>
      <c r="T2254">
        <v>-0.1246246</v>
      </c>
      <c r="U2254">
        <v>-3.1884769999999998</v>
      </c>
      <c r="V2254">
        <v>-0.26724169999999903</v>
      </c>
      <c r="W2254">
        <v>7.5463799999999998E-2</v>
      </c>
      <c r="X2254">
        <v>0.96067009999999897</v>
      </c>
      <c r="Y2254">
        <v>-0.5560678</v>
      </c>
      <c r="Z2254">
        <v>2.5772079999999999E-2</v>
      </c>
      <c r="AA2254">
        <v>0.83073730000000001</v>
      </c>
      <c r="AB2254">
        <v>31</v>
      </c>
      <c r="AC2254">
        <v>8.0399999999997293E-2</v>
      </c>
      <c r="AD2254">
        <v>-3.8105999999999897E-2</v>
      </c>
      <c r="AE2254">
        <v>-0.83859999999998502</v>
      </c>
      <c r="AF2254">
        <v>-0.53402460775046701</v>
      </c>
      <c r="AG2254">
        <v>-3.8105999999999897E-2</v>
      </c>
      <c r="AH2254">
        <v>0.64933550059551604</v>
      </c>
      <c r="AI2254">
        <v>92.595163895436798</v>
      </c>
      <c r="AJ2254">
        <v>129.43446285032499</v>
      </c>
      <c r="AK2254">
        <v>0.84158834429468499</v>
      </c>
    </row>
    <row r="2255" spans="1:37" x14ac:dyDescent="0.2">
      <c r="A2255" t="str">
        <f>"20200111153440614"</f>
        <v>20200111153440614</v>
      </c>
      <c r="B2255" t="str">
        <f>"1578728080608126"</f>
        <v>1578728080608126</v>
      </c>
      <c r="C2255" t="s">
        <v>37</v>
      </c>
      <c r="D2255">
        <v>4.1972269999999998</v>
      </c>
      <c r="E2255">
        <v>0.3703591</v>
      </c>
      <c r="F2255" t="s">
        <v>40</v>
      </c>
      <c r="G2255">
        <v>-487.40989999999999</v>
      </c>
      <c r="H2255">
        <v>1.0782419999999999</v>
      </c>
      <c r="I2255">
        <v>274.48340000000002</v>
      </c>
      <c r="J2255">
        <v>-487.5</v>
      </c>
      <c r="K2255">
        <v>1.1209199999999999</v>
      </c>
      <c r="L2255">
        <v>275.42129999999997</v>
      </c>
      <c r="M2255">
        <v>-0.5491085</v>
      </c>
      <c r="N2255">
        <v>0</v>
      </c>
      <c r="O2255">
        <v>-0.83557709999999996</v>
      </c>
      <c r="P2255">
        <v>-0.3102375</v>
      </c>
      <c r="Q2255">
        <v>6.8288089999999996E-2</v>
      </c>
      <c r="R2255">
        <v>-0.94820360000000004</v>
      </c>
      <c r="S2255">
        <v>1.071167E-2</v>
      </c>
      <c r="T2255">
        <v>-0.12550639999999999</v>
      </c>
      <c r="U2255">
        <v>-3.186035</v>
      </c>
      <c r="V2255">
        <v>-0.26461570000000001</v>
      </c>
      <c r="W2255">
        <v>7.4322600000000003E-2</v>
      </c>
      <c r="X2255">
        <v>0.9614857</v>
      </c>
      <c r="Y2255">
        <v>-0.55195509999999903</v>
      </c>
      <c r="Z2255">
        <v>2.639062E-2</v>
      </c>
      <c r="AA2255">
        <v>0.83345619999999998</v>
      </c>
      <c r="AB2255">
        <v>31</v>
      </c>
      <c r="AC2255">
        <v>9.0100000000006703E-2</v>
      </c>
      <c r="AD2255">
        <v>-4.2678000000000202E-2</v>
      </c>
      <c r="AE2255">
        <v>-0.93789999999995599</v>
      </c>
      <c r="AF2255">
        <v>-0.589171416397819</v>
      </c>
      <c r="AG2255">
        <v>-4.2678000000000202E-2</v>
      </c>
      <c r="AH2255">
        <v>0.73281636096478298</v>
      </c>
      <c r="AI2255">
        <v>92.598768102353105</v>
      </c>
      <c r="AJ2255">
        <v>128.79866723648499</v>
      </c>
      <c r="AK2255">
        <v>0.94125670700499198</v>
      </c>
    </row>
    <row r="2256" spans="1:37" x14ac:dyDescent="0.2">
      <c r="A2256" t="str">
        <f>"20200111153440627"</f>
        <v>20200111153440627</v>
      </c>
      <c r="B2256" t="str">
        <f>"1578728080617887"</f>
        <v>1578728080617887</v>
      </c>
      <c r="C2256" t="s">
        <v>37</v>
      </c>
      <c r="D2256">
        <v>4.2299389999999999</v>
      </c>
      <c r="E2256">
        <v>0.38901039999999998</v>
      </c>
      <c r="F2256" t="s">
        <v>40</v>
      </c>
      <c r="G2256">
        <v>-487.48910000000001</v>
      </c>
      <c r="H2256">
        <v>1.0845530000000001</v>
      </c>
      <c r="I2256">
        <v>274.51389999999998</v>
      </c>
      <c r="J2256">
        <v>-487.58499999999998</v>
      </c>
      <c r="K2256">
        <v>1.120941</v>
      </c>
      <c r="L2256">
        <v>275.27499999999998</v>
      </c>
      <c r="M2256">
        <v>-0.53958109999999904</v>
      </c>
      <c r="N2256">
        <v>0</v>
      </c>
      <c r="O2256">
        <v>-0.84176030000000002</v>
      </c>
      <c r="P2256">
        <v>-0.30196849999999997</v>
      </c>
      <c r="Q2256">
        <v>6.7341159999999997E-2</v>
      </c>
      <c r="R2256">
        <v>-0.95093649999999996</v>
      </c>
      <c r="S2256">
        <v>3.8635250000000003E-2</v>
      </c>
      <c r="T2256">
        <v>-0.12765399999999999</v>
      </c>
      <c r="U2256">
        <v>-3.1856689999999999</v>
      </c>
      <c r="V2256">
        <v>-0.262069</v>
      </c>
      <c r="W2256">
        <v>7.3491860000000006E-2</v>
      </c>
      <c r="X2256">
        <v>0.96224679999999996</v>
      </c>
      <c r="Y2256">
        <v>-0.54978570000000004</v>
      </c>
      <c r="Z2256">
        <v>2.7235760000000001E-2</v>
      </c>
      <c r="AA2256">
        <v>0.83486159999999998</v>
      </c>
      <c r="AB2256">
        <v>31</v>
      </c>
      <c r="AC2256">
        <v>9.5899999999971897E-2</v>
      </c>
      <c r="AD2256">
        <v>-3.6387999999999802E-2</v>
      </c>
      <c r="AE2256">
        <v>-0.761099999999999</v>
      </c>
      <c r="AF2256">
        <v>-0.490368354295389</v>
      </c>
      <c r="AG2256">
        <v>-3.6387999999999802E-2</v>
      </c>
      <c r="AH2256">
        <v>0.58768157624587003</v>
      </c>
      <c r="AI2256">
        <v>92.721873003477995</v>
      </c>
      <c r="AJ2256">
        <v>129.842013889491</v>
      </c>
      <c r="AK2256">
        <v>0.76626029813451602</v>
      </c>
    </row>
    <row r="2257" spans="1:37" x14ac:dyDescent="0.2">
      <c r="A2257" t="str">
        <f>"20200111153440640"</f>
        <v>20200111153440640</v>
      </c>
      <c r="B2257" t="str">
        <f>"1578728080638382"</f>
        <v>1578728080638382</v>
      </c>
      <c r="C2257" t="s">
        <v>37</v>
      </c>
      <c r="D2257">
        <v>4.2453029999999998</v>
      </c>
      <c r="E2257">
        <v>0.39434439999999998</v>
      </c>
      <c r="F2257" t="s">
        <v>40</v>
      </c>
      <c r="G2257">
        <v>-487.60849999999999</v>
      </c>
      <c r="H2257">
        <v>1.0820609999999999</v>
      </c>
      <c r="I2257">
        <v>274.28550000000001</v>
      </c>
      <c r="J2257">
        <v>-487.66399999999999</v>
      </c>
      <c r="K2257">
        <v>1.1209610000000001</v>
      </c>
      <c r="L2257">
        <v>275.13670000000002</v>
      </c>
      <c r="M2257">
        <v>-0.5305415</v>
      </c>
      <c r="N2257">
        <v>0</v>
      </c>
      <c r="O2257">
        <v>-0.84748679999999998</v>
      </c>
      <c r="P2257">
        <v>-0.29403119999999999</v>
      </c>
      <c r="Q2257">
        <v>6.7425750000000007E-2</v>
      </c>
      <c r="R2257">
        <v>-0.95341469999999995</v>
      </c>
      <c r="S2257">
        <v>-7.4646000000000004E-2</v>
      </c>
      <c r="T2257">
        <v>-0.1233672</v>
      </c>
      <c r="U2257">
        <v>-3.1398320000000002</v>
      </c>
      <c r="V2257">
        <v>-0.25979479999999999</v>
      </c>
      <c r="W2257">
        <v>7.3681109999999994E-2</v>
      </c>
      <c r="X2257">
        <v>0.96284879999999995</v>
      </c>
      <c r="Y2257">
        <v>-0.51030319999999996</v>
      </c>
      <c r="Z2257">
        <v>2.7556589999999999E-2</v>
      </c>
      <c r="AA2257">
        <v>0.85955300000000001</v>
      </c>
      <c r="AB2257">
        <v>31</v>
      </c>
      <c r="AC2257">
        <v>5.5499999999994998E-2</v>
      </c>
      <c r="AD2257">
        <v>-3.88999999999999E-2</v>
      </c>
      <c r="AE2257">
        <v>-0.85120000000000495</v>
      </c>
      <c r="AF2257">
        <v>-0.49767023092895302</v>
      </c>
      <c r="AG2257">
        <v>-3.88999999999999E-2</v>
      </c>
      <c r="AH2257">
        <v>0.69060048222545001</v>
      </c>
      <c r="AI2257">
        <v>92.616493271093404</v>
      </c>
      <c r="AJ2257">
        <v>125.77780596613999</v>
      </c>
      <c r="AK2257">
        <v>0.85212551587363194</v>
      </c>
    </row>
    <row r="2258" spans="1:37" x14ac:dyDescent="0.2">
      <c r="A2258" t="str">
        <f>"20200111153440652"</f>
        <v>20200111153440652</v>
      </c>
      <c r="B2258" t="str">
        <f>"1578728080648143"</f>
        <v>1578728080648143</v>
      </c>
      <c r="C2258" t="s">
        <v>37</v>
      </c>
      <c r="D2258">
        <v>4.2373560000000001</v>
      </c>
      <c r="E2258">
        <v>0.39585490000000001</v>
      </c>
      <c r="F2258" t="s">
        <v>40</v>
      </c>
      <c r="G2258">
        <v>-487.69499999999999</v>
      </c>
      <c r="H2258">
        <v>1.081906</v>
      </c>
      <c r="I2258">
        <v>274.0453</v>
      </c>
      <c r="J2258">
        <v>-487.74239999999998</v>
      </c>
      <c r="K2258">
        <v>1.120981</v>
      </c>
      <c r="L2258">
        <v>274.99419999999998</v>
      </c>
      <c r="M2258">
        <v>-0.52122230000000003</v>
      </c>
      <c r="N2258">
        <v>0</v>
      </c>
      <c r="O2258">
        <v>-0.85324940000000005</v>
      </c>
      <c r="P2258">
        <v>-0.28552490000000003</v>
      </c>
      <c r="Q2258">
        <v>6.8189710000000001E-2</v>
      </c>
      <c r="R2258">
        <v>-0.95594239999999997</v>
      </c>
      <c r="S2258">
        <v>-8.8470460000000001E-2</v>
      </c>
      <c r="T2258">
        <v>-0.1118585</v>
      </c>
      <c r="U2258">
        <v>-3.1272579999999999</v>
      </c>
      <c r="V2258">
        <v>-0.25782559999999999</v>
      </c>
      <c r="W2258">
        <v>7.4537049999999994E-2</v>
      </c>
      <c r="X2258">
        <v>0.96331209999999901</v>
      </c>
      <c r="Y2258">
        <v>-0.49694470000000002</v>
      </c>
      <c r="Z2258">
        <v>2.5538189999999999E-2</v>
      </c>
      <c r="AA2258">
        <v>0.86740640000000002</v>
      </c>
      <c r="AB2258">
        <v>30</v>
      </c>
      <c r="AC2258">
        <v>4.7399999999981901E-2</v>
      </c>
      <c r="AD2258">
        <v>-3.9074999999999901E-2</v>
      </c>
      <c r="AE2258">
        <v>-0.94889999999997998</v>
      </c>
      <c r="AF2258">
        <v>-0.53420658515035002</v>
      </c>
      <c r="AG2258">
        <v>-3.9074999999999901E-2</v>
      </c>
      <c r="AH2258">
        <v>0.78373165928917199</v>
      </c>
      <c r="AI2258">
        <v>92.359111577127194</v>
      </c>
      <c r="AJ2258">
        <v>124.279095392518</v>
      </c>
      <c r="AK2258">
        <v>0.94928333231715301</v>
      </c>
    </row>
    <row r="2259" spans="1:37" x14ac:dyDescent="0.2">
      <c r="A2259" t="str">
        <f>"20200111153440668"</f>
        <v>20200111153440668</v>
      </c>
      <c r="B2259" t="str">
        <f>"1578728080657903"</f>
        <v>1578728080657903</v>
      </c>
      <c r="C2259" t="s">
        <v>37</v>
      </c>
      <c r="D2259">
        <v>4.1990099999999897</v>
      </c>
      <c r="E2259">
        <v>0.39706669999999999</v>
      </c>
      <c r="F2259" t="s">
        <v>40</v>
      </c>
      <c r="G2259">
        <v>-487.7636</v>
      </c>
      <c r="H2259">
        <v>1.0905</v>
      </c>
      <c r="I2259">
        <v>274.06889999999999</v>
      </c>
      <c r="J2259">
        <v>-487.8374</v>
      </c>
      <c r="K2259">
        <v>1.1210020000000001</v>
      </c>
      <c r="L2259">
        <v>274.81720000000001</v>
      </c>
      <c r="M2259">
        <v>-0.50961009999999995</v>
      </c>
      <c r="N2259">
        <v>0</v>
      </c>
      <c r="O2259">
        <v>-0.86023499999999997</v>
      </c>
      <c r="P2259">
        <v>-0.27558369999999999</v>
      </c>
      <c r="Q2259">
        <v>7.0690989999999995E-2</v>
      </c>
      <c r="R2259">
        <v>-0.95867429999999998</v>
      </c>
      <c r="S2259">
        <v>-7.1441649999999995E-2</v>
      </c>
      <c r="T2259">
        <v>-0.10287449999999999</v>
      </c>
      <c r="U2259">
        <v>-3.124298</v>
      </c>
      <c r="V2259">
        <v>-0.2547799</v>
      </c>
      <c r="W2259">
        <v>7.7179209999999998E-2</v>
      </c>
      <c r="X2259">
        <v>0.96391419999999906</v>
      </c>
      <c r="Y2259">
        <v>-0.48987179999999902</v>
      </c>
      <c r="Z2259">
        <v>2.3919070000000001E-2</v>
      </c>
      <c r="AA2259">
        <v>0.87146630000000003</v>
      </c>
      <c r="AB2259">
        <v>30</v>
      </c>
      <c r="AC2259">
        <v>7.3800000000005597E-2</v>
      </c>
      <c r="AD2259">
        <v>-3.0502000000000001E-2</v>
      </c>
      <c r="AE2259">
        <v>-0.74830000000002805</v>
      </c>
      <c r="AF2259">
        <v>-0.44416095427527702</v>
      </c>
      <c r="AG2259">
        <v>-3.0502000000000001E-2</v>
      </c>
      <c r="AH2259">
        <v>0.60519766642911099</v>
      </c>
      <c r="AI2259">
        <v>92.326743600517204</v>
      </c>
      <c r="AJ2259">
        <v>126.275338353816</v>
      </c>
      <c r="AK2259">
        <v>0.75131454182517099</v>
      </c>
    </row>
    <row r="2260" spans="1:37" x14ac:dyDescent="0.2">
      <c r="A2260" t="str">
        <f>"20200111153440680"</f>
        <v>20200111153440680</v>
      </c>
      <c r="B2260" t="str">
        <f>"1578728080678399"</f>
        <v>1578728080678399</v>
      </c>
      <c r="C2260" t="s">
        <v>37</v>
      </c>
      <c r="D2260">
        <v>4.2406009999999998</v>
      </c>
      <c r="E2260">
        <v>0.39857389999999998</v>
      </c>
      <c r="F2260" t="s">
        <v>40</v>
      </c>
      <c r="G2260">
        <v>-487.85250000000002</v>
      </c>
      <c r="H2260">
        <v>1.0929519999999999</v>
      </c>
      <c r="I2260">
        <v>273.82900000000001</v>
      </c>
      <c r="J2260">
        <v>-487.9153</v>
      </c>
      <c r="K2260">
        <v>1.1210100000000001</v>
      </c>
      <c r="L2260">
        <v>274.66860000000003</v>
      </c>
      <c r="M2260">
        <v>-0.49983549999999899</v>
      </c>
      <c r="N2260">
        <v>0</v>
      </c>
      <c r="O2260">
        <v>-0.86595080000000002</v>
      </c>
      <c r="P2260">
        <v>-0.26558409999999999</v>
      </c>
      <c r="Q2260">
        <v>7.1876969999999998E-2</v>
      </c>
      <c r="R2260">
        <v>-0.96140460000000005</v>
      </c>
      <c r="S2260">
        <v>-4.8065190000000001E-2</v>
      </c>
      <c r="T2260">
        <v>-8.8650229999999997E-2</v>
      </c>
      <c r="U2260">
        <v>-3.1220089999999998</v>
      </c>
      <c r="V2260">
        <v>-0.2539073</v>
      </c>
      <c r="W2260">
        <v>7.8410469999999996E-2</v>
      </c>
      <c r="X2260">
        <v>0.96404500000000004</v>
      </c>
      <c r="Y2260">
        <v>-0.48650769999999999</v>
      </c>
      <c r="Z2260">
        <v>2.089651E-2</v>
      </c>
      <c r="AA2260">
        <v>0.87342640000000005</v>
      </c>
      <c r="AB2260">
        <v>30</v>
      </c>
      <c r="AC2260">
        <v>6.2799999999981496E-2</v>
      </c>
      <c r="AD2260">
        <v>-2.8057999999999899E-2</v>
      </c>
      <c r="AE2260">
        <v>-0.839600000000018</v>
      </c>
      <c r="AF2260">
        <v>-0.473587269699274</v>
      </c>
      <c r="AG2260">
        <v>-2.8057999999999899E-2</v>
      </c>
      <c r="AH2260">
        <v>0.69499295986616305</v>
      </c>
      <c r="AI2260">
        <v>91.910805257575007</v>
      </c>
      <c r="AJ2260">
        <v>124.27159087891</v>
      </c>
      <c r="AK2260">
        <v>0.84147927345166595</v>
      </c>
    </row>
    <row r="2261" spans="1:37" x14ac:dyDescent="0.2">
      <c r="A2261" t="str">
        <f>"20200111153440692"</f>
        <v>20200111153440692</v>
      </c>
      <c r="B2261" t="str">
        <f>"1578728080688158"</f>
        <v>1578728080688158</v>
      </c>
      <c r="C2261" t="s">
        <v>37</v>
      </c>
      <c r="D2261">
        <v>4.2269439999999996</v>
      </c>
      <c r="E2261">
        <v>0.39934989999999998</v>
      </c>
      <c r="F2261" t="s">
        <v>40</v>
      </c>
      <c r="G2261">
        <v>-487.9255</v>
      </c>
      <c r="H2261">
        <v>1.093599</v>
      </c>
      <c r="I2261">
        <v>273.58479999999997</v>
      </c>
      <c r="J2261">
        <v>-487.98689999999999</v>
      </c>
      <c r="K2261">
        <v>1.1210069999999901</v>
      </c>
      <c r="L2261">
        <v>274.52679999999998</v>
      </c>
      <c r="M2261">
        <v>-0.49050670000000002</v>
      </c>
      <c r="N2261">
        <v>0</v>
      </c>
      <c r="O2261">
        <v>-0.87126859999999995</v>
      </c>
      <c r="P2261">
        <v>-0.25625160000000002</v>
      </c>
      <c r="Q2261">
        <v>7.2498729999999997E-2</v>
      </c>
      <c r="R2261">
        <v>-0.9638873</v>
      </c>
      <c r="S2261">
        <v>-2.838135E-2</v>
      </c>
      <c r="T2261">
        <v>-7.8804730000000003E-2</v>
      </c>
      <c r="U2261">
        <v>-3.1185</v>
      </c>
      <c r="V2261">
        <v>-0.25290069999999998</v>
      </c>
      <c r="W2261">
        <v>7.9084039999999994E-2</v>
      </c>
      <c r="X2261">
        <v>0.96425459999999996</v>
      </c>
      <c r="Y2261">
        <v>-0.48261979999999999</v>
      </c>
      <c r="Z2261">
        <v>1.8824420000000001E-2</v>
      </c>
      <c r="AA2261">
        <v>0.87562770000000001</v>
      </c>
      <c r="AB2261">
        <v>30</v>
      </c>
      <c r="AC2261">
        <v>6.1399999999991899E-2</v>
      </c>
      <c r="AD2261">
        <v>-2.7407999999999801E-2</v>
      </c>
      <c r="AE2261">
        <v>-0.94200000000000705</v>
      </c>
      <c r="AF2261">
        <v>-0.51519476575258705</v>
      </c>
      <c r="AG2261">
        <v>-2.7407999999999801E-2</v>
      </c>
      <c r="AH2261">
        <v>0.79006823375684399</v>
      </c>
      <c r="AI2261">
        <v>91.664455658994001</v>
      </c>
      <c r="AJ2261">
        <v>123.107926502784</v>
      </c>
      <c r="AK2261">
        <v>0.94360196010527797</v>
      </c>
    </row>
    <row r="2262" spans="1:37" x14ac:dyDescent="0.2">
      <c r="A2262" t="str">
        <f>"20200111153440704"</f>
        <v>20200111153440704</v>
      </c>
      <c r="B2262" t="str">
        <f>"1578728080697919"</f>
        <v>1578728080697919</v>
      </c>
      <c r="C2262" t="s">
        <v>37</v>
      </c>
      <c r="D2262">
        <v>4.2636079999999996</v>
      </c>
      <c r="E2262">
        <v>0.40014499999999997</v>
      </c>
      <c r="F2262" t="s">
        <v>50</v>
      </c>
      <c r="G2262">
        <v>-488.04480000000001</v>
      </c>
      <c r="H2262" s="1">
        <v>5.7149180000000002E-6</v>
      </c>
      <c r="I2262">
        <v>228.2962</v>
      </c>
      <c r="J2262">
        <v>-488.05419999999998</v>
      </c>
      <c r="K2262">
        <v>1.1209990000000001</v>
      </c>
      <c r="L2262">
        <v>274.39060000000001</v>
      </c>
      <c r="M2262">
        <v>-0.48153459999999998</v>
      </c>
      <c r="N2262">
        <v>0</v>
      </c>
      <c r="O2262">
        <v>-0.87625909999999996</v>
      </c>
      <c r="P2262">
        <v>-0.24759310000000001</v>
      </c>
      <c r="Q2262">
        <v>7.265133E-2</v>
      </c>
      <c r="R2262">
        <v>-0.96613640000000001</v>
      </c>
      <c r="S2262">
        <v>-3.90625E-3</v>
      </c>
      <c r="T2262">
        <v>-7.5582150000000001E-2</v>
      </c>
      <c r="U2262">
        <v>-3.117035</v>
      </c>
      <c r="V2262">
        <v>-0.2516506</v>
      </c>
      <c r="W2262">
        <v>7.929986E-2</v>
      </c>
      <c r="X2262">
        <v>0.96456390000000003</v>
      </c>
      <c r="Y2262">
        <v>-0.48049769999999897</v>
      </c>
      <c r="Z2262">
        <v>1.8256270000000002E-2</v>
      </c>
      <c r="AA2262">
        <v>0.87680590000000003</v>
      </c>
      <c r="AB2262">
        <v>30</v>
      </c>
      <c r="AC2262">
        <v>9.3999999999709802E-3</v>
      </c>
      <c r="AD2262">
        <v>-1.1209932850819999</v>
      </c>
      <c r="AE2262">
        <v>-46.0944</v>
      </c>
      <c r="AF2262">
        <v>-22.194428060143998</v>
      </c>
      <c r="AG2262">
        <v>-1.1209932850819999</v>
      </c>
      <c r="AH2262">
        <v>40.368182257899903</v>
      </c>
      <c r="AI2262">
        <v>91.393954351751802</v>
      </c>
      <c r="AJ2262">
        <v>118.80199676905001</v>
      </c>
      <c r="AK2262">
        <v>46.080792111997503</v>
      </c>
    </row>
    <row r="2263" spans="1:37" x14ac:dyDescent="0.2">
      <c r="A2263" t="str">
        <f>"20200111153440716"</f>
        <v>20200111153440716</v>
      </c>
      <c r="B2263" t="str">
        <f>"1578728080708655"</f>
        <v>1578728080708655</v>
      </c>
      <c r="C2263" t="s">
        <v>37</v>
      </c>
      <c r="D2263">
        <v>4.2852480000000002</v>
      </c>
      <c r="E2263">
        <v>0.4009644</v>
      </c>
      <c r="F2263" t="s">
        <v>40</v>
      </c>
      <c r="G2263">
        <v>-488.04820000000001</v>
      </c>
      <c r="H2263">
        <v>1.095664</v>
      </c>
      <c r="I2263">
        <v>273.35489999999999</v>
      </c>
      <c r="J2263">
        <v>-488.12699999999899</v>
      </c>
      <c r="K2263">
        <v>1.120984</v>
      </c>
      <c r="L2263">
        <v>274.23970000000003</v>
      </c>
      <c r="M2263">
        <v>-0.47158749999999999</v>
      </c>
      <c r="N2263">
        <v>0</v>
      </c>
      <c r="O2263">
        <v>-0.88165230000000006</v>
      </c>
      <c r="P2263">
        <v>-0.23776039999999901</v>
      </c>
      <c r="Q2263">
        <v>7.1933280000000002E-2</v>
      </c>
      <c r="R2263">
        <v>-0.96865669999999904</v>
      </c>
      <c r="S2263">
        <v>1.8157960000000001E-2</v>
      </c>
      <c r="T2263">
        <v>-7.6201439999999995E-2</v>
      </c>
      <c r="U2263">
        <v>-3.1155400000000002</v>
      </c>
      <c r="V2263">
        <v>-0.25053360000000002</v>
      </c>
      <c r="W2263">
        <v>7.8640070000000006E-2</v>
      </c>
      <c r="X2263">
        <v>0.96490869999999995</v>
      </c>
      <c r="Y2263">
        <v>-0.47677779999999997</v>
      </c>
      <c r="Z2263">
        <v>1.8634459999999999E-2</v>
      </c>
      <c r="AA2263">
        <v>0.87882629999999995</v>
      </c>
      <c r="AB2263">
        <v>30</v>
      </c>
      <c r="AC2263">
        <v>7.8799999999944206E-2</v>
      </c>
      <c r="AD2263">
        <v>-2.5319999999999999E-2</v>
      </c>
      <c r="AE2263">
        <v>-0.884800000000041</v>
      </c>
      <c r="AF2263">
        <v>-0.48641130355733903</v>
      </c>
      <c r="AG2263">
        <v>-2.5319999999999999E-2</v>
      </c>
      <c r="AH2263">
        <v>0.74243106070909004</v>
      </c>
      <c r="AI2263">
        <v>91.634032252078299</v>
      </c>
      <c r="AJ2263">
        <v>123.231222591072</v>
      </c>
      <c r="AK2263">
        <v>0.88794196799902103</v>
      </c>
    </row>
    <row r="2264" spans="1:37" x14ac:dyDescent="0.2">
      <c r="A2264" t="str">
        <f>"20200111153440728"</f>
        <v>20200111153440728</v>
      </c>
      <c r="B2264" t="str">
        <f>"1578728080718416"</f>
        <v>1578728080718416</v>
      </c>
      <c r="C2264" t="s">
        <v>37</v>
      </c>
      <c r="D2264">
        <v>4.3960220000000003</v>
      </c>
      <c r="E2264">
        <v>0.40224589999999999</v>
      </c>
      <c r="F2264" t="s">
        <v>50</v>
      </c>
      <c r="G2264">
        <v>-487.510999999999</v>
      </c>
      <c r="H2264" s="1">
        <v>5.9800509999999998E-6</v>
      </c>
      <c r="I2264">
        <v>229.61060000000001</v>
      </c>
      <c r="J2264">
        <v>-488.19</v>
      </c>
      <c r="K2264">
        <v>1.120962</v>
      </c>
      <c r="L2264">
        <v>274.10410000000002</v>
      </c>
      <c r="M2264">
        <v>-0.46266030000000002</v>
      </c>
      <c r="N2264">
        <v>0</v>
      </c>
      <c r="O2264">
        <v>-0.88636959999999998</v>
      </c>
      <c r="P2264">
        <v>-0.22920850000000001</v>
      </c>
      <c r="Q2264">
        <v>7.0788649999999995E-2</v>
      </c>
      <c r="R2264">
        <v>-0.9708</v>
      </c>
      <c r="S2264">
        <v>4.296875E-2</v>
      </c>
      <c r="T2264">
        <v>-7.8200580000000006E-2</v>
      </c>
      <c r="U2264">
        <v>-3.1133730000000002</v>
      </c>
      <c r="V2264">
        <v>-0.2492897</v>
      </c>
      <c r="W2264">
        <v>7.7560009999999999E-2</v>
      </c>
      <c r="X2264">
        <v>0.96531809999999996</v>
      </c>
      <c r="Y2264">
        <v>-0.47490599999999999</v>
      </c>
      <c r="Z2264">
        <v>1.932333E-2</v>
      </c>
      <c r="AA2264">
        <v>0.87982439999999995</v>
      </c>
      <c r="AB2264">
        <v>30</v>
      </c>
      <c r="AC2264">
        <v>0.67900000000003002</v>
      </c>
      <c r="AD2264">
        <v>-1.1209560199490001</v>
      </c>
      <c r="AE2264">
        <v>-44.493499999999997</v>
      </c>
      <c r="AF2264">
        <v>-21.1769019115943</v>
      </c>
      <c r="AG2264">
        <v>-1.1209560199490001</v>
      </c>
      <c r="AH2264">
        <v>39.104484576167998</v>
      </c>
      <c r="AI2264">
        <v>91.443934923400207</v>
      </c>
      <c r="AJ2264">
        <v>118.437610995938</v>
      </c>
      <c r="AK2264">
        <v>44.484586442268998</v>
      </c>
    </row>
    <row r="2265" spans="1:37" x14ac:dyDescent="0.2">
      <c r="A2265" t="str">
        <f>"20200111153440740"</f>
        <v>20200111153440740</v>
      </c>
      <c r="B2265" t="str">
        <f>"1578728080737934"</f>
        <v>1578728080737934</v>
      </c>
      <c r="C2265" t="s">
        <v>37</v>
      </c>
      <c r="D2265">
        <v>4.2957559999999999</v>
      </c>
      <c r="E2265">
        <v>0.41590709999999997</v>
      </c>
      <c r="F2265" t="s">
        <v>40</v>
      </c>
      <c r="G2265">
        <v>-488.1712</v>
      </c>
      <c r="H2265">
        <v>1.0951379999999999</v>
      </c>
      <c r="I2265">
        <v>273.12479999999999</v>
      </c>
      <c r="J2265">
        <v>-488.2595</v>
      </c>
      <c r="K2265">
        <v>1.1209370000000001</v>
      </c>
      <c r="L2265">
        <v>273.952</v>
      </c>
      <c r="M2265">
        <v>-0.45263509999999901</v>
      </c>
      <c r="N2265">
        <v>0</v>
      </c>
      <c r="O2265">
        <v>-0.89153069999999901</v>
      </c>
      <c r="P2265">
        <v>-0.2195887</v>
      </c>
      <c r="Q2265">
        <v>6.9387210000000005E-2</v>
      </c>
      <c r="R2265">
        <v>-0.97312180000000004</v>
      </c>
      <c r="S2265">
        <v>6.097412E-2</v>
      </c>
      <c r="T2265">
        <v>-8.1938510000000006E-2</v>
      </c>
      <c r="U2265">
        <v>-3.1105649999999998</v>
      </c>
      <c r="V2265">
        <v>-0.2479432</v>
      </c>
      <c r="W2265">
        <v>7.6229770000000002E-2</v>
      </c>
      <c r="X2265">
        <v>0.96577080000000004</v>
      </c>
      <c r="Y2265">
        <v>-0.47007569999999999</v>
      </c>
      <c r="Z2265">
        <v>2.0499969999999999E-2</v>
      </c>
      <c r="AA2265">
        <v>0.88238799999999995</v>
      </c>
      <c r="AB2265">
        <v>30</v>
      </c>
      <c r="AC2265">
        <v>8.8300000000003806E-2</v>
      </c>
      <c r="AD2265">
        <v>-2.57990000000001E-2</v>
      </c>
      <c r="AE2265">
        <v>-0.82720000000000404</v>
      </c>
      <c r="AF2265">
        <v>-0.45277319377398201</v>
      </c>
      <c r="AG2265">
        <v>-2.57990000000001E-2</v>
      </c>
      <c r="AH2265">
        <v>0.69693895438209197</v>
      </c>
      <c r="AI2265">
        <v>91.778003872922397</v>
      </c>
      <c r="AJ2265">
        <v>123.010161157056</v>
      </c>
      <c r="AK2265">
        <v>0.83150048679269895</v>
      </c>
    </row>
    <row r="2266" spans="1:37" x14ac:dyDescent="0.2">
      <c r="A2266" t="str">
        <f>"20200111153440752"</f>
        <v>20200111153440752</v>
      </c>
      <c r="B2266" t="str">
        <f>"1578728080748670"</f>
        <v>1578728080748670</v>
      </c>
      <c r="C2266" t="s">
        <v>37</v>
      </c>
      <c r="D2266">
        <v>4.2902500000000003</v>
      </c>
      <c r="E2266">
        <v>0.41699459999999999</v>
      </c>
      <c r="F2266" t="s">
        <v>40</v>
      </c>
      <c r="G2266">
        <v>-488.2645</v>
      </c>
      <c r="H2266">
        <v>1.089901</v>
      </c>
      <c r="I2266">
        <v>272.88720000000001</v>
      </c>
      <c r="J2266">
        <v>-488.32499999999999</v>
      </c>
      <c r="K2266">
        <v>1.1209039999999999</v>
      </c>
      <c r="L2266">
        <v>273.80270000000002</v>
      </c>
      <c r="M2266">
        <v>-0.44283009999999901</v>
      </c>
      <c r="N2266">
        <v>0</v>
      </c>
      <c r="O2266">
        <v>-0.89644140000000005</v>
      </c>
      <c r="P2266">
        <v>-0.2101981</v>
      </c>
      <c r="Q2266">
        <v>6.8362770000000003E-2</v>
      </c>
      <c r="R2266">
        <v>-0.97526599999999997</v>
      </c>
      <c r="S2266">
        <v>-1.394653E-2</v>
      </c>
      <c r="T2266">
        <v>-8.9930650000000001E-2</v>
      </c>
      <c r="U2266">
        <v>-3.086182</v>
      </c>
      <c r="V2266">
        <v>-0.24664610000000001</v>
      </c>
      <c r="W2266">
        <v>7.5275510000000004E-2</v>
      </c>
      <c r="X2266">
        <v>0.96617759999999997</v>
      </c>
      <c r="Y2266">
        <v>-0.43883040000000001</v>
      </c>
      <c r="Z2266">
        <v>2.313347E-2</v>
      </c>
      <c r="AA2266">
        <v>0.89827199999999996</v>
      </c>
      <c r="AB2266">
        <v>30</v>
      </c>
      <c r="AC2266">
        <v>6.0499999999990402E-2</v>
      </c>
      <c r="AD2266">
        <v>-3.10030000000001E-2</v>
      </c>
      <c r="AE2266">
        <v>-0.91550000000000797</v>
      </c>
      <c r="AF2266">
        <v>-0.45918900545422597</v>
      </c>
      <c r="AG2266">
        <v>-3.10030000000001E-2</v>
      </c>
      <c r="AH2266">
        <v>0.79311214387083895</v>
      </c>
      <c r="AI2266">
        <v>91.937544901233295</v>
      </c>
      <c r="AJ2266">
        <v>120.06960092493</v>
      </c>
      <c r="AK2266">
        <v>0.91697470057490704</v>
      </c>
    </row>
    <row r="2267" spans="1:37" x14ac:dyDescent="0.2">
      <c r="A2267" t="str">
        <f>"20200111153440769"</f>
        <v>20200111153440769</v>
      </c>
      <c r="B2267" t="str">
        <f>"1578728080758431"</f>
        <v>1578728080758431</v>
      </c>
      <c r="C2267" t="s">
        <v>37</v>
      </c>
      <c r="D2267">
        <v>4.357748</v>
      </c>
      <c r="E2267">
        <v>0.41759439999999998</v>
      </c>
      <c r="F2267" t="s">
        <v>39</v>
      </c>
      <c r="G2267">
        <v>-488.2242</v>
      </c>
      <c r="H2267" s="1">
        <v>-2.0578320000000001E-6</v>
      </c>
      <c r="I2267">
        <v>233.69540000000001</v>
      </c>
      <c r="J2267">
        <v>-488.40379999999999</v>
      </c>
      <c r="K2267">
        <v>1.1208659999999999</v>
      </c>
      <c r="L2267">
        <v>273.61770000000001</v>
      </c>
      <c r="M2267">
        <v>-0.43069049999999998</v>
      </c>
      <c r="N2267">
        <v>0</v>
      </c>
      <c r="O2267">
        <v>-0.90233699999999994</v>
      </c>
      <c r="P2267">
        <v>-0.1993598</v>
      </c>
      <c r="Q2267">
        <v>6.7899660000000001E-2</v>
      </c>
      <c r="R2267">
        <v>-0.97757150000000004</v>
      </c>
      <c r="S2267">
        <v>7.7514649999999999E-3</v>
      </c>
      <c r="T2267">
        <v>-8.6185810000000002E-2</v>
      </c>
      <c r="U2267">
        <v>-3.0838320000000001</v>
      </c>
      <c r="V2267">
        <v>-0.24431459999999999</v>
      </c>
      <c r="W2267">
        <v>7.4930769999999994E-2</v>
      </c>
      <c r="X2267">
        <v>0.96679660000000001</v>
      </c>
      <c r="Y2267">
        <v>-0.43301139999999999</v>
      </c>
      <c r="Z2267">
        <v>2.2471950000000001E-2</v>
      </c>
      <c r="AA2267">
        <v>0.90110829999999997</v>
      </c>
      <c r="AB2267">
        <v>30</v>
      </c>
      <c r="AC2267">
        <v>0.17959999999999299</v>
      </c>
      <c r="AD2267">
        <v>-1.1208680578319901</v>
      </c>
      <c r="AE2267">
        <v>-39.9223</v>
      </c>
      <c r="AF2267">
        <v>-17.3450913724853</v>
      </c>
      <c r="AG2267">
        <v>-1.1208680578319901</v>
      </c>
      <c r="AH2267">
        <v>35.922978386845998</v>
      </c>
      <c r="AI2267">
        <v>91.609478299344403</v>
      </c>
      <c r="AJ2267">
        <v>115.77316128303499</v>
      </c>
      <c r="AK2267">
        <v>39.907003346589903</v>
      </c>
    </row>
    <row r="2268" spans="1:37" x14ac:dyDescent="0.2">
      <c r="A2268" t="str">
        <f>"20200111153440779"</f>
        <v>20200111153440779</v>
      </c>
      <c r="B2268" t="str">
        <f>"1578728080768190"</f>
        <v>1578728080768190</v>
      </c>
      <c r="C2268" t="s">
        <v>37</v>
      </c>
      <c r="D2268">
        <v>4.3376960000000002</v>
      </c>
      <c r="E2268">
        <v>0.41836570000000001</v>
      </c>
      <c r="F2268" t="s">
        <v>40</v>
      </c>
      <c r="G2268">
        <v>-488.39179999999999</v>
      </c>
      <c r="H2268">
        <v>1.091996</v>
      </c>
      <c r="I2268">
        <v>272.61439999999999</v>
      </c>
      <c r="J2268">
        <v>-488.46120000000002</v>
      </c>
      <c r="K2268">
        <v>1.1208309999999999</v>
      </c>
      <c r="L2268">
        <v>273.48</v>
      </c>
      <c r="M2268">
        <v>-0.421651</v>
      </c>
      <c r="N2268">
        <v>0</v>
      </c>
      <c r="O2268">
        <v>-0.90659639999999997</v>
      </c>
      <c r="P2268">
        <v>-0.1907507</v>
      </c>
      <c r="Q2268">
        <v>6.8496050000000003E-2</v>
      </c>
      <c r="R2268">
        <v>-0.97924599999999995</v>
      </c>
      <c r="S2268">
        <v>3.7384029999999999E-2</v>
      </c>
      <c r="T2268">
        <v>-8.8667869999999996E-2</v>
      </c>
      <c r="U2268">
        <v>-3.0825809999999998</v>
      </c>
      <c r="V2268">
        <v>-0.24315709999999999</v>
      </c>
      <c r="W2268">
        <v>7.5589799999999999E-2</v>
      </c>
      <c r="X2268">
        <v>0.96703709999999898</v>
      </c>
      <c r="Y2268">
        <v>-0.43266490000000002</v>
      </c>
      <c r="Z2268">
        <v>2.3310460000000002E-2</v>
      </c>
      <c r="AA2268">
        <v>0.90125339999999998</v>
      </c>
      <c r="AB2268">
        <v>30</v>
      </c>
      <c r="AC2268">
        <v>6.9400000000030104E-2</v>
      </c>
      <c r="AD2268">
        <v>-2.8834999999999899E-2</v>
      </c>
      <c r="AE2268">
        <v>-0.86560000000002901</v>
      </c>
      <c r="AF2268">
        <v>-0.42749032681536803</v>
      </c>
      <c r="AG2268">
        <v>-2.8834999999999899E-2</v>
      </c>
      <c r="AH2268">
        <v>0.75476590563913004</v>
      </c>
      <c r="AI2268">
        <v>91.903937364687394</v>
      </c>
      <c r="AJ2268">
        <v>119.52669377851601</v>
      </c>
      <c r="AK2268">
        <v>0.86790034512089398</v>
      </c>
    </row>
    <row r="2269" spans="1:37" x14ac:dyDescent="0.2">
      <c r="A2269" t="str">
        <f>"20200111153440792"</f>
        <v>20200111153440792</v>
      </c>
      <c r="B2269" t="str">
        <f>"1578728080788686"</f>
        <v>1578728080788686</v>
      </c>
      <c r="C2269" t="s">
        <v>37</v>
      </c>
      <c r="D2269">
        <v>4.3981329999999996</v>
      </c>
      <c r="E2269">
        <v>0.41995119999999903</v>
      </c>
      <c r="F2269" t="s">
        <v>40</v>
      </c>
      <c r="G2269">
        <v>-488.44080000000002</v>
      </c>
      <c r="H2269">
        <v>1.0909149999999901</v>
      </c>
      <c r="I2269">
        <v>272.40629999999999</v>
      </c>
      <c r="J2269">
        <v>-488.52429999999998</v>
      </c>
      <c r="K2269">
        <v>1.120784</v>
      </c>
      <c r="L2269">
        <v>273.32150000000001</v>
      </c>
      <c r="M2269">
        <v>-0.4113175</v>
      </c>
      <c r="N2269">
        <v>0</v>
      </c>
      <c r="O2269">
        <v>-0.91133140000000001</v>
      </c>
      <c r="P2269">
        <v>-0.18120439999999999</v>
      </c>
      <c r="Q2269">
        <v>6.9239590000000004E-2</v>
      </c>
      <c r="R2269">
        <v>-0.98100489999999996</v>
      </c>
      <c r="S2269">
        <v>5.8807369999999998E-2</v>
      </c>
      <c r="T2269">
        <v>-8.5850239999999994E-2</v>
      </c>
      <c r="U2269">
        <v>-3.0810550000000001</v>
      </c>
      <c r="V2269">
        <v>-0.24157790000000001</v>
      </c>
      <c r="W2269">
        <v>7.6418040000000007E-2</v>
      </c>
      <c r="X2269">
        <v>0.9673678</v>
      </c>
      <c r="Y2269">
        <v>-0.42868309999999998</v>
      </c>
      <c r="Z2269">
        <v>2.2802889999999999E-2</v>
      </c>
      <c r="AA2269">
        <v>0.9031671</v>
      </c>
      <c r="AB2269">
        <v>30</v>
      </c>
      <c r="AC2269">
        <v>8.3499999999958094E-2</v>
      </c>
      <c r="AD2269">
        <v>-2.98690000000001E-2</v>
      </c>
      <c r="AE2269">
        <v>-0.91520000000002699</v>
      </c>
      <c r="AF2269">
        <v>-0.45212265601052998</v>
      </c>
      <c r="AG2269">
        <v>-2.98690000000001E-2</v>
      </c>
      <c r="AH2269">
        <v>0.798978662369909</v>
      </c>
      <c r="AI2269">
        <v>91.863513595516395</v>
      </c>
      <c r="AJ2269">
        <v>119.50446938884799</v>
      </c>
      <c r="AK2269">
        <v>0.91851725958820496</v>
      </c>
    </row>
    <row r="2270" spans="1:37" x14ac:dyDescent="0.2">
      <c r="A2270" t="str">
        <f>"20200111153440807"</f>
        <v>20200111153440807</v>
      </c>
      <c r="B2270" t="str">
        <f>"1578728080798447"</f>
        <v>1578728080798447</v>
      </c>
      <c r="C2270" t="s">
        <v>37</v>
      </c>
      <c r="D2270">
        <v>4.3633680000000004</v>
      </c>
      <c r="E2270">
        <v>0.41995119999999903</v>
      </c>
      <c r="F2270" t="s">
        <v>39</v>
      </c>
      <c r="G2270">
        <v>-487.5111</v>
      </c>
      <c r="H2270" s="1">
        <v>-1.655427E-6</v>
      </c>
      <c r="I2270">
        <v>232.46250000000001</v>
      </c>
      <c r="J2270">
        <v>-488.5933</v>
      </c>
      <c r="K2270">
        <v>1.1207209999999901</v>
      </c>
      <c r="L2270">
        <v>273.14269999999999</v>
      </c>
      <c r="M2270">
        <v>-0.39969260000000001</v>
      </c>
      <c r="N2270">
        <v>0</v>
      </c>
      <c r="O2270">
        <v>-0.91648999999999903</v>
      </c>
      <c r="P2270">
        <v>-0.1706549</v>
      </c>
      <c r="Q2270">
        <v>7.0215819999999998E-2</v>
      </c>
      <c r="R2270">
        <v>-0.98282610000000004</v>
      </c>
      <c r="S2270">
        <v>7.6324459999999997E-2</v>
      </c>
      <c r="T2270">
        <v>-8.4434750000000003E-2</v>
      </c>
      <c r="U2270">
        <v>-3.078125</v>
      </c>
      <c r="V2270">
        <v>-0.23966109999999999</v>
      </c>
      <c r="W2270">
        <v>7.7495830000000002E-2</v>
      </c>
      <c r="X2270">
        <v>0.96775869999999997</v>
      </c>
      <c r="Y2270">
        <v>-0.42233530000000002</v>
      </c>
      <c r="Z2270">
        <v>2.2699219999999999E-2</v>
      </c>
      <c r="AA2270">
        <v>0.9061555</v>
      </c>
      <c r="AB2270">
        <v>30</v>
      </c>
      <c r="AC2270">
        <v>1.0822000000000001</v>
      </c>
      <c r="AD2270">
        <v>-1.12072265542699</v>
      </c>
      <c r="AE2270">
        <v>-40.6801999999999</v>
      </c>
      <c r="AF2270">
        <v>-17.240842629349999</v>
      </c>
      <c r="AG2270">
        <v>-1.12072265542699</v>
      </c>
      <c r="AH2270">
        <v>36.827896908983199</v>
      </c>
      <c r="AI2270">
        <v>91.578713853773905</v>
      </c>
      <c r="AJ2270">
        <v>115.086468599566</v>
      </c>
      <c r="AK2270">
        <v>40.679192034492203</v>
      </c>
    </row>
    <row r="2271" spans="1:37" x14ac:dyDescent="0.2">
      <c r="A2271" t="str">
        <f>"20200111153440820"</f>
        <v>20200111153440820</v>
      </c>
      <c r="B2271" t="str">
        <f>"1578728080817967"</f>
        <v>1578728080817967</v>
      </c>
      <c r="C2271" t="s">
        <v>37</v>
      </c>
      <c r="D2271">
        <v>4.4430990000000001</v>
      </c>
      <c r="E2271">
        <v>0.43526759999999898</v>
      </c>
      <c r="F2271" t="s">
        <v>40</v>
      </c>
      <c r="G2271">
        <v>-488.55549999999999</v>
      </c>
      <c r="H2271">
        <v>1.0928040000000001</v>
      </c>
      <c r="I2271">
        <v>272.07859999999999</v>
      </c>
      <c r="J2271">
        <v>-488.65699999999998</v>
      </c>
      <c r="K2271">
        <v>1.120654</v>
      </c>
      <c r="L2271">
        <v>272.97269999999997</v>
      </c>
      <c r="M2271">
        <v>-0.38867099999999999</v>
      </c>
      <c r="N2271">
        <v>0</v>
      </c>
      <c r="O2271">
        <v>-0.92121830000000005</v>
      </c>
      <c r="P2271">
        <v>-0.1611506</v>
      </c>
      <c r="Q2271">
        <v>7.0708190000000004E-2</v>
      </c>
      <c r="R2271">
        <v>-0.98439349999999903</v>
      </c>
      <c r="S2271">
        <v>0.109924299999999</v>
      </c>
      <c r="T2271">
        <v>-8.0676440000000002E-2</v>
      </c>
      <c r="U2271">
        <v>-3.0772710000000001</v>
      </c>
      <c r="V2271">
        <v>-0.23739299999999999</v>
      </c>
      <c r="W2271">
        <v>7.8105289999999994E-2</v>
      </c>
      <c r="X2271">
        <v>0.96826859999999904</v>
      </c>
      <c r="Y2271">
        <v>-0.42135519999999999</v>
      </c>
      <c r="Z2271">
        <v>2.1881939999999999E-2</v>
      </c>
      <c r="AA2271">
        <v>0.90663159999999898</v>
      </c>
      <c r="AB2271">
        <v>30</v>
      </c>
      <c r="AC2271">
        <v>0.101499999999987</v>
      </c>
      <c r="AD2271">
        <v>-2.7849999999999899E-2</v>
      </c>
      <c r="AE2271">
        <v>-0.89409999999998002</v>
      </c>
      <c r="AF2271">
        <v>-0.440656632014853</v>
      </c>
      <c r="AG2271">
        <v>-2.7849999999999899E-2</v>
      </c>
      <c r="AH2271">
        <v>0.783574995586656</v>
      </c>
      <c r="AI2271">
        <v>91.774426923678305</v>
      </c>
      <c r="AJ2271">
        <v>119.35195960750499</v>
      </c>
      <c r="AK2271">
        <v>0.89941295495856699</v>
      </c>
    </row>
    <row r="2272" spans="1:37" x14ac:dyDescent="0.2">
      <c r="A2272" t="str">
        <f>"20200111153440836"</f>
        <v>20200111153440836</v>
      </c>
      <c r="B2272" t="str">
        <f>"1578728080828703"</f>
        <v>1578728080828703</v>
      </c>
      <c r="C2272" t="s">
        <v>37</v>
      </c>
      <c r="D2272">
        <v>4.4441649999999999</v>
      </c>
      <c r="E2272">
        <v>0.43704319999999902</v>
      </c>
      <c r="F2272" t="s">
        <v>39</v>
      </c>
      <c r="G2272">
        <v>-488.42860000000002</v>
      </c>
      <c r="H2272" s="1">
        <v>-2.9610900000000001E-6</v>
      </c>
      <c r="I2272">
        <v>235.8854</v>
      </c>
      <c r="J2272">
        <v>-488.72629999999998</v>
      </c>
      <c r="K2272">
        <v>1.12056</v>
      </c>
      <c r="L2272">
        <v>272.77940000000001</v>
      </c>
      <c r="M2272">
        <v>-0.37623679999999998</v>
      </c>
      <c r="N2272">
        <v>0</v>
      </c>
      <c r="O2272">
        <v>-0.92636669999999999</v>
      </c>
      <c r="P2272">
        <v>-0.15291959999999999</v>
      </c>
      <c r="Q2272">
        <v>7.2991299999999995E-2</v>
      </c>
      <c r="R2272">
        <v>-0.98553930000000001</v>
      </c>
      <c r="S2272">
        <v>1.8829350000000002E-2</v>
      </c>
      <c r="T2272">
        <v>-9.2381950000000004E-2</v>
      </c>
      <c r="U2272">
        <v>-3.057312</v>
      </c>
      <c r="V2272">
        <v>-0.23245099999999999</v>
      </c>
      <c r="W2272">
        <v>8.0624550000000003E-2</v>
      </c>
      <c r="X2272">
        <v>0.96926060000000003</v>
      </c>
      <c r="Y2272">
        <v>-0.38198140000000003</v>
      </c>
      <c r="Z2272">
        <v>2.5726880000000001E-2</v>
      </c>
      <c r="AA2272">
        <v>0.92381190000000002</v>
      </c>
      <c r="AB2272">
        <v>30</v>
      </c>
      <c r="AC2272">
        <v>0.29769999999996299</v>
      </c>
      <c r="AD2272">
        <v>-1.1205629610900001</v>
      </c>
      <c r="AE2272">
        <v>-36.893999999999998</v>
      </c>
      <c r="AF2272">
        <v>-14.145668959964</v>
      </c>
      <c r="AG2272">
        <v>-1.1205629610900001</v>
      </c>
      <c r="AH2272">
        <v>34.038919765038202</v>
      </c>
      <c r="AI2272">
        <v>91.741228260218193</v>
      </c>
      <c r="AJ2272">
        <v>112.566469935027</v>
      </c>
      <c r="AK2272">
        <v>36.878227593600101</v>
      </c>
    </row>
    <row r="2273" spans="1:37" x14ac:dyDescent="0.2">
      <c r="A2273" t="str">
        <f>"20200111153440851"</f>
        <v>20200111153440851</v>
      </c>
      <c r="B2273" t="str">
        <f>"1578728080838463"</f>
        <v>1578728080838463</v>
      </c>
      <c r="C2273" t="s">
        <v>37</v>
      </c>
      <c r="D2273">
        <v>4.4021129999999999</v>
      </c>
      <c r="E2273">
        <v>0.43729390000000001</v>
      </c>
      <c r="F2273" t="s">
        <v>39</v>
      </c>
      <c r="G2273">
        <v>-488.33749999999998</v>
      </c>
      <c r="H2273" s="1">
        <v>-1.99239299999999E-6</v>
      </c>
      <c r="I2273">
        <v>233.58969999999999</v>
      </c>
      <c r="J2273">
        <v>-488.78390000000002</v>
      </c>
      <c r="K2273">
        <v>1.120463</v>
      </c>
      <c r="L2273">
        <v>272.61110000000002</v>
      </c>
      <c r="M2273">
        <v>-0.36551079999999903</v>
      </c>
      <c r="N2273">
        <v>0</v>
      </c>
      <c r="O2273">
        <v>-0.93065180000000003</v>
      </c>
      <c r="P2273">
        <v>-0.14373859999999999</v>
      </c>
      <c r="Q2273">
        <v>7.3892970000000002E-2</v>
      </c>
      <c r="R2273">
        <v>-0.98685369999999994</v>
      </c>
      <c r="S2273">
        <v>3.0303960000000001E-2</v>
      </c>
      <c r="T2273">
        <v>-8.7356569999999995E-2</v>
      </c>
      <c r="U2273">
        <v>-3.055145</v>
      </c>
      <c r="V2273">
        <v>-0.23026460000000001</v>
      </c>
      <c r="W2273">
        <v>8.1641610000000003E-2</v>
      </c>
      <c r="X2273">
        <v>0.96969729999999998</v>
      </c>
      <c r="Y2273">
        <v>-0.37476880000000001</v>
      </c>
      <c r="Z2273">
        <v>2.457061E-2</v>
      </c>
      <c r="AA2273">
        <v>0.92679269999999903</v>
      </c>
      <c r="AB2273">
        <v>30</v>
      </c>
      <c r="AC2273">
        <v>0.44640000000003899</v>
      </c>
      <c r="AD2273">
        <v>-1.1204649923929999</v>
      </c>
      <c r="AE2273">
        <v>-39.0214</v>
      </c>
      <c r="AF2273">
        <v>-14.668215788399801</v>
      </c>
      <c r="AG2273">
        <v>-1.1204649923929999</v>
      </c>
      <c r="AH2273">
        <v>36.127615399134498</v>
      </c>
      <c r="AI2273">
        <v>91.645993234293499</v>
      </c>
      <c r="AJ2273">
        <v>112.09770241098001</v>
      </c>
      <c r="AK2273">
        <v>39.007904207250299</v>
      </c>
    </row>
    <row r="2274" spans="1:37" x14ac:dyDescent="0.2">
      <c r="A2274" t="str">
        <f>"20200111153440870"</f>
        <v>20200111153440870</v>
      </c>
      <c r="B2274" t="str">
        <f>"1578728080857983"</f>
        <v>1578728080857983</v>
      </c>
      <c r="C2274" t="s">
        <v>37</v>
      </c>
      <c r="D2274">
        <v>4.4074049999999998</v>
      </c>
      <c r="E2274">
        <v>0.4378959</v>
      </c>
      <c r="F2274" t="s">
        <v>39</v>
      </c>
      <c r="G2274">
        <v>-488.01369999999997</v>
      </c>
      <c r="H2274" s="1">
        <v>-1.091337E-6</v>
      </c>
      <c r="I2274">
        <v>231.30199999999999</v>
      </c>
      <c r="J2274">
        <v>-488.8648</v>
      </c>
      <c r="K2274">
        <v>1.1202969999999901</v>
      </c>
      <c r="L2274">
        <v>272.3648</v>
      </c>
      <c r="M2274">
        <v>-0.34994550000000002</v>
      </c>
      <c r="N2274">
        <v>0</v>
      </c>
      <c r="O2274">
        <v>-0.93661649999999996</v>
      </c>
      <c r="P2274">
        <v>-0.1307104</v>
      </c>
      <c r="Q2274">
        <v>7.4384939999999997E-2</v>
      </c>
      <c r="R2274">
        <v>-0.98862609999999995</v>
      </c>
      <c r="S2274">
        <v>5.6945799999999998E-2</v>
      </c>
      <c r="T2274">
        <v>-8.2848309999999994E-2</v>
      </c>
      <c r="U2274">
        <v>-3.054443</v>
      </c>
      <c r="V2274">
        <v>-0.226854799999999</v>
      </c>
      <c r="W2274">
        <v>8.2316909999999993E-2</v>
      </c>
      <c r="X2274">
        <v>0.97044359999999996</v>
      </c>
      <c r="Y2274">
        <v>-0.3673863</v>
      </c>
      <c r="Z2274">
        <v>2.3588810000000002E-2</v>
      </c>
      <c r="AA2274">
        <v>0.92976930000000002</v>
      </c>
      <c r="AB2274">
        <v>30</v>
      </c>
      <c r="AC2274">
        <v>0.85110000000003005</v>
      </c>
      <c r="AD2274">
        <v>-1.120298091337</v>
      </c>
      <c r="AE2274">
        <v>-41.062799999999903</v>
      </c>
      <c r="AF2274">
        <v>-15.157800770694999</v>
      </c>
      <c r="AG2274">
        <v>-1.120298091337</v>
      </c>
      <c r="AH2274">
        <v>38.139371439790601</v>
      </c>
      <c r="AI2274">
        <v>91.563614077939704</v>
      </c>
      <c r="AJ2274">
        <v>111.674448619564</v>
      </c>
      <c r="AK2274">
        <v>41.056371562034698</v>
      </c>
    </row>
    <row r="2275" spans="1:37" x14ac:dyDescent="0.2">
      <c r="A2275" t="str">
        <f>"20200111153440883"</f>
        <v>20200111153440883</v>
      </c>
      <c r="B2275" t="str">
        <f>"1578728080878479"</f>
        <v>1578728080878479</v>
      </c>
      <c r="C2275" t="s">
        <v>37</v>
      </c>
      <c r="D2275">
        <v>4.3908490000000002</v>
      </c>
      <c r="E2275">
        <v>0.43896549999999901</v>
      </c>
      <c r="F2275" t="s">
        <v>39</v>
      </c>
      <c r="G2275">
        <v>-487.65</v>
      </c>
      <c r="H2275" s="1">
        <v>-1.362365E-6</v>
      </c>
      <c r="I2275">
        <v>231.81399999999999</v>
      </c>
      <c r="J2275">
        <v>-488.91410000000002</v>
      </c>
      <c r="K2275">
        <v>1.120169</v>
      </c>
      <c r="L2275">
        <v>272.209</v>
      </c>
      <c r="M2275">
        <v>-0.34020519999999999</v>
      </c>
      <c r="N2275">
        <v>0</v>
      </c>
      <c r="O2275">
        <v>-0.94019909999999995</v>
      </c>
      <c r="P2275">
        <v>-0.121990899999999</v>
      </c>
      <c r="Q2275">
        <v>7.3720469999999996E-2</v>
      </c>
      <c r="R2275">
        <v>-0.98978980000000005</v>
      </c>
      <c r="S2275">
        <v>9.1461180000000003E-2</v>
      </c>
      <c r="T2275">
        <v>-8.434403E-2</v>
      </c>
      <c r="U2275">
        <v>-3.05294799999999</v>
      </c>
      <c r="V2275">
        <v>-0.22530059999999999</v>
      </c>
      <c r="W2275">
        <v>8.1746170000000007E-2</v>
      </c>
      <c r="X2275">
        <v>0.97085390000000005</v>
      </c>
      <c r="Y2275">
        <v>-0.3682455</v>
      </c>
      <c r="Z2275">
        <v>2.416507E-2</v>
      </c>
      <c r="AA2275">
        <v>0.92941450000000003</v>
      </c>
      <c r="AB2275">
        <v>30</v>
      </c>
      <c r="AC2275">
        <v>1.26410000000004</v>
      </c>
      <c r="AD2275">
        <v>-1.1201703623649999</v>
      </c>
      <c r="AE2275">
        <v>-40.394999999999897</v>
      </c>
      <c r="AF2275">
        <v>-14.921767636258901</v>
      </c>
      <c r="AG2275">
        <v>-1.1201703623649999</v>
      </c>
      <c r="AH2275">
        <v>37.525833102526597</v>
      </c>
      <c r="AI2275">
        <v>91.588871281166405</v>
      </c>
      <c r="AJ2275">
        <v>111.684741317643</v>
      </c>
      <c r="AK2275">
        <v>40.399283175198903</v>
      </c>
    </row>
    <row r="2276" spans="1:37" x14ac:dyDescent="0.2">
      <c r="A2276" t="str">
        <f>"20200111153440895"</f>
        <v>20200111153440895</v>
      </c>
      <c r="B2276" t="str">
        <f>"1578728080888239"</f>
        <v>1578728080888239</v>
      </c>
      <c r="C2276" t="s">
        <v>37</v>
      </c>
      <c r="D2276">
        <v>4.4933300000000003</v>
      </c>
      <c r="E2276">
        <v>0.4398031</v>
      </c>
      <c r="F2276" t="s">
        <v>39</v>
      </c>
      <c r="G2276">
        <v>-487.53739999999999</v>
      </c>
      <c r="H2276" s="1">
        <v>-2.2135390000000001E-6</v>
      </c>
      <c r="I2276">
        <v>233.77430000000001</v>
      </c>
      <c r="J2276">
        <v>-488.96370000000002</v>
      </c>
      <c r="K2276">
        <v>1.1200209999999999</v>
      </c>
      <c r="L2276">
        <v>272.04520000000002</v>
      </c>
      <c r="M2276">
        <v>-0.33007709999999901</v>
      </c>
      <c r="N2276">
        <v>0</v>
      </c>
      <c r="O2276">
        <v>-0.94380330000000001</v>
      </c>
      <c r="P2276">
        <v>-0.1132078</v>
      </c>
      <c r="Q2276">
        <v>7.2859530000000006E-2</v>
      </c>
      <c r="R2276">
        <v>-0.9908962</v>
      </c>
      <c r="S2276">
        <v>0.109283399999999</v>
      </c>
      <c r="T2276">
        <v>-8.8921550000000002E-2</v>
      </c>
      <c r="U2276">
        <v>-3.0510250000000001</v>
      </c>
      <c r="V2276">
        <v>-0.22342970000000001</v>
      </c>
      <c r="W2276">
        <v>8.0995250000000005E-2</v>
      </c>
      <c r="X2276">
        <v>0.97134900000000002</v>
      </c>
      <c r="Y2276">
        <v>-0.3636839</v>
      </c>
      <c r="Z2276">
        <v>2.5672230000000001E-2</v>
      </c>
      <c r="AA2276">
        <v>0.93116860000000001</v>
      </c>
      <c r="AB2276">
        <v>30</v>
      </c>
      <c r="AC2276">
        <v>1.4263000000000201</v>
      </c>
      <c r="AD2276">
        <v>-1.120023213539</v>
      </c>
      <c r="AE2276">
        <v>-38.270899999999997</v>
      </c>
      <c r="AF2276">
        <v>-13.9685356087353</v>
      </c>
      <c r="AG2276">
        <v>-1.120023213539</v>
      </c>
      <c r="AH2276">
        <v>35.624014969505801</v>
      </c>
      <c r="AI2276">
        <v>91.6765900810977</v>
      </c>
      <c r="AJ2276">
        <v>111.410646606117</v>
      </c>
      <c r="AK2276">
        <v>38.281129575796797</v>
      </c>
    </row>
    <row r="2277" spans="1:37" x14ac:dyDescent="0.2">
      <c r="A2277" t="str">
        <f>"20200111153440907"</f>
        <v>20200111153440907</v>
      </c>
      <c r="B2277" t="str">
        <f>"1578728080897999"</f>
        <v>1578728080897999</v>
      </c>
      <c r="C2277" t="s">
        <v>37</v>
      </c>
      <c r="D2277">
        <v>4.4573429999999998</v>
      </c>
      <c r="E2277">
        <v>0.44064680000000001</v>
      </c>
      <c r="F2277" t="s">
        <v>39</v>
      </c>
      <c r="G2277">
        <v>-487.4178</v>
      </c>
      <c r="H2277" s="1">
        <v>-3.0309859999999999E-6</v>
      </c>
      <c r="I2277">
        <v>235.63030000000001</v>
      </c>
      <c r="J2277">
        <v>-489.00699999999898</v>
      </c>
      <c r="K2277">
        <v>1.119874</v>
      </c>
      <c r="L2277">
        <v>271.89679999999998</v>
      </c>
      <c r="M2277">
        <v>-0.32103399999999999</v>
      </c>
      <c r="N2277">
        <v>0</v>
      </c>
      <c r="O2277">
        <v>-0.94691819999999904</v>
      </c>
      <c r="P2277">
        <v>-0.10583289999999999</v>
      </c>
      <c r="Q2277">
        <v>7.1783979999999997E-2</v>
      </c>
      <c r="R2277">
        <v>-0.99178949999999999</v>
      </c>
      <c r="S2277">
        <v>0.1294556</v>
      </c>
      <c r="T2277">
        <v>-9.3785999999999994E-2</v>
      </c>
      <c r="U2277">
        <v>-3.0492249999999999</v>
      </c>
      <c r="V2277">
        <v>-0.22131809999999999</v>
      </c>
      <c r="W2277">
        <v>8.0038029999999996E-2</v>
      </c>
      <c r="X2277">
        <v>0.97191159999999999</v>
      </c>
      <c r="Y2277">
        <v>-0.36093979999999998</v>
      </c>
      <c r="Z2277">
        <v>2.7247299999999999E-2</v>
      </c>
      <c r="AA2277">
        <v>0.93219099999999999</v>
      </c>
      <c r="AB2277">
        <v>30</v>
      </c>
      <c r="AC2277">
        <v>1.58919999999994</v>
      </c>
      <c r="AD2277">
        <v>-1.119877030986</v>
      </c>
      <c r="AE2277">
        <v>-36.266499999999901</v>
      </c>
      <c r="AF2277">
        <v>-13.136981006878599</v>
      </c>
      <c r="AG2277">
        <v>-1.119877030986</v>
      </c>
      <c r="AH2277">
        <v>33.803840549075197</v>
      </c>
      <c r="AI2277">
        <v>91.768666297113796</v>
      </c>
      <c r="AJ2277">
        <v>111.2373170664</v>
      </c>
      <c r="AK2277">
        <v>36.284074060211601</v>
      </c>
    </row>
    <row r="2278" spans="1:37" x14ac:dyDescent="0.2">
      <c r="A2278" t="str">
        <f>"20200111153440920"</f>
        <v>20200111153440920</v>
      </c>
      <c r="B2278" t="str">
        <f>"1578728080908735"</f>
        <v>1578728080908735</v>
      </c>
      <c r="C2278" t="s">
        <v>37</v>
      </c>
      <c r="D2278">
        <v>4.5145980000000003</v>
      </c>
      <c r="E2278">
        <v>0.44147720000000001</v>
      </c>
      <c r="F2278" t="s">
        <v>39</v>
      </c>
      <c r="G2278">
        <v>-487.356999999999</v>
      </c>
      <c r="H2278" s="1">
        <v>-3.7287500000000001E-6</v>
      </c>
      <c r="I2278">
        <v>237.23179999999999</v>
      </c>
      <c r="J2278">
        <v>-489.05189999999999</v>
      </c>
      <c r="K2278">
        <v>1.1197079999999999</v>
      </c>
      <c r="L2278">
        <v>271.73880000000003</v>
      </c>
      <c r="M2278">
        <v>-0.31146950000000001</v>
      </c>
      <c r="N2278">
        <v>0</v>
      </c>
      <c r="O2278">
        <v>-0.95010819999999996</v>
      </c>
      <c r="P2278">
        <v>-9.8236749999999998E-2</v>
      </c>
      <c r="Q2278">
        <v>7.0900149999999995E-2</v>
      </c>
      <c r="R2278">
        <v>-0.99263419999999902</v>
      </c>
      <c r="S2278">
        <v>0.14505000000000001</v>
      </c>
      <c r="T2278">
        <v>-9.845102E-2</v>
      </c>
      <c r="U2278">
        <v>-3.047485</v>
      </c>
      <c r="V2278">
        <v>-0.21890999999999999</v>
      </c>
      <c r="W2278">
        <v>7.9288919999999999E-2</v>
      </c>
      <c r="X2278">
        <v>0.972518199999999</v>
      </c>
      <c r="Y2278">
        <v>-0.35631209999999902</v>
      </c>
      <c r="Z2278">
        <v>2.8797199999999998E-2</v>
      </c>
      <c r="AA2278">
        <v>0.93392310000000001</v>
      </c>
      <c r="AB2278">
        <v>30</v>
      </c>
      <c r="AC2278">
        <v>1.6949000000000101</v>
      </c>
      <c r="AD2278">
        <v>-1.11971172875</v>
      </c>
      <c r="AE2278">
        <v>-34.506999999999998</v>
      </c>
      <c r="AF2278">
        <v>-12.3469849234053</v>
      </c>
      <c r="AG2278">
        <v>-1.11971172875</v>
      </c>
      <c r="AH2278">
        <v>32.228157484973998</v>
      </c>
      <c r="AI2278">
        <v>91.858241014891206</v>
      </c>
      <c r="AJ2278">
        <v>110.962421993764</v>
      </c>
      <c r="AK2278">
        <v>34.5305071774306</v>
      </c>
    </row>
    <row r="2279" spans="1:37" x14ac:dyDescent="0.2">
      <c r="A2279" t="str">
        <f>"20200111153440937"</f>
        <v>20200111153440937</v>
      </c>
      <c r="B2279" t="str">
        <f>"1578728080928257"</f>
        <v>1578728080928257</v>
      </c>
      <c r="C2279" t="s">
        <v>37</v>
      </c>
      <c r="D2279">
        <v>4.5268839999999999</v>
      </c>
      <c r="E2279">
        <v>0.44232060000000001</v>
      </c>
      <c r="F2279" t="s">
        <v>39</v>
      </c>
      <c r="G2279">
        <v>-487.27769999999998</v>
      </c>
      <c r="H2279" s="1">
        <v>-4.2543540000000003E-6</v>
      </c>
      <c r="I2279">
        <v>238.42410000000001</v>
      </c>
      <c r="J2279">
        <v>-489.1087</v>
      </c>
      <c r="K2279">
        <v>1.1194580000000001</v>
      </c>
      <c r="L2279">
        <v>271.52870000000001</v>
      </c>
      <c r="M2279">
        <v>-0.2990198</v>
      </c>
      <c r="N2279">
        <v>0</v>
      </c>
      <c r="O2279">
        <v>-0.95410090000000003</v>
      </c>
      <c r="P2279">
        <v>-9.022753E-2</v>
      </c>
      <c r="Q2279">
        <v>7.0041720000000002E-2</v>
      </c>
      <c r="R2279">
        <v>-0.99345539999999999</v>
      </c>
      <c r="S2279">
        <v>0.16220090000000001</v>
      </c>
      <c r="T2279">
        <v>-0.10236389999999999</v>
      </c>
      <c r="U2279">
        <v>-3.0456240000000001</v>
      </c>
      <c r="V2279">
        <v>-0.21396850000000001</v>
      </c>
      <c r="W2279">
        <v>7.8683810000000007E-2</v>
      </c>
      <c r="X2279">
        <v>0.97366640000000004</v>
      </c>
      <c r="Y2279">
        <v>-0.34935519999999998</v>
      </c>
      <c r="Z2279">
        <v>3.0199610000000002E-2</v>
      </c>
      <c r="AA2279">
        <v>0.93650359999999999</v>
      </c>
      <c r="AB2279">
        <v>30</v>
      </c>
      <c r="AC2279">
        <v>1.83100000000001</v>
      </c>
      <c r="AD2279">
        <v>-1.119462254354</v>
      </c>
      <c r="AE2279">
        <v>-33.104599999999998</v>
      </c>
      <c r="AF2279">
        <v>-11.6342490412956</v>
      </c>
      <c r="AG2279">
        <v>-1.119462254354</v>
      </c>
      <c r="AH2279">
        <v>31.006599933850801</v>
      </c>
      <c r="AI2279">
        <v>91.936020568747196</v>
      </c>
      <c r="AJ2279">
        <v>110.567018685845</v>
      </c>
      <c r="AK2279">
        <v>33.136357463542801</v>
      </c>
    </row>
    <row r="2280" spans="1:37" x14ac:dyDescent="0.2">
      <c r="A2280" t="str">
        <f>"20200111153440949"</f>
        <v>20200111153440949</v>
      </c>
      <c r="B2280" t="str">
        <f>"1578728080938014"</f>
        <v>1578728080938014</v>
      </c>
      <c r="C2280" t="s">
        <v>37</v>
      </c>
      <c r="D2280">
        <v>4.4777509999999996</v>
      </c>
      <c r="E2280">
        <v>0.45554329999999998</v>
      </c>
      <c r="F2280" t="s">
        <v>39</v>
      </c>
      <c r="G2280">
        <v>-487.19540000000001</v>
      </c>
      <c r="H2280" s="1">
        <v>-4.584412E-6</v>
      </c>
      <c r="I2280">
        <v>239.15950000000001</v>
      </c>
      <c r="J2280">
        <v>-489.14789999999999</v>
      </c>
      <c r="K2280">
        <v>1.1192629999999999</v>
      </c>
      <c r="L2280">
        <v>271.37630000000001</v>
      </c>
      <c r="M2280">
        <v>-0.29018660000000002</v>
      </c>
      <c r="N2280">
        <v>0</v>
      </c>
      <c r="O2280">
        <v>-0.95682559999999905</v>
      </c>
      <c r="P2280">
        <v>-8.3335270000000003E-2</v>
      </c>
      <c r="Q2280">
        <v>6.9965150000000004E-2</v>
      </c>
      <c r="R2280">
        <v>-0.99406269999999997</v>
      </c>
      <c r="S2280">
        <v>0.17990110000000001</v>
      </c>
      <c r="T2280">
        <v>-0.1052587</v>
      </c>
      <c r="U2280">
        <v>-3.0435490000000001</v>
      </c>
      <c r="V2280">
        <v>-0.2116767</v>
      </c>
      <c r="W2280">
        <v>7.8738470000000005E-2</v>
      </c>
      <c r="X2280">
        <v>0.9741628</v>
      </c>
      <c r="Y2280">
        <v>-0.34615180000000001</v>
      </c>
      <c r="Z2280">
        <v>3.1230210000000001E-2</v>
      </c>
      <c r="AA2280">
        <v>0.93765849999999995</v>
      </c>
      <c r="AB2280">
        <v>30</v>
      </c>
      <c r="AC2280">
        <v>1.9524999999999799</v>
      </c>
      <c r="AD2280">
        <v>-1.1192675844119999</v>
      </c>
      <c r="AE2280">
        <v>-32.216799999999999</v>
      </c>
      <c r="AF2280">
        <v>-11.2051617640115</v>
      </c>
      <c r="AG2280">
        <v>-1.1192675844119999</v>
      </c>
      <c r="AH2280">
        <v>30.227103745555699</v>
      </c>
      <c r="AI2280">
        <v>91.988499938803002</v>
      </c>
      <c r="AJ2280">
        <v>110.339700566609</v>
      </c>
      <c r="AK2280">
        <v>32.256568492754603</v>
      </c>
    </row>
    <row r="2281" spans="1:37" x14ac:dyDescent="0.2">
      <c r="A2281" t="str">
        <f>"20200111153440962"</f>
        <v>20200111153440962</v>
      </c>
      <c r="B2281" t="str">
        <f>"1578728080958512"</f>
        <v>1578728080958512</v>
      </c>
      <c r="C2281" t="s">
        <v>37</v>
      </c>
      <c r="D2281">
        <v>4.5338399999999996</v>
      </c>
      <c r="E2281">
        <v>0.45617730000000001</v>
      </c>
      <c r="F2281" t="s">
        <v>39</v>
      </c>
      <c r="G2281">
        <v>-488.12709999999998</v>
      </c>
      <c r="H2281" s="1">
        <v>-4.4253319999999998E-6</v>
      </c>
      <c r="I2281">
        <v>239.1739</v>
      </c>
      <c r="J2281">
        <v>-489.1875</v>
      </c>
      <c r="K2281">
        <v>1.119054</v>
      </c>
      <c r="L2281">
        <v>271.21859999999998</v>
      </c>
      <c r="M2281">
        <v>-0.281138</v>
      </c>
      <c r="N2281">
        <v>0</v>
      </c>
      <c r="O2281">
        <v>-0.9595243</v>
      </c>
      <c r="P2281">
        <v>-7.5756210000000004E-2</v>
      </c>
      <c r="Q2281">
        <v>7.0326990000000006E-2</v>
      </c>
      <c r="R2281">
        <v>-0.99464339999999996</v>
      </c>
      <c r="S2281">
        <v>9.6160889999999999E-2</v>
      </c>
      <c r="T2281">
        <v>-0.1054345</v>
      </c>
      <c r="U2281">
        <v>-3.0334469999999998</v>
      </c>
      <c r="V2281">
        <v>-0.20986279999999899</v>
      </c>
      <c r="W2281">
        <v>7.9216670000000003E-2</v>
      </c>
      <c r="X2281">
        <v>0.97451650000000001</v>
      </c>
      <c r="Y2281">
        <v>-0.31142049999999999</v>
      </c>
      <c r="Z2281">
        <v>3.1759780000000001E-2</v>
      </c>
      <c r="AA2281">
        <v>0.94974130000000001</v>
      </c>
      <c r="AB2281">
        <v>30</v>
      </c>
      <c r="AC2281">
        <v>1.06040000000001</v>
      </c>
      <c r="AD2281">
        <v>-1.119058425332</v>
      </c>
      <c r="AE2281">
        <v>-32.044699999999899</v>
      </c>
      <c r="AF2281">
        <v>-10.0156380378363</v>
      </c>
      <c r="AG2281">
        <v>-1.119058425332</v>
      </c>
      <c r="AH2281">
        <v>30.416676784638099</v>
      </c>
      <c r="AI2281">
        <v>92.001398529738495</v>
      </c>
      <c r="AJ2281">
        <v>108.225739259021</v>
      </c>
      <c r="AK2281">
        <v>32.0427764665517</v>
      </c>
    </row>
    <row r="2282" spans="1:37" x14ac:dyDescent="0.2">
      <c r="A2282" t="str">
        <f>"20200111153440974"</f>
        <v>20200111153440974</v>
      </c>
      <c r="B2282" t="str">
        <f>"1578728080968271"</f>
        <v>1578728080968271</v>
      </c>
      <c r="C2282" t="s">
        <v>37</v>
      </c>
      <c r="D2282">
        <v>4.5212779999999997</v>
      </c>
      <c r="E2282">
        <v>0.45682509999999998</v>
      </c>
      <c r="F2282" t="s">
        <v>39</v>
      </c>
      <c r="G2282">
        <v>-487.80029999999999</v>
      </c>
      <c r="H2282" s="1">
        <v>-2.4202429999999998E-6</v>
      </c>
      <c r="I2282">
        <v>234.36490000000001</v>
      </c>
      <c r="J2282">
        <v>-489.22660000000002</v>
      </c>
      <c r="K2282">
        <v>1.1188129999999901</v>
      </c>
      <c r="L2282">
        <v>271.05549999999999</v>
      </c>
      <c r="M2282">
        <v>-0.27201969999999998</v>
      </c>
      <c r="N2282">
        <v>0</v>
      </c>
      <c r="O2282">
        <v>-0.96214999999999995</v>
      </c>
      <c r="P2282">
        <v>-6.794335E-2</v>
      </c>
      <c r="Q2282">
        <v>7.0327890000000004E-2</v>
      </c>
      <c r="R2282">
        <v>-0.99520739999999996</v>
      </c>
      <c r="S2282">
        <v>0.114105199999999</v>
      </c>
      <c r="T2282">
        <v>-9.2046139999999999E-2</v>
      </c>
      <c r="U2282">
        <v>-3.031342</v>
      </c>
      <c r="V2282">
        <v>-0.2082165</v>
      </c>
      <c r="W2282">
        <v>7.9334550000000004E-2</v>
      </c>
      <c r="X2282">
        <v>0.97485999999999995</v>
      </c>
      <c r="Y2282">
        <v>-0.30804229999999999</v>
      </c>
      <c r="Z2282">
        <v>2.7883069999999999E-2</v>
      </c>
      <c r="AA2282">
        <v>0.95096399999999903</v>
      </c>
      <c r="AB2282">
        <v>30</v>
      </c>
      <c r="AC2282">
        <v>1.4263000000000201</v>
      </c>
      <c r="AD2282">
        <v>-1.1188154202429901</v>
      </c>
      <c r="AE2282">
        <v>-36.690599999999897</v>
      </c>
      <c r="AF2282">
        <v>-11.343896536771</v>
      </c>
      <c r="AG2282">
        <v>-1.1188154202429901</v>
      </c>
      <c r="AH2282">
        <v>34.886250267295701</v>
      </c>
      <c r="AI2282">
        <v>91.746894957388406</v>
      </c>
      <c r="AJ2282">
        <v>108.012873685676</v>
      </c>
      <c r="AK2282">
        <v>36.701310525564701</v>
      </c>
    </row>
    <row r="2283" spans="1:37" x14ac:dyDescent="0.2">
      <c r="A2283" t="str">
        <f>"20200111153440987"</f>
        <v>20200111153440987</v>
      </c>
      <c r="B2283" t="str">
        <f>"1578728080978031"</f>
        <v>1578728080978031</v>
      </c>
      <c r="C2283" t="s">
        <v>37</v>
      </c>
      <c r="D2283">
        <v>4.5096920000000003</v>
      </c>
      <c r="E2283">
        <v>0.457567</v>
      </c>
      <c r="F2283" t="s">
        <v>39</v>
      </c>
      <c r="G2283">
        <v>-487.58030000000002</v>
      </c>
      <c r="H2283" s="1">
        <v>-2.0575619999999998E-6</v>
      </c>
      <c r="I2283">
        <v>233.42850000000001</v>
      </c>
      <c r="J2283">
        <v>-489.26569999999998</v>
      </c>
      <c r="K2283">
        <v>1.118544</v>
      </c>
      <c r="L2283">
        <v>270.8854</v>
      </c>
      <c r="M2283">
        <v>-0.26272109999999999</v>
      </c>
      <c r="N2283">
        <v>0</v>
      </c>
      <c r="O2283">
        <v>-0.96473209999999998</v>
      </c>
      <c r="P2283">
        <v>-5.9754549999999997E-2</v>
      </c>
      <c r="Q2283">
        <v>7.0000190000000004E-2</v>
      </c>
      <c r="R2283">
        <v>-0.99575569999999902</v>
      </c>
      <c r="S2283">
        <v>0.1325684</v>
      </c>
      <c r="T2283">
        <v>-9.0091470000000007E-2</v>
      </c>
      <c r="U2283">
        <v>-3.0298769999999999</v>
      </c>
      <c r="V2283">
        <v>-0.20676620000000001</v>
      </c>
      <c r="W2283">
        <v>7.9120179999999998E-2</v>
      </c>
      <c r="X2283">
        <v>0.975186</v>
      </c>
      <c r="Y2283">
        <v>-0.30466149999999997</v>
      </c>
      <c r="Z2283">
        <v>2.743228E-2</v>
      </c>
      <c r="AA2283">
        <v>0.95206559999999996</v>
      </c>
      <c r="AB2283">
        <v>30</v>
      </c>
      <c r="AC2283">
        <v>1.68539999999995</v>
      </c>
      <c r="AD2283">
        <v>-1.1185460575620001</v>
      </c>
      <c r="AE2283">
        <v>-37.456899999999898</v>
      </c>
      <c r="AF2283">
        <v>-11.45802639351</v>
      </c>
      <c r="AG2283">
        <v>-1.1185460575620001</v>
      </c>
      <c r="AH2283">
        <v>35.666154934074903</v>
      </c>
      <c r="AI2283">
        <v>91.710262576958996</v>
      </c>
      <c r="AJ2283">
        <v>107.810014292033</v>
      </c>
      <c r="AK2283">
        <v>37.4781552627487</v>
      </c>
    </row>
    <row r="2284" spans="1:37" x14ac:dyDescent="0.2">
      <c r="A2284" t="str">
        <f>"20200111153441004"</f>
        <v>20200111153441004</v>
      </c>
      <c r="B2284" t="str">
        <f>"1578728080998527"</f>
        <v>1578728080998527</v>
      </c>
      <c r="C2284" t="s">
        <v>37</v>
      </c>
      <c r="D2284">
        <v>4.5903299999999998</v>
      </c>
      <c r="E2284">
        <v>0.4584223</v>
      </c>
      <c r="F2284" t="s">
        <v>39</v>
      </c>
      <c r="G2284">
        <v>-487.31259999999997</v>
      </c>
      <c r="H2284" s="1">
        <v>-1.4709589999999999E-6</v>
      </c>
      <c r="I2284">
        <v>231.86930000000001</v>
      </c>
      <c r="J2284">
        <v>-489.31240000000003</v>
      </c>
      <c r="K2284">
        <v>1.1181809999999901</v>
      </c>
      <c r="L2284">
        <v>270.6746</v>
      </c>
      <c r="M2284">
        <v>-0.25147969999999997</v>
      </c>
      <c r="N2284">
        <v>0</v>
      </c>
      <c r="O2284">
        <v>-0.96772499999999995</v>
      </c>
      <c r="P2284">
        <v>-5.1419939999999997E-2</v>
      </c>
      <c r="Q2284">
        <v>6.8058179999999996E-2</v>
      </c>
      <c r="R2284">
        <v>-0.9963554</v>
      </c>
      <c r="S2284">
        <v>0.15158079999999999</v>
      </c>
      <c r="T2284">
        <v>-8.6807969999999998E-2</v>
      </c>
      <c r="U2284">
        <v>-3.0279539999999998</v>
      </c>
      <c r="V2284">
        <v>-0.2034755</v>
      </c>
      <c r="W2284">
        <v>7.7378859999999994E-2</v>
      </c>
      <c r="X2284">
        <v>0.97601749999999998</v>
      </c>
      <c r="Y2284">
        <v>-0.29956859999999902</v>
      </c>
      <c r="Z2284">
        <v>2.659777E-2</v>
      </c>
      <c r="AA2284">
        <v>0.95370390000000005</v>
      </c>
      <c r="AB2284">
        <v>30</v>
      </c>
      <c r="AC2284">
        <v>1.99980000000005</v>
      </c>
      <c r="AD2284">
        <v>-1.11818247095899</v>
      </c>
      <c r="AE2284">
        <v>-38.805299999999903</v>
      </c>
      <c r="AF2284">
        <v>-11.685881665435501</v>
      </c>
      <c r="AG2284">
        <v>-1.11818247095899</v>
      </c>
      <c r="AH2284">
        <v>37.0242233759203</v>
      </c>
      <c r="AI2284">
        <v>91.649710723519505</v>
      </c>
      <c r="AJ2284">
        <v>107.51715529995199</v>
      </c>
      <c r="AK2284">
        <v>38.8407425125597</v>
      </c>
    </row>
    <row r="2285" spans="1:37" x14ac:dyDescent="0.2">
      <c r="A2285" t="str">
        <f>"20200111153441018"</f>
        <v>20200111153441018</v>
      </c>
      <c r="B2285" t="str">
        <f>"1578728081008289"</f>
        <v>1578728081008289</v>
      </c>
      <c r="C2285" t="s">
        <v>37</v>
      </c>
      <c r="D2285">
        <v>4.536225</v>
      </c>
      <c r="E2285">
        <v>0.46731889999999998</v>
      </c>
      <c r="F2285" t="s">
        <v>39</v>
      </c>
      <c r="G2285">
        <v>-487.25409999999999</v>
      </c>
      <c r="H2285" s="1">
        <v>-2.32059599999999E-6</v>
      </c>
      <c r="I2285">
        <v>233.9067</v>
      </c>
      <c r="J2285">
        <v>-489.3501</v>
      </c>
      <c r="K2285">
        <v>1.1178619999999999</v>
      </c>
      <c r="L2285">
        <v>270.49709999999999</v>
      </c>
      <c r="M2285">
        <v>-0.2422782</v>
      </c>
      <c r="N2285">
        <v>0</v>
      </c>
      <c r="O2285">
        <v>-0.97007080000000001</v>
      </c>
      <c r="P2285">
        <v>-4.3619659999999998E-2</v>
      </c>
      <c r="Q2285">
        <v>6.6932320000000003E-2</v>
      </c>
      <c r="R2285">
        <v>-0.99680380000000002</v>
      </c>
      <c r="S2285">
        <v>0.1694031</v>
      </c>
      <c r="T2285">
        <v>-9.2027659999999997E-2</v>
      </c>
      <c r="U2285">
        <v>-3.0260310000000001</v>
      </c>
      <c r="V2285">
        <v>-0.201764</v>
      </c>
      <c r="W2285">
        <v>7.6388090000000006E-2</v>
      </c>
      <c r="X2285">
        <v>0.97645079999999995</v>
      </c>
      <c r="Y2285">
        <v>-0.29613440000000002</v>
      </c>
      <c r="Z2285">
        <v>2.833225E-2</v>
      </c>
      <c r="AA2285">
        <v>0.95472599999999996</v>
      </c>
      <c r="AB2285">
        <v>30</v>
      </c>
      <c r="AC2285">
        <v>2.0960000000000001</v>
      </c>
      <c r="AD2285">
        <v>-1.1178643205959999</v>
      </c>
      <c r="AE2285">
        <v>-36.590399999999903</v>
      </c>
      <c r="AF2285">
        <v>-10.889632474789201</v>
      </c>
      <c r="AG2285">
        <v>-1.1178643205959999</v>
      </c>
      <c r="AH2285">
        <v>34.959558559509802</v>
      </c>
      <c r="AI2285">
        <v>91.748647099018498</v>
      </c>
      <c r="AJ2285">
        <v>107.30140810234801</v>
      </c>
      <c r="AK2285">
        <v>36.633378915287601</v>
      </c>
    </row>
    <row r="2286" spans="1:37" x14ac:dyDescent="0.2">
      <c r="A2286" t="str">
        <f>"20200111153441030"</f>
        <v>20200111153441030</v>
      </c>
      <c r="B2286" t="str">
        <f>"1578728081018046"</f>
        <v>1578728081018046</v>
      </c>
      <c r="C2286" t="s">
        <v>37</v>
      </c>
      <c r="D2286">
        <v>4.5782299999999996</v>
      </c>
      <c r="E2286">
        <v>0.4676747</v>
      </c>
      <c r="F2286" t="s">
        <v>39</v>
      </c>
      <c r="G2286">
        <v>-487.71559999999999</v>
      </c>
      <c r="H2286" s="1">
        <v>-7.2480619999999997E-7</v>
      </c>
      <c r="I2286">
        <v>229.99180000000001</v>
      </c>
      <c r="J2286">
        <v>-489.38080000000002</v>
      </c>
      <c r="K2286">
        <v>1.1175629999999901</v>
      </c>
      <c r="L2286">
        <v>270.34379999999999</v>
      </c>
      <c r="M2286">
        <v>-0.23465549999999999</v>
      </c>
      <c r="N2286">
        <v>0</v>
      </c>
      <c r="O2286">
        <v>-0.97194419999999904</v>
      </c>
      <c r="P2286">
        <v>-3.7657780000000002E-2</v>
      </c>
      <c r="Q2286">
        <v>6.5767270000000003E-2</v>
      </c>
      <c r="R2286">
        <v>-0.99712420000000002</v>
      </c>
      <c r="S2286">
        <v>0.1218872</v>
      </c>
      <c r="T2286">
        <v>-8.3359719999999998E-2</v>
      </c>
      <c r="U2286">
        <v>-3.020508</v>
      </c>
      <c r="V2286">
        <v>-0.19986019999999999</v>
      </c>
      <c r="W2286">
        <v>7.5354909999999997E-2</v>
      </c>
      <c r="X2286">
        <v>0.97692250000000003</v>
      </c>
      <c r="Y2286">
        <v>-0.27367399999999997</v>
      </c>
      <c r="Z2286">
        <v>2.5892809999999999E-2</v>
      </c>
      <c r="AA2286">
        <v>0.96147389999999999</v>
      </c>
      <c r="AB2286">
        <v>30</v>
      </c>
      <c r="AC2286">
        <v>1.66520000000002</v>
      </c>
      <c r="AD2286">
        <v>-1.11756372480619</v>
      </c>
      <c r="AE2286">
        <v>-40.351999999999897</v>
      </c>
      <c r="AF2286">
        <v>-11.080264394480601</v>
      </c>
      <c r="AG2286">
        <v>-1.11756372480619</v>
      </c>
      <c r="AH2286">
        <v>38.804503666138501</v>
      </c>
      <c r="AI2286">
        <v>91.586287230559506</v>
      </c>
      <c r="AJ2286">
        <v>105.936199353822</v>
      </c>
      <c r="AK2286">
        <v>40.370914189623598</v>
      </c>
    </row>
    <row r="2287" spans="1:37" x14ac:dyDescent="0.2">
      <c r="A2287" t="str">
        <f>"20200111153441044"</f>
        <v>20200111153441044</v>
      </c>
      <c r="B2287" t="str">
        <f>"1578728081038542"</f>
        <v>1578728081038542</v>
      </c>
      <c r="C2287" t="s">
        <v>37</v>
      </c>
      <c r="D2287">
        <v>4.5898209999999997</v>
      </c>
      <c r="E2287">
        <v>0.46821040000000003</v>
      </c>
      <c r="F2287" t="s">
        <v>39</v>
      </c>
      <c r="G2287">
        <v>-487.59690000000001</v>
      </c>
      <c r="H2287" s="1">
        <v>-1.1193109999999999E-6</v>
      </c>
      <c r="I2287">
        <v>231.0583</v>
      </c>
      <c r="J2287">
        <v>-489.41539999999998</v>
      </c>
      <c r="K2287">
        <v>1.117208</v>
      </c>
      <c r="L2287">
        <v>270.16649999999998</v>
      </c>
      <c r="M2287">
        <v>-0.2260355</v>
      </c>
      <c r="N2287">
        <v>0</v>
      </c>
      <c r="O2287">
        <v>-0.97398639999999903</v>
      </c>
      <c r="P2287">
        <v>-3.0502479999999998E-2</v>
      </c>
      <c r="Q2287">
        <v>6.5168970000000007E-2</v>
      </c>
      <c r="R2287">
        <v>-0.99740790000000001</v>
      </c>
      <c r="S2287">
        <v>0.1371155</v>
      </c>
      <c r="T2287">
        <v>-8.5897329999999994E-2</v>
      </c>
      <c r="U2287">
        <v>-3.0195310000000002</v>
      </c>
      <c r="V2287">
        <v>-0.1981357</v>
      </c>
      <c r="W2287">
        <v>7.4897480000000002E-2</v>
      </c>
      <c r="X2287">
        <v>0.97730890000000004</v>
      </c>
      <c r="Y2287">
        <v>-0.27000200000000002</v>
      </c>
      <c r="Z2287">
        <v>2.6787890000000002E-2</v>
      </c>
      <c r="AA2287">
        <v>0.96248699999999998</v>
      </c>
      <c r="AB2287">
        <v>30</v>
      </c>
      <c r="AC2287">
        <v>1.81849999999997</v>
      </c>
      <c r="AD2287">
        <v>-1.1172091193110001</v>
      </c>
      <c r="AE2287">
        <v>-39.108199999999897</v>
      </c>
      <c r="AF2287">
        <v>-10.6037723942735</v>
      </c>
      <c r="AG2287">
        <v>-1.1172091193110001</v>
      </c>
      <c r="AH2287">
        <v>37.654016969740901</v>
      </c>
      <c r="AI2287">
        <v>91.635896220051606</v>
      </c>
      <c r="AJ2287">
        <v>105.727785317466</v>
      </c>
      <c r="AK2287">
        <v>39.134551730706796</v>
      </c>
    </row>
    <row r="2288" spans="1:37" x14ac:dyDescent="0.2">
      <c r="A2288" t="str">
        <f>"20200111153441059"</f>
        <v>20200111153441059</v>
      </c>
      <c r="B2288" t="str">
        <f>"1578728081048302"</f>
        <v>1578728081048302</v>
      </c>
      <c r="C2288" t="s">
        <v>37</v>
      </c>
      <c r="D2288">
        <v>4.5967039999999999</v>
      </c>
      <c r="E2288">
        <v>0.4737769</v>
      </c>
      <c r="F2288" t="s">
        <v>39</v>
      </c>
      <c r="G2288">
        <v>-487.50069999999999</v>
      </c>
      <c r="H2288" s="1">
        <v>-1.7603159999999999E-6</v>
      </c>
      <c r="I2288">
        <v>232.70269999999999</v>
      </c>
      <c r="J2288">
        <v>-489.452</v>
      </c>
      <c r="K2288">
        <v>1.1167860000000001</v>
      </c>
      <c r="L2288">
        <v>269.97230000000002</v>
      </c>
      <c r="M2288">
        <v>-0.2169266</v>
      </c>
      <c r="N2288">
        <v>0</v>
      </c>
      <c r="O2288">
        <v>-0.97605739999999996</v>
      </c>
      <c r="P2288">
        <v>-2.464746E-2</v>
      </c>
      <c r="Q2288">
        <v>6.4391180000000006E-2</v>
      </c>
      <c r="R2288">
        <v>-0.99762059999999997</v>
      </c>
      <c r="S2288">
        <v>0.1542664</v>
      </c>
      <c r="T2288">
        <v>-9.0010999999999994E-2</v>
      </c>
      <c r="U2288">
        <v>-3.0183719999999998</v>
      </c>
      <c r="V2288">
        <v>-0.19464699999999999</v>
      </c>
      <c r="W2288">
        <v>7.433447E-2</v>
      </c>
      <c r="X2288">
        <v>0.97805259999999905</v>
      </c>
      <c r="Y2288">
        <v>-0.26647559999999998</v>
      </c>
      <c r="Z2288">
        <v>2.8183690000000001E-2</v>
      </c>
      <c r="AA2288">
        <v>0.96342950000000005</v>
      </c>
      <c r="AB2288">
        <v>30</v>
      </c>
      <c r="AC2288">
        <v>1.9513</v>
      </c>
      <c r="AD2288">
        <v>-1.1167877603159999</v>
      </c>
      <c r="AE2288">
        <v>-37.269599999999997</v>
      </c>
      <c r="AF2288">
        <v>-9.9816831809821096</v>
      </c>
      <c r="AG2288">
        <v>-1.1167877603159999</v>
      </c>
      <c r="AH2288">
        <v>35.926391043269099</v>
      </c>
      <c r="AI2288">
        <v>91.7155485930395</v>
      </c>
      <c r="AJ2288">
        <v>105.527264728197</v>
      </c>
      <c r="AK2288">
        <v>37.303978171516498</v>
      </c>
    </row>
    <row r="2289" spans="1:37" x14ac:dyDescent="0.2">
      <c r="A2289" t="str">
        <f>"20200111153441070"</f>
        <v>20200111153441070</v>
      </c>
      <c r="B2289" t="str">
        <f>"1578728081058062"</f>
        <v>1578728081058062</v>
      </c>
      <c r="C2289" t="s">
        <v>37</v>
      </c>
      <c r="D2289">
        <v>4.5827289999999996</v>
      </c>
      <c r="E2289">
        <v>0.47426679999999999</v>
      </c>
      <c r="F2289" t="s">
        <v>39</v>
      </c>
      <c r="G2289">
        <v>-488.04340000000002</v>
      </c>
      <c r="H2289" s="1">
        <v>-3.3243320000000001E-6</v>
      </c>
      <c r="I2289">
        <v>236.5728</v>
      </c>
      <c r="J2289">
        <v>-489.47930000000002</v>
      </c>
      <c r="K2289">
        <v>1.1164399999999901</v>
      </c>
      <c r="L2289">
        <v>269.81830000000002</v>
      </c>
      <c r="M2289">
        <v>-0.210096</v>
      </c>
      <c r="N2289">
        <v>0</v>
      </c>
      <c r="O2289">
        <v>-0.97755179999999997</v>
      </c>
      <c r="P2289">
        <v>-1.93912999999999E-2</v>
      </c>
      <c r="Q2289">
        <v>6.3941460000000006E-2</v>
      </c>
      <c r="R2289">
        <v>-0.99776540000000002</v>
      </c>
      <c r="S2289">
        <v>0.1272278</v>
      </c>
      <c r="T2289">
        <v>-0.100873399999999</v>
      </c>
      <c r="U2289">
        <v>-3.016785</v>
      </c>
      <c r="V2289">
        <v>-0.19288649999999999</v>
      </c>
      <c r="W2289">
        <v>7.4019219999999997E-2</v>
      </c>
      <c r="X2289">
        <v>0.97842530000000005</v>
      </c>
      <c r="Y2289">
        <v>-0.25110739999999998</v>
      </c>
      <c r="Z2289">
        <v>3.1748600000000002E-2</v>
      </c>
      <c r="AA2289">
        <v>0.96743840000000003</v>
      </c>
      <c r="AB2289">
        <v>30</v>
      </c>
      <c r="AC2289">
        <v>1.4359</v>
      </c>
      <c r="AD2289">
        <v>-1.11644332433199</v>
      </c>
      <c r="AE2289">
        <v>-33.2455</v>
      </c>
      <c r="AF2289">
        <v>-8.38003808505532</v>
      </c>
      <c r="AG2289">
        <v>-1.11644332433199</v>
      </c>
      <c r="AH2289">
        <v>32.165375051235102</v>
      </c>
      <c r="AI2289">
        <v>91.923743159636203</v>
      </c>
      <c r="AJ2289">
        <v>104.602644671798</v>
      </c>
      <c r="AK2289">
        <v>33.257823683909997</v>
      </c>
    </row>
    <row r="2290" spans="1:37" x14ac:dyDescent="0.2">
      <c r="A2290" t="str">
        <f>"20200111153441083"</f>
        <v>20200111153441083</v>
      </c>
      <c r="B2290" t="str">
        <f>"1578728081078558"</f>
        <v>1578728081078558</v>
      </c>
      <c r="C2290" t="s">
        <v>37</v>
      </c>
      <c r="D2290">
        <v>4.5955050000000002</v>
      </c>
      <c r="E2290">
        <v>0.47482759999999902</v>
      </c>
      <c r="F2290" t="s">
        <v>39</v>
      </c>
      <c r="G2290">
        <v>-487.94740000000002</v>
      </c>
      <c r="H2290" s="1">
        <v>-3.3384539999999999E-6</v>
      </c>
      <c r="I2290">
        <v>236.56610000000001</v>
      </c>
      <c r="J2290">
        <v>-489.50650000000002</v>
      </c>
      <c r="K2290">
        <v>1.1160920000000001</v>
      </c>
      <c r="L2290">
        <v>269.66219999999998</v>
      </c>
      <c r="M2290">
        <v>-0.20331589999999999</v>
      </c>
      <c r="N2290">
        <v>0</v>
      </c>
      <c r="O2290">
        <v>-0.97898600000000002</v>
      </c>
      <c r="P2290">
        <v>-1.395098E-2</v>
      </c>
      <c r="Q2290">
        <v>6.3394140000000002E-2</v>
      </c>
      <c r="R2290">
        <v>-0.99789150000000004</v>
      </c>
      <c r="S2290">
        <v>0.1389465</v>
      </c>
      <c r="T2290">
        <v>-0.1012589</v>
      </c>
      <c r="U2290">
        <v>-3.0158999999999998</v>
      </c>
      <c r="V2290">
        <v>-0.1913638</v>
      </c>
      <c r="W2290">
        <v>7.3600260000000001E-2</v>
      </c>
      <c r="X2290">
        <v>0.97875579999999995</v>
      </c>
      <c r="Y2290">
        <v>-0.24816099999999999</v>
      </c>
      <c r="Z2290">
        <v>3.1961249999999997E-2</v>
      </c>
      <c r="AA2290">
        <v>0.96819140000000004</v>
      </c>
      <c r="AB2290">
        <v>30</v>
      </c>
      <c r="AC2290">
        <v>1.5590999999999999</v>
      </c>
      <c r="AD2290">
        <v>-1.116095338454</v>
      </c>
      <c r="AE2290">
        <v>-33.0960999999999</v>
      </c>
      <c r="AF2290">
        <v>-8.2469706919787296</v>
      </c>
      <c r="AG2290">
        <v>-1.116095338454</v>
      </c>
      <c r="AH2290">
        <v>32.0512558075635</v>
      </c>
      <c r="AI2290">
        <v>91.931495548571704</v>
      </c>
      <c r="AJ2290">
        <v>104.42952411890499</v>
      </c>
      <c r="AK2290">
        <v>33.114063375562203</v>
      </c>
    </row>
    <row r="2291" spans="1:37" x14ac:dyDescent="0.2">
      <c r="A2291" t="str">
        <f>"20200111153441096"</f>
        <v>20200111153441096</v>
      </c>
      <c r="B2291" t="str">
        <f>"1578728081088320"</f>
        <v>1578728081088320</v>
      </c>
      <c r="C2291" t="s">
        <v>37</v>
      </c>
      <c r="D2291">
        <v>4.6859449999999896</v>
      </c>
      <c r="E2291">
        <v>0.47770990000000002</v>
      </c>
      <c r="F2291" t="s">
        <v>39</v>
      </c>
      <c r="G2291">
        <v>-487.81189999999998</v>
      </c>
      <c r="H2291" s="1">
        <v>-3.0060059999999998E-6</v>
      </c>
      <c r="I2291">
        <v>235.73509999999999</v>
      </c>
      <c r="J2291">
        <v>-489.53410000000002</v>
      </c>
      <c r="K2291">
        <v>1.115718</v>
      </c>
      <c r="L2291">
        <v>269.49759999999998</v>
      </c>
      <c r="M2291">
        <v>-0.1964206</v>
      </c>
      <c r="N2291">
        <v>0</v>
      </c>
      <c r="O2291">
        <v>-0.98039390000000004</v>
      </c>
      <c r="P2291">
        <v>-8.5782559999999994E-3</v>
      </c>
      <c r="Q2291">
        <v>6.2578369999999994E-2</v>
      </c>
      <c r="R2291">
        <v>-0.99800349999999904</v>
      </c>
      <c r="S2291">
        <v>0.1505737</v>
      </c>
      <c r="T2291">
        <v>-9.9174380000000006E-2</v>
      </c>
      <c r="U2291">
        <v>-3.0147089999999999</v>
      </c>
      <c r="V2291">
        <v>-0.1896621</v>
      </c>
      <c r="W2291">
        <v>7.2920700000000005E-2</v>
      </c>
      <c r="X2291">
        <v>0.97913779999999995</v>
      </c>
      <c r="Y2291">
        <v>-0.24508579999999899</v>
      </c>
      <c r="Z2291">
        <v>3.1395670000000001E-2</v>
      </c>
      <c r="AA2291">
        <v>0.96899290000000005</v>
      </c>
      <c r="AB2291">
        <v>30</v>
      </c>
      <c r="AC2291">
        <v>1.7222000000000399</v>
      </c>
      <c r="AD2291">
        <v>-1.1157210060060001</v>
      </c>
      <c r="AE2291">
        <v>-33.762499999999903</v>
      </c>
      <c r="AF2291">
        <v>-8.3120579418435003</v>
      </c>
      <c r="AG2291">
        <v>-1.1157210060060001</v>
      </c>
      <c r="AH2291">
        <v>32.730665543307303</v>
      </c>
      <c r="AI2291">
        <v>91.892318378264406</v>
      </c>
      <c r="AJ2291">
        <v>104.249223561173</v>
      </c>
      <c r="AK2291">
        <v>33.788039414852904</v>
      </c>
    </row>
    <row r="2292" spans="1:37" x14ac:dyDescent="0.2">
      <c r="A2292" t="str">
        <f>"20200111153441107"</f>
        <v>20200111153441107</v>
      </c>
      <c r="B2292" t="str">
        <f>"1578728081098080"</f>
        <v>1578728081098080</v>
      </c>
      <c r="C2292" t="s">
        <v>37</v>
      </c>
      <c r="D2292">
        <v>4.6818479999999996</v>
      </c>
      <c r="E2292">
        <v>0.47707709999999998</v>
      </c>
      <c r="F2292" t="s">
        <v>39</v>
      </c>
      <c r="G2292">
        <v>-488.38889999999998</v>
      </c>
      <c r="H2292" s="1">
        <v>-2.7065120000000002E-6</v>
      </c>
      <c r="I2292">
        <v>245.2756</v>
      </c>
      <c r="J2292">
        <v>-489.5582</v>
      </c>
      <c r="K2292">
        <v>1.1153729999999999</v>
      </c>
      <c r="L2292">
        <v>269.34719999999999</v>
      </c>
      <c r="M2292">
        <v>-0.190436299999999</v>
      </c>
      <c r="N2292">
        <v>0</v>
      </c>
      <c r="O2292">
        <v>-0.98157519999999998</v>
      </c>
      <c r="P2292">
        <v>-4.2765959999999997E-3</v>
      </c>
      <c r="Q2292">
        <v>6.1197380000000003E-2</v>
      </c>
      <c r="R2292">
        <v>-0.99811669999999997</v>
      </c>
      <c r="S2292">
        <v>0.14257809999999899</v>
      </c>
      <c r="T2292">
        <v>-0.13891919999999999</v>
      </c>
      <c r="U2292">
        <v>-3.0158999999999998</v>
      </c>
      <c r="V2292">
        <v>-0.18782470000000001</v>
      </c>
      <c r="W2292">
        <v>7.1673219999999996E-2</v>
      </c>
      <c r="X2292">
        <v>0.97958400000000001</v>
      </c>
      <c r="Y2292">
        <v>-0.23655580000000001</v>
      </c>
      <c r="Z2292">
        <v>4.4070959999999999E-2</v>
      </c>
      <c r="AA2292">
        <v>0.97061790000000003</v>
      </c>
      <c r="AB2292">
        <v>30</v>
      </c>
      <c r="AC2292">
        <v>1.16930000000002</v>
      </c>
      <c r="AD2292">
        <v>-1.115375706512</v>
      </c>
      <c r="AE2292">
        <v>-24.071599999999901</v>
      </c>
      <c r="AF2292">
        <v>-5.7203095394075802</v>
      </c>
      <c r="AG2292">
        <v>-1.115375706512</v>
      </c>
      <c r="AH2292">
        <v>23.358233950237899</v>
      </c>
      <c r="AI2292">
        <v>92.655493219377405</v>
      </c>
      <c r="AJ2292">
        <v>103.760613206489</v>
      </c>
      <c r="AK2292">
        <v>24.074324444672602</v>
      </c>
    </row>
    <row r="2293" spans="1:37" x14ac:dyDescent="0.2">
      <c r="A2293" t="str">
        <f>"20200111153441121"</f>
        <v>20200111153441121</v>
      </c>
      <c r="B2293" t="str">
        <f>"1578728081118575"</f>
        <v>1578728081118575</v>
      </c>
      <c r="C2293" t="s">
        <v>37</v>
      </c>
      <c r="D2293">
        <v>4.653213</v>
      </c>
      <c r="E2293">
        <v>0.4775992</v>
      </c>
      <c r="F2293" t="s">
        <v>39</v>
      </c>
      <c r="G2293">
        <v>-488.22</v>
      </c>
      <c r="H2293" s="1">
        <v>-2.3209539999999999E-6</v>
      </c>
      <c r="I2293">
        <v>244.30699999999999</v>
      </c>
      <c r="J2293">
        <v>-489.58600000000001</v>
      </c>
      <c r="K2293">
        <v>1.114962</v>
      </c>
      <c r="L2293">
        <v>269.17039999999997</v>
      </c>
      <c r="M2293">
        <v>-0.1836035</v>
      </c>
      <c r="N2293">
        <v>0</v>
      </c>
      <c r="O2293">
        <v>-0.98287760000000002</v>
      </c>
      <c r="P2293">
        <v>9.947491000000001E-4</v>
      </c>
      <c r="Q2293">
        <v>5.9471419999999997E-2</v>
      </c>
      <c r="R2293">
        <v>-0.998229699999999</v>
      </c>
      <c r="S2293">
        <v>0.1611023</v>
      </c>
      <c r="T2293">
        <v>-0.13427829999999999</v>
      </c>
      <c r="U2293">
        <v>-3.0145569999999999</v>
      </c>
      <c r="V2293">
        <v>-0.18608350000000001</v>
      </c>
      <c r="W2293">
        <v>7.0094589999999998E-2</v>
      </c>
      <c r="X2293">
        <v>0.98003050000000003</v>
      </c>
      <c r="Y2293">
        <v>-0.235769799999999</v>
      </c>
      <c r="Z2293">
        <v>4.2704939999999997E-2</v>
      </c>
      <c r="AA2293">
        <v>0.97087019999999902</v>
      </c>
      <c r="AB2293">
        <v>30</v>
      </c>
      <c r="AC2293">
        <v>1.3659999999999799</v>
      </c>
      <c r="AD2293">
        <v>-1.1149643209540001</v>
      </c>
      <c r="AE2293">
        <v>-24.863399999999899</v>
      </c>
      <c r="AF2293">
        <v>-5.89650928586435</v>
      </c>
      <c r="AG2293">
        <v>-1.1149643209540001</v>
      </c>
      <c r="AH2293">
        <v>24.141395156956001</v>
      </c>
      <c r="AI2293">
        <v>92.568900743658801</v>
      </c>
      <c r="AJ2293">
        <v>103.725695842683</v>
      </c>
      <c r="AK2293">
        <v>24.876071380336199</v>
      </c>
    </row>
    <row r="2294" spans="1:37" x14ac:dyDescent="0.2">
      <c r="A2294" t="str">
        <f>"20200111153441138"</f>
        <v>20200111153441138</v>
      </c>
      <c r="B2294" t="str">
        <f>"1578728081128334"</f>
        <v>1578728081128334</v>
      </c>
      <c r="C2294" t="s">
        <v>37</v>
      </c>
      <c r="D2294">
        <v>4.6849030000000003</v>
      </c>
      <c r="E2294">
        <v>0.47595789999999999</v>
      </c>
      <c r="F2294" t="s">
        <v>39</v>
      </c>
      <c r="G2294">
        <v>-487.9744</v>
      </c>
      <c r="H2294" s="1">
        <v>-1.050164E-6</v>
      </c>
      <c r="I2294">
        <v>241.15029999999999</v>
      </c>
      <c r="J2294">
        <v>-489.61900000000003</v>
      </c>
      <c r="K2294">
        <v>1.1144259999999999</v>
      </c>
      <c r="L2294">
        <v>268.95080000000002</v>
      </c>
      <c r="M2294">
        <v>-0.175629799999999</v>
      </c>
      <c r="N2294">
        <v>0</v>
      </c>
      <c r="O2294">
        <v>-0.98433549999999903</v>
      </c>
      <c r="P2294">
        <v>5.5061509999999999E-3</v>
      </c>
      <c r="Q2294">
        <v>5.4918620000000001E-2</v>
      </c>
      <c r="R2294">
        <v>-0.99847589999999997</v>
      </c>
      <c r="S2294">
        <v>0.17324829999999999</v>
      </c>
      <c r="T2294">
        <v>-0.11986289999999999</v>
      </c>
      <c r="U2294">
        <v>-3.0122680000000002</v>
      </c>
      <c r="V2294">
        <v>-0.18240919999999999</v>
      </c>
      <c r="W2294">
        <v>6.5767300000000001E-2</v>
      </c>
      <c r="X2294">
        <v>0.98102069999999997</v>
      </c>
      <c r="Y2294">
        <v>-0.23184289999999999</v>
      </c>
      <c r="Z2294">
        <v>3.8258210000000001E-2</v>
      </c>
      <c r="AA2294">
        <v>0.97200059999999999</v>
      </c>
      <c r="AB2294">
        <v>30</v>
      </c>
      <c r="AC2294">
        <v>1.64460000000002</v>
      </c>
      <c r="AD2294">
        <v>-1.1144270501639999</v>
      </c>
      <c r="AE2294">
        <v>-27.8005</v>
      </c>
      <c r="AF2294">
        <v>-6.4918120318190704</v>
      </c>
      <c r="AG2294">
        <v>-1.1144270501639999</v>
      </c>
      <c r="AH2294">
        <v>27.036104457644999</v>
      </c>
      <c r="AI2294">
        <v>92.295226603415699</v>
      </c>
      <c r="AJ2294">
        <v>103.502039035869</v>
      </c>
      <c r="AK2294">
        <v>27.826902726521698</v>
      </c>
    </row>
    <row r="2295" spans="1:37" x14ac:dyDescent="0.2">
      <c r="A2295" t="str">
        <f>"20200111153441151"</f>
        <v>20200111153441151</v>
      </c>
      <c r="B2295" t="str">
        <f>"1578728081148830"</f>
        <v>1578728081148830</v>
      </c>
      <c r="C2295" t="s">
        <v>37</v>
      </c>
      <c r="D2295">
        <v>4.7544440000000003</v>
      </c>
      <c r="E2295">
        <v>0.47054750000000001</v>
      </c>
      <c r="F2295" t="s">
        <v>39</v>
      </c>
      <c r="G2295">
        <v>-487.97910000000002</v>
      </c>
      <c r="H2295" s="1">
        <v>-2.348431E-6</v>
      </c>
      <c r="I2295">
        <v>244.2714</v>
      </c>
      <c r="J2295">
        <v>-489.64240000000001</v>
      </c>
      <c r="K2295">
        <v>1.1140379999999901</v>
      </c>
      <c r="L2295">
        <v>268.7869</v>
      </c>
      <c r="M2295">
        <v>-0.17009360000000001</v>
      </c>
      <c r="N2295">
        <v>0</v>
      </c>
      <c r="O2295">
        <v>-0.98530859999999998</v>
      </c>
      <c r="P2295">
        <v>9.3859749999999995E-3</v>
      </c>
      <c r="Q2295">
        <v>5.273829E-2</v>
      </c>
      <c r="R2295">
        <v>-0.99856440000000002</v>
      </c>
      <c r="S2295">
        <v>0.20007320000000001</v>
      </c>
      <c r="T2295">
        <v>-0.13596340000000001</v>
      </c>
      <c r="U2295">
        <v>-3.0109560000000002</v>
      </c>
      <c r="V2295">
        <v>-0.180610299999999</v>
      </c>
      <c r="W2295">
        <v>6.3720730000000003E-2</v>
      </c>
      <c r="X2295">
        <v>0.98148849999999999</v>
      </c>
      <c r="Y2295">
        <v>-0.2350092</v>
      </c>
      <c r="Z2295">
        <v>4.344282E-2</v>
      </c>
      <c r="AA2295">
        <v>0.97102180000000005</v>
      </c>
      <c r="AB2295">
        <v>30</v>
      </c>
      <c r="AC2295">
        <v>1.66329999999999</v>
      </c>
      <c r="AD2295">
        <v>-1.114040348431</v>
      </c>
      <c r="AE2295">
        <v>-24.515499999999999</v>
      </c>
      <c r="AF2295">
        <v>-5.7975593656154096</v>
      </c>
      <c r="AG2295">
        <v>-1.114040348431</v>
      </c>
      <c r="AH2295">
        <v>23.8262475670602</v>
      </c>
      <c r="AI2295">
        <v>92.601230185672506</v>
      </c>
      <c r="AJ2295">
        <v>103.67581522778799</v>
      </c>
      <c r="AK2295">
        <v>24.546748330942101</v>
      </c>
    </row>
    <row r="2296" spans="1:37" x14ac:dyDescent="0.2">
      <c r="A2296" t="str">
        <f>"20200111153441164"</f>
        <v>20200111153441164</v>
      </c>
      <c r="B2296" t="str">
        <f>"1578728081158591"</f>
        <v>1578728081158591</v>
      </c>
      <c r="C2296" t="s">
        <v>37</v>
      </c>
      <c r="D2296">
        <v>4.7225650000000003</v>
      </c>
      <c r="E2296">
        <v>0.468570299999999</v>
      </c>
      <c r="F2296" t="s">
        <v>39</v>
      </c>
      <c r="G2296">
        <v>-487.76130000000001</v>
      </c>
      <c r="H2296" s="1">
        <v>-3.3676300000000001E-6</v>
      </c>
      <c r="I2296">
        <v>246.55709999999999</v>
      </c>
      <c r="J2296">
        <v>-489.66609999999997</v>
      </c>
      <c r="K2296">
        <v>1.1136409999999901</v>
      </c>
      <c r="L2296">
        <v>268.61739999999998</v>
      </c>
      <c r="M2296">
        <v>-0.16455339999999999</v>
      </c>
      <c r="N2296">
        <v>0</v>
      </c>
      <c r="O2296">
        <v>-0.98625030000000002</v>
      </c>
      <c r="P2296">
        <v>1.3229919999999999E-2</v>
      </c>
      <c r="Q2296">
        <v>5.1140999999999999E-2</v>
      </c>
      <c r="R2296">
        <v>-0.99860389999999999</v>
      </c>
      <c r="S2296">
        <v>0.25469969999999997</v>
      </c>
      <c r="T2296">
        <v>-0.1508398</v>
      </c>
      <c r="U2296">
        <v>-3.0098880000000001</v>
      </c>
      <c r="V2296">
        <v>-0.17878540000000001</v>
      </c>
      <c r="W2296">
        <v>6.226069E-2</v>
      </c>
      <c r="X2296">
        <v>0.98191620000000002</v>
      </c>
      <c r="Y2296">
        <v>-0.2470541</v>
      </c>
      <c r="Z2296">
        <v>4.8164459999999999E-2</v>
      </c>
      <c r="AA2296">
        <v>0.967804</v>
      </c>
      <c r="AB2296">
        <v>30</v>
      </c>
      <c r="AC2296">
        <v>1.9047999999999601</v>
      </c>
      <c r="AD2296">
        <v>-1.1136443676300001</v>
      </c>
      <c r="AE2296">
        <v>-22.060299999999899</v>
      </c>
      <c r="AF2296">
        <v>-5.4954464658694198</v>
      </c>
      <c r="AG2296">
        <v>-1.1136443676300001</v>
      </c>
      <c r="AH2296">
        <v>21.391917622530499</v>
      </c>
      <c r="AI2296">
        <v>92.886518561646795</v>
      </c>
      <c r="AJ2296">
        <v>104.40737603093601</v>
      </c>
      <c r="AK2296">
        <v>22.114571558271699</v>
      </c>
    </row>
    <row r="2297" spans="1:37" x14ac:dyDescent="0.2">
      <c r="A2297" t="str">
        <f>"20200111153441176"</f>
        <v>20200111153441176</v>
      </c>
      <c r="B2297" t="str">
        <f>"1578728081168351"</f>
        <v>1578728081168351</v>
      </c>
      <c r="C2297" t="s">
        <v>37</v>
      </c>
      <c r="D2297">
        <v>4.7102329999999997</v>
      </c>
      <c r="E2297">
        <v>0.4672849</v>
      </c>
      <c r="F2297" t="s">
        <v>39</v>
      </c>
      <c r="G2297">
        <v>-487.6782</v>
      </c>
      <c r="H2297" s="1">
        <v>-3.7534439999999999E-6</v>
      </c>
      <c r="I2297">
        <v>247.4221</v>
      </c>
      <c r="J2297">
        <v>-489.68849999999998</v>
      </c>
      <c r="K2297">
        <v>1.1132610000000001</v>
      </c>
      <c r="L2297">
        <v>268.45249999999999</v>
      </c>
      <c r="M2297">
        <v>-0.159408299999999</v>
      </c>
      <c r="N2297">
        <v>0</v>
      </c>
      <c r="O2297">
        <v>-0.98709619999999998</v>
      </c>
      <c r="P2297">
        <v>1.6590489999999999E-2</v>
      </c>
      <c r="Q2297">
        <v>5.0620350000000001E-2</v>
      </c>
      <c r="R2297">
        <v>-0.99858019999999903</v>
      </c>
      <c r="S2297">
        <v>0.28216550000000001</v>
      </c>
      <c r="T2297">
        <v>-0.1580733</v>
      </c>
      <c r="U2297">
        <v>-3.0085139999999999</v>
      </c>
      <c r="V2297">
        <v>-0.17690059999999999</v>
      </c>
      <c r="W2297">
        <v>6.1872820000000002E-2</v>
      </c>
      <c r="X2297">
        <v>0.98228199999999999</v>
      </c>
      <c r="Y2297">
        <v>-0.25079069999999998</v>
      </c>
      <c r="Z2297">
        <v>5.0511670000000002E-2</v>
      </c>
      <c r="AA2297">
        <v>0.96672259999999999</v>
      </c>
      <c r="AB2297">
        <v>30</v>
      </c>
      <c r="AC2297">
        <v>2.0102999999999702</v>
      </c>
      <c r="AD2297">
        <v>-1.1132647534440001</v>
      </c>
      <c r="AE2297">
        <v>-21.030399999999901</v>
      </c>
      <c r="AF2297">
        <v>-5.3226137986061799</v>
      </c>
      <c r="AG2297">
        <v>-1.1132647534440001</v>
      </c>
      <c r="AH2297">
        <v>20.384317064845899</v>
      </c>
      <c r="AI2297">
        <v>93.024815915084901</v>
      </c>
      <c r="AJ2297">
        <v>104.633941806425</v>
      </c>
      <c r="AK2297">
        <v>21.097155217245302</v>
      </c>
    </row>
    <row r="2298" spans="1:37" x14ac:dyDescent="0.2">
      <c r="A2298" t="str">
        <f>"20200111153441194"</f>
        <v>20200111153441194</v>
      </c>
      <c r="B2298" t="str">
        <f>"1578728081187871"</f>
        <v>1578728081187871</v>
      </c>
      <c r="C2298" t="s">
        <v>37</v>
      </c>
      <c r="D2298">
        <v>4.6998949999999997</v>
      </c>
      <c r="E2298">
        <v>0.46593479999999998</v>
      </c>
      <c r="F2298" t="s">
        <v>39</v>
      </c>
      <c r="G2298">
        <v>-487.57389999999998</v>
      </c>
      <c r="H2298" s="1">
        <v>-3.78416999999999E-6</v>
      </c>
      <c r="I2298">
        <v>247.45060000000001</v>
      </c>
      <c r="J2298">
        <v>-489.71820000000002</v>
      </c>
      <c r="K2298">
        <v>1.112768</v>
      </c>
      <c r="L2298">
        <v>268.2242</v>
      </c>
      <c r="M2298">
        <v>-0.1527319</v>
      </c>
      <c r="N2298">
        <v>0</v>
      </c>
      <c r="O2298">
        <v>-0.98815299999999995</v>
      </c>
      <c r="P2298">
        <v>1.8947470000000001E-2</v>
      </c>
      <c r="Q2298">
        <v>5.0866880000000003E-2</v>
      </c>
      <c r="R2298">
        <v>-0.99852580000000002</v>
      </c>
      <c r="S2298">
        <v>0.30279539999999999</v>
      </c>
      <c r="T2298">
        <v>-0.15941150000000001</v>
      </c>
      <c r="U2298">
        <v>-3.0073240000000001</v>
      </c>
      <c r="V2298">
        <v>-0.17249809999999999</v>
      </c>
      <c r="W2298">
        <v>6.2327319999999999E-2</v>
      </c>
      <c r="X2298">
        <v>0.98303600000000002</v>
      </c>
      <c r="Y2298">
        <v>-0.25084919999999999</v>
      </c>
      <c r="Z2298">
        <v>5.1024559999999997E-2</v>
      </c>
      <c r="AA2298">
        <v>0.96668050000000005</v>
      </c>
      <c r="AB2298">
        <v>30</v>
      </c>
      <c r="AC2298">
        <v>2.1443000000000398</v>
      </c>
      <c r="AD2298">
        <v>-1.11277178417</v>
      </c>
      <c r="AE2298">
        <v>-20.773599999999899</v>
      </c>
      <c r="AF2298">
        <v>-5.2773045941838301</v>
      </c>
      <c r="AG2298">
        <v>-1.11277178417</v>
      </c>
      <c r="AH2298">
        <v>20.145086759913401</v>
      </c>
      <c r="AI2298">
        <v>93.058679545306802</v>
      </c>
      <c r="AJ2298">
        <v>104.67961478913401</v>
      </c>
      <c r="AK2298">
        <v>20.8545612609778</v>
      </c>
    </row>
    <row r="2299" spans="1:37" x14ac:dyDescent="0.2">
      <c r="A2299" t="str">
        <f>"20200111153441207"</f>
        <v>20200111153441207</v>
      </c>
      <c r="B2299" t="str">
        <f>"1578728081198607"</f>
        <v>1578728081198607</v>
      </c>
      <c r="C2299" t="s">
        <v>37</v>
      </c>
      <c r="D2299">
        <v>4.6965129999999897</v>
      </c>
      <c r="E2299">
        <v>0.465562799999999</v>
      </c>
      <c r="F2299" t="s">
        <v>39</v>
      </c>
      <c r="G2299">
        <v>-487.44</v>
      </c>
      <c r="H2299" s="1">
        <v>-3.5811389999999999E-6</v>
      </c>
      <c r="I2299">
        <v>246.922</v>
      </c>
      <c r="J2299">
        <v>-489.73899999999998</v>
      </c>
      <c r="K2299">
        <v>1.1124369999999999</v>
      </c>
      <c r="L2299">
        <v>268.05829999999997</v>
      </c>
      <c r="M2299">
        <v>-0.14814229999999901</v>
      </c>
      <c r="N2299">
        <v>0</v>
      </c>
      <c r="O2299">
        <v>-0.98885270000000003</v>
      </c>
      <c r="P2299">
        <v>2.1282200000000001E-2</v>
      </c>
      <c r="Q2299">
        <v>5.1740899999999999E-2</v>
      </c>
      <c r="R2299">
        <v>-0.99843389999999999</v>
      </c>
      <c r="S2299">
        <v>0.32150269999999997</v>
      </c>
      <c r="T2299">
        <v>-0.1570386</v>
      </c>
      <c r="U2299">
        <v>-3.006256</v>
      </c>
      <c r="V2299">
        <v>-0.1701858</v>
      </c>
      <c r="W2299">
        <v>6.3320500000000002E-2</v>
      </c>
      <c r="X2299">
        <v>0.98337540000000001</v>
      </c>
      <c r="Y2299">
        <v>-0.25234410000000002</v>
      </c>
      <c r="Z2299">
        <v>5.0313190000000001E-2</v>
      </c>
      <c r="AA2299">
        <v>0.96632870000000004</v>
      </c>
      <c r="AB2299">
        <v>30</v>
      </c>
      <c r="AC2299">
        <v>2.2990000000000301</v>
      </c>
      <c r="AD2299">
        <v>-1.1124405811389999</v>
      </c>
      <c r="AE2299">
        <v>-21.136299999999899</v>
      </c>
      <c r="AF2299">
        <v>-5.3904010305906302</v>
      </c>
      <c r="AG2299">
        <v>-1.1124405811389999</v>
      </c>
      <c r="AH2299">
        <v>20.5062730476476</v>
      </c>
      <c r="AI2299">
        <v>93.0033492291995</v>
      </c>
      <c r="AJ2299">
        <v>104.72791810147299</v>
      </c>
      <c r="AK2299">
        <v>21.232079069696301</v>
      </c>
    </row>
    <row r="2300" spans="1:37" x14ac:dyDescent="0.2">
      <c r="A2300" t="str">
        <f>"20200111153441220"</f>
        <v>20200111153441220</v>
      </c>
      <c r="B2300" t="str">
        <f>"1578728081208367"</f>
        <v>1578728081208367</v>
      </c>
      <c r="C2300" t="s">
        <v>37</v>
      </c>
      <c r="D2300">
        <v>4.6777049999999996</v>
      </c>
      <c r="E2300">
        <v>0.465279</v>
      </c>
      <c r="F2300" t="s">
        <v>39</v>
      </c>
      <c r="G2300">
        <v>-487.33109999999999</v>
      </c>
      <c r="H2300" s="1">
        <v>-3.3192039999999899E-6</v>
      </c>
      <c r="I2300">
        <v>246.2664</v>
      </c>
      <c r="J2300">
        <v>-489.75909999999999</v>
      </c>
      <c r="K2300">
        <v>1.1121239999999999</v>
      </c>
      <c r="L2300">
        <v>267.89409999999998</v>
      </c>
      <c r="M2300">
        <v>-0.143736</v>
      </c>
      <c r="N2300">
        <v>0</v>
      </c>
      <c r="O2300">
        <v>-0.98950360000000004</v>
      </c>
      <c r="P2300">
        <v>2.3475389999999999E-2</v>
      </c>
      <c r="Q2300">
        <v>5.2565430000000003E-2</v>
      </c>
      <c r="R2300">
        <v>-0.99834149999999999</v>
      </c>
      <c r="S2300">
        <v>0.33209229999999901</v>
      </c>
      <c r="T2300">
        <v>-0.1534296</v>
      </c>
      <c r="U2300">
        <v>-3.005585</v>
      </c>
      <c r="V2300">
        <v>-0.1679194</v>
      </c>
      <c r="W2300">
        <v>6.4257019999999998E-2</v>
      </c>
      <c r="X2300">
        <v>0.98370429999999998</v>
      </c>
      <c r="Y2300">
        <v>-0.25142779999999998</v>
      </c>
      <c r="Z2300">
        <v>4.9217259999999999E-2</v>
      </c>
      <c r="AA2300">
        <v>0.96662389999999998</v>
      </c>
      <c r="AB2300">
        <v>30</v>
      </c>
      <c r="AC2300">
        <v>2.4279999999999902</v>
      </c>
      <c r="AD2300">
        <v>-1.112127319204</v>
      </c>
      <c r="AE2300">
        <v>-21.627699999999901</v>
      </c>
      <c r="AF2300">
        <v>-5.4974520498394597</v>
      </c>
      <c r="AG2300">
        <v>-1.112127319204</v>
      </c>
      <c r="AH2300">
        <v>20.999205063207</v>
      </c>
      <c r="AI2300">
        <v>92.932919850655907</v>
      </c>
      <c r="AJ2300">
        <v>104.67041881348</v>
      </c>
      <c r="AK2300">
        <v>21.735349537125501</v>
      </c>
    </row>
    <row r="2301" spans="1:37" x14ac:dyDescent="0.2">
      <c r="A2301" t="str">
        <f>"20200111153441233"</f>
        <v>20200111153441233</v>
      </c>
      <c r="B2301" t="str">
        <f>"1578728081227886"</f>
        <v>1578728081227886</v>
      </c>
      <c r="C2301" t="s">
        <v>37</v>
      </c>
      <c r="D2301">
        <v>4.7445979999999999</v>
      </c>
      <c r="E2301">
        <v>0.46508189999999999</v>
      </c>
      <c r="F2301" t="s">
        <v>39</v>
      </c>
      <c r="G2301">
        <v>-487.24270000000001</v>
      </c>
      <c r="H2301" s="1">
        <v>-3.1036939999999999E-6</v>
      </c>
      <c r="I2301">
        <v>245.72749999999999</v>
      </c>
      <c r="J2301">
        <v>-489.77960000000002</v>
      </c>
      <c r="K2301">
        <v>1.11182</v>
      </c>
      <c r="L2301">
        <v>267.72000000000003</v>
      </c>
      <c r="M2301">
        <v>-0.13934839999999901</v>
      </c>
      <c r="N2301">
        <v>0</v>
      </c>
      <c r="O2301">
        <v>-0.99013220000000002</v>
      </c>
      <c r="P2301">
        <v>2.550612E-2</v>
      </c>
      <c r="Q2301">
        <v>5.3435749999999997E-2</v>
      </c>
      <c r="R2301">
        <v>-0.99824550000000001</v>
      </c>
      <c r="S2301">
        <v>0.34112550000000003</v>
      </c>
      <c r="T2301">
        <v>-0.15076139999999999</v>
      </c>
      <c r="U2301">
        <v>-3.0049440000000001</v>
      </c>
      <c r="V2301">
        <v>-0.165514299999999</v>
      </c>
      <c r="W2301">
        <v>6.5233429999999995E-2</v>
      </c>
      <c r="X2301">
        <v>0.98404760000000002</v>
      </c>
      <c r="Y2301">
        <v>-0.25003419999999998</v>
      </c>
      <c r="Z2301">
        <v>4.8421829999999999E-2</v>
      </c>
      <c r="AA2301">
        <v>0.96702549999999898</v>
      </c>
      <c r="AB2301">
        <v>30</v>
      </c>
      <c r="AC2301">
        <v>2.5369000000000002</v>
      </c>
      <c r="AD2301">
        <v>-1.1118231036939901</v>
      </c>
      <c r="AE2301">
        <v>-21.9925</v>
      </c>
      <c r="AF2301">
        <v>-5.5630690422014704</v>
      </c>
      <c r="AG2301">
        <v>-1.1118231036939901</v>
      </c>
      <c r="AH2301">
        <v>21.370428203618999</v>
      </c>
      <c r="AI2301">
        <v>92.882310658723696</v>
      </c>
      <c r="AJ2301">
        <v>104.591185613761</v>
      </c>
      <c r="AK2301">
        <v>22.110610335046001</v>
      </c>
    </row>
    <row r="2302" spans="1:37" x14ac:dyDescent="0.2">
      <c r="A2302" t="str">
        <f>"20200111153441249"</f>
        <v>20200111153441249</v>
      </c>
      <c r="B2302" t="str">
        <f>"1578728081238623"</f>
        <v>1578728081238623</v>
      </c>
      <c r="C2302" t="s">
        <v>37</v>
      </c>
      <c r="D2302">
        <v>4.7174709999999997</v>
      </c>
      <c r="E2302">
        <v>0.46507500000000002</v>
      </c>
      <c r="F2302" t="s">
        <v>39</v>
      </c>
      <c r="G2302">
        <v>-487.13909999999998</v>
      </c>
      <c r="H2302" s="1">
        <v>-2.8092669999999899E-6</v>
      </c>
      <c r="I2302">
        <v>244.9983</v>
      </c>
      <c r="J2302">
        <v>-489.80349999999999</v>
      </c>
      <c r="K2302">
        <v>1.111483</v>
      </c>
      <c r="L2302">
        <v>267.51089999999999</v>
      </c>
      <c r="M2302">
        <v>-0.13428950000000001</v>
      </c>
      <c r="N2302">
        <v>0</v>
      </c>
      <c r="O2302">
        <v>-0.9908323</v>
      </c>
      <c r="P2302">
        <v>2.6340160000000001E-2</v>
      </c>
      <c r="Q2302">
        <v>5.4995189999999999E-2</v>
      </c>
      <c r="R2302">
        <v>-0.998138999999999</v>
      </c>
      <c r="S2302">
        <v>0.34912109999999902</v>
      </c>
      <c r="T2302">
        <v>-0.14700439999999901</v>
      </c>
      <c r="U2302">
        <v>-3.0042419999999899</v>
      </c>
      <c r="V2302">
        <v>-0.16126019999999999</v>
      </c>
      <c r="W2302">
        <v>6.6934880000000002E-2</v>
      </c>
      <c r="X2302">
        <v>0.9846395</v>
      </c>
      <c r="Y2302">
        <v>-0.2476603</v>
      </c>
      <c r="Z2302">
        <v>4.7287910000000002E-2</v>
      </c>
      <c r="AA2302">
        <v>0.967692199999999</v>
      </c>
      <c r="AB2302">
        <v>30</v>
      </c>
      <c r="AC2302">
        <v>2.6644000000000001</v>
      </c>
      <c r="AD2302">
        <v>-1.1114858092669999</v>
      </c>
      <c r="AE2302">
        <v>-22.5125999999999</v>
      </c>
      <c r="AF2302">
        <v>-5.6502133474232004</v>
      </c>
      <c r="AG2302">
        <v>-1.1114858092669999</v>
      </c>
      <c r="AH2302">
        <v>21.8981587055051</v>
      </c>
      <c r="AI2302">
        <v>92.813674424879295</v>
      </c>
      <c r="AJ2302">
        <v>104.46802647653401</v>
      </c>
      <c r="AK2302">
        <v>22.642651484909901</v>
      </c>
    </row>
    <row r="2303" spans="1:37" x14ac:dyDescent="0.2">
      <c r="A2303" t="str">
        <f>"20200111153441261"</f>
        <v>20200111153441261</v>
      </c>
      <c r="B2303" t="str">
        <f>"1578728081258143"</f>
        <v>1578728081258143</v>
      </c>
      <c r="C2303" t="s">
        <v>37</v>
      </c>
      <c r="D2303">
        <v>4.6861280000000001</v>
      </c>
      <c r="E2303">
        <v>0.46508179999999999</v>
      </c>
      <c r="F2303" t="s">
        <v>39</v>
      </c>
      <c r="G2303">
        <v>-487.02910000000003</v>
      </c>
      <c r="H2303" s="1">
        <v>-2.3357130000000001E-6</v>
      </c>
      <c r="I2303">
        <v>243.84889999999999</v>
      </c>
      <c r="J2303">
        <v>-489.82049999999998</v>
      </c>
      <c r="K2303">
        <v>1.1112469999999901</v>
      </c>
      <c r="L2303">
        <v>267.35789999999997</v>
      </c>
      <c r="M2303">
        <v>-0.13071089999999999</v>
      </c>
      <c r="N2303">
        <v>0</v>
      </c>
      <c r="O2303">
        <v>-0.99131159999999996</v>
      </c>
      <c r="P2303">
        <v>2.7721289999999999E-2</v>
      </c>
      <c r="Q2303">
        <v>5.5514069999999999E-2</v>
      </c>
      <c r="R2303">
        <v>-0.99807309999999905</v>
      </c>
      <c r="S2303">
        <v>0.35223389999999999</v>
      </c>
      <c r="T2303">
        <v>-0.14111279999999901</v>
      </c>
      <c r="U2303">
        <v>-3.004089</v>
      </c>
      <c r="V2303">
        <v>-0.15902739999999899</v>
      </c>
      <c r="W2303">
        <v>6.7534319999999995E-2</v>
      </c>
      <c r="X2303">
        <v>0.98496159999999999</v>
      </c>
      <c r="Y2303">
        <v>-0.24516650000000001</v>
      </c>
      <c r="Z2303">
        <v>4.5445010000000001E-2</v>
      </c>
      <c r="AA2303">
        <v>0.96841529999999998</v>
      </c>
      <c r="AB2303">
        <v>30</v>
      </c>
      <c r="AC2303">
        <v>2.7913999999999501</v>
      </c>
      <c r="AD2303">
        <v>-1.11124933571299</v>
      </c>
      <c r="AE2303">
        <v>-23.508999999999901</v>
      </c>
      <c r="AF2303">
        <v>-5.8278200303947996</v>
      </c>
      <c r="AG2303">
        <v>-1.11124933571299</v>
      </c>
      <c r="AH2303">
        <v>22.891917721887399</v>
      </c>
      <c r="AI2303">
        <v>92.693367835417604</v>
      </c>
      <c r="AJ2303">
        <v>104.282944284111</v>
      </c>
      <c r="AK2303">
        <v>23.648218926136</v>
      </c>
    </row>
    <row r="2304" spans="1:37" x14ac:dyDescent="0.2">
      <c r="A2304" t="str">
        <f>"20200111153441272"</f>
        <v>20200111153441272</v>
      </c>
      <c r="B2304" t="str">
        <f>"1578728081267902"</f>
        <v>1578728081267902</v>
      </c>
      <c r="C2304" t="s">
        <v>37</v>
      </c>
      <c r="D2304">
        <v>4.7209750000000001</v>
      </c>
      <c r="E2304">
        <v>0.46509040000000001</v>
      </c>
      <c r="F2304" t="s">
        <v>39</v>
      </c>
      <c r="G2304">
        <v>-486.95010000000002</v>
      </c>
      <c r="H2304" s="1">
        <v>-2.0659960000000001E-6</v>
      </c>
      <c r="I2304">
        <v>243.1876</v>
      </c>
      <c r="J2304">
        <v>-489.83679999999998</v>
      </c>
      <c r="K2304">
        <v>1.111022</v>
      </c>
      <c r="L2304">
        <v>267.20639999999997</v>
      </c>
      <c r="M2304">
        <v>-0.12733659999999999</v>
      </c>
      <c r="N2304">
        <v>0</v>
      </c>
      <c r="O2304">
        <v>-0.99175139999999995</v>
      </c>
      <c r="P2304">
        <v>2.9007249999999998E-2</v>
      </c>
      <c r="Q2304">
        <v>5.5839819999999998E-2</v>
      </c>
      <c r="R2304">
        <v>-0.99801819999999897</v>
      </c>
      <c r="S2304">
        <v>0.35668949999999999</v>
      </c>
      <c r="T2304">
        <v>-0.1380914</v>
      </c>
      <c r="U2304">
        <v>-3.003571</v>
      </c>
      <c r="V2304">
        <v>-0.15690509999999999</v>
      </c>
      <c r="W2304">
        <v>6.7933480000000004E-2</v>
      </c>
      <c r="X2304">
        <v>0.98527450000000005</v>
      </c>
      <c r="Y2304">
        <v>-0.2433081</v>
      </c>
      <c r="Z2304">
        <v>4.4518759999999998E-2</v>
      </c>
      <c r="AA2304">
        <v>0.96892679999999998</v>
      </c>
      <c r="AB2304">
        <v>30</v>
      </c>
      <c r="AC2304">
        <v>2.8866999999999599</v>
      </c>
      <c r="AD2304">
        <v>-1.111024065996</v>
      </c>
      <c r="AE2304">
        <v>-24.018799999999899</v>
      </c>
      <c r="AF2304">
        <v>-5.9095320773186</v>
      </c>
      <c r="AG2304">
        <v>-1.111024065996</v>
      </c>
      <c r="AH2304">
        <v>23.406244053591401</v>
      </c>
      <c r="AI2304">
        <v>92.635053034315106</v>
      </c>
      <c r="AJ2304">
        <v>104.16972446238699</v>
      </c>
      <c r="AK2304">
        <v>24.166282389816601</v>
      </c>
    </row>
    <row r="2305" spans="1:37" x14ac:dyDescent="0.2">
      <c r="A2305" t="str">
        <f>"20200111153441285"</f>
        <v>20200111153441285</v>
      </c>
      <c r="B2305" t="str">
        <f>"1578728081278638"</f>
        <v>1578728081278638</v>
      </c>
      <c r="C2305" t="s">
        <v>37</v>
      </c>
      <c r="D2305">
        <v>4.7085489999999997</v>
      </c>
      <c r="E2305">
        <v>0.46522449999999999</v>
      </c>
      <c r="F2305" t="s">
        <v>39</v>
      </c>
      <c r="G2305">
        <v>-486.90609999999998</v>
      </c>
      <c r="H2305" s="1">
        <v>-1.9106340000000001E-6</v>
      </c>
      <c r="I2305">
        <v>242.80719999999999</v>
      </c>
      <c r="J2305">
        <v>-489.85419999999999</v>
      </c>
      <c r="K2305">
        <v>1.1107799999999901</v>
      </c>
      <c r="L2305">
        <v>267.04059999999998</v>
      </c>
      <c r="M2305">
        <v>-0.12375419999999999</v>
      </c>
      <c r="N2305">
        <v>0</v>
      </c>
      <c r="O2305">
        <v>-0.99220569999999897</v>
      </c>
      <c r="P2305">
        <v>3.0208889999999999E-2</v>
      </c>
      <c r="Q2305">
        <v>5.5854290000000001E-2</v>
      </c>
      <c r="R2305">
        <v>-0.99798189999999998</v>
      </c>
      <c r="S2305">
        <v>0.36071779999999998</v>
      </c>
      <c r="T2305">
        <v>-0.13674749999999999</v>
      </c>
      <c r="U2305">
        <v>-3.0031129999999999</v>
      </c>
      <c r="V2305">
        <v>-0.154488299999999</v>
      </c>
      <c r="W2305">
        <v>6.8026240000000002E-2</v>
      </c>
      <c r="X2305">
        <v>0.98564989999999997</v>
      </c>
      <c r="Y2305">
        <v>-0.2411056</v>
      </c>
      <c r="Z2305">
        <v>4.4132940000000002E-2</v>
      </c>
      <c r="AA2305">
        <v>0.96949490000000005</v>
      </c>
      <c r="AB2305">
        <v>30</v>
      </c>
      <c r="AC2305">
        <v>2.9481000000000099</v>
      </c>
      <c r="AD2305">
        <v>-1.11078191063399</v>
      </c>
      <c r="AE2305">
        <v>-24.2333999999999</v>
      </c>
      <c r="AF2305">
        <v>-5.91249585282055</v>
      </c>
      <c r="AG2305">
        <v>-1.11078191063399</v>
      </c>
      <c r="AH2305">
        <v>23.633267473155499</v>
      </c>
      <c r="AI2305">
        <v>92.610624609939293</v>
      </c>
      <c r="AJ2305">
        <v>104.045778510009</v>
      </c>
      <c r="AK2305">
        <v>24.3869386172254</v>
      </c>
    </row>
    <row r="2306" spans="1:37" x14ac:dyDescent="0.2">
      <c r="A2306" t="str">
        <f>"20200111153441298"</f>
        <v>20200111153441298</v>
      </c>
      <c r="B2306" t="str">
        <f>"1578728081288399"</f>
        <v>1578728081288399</v>
      </c>
      <c r="C2306" t="s">
        <v>37</v>
      </c>
      <c r="D2306">
        <v>4.6974720000000003</v>
      </c>
      <c r="E2306">
        <v>0.46530450000000001</v>
      </c>
      <c r="F2306" t="s">
        <v>39</v>
      </c>
      <c r="G2306">
        <v>-486.89659999999998</v>
      </c>
      <c r="H2306" s="1">
        <v>-1.822863E-6</v>
      </c>
      <c r="I2306">
        <v>242.57820000000001</v>
      </c>
      <c r="J2306">
        <v>-489.87119999999999</v>
      </c>
      <c r="K2306">
        <v>1.11054599999999</v>
      </c>
      <c r="L2306">
        <v>266.87549999999999</v>
      </c>
      <c r="M2306">
        <v>-0.120282</v>
      </c>
      <c r="N2306">
        <v>0</v>
      </c>
      <c r="O2306">
        <v>-0.99263380000000001</v>
      </c>
      <c r="P2306">
        <v>3.1684070000000002E-2</v>
      </c>
      <c r="Q2306">
        <v>5.5527399999999998E-2</v>
      </c>
      <c r="R2306">
        <v>-0.99795449999999997</v>
      </c>
      <c r="S2306">
        <v>0.363037099999999</v>
      </c>
      <c r="T2306">
        <v>-0.13634760000000001</v>
      </c>
      <c r="U2306">
        <v>-3.0027469999999998</v>
      </c>
      <c r="V2306">
        <v>-0.15245129999999901</v>
      </c>
      <c r="W2306">
        <v>6.7768869999999995E-2</v>
      </c>
      <c r="X2306">
        <v>0.98598469999999905</v>
      </c>
      <c r="Y2306">
        <v>-0.2384619</v>
      </c>
      <c r="Z2306">
        <v>4.4051229999999997E-2</v>
      </c>
      <c r="AA2306">
        <v>0.97015229999999997</v>
      </c>
      <c r="AB2306">
        <v>29</v>
      </c>
      <c r="AC2306">
        <v>2.9746000000000001</v>
      </c>
      <c r="AD2306">
        <v>-1.1105478228629999</v>
      </c>
      <c r="AE2306">
        <v>-24.2972999999999</v>
      </c>
      <c r="AF2306">
        <v>-5.8637653690685898</v>
      </c>
      <c r="AG2306">
        <v>-1.1105478228629999</v>
      </c>
      <c r="AH2306">
        <v>23.714220412642099</v>
      </c>
      <c r="AI2306">
        <v>92.6029479959453</v>
      </c>
      <c r="AJ2306">
        <v>103.888819072358</v>
      </c>
      <c r="AK2306">
        <v>24.453656384060999</v>
      </c>
    </row>
    <row r="2307" spans="1:37" x14ac:dyDescent="0.2">
      <c r="A2307" t="str">
        <f>"20200111153441310"</f>
        <v>20200111153441310</v>
      </c>
      <c r="B2307" t="str">
        <f>"1578728081307919"</f>
        <v>1578728081307919</v>
      </c>
      <c r="C2307" t="s">
        <v>37</v>
      </c>
      <c r="D2307">
        <v>4.9767409999999996</v>
      </c>
      <c r="E2307">
        <v>0.4656132</v>
      </c>
      <c r="F2307" t="s">
        <v>39</v>
      </c>
      <c r="G2307">
        <v>-486.86660000000001</v>
      </c>
      <c r="H2307" s="1">
        <v>-1.7390359999999999E-6</v>
      </c>
      <c r="I2307">
        <v>242.3083</v>
      </c>
      <c r="J2307">
        <v>-489.88670000000002</v>
      </c>
      <c r="K2307">
        <v>1.1103270000000001</v>
      </c>
      <c r="L2307">
        <v>266.7176</v>
      </c>
      <c r="M2307">
        <v>-0.11714089999999901</v>
      </c>
      <c r="N2307">
        <v>0</v>
      </c>
      <c r="O2307">
        <v>-0.99300959999999905</v>
      </c>
      <c r="P2307">
        <v>3.2721720000000003E-2</v>
      </c>
      <c r="Q2307">
        <v>5.5112969999999997E-2</v>
      </c>
      <c r="R2307">
        <v>-0.99794369999999999</v>
      </c>
      <c r="S2307">
        <v>0.36715700000000001</v>
      </c>
      <c r="T2307">
        <v>-0.13570769999999999</v>
      </c>
      <c r="U2307">
        <v>-3.002075</v>
      </c>
      <c r="V2307">
        <v>-0.15031439999999999</v>
      </c>
      <c r="W2307">
        <v>6.7420149999999998E-2</v>
      </c>
      <c r="X2307">
        <v>0.98633669999999996</v>
      </c>
      <c r="Y2307">
        <v>-0.23672789999999999</v>
      </c>
      <c r="Z2307">
        <v>4.3885970000000003E-2</v>
      </c>
      <c r="AA2307">
        <v>0.97058429999999996</v>
      </c>
      <c r="AB2307">
        <v>29</v>
      </c>
      <c r="AC2307">
        <v>3.02010000000001</v>
      </c>
      <c r="AD2307">
        <v>-1.1103287390359999</v>
      </c>
      <c r="AE2307">
        <v>-24.409300000000002</v>
      </c>
      <c r="AF2307">
        <v>-5.8470147683713796</v>
      </c>
      <c r="AG2307">
        <v>-1.1103287390359999</v>
      </c>
      <c r="AH2307">
        <v>23.838817208620899</v>
      </c>
      <c r="AI2307">
        <v>92.590049644031595</v>
      </c>
      <c r="AJ2307">
        <v>103.78104796223801</v>
      </c>
      <c r="AK2307">
        <v>24.570502996811499</v>
      </c>
    </row>
    <row r="2308" spans="1:37" x14ac:dyDescent="0.2">
      <c r="A2308" t="str">
        <f>"20200111153441328"</f>
        <v>20200111153441328</v>
      </c>
      <c r="B2308" t="str">
        <f>"1578728081318657"</f>
        <v>1578728081318657</v>
      </c>
      <c r="C2308" t="s">
        <v>37</v>
      </c>
      <c r="D2308">
        <v>4.8643890000000001</v>
      </c>
      <c r="E2308">
        <v>0.50680829999999999</v>
      </c>
      <c r="F2308" t="s">
        <v>39</v>
      </c>
      <c r="G2308">
        <v>-486.85419999999999</v>
      </c>
      <c r="H2308" s="1">
        <v>-1.6284689999999999E-6</v>
      </c>
      <c r="I2308">
        <v>241.97380000000001</v>
      </c>
      <c r="J2308">
        <v>-489.90870000000001</v>
      </c>
      <c r="K2308">
        <v>1.110009</v>
      </c>
      <c r="L2308">
        <v>266.49</v>
      </c>
      <c r="M2308">
        <v>-0.112765</v>
      </c>
      <c r="N2308">
        <v>0</v>
      </c>
      <c r="O2308">
        <v>-0.99351730000000005</v>
      </c>
      <c r="P2308">
        <v>3.3496539999999998E-2</v>
      </c>
      <c r="Q2308">
        <v>5.3440939999999999E-2</v>
      </c>
      <c r="R2308">
        <v>-0.99800909999999998</v>
      </c>
      <c r="S2308">
        <v>0.36785889999999999</v>
      </c>
      <c r="T2308">
        <v>-0.13469039999999999</v>
      </c>
      <c r="U2308">
        <v>-3.0015869999999998</v>
      </c>
      <c r="V2308">
        <v>-0.14666689999999999</v>
      </c>
      <c r="W2308">
        <v>6.5849610000000003E-2</v>
      </c>
      <c r="X2308">
        <v>0.98699169999999903</v>
      </c>
      <c r="Y2308">
        <v>-0.232689799999999</v>
      </c>
      <c r="Z2308">
        <v>4.3619890000000001E-2</v>
      </c>
      <c r="AA2308">
        <v>0.97157229999999895</v>
      </c>
      <c r="AB2308">
        <v>29</v>
      </c>
      <c r="AC2308">
        <v>3.0545000000000102</v>
      </c>
      <c r="AD2308">
        <v>-1.1100106284689999</v>
      </c>
      <c r="AE2308">
        <v>-24.516200000000001</v>
      </c>
      <c r="AF2308">
        <v>-5.7881852039844297</v>
      </c>
      <c r="AG2308">
        <v>-1.1100106284689999</v>
      </c>
      <c r="AH2308">
        <v>23.9669384599278</v>
      </c>
      <c r="AI2308">
        <v>92.577711998745798</v>
      </c>
      <c r="AJ2308">
        <v>103.57735152674999</v>
      </c>
      <c r="AK2308">
        <v>24.6809511707492</v>
      </c>
    </row>
    <row r="2309" spans="1:37" x14ac:dyDescent="0.2">
      <c r="A2309" t="str">
        <f>"20200111153441342"</f>
        <v>20200111153441342</v>
      </c>
      <c r="B2309" t="str">
        <f>"1578728081338174"</f>
        <v>1578728081338174</v>
      </c>
      <c r="C2309" t="s">
        <v>37</v>
      </c>
      <c r="D2309">
        <v>4.8118540000000003</v>
      </c>
      <c r="E2309">
        <v>0.51776529999999998</v>
      </c>
      <c r="F2309" t="s">
        <v>39</v>
      </c>
      <c r="G2309">
        <v>-489.63279999999997</v>
      </c>
      <c r="H2309" s="1">
        <v>-2.9362439999999999E-6</v>
      </c>
      <c r="I2309">
        <v>246.3254</v>
      </c>
      <c r="J2309">
        <v>-489.9248</v>
      </c>
      <c r="K2309">
        <v>1.109775</v>
      </c>
      <c r="L2309">
        <v>266.31760000000003</v>
      </c>
      <c r="M2309">
        <v>-0.10957939999999999</v>
      </c>
      <c r="N2309">
        <v>0</v>
      </c>
      <c r="O2309">
        <v>-0.99387449999999999</v>
      </c>
      <c r="P2309">
        <v>3.4994049999999999E-2</v>
      </c>
      <c r="Q2309">
        <v>5.2514119999999997E-2</v>
      </c>
      <c r="R2309">
        <v>-0.99800730000000004</v>
      </c>
      <c r="S2309">
        <v>4.1229250000000002E-2</v>
      </c>
      <c r="T2309">
        <v>-0.16588510000000001</v>
      </c>
      <c r="U2309">
        <v>-3.0134889999999999</v>
      </c>
      <c r="V2309">
        <v>-0.14493780000000001</v>
      </c>
      <c r="W2309">
        <v>6.4982189999999995E-2</v>
      </c>
      <c r="X2309">
        <v>0.98730459999999998</v>
      </c>
      <c r="Y2309">
        <v>-0.123157399999999</v>
      </c>
      <c r="Z2309">
        <v>5.4256060000000002E-2</v>
      </c>
      <c r="AA2309">
        <v>0.99090290000000003</v>
      </c>
      <c r="AB2309">
        <v>29</v>
      </c>
      <c r="AC2309">
        <v>0.29200000000003001</v>
      </c>
      <c r="AD2309">
        <v>-1.1097779362439999</v>
      </c>
      <c r="AE2309">
        <v>-19.9922</v>
      </c>
      <c r="AF2309">
        <v>-2.4735794912573099</v>
      </c>
      <c r="AG2309">
        <v>-1.1097779362439999</v>
      </c>
      <c r="AH2309">
        <v>19.778848588766301</v>
      </c>
      <c r="AI2309">
        <v>93.186688240037597</v>
      </c>
      <c r="AJ2309">
        <v>97.128505820621001</v>
      </c>
      <c r="AK2309">
        <v>19.9637935789941</v>
      </c>
    </row>
    <row r="2310" spans="1:37" x14ac:dyDescent="0.2">
      <c r="A2310" t="str">
        <f>"20200111153441354"</f>
        <v>20200111153441354</v>
      </c>
      <c r="B2310" t="str">
        <f>"1578728081347935"</f>
        <v>1578728081347935</v>
      </c>
      <c r="C2310" t="s">
        <v>37</v>
      </c>
      <c r="D2310">
        <v>4.7731029999999999</v>
      </c>
      <c r="E2310">
        <v>0.51924759999999903</v>
      </c>
      <c r="F2310" t="s">
        <v>39</v>
      </c>
      <c r="G2310">
        <v>-490.20209999999997</v>
      </c>
      <c r="H2310" s="1">
        <v>-2.9395960000000001E-6</v>
      </c>
      <c r="I2310">
        <v>246.31610000000001</v>
      </c>
      <c r="J2310">
        <v>-489.94110000000001</v>
      </c>
      <c r="K2310">
        <v>1.109545</v>
      </c>
      <c r="L2310">
        <v>266.13819999999998</v>
      </c>
      <c r="M2310">
        <v>-0.106418899999999</v>
      </c>
      <c r="N2310">
        <v>0</v>
      </c>
      <c r="O2310">
        <v>-0.9942183</v>
      </c>
      <c r="P2310">
        <v>3.6892889999999998E-2</v>
      </c>
      <c r="Q2310">
        <v>5.1534190000000001E-2</v>
      </c>
      <c r="R2310">
        <v>-0.99798949999999997</v>
      </c>
      <c r="S2310">
        <v>-4.1809079999999998E-2</v>
      </c>
      <c r="T2310">
        <v>-0.16735659999999999</v>
      </c>
      <c r="U2310">
        <v>-3.0162659999999999</v>
      </c>
      <c r="V2310">
        <v>-0.1436328</v>
      </c>
      <c r="W2310">
        <v>6.4053360000000004E-2</v>
      </c>
      <c r="X2310">
        <v>0.98755599999999999</v>
      </c>
      <c r="Y2310">
        <v>-9.2659030000000003E-2</v>
      </c>
      <c r="Z2310">
        <v>5.4806109999999998E-2</v>
      </c>
      <c r="AA2310">
        <v>0.99418839999999997</v>
      </c>
      <c r="AB2310">
        <v>29</v>
      </c>
      <c r="AC2310">
        <v>-0.26099999999996698</v>
      </c>
      <c r="AD2310">
        <v>-1.109547939596</v>
      </c>
      <c r="AE2310">
        <v>-19.822099999999899</v>
      </c>
      <c r="AF2310">
        <v>-1.8443669101767199</v>
      </c>
      <c r="AG2310">
        <v>-1.109547939596</v>
      </c>
      <c r="AH2310">
        <v>19.6756552278984</v>
      </c>
      <c r="AI2310">
        <v>93.213542539930401</v>
      </c>
      <c r="AJ2310">
        <v>95.355173332183099</v>
      </c>
      <c r="AK2310">
        <v>19.793033991198602</v>
      </c>
    </row>
    <row r="2311" spans="1:37" x14ac:dyDescent="0.2">
      <c r="A2311" t="str">
        <f>"20200111153441367"</f>
        <v>20200111153441367</v>
      </c>
      <c r="B2311" t="str">
        <f>"1578728081358670"</f>
        <v>1578728081358670</v>
      </c>
      <c r="C2311" t="s">
        <v>37</v>
      </c>
      <c r="D2311">
        <v>4.7661439999999997</v>
      </c>
      <c r="E2311">
        <v>0.52039120000000005</v>
      </c>
      <c r="F2311" t="s">
        <v>39</v>
      </c>
      <c r="G2311">
        <v>-490.25839999999999</v>
      </c>
      <c r="H2311" s="1">
        <v>-2.87689399999999E-6</v>
      </c>
      <c r="I2311">
        <v>246.13489999999999</v>
      </c>
      <c r="J2311">
        <v>-489.9554</v>
      </c>
      <c r="K2311">
        <v>1.1093489999999999</v>
      </c>
      <c r="L2311">
        <v>265.97699999999998</v>
      </c>
      <c r="M2311">
        <v>-0.1036849</v>
      </c>
      <c r="N2311">
        <v>0</v>
      </c>
      <c r="O2311">
        <v>-0.9945079</v>
      </c>
      <c r="P2311">
        <v>3.8277690000000003E-2</v>
      </c>
      <c r="Q2311">
        <v>5.0413289999999999E-2</v>
      </c>
      <c r="R2311">
        <v>-0.99799470000000001</v>
      </c>
      <c r="S2311">
        <v>-4.7851560000000001E-2</v>
      </c>
      <c r="T2311">
        <v>-0.16731949999999901</v>
      </c>
      <c r="U2311">
        <v>-3.0164789999999999</v>
      </c>
      <c r="V2311">
        <v>-0.14224999999999999</v>
      </c>
      <c r="W2311">
        <v>6.2975980000000001E-2</v>
      </c>
      <c r="X2311">
        <v>0.98782539999999996</v>
      </c>
      <c r="Y2311">
        <v>-8.7930209999999995E-2</v>
      </c>
      <c r="Z2311">
        <v>5.4825190000000003E-2</v>
      </c>
      <c r="AA2311">
        <v>0.99461669999999902</v>
      </c>
      <c r="AB2311">
        <v>29</v>
      </c>
      <c r="AC2311">
        <v>-0.30299999999999699</v>
      </c>
      <c r="AD2311">
        <v>-1.1093518768939901</v>
      </c>
      <c r="AE2311">
        <v>-19.842099999999999</v>
      </c>
      <c r="AF2311">
        <v>-1.75069785770177</v>
      </c>
      <c r="AG2311">
        <v>-1.1093518768939901</v>
      </c>
      <c r="AH2311">
        <v>19.704973106626401</v>
      </c>
      <c r="AI2311">
        <v>93.209624056046295</v>
      </c>
      <c r="AJ2311">
        <v>95.077140385556305</v>
      </c>
      <c r="AK2311">
        <v>19.813671282944998</v>
      </c>
    </row>
    <row r="2312" spans="1:37" x14ac:dyDescent="0.2">
      <c r="A2312" t="str">
        <f>"20200111153441385"</f>
        <v>20200111153441385</v>
      </c>
      <c r="B2312" t="str">
        <f>"1578728081378190"</f>
        <v>1578728081378190</v>
      </c>
      <c r="C2312" t="s">
        <v>37</v>
      </c>
      <c r="D2312">
        <v>4.7817220000000002</v>
      </c>
      <c r="E2312">
        <v>0.52124349999999997</v>
      </c>
      <c r="F2312" t="s">
        <v>39</v>
      </c>
      <c r="G2312">
        <v>-490.3109</v>
      </c>
      <c r="H2312" s="1">
        <v>-2.7575689999999999E-6</v>
      </c>
      <c r="I2312">
        <v>245.82419999999999</v>
      </c>
      <c r="J2312">
        <v>-489.9742</v>
      </c>
      <c r="K2312">
        <v>1.1091059999999999</v>
      </c>
      <c r="L2312">
        <v>265.75850000000003</v>
      </c>
      <c r="M2312">
        <v>-0.100106</v>
      </c>
      <c r="N2312">
        <v>0</v>
      </c>
      <c r="O2312">
        <v>-0.99487549999999902</v>
      </c>
      <c r="P2312">
        <v>4.0344989999999997E-2</v>
      </c>
      <c r="Q2312">
        <v>4.8906699999999997E-2</v>
      </c>
      <c r="R2312">
        <v>-0.99798849999999995</v>
      </c>
      <c r="S2312">
        <v>-5.3222659999999998E-2</v>
      </c>
      <c r="T2312">
        <v>-0.16604849999999999</v>
      </c>
      <c r="U2312">
        <v>-3.0164789999999999</v>
      </c>
      <c r="V2312">
        <v>-0.1406946</v>
      </c>
      <c r="W2312">
        <v>6.1518730000000001E-2</v>
      </c>
      <c r="X2312">
        <v>0.98813989999999996</v>
      </c>
      <c r="Y2312">
        <v>-8.2573939999999998E-2</v>
      </c>
      <c r="Z2312">
        <v>5.4451979999999997E-2</v>
      </c>
      <c r="AA2312">
        <v>0.99509629999999905</v>
      </c>
      <c r="AB2312">
        <v>29</v>
      </c>
      <c r="AC2312">
        <v>-0.33670000000000699</v>
      </c>
      <c r="AD2312">
        <v>-1.109108757569</v>
      </c>
      <c r="AE2312">
        <v>-19.9343</v>
      </c>
      <c r="AF2312">
        <v>-1.6556121376469599</v>
      </c>
      <c r="AG2312">
        <v>-1.109108757569</v>
      </c>
      <c r="AH2312">
        <v>19.806558537339399</v>
      </c>
      <c r="AI2312">
        <v>93.193931562684895</v>
      </c>
      <c r="AJ2312">
        <v>94.778193908348698</v>
      </c>
      <c r="AK2312">
        <v>19.906555073128398</v>
      </c>
    </row>
    <row r="2313" spans="1:37" x14ac:dyDescent="0.2">
      <c r="A2313" t="str">
        <f>"20200111153441396"</f>
        <v>20200111153441396</v>
      </c>
      <c r="B2313" t="str">
        <f>"1578728081387951"</f>
        <v>1578728081387951</v>
      </c>
      <c r="C2313" t="s">
        <v>37</v>
      </c>
      <c r="D2313">
        <v>4.7849320000000004</v>
      </c>
      <c r="E2313">
        <v>0.52143079999999997</v>
      </c>
      <c r="F2313" t="s">
        <v>39</v>
      </c>
      <c r="G2313">
        <v>-490.33769999999998</v>
      </c>
      <c r="H2313" s="1">
        <v>-2.6588179999999999E-6</v>
      </c>
      <c r="I2313">
        <v>245.57740000000001</v>
      </c>
      <c r="J2313">
        <v>-489.98849999999999</v>
      </c>
      <c r="K2313">
        <v>1.1089340000000001</v>
      </c>
      <c r="L2313">
        <v>265.5881</v>
      </c>
      <c r="M2313">
        <v>-9.7419000000000006E-2</v>
      </c>
      <c r="N2313">
        <v>0</v>
      </c>
      <c r="O2313">
        <v>-0.99514259999999999</v>
      </c>
      <c r="P2313">
        <v>4.2398480000000002E-2</v>
      </c>
      <c r="Q2313">
        <v>4.8615690000000003E-2</v>
      </c>
      <c r="R2313">
        <v>-0.99791730000000001</v>
      </c>
      <c r="S2313">
        <v>-5.4321290000000001E-2</v>
      </c>
      <c r="T2313">
        <v>-0.1657727</v>
      </c>
      <c r="U2313">
        <v>-3.0163570000000002</v>
      </c>
      <c r="V2313">
        <v>-0.14003109999999999</v>
      </c>
      <c r="W2313">
        <v>6.125125E-2</v>
      </c>
      <c r="X2313">
        <v>0.98825079999999998</v>
      </c>
      <c r="Y2313">
        <v>-7.9519229999999996E-2</v>
      </c>
      <c r="Z2313">
        <v>5.4392580000000003E-2</v>
      </c>
      <c r="AA2313">
        <v>0.99534829999999996</v>
      </c>
      <c r="AB2313">
        <v>29</v>
      </c>
      <c r="AC2313">
        <v>-0.34919999999999601</v>
      </c>
      <c r="AD2313">
        <v>-1.1089366588180001</v>
      </c>
      <c r="AE2313">
        <v>-20.0106999999999</v>
      </c>
      <c r="AF2313">
        <v>-1.59717586282326</v>
      </c>
      <c r="AG2313">
        <v>-1.1089366588180001</v>
      </c>
      <c r="AH2313">
        <v>19.888461065827698</v>
      </c>
      <c r="AI2313">
        <v>93.181161297489496</v>
      </c>
      <c r="AJ2313">
        <v>94.591379371288596</v>
      </c>
      <c r="AK2313">
        <v>19.983282883875798</v>
      </c>
    </row>
    <row r="2314" spans="1:37" x14ac:dyDescent="0.2">
      <c r="A2314" t="str">
        <f>"20200111153441409"</f>
        <v>20200111153441409</v>
      </c>
      <c r="B2314" t="str">
        <f>"1578728081398687"</f>
        <v>1578728081398687</v>
      </c>
      <c r="C2314" t="s">
        <v>37</v>
      </c>
      <c r="D2314">
        <v>4.7937659999999997</v>
      </c>
      <c r="E2314">
        <v>0.52156190000000002</v>
      </c>
      <c r="F2314" t="s">
        <v>39</v>
      </c>
      <c r="G2314">
        <v>-490.31830000000002</v>
      </c>
      <c r="H2314" s="1">
        <v>-2.5893049999999999E-6</v>
      </c>
      <c r="I2314">
        <v>245.42740000000001</v>
      </c>
      <c r="J2314">
        <v>-490.00069999999999</v>
      </c>
      <c r="K2314">
        <v>1.1088009999999999</v>
      </c>
      <c r="L2314">
        <v>265.43819999999999</v>
      </c>
      <c r="M2314">
        <v>-9.5162339999999998E-2</v>
      </c>
      <c r="N2314">
        <v>0</v>
      </c>
      <c r="O2314">
        <v>-0.99536170000000002</v>
      </c>
      <c r="P2314">
        <v>4.3810000000000002E-2</v>
      </c>
      <c r="Q2314">
        <v>4.8544339999999998E-2</v>
      </c>
      <c r="R2314">
        <v>-0.99785999999999997</v>
      </c>
      <c r="S2314">
        <v>-4.9346920000000002E-2</v>
      </c>
      <c r="T2314">
        <v>-0.1659195</v>
      </c>
      <c r="U2314">
        <v>-3.0164490000000002</v>
      </c>
      <c r="V2314">
        <v>-0.13916629999999899</v>
      </c>
      <c r="W2314">
        <v>6.1194129999999999E-2</v>
      </c>
      <c r="X2314">
        <v>0.98837640000000004</v>
      </c>
      <c r="Y2314">
        <v>-7.8900419999999999E-2</v>
      </c>
      <c r="Z2314">
        <v>5.445904E-2</v>
      </c>
      <c r="AA2314">
        <v>0.99539390000000005</v>
      </c>
      <c r="AB2314">
        <v>29</v>
      </c>
      <c r="AC2314">
        <v>-0.31760000000002703</v>
      </c>
      <c r="AD2314">
        <v>-1.1088035893049999</v>
      </c>
      <c r="AE2314">
        <v>-20.0107999999999</v>
      </c>
      <c r="AF2314">
        <v>-1.58344546956309</v>
      </c>
      <c r="AG2314">
        <v>-1.1088035893049999</v>
      </c>
      <c r="AH2314">
        <v>19.889144559835401</v>
      </c>
      <c r="AI2314">
        <v>93.180846067293103</v>
      </c>
      <c r="AJ2314">
        <v>94.551919623631704</v>
      </c>
      <c r="AK2314">
        <v>19.9828630650557</v>
      </c>
    </row>
    <row r="2315" spans="1:37" x14ac:dyDescent="0.2">
      <c r="A2315" t="str">
        <f>"20200111153441423"</f>
        <v>20200111153441423</v>
      </c>
      <c r="B2315" t="str">
        <f>"1578728081418206"</f>
        <v>1578728081418206</v>
      </c>
      <c r="C2315" t="s">
        <v>37</v>
      </c>
      <c r="D2315">
        <v>4.8160400000000001</v>
      </c>
      <c r="E2315">
        <v>0.52178459999999904</v>
      </c>
      <c r="F2315" t="s">
        <v>39</v>
      </c>
      <c r="G2315">
        <v>-490.30939999999998</v>
      </c>
      <c r="H2315" s="1">
        <v>-2.43767E-6</v>
      </c>
      <c r="I2315">
        <v>245.07939999999999</v>
      </c>
      <c r="J2315">
        <v>-490.0145</v>
      </c>
      <c r="K2315">
        <v>1.1086530000000001</v>
      </c>
      <c r="L2315">
        <v>265.2647</v>
      </c>
      <c r="M2315">
        <v>-9.2599650000000006E-2</v>
      </c>
      <c r="N2315">
        <v>0</v>
      </c>
      <c r="O2315">
        <v>-0.99560400000000004</v>
      </c>
      <c r="P2315">
        <v>4.5500079999999998E-2</v>
      </c>
      <c r="Q2315">
        <v>4.8281810000000001E-2</v>
      </c>
      <c r="R2315">
        <v>-0.99779689999999999</v>
      </c>
      <c r="S2315">
        <v>-4.5745849999999998E-2</v>
      </c>
      <c r="T2315">
        <v>-0.1642835</v>
      </c>
      <c r="U2315">
        <v>-3.0164179999999998</v>
      </c>
      <c r="V2315">
        <v>-0.13827100000000001</v>
      </c>
      <c r="W2315">
        <v>6.0942370000000003E-2</v>
      </c>
      <c r="X2315">
        <v>0.9885176</v>
      </c>
      <c r="Y2315">
        <v>-7.7521439999999997E-2</v>
      </c>
      <c r="Z2315">
        <v>5.3947309999999998E-2</v>
      </c>
      <c r="AA2315">
        <v>0.99553009999999997</v>
      </c>
      <c r="AB2315">
        <v>29</v>
      </c>
      <c r="AC2315">
        <v>-0.29489999999998401</v>
      </c>
      <c r="AD2315">
        <v>-1.10865543767</v>
      </c>
      <c r="AE2315">
        <v>-20.185300000000002</v>
      </c>
      <c r="AF2315">
        <v>-1.57096606229406</v>
      </c>
      <c r="AG2315">
        <v>-1.10865543767</v>
      </c>
      <c r="AH2315">
        <v>20.065348500245101</v>
      </c>
      <c r="AI2315">
        <v>93.152875767761799</v>
      </c>
      <c r="AJ2315">
        <v>94.476697092547795</v>
      </c>
      <c r="AK2315">
        <v>20.1572632488799</v>
      </c>
    </row>
    <row r="2316" spans="1:37" x14ac:dyDescent="0.2">
      <c r="A2316" t="str">
        <f>"20200111153441439"</f>
        <v>20200111153441439</v>
      </c>
      <c r="B2316" t="str">
        <f>"1578728081427967"</f>
        <v>1578728081427967</v>
      </c>
      <c r="C2316" t="s">
        <v>37</v>
      </c>
      <c r="D2316">
        <v>4.7882850000000001</v>
      </c>
      <c r="E2316">
        <v>0.52176559999999905</v>
      </c>
      <c r="F2316" t="s">
        <v>39</v>
      </c>
      <c r="G2316">
        <v>-490.2996</v>
      </c>
      <c r="H2316" s="1">
        <v>-2.3301820000000001E-6</v>
      </c>
      <c r="I2316">
        <v>244.83500000000001</v>
      </c>
      <c r="J2316">
        <v>-490.0317</v>
      </c>
      <c r="K2316">
        <v>1.1084829999999899</v>
      </c>
      <c r="L2316">
        <v>265.04320000000001</v>
      </c>
      <c r="M2316">
        <v>-8.9450180000000004E-2</v>
      </c>
      <c r="N2316">
        <v>0</v>
      </c>
      <c r="O2316">
        <v>-0.99589309999999998</v>
      </c>
      <c r="P2316">
        <v>4.6901739999999997E-2</v>
      </c>
      <c r="Q2316">
        <v>4.743112E-2</v>
      </c>
      <c r="R2316">
        <v>-0.99777329999999997</v>
      </c>
      <c r="S2316">
        <v>-4.2083740000000001E-2</v>
      </c>
      <c r="T2316">
        <v>-0.163694799999999</v>
      </c>
      <c r="U2316">
        <v>-3.0164789999999999</v>
      </c>
      <c r="V2316">
        <v>-0.1365017</v>
      </c>
      <c r="W2316">
        <v>6.0097049999999999E-2</v>
      </c>
      <c r="X2316">
        <v>0.98881520000000001</v>
      </c>
      <c r="Y2316">
        <v>-7.5576329999999997E-2</v>
      </c>
      <c r="Z2316">
        <v>5.3781379999999997E-2</v>
      </c>
      <c r="AA2316">
        <v>0.99568860000000003</v>
      </c>
      <c r="AB2316">
        <v>29</v>
      </c>
      <c r="AC2316">
        <v>-0.26789999999999697</v>
      </c>
      <c r="AD2316">
        <v>-1.1084853301819999</v>
      </c>
      <c r="AE2316">
        <v>-20.208200000000001</v>
      </c>
      <c r="AF2316">
        <v>-1.53635618333685</v>
      </c>
      <c r="AG2316">
        <v>-1.1084853301819999</v>
      </c>
      <c r="AH2316">
        <v>20.090701655125599</v>
      </c>
      <c r="AI2316">
        <v>93.148863143090907</v>
      </c>
      <c r="AJ2316">
        <v>94.372955120724697</v>
      </c>
      <c r="AK2316">
        <v>20.179827131186599</v>
      </c>
    </row>
    <row r="2317" spans="1:37" x14ac:dyDescent="0.2">
      <c r="A2317" t="str">
        <f>"20200111153441451"</f>
        <v>20200111153441451</v>
      </c>
      <c r="B2317" t="str">
        <f>"1578728081438702"</f>
        <v>1578728081438702</v>
      </c>
      <c r="C2317" t="s">
        <v>37</v>
      </c>
      <c r="D2317">
        <v>4.7957210000000003</v>
      </c>
      <c r="E2317">
        <v>0.5216923</v>
      </c>
      <c r="F2317" t="s">
        <v>39</v>
      </c>
      <c r="G2317">
        <v>-490.28300000000002</v>
      </c>
      <c r="H2317" s="1">
        <v>-2.3395830000000002E-6</v>
      </c>
      <c r="I2317">
        <v>244.8672</v>
      </c>
      <c r="J2317">
        <v>-490.0437</v>
      </c>
      <c r="K2317">
        <v>1.1083689999999999</v>
      </c>
      <c r="L2317">
        <v>264.88240000000002</v>
      </c>
      <c r="M2317">
        <v>-8.7258139999999998E-2</v>
      </c>
      <c r="N2317">
        <v>0</v>
      </c>
      <c r="O2317">
        <v>-0.99608809999999903</v>
      </c>
      <c r="P2317">
        <v>4.8241230000000003E-2</v>
      </c>
      <c r="Q2317">
        <v>4.7249560000000003E-2</v>
      </c>
      <c r="R2317">
        <v>-0.99771759999999998</v>
      </c>
      <c r="S2317">
        <v>-3.7567139999999999E-2</v>
      </c>
      <c r="T2317">
        <v>-0.16572110000000001</v>
      </c>
      <c r="U2317">
        <v>-3.0163570000000002</v>
      </c>
      <c r="V2317">
        <v>-0.13563520000000001</v>
      </c>
      <c r="W2317">
        <v>5.9901419999999997E-2</v>
      </c>
      <c r="X2317">
        <v>0.9889464</v>
      </c>
      <c r="Y2317">
        <v>-7.4872240000000007E-2</v>
      </c>
      <c r="Z2317">
        <v>5.4465300000000001E-2</v>
      </c>
      <c r="AA2317">
        <v>0.99570460000000005</v>
      </c>
      <c r="AB2317">
        <v>29</v>
      </c>
      <c r="AC2317">
        <v>-0.239300000000014</v>
      </c>
      <c r="AD2317">
        <v>-1.1083713395829999</v>
      </c>
      <c r="AE2317">
        <v>-20.0152</v>
      </c>
      <c r="AF2317">
        <v>-1.50366153734437</v>
      </c>
      <c r="AG2317">
        <v>-1.1083713395829999</v>
      </c>
      <c r="AH2317">
        <v>19.898712960661499</v>
      </c>
      <c r="AI2317">
        <v>93.1790730837929</v>
      </c>
      <c r="AJ2317">
        <v>94.321386792541901</v>
      </c>
      <c r="AK2317">
        <v>19.9862018036469</v>
      </c>
    </row>
    <row r="2318" spans="1:37" x14ac:dyDescent="0.2">
      <c r="A2318" t="str">
        <f>"20200111153441464"</f>
        <v>20200111153441464</v>
      </c>
      <c r="B2318" t="str">
        <f>"1578728081458223"</f>
        <v>1578728081458223</v>
      </c>
      <c r="C2318" t="s">
        <v>37</v>
      </c>
      <c r="D2318">
        <v>4.8131890000000004</v>
      </c>
      <c r="E2318">
        <v>0.52172479999999999</v>
      </c>
      <c r="F2318" t="s">
        <v>39</v>
      </c>
      <c r="G2318">
        <v>-490.26130000000001</v>
      </c>
      <c r="H2318" s="1">
        <v>-2.243379E-6</v>
      </c>
      <c r="I2318">
        <v>244.65639999999999</v>
      </c>
      <c r="J2318">
        <v>-490.05459999999999</v>
      </c>
      <c r="K2318">
        <v>1.108276</v>
      </c>
      <c r="L2318">
        <v>264.73489999999998</v>
      </c>
      <c r="M2318">
        <v>-8.527026E-2</v>
      </c>
      <c r="N2318">
        <v>0</v>
      </c>
      <c r="O2318">
        <v>-0.99626109999999901</v>
      </c>
      <c r="P2318">
        <v>4.9640910000000003E-2</v>
      </c>
      <c r="Q2318">
        <v>4.6966359999999999E-2</v>
      </c>
      <c r="R2318">
        <v>-0.997662099999999</v>
      </c>
      <c r="S2318">
        <v>-3.2440190000000001E-2</v>
      </c>
      <c r="T2318">
        <v>-0.1652875</v>
      </c>
      <c r="U2318">
        <v>-3.016235</v>
      </c>
      <c r="V2318">
        <v>-0.13503309999999999</v>
      </c>
      <c r="W2318">
        <v>5.9598699999999998E-2</v>
      </c>
      <c r="X2318">
        <v>0.98904709999999996</v>
      </c>
      <c r="Y2318">
        <v>-7.457395E-2</v>
      </c>
      <c r="Z2318">
        <v>5.4340659999999999E-2</v>
      </c>
      <c r="AA2318">
        <v>0.9957338</v>
      </c>
      <c r="AB2318">
        <v>29</v>
      </c>
      <c r="AC2318">
        <v>-0.20670000000001201</v>
      </c>
      <c r="AD2318">
        <v>-1.1082782433789999</v>
      </c>
      <c r="AE2318">
        <v>-20.078499999999899</v>
      </c>
      <c r="AF2318">
        <v>-1.5017420351169199</v>
      </c>
      <c r="AG2318">
        <v>-1.1082782433789999</v>
      </c>
      <c r="AH2318">
        <v>19.962171144551601</v>
      </c>
      <c r="AI2318">
        <v>93.168801805012905</v>
      </c>
      <c r="AJ2318">
        <v>94.302222886871803</v>
      </c>
      <c r="AK2318">
        <v>20.049234065398899</v>
      </c>
    </row>
    <row r="2319" spans="1:37" x14ac:dyDescent="0.2">
      <c r="A2319" t="str">
        <f>"20200111153441476"</f>
        <v>20200111153441476</v>
      </c>
      <c r="B2319" t="str">
        <f>"1578728081467984"</f>
        <v>1578728081467984</v>
      </c>
      <c r="C2319" t="s">
        <v>37</v>
      </c>
      <c r="D2319">
        <v>4.8355860000000002</v>
      </c>
      <c r="E2319">
        <v>0.52172640000000003</v>
      </c>
      <c r="F2319" t="s">
        <v>39</v>
      </c>
      <c r="G2319">
        <v>-490.24360000000001</v>
      </c>
      <c r="H2319" s="1">
        <v>-2.1601549999999999E-6</v>
      </c>
      <c r="I2319">
        <v>244.4734</v>
      </c>
      <c r="J2319">
        <v>-490.06760000000003</v>
      </c>
      <c r="K2319">
        <v>1.1081639999999999</v>
      </c>
      <c r="L2319">
        <v>264.55380000000002</v>
      </c>
      <c r="M2319">
        <v>-8.2882990000000004E-2</v>
      </c>
      <c r="N2319">
        <v>0</v>
      </c>
      <c r="O2319">
        <v>-0.99646380000000001</v>
      </c>
      <c r="P2319">
        <v>5.1188289999999997E-2</v>
      </c>
      <c r="Q2319">
        <v>4.6857639999999999E-2</v>
      </c>
      <c r="R2319">
        <v>-0.99758930000000001</v>
      </c>
      <c r="S2319">
        <v>-2.8137209999999999E-2</v>
      </c>
      <c r="T2319">
        <v>-0.16498289999999999</v>
      </c>
      <c r="U2319">
        <v>-3.0162049999999998</v>
      </c>
      <c r="V2319">
        <v>-0.1341811</v>
      </c>
      <c r="W2319">
        <v>5.9457320000000001E-2</v>
      </c>
      <c r="X2319">
        <v>0.98917149999999998</v>
      </c>
      <c r="Y2319">
        <v>-7.3604729999999993E-2</v>
      </c>
      <c r="Z2319">
        <v>5.4260179999999998E-2</v>
      </c>
      <c r="AA2319">
        <v>0.99581030000000004</v>
      </c>
      <c r="AB2319">
        <v>29</v>
      </c>
      <c r="AC2319">
        <v>-0.175999999999987</v>
      </c>
      <c r="AD2319">
        <v>-1.1081661601549999</v>
      </c>
      <c r="AE2319">
        <v>-20.080400000000001</v>
      </c>
      <c r="AF2319">
        <v>-1.48456669328905</v>
      </c>
      <c r="AG2319">
        <v>-1.1081661601549999</v>
      </c>
      <c r="AH2319">
        <v>19.9650848046136</v>
      </c>
      <c r="AI2319">
        <v>93.168225409651299</v>
      </c>
      <c r="AJ2319">
        <v>94.252581770179404</v>
      </c>
      <c r="AK2319">
        <v>20.0508499012074</v>
      </c>
    </row>
    <row r="2320" spans="1:37" x14ac:dyDescent="0.2">
      <c r="A2320" t="str">
        <f>"20200111153441492"</f>
        <v>20200111153441492</v>
      </c>
      <c r="B2320" t="str">
        <f>"1578728081488479"</f>
        <v>1578728081488479</v>
      </c>
      <c r="C2320" t="s">
        <v>37</v>
      </c>
      <c r="D2320">
        <v>4.8000559999999997</v>
      </c>
      <c r="E2320">
        <v>0.52171029999999996</v>
      </c>
      <c r="F2320" t="s">
        <v>39</v>
      </c>
      <c r="G2320">
        <v>-490.22379999999998</v>
      </c>
      <c r="H2320" s="1">
        <v>-2.074299E-6</v>
      </c>
      <c r="I2320">
        <v>244.28550000000001</v>
      </c>
      <c r="J2320">
        <v>-490.08080000000001</v>
      </c>
      <c r="K2320">
        <v>1.1080479999999999</v>
      </c>
      <c r="L2320">
        <v>264.3614</v>
      </c>
      <c r="M2320">
        <v>-8.0415619999999993E-2</v>
      </c>
      <c r="N2320">
        <v>0</v>
      </c>
      <c r="O2320">
        <v>-0.99666739999999998</v>
      </c>
      <c r="P2320">
        <v>5.2911359999999998E-2</v>
      </c>
      <c r="Q2320">
        <v>4.6824520000000001E-2</v>
      </c>
      <c r="R2320">
        <v>-0.99750110000000003</v>
      </c>
      <c r="S2320">
        <v>-2.325439E-2</v>
      </c>
      <c r="T2320">
        <v>-0.16491069999999999</v>
      </c>
      <c r="U2320">
        <v>-3.0162049999999998</v>
      </c>
      <c r="V2320">
        <v>-0.13342390000000001</v>
      </c>
      <c r="W2320">
        <v>5.9348329999999998E-2</v>
      </c>
      <c r="X2320">
        <v>0.98928050000000001</v>
      </c>
      <c r="Y2320">
        <v>-7.2747389999999995E-2</v>
      </c>
      <c r="Z2320">
        <v>5.4255159999999997E-2</v>
      </c>
      <c r="AA2320">
        <v>0.99587359999999903</v>
      </c>
      <c r="AB2320">
        <v>29</v>
      </c>
      <c r="AC2320">
        <v>-0.14299999999997201</v>
      </c>
      <c r="AD2320">
        <v>-1.1080500742989901</v>
      </c>
      <c r="AE2320">
        <v>-20.075899999999901</v>
      </c>
      <c r="AF2320">
        <v>-1.46756009822786</v>
      </c>
      <c r="AG2320">
        <v>-1.1080500742989901</v>
      </c>
      <c r="AH2320">
        <v>19.961565611917401</v>
      </c>
      <c r="AI2320">
        <v>93.168646614872401</v>
      </c>
      <c r="AJ2320">
        <v>94.204780091701295</v>
      </c>
      <c r="AK2320">
        <v>20.0460871316062</v>
      </c>
    </row>
    <row r="2321" spans="1:37" x14ac:dyDescent="0.2">
      <c r="A2321" t="str">
        <f>"20200111153441508"</f>
        <v>20200111153441508</v>
      </c>
      <c r="B2321" t="str">
        <f>"1578728081498238"</f>
        <v>1578728081498238</v>
      </c>
      <c r="C2321" t="s">
        <v>37</v>
      </c>
      <c r="D2321">
        <v>4.8641189999999996</v>
      </c>
      <c r="E2321">
        <v>0.52176940000000005</v>
      </c>
      <c r="F2321" t="s">
        <v>39</v>
      </c>
      <c r="G2321">
        <v>-490.19880000000001</v>
      </c>
      <c r="H2321" s="1">
        <v>-1.9809509999999999E-6</v>
      </c>
      <c r="I2321">
        <v>244.08349999999999</v>
      </c>
      <c r="J2321">
        <v>-490.09550000000002</v>
      </c>
      <c r="K2321">
        <v>1.107918</v>
      </c>
      <c r="L2321">
        <v>264.14269999999999</v>
      </c>
      <c r="M2321">
        <v>-7.7676549999999997E-2</v>
      </c>
      <c r="N2321">
        <v>0</v>
      </c>
      <c r="O2321">
        <v>-0.99688679999999996</v>
      </c>
      <c r="P2321">
        <v>5.3509969999999997E-2</v>
      </c>
      <c r="Q2321">
        <v>4.6286250000000001E-2</v>
      </c>
      <c r="R2321">
        <v>-0.99749449999999995</v>
      </c>
      <c r="S2321">
        <v>-1.7547610000000002E-2</v>
      </c>
      <c r="T2321">
        <v>-0.16481319999999999</v>
      </c>
      <c r="U2321">
        <v>-3.0161739999999999</v>
      </c>
      <c r="V2321">
        <v>-0.1312789</v>
      </c>
      <c r="W2321">
        <v>5.8709049999999999E-2</v>
      </c>
      <c r="X2321">
        <v>0.98960550000000003</v>
      </c>
      <c r="Y2321">
        <v>-7.1890640000000006E-2</v>
      </c>
      <c r="Z2321">
        <v>5.4243520000000003E-2</v>
      </c>
      <c r="AA2321">
        <v>0.9959365</v>
      </c>
      <c r="AB2321">
        <v>29</v>
      </c>
      <c r="AC2321">
        <v>-0.10329999999999</v>
      </c>
      <c r="AD2321">
        <v>-1.1079199809510001</v>
      </c>
      <c r="AE2321">
        <v>-20.059200000000001</v>
      </c>
      <c r="AF2321">
        <v>-1.45085833975796</v>
      </c>
      <c r="AG2321">
        <v>-1.1079199809510001</v>
      </c>
      <c r="AH2321">
        <v>19.9457614607228</v>
      </c>
      <c r="AI2321">
        <v>93.170959967845207</v>
      </c>
      <c r="AJ2321">
        <v>94.160378108210494</v>
      </c>
      <c r="AK2321">
        <v>20.029125713677299</v>
      </c>
    </row>
    <row r="2322" spans="1:37" x14ac:dyDescent="0.2">
      <c r="A2322" t="str">
        <f>"20200111153441524"</f>
        <v>20200111153441524</v>
      </c>
      <c r="B2322" t="str">
        <f>"1578728081518734"</f>
        <v>1578728081518734</v>
      </c>
      <c r="C2322" t="s">
        <v>37</v>
      </c>
      <c r="D2322">
        <v>4.8653170000000001</v>
      </c>
      <c r="E2322">
        <v>0.52174730000000002</v>
      </c>
      <c r="F2322" t="s">
        <v>39</v>
      </c>
      <c r="G2322">
        <v>-490.20359999999999</v>
      </c>
      <c r="H2322" s="1">
        <v>-1.9417130000000001E-6</v>
      </c>
      <c r="I2322">
        <v>243.989</v>
      </c>
      <c r="J2322">
        <v>-490.10849999999999</v>
      </c>
      <c r="K2322">
        <v>1.107804</v>
      </c>
      <c r="L2322">
        <v>263.9434</v>
      </c>
      <c r="M2322">
        <v>-7.5238399999999997E-2</v>
      </c>
      <c r="N2322">
        <v>0</v>
      </c>
      <c r="O2322">
        <v>-0.99707599999999996</v>
      </c>
      <c r="P2322">
        <v>5.4669879999999997E-2</v>
      </c>
      <c r="Q2322">
        <v>4.5959779999999999E-2</v>
      </c>
      <c r="R2322">
        <v>-0.99744650000000001</v>
      </c>
      <c r="S2322">
        <v>-1.6174319999999999E-2</v>
      </c>
      <c r="T2322">
        <v>-0.16580329999999999</v>
      </c>
      <c r="U2322">
        <v>-3.0160520000000002</v>
      </c>
      <c r="V2322">
        <v>-0.129993</v>
      </c>
      <c r="W2322">
        <v>5.8266350000000001E-2</v>
      </c>
      <c r="X2322">
        <v>0.98980140000000005</v>
      </c>
      <c r="Y2322">
        <v>-6.9904450000000007E-2</v>
      </c>
      <c r="Z2322">
        <v>5.4589930000000002E-2</v>
      </c>
      <c r="AA2322">
        <v>0.99605889999999997</v>
      </c>
      <c r="AB2322">
        <v>29</v>
      </c>
      <c r="AC2322">
        <v>-9.51000000000021E-2</v>
      </c>
      <c r="AD2322">
        <v>-1.107805941713</v>
      </c>
      <c r="AE2322">
        <v>-19.9544</v>
      </c>
      <c r="AF2322">
        <v>-1.4023188218937499</v>
      </c>
      <c r="AG2322">
        <v>-1.107805941713</v>
      </c>
      <c r="AH2322">
        <v>19.843826698345499</v>
      </c>
      <c r="AI2322">
        <v>93.187358045238298</v>
      </c>
      <c r="AJ2322">
        <v>94.042244547790801</v>
      </c>
      <c r="AK2322">
        <v>19.9241358687573</v>
      </c>
    </row>
    <row r="2323" spans="1:37" x14ac:dyDescent="0.2">
      <c r="A2323" t="str">
        <f>"20200111153441540"</f>
        <v>20200111153441540</v>
      </c>
      <c r="B2323" t="str">
        <f>"1578728081528495"</f>
        <v>1578728081528495</v>
      </c>
      <c r="C2323" t="s">
        <v>37</v>
      </c>
      <c r="D2323">
        <v>4.8854239999999898</v>
      </c>
      <c r="E2323">
        <v>0.52178879999999905</v>
      </c>
      <c r="F2323" t="s">
        <v>39</v>
      </c>
      <c r="G2323">
        <v>-490.19110000000001</v>
      </c>
      <c r="H2323" s="1">
        <v>-1.871055E-6</v>
      </c>
      <c r="I2323">
        <v>243.8321</v>
      </c>
      <c r="J2323">
        <v>-490.12150000000003</v>
      </c>
      <c r="K2323">
        <v>1.107694</v>
      </c>
      <c r="L2323">
        <v>263.73570000000001</v>
      </c>
      <c r="M2323">
        <v>-7.2749159999999993E-2</v>
      </c>
      <c r="N2323">
        <v>0</v>
      </c>
      <c r="O2323">
        <v>-0.99726319999999902</v>
      </c>
      <c r="P2323">
        <v>5.4275450000000003E-2</v>
      </c>
      <c r="Q2323">
        <v>4.5523099999999997E-2</v>
      </c>
      <c r="R2323">
        <v>-0.99748829999999999</v>
      </c>
      <c r="S2323">
        <v>-1.2390139999999999E-2</v>
      </c>
      <c r="T2323">
        <v>-0.1661319</v>
      </c>
      <c r="U2323">
        <v>-3.0159910000000001</v>
      </c>
      <c r="V2323">
        <v>-0.12711330000000001</v>
      </c>
      <c r="W2323">
        <v>5.7709870000000003E-2</v>
      </c>
      <c r="X2323">
        <v>0.99020799999999998</v>
      </c>
      <c r="Y2323">
        <v>-6.8663689999999999E-2</v>
      </c>
      <c r="Z2323">
        <v>5.4716670000000002E-2</v>
      </c>
      <c r="AA2323">
        <v>0.99613819999999997</v>
      </c>
      <c r="AB2323">
        <v>29</v>
      </c>
      <c r="AC2323">
        <v>-6.95999999999799E-2</v>
      </c>
      <c r="AD2323">
        <v>-1.107695871055</v>
      </c>
      <c r="AE2323">
        <v>-19.903600000000001</v>
      </c>
      <c r="AF2323">
        <v>-1.3744234887104601</v>
      </c>
      <c r="AG2323">
        <v>-1.107695871055</v>
      </c>
      <c r="AH2323">
        <v>19.794607113945499</v>
      </c>
      <c r="AI2323">
        <v>93.195224403595205</v>
      </c>
      <c r="AJ2323">
        <v>93.971914039244695</v>
      </c>
      <c r="AK2323">
        <v>19.873160313964501</v>
      </c>
    </row>
    <row r="2324" spans="1:37" x14ac:dyDescent="0.2">
      <c r="A2324" t="str">
        <f>"20200111153441552"</f>
        <v>20200111153441552</v>
      </c>
      <c r="B2324" t="str">
        <f>"1578728081548014"</f>
        <v>1578728081548014</v>
      </c>
      <c r="C2324" t="s">
        <v>37</v>
      </c>
      <c r="D2324">
        <v>4.8199170000000002</v>
      </c>
      <c r="E2324">
        <v>0.52194449999999903</v>
      </c>
      <c r="F2324" t="s">
        <v>39</v>
      </c>
      <c r="G2324">
        <v>-490.21069999999997</v>
      </c>
      <c r="H2324" s="1">
        <v>-1.86484E-6</v>
      </c>
      <c r="I2324">
        <v>243.80539999999999</v>
      </c>
      <c r="J2324">
        <v>-490.13220000000001</v>
      </c>
      <c r="K2324">
        <v>1.1076079999999999</v>
      </c>
      <c r="L2324">
        <v>263.55810000000002</v>
      </c>
      <c r="M2324">
        <v>-7.0666039999999999E-2</v>
      </c>
      <c r="N2324">
        <v>0</v>
      </c>
      <c r="O2324">
        <v>-0.99741480000000005</v>
      </c>
      <c r="P2324">
        <v>5.4967759999999997E-2</v>
      </c>
      <c r="Q2324">
        <v>4.5544359999999999E-2</v>
      </c>
      <c r="R2324">
        <v>-0.99744889999999997</v>
      </c>
      <c r="S2324">
        <v>-1.3488770000000001E-2</v>
      </c>
      <c r="T2324">
        <v>-0.1676213</v>
      </c>
      <c r="U2324">
        <v>-3.01593</v>
      </c>
      <c r="V2324">
        <v>-0.125721</v>
      </c>
      <c r="W2324">
        <v>5.7609899999999999E-2</v>
      </c>
      <c r="X2324">
        <v>0.99039149999999998</v>
      </c>
      <c r="Y2324">
        <v>-6.6216769999999994E-2</v>
      </c>
      <c r="Z2324">
        <v>5.522382E-2</v>
      </c>
      <c r="AA2324">
        <v>0.99627589999999999</v>
      </c>
      <c r="AB2324">
        <v>29</v>
      </c>
      <c r="AC2324">
        <v>-7.8499999999962697E-2</v>
      </c>
      <c r="AD2324">
        <v>-1.1076098648399999</v>
      </c>
      <c r="AE2324">
        <v>-19.752700000000001</v>
      </c>
      <c r="AF2324">
        <v>-1.31353001452055</v>
      </c>
      <c r="AG2324">
        <v>-1.1076098648399999</v>
      </c>
      <c r="AH2324">
        <v>19.647083317888299</v>
      </c>
      <c r="AI2324">
        <v>93.219478392556198</v>
      </c>
      <c r="AJ2324">
        <v>93.8248880898918</v>
      </c>
      <c r="AK2324">
        <v>19.722069962653102</v>
      </c>
    </row>
    <row r="2325" spans="1:37" x14ac:dyDescent="0.2">
      <c r="A2325" t="str">
        <f>"20200111153441566"</f>
        <v>20200111153441566</v>
      </c>
      <c r="B2325" t="str">
        <f>"1578728081558751"</f>
        <v>1578728081558751</v>
      </c>
      <c r="C2325" t="s">
        <v>37</v>
      </c>
      <c r="D2325">
        <v>4.8640030000000003</v>
      </c>
      <c r="E2325">
        <v>0.52205690000000005</v>
      </c>
      <c r="F2325" t="s">
        <v>39</v>
      </c>
      <c r="G2325">
        <v>-490.21469999999999</v>
      </c>
      <c r="H2325" s="1">
        <v>-1.7507480000000001E-6</v>
      </c>
      <c r="I2325">
        <v>243.53700000000001</v>
      </c>
      <c r="J2325">
        <v>-490.14179999999999</v>
      </c>
      <c r="K2325">
        <v>1.1075360000000001</v>
      </c>
      <c r="L2325">
        <v>263.3954</v>
      </c>
      <c r="M2325">
        <v>-6.8778119999999998E-2</v>
      </c>
      <c r="N2325">
        <v>0</v>
      </c>
      <c r="O2325">
        <v>-0.99754859999999901</v>
      </c>
      <c r="P2325">
        <v>5.5281589999999999E-2</v>
      </c>
      <c r="Q2325">
        <v>4.541717E-2</v>
      </c>
      <c r="R2325">
        <v>-0.99743749999999998</v>
      </c>
      <c r="S2325">
        <v>-1.242065E-2</v>
      </c>
      <c r="T2325">
        <v>-0.16685439999999899</v>
      </c>
      <c r="U2325">
        <v>-3.0160520000000002</v>
      </c>
      <c r="V2325">
        <v>-0.1241476</v>
      </c>
      <c r="W2325">
        <v>5.7370450000000003E-2</v>
      </c>
      <c r="X2325">
        <v>0.99060389999999998</v>
      </c>
      <c r="Y2325">
        <v>-6.4680989999999994E-2</v>
      </c>
      <c r="Z2325">
        <v>5.4983480000000001E-2</v>
      </c>
      <c r="AA2325">
        <v>0.99639009999999995</v>
      </c>
      <c r="AB2325">
        <v>29</v>
      </c>
      <c r="AC2325">
        <v>-7.29000000000041E-2</v>
      </c>
      <c r="AD2325">
        <v>-1.107537750748</v>
      </c>
      <c r="AE2325">
        <v>-19.8583999999999</v>
      </c>
      <c r="AF2325">
        <v>-1.2891997129278601</v>
      </c>
      <c r="AG2325">
        <v>-1.107537750748</v>
      </c>
      <c r="AH2325">
        <v>19.754934781911299</v>
      </c>
      <c r="AI2325">
        <v>93.2020659156954</v>
      </c>
      <c r="AJ2325">
        <v>93.733806779289395</v>
      </c>
      <c r="AK2325">
        <v>19.8279127496243</v>
      </c>
    </row>
    <row r="2326" spans="1:37" x14ac:dyDescent="0.2">
      <c r="A2326" t="str">
        <f>"20200111153441578"</f>
        <v>20200111153441578</v>
      </c>
      <c r="B2326" t="str">
        <f>"1578728081568511"</f>
        <v>1578728081568511</v>
      </c>
      <c r="C2326" t="s">
        <v>37</v>
      </c>
      <c r="D2326">
        <v>4.8622139999999998</v>
      </c>
      <c r="E2326">
        <v>0.52214529999999904</v>
      </c>
      <c r="F2326" t="s">
        <v>39</v>
      </c>
      <c r="G2326">
        <v>-490.22469999999998</v>
      </c>
      <c r="H2326" s="1">
        <v>-1.7182820000000001E-6</v>
      </c>
      <c r="I2326">
        <v>243.45509999999999</v>
      </c>
      <c r="J2326">
        <v>-490.15129999999999</v>
      </c>
      <c r="K2326">
        <v>1.107469</v>
      </c>
      <c r="L2326">
        <v>263.22969999999998</v>
      </c>
      <c r="M2326">
        <v>-6.6871659999999999E-2</v>
      </c>
      <c r="N2326">
        <v>0</v>
      </c>
      <c r="O2326">
        <v>-0.99768040000000002</v>
      </c>
      <c r="P2326">
        <v>5.5617590000000001E-2</v>
      </c>
      <c r="Q2326">
        <v>4.5342010000000002E-2</v>
      </c>
      <c r="R2326">
        <v>-0.99742260000000005</v>
      </c>
      <c r="S2326">
        <v>-1.254272E-2</v>
      </c>
      <c r="T2326">
        <v>-0.16751640000000001</v>
      </c>
      <c r="U2326">
        <v>-3.0159910000000001</v>
      </c>
      <c r="V2326">
        <v>-0.1225782</v>
      </c>
      <c r="W2326">
        <v>5.7177159999999998E-2</v>
      </c>
      <c r="X2326">
        <v>0.99081049999999904</v>
      </c>
      <c r="Y2326">
        <v>-6.2733360000000002E-2</v>
      </c>
      <c r="Z2326">
        <v>5.521628E-2</v>
      </c>
      <c r="AA2326">
        <v>0.99650169999999905</v>
      </c>
      <c r="AB2326">
        <v>29</v>
      </c>
      <c r="AC2326">
        <v>-7.3399999999992305E-2</v>
      </c>
      <c r="AD2326">
        <v>-1.1074707182820001</v>
      </c>
      <c r="AE2326">
        <v>-19.7745999999999</v>
      </c>
      <c r="AF2326">
        <v>-1.2453258338684401</v>
      </c>
      <c r="AG2326">
        <v>-1.1074707182820001</v>
      </c>
      <c r="AH2326">
        <v>19.6735321191283</v>
      </c>
      <c r="AI2326">
        <v>93.215495676156394</v>
      </c>
      <c r="AJ2326">
        <v>93.621964983344995</v>
      </c>
      <c r="AK2326">
        <v>19.7439913357641</v>
      </c>
    </row>
    <row r="2327" spans="1:37" x14ac:dyDescent="0.2">
      <c r="A2327" t="str">
        <f>"20200111153441596"</f>
        <v>20200111153441596</v>
      </c>
      <c r="B2327" t="str">
        <f>"1578728081588030"</f>
        <v>1578728081588030</v>
      </c>
      <c r="C2327" t="s">
        <v>37</v>
      </c>
      <c r="D2327">
        <v>4.8408879999999996</v>
      </c>
      <c r="E2327">
        <v>0.52229289999999995</v>
      </c>
      <c r="F2327" t="s">
        <v>39</v>
      </c>
      <c r="G2327">
        <v>-490.23180000000002</v>
      </c>
      <c r="H2327" s="1">
        <v>-1.6536379999999999E-6</v>
      </c>
      <c r="I2327">
        <v>243.3</v>
      </c>
      <c r="J2327">
        <v>-490.16469999999998</v>
      </c>
      <c r="K2327">
        <v>1.1073679999999999</v>
      </c>
      <c r="L2327">
        <v>262.98660000000001</v>
      </c>
      <c r="M2327">
        <v>-6.4128930000000001E-2</v>
      </c>
      <c r="N2327">
        <v>0</v>
      </c>
      <c r="O2327">
        <v>-0.99786339999999996</v>
      </c>
      <c r="P2327">
        <v>5.5887850000000003E-2</v>
      </c>
      <c r="Q2327">
        <v>4.4894969999999999E-2</v>
      </c>
      <c r="R2327">
        <v>-0.99742699999999995</v>
      </c>
      <c r="S2327">
        <v>-1.217651E-2</v>
      </c>
      <c r="T2327">
        <v>-0.1675971</v>
      </c>
      <c r="U2327">
        <v>-3.016022</v>
      </c>
      <c r="V2327">
        <v>-0.12010949999999999</v>
      </c>
      <c r="W2327">
        <v>5.65183E-2</v>
      </c>
      <c r="X2327">
        <v>0.99115059999999999</v>
      </c>
      <c r="Y2327">
        <v>-6.0110579999999997E-2</v>
      </c>
      <c r="Z2327">
        <v>5.5261709999999999E-2</v>
      </c>
      <c r="AA2327">
        <v>0.99666080000000001</v>
      </c>
      <c r="AB2327">
        <v>29</v>
      </c>
      <c r="AC2327">
        <v>-6.7100000000039003E-2</v>
      </c>
      <c r="AD2327">
        <v>-1.107369653638</v>
      </c>
      <c r="AE2327">
        <v>-19.686599999999999</v>
      </c>
      <c r="AF2327">
        <v>-1.19184626850077</v>
      </c>
      <c r="AG2327">
        <v>-1.107369653638</v>
      </c>
      <c r="AH2327">
        <v>19.588396571036601</v>
      </c>
      <c r="AI2327">
        <v>93.229636536251405</v>
      </c>
      <c r="AJ2327">
        <v>93.481840850737697</v>
      </c>
      <c r="AK2327">
        <v>19.655839979551502</v>
      </c>
    </row>
    <row r="2328" spans="1:37" x14ac:dyDescent="0.2">
      <c r="A2328" t="str">
        <f>"20200111153441609"</f>
        <v>20200111153441609</v>
      </c>
      <c r="B2328" t="str">
        <f>"1578728081597791"</f>
        <v>1578728081597791</v>
      </c>
      <c r="C2328" t="s">
        <v>37</v>
      </c>
      <c r="D2328">
        <v>4.8663129999999999</v>
      </c>
      <c r="E2328">
        <v>0.52231479999999997</v>
      </c>
      <c r="F2328" t="s">
        <v>39</v>
      </c>
      <c r="G2328">
        <v>-490.24860000000001</v>
      </c>
      <c r="H2328" s="1">
        <v>-1.599427E-6</v>
      </c>
      <c r="I2328">
        <v>243.16319999999999</v>
      </c>
      <c r="J2328">
        <v>-490.17329999999998</v>
      </c>
      <c r="K2328">
        <v>1.1073040000000001</v>
      </c>
      <c r="L2328">
        <v>262.82420000000002</v>
      </c>
      <c r="M2328">
        <v>-6.233296E-2</v>
      </c>
      <c r="N2328">
        <v>0</v>
      </c>
      <c r="O2328">
        <v>-0.99797959999999997</v>
      </c>
      <c r="P2328">
        <v>5.6545489999999997E-2</v>
      </c>
      <c r="Q2328">
        <v>4.4918119999999999E-2</v>
      </c>
      <c r="R2328">
        <v>-0.99738909999999903</v>
      </c>
      <c r="S2328">
        <v>-1.275635E-2</v>
      </c>
      <c r="T2328">
        <v>-0.16848079999999999</v>
      </c>
      <c r="U2328">
        <v>-3.016022</v>
      </c>
      <c r="V2328">
        <v>-0.118972299999999</v>
      </c>
      <c r="W2328">
        <v>5.6373090000000001E-2</v>
      </c>
      <c r="X2328">
        <v>0.99129590000000001</v>
      </c>
      <c r="Y2328">
        <v>-5.812233E-2</v>
      </c>
      <c r="Z2328">
        <v>5.5564959999999997E-2</v>
      </c>
      <c r="AA2328">
        <v>0.99676189999999998</v>
      </c>
      <c r="AB2328">
        <v>29</v>
      </c>
      <c r="AC2328">
        <v>-7.5300000000026998E-2</v>
      </c>
      <c r="AD2328">
        <v>-1.107305599427</v>
      </c>
      <c r="AE2328">
        <v>-19.661000000000001</v>
      </c>
      <c r="AF2328">
        <v>-1.1468298979890099</v>
      </c>
      <c r="AG2328">
        <v>-1.107305599427</v>
      </c>
      <c r="AH2328">
        <v>19.565396472702201</v>
      </c>
      <c r="AI2328">
        <v>93.233666557295507</v>
      </c>
      <c r="AJ2328">
        <v>93.354566072173199</v>
      </c>
      <c r="AK2328">
        <v>19.630233917085</v>
      </c>
    </row>
    <row r="2329" spans="1:37" x14ac:dyDescent="0.2">
      <c r="A2329" t="str">
        <f>"20200111153441624"</f>
        <v>20200111153441624</v>
      </c>
      <c r="B2329" t="str">
        <f>"1578728081618287"</f>
        <v>1578728081618287</v>
      </c>
      <c r="C2329" t="s">
        <v>37</v>
      </c>
      <c r="D2329">
        <v>4.8502919999999996</v>
      </c>
      <c r="E2329">
        <v>0.52229429999999999</v>
      </c>
      <c r="F2329" t="s">
        <v>39</v>
      </c>
      <c r="G2329">
        <v>-490.24790000000002</v>
      </c>
      <c r="H2329" s="1">
        <v>-1.5029630000000001E-6</v>
      </c>
      <c r="I2329">
        <v>242.93879999999999</v>
      </c>
      <c r="J2329">
        <v>-490.18290000000002</v>
      </c>
      <c r="K2329">
        <v>1.1072309999999901</v>
      </c>
      <c r="L2329">
        <v>262.63869999999997</v>
      </c>
      <c r="M2329">
        <v>-6.0299619999999998E-2</v>
      </c>
      <c r="N2329">
        <v>0</v>
      </c>
      <c r="O2329">
        <v>-0.99810730000000003</v>
      </c>
      <c r="P2329">
        <v>5.7910040000000003E-2</v>
      </c>
      <c r="Q2329">
        <v>4.5170540000000002E-2</v>
      </c>
      <c r="R2329">
        <v>-0.99729959999999995</v>
      </c>
      <c r="S2329">
        <v>-1.132202E-2</v>
      </c>
      <c r="T2329">
        <v>-0.16794629999999999</v>
      </c>
      <c r="U2329">
        <v>-3.0160520000000002</v>
      </c>
      <c r="V2329">
        <v>-0.1183022</v>
      </c>
      <c r="W2329">
        <v>5.6417839999999997E-2</v>
      </c>
      <c r="X2329">
        <v>0.99137359999999897</v>
      </c>
      <c r="Y2329">
        <v>-5.656224E-2</v>
      </c>
      <c r="Z2329">
        <v>5.5401649999999997E-2</v>
      </c>
      <c r="AA2329">
        <v>0.99686070000000004</v>
      </c>
      <c r="AB2329">
        <v>29</v>
      </c>
      <c r="AC2329">
        <v>-6.4999999999997699E-2</v>
      </c>
      <c r="AD2329">
        <v>-1.1072325029629999</v>
      </c>
      <c r="AE2329">
        <v>-19.6998999999999</v>
      </c>
      <c r="AF2329">
        <v>-1.1195647054751099</v>
      </c>
      <c r="AG2329">
        <v>-1.1072325029629999</v>
      </c>
      <c r="AH2329">
        <v>19.6060322818713</v>
      </c>
      <c r="AI2329">
        <v>93.227046798581895</v>
      </c>
      <c r="AJ2329">
        <v>93.268215910890007</v>
      </c>
      <c r="AK2329">
        <v>19.669160906941201</v>
      </c>
    </row>
    <row r="2330" spans="1:37" x14ac:dyDescent="0.2">
      <c r="A2330" t="str">
        <f>"20200111153441640"</f>
        <v>20200111153441640</v>
      </c>
      <c r="B2330" t="str">
        <f>"1578728081637806"</f>
        <v>1578728081637806</v>
      </c>
      <c r="C2330" t="s">
        <v>37</v>
      </c>
      <c r="D2330">
        <v>4.8174289999999997</v>
      </c>
      <c r="E2330">
        <v>0.52229150000000002</v>
      </c>
      <c r="F2330" t="s">
        <v>39</v>
      </c>
      <c r="G2330">
        <v>-490.22559999999999</v>
      </c>
      <c r="H2330" s="1">
        <v>-1.364613E-6</v>
      </c>
      <c r="I2330">
        <v>242.6301</v>
      </c>
      <c r="J2330">
        <v>-490.19380000000001</v>
      </c>
      <c r="K2330">
        <v>1.1071489999999999</v>
      </c>
      <c r="L2330">
        <v>262.41669999999999</v>
      </c>
      <c r="M2330">
        <v>-5.7901139999999997E-2</v>
      </c>
      <c r="N2330">
        <v>0</v>
      </c>
      <c r="O2330">
        <v>-0.99825269999999999</v>
      </c>
      <c r="P2330">
        <v>5.9009270000000003E-2</v>
      </c>
      <c r="Q2330">
        <v>4.5209329999999999E-2</v>
      </c>
      <c r="R2330">
        <v>-0.997233499999999</v>
      </c>
      <c r="S2330">
        <v>-6.4392090000000004E-3</v>
      </c>
      <c r="T2330">
        <v>-0.1669022</v>
      </c>
      <c r="U2330">
        <v>-3.0160520000000002</v>
      </c>
      <c r="V2330">
        <v>-0.117004</v>
      </c>
      <c r="W2330">
        <v>5.6194559999999998E-2</v>
      </c>
      <c r="X2330">
        <v>0.99154030000000004</v>
      </c>
      <c r="Y2330">
        <v>-5.5776829999999999E-2</v>
      </c>
      <c r="Z2330">
        <v>5.5071370000000001E-2</v>
      </c>
      <c r="AA2330">
        <v>0.99692329999999996</v>
      </c>
      <c r="AB2330">
        <v>30</v>
      </c>
      <c r="AC2330">
        <v>-3.1799999999975598E-2</v>
      </c>
      <c r="AD2330">
        <v>-1.1071503646130001</v>
      </c>
      <c r="AE2330">
        <v>-19.7866</v>
      </c>
      <c r="AF2330">
        <v>-1.1105227492171399</v>
      </c>
      <c r="AG2330">
        <v>-1.1071503646130001</v>
      </c>
      <c r="AH2330">
        <v>19.6935825005101</v>
      </c>
      <c r="AI2330">
        <v>93.2126221467379</v>
      </c>
      <c r="AJ2330">
        <v>93.227495676042906</v>
      </c>
      <c r="AK2330">
        <v>19.755916440671299</v>
      </c>
    </row>
    <row r="2331" spans="1:37" x14ac:dyDescent="0.2">
      <c r="A2331" t="str">
        <f>"20200111153441653"</f>
        <v>20200111153441653</v>
      </c>
      <c r="B2331" t="str">
        <f>"1578728081648543"</f>
        <v>1578728081648543</v>
      </c>
      <c r="C2331" t="s">
        <v>37</v>
      </c>
      <c r="D2331">
        <v>4.9443519999999896</v>
      </c>
      <c r="E2331">
        <v>0.52229150000000002</v>
      </c>
      <c r="F2331" t="s">
        <v>39</v>
      </c>
      <c r="G2331">
        <v>-490.21449999999999</v>
      </c>
      <c r="H2331" s="1">
        <v>-1.221374E-6</v>
      </c>
      <c r="I2331">
        <v>242.3031</v>
      </c>
      <c r="J2331">
        <v>-490.20190000000002</v>
      </c>
      <c r="K2331">
        <v>1.1070899999999999</v>
      </c>
      <c r="L2331">
        <v>262.24470000000002</v>
      </c>
      <c r="M2331">
        <v>-5.6070769999999999E-2</v>
      </c>
      <c r="N2331">
        <v>0</v>
      </c>
      <c r="O2331">
        <v>-0.99835989999999997</v>
      </c>
      <c r="P2331">
        <v>6.0478410000000003E-2</v>
      </c>
      <c r="Q2331">
        <v>4.5150099999999999E-2</v>
      </c>
      <c r="R2331">
        <v>-0.99714829999999999</v>
      </c>
      <c r="S2331">
        <v>-3.112793E-3</v>
      </c>
      <c r="T2331">
        <v>-0.16601629999999901</v>
      </c>
      <c r="U2331">
        <v>-3.016022</v>
      </c>
      <c r="V2331">
        <v>-0.1166413</v>
      </c>
      <c r="W2331">
        <v>5.592366E-2</v>
      </c>
      <c r="X2331">
        <v>0.99159839999999999</v>
      </c>
      <c r="Y2331">
        <v>-5.5045530000000002E-2</v>
      </c>
      <c r="Z2331">
        <v>5.4790279999999997E-2</v>
      </c>
      <c r="AA2331">
        <v>0.99697939999999996</v>
      </c>
      <c r="AB2331">
        <v>30</v>
      </c>
      <c r="AC2331">
        <v>-1.25999999999635E-2</v>
      </c>
      <c r="AD2331">
        <v>-1.1070912213739901</v>
      </c>
      <c r="AE2331">
        <v>-19.941600000000001</v>
      </c>
      <c r="AF2331">
        <v>-1.10223817189869</v>
      </c>
      <c r="AG2331">
        <v>-1.1070912213739901</v>
      </c>
      <c r="AH2331">
        <v>19.8497512510645</v>
      </c>
      <c r="AI2331">
        <v>93.187381886823303</v>
      </c>
      <c r="AJ2331">
        <v>93.178317118652501</v>
      </c>
      <c r="AK2331">
        <v>19.911132682225102</v>
      </c>
    </row>
    <row r="2332" spans="1:37" x14ac:dyDescent="0.2">
      <c r="A2332" t="str">
        <f>"20200111153441667"</f>
        <v>20200111153441667</v>
      </c>
      <c r="B2332" t="str">
        <f>"1578728081658304"</f>
        <v>1578728081658304</v>
      </c>
      <c r="C2332" t="s">
        <v>37</v>
      </c>
      <c r="D2332">
        <v>4.8166539999999998</v>
      </c>
      <c r="E2332">
        <v>0.54060989999999998</v>
      </c>
      <c r="F2332" t="s">
        <v>39</v>
      </c>
      <c r="G2332">
        <v>-490.19049999999999</v>
      </c>
      <c r="H2332" s="1">
        <v>-1.153177E-6</v>
      </c>
      <c r="I2332">
        <v>242.15899999999999</v>
      </c>
      <c r="J2332">
        <v>-490.21</v>
      </c>
      <c r="K2332">
        <v>1.107029</v>
      </c>
      <c r="L2332">
        <v>262.06889999999999</v>
      </c>
      <c r="M2332">
        <v>-5.4216769999999997E-2</v>
      </c>
      <c r="N2332">
        <v>0</v>
      </c>
      <c r="O2332">
        <v>-0.99846469999999898</v>
      </c>
      <c r="P2332">
        <v>6.2154870000000001E-2</v>
      </c>
      <c r="Q2332">
        <v>4.5301090000000002E-2</v>
      </c>
      <c r="R2332">
        <v>-0.99703790000000003</v>
      </c>
      <c r="S2332">
        <v>1.708984E-3</v>
      </c>
      <c r="T2332">
        <v>-0.16623679999999999</v>
      </c>
      <c r="U2332">
        <v>-3.0159910000000001</v>
      </c>
      <c r="V2332">
        <v>-0.116461999999999</v>
      </c>
      <c r="W2332">
        <v>5.5857959999999998E-2</v>
      </c>
      <c r="X2332">
        <v>0.99162320000000004</v>
      </c>
      <c r="Y2332">
        <v>-5.4785149999999998E-2</v>
      </c>
      <c r="Z2332">
        <v>5.4872209999999998E-2</v>
      </c>
      <c r="AA2332">
        <v>0.99698929999999997</v>
      </c>
      <c r="AB2332">
        <v>30</v>
      </c>
      <c r="AC2332">
        <v>1.9499999999993599E-2</v>
      </c>
      <c r="AD2332">
        <v>-1.1070301531769999</v>
      </c>
      <c r="AE2332">
        <v>-19.909899999999901</v>
      </c>
      <c r="AF2332">
        <v>-1.0956041529670399</v>
      </c>
      <c r="AG2332">
        <v>-1.1070301531769999</v>
      </c>
      <c r="AH2332">
        <v>19.818285444075698</v>
      </c>
      <c r="AI2332">
        <v>93.1922997401294</v>
      </c>
      <c r="AJ2332">
        <v>93.164232480406895</v>
      </c>
      <c r="AK2332">
        <v>19.879393908338901</v>
      </c>
    </row>
    <row r="2333" spans="1:37" x14ac:dyDescent="0.2">
      <c r="A2333" t="str">
        <f>"20200111153441679"</f>
        <v>20200111153441679</v>
      </c>
      <c r="B2333" t="str">
        <f>"1578728081668063"</f>
        <v>1578728081668063</v>
      </c>
      <c r="C2333" t="s">
        <v>37</v>
      </c>
      <c r="D2333">
        <v>4.9441540000000002</v>
      </c>
      <c r="E2333">
        <v>0.5481066</v>
      </c>
      <c r="F2333" t="s">
        <v>39</v>
      </c>
      <c r="G2333">
        <v>-491.34249999999997</v>
      </c>
      <c r="H2333" s="1">
        <v>-3.74794E-6</v>
      </c>
      <c r="I2333">
        <v>237.49299999999999</v>
      </c>
      <c r="J2333">
        <v>-490.21749999999997</v>
      </c>
      <c r="K2333">
        <v>1.106976</v>
      </c>
      <c r="L2333">
        <v>261.8999</v>
      </c>
      <c r="M2333">
        <v>-5.2445819999999997E-2</v>
      </c>
      <c r="N2333">
        <v>0</v>
      </c>
      <c r="O2333">
        <v>-0.9985619</v>
      </c>
      <c r="P2333">
        <v>6.3715220000000003E-2</v>
      </c>
      <c r="Q2333">
        <v>4.5096709999999998E-2</v>
      </c>
      <c r="R2333">
        <v>-0.99694910000000003</v>
      </c>
      <c r="S2333">
        <v>-0.1393433</v>
      </c>
      <c r="T2333">
        <v>-0.13620869999999999</v>
      </c>
      <c r="U2333">
        <v>-3.0238040000000002</v>
      </c>
      <c r="V2333">
        <v>-0.11624909999999999</v>
      </c>
      <c r="W2333">
        <v>5.5444710000000001E-2</v>
      </c>
      <c r="X2333">
        <v>0.99167129999999903</v>
      </c>
      <c r="Y2333">
        <v>-6.4700130000000002E-3</v>
      </c>
      <c r="Z2333">
        <v>4.4882789999999999E-2</v>
      </c>
      <c r="AA2333">
        <v>0.99897130000000001</v>
      </c>
      <c r="AB2333">
        <v>30</v>
      </c>
      <c r="AC2333">
        <v>-1.125</v>
      </c>
      <c r="AD2333">
        <v>-1.1069797479400001</v>
      </c>
      <c r="AE2333">
        <v>-24.4069</v>
      </c>
      <c r="AF2333">
        <v>-0.156346488949971</v>
      </c>
      <c r="AG2333">
        <v>-1.1069797479400001</v>
      </c>
      <c r="AH2333">
        <v>24.382261292603001</v>
      </c>
      <c r="AI2333">
        <v>92.599448872938694</v>
      </c>
      <c r="AJ2333">
        <v>90.367392961498695</v>
      </c>
      <c r="AK2333">
        <v>24.4078781160453</v>
      </c>
    </row>
    <row r="2334" spans="1:37" x14ac:dyDescent="0.2">
      <c r="A2334" t="str">
        <f>"20200111153441697"</f>
        <v>20200111153441697</v>
      </c>
      <c r="B2334" t="str">
        <f>"1578728081688394"</f>
        <v>1578728081688394</v>
      </c>
      <c r="C2334" t="s">
        <v>37</v>
      </c>
      <c r="D2334">
        <v>4.856268</v>
      </c>
      <c r="E2334">
        <v>0.60708530000000005</v>
      </c>
      <c r="F2334" t="s">
        <v>39</v>
      </c>
      <c r="G2334">
        <v>-491.81279999999998</v>
      </c>
      <c r="H2334" s="1">
        <v>-3.6692450000000001E-6</v>
      </c>
      <c r="I2334">
        <v>237.0179</v>
      </c>
      <c r="J2334">
        <v>-490.22730000000001</v>
      </c>
      <c r="K2334">
        <v>1.106897</v>
      </c>
      <c r="L2334">
        <v>261.66579999999999</v>
      </c>
      <c r="M2334">
        <v>-5.0030289999999998E-2</v>
      </c>
      <c r="N2334">
        <v>0</v>
      </c>
      <c r="O2334">
        <v>-0.9986893</v>
      </c>
      <c r="P2334">
        <v>6.5301410000000004E-2</v>
      </c>
      <c r="Q2334">
        <v>4.4443370000000003E-2</v>
      </c>
      <c r="R2334">
        <v>-0.99687579999999998</v>
      </c>
      <c r="S2334">
        <v>-0.1941223</v>
      </c>
      <c r="T2334">
        <v>-0.1347003</v>
      </c>
      <c r="U2334">
        <v>-3.0277099999999999</v>
      </c>
      <c r="V2334">
        <v>-0.1154196</v>
      </c>
      <c r="W2334">
        <v>5.4494380000000002E-2</v>
      </c>
      <c r="X2334">
        <v>0.99182090000000001</v>
      </c>
      <c r="Y2334">
        <v>1.39101E-2</v>
      </c>
      <c r="Z2334">
        <v>4.4314270000000003E-2</v>
      </c>
      <c r="AA2334">
        <v>0.99892080000000005</v>
      </c>
      <c r="AB2334">
        <v>30</v>
      </c>
      <c r="AC2334">
        <v>-1.5854999999999599</v>
      </c>
      <c r="AD2334">
        <v>-1.1069006692450001</v>
      </c>
      <c r="AE2334">
        <v>-24.6479</v>
      </c>
      <c r="AF2334">
        <v>0.34959857624910801</v>
      </c>
      <c r="AG2334">
        <v>-1.1069006692450001</v>
      </c>
      <c r="AH2334">
        <v>24.646855176243001</v>
      </c>
      <c r="AI2334">
        <v>92.571191451147996</v>
      </c>
      <c r="AJ2334">
        <v>89.187353533847002</v>
      </c>
      <c r="AK2334">
        <v>24.6741751297746</v>
      </c>
    </row>
    <row r="2335" spans="1:37" x14ac:dyDescent="0.2">
      <c r="A2335" t="str">
        <f>"20200111153441709"</f>
        <v>20200111153441709</v>
      </c>
      <c r="B2335" t="str">
        <f>"1578728081698154"</f>
        <v>1578728081698154</v>
      </c>
      <c r="C2335" t="s">
        <v>37</v>
      </c>
      <c r="D2335">
        <v>5.2344540000000004</v>
      </c>
      <c r="E2335">
        <v>0.60374410000000001</v>
      </c>
      <c r="F2335" t="s">
        <v>59</v>
      </c>
      <c r="G2335">
        <v>-511.92610000000002</v>
      </c>
      <c r="H2335">
        <v>2.6434899999999999</v>
      </c>
      <c r="I2335">
        <v>160.9239</v>
      </c>
      <c r="J2335">
        <v>-490.23399999999998</v>
      </c>
      <c r="K2335">
        <v>1.1068480000000001</v>
      </c>
      <c r="L2335">
        <v>261.49759999999998</v>
      </c>
      <c r="M2335">
        <v>-4.8319859999999999E-2</v>
      </c>
      <c r="N2335">
        <v>0</v>
      </c>
      <c r="O2335">
        <v>-0.99877590000000005</v>
      </c>
      <c r="P2335">
        <v>6.6583310000000007E-2</v>
      </c>
      <c r="Q2335">
        <v>4.4380759999999998E-2</v>
      </c>
      <c r="R2335">
        <v>-0.9967935</v>
      </c>
      <c r="S2335">
        <v>-0.65701290000000001</v>
      </c>
      <c r="T2335">
        <v>4.6527270000000003E-2</v>
      </c>
      <c r="U2335">
        <v>-3.0503230000000001</v>
      </c>
      <c r="V2335">
        <v>-0.11499189999999899</v>
      </c>
      <c r="W2335">
        <v>5.4214409999999998E-2</v>
      </c>
      <c r="X2335">
        <v>0.99188589999999999</v>
      </c>
      <c r="Y2335">
        <v>0.16305359999999999</v>
      </c>
      <c r="Z2335">
        <v>-1.4951320000000001E-2</v>
      </c>
      <c r="AA2335">
        <v>0.98650389999999999</v>
      </c>
      <c r="AB2335">
        <v>30</v>
      </c>
      <c r="AC2335">
        <v>-21.6920999999999</v>
      </c>
      <c r="AD2335">
        <v>1.5366420000000001</v>
      </c>
      <c r="AE2335">
        <v>-100.57369999999899</v>
      </c>
      <c r="AF2335">
        <v>16.803031751642699</v>
      </c>
      <c r="AG2335">
        <v>1.5366420000000001</v>
      </c>
      <c r="AH2335">
        <v>101.481789008926</v>
      </c>
      <c r="AI2335">
        <v>89.144141794988201</v>
      </c>
      <c r="AJ2335">
        <v>80.598444545792205</v>
      </c>
      <c r="AK2335">
        <v>102.874956355447</v>
      </c>
    </row>
    <row r="2336" spans="1:37" x14ac:dyDescent="0.2">
      <c r="A2336" t="str">
        <f>"20200111153441722"</f>
        <v>20200111153441722</v>
      </c>
      <c r="B2336" t="str">
        <f>"1578728081718651"</f>
        <v>1578728081718651</v>
      </c>
      <c r="C2336" t="s">
        <v>37</v>
      </c>
      <c r="D2336">
        <v>5.1314019999999996</v>
      </c>
      <c r="E2336">
        <v>0.59826840000000003</v>
      </c>
      <c r="F2336" t="s">
        <v>50</v>
      </c>
      <c r="G2336">
        <v>-502.24160000000001</v>
      </c>
      <c r="H2336">
        <v>7.9999609999999999E-2</v>
      </c>
      <c r="I2336">
        <v>203.05860000000001</v>
      </c>
      <c r="J2336">
        <v>-490.24059999999997</v>
      </c>
      <c r="K2336">
        <v>1.1067990000000001</v>
      </c>
      <c r="L2336">
        <v>261.32819999999998</v>
      </c>
      <c r="M2336">
        <v>-4.661175E-2</v>
      </c>
      <c r="N2336">
        <v>0</v>
      </c>
      <c r="O2336">
        <v>-0.99885959999999996</v>
      </c>
      <c r="P2336">
        <v>6.7556850000000002E-2</v>
      </c>
      <c r="Q2336">
        <v>4.4499999999999998E-2</v>
      </c>
      <c r="R2336">
        <v>-0.99672280000000002</v>
      </c>
      <c r="S2336">
        <v>-0.62750240000000002</v>
      </c>
      <c r="T2336">
        <v>-5.3661939999999998E-2</v>
      </c>
      <c r="U2336">
        <v>-3.05395499999999</v>
      </c>
      <c r="V2336">
        <v>-0.1142603</v>
      </c>
      <c r="W2336">
        <v>5.4114429999999998E-2</v>
      </c>
      <c r="X2336">
        <v>0.99197590000000002</v>
      </c>
      <c r="Y2336">
        <v>0.15535829999999901</v>
      </c>
      <c r="Z2336">
        <v>1.7253170000000002E-2</v>
      </c>
      <c r="AA2336">
        <v>0.98770749999999996</v>
      </c>
      <c r="AB2336">
        <v>30</v>
      </c>
      <c r="AC2336">
        <v>-12.000999999999999</v>
      </c>
      <c r="AD2336">
        <v>-1.0267993900000001</v>
      </c>
      <c r="AE2336">
        <v>-58.269599999999897</v>
      </c>
      <c r="AF2336">
        <v>9.2690002878889306</v>
      </c>
      <c r="AG2336">
        <v>-1.0267993900000001</v>
      </c>
      <c r="AH2336">
        <v>58.748176368825497</v>
      </c>
      <c r="AI2336">
        <v>90.989080046664498</v>
      </c>
      <c r="AJ2336">
        <v>81.034060615291395</v>
      </c>
      <c r="AK2336">
        <v>59.4837533280039</v>
      </c>
    </row>
    <row r="2337" spans="1:37" x14ac:dyDescent="0.2">
      <c r="A2337" t="str">
        <f>"20200111153441735"</f>
        <v>20200111153441735</v>
      </c>
      <c r="B2337" t="str">
        <f>"1578728081728412"</f>
        <v>1578728081728412</v>
      </c>
      <c r="C2337" t="s">
        <v>37</v>
      </c>
      <c r="D2337">
        <v>5.1441790000000003</v>
      </c>
      <c r="E2337">
        <v>0.59687789999999996</v>
      </c>
      <c r="F2337" t="s">
        <v>39</v>
      </c>
      <c r="G2337">
        <v>-494.64420000000001</v>
      </c>
      <c r="H2337" s="1">
        <v>-4.636346E-6</v>
      </c>
      <c r="I2337">
        <v>238.1901</v>
      </c>
      <c r="J2337">
        <v>-490.24689999999998</v>
      </c>
      <c r="K2337">
        <v>1.1067530000000001</v>
      </c>
      <c r="L2337">
        <v>261.15980000000002</v>
      </c>
      <c r="M2337">
        <v>-4.493685E-2</v>
      </c>
      <c r="N2337">
        <v>0</v>
      </c>
      <c r="O2337">
        <v>-0.99893880000000002</v>
      </c>
      <c r="P2337">
        <v>6.8579409999999993E-2</v>
      </c>
      <c r="Q2337">
        <v>4.5088719999999999E-2</v>
      </c>
      <c r="R2337">
        <v>-0.99662649999999997</v>
      </c>
      <c r="S2337">
        <v>-0.58157349999999997</v>
      </c>
      <c r="T2337">
        <v>-0.14617430000000001</v>
      </c>
      <c r="U2337">
        <v>-3.0558169999999998</v>
      </c>
      <c r="V2337">
        <v>-0.1136124</v>
      </c>
      <c r="W2337">
        <v>5.4479619999999999E-2</v>
      </c>
      <c r="X2337">
        <v>0.99203030000000003</v>
      </c>
      <c r="Y2337">
        <v>0.1424185</v>
      </c>
      <c r="Z2337">
        <v>4.7043219999999997E-2</v>
      </c>
      <c r="AA2337">
        <v>0.98868799999999901</v>
      </c>
      <c r="AB2337">
        <v>30</v>
      </c>
      <c r="AC2337">
        <v>-4.3973000000000297</v>
      </c>
      <c r="AD2337">
        <v>-1.1067576363460001</v>
      </c>
      <c r="AE2337">
        <v>-22.9697</v>
      </c>
      <c r="AF2337">
        <v>3.3531094496789202</v>
      </c>
      <c r="AG2337">
        <v>-1.1067576363460001</v>
      </c>
      <c r="AH2337">
        <v>23.0923884160085</v>
      </c>
      <c r="AI2337">
        <v>92.715502300567607</v>
      </c>
      <c r="AJ2337">
        <v>81.738159905377202</v>
      </c>
      <c r="AK2337">
        <v>23.360793184370699</v>
      </c>
    </row>
    <row r="2338" spans="1:37" x14ac:dyDescent="0.2">
      <c r="A2338" t="str">
        <f>"20200111153441757"</f>
        <v>20200111153441757</v>
      </c>
      <c r="B2338" t="str">
        <f>"1578728081747931"</f>
        <v>1578728081747931</v>
      </c>
      <c r="C2338" t="s">
        <v>37</v>
      </c>
      <c r="D2338">
        <v>5.08</v>
      </c>
      <c r="E2338">
        <v>0.59463909999999998</v>
      </c>
      <c r="F2338" t="s">
        <v>39</v>
      </c>
      <c r="G2338">
        <v>-494.19130000000001</v>
      </c>
      <c r="H2338" s="1">
        <v>-1.2676599999999999E-6</v>
      </c>
      <c r="I2338">
        <v>239.94450000000001</v>
      </c>
      <c r="J2338">
        <v>-490.25699999999898</v>
      </c>
      <c r="K2338">
        <v>1.106673</v>
      </c>
      <c r="L2338">
        <v>260.87110000000001</v>
      </c>
      <c r="M2338">
        <v>-4.21155E-2</v>
      </c>
      <c r="N2338">
        <v>0</v>
      </c>
      <c r="O2338">
        <v>-0.99906550000000005</v>
      </c>
      <c r="P2338">
        <v>6.9917229999999997E-2</v>
      </c>
      <c r="Q2338">
        <v>4.6232549999999997E-2</v>
      </c>
      <c r="R2338">
        <v>-0.99648080000000006</v>
      </c>
      <c r="S2338">
        <v>-0.56826779999999999</v>
      </c>
      <c r="T2338">
        <v>-0.1594486</v>
      </c>
      <c r="U2338">
        <v>-3.0564580000000001</v>
      </c>
      <c r="V2338">
        <v>-0.11213819999999999</v>
      </c>
      <c r="W2338">
        <v>5.5245219999999998E-2</v>
      </c>
      <c r="X2338">
        <v>0.99215569999999897</v>
      </c>
      <c r="Y2338">
        <v>0.1409802</v>
      </c>
      <c r="Z2338">
        <v>5.1329069999999997E-2</v>
      </c>
      <c r="AA2338">
        <v>0.98868089999999997</v>
      </c>
      <c r="AB2338">
        <v>30</v>
      </c>
      <c r="AC2338">
        <v>-3.9343000000000599</v>
      </c>
      <c r="AD2338">
        <v>-1.1066742676600001</v>
      </c>
      <c r="AE2338">
        <v>-20.926600000000001</v>
      </c>
      <c r="AF2338">
        <v>3.0412181875303701</v>
      </c>
      <c r="AG2338">
        <v>-1.1066742676600001</v>
      </c>
      <c r="AH2338">
        <v>21.016962891908999</v>
      </c>
      <c r="AI2338">
        <v>92.983183061910694</v>
      </c>
      <c r="AJ2338">
        <v>81.766278289677203</v>
      </c>
      <c r="AK2338">
        <v>21.264676465884602</v>
      </c>
    </row>
    <row r="2339" spans="1:37" x14ac:dyDescent="0.2">
      <c r="A2339" t="str">
        <f>"20200111153441771"</f>
        <v>20200111153441771</v>
      </c>
      <c r="B2339" t="str">
        <f>"1578728081758667"</f>
        <v>1578728081758667</v>
      </c>
      <c r="C2339" t="s">
        <v>37</v>
      </c>
      <c r="D2339">
        <v>5.080832</v>
      </c>
      <c r="E2339">
        <v>0.59398689999999998</v>
      </c>
      <c r="F2339" t="s">
        <v>39</v>
      </c>
      <c r="G2339">
        <v>-493.64819999999997</v>
      </c>
      <c r="H2339" s="1">
        <v>-1.9541390000000001E-6</v>
      </c>
      <c r="I2339">
        <v>241.88149999999999</v>
      </c>
      <c r="J2339">
        <v>-490.26319999999998</v>
      </c>
      <c r="K2339">
        <v>1.106625</v>
      </c>
      <c r="L2339">
        <v>260.68259999999998</v>
      </c>
      <c r="M2339">
        <v>-4.0313839999999997E-2</v>
      </c>
      <c r="N2339">
        <v>0</v>
      </c>
      <c r="O2339">
        <v>-0.99914230000000004</v>
      </c>
      <c r="P2339">
        <v>7.1071419999999996E-2</v>
      </c>
      <c r="Q2339">
        <v>4.7158819999999997E-2</v>
      </c>
      <c r="R2339">
        <v>-0.99635560000000001</v>
      </c>
      <c r="S2339">
        <v>-0.54595950000000004</v>
      </c>
      <c r="T2339">
        <v>-0.17816750000000001</v>
      </c>
      <c r="U2339">
        <v>-3.0571899999999999</v>
      </c>
      <c r="V2339">
        <v>-0.11149629999999899</v>
      </c>
      <c r="W2339">
        <v>5.5921289999999998E-2</v>
      </c>
      <c r="X2339">
        <v>0.99219020000000002</v>
      </c>
      <c r="Y2339">
        <v>0.13568050000000001</v>
      </c>
      <c r="Z2339">
        <v>5.7387380000000002E-2</v>
      </c>
      <c r="AA2339">
        <v>0.98908929999999995</v>
      </c>
      <c r="AB2339">
        <v>30</v>
      </c>
      <c r="AC2339">
        <v>-3.38499999999999</v>
      </c>
      <c r="AD2339">
        <v>-1.1066269541389999</v>
      </c>
      <c r="AE2339">
        <v>-18.801099999999899</v>
      </c>
      <c r="AF2339">
        <v>2.6154927563074102</v>
      </c>
      <c r="AG2339">
        <v>-1.1066269541389999</v>
      </c>
      <c r="AH2339">
        <v>18.858998140125699</v>
      </c>
      <c r="AI2339">
        <v>93.326442102649295</v>
      </c>
      <c r="AJ2339">
        <v>82.104201334888799</v>
      </c>
      <c r="AK2339">
        <v>19.071634340642898</v>
      </c>
    </row>
    <row r="2340" spans="1:37" x14ac:dyDescent="0.2">
      <c r="A2340" t="str">
        <f>"20200111153441787"</f>
        <v>20200111153441787</v>
      </c>
      <c r="B2340" t="str">
        <f>"1578728081778186"</f>
        <v>1578728081778186</v>
      </c>
      <c r="C2340" t="s">
        <v>37</v>
      </c>
      <c r="D2340">
        <v>5.0681120000000002</v>
      </c>
      <c r="E2340">
        <v>0.59294340000000001</v>
      </c>
      <c r="F2340" t="s">
        <v>39</v>
      </c>
      <c r="G2340">
        <v>-493.54270000000002</v>
      </c>
      <c r="H2340" s="1">
        <v>-1.9879180000000001E-6</v>
      </c>
      <c r="I2340">
        <v>242.0257</v>
      </c>
      <c r="J2340">
        <v>-490.27030000000002</v>
      </c>
      <c r="K2340">
        <v>1.1065590000000001</v>
      </c>
      <c r="L2340">
        <v>260.457999999999</v>
      </c>
      <c r="M2340">
        <v>-3.8201279999999997E-2</v>
      </c>
      <c r="N2340">
        <v>0</v>
      </c>
      <c r="O2340">
        <v>-0.99922829999999996</v>
      </c>
      <c r="P2340">
        <v>7.1288279999999996E-2</v>
      </c>
      <c r="Q2340">
        <v>4.843314E-2</v>
      </c>
      <c r="R2340">
        <v>-0.99627919999999903</v>
      </c>
      <c r="S2340">
        <v>-0.53750609999999999</v>
      </c>
      <c r="T2340">
        <v>-0.1813777</v>
      </c>
      <c r="U2340">
        <v>-3.0578919999999998</v>
      </c>
      <c r="V2340">
        <v>-0.10961220000000001</v>
      </c>
      <c r="W2340">
        <v>5.6903429999999998E-2</v>
      </c>
      <c r="X2340">
        <v>0.99234429999999996</v>
      </c>
      <c r="Y2340">
        <v>0.13507439999999901</v>
      </c>
      <c r="Z2340">
        <v>5.8428359999999999E-2</v>
      </c>
      <c r="AA2340">
        <v>0.98911119999999997</v>
      </c>
      <c r="AB2340">
        <v>30</v>
      </c>
      <c r="AC2340">
        <v>-3.2724000000000002</v>
      </c>
      <c r="AD2340">
        <v>-1.1065609879180001</v>
      </c>
      <c r="AE2340">
        <v>-18.432299999999898</v>
      </c>
      <c r="AF2340">
        <v>2.5569106485706898</v>
      </c>
      <c r="AG2340">
        <v>-1.1065609879180001</v>
      </c>
      <c r="AH2340">
        <v>18.479294189231499</v>
      </c>
      <c r="AI2340">
        <v>93.394579686464098</v>
      </c>
      <c r="AJ2340">
        <v>82.122217651200799</v>
      </c>
      <c r="AK2340">
        <v>18.688140170089699</v>
      </c>
    </row>
    <row r="2341" spans="1:37" x14ac:dyDescent="0.2">
      <c r="A2341" t="str">
        <f>"20200111153441802"</f>
        <v>20200111153441802</v>
      </c>
      <c r="B2341" t="str">
        <f>"1578728081787947"</f>
        <v>1578728081787947</v>
      </c>
      <c r="C2341" t="s">
        <v>37</v>
      </c>
      <c r="D2341">
        <v>5.0539579999999997</v>
      </c>
      <c r="E2341">
        <v>0.59275519999999904</v>
      </c>
      <c r="F2341" t="s">
        <v>39</v>
      </c>
      <c r="G2341">
        <v>-493.4169</v>
      </c>
      <c r="H2341" s="1">
        <v>-2.048281E-6</v>
      </c>
      <c r="I2341">
        <v>242.24440000000001</v>
      </c>
      <c r="J2341">
        <v>-490.27589999999998</v>
      </c>
      <c r="K2341">
        <v>1.1065020000000001</v>
      </c>
      <c r="L2341">
        <v>260.26760000000002</v>
      </c>
      <c r="M2341">
        <v>-3.6440090000000001E-2</v>
      </c>
      <c r="N2341">
        <v>0</v>
      </c>
      <c r="O2341">
        <v>-0.99929650000000003</v>
      </c>
      <c r="P2341">
        <v>7.1747920000000007E-2</v>
      </c>
      <c r="Q2341">
        <v>4.8997319999999997E-2</v>
      </c>
      <c r="R2341">
        <v>-0.99621890000000002</v>
      </c>
      <c r="S2341">
        <v>-0.52832029999999996</v>
      </c>
      <c r="T2341">
        <v>-0.18579039999999999</v>
      </c>
      <c r="U2341">
        <v>-3.05804399999999</v>
      </c>
      <c r="V2341">
        <v>-0.108317</v>
      </c>
      <c r="W2341">
        <v>5.7218579999999998E-2</v>
      </c>
      <c r="X2341">
        <v>0.99246840000000003</v>
      </c>
      <c r="Y2341">
        <v>0.13391429999999999</v>
      </c>
      <c r="Z2341">
        <v>5.9867770000000001E-2</v>
      </c>
      <c r="AA2341">
        <v>0.98918289999999998</v>
      </c>
      <c r="AB2341">
        <v>30</v>
      </c>
      <c r="AC2341">
        <v>-3.14100000000002</v>
      </c>
      <c r="AD2341">
        <v>-1.106504048281</v>
      </c>
      <c r="AE2341">
        <v>-18.023199999999999</v>
      </c>
      <c r="AF2341">
        <v>2.4730742572514401</v>
      </c>
      <c r="AG2341">
        <v>-1.106504048281</v>
      </c>
      <c r="AH2341">
        <v>18.059628774555801</v>
      </c>
      <c r="AI2341">
        <v>93.473760825493599</v>
      </c>
      <c r="AJ2341">
        <v>82.202451352823601</v>
      </c>
      <c r="AK2341">
        <v>18.261726067529999</v>
      </c>
    </row>
    <row r="2342" spans="1:37" x14ac:dyDescent="0.2">
      <c r="A2342" t="str">
        <f>"20200111153441821"</f>
        <v>20200111153441821</v>
      </c>
      <c r="B2342" t="str">
        <f>"1578728081808443"</f>
        <v>1578728081808443</v>
      </c>
      <c r="C2342" t="s">
        <v>37</v>
      </c>
      <c r="D2342">
        <v>5.0297700000000001</v>
      </c>
      <c r="E2342">
        <v>0.59247209999999995</v>
      </c>
      <c r="F2342" t="s">
        <v>39</v>
      </c>
      <c r="G2342">
        <v>-493.38049999999998</v>
      </c>
      <c r="H2342" s="1">
        <v>-2.0175850000000002E-6</v>
      </c>
      <c r="I2342">
        <v>242.19550000000001</v>
      </c>
      <c r="J2342">
        <v>-490.28309999999999</v>
      </c>
      <c r="K2342">
        <v>1.106427</v>
      </c>
      <c r="L2342">
        <v>260.00799999999998</v>
      </c>
      <c r="M2342">
        <v>-3.4093310000000002E-2</v>
      </c>
      <c r="N2342">
        <v>0</v>
      </c>
      <c r="O2342">
        <v>-0.99938229999999995</v>
      </c>
      <c r="P2342">
        <v>7.1511359999999996E-2</v>
      </c>
      <c r="Q2342">
        <v>4.9624550000000003E-2</v>
      </c>
      <c r="R2342">
        <v>-0.99620469999999905</v>
      </c>
      <c r="S2342">
        <v>-0.52542109999999997</v>
      </c>
      <c r="T2342">
        <v>-0.18726309999999999</v>
      </c>
      <c r="U2342">
        <v>-3.0585019999999998</v>
      </c>
      <c r="V2342">
        <v>-0.10574409999999999</v>
      </c>
      <c r="W2342">
        <v>5.7517069999999997E-2</v>
      </c>
      <c r="X2342">
        <v>0.99272850000000001</v>
      </c>
      <c r="Y2342">
        <v>0.13530110000000001</v>
      </c>
      <c r="Z2342">
        <v>6.0338309999999999E-2</v>
      </c>
      <c r="AA2342">
        <v>0.988965599999999</v>
      </c>
      <c r="AB2342">
        <v>30</v>
      </c>
      <c r="AC2342">
        <v>-3.0973999999999902</v>
      </c>
      <c r="AD2342">
        <v>-1.106429017585</v>
      </c>
      <c r="AE2342">
        <v>-17.812499999999901</v>
      </c>
      <c r="AF2342">
        <v>2.4790060055685399</v>
      </c>
      <c r="AG2342">
        <v>-1.106429017585</v>
      </c>
      <c r="AH2342">
        <v>17.840932921614701</v>
      </c>
      <c r="AI2342">
        <v>93.515043827076894</v>
      </c>
      <c r="AJ2342">
        <v>82.089375791079803</v>
      </c>
      <c r="AK2342">
        <v>18.046288911024199</v>
      </c>
    </row>
    <row r="2343" spans="1:37" x14ac:dyDescent="0.2">
      <c r="A2343" t="str">
        <f>"20200111153441834"</f>
        <v>20200111153441834</v>
      </c>
      <c r="B2343" t="str">
        <f>"1578728081827963"</f>
        <v>1578728081827963</v>
      </c>
      <c r="C2343" t="s">
        <v>37</v>
      </c>
      <c r="D2343">
        <v>4.9729939999999999</v>
      </c>
      <c r="E2343">
        <v>0.59236860000000002</v>
      </c>
      <c r="F2343" t="s">
        <v>40</v>
      </c>
      <c r="G2343">
        <v>-490.45010000000002</v>
      </c>
      <c r="H2343">
        <v>1.0461419999999999</v>
      </c>
      <c r="I2343">
        <v>259.03500000000003</v>
      </c>
      <c r="J2343">
        <v>-490.28820000000002</v>
      </c>
      <c r="K2343">
        <v>1.1063719999999999</v>
      </c>
      <c r="L2343">
        <v>259.80880000000002</v>
      </c>
      <c r="M2343">
        <v>-3.2335549999999998E-2</v>
      </c>
      <c r="N2343">
        <v>0</v>
      </c>
      <c r="O2343">
        <v>-0.99944290000000002</v>
      </c>
      <c r="P2343">
        <v>7.2094179999999994E-2</v>
      </c>
      <c r="Q2343">
        <v>5.008228E-2</v>
      </c>
      <c r="R2343">
        <v>-0.99613960000000001</v>
      </c>
      <c r="S2343">
        <v>-0.52374270000000001</v>
      </c>
      <c r="T2343">
        <v>-0.1897267</v>
      </c>
      <c r="U2343">
        <v>-3.0584410000000002</v>
      </c>
      <c r="V2343">
        <v>-0.104575</v>
      </c>
      <c r="W2343">
        <v>5.7724619999999997E-2</v>
      </c>
      <c r="X2343">
        <v>0.99284030000000001</v>
      </c>
      <c r="Y2343">
        <v>0.13651150000000001</v>
      </c>
      <c r="Z2343">
        <v>6.1133399999999997E-2</v>
      </c>
      <c r="AA2343">
        <v>0.98875040000000003</v>
      </c>
      <c r="AB2343">
        <v>30</v>
      </c>
      <c r="AC2343">
        <v>-0.16190000000000199</v>
      </c>
      <c r="AD2343">
        <v>-6.0229999999999999E-2</v>
      </c>
      <c r="AE2343">
        <v>-0.77379999999999405</v>
      </c>
      <c r="AF2343">
        <v>0.13600380155391101</v>
      </c>
      <c r="AG2343">
        <v>-6.0229999999999999E-2</v>
      </c>
      <c r="AH2343">
        <v>0.77413719350813304</v>
      </c>
      <c r="AI2343">
        <v>94.381963518772906</v>
      </c>
      <c r="AJ2343">
        <v>80.035712833388502</v>
      </c>
      <c r="AK2343">
        <v>0.78829758423438301</v>
      </c>
    </row>
    <row r="2344" spans="1:37" x14ac:dyDescent="0.2">
      <c r="A2344" t="str">
        <f>"20200111153441847"</f>
        <v>20200111153441847</v>
      </c>
      <c r="B2344" t="str">
        <f>"1578728081838699"</f>
        <v>1578728081838699</v>
      </c>
      <c r="C2344" t="s">
        <v>37</v>
      </c>
      <c r="D2344">
        <v>5.0061369999999998</v>
      </c>
      <c r="E2344">
        <v>0.59236599999999995</v>
      </c>
      <c r="F2344" t="s">
        <v>39</v>
      </c>
      <c r="G2344">
        <v>-493.32909999999998</v>
      </c>
      <c r="H2344" s="1">
        <v>-1.8981540000000001E-6</v>
      </c>
      <c r="I2344">
        <v>241.94900000000001</v>
      </c>
      <c r="J2344">
        <v>-490.29230000000001</v>
      </c>
      <c r="K2344">
        <v>1.106325</v>
      </c>
      <c r="L2344">
        <v>259.64</v>
      </c>
      <c r="M2344">
        <v>-3.087347E-2</v>
      </c>
      <c r="N2344">
        <v>0</v>
      </c>
      <c r="O2344">
        <v>-0.99949120000000002</v>
      </c>
      <c r="P2344">
        <v>7.2352879999999994E-2</v>
      </c>
      <c r="Q2344">
        <v>5.0458589999999998E-2</v>
      </c>
      <c r="R2344">
        <v>-0.99610200000000004</v>
      </c>
      <c r="S2344">
        <v>-0.52081299999999997</v>
      </c>
      <c r="T2344">
        <v>-0.18948909999999999</v>
      </c>
      <c r="U2344">
        <v>-3.0588679999999999</v>
      </c>
      <c r="V2344">
        <v>-0.1033766</v>
      </c>
      <c r="W2344">
        <v>5.789362E-2</v>
      </c>
      <c r="X2344">
        <v>0.99295599999999995</v>
      </c>
      <c r="Y2344">
        <v>0.13701830000000001</v>
      </c>
      <c r="Z2344">
        <v>6.1055709999999999E-2</v>
      </c>
      <c r="AA2344">
        <v>0.98868509999999998</v>
      </c>
      <c r="AB2344">
        <v>30</v>
      </c>
      <c r="AC2344">
        <v>-3.0367999999999702</v>
      </c>
      <c r="AD2344">
        <v>-1.106326898154</v>
      </c>
      <c r="AE2344">
        <v>-17.690999999999899</v>
      </c>
      <c r="AF2344">
        <v>2.4797321006322499</v>
      </c>
      <c r="AG2344">
        <v>-1.106326898154</v>
      </c>
      <c r="AH2344">
        <v>17.709052037374502</v>
      </c>
      <c r="AI2344">
        <v>93.540308475413099</v>
      </c>
      <c r="AJ2344">
        <v>82.028914658611995</v>
      </c>
      <c r="AK2344">
        <v>17.9160139137846</v>
      </c>
    </row>
    <row r="2345" spans="1:37" x14ac:dyDescent="0.2">
      <c r="A2345" t="str">
        <f>"20200111153441866"</f>
        <v>20200111153441866</v>
      </c>
      <c r="B2345" t="str">
        <f>"1578728081858219"</f>
        <v>1578728081858219</v>
      </c>
      <c r="C2345" t="s">
        <v>37</v>
      </c>
      <c r="D2345">
        <v>4.9758420000000001</v>
      </c>
      <c r="E2345">
        <v>0.59242729999999999</v>
      </c>
      <c r="F2345" t="s">
        <v>39</v>
      </c>
      <c r="G2345">
        <v>-493.3374</v>
      </c>
      <c r="H2345" s="1">
        <v>-1.8033669999999999E-6</v>
      </c>
      <c r="I2345">
        <v>241.72290000000001</v>
      </c>
      <c r="J2345">
        <v>-490.2978</v>
      </c>
      <c r="K2345">
        <v>1.1062590000000001</v>
      </c>
      <c r="L2345">
        <v>259.40480000000002</v>
      </c>
      <c r="M2345">
        <v>-2.8876389999999998E-2</v>
      </c>
      <c r="N2345">
        <v>0</v>
      </c>
      <c r="O2345">
        <v>-0.99955319999999903</v>
      </c>
      <c r="P2345">
        <v>7.1958910000000001E-2</v>
      </c>
      <c r="Q2345">
        <v>5.0995119999999998E-2</v>
      </c>
      <c r="R2345">
        <v>-0.99610309999999902</v>
      </c>
      <c r="S2345">
        <v>-0.51989750000000001</v>
      </c>
      <c r="T2345">
        <v>-0.18888929999999901</v>
      </c>
      <c r="U2345">
        <v>-3.0590820000000001</v>
      </c>
      <c r="V2345">
        <v>-0.1009941</v>
      </c>
      <c r="W2345">
        <v>5.8150680000000003E-2</v>
      </c>
      <c r="X2345">
        <v>0.99318609999999896</v>
      </c>
      <c r="Y2345">
        <v>0.1387003</v>
      </c>
      <c r="Z2345">
        <v>6.0858790000000003E-2</v>
      </c>
      <c r="AA2345">
        <v>0.98846270000000003</v>
      </c>
      <c r="AB2345">
        <v>31</v>
      </c>
      <c r="AC2345">
        <v>-3.0396000000000001</v>
      </c>
      <c r="AD2345">
        <v>-1.1062608033670001</v>
      </c>
      <c r="AE2345">
        <v>-17.681899999999999</v>
      </c>
      <c r="AF2345">
        <v>2.5181537788203299</v>
      </c>
      <c r="AG2345">
        <v>-1.1062608033670001</v>
      </c>
      <c r="AH2345">
        <v>17.6950252805239</v>
      </c>
      <c r="AI2345">
        <v>93.541780423686603</v>
      </c>
      <c r="AJ2345">
        <v>81.9007021887695</v>
      </c>
      <c r="AK2345">
        <v>17.907507674080001</v>
      </c>
    </row>
    <row r="2346" spans="1:37" x14ac:dyDescent="0.2">
      <c r="A2346" t="str">
        <f>"20200111153441877"</f>
        <v>20200111153441877</v>
      </c>
      <c r="B2346" t="str">
        <f>"1578728081867979"</f>
        <v>1578728081867979</v>
      </c>
      <c r="C2346" t="s">
        <v>37</v>
      </c>
      <c r="D2346">
        <v>4.9835209999999996</v>
      </c>
      <c r="E2346">
        <v>0.59231829999999996</v>
      </c>
      <c r="F2346" t="s">
        <v>39</v>
      </c>
      <c r="G2346">
        <v>-493.35210000000001</v>
      </c>
      <c r="H2346" s="1">
        <v>-1.708091E-6</v>
      </c>
      <c r="I2346">
        <v>241.49160000000001</v>
      </c>
      <c r="J2346">
        <v>-490.30169999999998</v>
      </c>
      <c r="K2346">
        <v>1.106206</v>
      </c>
      <c r="L2346">
        <v>259.21949999999998</v>
      </c>
      <c r="M2346">
        <v>-2.7335870000000002E-2</v>
      </c>
      <c r="N2346">
        <v>0</v>
      </c>
      <c r="O2346">
        <v>-0.99959830000000005</v>
      </c>
      <c r="P2346">
        <v>7.23742E-2</v>
      </c>
      <c r="Q2346">
        <v>5.105498E-2</v>
      </c>
      <c r="R2346">
        <v>-0.99607029999999996</v>
      </c>
      <c r="S2346">
        <v>-0.52160640000000003</v>
      </c>
      <c r="T2346">
        <v>-0.1889207</v>
      </c>
      <c r="U2346">
        <v>-3.059113</v>
      </c>
      <c r="V2346">
        <v>-9.9872139999999998E-2</v>
      </c>
      <c r="W2346">
        <v>5.7990729999999997E-2</v>
      </c>
      <c r="X2346">
        <v>0.99330889999999905</v>
      </c>
      <c r="Y2346">
        <v>0.1407612</v>
      </c>
      <c r="Z2346">
        <v>6.086051E-2</v>
      </c>
      <c r="AA2346">
        <v>0.98817119999999903</v>
      </c>
      <c r="AB2346">
        <v>31</v>
      </c>
      <c r="AC2346">
        <v>-3.0504000000000202</v>
      </c>
      <c r="AD2346">
        <v>-1.106207708091</v>
      </c>
      <c r="AE2346">
        <v>-17.727899999999899</v>
      </c>
      <c r="AF2346">
        <v>2.5549767238426599</v>
      </c>
      <c r="AG2346">
        <v>-1.106207708091</v>
      </c>
      <c r="AH2346">
        <v>17.7375842436889</v>
      </c>
      <c r="AI2346">
        <v>93.532277273925402</v>
      </c>
      <c r="AJ2346">
        <v>81.803317072675796</v>
      </c>
      <c r="AK2346">
        <v>17.954762497866099</v>
      </c>
    </row>
    <row r="2347" spans="1:37" x14ac:dyDescent="0.2">
      <c r="A2347" t="str">
        <f>"20200111153441891"</f>
        <v>20200111153441891</v>
      </c>
      <c r="B2347" t="str">
        <f>"1578728081878715"</f>
        <v>1578728081878715</v>
      </c>
      <c r="C2347" t="s">
        <v>37</v>
      </c>
      <c r="D2347">
        <v>4.9340129999999904</v>
      </c>
      <c r="E2347">
        <v>0.59228069999999999</v>
      </c>
      <c r="F2347" t="s">
        <v>39</v>
      </c>
      <c r="G2347">
        <v>-493.33390000000003</v>
      </c>
      <c r="H2347" s="1">
        <v>-1.6563989999999999E-6</v>
      </c>
      <c r="I2347">
        <v>241.38239999999999</v>
      </c>
      <c r="J2347">
        <v>-490.30509999999998</v>
      </c>
      <c r="K2347">
        <v>1.1061570000000001</v>
      </c>
      <c r="L2347">
        <v>259.0478</v>
      </c>
      <c r="M2347">
        <v>-2.5955789999999999E-2</v>
      </c>
      <c r="N2347">
        <v>0</v>
      </c>
      <c r="O2347">
        <v>-0.99963649999999904</v>
      </c>
      <c r="P2347">
        <v>7.2821410000000003E-2</v>
      </c>
      <c r="Q2347">
        <v>5.1038729999999997E-2</v>
      </c>
      <c r="R2347">
        <v>-0.99603839999999999</v>
      </c>
      <c r="S2347">
        <v>-0.5200806</v>
      </c>
      <c r="T2347">
        <v>-0.1897365</v>
      </c>
      <c r="U2347">
        <v>-3.059418</v>
      </c>
      <c r="V2347">
        <v>-9.8940689999999998E-2</v>
      </c>
      <c r="W2347">
        <v>5.7781270000000003E-2</v>
      </c>
      <c r="X2347">
        <v>0.99341429999999997</v>
      </c>
      <c r="Y2347">
        <v>0.14163010000000001</v>
      </c>
      <c r="Z2347">
        <v>6.1118449999999998E-2</v>
      </c>
      <c r="AA2347">
        <v>0.98803109999999905</v>
      </c>
      <c r="AB2347">
        <v>31</v>
      </c>
      <c r="AC2347">
        <v>-3.0288000000000399</v>
      </c>
      <c r="AD2347">
        <v>-1.106158656399</v>
      </c>
      <c r="AE2347">
        <v>-17.665400000000002</v>
      </c>
      <c r="AF2347">
        <v>2.55949891346215</v>
      </c>
      <c r="AG2347">
        <v>-1.106158656399</v>
      </c>
      <c r="AH2347">
        <v>17.670758021051402</v>
      </c>
      <c r="AI2347">
        <v>93.545044001204701</v>
      </c>
      <c r="AJ2347">
        <v>81.758380902547501</v>
      </c>
      <c r="AK2347">
        <v>17.8893910097492</v>
      </c>
    </row>
    <row r="2348" spans="1:37" x14ac:dyDescent="0.2">
      <c r="A2348" t="str">
        <f>"20200111153441909"</f>
        <v>20200111153441909</v>
      </c>
      <c r="B2348" t="str">
        <f>"1578728081898234"</f>
        <v>1578728081898234</v>
      </c>
      <c r="C2348" t="s">
        <v>37</v>
      </c>
      <c r="D2348">
        <v>4.9632779999999999</v>
      </c>
      <c r="E2348">
        <v>0.59234119999999901</v>
      </c>
      <c r="F2348" t="s">
        <v>39</v>
      </c>
      <c r="G2348">
        <v>-493.31670000000003</v>
      </c>
      <c r="H2348" s="1">
        <v>-1.6024289999999899E-6</v>
      </c>
      <c r="I2348">
        <v>241.26730000000001</v>
      </c>
      <c r="J2348">
        <v>-490.3098</v>
      </c>
      <c r="K2348">
        <v>1.10608</v>
      </c>
      <c r="L2348">
        <v>258.79149999999998</v>
      </c>
      <c r="M2348">
        <v>-2.3945259999999999E-2</v>
      </c>
      <c r="N2348">
        <v>0</v>
      </c>
      <c r="O2348">
        <v>-0.99968889999999999</v>
      </c>
      <c r="P2348">
        <v>7.2845809999999997E-2</v>
      </c>
      <c r="Q2348">
        <v>5.1438770000000002E-2</v>
      </c>
      <c r="R2348">
        <v>-0.99601580000000001</v>
      </c>
      <c r="S2348">
        <v>-0.51821899999999999</v>
      </c>
      <c r="T2348">
        <v>-0.19034139999999999</v>
      </c>
      <c r="U2348">
        <v>-3.0595699999999999</v>
      </c>
      <c r="V2348">
        <v>-9.6959729999999994E-2</v>
      </c>
      <c r="W2348">
        <v>5.790886E-2</v>
      </c>
      <c r="X2348">
        <v>0.99360219999999899</v>
      </c>
      <c r="Y2348">
        <v>0.1430264</v>
      </c>
      <c r="Z2348">
        <v>6.1311070000000002E-2</v>
      </c>
      <c r="AA2348">
        <v>0.98781799999999997</v>
      </c>
      <c r="AB2348">
        <v>31</v>
      </c>
      <c r="AC2348">
        <v>-3.0069000000000199</v>
      </c>
      <c r="AD2348">
        <v>-1.1060816024289899</v>
      </c>
      <c r="AE2348">
        <v>-17.524199999999901</v>
      </c>
      <c r="AF2348">
        <v>2.57643557666389</v>
      </c>
      <c r="AG2348">
        <v>-1.1060816024289899</v>
      </c>
      <c r="AH2348">
        <v>17.523364699625599</v>
      </c>
      <c r="AI2348">
        <v>93.573423969890797</v>
      </c>
      <c r="AJ2348">
        <v>81.635809554750395</v>
      </c>
      <c r="AK2348">
        <v>17.746260090171599</v>
      </c>
    </row>
    <row r="2349" spans="1:37" x14ac:dyDescent="0.2">
      <c r="A2349" t="str">
        <f>"20200111153441923"</f>
        <v>20200111153441923</v>
      </c>
      <c r="B2349" t="str">
        <f>"1578728081918731"</f>
        <v>1578728081918731</v>
      </c>
      <c r="C2349" t="s">
        <v>37</v>
      </c>
      <c r="D2349">
        <v>4.9401779999999897</v>
      </c>
      <c r="E2349">
        <v>0.59256030000000004</v>
      </c>
      <c r="F2349" t="s">
        <v>39</v>
      </c>
      <c r="G2349">
        <v>-493.31380000000001</v>
      </c>
      <c r="H2349" s="1">
        <v>-1.5107790000000001E-6</v>
      </c>
      <c r="I2349">
        <v>241.05549999999999</v>
      </c>
      <c r="J2349">
        <v>-490.31310000000002</v>
      </c>
      <c r="K2349">
        <v>1.1060219999999901</v>
      </c>
      <c r="L2349">
        <v>258.59949999999998</v>
      </c>
      <c r="M2349">
        <v>-2.2485959999999999E-2</v>
      </c>
      <c r="N2349">
        <v>0</v>
      </c>
      <c r="O2349">
        <v>-0.9997241</v>
      </c>
      <c r="P2349">
        <v>7.3372339999999994E-2</v>
      </c>
      <c r="Q2349">
        <v>5.1545849999999997E-2</v>
      </c>
      <c r="R2349">
        <v>-0.99597159999999996</v>
      </c>
      <c r="S2349">
        <v>-0.51821899999999999</v>
      </c>
      <c r="T2349">
        <v>-0.19081339999999999</v>
      </c>
      <c r="U2349">
        <v>-3.0596919999999899</v>
      </c>
      <c r="V2349">
        <v>-9.6028230000000006E-2</v>
      </c>
      <c r="W2349">
        <v>5.7821259999999999E-2</v>
      </c>
      <c r="X2349">
        <v>0.99369779999999996</v>
      </c>
      <c r="Y2349">
        <v>0.14446300000000001</v>
      </c>
      <c r="Z2349">
        <v>6.1456820000000002E-2</v>
      </c>
      <c r="AA2349">
        <v>0.98759979999999903</v>
      </c>
      <c r="AB2349">
        <v>31</v>
      </c>
      <c r="AC2349">
        <v>-3.0006999999999899</v>
      </c>
      <c r="AD2349">
        <v>-1.10602351077899</v>
      </c>
      <c r="AE2349">
        <v>-17.543999999999901</v>
      </c>
      <c r="AF2349">
        <v>2.5954164532909201</v>
      </c>
      <c r="AG2349">
        <v>-1.10602351077899</v>
      </c>
      <c r="AH2349">
        <v>17.539312194225602</v>
      </c>
      <c r="AI2349">
        <v>93.569508709773103</v>
      </c>
      <c r="AJ2349">
        <v>81.582621399698098</v>
      </c>
      <c r="AK2349">
        <v>17.7647670071668</v>
      </c>
    </row>
    <row r="2350" spans="1:37" x14ac:dyDescent="0.2">
      <c r="A2350" t="str">
        <f>"20200111153441936"</f>
        <v>20200111153441936</v>
      </c>
      <c r="B2350" t="str">
        <f>"1578728081928491"</f>
        <v>1578728081928491</v>
      </c>
      <c r="C2350" t="s">
        <v>37</v>
      </c>
      <c r="D2350">
        <v>4.90747</v>
      </c>
      <c r="E2350">
        <v>0.59265259999999997</v>
      </c>
      <c r="F2350" t="s">
        <v>39</v>
      </c>
      <c r="G2350">
        <v>-493.30270000000002</v>
      </c>
      <c r="H2350" s="1">
        <v>-1.4728380000000001E-6</v>
      </c>
      <c r="I2350">
        <v>240.97389999999999</v>
      </c>
      <c r="J2350">
        <v>-490.31619999999998</v>
      </c>
      <c r="K2350">
        <v>1.1059639999999999</v>
      </c>
      <c r="L2350">
        <v>258.40820000000002</v>
      </c>
      <c r="M2350">
        <v>-2.1071530000000002E-2</v>
      </c>
      <c r="N2350">
        <v>0</v>
      </c>
      <c r="O2350">
        <v>-0.99975650000000005</v>
      </c>
      <c r="P2350">
        <v>7.4132699999999996E-2</v>
      </c>
      <c r="Q2350">
        <v>5.171241E-2</v>
      </c>
      <c r="R2350">
        <v>-0.99590689999999904</v>
      </c>
      <c r="S2350">
        <v>-0.51907349999999997</v>
      </c>
      <c r="T2350">
        <v>-0.1920375</v>
      </c>
      <c r="U2350">
        <v>-3.0603180000000001</v>
      </c>
      <c r="V2350">
        <v>-9.5374890000000004E-2</v>
      </c>
      <c r="W2350">
        <v>5.7802220000000001E-2</v>
      </c>
      <c r="X2350">
        <v>0.99376180000000003</v>
      </c>
      <c r="Y2350">
        <v>0.14609359999999999</v>
      </c>
      <c r="Z2350">
        <v>6.1831120000000003E-2</v>
      </c>
      <c r="AA2350">
        <v>0.98733660000000001</v>
      </c>
      <c r="AB2350">
        <v>31</v>
      </c>
      <c r="AC2350">
        <v>-2.9865000000000301</v>
      </c>
      <c r="AD2350">
        <v>-1.105965472838</v>
      </c>
      <c r="AE2350">
        <v>-17.4343</v>
      </c>
      <c r="AF2350">
        <v>2.6082647855415102</v>
      </c>
      <c r="AG2350">
        <v>-1.105965472838</v>
      </c>
      <c r="AH2350">
        <v>17.425237601214999</v>
      </c>
      <c r="AI2350">
        <v>93.591737500370698</v>
      </c>
      <c r="AJ2350">
        <v>81.4869888346837</v>
      </c>
      <c r="AK2350">
        <v>17.654039488949898</v>
      </c>
    </row>
    <row r="2351" spans="1:37" x14ac:dyDescent="0.2">
      <c r="A2351" t="str">
        <f>"20200111153441954"</f>
        <v>20200111153441954</v>
      </c>
      <c r="B2351" t="str">
        <f>"1578728081948011"</f>
        <v>1578728081948011</v>
      </c>
      <c r="C2351" t="s">
        <v>37</v>
      </c>
      <c r="D2351">
        <v>4.9043640000000002</v>
      </c>
      <c r="E2351">
        <v>0.59284820000000005</v>
      </c>
      <c r="F2351" t="s">
        <v>39</v>
      </c>
      <c r="G2351">
        <v>-493.29020000000003</v>
      </c>
      <c r="H2351" s="1">
        <v>-1.3922799999999899E-6</v>
      </c>
      <c r="I2351">
        <v>240.79390000000001</v>
      </c>
      <c r="J2351">
        <v>-490.31959999999998</v>
      </c>
      <c r="K2351">
        <v>1.1058889999999999</v>
      </c>
      <c r="L2351">
        <v>258.17</v>
      </c>
      <c r="M2351">
        <v>-1.9379649999999998E-2</v>
      </c>
      <c r="N2351">
        <v>0</v>
      </c>
      <c r="O2351">
        <v>-0.99979209999999996</v>
      </c>
      <c r="P2351">
        <v>7.4353290000000002E-2</v>
      </c>
      <c r="Q2351">
        <v>5.1918359999999997E-2</v>
      </c>
      <c r="R2351">
        <v>-0.99587939999999997</v>
      </c>
      <c r="S2351">
        <v>-0.51678469999999999</v>
      </c>
      <c r="T2351">
        <v>-0.19218109999999999</v>
      </c>
      <c r="U2351">
        <v>-3.0608059999999999</v>
      </c>
      <c r="V2351">
        <v>-9.3904899999999999E-2</v>
      </c>
      <c r="W2351">
        <v>5.7796029999999998E-2</v>
      </c>
      <c r="X2351">
        <v>0.99390210000000001</v>
      </c>
      <c r="Y2351">
        <v>0.1470235</v>
      </c>
      <c r="Z2351">
        <v>6.1870210000000002E-2</v>
      </c>
      <c r="AA2351">
        <v>0.98719609999999902</v>
      </c>
      <c r="AB2351">
        <v>31</v>
      </c>
      <c r="AC2351">
        <v>-2.9706000000000401</v>
      </c>
      <c r="AD2351">
        <v>-1.1058903922799901</v>
      </c>
      <c r="AE2351">
        <v>-17.376100000000001</v>
      </c>
      <c r="AF2351">
        <v>2.6229696882751901</v>
      </c>
      <c r="AG2351">
        <v>-1.1058903922799901</v>
      </c>
      <c r="AH2351">
        <v>17.362077140156799</v>
      </c>
      <c r="AI2351">
        <v>93.603789660544606</v>
      </c>
      <c r="AJ2351">
        <v>81.409026025411293</v>
      </c>
      <c r="AK2351">
        <v>17.593882066391799</v>
      </c>
    </row>
    <row r="2352" spans="1:37" x14ac:dyDescent="0.2">
      <c r="A2352" t="str">
        <f>"20200111153441966"</f>
        <v>20200111153441966</v>
      </c>
      <c r="B2352" t="str">
        <f>"1578728081957771"</f>
        <v>1578728081957771</v>
      </c>
      <c r="C2352" t="s">
        <v>37</v>
      </c>
      <c r="D2352">
        <v>4.9152189999999996</v>
      </c>
      <c r="E2352">
        <v>0.59291499999999997</v>
      </c>
      <c r="F2352" t="s">
        <v>39</v>
      </c>
      <c r="G2352">
        <v>-493.28210000000001</v>
      </c>
      <c r="H2352" s="1">
        <v>-1.337034E-6</v>
      </c>
      <c r="I2352">
        <v>240.67009999999999</v>
      </c>
      <c r="J2352">
        <v>-490.3218</v>
      </c>
      <c r="K2352">
        <v>1.1058349999999999</v>
      </c>
      <c r="L2352">
        <v>258.00040000000001</v>
      </c>
      <c r="M2352">
        <v>-1.821828E-2</v>
      </c>
      <c r="N2352">
        <v>0</v>
      </c>
      <c r="O2352">
        <v>-0.99981500000000001</v>
      </c>
      <c r="P2352">
        <v>7.5064469999999994E-2</v>
      </c>
      <c r="Q2352">
        <v>5.2107819999999999E-2</v>
      </c>
      <c r="R2352">
        <v>-0.99581640000000005</v>
      </c>
      <c r="S2352">
        <v>-0.51821899999999999</v>
      </c>
      <c r="T2352">
        <v>-0.19344739999999999</v>
      </c>
      <c r="U2352">
        <v>-3.0611570000000001</v>
      </c>
      <c r="V2352">
        <v>-9.3454880000000004E-2</v>
      </c>
      <c r="W2352">
        <v>5.7842200000000003E-2</v>
      </c>
      <c r="X2352">
        <v>0.99394189999999905</v>
      </c>
      <c r="Y2352">
        <v>0.14859929999999999</v>
      </c>
      <c r="Z2352">
        <v>6.2261509999999999E-2</v>
      </c>
      <c r="AA2352">
        <v>0.98693560000000002</v>
      </c>
      <c r="AB2352">
        <v>31</v>
      </c>
      <c r="AC2352">
        <v>-2.9603000000000099</v>
      </c>
      <c r="AD2352">
        <v>-1.1058363370340001</v>
      </c>
      <c r="AE2352">
        <v>-17.330300000000001</v>
      </c>
      <c r="AF2352">
        <v>2.63365512042702</v>
      </c>
      <c r="AG2352">
        <v>-1.1058363370340001</v>
      </c>
      <c r="AH2352">
        <v>17.312862978764301</v>
      </c>
      <c r="AI2352">
        <v>93.613271633008097</v>
      </c>
      <c r="AJ2352">
        <v>81.350404842544094</v>
      </c>
      <c r="AK2352">
        <v>17.546915336295498</v>
      </c>
    </row>
    <row r="2353" spans="1:37" x14ac:dyDescent="0.2">
      <c r="A2353" t="str">
        <f>"20200111153441979"</f>
        <v>20200111153441979</v>
      </c>
      <c r="B2353" t="str">
        <f>"1578728081968507"</f>
        <v>1578728081968507</v>
      </c>
      <c r="C2353" t="s">
        <v>37</v>
      </c>
      <c r="D2353">
        <v>4.9063179999999997</v>
      </c>
      <c r="E2353">
        <v>0.59302469999999996</v>
      </c>
      <c r="F2353" t="s">
        <v>39</v>
      </c>
      <c r="G2353">
        <v>-493.26179999999999</v>
      </c>
      <c r="H2353" s="1">
        <v>-1.2840600000000001E-6</v>
      </c>
      <c r="I2353">
        <v>240.5592</v>
      </c>
      <c r="J2353">
        <v>-490.32420000000002</v>
      </c>
      <c r="K2353">
        <v>1.10578</v>
      </c>
      <c r="L2353">
        <v>257.81580000000002</v>
      </c>
      <c r="M2353">
        <v>-1.6983020000000001E-2</v>
      </c>
      <c r="N2353">
        <v>0</v>
      </c>
      <c r="O2353">
        <v>-0.99983789999999995</v>
      </c>
      <c r="P2353">
        <v>7.5917559999999995E-2</v>
      </c>
      <c r="Q2353">
        <v>5.2097240000000003E-2</v>
      </c>
      <c r="R2353">
        <v>-0.99575259999999999</v>
      </c>
      <c r="S2353">
        <v>-0.51608279999999995</v>
      </c>
      <c r="T2353">
        <v>-0.19411929999999999</v>
      </c>
      <c r="U2353">
        <v>-3.0616300000000001</v>
      </c>
      <c r="V2353">
        <v>-9.307137E-2</v>
      </c>
      <c r="W2353">
        <v>5.768131E-2</v>
      </c>
      <c r="X2353">
        <v>0.99398719999999996</v>
      </c>
      <c r="Y2353">
        <v>0.14912420000000001</v>
      </c>
      <c r="Z2353">
        <v>6.2470600000000001E-2</v>
      </c>
      <c r="AA2353">
        <v>0.98684319999999903</v>
      </c>
      <c r="AB2353">
        <v>31</v>
      </c>
      <c r="AC2353">
        <v>-2.93759999999997</v>
      </c>
      <c r="AD2353">
        <v>-1.1057812840600001</v>
      </c>
      <c r="AE2353">
        <v>-17.256599999999999</v>
      </c>
      <c r="AF2353">
        <v>2.6335926803135501</v>
      </c>
      <c r="AG2353">
        <v>-1.1057812840600001</v>
      </c>
      <c r="AH2353">
        <v>17.235225061252802</v>
      </c>
      <c r="AI2353">
        <v>93.628956788860805</v>
      </c>
      <c r="AJ2353">
        <v>81.312237854333802</v>
      </c>
      <c r="AK2353">
        <v>17.470304678683</v>
      </c>
    </row>
    <row r="2354" spans="1:37" x14ac:dyDescent="0.2">
      <c r="A2354" t="str">
        <f>"20200111153441992"</f>
        <v>20200111153441992</v>
      </c>
      <c r="B2354" t="str">
        <f>"1578728081988581"</f>
        <v>1578728081988581</v>
      </c>
      <c r="C2354" t="s">
        <v>37</v>
      </c>
      <c r="D2354">
        <v>4.7294869999999998</v>
      </c>
      <c r="E2354">
        <v>0.59487080000000003</v>
      </c>
      <c r="F2354" t="s">
        <v>39</v>
      </c>
      <c r="G2354">
        <v>-493.22879999999998</v>
      </c>
      <c r="H2354" s="1">
        <v>-1.2629729999999999E-6</v>
      </c>
      <c r="I2354">
        <v>240.53049999999999</v>
      </c>
      <c r="J2354">
        <v>-490.3261</v>
      </c>
      <c r="K2354">
        <v>1.105721</v>
      </c>
      <c r="L2354">
        <v>257.63290000000001</v>
      </c>
      <c r="M2354">
        <v>-1.582244E-2</v>
      </c>
      <c r="N2354">
        <v>0</v>
      </c>
      <c r="O2354">
        <v>-0.99985769999999996</v>
      </c>
      <c r="P2354">
        <v>7.6598639999999996E-2</v>
      </c>
      <c r="Q2354">
        <v>5.2573620000000001E-2</v>
      </c>
      <c r="R2354">
        <v>-0.99567510000000004</v>
      </c>
      <c r="S2354">
        <v>-0.51458740000000003</v>
      </c>
      <c r="T2354">
        <v>-0.19590260000000001</v>
      </c>
      <c r="U2354">
        <v>-3.0622859999999998</v>
      </c>
      <c r="V2354">
        <v>-9.2591759999999995E-2</v>
      </c>
      <c r="W2354">
        <v>5.8022150000000002E-2</v>
      </c>
      <c r="X2354">
        <v>0.99401219999999901</v>
      </c>
      <c r="Y2354">
        <v>0.1497628</v>
      </c>
      <c r="Z2354">
        <v>6.3030210000000003E-2</v>
      </c>
      <c r="AA2354">
        <v>0.9867108</v>
      </c>
      <c r="AB2354">
        <v>31</v>
      </c>
      <c r="AC2354">
        <v>-2.9026999999999799</v>
      </c>
      <c r="AD2354">
        <v>-1.1057222629729999</v>
      </c>
      <c r="AE2354">
        <v>-17.102399999999999</v>
      </c>
      <c r="AF2354">
        <v>2.6210809007829199</v>
      </c>
      <c r="AG2354">
        <v>-1.1057222629729999</v>
      </c>
      <c r="AH2354">
        <v>17.076804930735101</v>
      </c>
      <c r="AI2354">
        <v>93.661961879424098</v>
      </c>
      <c r="AJ2354">
        <v>81.273897293655693</v>
      </c>
      <c r="AK2354">
        <v>17.312133128348499</v>
      </c>
    </row>
    <row r="2355" spans="1:37" x14ac:dyDescent="0.2">
      <c r="A2355" t="str">
        <f>"20200111153442009"</f>
        <v>20200111153442009</v>
      </c>
      <c r="B2355" t="str">
        <f>"1578728081998341"</f>
        <v>1578728081998341</v>
      </c>
      <c r="C2355" t="s">
        <v>37</v>
      </c>
      <c r="D2355">
        <v>4.9249900000000002</v>
      </c>
      <c r="E2355">
        <v>0.59492270000000003</v>
      </c>
      <c r="F2355" t="s">
        <v>39</v>
      </c>
      <c r="G2355">
        <v>-493.56849999999997</v>
      </c>
      <c r="H2355" s="1">
        <v>-4.6466129999999901E-6</v>
      </c>
      <c r="I2355">
        <v>238.78099999999901</v>
      </c>
      <c r="J2355">
        <v>-490.32850000000002</v>
      </c>
      <c r="K2355">
        <v>1.1056440000000001</v>
      </c>
      <c r="L2355">
        <v>257.40140000000002</v>
      </c>
      <c r="M2355">
        <v>-1.43999E-2</v>
      </c>
      <c r="N2355">
        <v>0</v>
      </c>
      <c r="O2355">
        <v>-0.9998802</v>
      </c>
      <c r="P2355">
        <v>7.8098100000000004E-2</v>
      </c>
      <c r="Q2355">
        <v>5.3030340000000002E-2</v>
      </c>
      <c r="R2355">
        <v>-0.99553429999999998</v>
      </c>
      <c r="S2355">
        <v>-0.52682499999999999</v>
      </c>
      <c r="T2355">
        <v>-0.17965899999999899</v>
      </c>
      <c r="U2355">
        <v>-3.0630799999999998</v>
      </c>
      <c r="V2355">
        <v>-9.2667459999999993E-2</v>
      </c>
      <c r="W2355">
        <v>5.8313480000000001E-2</v>
      </c>
      <c r="X2355">
        <v>0.99398809999999904</v>
      </c>
      <c r="Y2355">
        <v>0.15501089999999901</v>
      </c>
      <c r="Z2355">
        <v>5.776688E-2</v>
      </c>
      <c r="AA2355">
        <v>0.98622240000000005</v>
      </c>
      <c r="AB2355">
        <v>31</v>
      </c>
      <c r="AC2355">
        <v>-3.23999999999995</v>
      </c>
      <c r="AD2355">
        <v>-1.105648646613</v>
      </c>
      <c r="AE2355">
        <v>-18.6204</v>
      </c>
      <c r="AF2355">
        <v>2.9613934262187001</v>
      </c>
      <c r="AG2355">
        <v>-1.105648646613</v>
      </c>
      <c r="AH2355">
        <v>18.601468239376601</v>
      </c>
      <c r="AI2355">
        <v>93.359382112505301</v>
      </c>
      <c r="AJ2355">
        <v>80.9543019366115</v>
      </c>
      <c r="AK2355">
        <v>18.868145924153399</v>
      </c>
    </row>
    <row r="2356" spans="1:37" x14ac:dyDescent="0.2">
      <c r="A2356" t="str">
        <f>"20200111153442021"</f>
        <v>20200111153442021</v>
      </c>
      <c r="B2356" t="str">
        <f>"1578728082008101"</f>
        <v>1578728082008101</v>
      </c>
      <c r="C2356" t="s">
        <v>37</v>
      </c>
      <c r="D2356">
        <v>4.9907000000000004</v>
      </c>
      <c r="E2356">
        <v>0.59484840000000005</v>
      </c>
      <c r="F2356" t="s">
        <v>39</v>
      </c>
      <c r="G2356">
        <v>-493.5403</v>
      </c>
      <c r="H2356" s="1">
        <v>-4.5734479999999998E-6</v>
      </c>
      <c r="I2356">
        <v>238.58070000000001</v>
      </c>
      <c r="J2356">
        <v>-490.33</v>
      </c>
      <c r="K2356">
        <v>1.1055900000000001</v>
      </c>
      <c r="L2356">
        <v>257.23090000000002</v>
      </c>
      <c r="M2356">
        <v>-1.3385019999999999E-2</v>
      </c>
      <c r="N2356">
        <v>0</v>
      </c>
      <c r="O2356">
        <v>-0.99989499999999998</v>
      </c>
      <c r="P2356">
        <v>7.9866800000000002E-2</v>
      </c>
      <c r="Q2356">
        <v>5.3251380000000001E-2</v>
      </c>
      <c r="R2356">
        <v>-0.99538230000000005</v>
      </c>
      <c r="S2356">
        <v>-0.52288820000000003</v>
      </c>
      <c r="T2356">
        <v>-0.18000070000000001</v>
      </c>
      <c r="U2356">
        <v>-3.0640259999999899</v>
      </c>
      <c r="V2356">
        <v>-9.3419059999999998E-2</v>
      </c>
      <c r="W2356">
        <v>5.8415340000000003E-2</v>
      </c>
      <c r="X2356">
        <v>0.99391169999999995</v>
      </c>
      <c r="Y2356">
        <v>0.1547307</v>
      </c>
      <c r="Z2356">
        <v>5.786753E-2</v>
      </c>
      <c r="AA2356">
        <v>0.98626049999999998</v>
      </c>
      <c r="AB2356">
        <v>32</v>
      </c>
      <c r="AC2356">
        <v>-3.2103000000000099</v>
      </c>
      <c r="AD2356">
        <v>-1.1055945734479999</v>
      </c>
      <c r="AE2356">
        <v>-18.650200000000002</v>
      </c>
      <c r="AF2356">
        <v>2.9503056850713101</v>
      </c>
      <c r="AG2356">
        <v>-1.1055945734479999</v>
      </c>
      <c r="AH2356">
        <v>18.627921591233999</v>
      </c>
      <c r="AI2356">
        <v>93.354884465845899</v>
      </c>
      <c r="AJ2356">
        <v>81.000201787504295</v>
      </c>
      <c r="AK2356">
        <v>18.892488078740801</v>
      </c>
    </row>
    <row r="2357" spans="1:37" x14ac:dyDescent="0.2">
      <c r="A2357" t="str">
        <f>"20200111153442035"</f>
        <v>20200111153442035</v>
      </c>
      <c r="B2357" t="str">
        <f>"1578728082028598"</f>
        <v>1578728082028598</v>
      </c>
      <c r="C2357" t="s">
        <v>37</v>
      </c>
      <c r="D2357">
        <v>4.7418569999999898</v>
      </c>
      <c r="E2357">
        <v>0.59269329999999998</v>
      </c>
      <c r="F2357" t="s">
        <v>39</v>
      </c>
      <c r="G2357">
        <v>-493.48270000000002</v>
      </c>
      <c r="H2357" s="1">
        <v>-4.5454160000000002E-6</v>
      </c>
      <c r="I2357">
        <v>238.5284</v>
      </c>
      <c r="J2357">
        <v>-490.33179999999999</v>
      </c>
      <c r="K2357">
        <v>1.105521</v>
      </c>
      <c r="L2357">
        <v>257.02089999999998</v>
      </c>
      <c r="M2357">
        <v>-1.219514E-2</v>
      </c>
      <c r="N2357">
        <v>0</v>
      </c>
      <c r="O2357">
        <v>-0.999911199999999</v>
      </c>
      <c r="P2357">
        <v>8.1911620000000004E-2</v>
      </c>
      <c r="Q2357">
        <v>5.33432E-2</v>
      </c>
      <c r="R2357">
        <v>-0.99521150000000003</v>
      </c>
      <c r="S2357">
        <v>-0.51666259999999997</v>
      </c>
      <c r="T2357">
        <v>-0.1811884</v>
      </c>
      <c r="U2357">
        <v>-3.0650330000000001</v>
      </c>
      <c r="V2357">
        <v>-9.4270939999999998E-2</v>
      </c>
      <c r="W2357">
        <v>5.8370129999999999E-2</v>
      </c>
      <c r="X2357">
        <v>0.993834</v>
      </c>
      <c r="Y2357">
        <v>0.1539016</v>
      </c>
      <c r="Z2357">
        <v>5.8244169999999998E-2</v>
      </c>
      <c r="AA2357">
        <v>0.98636809999999997</v>
      </c>
      <c r="AB2357">
        <v>32</v>
      </c>
      <c r="AC2357">
        <v>-3.1509000000000298</v>
      </c>
      <c r="AD2357">
        <v>-1.105525545416</v>
      </c>
      <c r="AE2357">
        <v>-18.4924999999999</v>
      </c>
      <c r="AF2357">
        <v>2.9150196420328802</v>
      </c>
      <c r="AG2357">
        <v>-1.105525545416</v>
      </c>
      <c r="AH2357">
        <v>18.4654187524063</v>
      </c>
      <c r="AI2357">
        <v>93.384398954254806</v>
      </c>
      <c r="AJ2357">
        <v>81.029107462155807</v>
      </c>
      <c r="AK2357">
        <v>18.726751345247301</v>
      </c>
    </row>
    <row r="2358" spans="1:37" x14ac:dyDescent="0.2">
      <c r="A2358" t="str">
        <f>"20200111153442048"</f>
        <v>20200111153442048</v>
      </c>
      <c r="B2358" t="str">
        <f>"1578728082038357"</f>
        <v>1578728082038357</v>
      </c>
      <c r="C2358" t="s">
        <v>37</v>
      </c>
      <c r="D2358">
        <v>4.7247510000000004</v>
      </c>
      <c r="E2358">
        <v>0.59269329999999998</v>
      </c>
      <c r="F2358" t="s">
        <v>39</v>
      </c>
      <c r="G2358">
        <v>-493.41759999999999</v>
      </c>
      <c r="H2358" s="1">
        <v>-4.3055599999999997E-6</v>
      </c>
      <c r="I2358">
        <v>237.85740000000001</v>
      </c>
      <c r="J2358">
        <v>-490.3331</v>
      </c>
      <c r="K2358">
        <v>1.105464</v>
      </c>
      <c r="L2358">
        <v>256.84550000000002</v>
      </c>
      <c r="M2358">
        <v>-1.12446E-2</v>
      </c>
      <c r="N2358">
        <v>0</v>
      </c>
      <c r="O2358">
        <v>-0.99992269999999905</v>
      </c>
      <c r="P2358">
        <v>8.404797E-2</v>
      </c>
      <c r="Q2358">
        <v>5.3499560000000002E-2</v>
      </c>
      <c r="R2358">
        <v>-0.99502459999999904</v>
      </c>
      <c r="S2358">
        <v>-0.4934692</v>
      </c>
      <c r="T2358">
        <v>-0.17679039999999999</v>
      </c>
      <c r="U2358">
        <v>-3.0645289999999998</v>
      </c>
      <c r="V2358">
        <v>-9.5453930000000006E-2</v>
      </c>
      <c r="W2358">
        <v>5.8416299999999997E-2</v>
      </c>
      <c r="X2358">
        <v>0.99371830000000005</v>
      </c>
      <c r="Y2358">
        <v>0.14760879999999901</v>
      </c>
      <c r="Z2358">
        <v>5.6907300000000001E-2</v>
      </c>
      <c r="AA2358">
        <v>0.98740729999999999</v>
      </c>
      <c r="AB2358">
        <v>32</v>
      </c>
      <c r="AC2358">
        <v>-3.08449999999999</v>
      </c>
      <c r="AD2358">
        <v>-1.1054683055600001</v>
      </c>
      <c r="AE2358">
        <v>-18.988099999999999</v>
      </c>
      <c r="AF2358">
        <v>2.8613393566849501</v>
      </c>
      <c r="AG2358">
        <v>-1.1054683055600001</v>
      </c>
      <c r="AH2358">
        <v>18.9589755097027</v>
      </c>
      <c r="AI2358">
        <v>93.299764284058497</v>
      </c>
      <c r="AJ2358">
        <v>81.417539144985199</v>
      </c>
      <c r="AK2358">
        <v>19.2055220045231</v>
      </c>
    </row>
    <row r="2359" spans="1:37" x14ac:dyDescent="0.2">
      <c r="A2359" t="str">
        <f>"20200111153442066"</f>
        <v>20200111153442066</v>
      </c>
      <c r="B2359" t="str">
        <f>"1578728082057877"</f>
        <v>1578728082057877</v>
      </c>
      <c r="C2359" t="s">
        <v>37</v>
      </c>
      <c r="D2359">
        <v>4.6714449999999896</v>
      </c>
      <c r="E2359">
        <v>0.46781270000000003</v>
      </c>
      <c r="F2359" t="s">
        <v>39</v>
      </c>
      <c r="G2359">
        <v>-493.3938</v>
      </c>
      <c r="H2359" s="1">
        <v>-4.2059279999999998E-6</v>
      </c>
      <c r="I2359">
        <v>237.5771</v>
      </c>
      <c r="J2359">
        <v>-490.3347</v>
      </c>
      <c r="K2359">
        <v>1.1053759999999999</v>
      </c>
      <c r="L2359">
        <v>256.5763</v>
      </c>
      <c r="M2359">
        <v>-9.8449780000000008E-3</v>
      </c>
      <c r="N2359">
        <v>0</v>
      </c>
      <c r="O2359">
        <v>-0.99993849999999995</v>
      </c>
      <c r="P2359">
        <v>8.8707690000000006E-2</v>
      </c>
      <c r="Q2359">
        <v>5.3083810000000002E-2</v>
      </c>
      <c r="R2359">
        <v>-0.99464240000000004</v>
      </c>
      <c r="S2359">
        <v>-0.48696899999999999</v>
      </c>
      <c r="T2359">
        <v>-0.17588090000000001</v>
      </c>
      <c r="U2359">
        <v>-3.0656279999999998</v>
      </c>
      <c r="V2359">
        <v>-9.8706820000000001E-2</v>
      </c>
      <c r="W2359">
        <v>5.7835060000000001E-2</v>
      </c>
      <c r="X2359">
        <v>0.993434499999999</v>
      </c>
      <c r="Y2359">
        <v>0.1468988</v>
      </c>
      <c r="Z2359">
        <v>5.6609180000000002E-2</v>
      </c>
      <c r="AA2359">
        <v>0.98753040000000003</v>
      </c>
      <c r="AB2359">
        <v>32</v>
      </c>
      <c r="AC2359">
        <v>-3.0590999999999999</v>
      </c>
      <c r="AD2359">
        <v>-1.105380205928</v>
      </c>
      <c r="AE2359">
        <v>-18.999199999999998</v>
      </c>
      <c r="AF2359">
        <v>2.8624581561729898</v>
      </c>
      <c r="AG2359">
        <v>-1.105380205928</v>
      </c>
      <c r="AH2359">
        <v>18.965820237925701</v>
      </c>
      <c r="AI2359">
        <v>93.298311541587793</v>
      </c>
      <c r="AJ2359">
        <v>81.417285790226998</v>
      </c>
      <c r="AK2359">
        <v>19.2124404850818</v>
      </c>
    </row>
    <row r="2360" spans="1:37" x14ac:dyDescent="0.2">
      <c r="A2360" t="str">
        <f>"20200111153442082"</f>
        <v>20200111153442082</v>
      </c>
      <c r="B2360" t="str">
        <f>"1578728082078373"</f>
        <v>1578728082078373</v>
      </c>
      <c r="C2360" t="s">
        <v>37</v>
      </c>
      <c r="D2360">
        <v>4.6266220000000002</v>
      </c>
      <c r="E2360">
        <v>0.45034859999999999</v>
      </c>
      <c r="F2360" t="s">
        <v>50</v>
      </c>
      <c r="G2360">
        <v>-484.43889999999999</v>
      </c>
      <c r="H2360" s="1">
        <v>3.3108219999999999E-6</v>
      </c>
      <c r="I2360">
        <v>222.84280000000001</v>
      </c>
      <c r="J2360">
        <v>-490.33589999999998</v>
      </c>
      <c r="K2360">
        <v>1.1053090000000001</v>
      </c>
      <c r="L2360">
        <v>256.37040000000002</v>
      </c>
      <c r="M2360">
        <v>-8.8219319999999993E-3</v>
      </c>
      <c r="N2360">
        <v>0</v>
      </c>
      <c r="O2360">
        <v>-0.99994879999999997</v>
      </c>
      <c r="P2360">
        <v>9.1369000000000006E-2</v>
      </c>
      <c r="Q2360">
        <v>5.2880169999999997E-2</v>
      </c>
      <c r="R2360">
        <v>-0.99441209999999902</v>
      </c>
      <c r="S2360">
        <v>0.51995849999999999</v>
      </c>
      <c r="T2360">
        <v>-9.7483990000000006E-2</v>
      </c>
      <c r="U2360">
        <v>-2.9749910000000002</v>
      </c>
      <c r="V2360">
        <v>-0.1003409</v>
      </c>
      <c r="W2360">
        <v>5.7516110000000002E-2</v>
      </c>
      <c r="X2360">
        <v>0.99328930000000004</v>
      </c>
      <c r="Y2360">
        <v>-0.1807608</v>
      </c>
      <c r="Z2360">
        <v>3.2234529999999997E-2</v>
      </c>
      <c r="AA2360">
        <v>0.982998699999999</v>
      </c>
      <c r="AB2360">
        <v>32</v>
      </c>
      <c r="AC2360">
        <v>5.8969999999999896</v>
      </c>
      <c r="AD2360">
        <v>-1.105305689178</v>
      </c>
      <c r="AE2360">
        <v>-33.5276</v>
      </c>
      <c r="AF2360">
        <v>-6.1860309652504304</v>
      </c>
      <c r="AG2360">
        <v>-1.105305689178</v>
      </c>
      <c r="AH2360">
        <v>33.4390198525359</v>
      </c>
      <c r="AI2360">
        <v>91.861622220123294</v>
      </c>
      <c r="AJ2360">
        <v>100.480907161559</v>
      </c>
      <c r="AK2360">
        <v>34.0243549309588</v>
      </c>
    </row>
    <row r="2361" spans="1:37" x14ac:dyDescent="0.2">
      <c r="A2361" t="str">
        <f>"20200111153442099"</f>
        <v>20200111153442099</v>
      </c>
      <c r="B2361" t="str">
        <f>"1578728082088132"</f>
        <v>1578728082088132</v>
      </c>
      <c r="C2361" t="s">
        <v>37</v>
      </c>
      <c r="D2361">
        <v>4.5397509999999999</v>
      </c>
      <c r="E2361">
        <v>0.44627319999999998</v>
      </c>
      <c r="F2361" t="s">
        <v>50</v>
      </c>
      <c r="G2361">
        <v>-483.28219999999999</v>
      </c>
      <c r="H2361" s="1">
        <v>3.6911210000000001E-6</v>
      </c>
      <c r="I2361">
        <v>225.01150000000001</v>
      </c>
      <c r="J2361">
        <v>-490.33699999999999</v>
      </c>
      <c r="K2361">
        <v>1.105224</v>
      </c>
      <c r="L2361">
        <v>256.1053</v>
      </c>
      <c r="M2361">
        <v>-7.5686649999999996E-3</v>
      </c>
      <c r="N2361">
        <v>0</v>
      </c>
      <c r="O2361">
        <v>-0.999959499999999</v>
      </c>
      <c r="P2361">
        <v>9.4958689999999998E-2</v>
      </c>
      <c r="Q2361">
        <v>5.2416740000000003E-2</v>
      </c>
      <c r="R2361">
        <v>-0.99410030000000005</v>
      </c>
      <c r="S2361">
        <v>0.66607669999999997</v>
      </c>
      <c r="T2361">
        <v>-0.104373299999999</v>
      </c>
      <c r="U2361">
        <v>-2.9611969999999999</v>
      </c>
      <c r="V2361">
        <v>-0.1026726</v>
      </c>
      <c r="W2361">
        <v>5.691533E-2</v>
      </c>
      <c r="X2361">
        <v>0.99308560000000001</v>
      </c>
      <c r="Y2361">
        <v>-0.2267004</v>
      </c>
      <c r="Z2361">
        <v>3.4336640000000002E-2</v>
      </c>
      <c r="AA2361">
        <v>0.97335910000000003</v>
      </c>
      <c r="AB2361">
        <v>32</v>
      </c>
      <c r="AC2361">
        <v>7.0548000000000002</v>
      </c>
      <c r="AD2361">
        <v>-1.105220308879</v>
      </c>
      <c r="AE2361">
        <v>-31.093799999999899</v>
      </c>
      <c r="AF2361">
        <v>-7.2811903956788804</v>
      </c>
      <c r="AG2361">
        <v>-1.105220308879</v>
      </c>
      <c r="AH2361">
        <v>31.002261856202399</v>
      </c>
      <c r="AI2361">
        <v>91.987672548383003</v>
      </c>
      <c r="AJ2361">
        <v>103.216947902028</v>
      </c>
      <c r="AK2361">
        <v>31.864988399649899</v>
      </c>
    </row>
    <row r="2362" spans="1:37" x14ac:dyDescent="0.2">
      <c r="A2362" t="str">
        <f>"20200111153442111"</f>
        <v>20200111153442111</v>
      </c>
      <c r="B2362" t="str">
        <f>"1578728082108631"</f>
        <v>1578728082108631</v>
      </c>
      <c r="C2362" t="s">
        <v>37</v>
      </c>
      <c r="D2362">
        <v>4.445163</v>
      </c>
      <c r="E2362">
        <v>0.44157950000000001</v>
      </c>
      <c r="F2362" t="s">
        <v>50</v>
      </c>
      <c r="G2362">
        <v>-483.57139999999998</v>
      </c>
      <c r="H2362" s="1">
        <v>4.4015679999999901E-6</v>
      </c>
      <c r="I2362">
        <v>227.8989</v>
      </c>
      <c r="J2362">
        <v>-490.33769999999998</v>
      </c>
      <c r="K2362">
        <v>1.105173</v>
      </c>
      <c r="L2362">
        <v>255.9221</v>
      </c>
      <c r="M2362">
        <v>-6.7410739999999997E-3</v>
      </c>
      <c r="N2362">
        <v>0</v>
      </c>
      <c r="O2362">
        <v>-0.99996580000000002</v>
      </c>
      <c r="P2362">
        <v>9.666487E-2</v>
      </c>
      <c r="Q2362">
        <v>5.2400420000000003E-2</v>
      </c>
      <c r="R2362">
        <v>-0.9939365</v>
      </c>
      <c r="S2362">
        <v>0.70907589999999998</v>
      </c>
      <c r="T2362">
        <v>-0.1158328</v>
      </c>
      <c r="U2362">
        <v>-2.9561769999999998</v>
      </c>
      <c r="V2362">
        <v>-0.10355009999999901</v>
      </c>
      <c r="W2362">
        <v>5.6815829999999998E-2</v>
      </c>
      <c r="X2362">
        <v>0.99300010000000005</v>
      </c>
      <c r="Y2362">
        <v>-0.2396276</v>
      </c>
      <c r="Z2362">
        <v>3.8042840000000001E-2</v>
      </c>
      <c r="AA2362">
        <v>0.97011919999999996</v>
      </c>
      <c r="AB2362">
        <v>32</v>
      </c>
      <c r="AC2362">
        <v>6.7663000000000002</v>
      </c>
      <c r="AD2362">
        <v>-1.1051685984319899</v>
      </c>
      <c r="AE2362">
        <v>-28.023199999999999</v>
      </c>
      <c r="AF2362">
        <v>-6.9448484179407002</v>
      </c>
      <c r="AG2362">
        <v>-1.1051685984319899</v>
      </c>
      <c r="AH2362">
        <v>27.9358947172916</v>
      </c>
      <c r="AI2362">
        <v>92.198637516477604</v>
      </c>
      <c r="AJ2362">
        <v>103.96069402804901</v>
      </c>
      <c r="AK2362">
        <v>28.807404097466598</v>
      </c>
    </row>
    <row r="2363" spans="1:37" x14ac:dyDescent="0.2">
      <c r="A2363" t="str">
        <f>"20200111153442127"</f>
        <v>20200111153442127</v>
      </c>
      <c r="B2363" t="str">
        <f>"1578728082118389"</f>
        <v>1578728082118389</v>
      </c>
      <c r="C2363" t="s">
        <v>37</v>
      </c>
      <c r="D2363">
        <v>4.4834350000000001</v>
      </c>
      <c r="E2363">
        <v>0.44016420000000001</v>
      </c>
      <c r="F2363" t="s">
        <v>39</v>
      </c>
      <c r="G2363">
        <v>-483.71249999999998</v>
      </c>
      <c r="H2363" s="1">
        <v>-1.7572219999999899E-6</v>
      </c>
      <c r="I2363">
        <v>229.89570000000001</v>
      </c>
      <c r="J2363">
        <v>-490.33819999999997</v>
      </c>
      <c r="K2363">
        <v>1.1051200000000001</v>
      </c>
      <c r="L2363">
        <v>255.70609999999999</v>
      </c>
      <c r="M2363">
        <v>-5.7844029999999996E-3</v>
      </c>
      <c r="N2363">
        <v>0</v>
      </c>
      <c r="O2363">
        <v>-0.99997250000000004</v>
      </c>
      <c r="P2363">
        <v>9.8338239999999993E-2</v>
      </c>
      <c r="Q2363">
        <v>5.1962969999999997E-2</v>
      </c>
      <c r="R2363">
        <v>-0.9937956</v>
      </c>
      <c r="S2363">
        <v>0.75140379999999996</v>
      </c>
      <c r="T2363">
        <v>-0.12534400000000001</v>
      </c>
      <c r="U2363">
        <v>-2.951797</v>
      </c>
      <c r="V2363">
        <v>-0.10426539999999999</v>
      </c>
      <c r="W2363">
        <v>5.6286429999999998E-2</v>
      </c>
      <c r="X2363">
        <v>0.99295540000000004</v>
      </c>
      <c r="Y2363">
        <v>-0.25208399999999997</v>
      </c>
      <c r="Z2363">
        <v>4.1085289999999997E-2</v>
      </c>
      <c r="AA2363">
        <v>0.96683280000000005</v>
      </c>
      <c r="AB2363">
        <v>32</v>
      </c>
      <c r="AC2363">
        <v>6.6256999999999904</v>
      </c>
      <c r="AD2363">
        <v>-1.105121757222</v>
      </c>
      <c r="AE2363">
        <v>-25.810399999999898</v>
      </c>
      <c r="AF2363">
        <v>-6.7632560731226601</v>
      </c>
      <c r="AG2363">
        <v>-1.105121757222</v>
      </c>
      <c r="AH2363">
        <v>25.727392308689499</v>
      </c>
      <c r="AI2363">
        <v>92.378903414311907</v>
      </c>
      <c r="AJ2363">
        <v>104.728752474358</v>
      </c>
      <c r="AK2363">
        <v>26.624455709256001</v>
      </c>
    </row>
    <row r="2364" spans="1:37" x14ac:dyDescent="0.2">
      <c r="A2364" t="str">
        <f>"20200111153442145"</f>
        <v>20200111153442145</v>
      </c>
      <c r="B2364" t="str">
        <f>"1578728082137909"</f>
        <v>1578728082137909</v>
      </c>
      <c r="C2364" t="s">
        <v>37</v>
      </c>
      <c r="D2364">
        <v>4.4793419999999999</v>
      </c>
      <c r="E2364">
        <v>0.438809</v>
      </c>
      <c r="F2364" t="s">
        <v>39</v>
      </c>
      <c r="G2364">
        <v>-483.7799</v>
      </c>
      <c r="H2364" s="1">
        <v>-1.9479409999999899E-6</v>
      </c>
      <c r="I2364">
        <v>230.50890000000001</v>
      </c>
      <c r="J2364">
        <v>-490.33870000000002</v>
      </c>
      <c r="K2364">
        <v>1.1050549999999999</v>
      </c>
      <c r="L2364">
        <v>255.42570000000001</v>
      </c>
      <c r="M2364">
        <v>-4.5744779999999999E-3</v>
      </c>
      <c r="N2364">
        <v>0</v>
      </c>
      <c r="O2364">
        <v>-0.99997909999999901</v>
      </c>
      <c r="P2364">
        <v>0.10126019999999999</v>
      </c>
      <c r="Q2364">
        <v>5.0817429999999997E-2</v>
      </c>
      <c r="R2364">
        <v>-0.99356119999999903</v>
      </c>
      <c r="S2364">
        <v>0.76770019999999894</v>
      </c>
      <c r="T2364">
        <v>-0.1293628</v>
      </c>
      <c r="U2364">
        <v>-2.9495239999999998</v>
      </c>
      <c r="V2364">
        <v>-0.1059758</v>
      </c>
      <c r="W2364">
        <v>5.5029059999999998E-2</v>
      </c>
      <c r="X2364">
        <v>0.99284490000000003</v>
      </c>
      <c r="Y2364">
        <v>-0.25608510000000001</v>
      </c>
      <c r="Z2364">
        <v>4.2380830000000001E-2</v>
      </c>
      <c r="AA2364">
        <v>0.96572479999999905</v>
      </c>
      <c r="AB2364">
        <v>32</v>
      </c>
      <c r="AC2364">
        <v>6.5588000000000104</v>
      </c>
      <c r="AD2364">
        <v>-1.105056947941</v>
      </c>
      <c r="AE2364">
        <v>-24.916799999999899</v>
      </c>
      <c r="AF2364">
        <v>-6.6604622816420802</v>
      </c>
      <c r="AG2364">
        <v>-1.105056947941</v>
      </c>
      <c r="AH2364">
        <v>24.840842224712599</v>
      </c>
      <c r="AI2364">
        <v>92.460359413950201</v>
      </c>
      <c r="AJ2364">
        <v>105.00942251353101</v>
      </c>
      <c r="AK2364">
        <v>25.741995864665</v>
      </c>
    </row>
    <row r="2365" spans="1:37" x14ac:dyDescent="0.2">
      <c r="A2365" t="str">
        <f>"20200111153442158"</f>
        <v>20200111153442158</v>
      </c>
      <c r="B2365" t="str">
        <f>"1578728082148646"</f>
        <v>1578728082148646</v>
      </c>
      <c r="C2365" t="s">
        <v>37</v>
      </c>
      <c r="D2365">
        <v>4.4525410000000001</v>
      </c>
      <c r="E2365">
        <v>0.438309</v>
      </c>
      <c r="F2365" t="s">
        <v>39</v>
      </c>
      <c r="G2365">
        <v>-484.00439999999998</v>
      </c>
      <c r="H2365" s="1">
        <v>-2.293096E-6</v>
      </c>
      <c r="I2365">
        <v>231.6986</v>
      </c>
      <c r="J2365">
        <v>-490.339</v>
      </c>
      <c r="K2365">
        <v>1.1050180000000001</v>
      </c>
      <c r="L2365">
        <v>255.24420000000001</v>
      </c>
      <c r="M2365">
        <v>-3.8035289999999999E-3</v>
      </c>
      <c r="N2365">
        <v>0</v>
      </c>
      <c r="O2365">
        <v>-0.99998279999999995</v>
      </c>
      <c r="P2365">
        <v>0.1027508</v>
      </c>
      <c r="Q2365">
        <v>5.0136819999999999E-2</v>
      </c>
      <c r="R2365">
        <v>-0.99344279999999996</v>
      </c>
      <c r="S2365">
        <v>0.78656009999999998</v>
      </c>
      <c r="T2365">
        <v>-0.13721849999999999</v>
      </c>
      <c r="U2365">
        <v>-2.9462739999999998</v>
      </c>
      <c r="V2365">
        <v>-0.1066955</v>
      </c>
      <c r="W2365">
        <v>5.428156E-2</v>
      </c>
      <c r="X2365">
        <v>0.99280889999999999</v>
      </c>
      <c r="Y2365">
        <v>-0.26134669999999999</v>
      </c>
      <c r="Z2365">
        <v>4.4929070000000002E-2</v>
      </c>
      <c r="AA2365">
        <v>0.96419880000000002</v>
      </c>
      <c r="AB2365">
        <v>33</v>
      </c>
      <c r="AC2365">
        <v>6.3346000000000204</v>
      </c>
      <c r="AD2365">
        <v>-1.105020293096</v>
      </c>
      <c r="AE2365">
        <v>-23.5456</v>
      </c>
      <c r="AF2365">
        <v>-6.4109442181253202</v>
      </c>
      <c r="AG2365">
        <v>-1.105020293096</v>
      </c>
      <c r="AH2365">
        <v>23.473124935743702</v>
      </c>
      <c r="AI2365">
        <v>92.600168819412104</v>
      </c>
      <c r="AJ2365">
        <v>105.27597941499999</v>
      </c>
      <c r="AK2365">
        <v>24.357932380748199</v>
      </c>
    </row>
    <row r="2366" spans="1:37" x14ac:dyDescent="0.2">
      <c r="A2366" t="str">
        <f>"20200111153442170"</f>
        <v>20200111153442170</v>
      </c>
      <c r="B2366" t="str">
        <f>"1578728082158405"</f>
        <v>1578728082158405</v>
      </c>
      <c r="C2366" t="s">
        <v>37</v>
      </c>
      <c r="D2366">
        <v>4.4578600000000002</v>
      </c>
      <c r="E2366">
        <v>0.43795800000000001</v>
      </c>
      <c r="F2366" t="s">
        <v>39</v>
      </c>
      <c r="G2366">
        <v>-484.12920000000003</v>
      </c>
      <c r="H2366" s="1">
        <v>-2.4488979999999999E-6</v>
      </c>
      <c r="I2366">
        <v>232.25399999999999</v>
      </c>
      <c r="J2366">
        <v>-490.33890000000002</v>
      </c>
      <c r="K2366">
        <v>1.1049929999999999</v>
      </c>
      <c r="L2366">
        <v>255.07419999999999</v>
      </c>
      <c r="M2366">
        <v>-3.093387E-3</v>
      </c>
      <c r="N2366">
        <v>0</v>
      </c>
      <c r="O2366">
        <v>-0.99998560000000003</v>
      </c>
      <c r="P2366">
        <v>0.104194699999999</v>
      </c>
      <c r="Q2366">
        <v>4.9204520000000002E-2</v>
      </c>
      <c r="R2366">
        <v>-0.99333930000000004</v>
      </c>
      <c r="S2366">
        <v>0.79537959999999996</v>
      </c>
      <c r="T2366">
        <v>-0.1415352</v>
      </c>
      <c r="U2366">
        <v>-2.9446720000000002</v>
      </c>
      <c r="V2366">
        <v>-0.10742930000000001</v>
      </c>
      <c r="W2366">
        <v>5.3293069999999998E-2</v>
      </c>
      <c r="X2366">
        <v>0.99278339999999998</v>
      </c>
      <c r="Y2366">
        <v>-0.26346819999999999</v>
      </c>
      <c r="Z2366">
        <v>4.6332610000000003E-2</v>
      </c>
      <c r="AA2366">
        <v>0.96355480000000004</v>
      </c>
      <c r="AB2366">
        <v>33</v>
      </c>
      <c r="AC2366">
        <v>6.20969999999999</v>
      </c>
      <c r="AD2366">
        <v>-1.1049954488980001</v>
      </c>
      <c r="AE2366">
        <v>-22.8201999999999</v>
      </c>
      <c r="AF2366">
        <v>-6.2665825573519003</v>
      </c>
      <c r="AG2366">
        <v>-1.1049954488980001</v>
      </c>
      <c r="AH2366">
        <v>22.751215101882998</v>
      </c>
      <c r="AI2366">
        <v>92.680909455296003</v>
      </c>
      <c r="AJ2366">
        <v>105.399657886184</v>
      </c>
      <c r="AK2366">
        <v>23.624327725934201</v>
      </c>
    </row>
    <row r="2367" spans="1:37" x14ac:dyDescent="0.2">
      <c r="A2367" t="str">
        <f>"20200111153442182"</f>
        <v>20200111153442182</v>
      </c>
      <c r="B2367" t="str">
        <f>"1578728082177925"</f>
        <v>1578728082177925</v>
      </c>
      <c r="C2367" t="s">
        <v>37</v>
      </c>
      <c r="D2367">
        <v>4.4814020000000001</v>
      </c>
      <c r="E2367">
        <v>0.43747469999999999</v>
      </c>
      <c r="F2367" t="s">
        <v>39</v>
      </c>
      <c r="G2367">
        <v>-484.30340000000001</v>
      </c>
      <c r="H2367" s="1">
        <v>-2.6298210000000002E-6</v>
      </c>
      <c r="I2367">
        <v>232.92189999999999</v>
      </c>
      <c r="J2367">
        <v>-490.33890000000002</v>
      </c>
      <c r="K2367">
        <v>1.1049690000000001</v>
      </c>
      <c r="L2367">
        <v>254.89660000000001</v>
      </c>
      <c r="M2367">
        <v>-2.3532889999999902E-3</v>
      </c>
      <c r="N2367">
        <v>0</v>
      </c>
      <c r="O2367">
        <v>-0.99998759999999998</v>
      </c>
      <c r="P2367">
        <v>0.1056121</v>
      </c>
      <c r="Q2367">
        <v>4.8427900000000003E-2</v>
      </c>
      <c r="R2367">
        <v>-0.99322730000000004</v>
      </c>
      <c r="S2367">
        <v>0.80191040000000002</v>
      </c>
      <c r="T2367">
        <v>-0.14681520000000001</v>
      </c>
      <c r="U2367">
        <v>-2.9432680000000002</v>
      </c>
      <c r="V2367">
        <v>-0.1081077</v>
      </c>
      <c r="W2367">
        <v>5.2459289999999999E-2</v>
      </c>
      <c r="X2367">
        <v>0.99275409999999997</v>
      </c>
      <c r="Y2367">
        <v>-0.26483970000000001</v>
      </c>
      <c r="Z2367">
        <v>4.8056330000000001E-2</v>
      </c>
      <c r="AA2367">
        <v>0.96309419999999901</v>
      </c>
      <c r="AB2367">
        <v>33</v>
      </c>
      <c r="AC2367">
        <v>6.0355000000000096</v>
      </c>
      <c r="AD2367">
        <v>-1.1049716298209999</v>
      </c>
      <c r="AE2367">
        <v>-21.974699999999999</v>
      </c>
      <c r="AF2367">
        <v>-6.0729185488202599</v>
      </c>
      <c r="AG2367">
        <v>-1.1049716298209999</v>
      </c>
      <c r="AH2367">
        <v>21.908925599873101</v>
      </c>
      <c r="AI2367">
        <v>92.782509877064797</v>
      </c>
      <c r="AJ2367">
        <v>105.49280131566999</v>
      </c>
      <c r="AK2367">
        <v>22.761861148510899</v>
      </c>
    </row>
    <row r="2368" spans="1:37" x14ac:dyDescent="0.2">
      <c r="A2368" t="str">
        <f>"20200111153442199"</f>
        <v>20200111153442199</v>
      </c>
      <c r="B2368" t="str">
        <f>"1578728082188664"</f>
        <v>1578728082188664</v>
      </c>
      <c r="C2368" t="s">
        <v>37</v>
      </c>
      <c r="D2368">
        <v>4.4506610000000002</v>
      </c>
      <c r="E2368">
        <v>0.437384</v>
      </c>
      <c r="F2368" t="s">
        <v>39</v>
      </c>
      <c r="G2368">
        <v>-484.43939999999998</v>
      </c>
      <c r="H2368" s="1">
        <v>-2.7777219999999999E-6</v>
      </c>
      <c r="I2368">
        <v>233.46279999999999</v>
      </c>
      <c r="J2368">
        <v>-490.33859999999999</v>
      </c>
      <c r="K2368">
        <v>1.104951</v>
      </c>
      <c r="L2368">
        <v>254.64869999999999</v>
      </c>
      <c r="M2368">
        <v>-1.324612E-3</v>
      </c>
      <c r="N2368">
        <v>0</v>
      </c>
      <c r="O2368">
        <v>-0.99998989999999999</v>
      </c>
      <c r="P2368">
        <v>0.1074051</v>
      </c>
      <c r="Q2368">
        <v>4.7759709999999997E-2</v>
      </c>
      <c r="R2368">
        <v>-0.9930677</v>
      </c>
      <c r="S2368">
        <v>0.80969239999999998</v>
      </c>
      <c r="T2368">
        <v>-0.15165479999999901</v>
      </c>
      <c r="U2368">
        <v>-2.9417419999999899</v>
      </c>
      <c r="V2368">
        <v>-0.1088754</v>
      </c>
      <c r="W2368">
        <v>5.1717869999999999E-2</v>
      </c>
      <c r="X2368">
        <v>0.99270910000000001</v>
      </c>
      <c r="Y2368">
        <v>-0.2663237</v>
      </c>
      <c r="Z2368">
        <v>4.9634089999999999E-2</v>
      </c>
      <c r="AA2368">
        <v>0.96260489999999999</v>
      </c>
      <c r="AB2368">
        <v>33</v>
      </c>
      <c r="AC2368">
        <v>5.8992000000000004</v>
      </c>
      <c r="AD2368">
        <v>-1.104953777722</v>
      </c>
      <c r="AE2368">
        <v>-21.1859</v>
      </c>
      <c r="AF2368">
        <v>-5.9123329082659701</v>
      </c>
      <c r="AG2368">
        <v>-1.104953777722</v>
      </c>
      <c r="AH2368">
        <v>21.124739257784999</v>
      </c>
      <c r="AI2368">
        <v>92.883582612467904</v>
      </c>
      <c r="AJ2368">
        <v>105.635721926763</v>
      </c>
      <c r="AK2368">
        <v>21.964316788337999</v>
      </c>
    </row>
    <row r="2369" spans="1:37" x14ac:dyDescent="0.2">
      <c r="A2369" t="str">
        <f>"20200111153442211"</f>
        <v>20200111153442211</v>
      </c>
      <c r="B2369" t="str">
        <f>"1578728082208183"</f>
        <v>1578728082208183</v>
      </c>
      <c r="C2369" t="s">
        <v>37</v>
      </c>
      <c r="D2369">
        <v>4.4777750000000003</v>
      </c>
      <c r="E2369">
        <v>0.43719069999999999</v>
      </c>
      <c r="F2369" t="s">
        <v>39</v>
      </c>
      <c r="G2369">
        <v>-484.49860000000001</v>
      </c>
      <c r="H2369" s="1">
        <v>-2.81134799999999E-6</v>
      </c>
      <c r="I2369">
        <v>233.6079</v>
      </c>
      <c r="J2369">
        <v>-490.3381</v>
      </c>
      <c r="K2369">
        <v>1.1049420000000001</v>
      </c>
      <c r="L2369">
        <v>254.46530000000001</v>
      </c>
      <c r="M2369">
        <v>-5.6282149999999998E-4</v>
      </c>
      <c r="N2369">
        <v>0</v>
      </c>
      <c r="O2369">
        <v>-0.99999090000000002</v>
      </c>
      <c r="P2369">
        <v>0.10883279999999999</v>
      </c>
      <c r="Q2369">
        <v>4.7410019999999997E-2</v>
      </c>
      <c r="R2369">
        <v>-0.99292919999999996</v>
      </c>
      <c r="S2369">
        <v>0.81603999999999999</v>
      </c>
      <c r="T2369">
        <v>-0.15439929999999999</v>
      </c>
      <c r="U2369">
        <v>-2.9401090000000001</v>
      </c>
      <c r="V2369">
        <v>-0.10954560000000001</v>
      </c>
      <c r="W2369">
        <v>5.1319289999999997E-2</v>
      </c>
      <c r="X2369">
        <v>0.99265609999999904</v>
      </c>
      <c r="Y2369">
        <v>-0.26764460000000001</v>
      </c>
      <c r="Z2369">
        <v>5.0533330000000001E-2</v>
      </c>
      <c r="AA2369">
        <v>0.96219159999999904</v>
      </c>
      <c r="AB2369">
        <v>33</v>
      </c>
      <c r="AC2369">
        <v>5.8394999999999797</v>
      </c>
      <c r="AD2369">
        <v>-1.104944811348</v>
      </c>
      <c r="AE2369">
        <v>-20.857399999999998</v>
      </c>
      <c r="AF2369">
        <v>-5.8360499790210403</v>
      </c>
      <c r="AG2369">
        <v>-1.104944811348</v>
      </c>
      <c r="AH2369">
        <v>20.7999785752931</v>
      </c>
      <c r="AI2369">
        <v>92.927970478177002</v>
      </c>
      <c r="AJ2369">
        <v>105.67303696950501</v>
      </c>
      <c r="AK2369">
        <v>21.631446810752401</v>
      </c>
    </row>
    <row r="2370" spans="1:37" x14ac:dyDescent="0.2">
      <c r="A2370" t="str">
        <f>"20200111153442223"</f>
        <v>20200111153442223</v>
      </c>
      <c r="B2370" t="str">
        <f>"1578728082217941"</f>
        <v>1578728082217941</v>
      </c>
      <c r="C2370" t="s">
        <v>37</v>
      </c>
      <c r="D2370">
        <v>4.464696</v>
      </c>
      <c r="E2370">
        <v>0.43712309999999999</v>
      </c>
      <c r="F2370" t="s">
        <v>39</v>
      </c>
      <c r="G2370">
        <v>-484.53089999999997</v>
      </c>
      <c r="H2370" s="1">
        <v>-2.829708E-6</v>
      </c>
      <c r="I2370">
        <v>233.68719999999999</v>
      </c>
      <c r="J2370">
        <v>-490.33769999999998</v>
      </c>
      <c r="K2370">
        <v>1.104935</v>
      </c>
      <c r="L2370">
        <v>254.29740000000001</v>
      </c>
      <c r="M2370">
        <v>1.3585219999999999E-4</v>
      </c>
      <c r="N2370">
        <v>0</v>
      </c>
      <c r="O2370">
        <v>-0.99999110000000002</v>
      </c>
      <c r="P2370">
        <v>0.1098017</v>
      </c>
      <c r="Q2370">
        <v>4.6923529999999998E-2</v>
      </c>
      <c r="R2370">
        <v>-0.99284519999999998</v>
      </c>
      <c r="S2370">
        <v>0.82135009999999997</v>
      </c>
      <c r="T2370">
        <v>-0.15628</v>
      </c>
      <c r="U2370">
        <v>-2.9387970000000001</v>
      </c>
      <c r="V2370">
        <v>-0.10981929999999999</v>
      </c>
      <c r="W2370">
        <v>5.0791160000000002E-2</v>
      </c>
      <c r="X2370">
        <v>0.99265300000000001</v>
      </c>
      <c r="Y2370">
        <v>-0.26868700000000001</v>
      </c>
      <c r="Z2370">
        <v>5.1149470000000002E-2</v>
      </c>
      <c r="AA2370">
        <v>0.96186849999999902</v>
      </c>
      <c r="AB2370">
        <v>33</v>
      </c>
      <c r="AC2370">
        <v>5.8068000000000097</v>
      </c>
      <c r="AD2370">
        <v>-1.1049378297079999</v>
      </c>
      <c r="AE2370">
        <v>-20.610199999999999</v>
      </c>
      <c r="AF2370">
        <v>-5.7885861868585096</v>
      </c>
      <c r="AG2370">
        <v>-1.1049378297079999</v>
      </c>
      <c r="AH2370">
        <v>20.556251686900101</v>
      </c>
      <c r="AI2370">
        <v>92.961822062724707</v>
      </c>
      <c r="AJ2370">
        <v>105.727079471122</v>
      </c>
      <c r="AK2370">
        <v>21.384295664468201</v>
      </c>
    </row>
    <row r="2371" spans="1:37" x14ac:dyDescent="0.2">
      <c r="A2371" t="str">
        <f>"20200111153442244"</f>
        <v>20200111153442244</v>
      </c>
      <c r="B2371" t="str">
        <f>"1578728082238437"</f>
        <v>1578728082238437</v>
      </c>
      <c r="C2371" t="s">
        <v>37</v>
      </c>
      <c r="D2371">
        <v>4.4691720000000004</v>
      </c>
      <c r="E2371">
        <v>0.43703619999999999</v>
      </c>
      <c r="F2371" t="s">
        <v>39</v>
      </c>
      <c r="G2371">
        <v>-484.5761</v>
      </c>
      <c r="H2371" s="1">
        <v>-2.8431310000000002E-6</v>
      </c>
      <c r="I2371">
        <v>233.762</v>
      </c>
      <c r="J2371">
        <v>-490.33640000000003</v>
      </c>
      <c r="K2371">
        <v>1.104932</v>
      </c>
      <c r="L2371">
        <v>253.97640000000001</v>
      </c>
      <c r="M2371">
        <v>1.4812009999999999E-3</v>
      </c>
      <c r="N2371">
        <v>0</v>
      </c>
      <c r="O2371">
        <v>-0.99999020000000005</v>
      </c>
      <c r="P2371">
        <v>0.11253929999999999</v>
      </c>
      <c r="Q2371">
        <v>4.7079410000000002E-2</v>
      </c>
      <c r="R2371">
        <v>-0.99253119999999995</v>
      </c>
      <c r="S2371">
        <v>0.82427980000000001</v>
      </c>
      <c r="T2371">
        <v>-0.1580791</v>
      </c>
      <c r="U2371">
        <v>-2.9379270000000002</v>
      </c>
      <c r="V2371">
        <v>-0.1112226</v>
      </c>
      <c r="W2371">
        <v>5.087212E-2</v>
      </c>
      <c r="X2371">
        <v>0.99249259999999995</v>
      </c>
      <c r="Y2371">
        <v>-0.26834609999999998</v>
      </c>
      <c r="Z2371">
        <v>5.1747019999999998E-2</v>
      </c>
      <c r="AA2371">
        <v>0.96193169999999995</v>
      </c>
      <c r="AB2371">
        <v>33</v>
      </c>
      <c r="AC2371">
        <v>5.7603000000000204</v>
      </c>
      <c r="AD2371">
        <v>-1.104934843131</v>
      </c>
      <c r="AE2371">
        <v>-20.214400000000001</v>
      </c>
      <c r="AF2371">
        <v>-5.7145601825182197</v>
      </c>
      <c r="AG2371">
        <v>-1.104934843131</v>
      </c>
      <c r="AH2371">
        <v>20.167179960514201</v>
      </c>
      <c r="AI2371">
        <v>93.017460972752303</v>
      </c>
      <c r="AJ2371">
        <v>105.820576907092</v>
      </c>
      <c r="AK2371">
        <v>20.990288865257501</v>
      </c>
    </row>
    <row r="2372" spans="1:37" x14ac:dyDescent="0.2">
      <c r="A2372" t="str">
        <f>"20200111153442256"</f>
        <v>20200111153442256</v>
      </c>
      <c r="B2372" t="str">
        <f>"1578728082248197"</f>
        <v>1578728082248197</v>
      </c>
      <c r="C2372" t="s">
        <v>37</v>
      </c>
      <c r="D2372">
        <v>4.4836749999999999</v>
      </c>
      <c r="E2372">
        <v>0.4369613</v>
      </c>
      <c r="F2372" t="s">
        <v>39</v>
      </c>
      <c r="G2372">
        <v>-484.5127</v>
      </c>
      <c r="H2372" s="1">
        <v>-2.7559320000000002E-6</v>
      </c>
      <c r="I2372">
        <v>233.45609999999999</v>
      </c>
      <c r="J2372">
        <v>-490.33539999999999</v>
      </c>
      <c r="K2372">
        <v>1.1049340000000001</v>
      </c>
      <c r="L2372">
        <v>253.7903</v>
      </c>
      <c r="M2372">
        <v>2.2679319999999998E-3</v>
      </c>
      <c r="N2372">
        <v>0</v>
      </c>
      <c r="O2372">
        <v>-0.99998899999999902</v>
      </c>
      <c r="P2372">
        <v>0.113639</v>
      </c>
      <c r="Q2372">
        <v>4.7131680000000002E-2</v>
      </c>
      <c r="R2372">
        <v>-0.9924037</v>
      </c>
      <c r="S2372">
        <v>0.83312989999999998</v>
      </c>
      <c r="T2372">
        <v>-0.15806999999999999</v>
      </c>
      <c r="U2372">
        <v>-2.9355929999999999</v>
      </c>
      <c r="V2372">
        <v>-0.111542499999999</v>
      </c>
      <c r="W2372">
        <v>5.0885449999999999E-2</v>
      </c>
      <c r="X2372">
        <v>0.99245599999999901</v>
      </c>
      <c r="Y2372">
        <v>-0.2704725</v>
      </c>
      <c r="Z2372">
        <v>5.174699E-2</v>
      </c>
      <c r="AA2372">
        <v>0.96133599999999997</v>
      </c>
      <c r="AB2372">
        <v>33</v>
      </c>
      <c r="AC2372">
        <v>5.8226999999999904</v>
      </c>
      <c r="AD2372">
        <v>-1.104936755932</v>
      </c>
      <c r="AE2372">
        <v>-20.334199999999999</v>
      </c>
      <c r="AF2372">
        <v>-5.7608470163446199</v>
      </c>
      <c r="AG2372">
        <v>-1.104936755932</v>
      </c>
      <c r="AH2372">
        <v>20.291977603424801</v>
      </c>
      <c r="AI2372">
        <v>92.998519437546506</v>
      </c>
      <c r="AJ2372">
        <v>105.84912565401299</v>
      </c>
      <c r="AK2372">
        <v>21.122798077864399</v>
      </c>
    </row>
    <row r="2373" spans="1:37" x14ac:dyDescent="0.2">
      <c r="A2373" t="str">
        <f>"20200111153442269"</f>
        <v>20200111153442269</v>
      </c>
      <c r="B2373" t="str">
        <f>"1578728082257957"</f>
        <v>1578728082257957</v>
      </c>
      <c r="C2373" t="s">
        <v>37</v>
      </c>
      <c r="D2373">
        <v>4.4870330000000003</v>
      </c>
      <c r="E2373">
        <v>0.43693339999999897</v>
      </c>
      <c r="F2373" t="s">
        <v>39</v>
      </c>
      <c r="G2373">
        <v>-484.48379999999997</v>
      </c>
      <c r="H2373" s="1">
        <v>-2.7028289999999999E-6</v>
      </c>
      <c r="I2373">
        <v>233.2775</v>
      </c>
      <c r="J2373">
        <v>-490.33429999999998</v>
      </c>
      <c r="K2373">
        <v>1.104938</v>
      </c>
      <c r="L2373">
        <v>253.60890000000001</v>
      </c>
      <c r="M2373">
        <v>3.044841E-3</v>
      </c>
      <c r="N2373">
        <v>0</v>
      </c>
      <c r="O2373">
        <v>-0.99998719999999996</v>
      </c>
      <c r="P2373">
        <v>0.11511199999999901</v>
      </c>
      <c r="Q2373">
        <v>4.7574360000000003E-2</v>
      </c>
      <c r="R2373">
        <v>-0.99221289999999995</v>
      </c>
      <c r="S2373">
        <v>0.83715819999999996</v>
      </c>
      <c r="T2373">
        <v>-0.1580763</v>
      </c>
      <c r="U2373">
        <v>-2.934647</v>
      </c>
      <c r="V2373">
        <v>-0.1122471</v>
      </c>
      <c r="W2373">
        <v>5.129309E-2</v>
      </c>
      <c r="X2373">
        <v>0.9923556</v>
      </c>
      <c r="Y2373">
        <v>-0.27102670000000001</v>
      </c>
      <c r="Z2373">
        <v>5.1751279999999997E-2</v>
      </c>
      <c r="AA2373">
        <v>0.96117969999999897</v>
      </c>
      <c r="AB2373">
        <v>33</v>
      </c>
      <c r="AC2373">
        <v>5.85050000000001</v>
      </c>
      <c r="AD2373">
        <v>-1.1049407028289999</v>
      </c>
      <c r="AE2373">
        <v>-20.331399999999999</v>
      </c>
      <c r="AF2373">
        <v>-5.7728200841745902</v>
      </c>
      <c r="AG2373">
        <v>-1.1049407028289999</v>
      </c>
      <c r="AH2373">
        <v>20.293764830288101</v>
      </c>
      <c r="AI2373">
        <v>92.997821959428094</v>
      </c>
      <c r="AJ2373">
        <v>105.879078019109</v>
      </c>
      <c r="AK2373">
        <v>21.127783524734799</v>
      </c>
    </row>
    <row r="2374" spans="1:37" x14ac:dyDescent="0.2">
      <c r="A2374" t="str">
        <f>"20200111153442281"</f>
        <v>20200111153442281</v>
      </c>
      <c r="B2374" t="str">
        <f>"1578728082278453"</f>
        <v>1578728082278453</v>
      </c>
      <c r="C2374" t="s">
        <v>37</v>
      </c>
      <c r="D2374">
        <v>4.4844249999999999</v>
      </c>
      <c r="E2374">
        <v>0.43684600000000001</v>
      </c>
      <c r="F2374" t="s">
        <v>39</v>
      </c>
      <c r="G2374">
        <v>-484.42219999999998</v>
      </c>
      <c r="H2374" s="1">
        <v>-2.6208360000000001E-6</v>
      </c>
      <c r="I2374">
        <v>232.98840000000001</v>
      </c>
      <c r="J2374">
        <v>-490.33319999999998</v>
      </c>
      <c r="K2374">
        <v>1.104943</v>
      </c>
      <c r="L2374">
        <v>253.4255</v>
      </c>
      <c r="M2374">
        <v>3.8341600000000001E-3</v>
      </c>
      <c r="N2374">
        <v>0</v>
      </c>
      <c r="O2374">
        <v>-0.9999844</v>
      </c>
      <c r="P2374">
        <v>0.11646339999999999</v>
      </c>
      <c r="Q2374">
        <v>4.7874E-2</v>
      </c>
      <c r="R2374">
        <v>-0.99204049999999999</v>
      </c>
      <c r="S2374">
        <v>0.84106449999999999</v>
      </c>
      <c r="T2374">
        <v>-0.15719149999999901</v>
      </c>
      <c r="U2374">
        <v>-2.9335169999999899</v>
      </c>
      <c r="V2374">
        <v>-0.1128176</v>
      </c>
      <c r="W2374">
        <v>5.1558340000000001E-2</v>
      </c>
      <c r="X2374">
        <v>0.99227710000000002</v>
      </c>
      <c r="Y2374">
        <v>-0.27155170000000001</v>
      </c>
      <c r="Z2374">
        <v>5.1468100000000003E-2</v>
      </c>
      <c r="AA2374">
        <v>0.96104669999999903</v>
      </c>
      <c r="AB2374">
        <v>33</v>
      </c>
      <c r="AC2374">
        <v>5.9109999999999996</v>
      </c>
      <c r="AD2374">
        <v>-1.104945620836</v>
      </c>
      <c r="AE2374">
        <v>-20.437099999999901</v>
      </c>
      <c r="AF2374">
        <v>-5.8169059986881697</v>
      </c>
      <c r="AG2374">
        <v>-1.104945620836</v>
      </c>
      <c r="AH2374">
        <v>20.404573431586801</v>
      </c>
      <c r="AI2374">
        <v>92.981102039779998</v>
      </c>
      <c r="AJ2374">
        <v>105.911713788315</v>
      </c>
      <c r="AK2374">
        <v>21.2462683111081</v>
      </c>
    </row>
    <row r="2375" spans="1:37" x14ac:dyDescent="0.2">
      <c r="A2375" t="str">
        <f>"20200111153442294"</f>
        <v>20200111153442294</v>
      </c>
      <c r="B2375" t="str">
        <f>"1578728082288213"</f>
        <v>1578728082288213</v>
      </c>
      <c r="C2375" t="s">
        <v>37</v>
      </c>
      <c r="D2375">
        <v>4.4178089999999903</v>
      </c>
      <c r="E2375">
        <v>0.43687959999999898</v>
      </c>
      <c r="F2375" t="s">
        <v>39</v>
      </c>
      <c r="G2375">
        <v>-484.3306</v>
      </c>
      <c r="H2375" s="1">
        <v>-2.521856E-6</v>
      </c>
      <c r="I2375">
        <v>232.6259</v>
      </c>
      <c r="J2375">
        <v>-490.33170000000001</v>
      </c>
      <c r="K2375">
        <v>1.104951</v>
      </c>
      <c r="L2375">
        <v>253.23400000000001</v>
      </c>
      <c r="M2375">
        <v>4.6697609999999997E-3</v>
      </c>
      <c r="N2375">
        <v>0</v>
      </c>
      <c r="O2375">
        <v>-0.99998120000000001</v>
      </c>
      <c r="P2375">
        <v>0.1177943</v>
      </c>
      <c r="Q2375">
        <v>4.7808910000000003E-2</v>
      </c>
      <c r="R2375">
        <v>-0.99188670000000001</v>
      </c>
      <c r="S2375">
        <v>0.84622189999999997</v>
      </c>
      <c r="T2375">
        <v>-0.15577060000000001</v>
      </c>
      <c r="U2375">
        <v>-2.9322509999999999</v>
      </c>
      <c r="V2375">
        <v>-0.11332109999999999</v>
      </c>
      <c r="W2375">
        <v>5.1461189999999997E-2</v>
      </c>
      <c r="X2375">
        <v>0.99222479999999902</v>
      </c>
      <c r="Y2375">
        <v>-0.27242519999999998</v>
      </c>
      <c r="Z2375">
        <v>5.100644E-2</v>
      </c>
      <c r="AA2375">
        <v>0.96082409999999996</v>
      </c>
      <c r="AB2375">
        <v>34</v>
      </c>
      <c r="AC2375">
        <v>6.0011000000000001</v>
      </c>
      <c r="AD2375">
        <v>-1.104953521856</v>
      </c>
      <c r="AE2375">
        <v>-20.6081</v>
      </c>
      <c r="AF2375">
        <v>-5.88919192299673</v>
      </c>
      <c r="AG2375">
        <v>-1.104953521856</v>
      </c>
      <c r="AH2375">
        <v>20.5813564489298</v>
      </c>
      <c r="AI2375">
        <v>92.954734165616401</v>
      </c>
      <c r="AJ2375">
        <v>105.96805370669099</v>
      </c>
      <c r="AK2375">
        <v>21.435851675855002</v>
      </c>
    </row>
    <row r="2376" spans="1:37" x14ac:dyDescent="0.2">
      <c r="A2376" t="str">
        <f>"20200111153442305"</f>
        <v>20200111153442305</v>
      </c>
      <c r="B2376" t="str">
        <f>"1578728082297973"</f>
        <v>1578728082297973</v>
      </c>
      <c r="C2376" t="s">
        <v>37</v>
      </c>
      <c r="D2376">
        <v>4.5212589999999997</v>
      </c>
      <c r="E2376">
        <v>0.43675979999999998</v>
      </c>
      <c r="F2376" t="s">
        <v>39</v>
      </c>
      <c r="G2376">
        <v>-484.31959999999998</v>
      </c>
      <c r="H2376" s="1">
        <v>-2.4784139999999998E-6</v>
      </c>
      <c r="I2376">
        <v>232.4896</v>
      </c>
      <c r="J2376">
        <v>-490.33019999999999</v>
      </c>
      <c r="K2376">
        <v>1.1049530000000001</v>
      </c>
      <c r="L2376">
        <v>253.053</v>
      </c>
      <c r="M2376">
        <v>5.4655379999999998E-3</v>
      </c>
      <c r="N2376">
        <v>0</v>
      </c>
      <c r="O2376">
        <v>-0.99997689999999995</v>
      </c>
      <c r="P2376">
        <v>0.1192238</v>
      </c>
      <c r="Q2376">
        <v>4.789409E-2</v>
      </c>
      <c r="R2376">
        <v>-0.99171129999999996</v>
      </c>
      <c r="S2376">
        <v>0.84951779999999999</v>
      </c>
      <c r="T2376">
        <v>-0.1561303</v>
      </c>
      <c r="U2376">
        <v>-2.9311829999999999</v>
      </c>
      <c r="V2376">
        <v>-0.1139633</v>
      </c>
      <c r="W2376">
        <v>5.1517390000000003E-2</v>
      </c>
      <c r="X2376">
        <v>0.99214829999999998</v>
      </c>
      <c r="Y2376">
        <v>-0.27274799999999999</v>
      </c>
      <c r="Z2376">
        <v>5.1131269999999999E-2</v>
      </c>
      <c r="AA2376">
        <v>0.96072579999999996</v>
      </c>
      <c r="AB2376">
        <v>34</v>
      </c>
      <c r="AC2376">
        <v>6.0106000000000099</v>
      </c>
      <c r="AD2376">
        <v>-1.1049554784140001</v>
      </c>
      <c r="AE2376">
        <v>-20.563400000000001</v>
      </c>
      <c r="AF2376">
        <v>-5.8824714023989504</v>
      </c>
      <c r="AG2376">
        <v>-1.1049554784140001</v>
      </c>
      <c r="AH2376">
        <v>20.541302727800399</v>
      </c>
      <c r="AI2376">
        <v>92.960310190801906</v>
      </c>
      <c r="AJ2376">
        <v>105.98027500664</v>
      </c>
      <c r="AK2376">
        <v>21.395548933468799</v>
      </c>
    </row>
    <row r="2377" spans="1:37" x14ac:dyDescent="0.2">
      <c r="A2377" t="str">
        <f>"20200111153442322"</f>
        <v>20200111153442322</v>
      </c>
      <c r="B2377" t="str">
        <f>"1578728082318469"</f>
        <v>1578728082318469</v>
      </c>
      <c r="C2377" t="s">
        <v>37</v>
      </c>
      <c r="D2377">
        <v>4.5103949999999999</v>
      </c>
      <c r="E2377">
        <v>0.4365889</v>
      </c>
      <c r="F2377" t="s">
        <v>39</v>
      </c>
      <c r="G2377">
        <v>-484.274</v>
      </c>
      <c r="H2377" s="1">
        <v>-2.4243790000000001E-6</v>
      </c>
      <c r="I2377">
        <v>232.29519999999999</v>
      </c>
      <c r="J2377">
        <v>-490.32799999999997</v>
      </c>
      <c r="K2377">
        <v>1.104957</v>
      </c>
      <c r="L2377">
        <v>252.81280000000001</v>
      </c>
      <c r="M2377">
        <v>6.5306909999999999E-3</v>
      </c>
      <c r="N2377">
        <v>0</v>
      </c>
      <c r="O2377">
        <v>-0.9999709</v>
      </c>
      <c r="P2377">
        <v>0.1219851</v>
      </c>
      <c r="Q2377">
        <v>4.7699789999999999E-2</v>
      </c>
      <c r="R2377">
        <v>-0.99138519999999897</v>
      </c>
      <c r="S2377">
        <v>0.85479740000000004</v>
      </c>
      <c r="T2377">
        <v>-0.15595780000000001</v>
      </c>
      <c r="U2377">
        <v>-2.92984</v>
      </c>
      <c r="V2377">
        <v>-0.115671</v>
      </c>
      <c r="W2377">
        <v>5.128452E-2</v>
      </c>
      <c r="X2377">
        <v>0.99196280000000003</v>
      </c>
      <c r="Y2377">
        <v>-0.27343790000000001</v>
      </c>
      <c r="Z2377">
        <v>5.1079180000000002E-2</v>
      </c>
      <c r="AA2377">
        <v>0.96053250000000001</v>
      </c>
      <c r="AB2377">
        <v>34</v>
      </c>
      <c r="AC2377">
        <v>6.0540000000000296</v>
      </c>
      <c r="AD2377">
        <v>-1.104959424379</v>
      </c>
      <c r="AE2377">
        <v>-20.517600000000002</v>
      </c>
      <c r="AF2377">
        <v>-5.9041235767362004</v>
      </c>
      <c r="AG2377">
        <v>-1.104959424379</v>
      </c>
      <c r="AH2377">
        <v>20.5020003314585</v>
      </c>
      <c r="AI2377">
        <v>92.964725106416395</v>
      </c>
      <c r="AJ2377">
        <v>106.065232759319</v>
      </c>
      <c r="AK2377">
        <v>21.363792456631401</v>
      </c>
    </row>
    <row r="2378" spans="1:37" x14ac:dyDescent="0.2">
      <c r="A2378" t="str">
        <f>"20200111153442335"</f>
        <v>20200111153442335</v>
      </c>
      <c r="B2378" t="str">
        <f>"1578728082328229"</f>
        <v>1578728082328229</v>
      </c>
      <c r="C2378" t="s">
        <v>37</v>
      </c>
      <c r="D2378">
        <v>4.5089689999999996</v>
      </c>
      <c r="E2378">
        <v>0.43651759999999901</v>
      </c>
      <c r="F2378" t="s">
        <v>39</v>
      </c>
      <c r="G2378">
        <v>-484.23820000000001</v>
      </c>
      <c r="H2378" s="1">
        <v>-2.3968629999999999E-6</v>
      </c>
      <c r="I2378">
        <v>232.18639999999999</v>
      </c>
      <c r="J2378">
        <v>-490.32580000000002</v>
      </c>
      <c r="K2378">
        <v>1.1049629999999999</v>
      </c>
      <c r="L2378">
        <v>252.60579999999999</v>
      </c>
      <c r="M2378">
        <v>7.457015E-3</v>
      </c>
      <c r="N2378">
        <v>0</v>
      </c>
      <c r="O2378">
        <v>-0.99996450000000003</v>
      </c>
      <c r="P2378">
        <v>0.1239696</v>
      </c>
      <c r="Q2378">
        <v>4.7467099999999998E-2</v>
      </c>
      <c r="R2378">
        <v>-0.99115030000000004</v>
      </c>
      <c r="S2378">
        <v>0.86425779999999996</v>
      </c>
      <c r="T2378">
        <v>-0.15681519999999999</v>
      </c>
      <c r="U2378">
        <v>-2.927292</v>
      </c>
      <c r="V2378">
        <v>-0.1167391</v>
      </c>
      <c r="W2378">
        <v>5.1022610000000003E-2</v>
      </c>
      <c r="X2378">
        <v>0.99185119999999904</v>
      </c>
      <c r="Y2378">
        <v>-0.2756248</v>
      </c>
      <c r="Z2378">
        <v>5.1362310000000001E-2</v>
      </c>
      <c r="AA2378">
        <v>0.95989210000000003</v>
      </c>
      <c r="AB2378">
        <v>34</v>
      </c>
      <c r="AC2378">
        <v>6.0876000000000001</v>
      </c>
      <c r="AD2378">
        <v>-1.104965396863</v>
      </c>
      <c r="AE2378">
        <v>-20.4194</v>
      </c>
      <c r="AF2378">
        <v>-5.9192434679618398</v>
      </c>
      <c r="AG2378">
        <v>-1.104965396863</v>
      </c>
      <c r="AH2378">
        <v>20.4093420995606</v>
      </c>
      <c r="AI2378">
        <v>92.976553163085001</v>
      </c>
      <c r="AJ2378">
        <v>106.17354249666</v>
      </c>
      <c r="AK2378">
        <v>21.279089188641699</v>
      </c>
    </row>
    <row r="2379" spans="1:37" x14ac:dyDescent="0.2">
      <c r="A2379" t="str">
        <f>"20200111153442346"</f>
        <v>20200111153442346</v>
      </c>
      <c r="B2379" t="str">
        <f>"1578728082337989"</f>
        <v>1578728082337989</v>
      </c>
      <c r="C2379" t="s">
        <v>37</v>
      </c>
      <c r="D2379">
        <v>4.5120149999999999</v>
      </c>
      <c r="E2379">
        <v>0.43646249999999998</v>
      </c>
      <c r="F2379" t="s">
        <v>39</v>
      </c>
      <c r="G2379">
        <v>-484.23809999999997</v>
      </c>
      <c r="H2379" s="1">
        <v>-2.385658E-6</v>
      </c>
      <c r="I2379">
        <v>232.1534</v>
      </c>
      <c r="J2379">
        <v>-490.32380000000001</v>
      </c>
      <c r="K2379">
        <v>1.104965</v>
      </c>
      <c r="L2379">
        <v>252.42570000000001</v>
      </c>
      <c r="M2379">
        <v>8.2680099999999992E-3</v>
      </c>
      <c r="N2379">
        <v>0</v>
      </c>
      <c r="O2379">
        <v>-0.99995820000000002</v>
      </c>
      <c r="P2379">
        <v>0.12618669999999901</v>
      </c>
      <c r="Q2379">
        <v>4.7050849999999998E-2</v>
      </c>
      <c r="R2379">
        <v>-0.9908903</v>
      </c>
      <c r="S2379">
        <v>0.87075809999999998</v>
      </c>
      <c r="T2379">
        <v>-0.15804840000000001</v>
      </c>
      <c r="U2379">
        <v>-2.9254150000000001</v>
      </c>
      <c r="V2379">
        <v>-0.11815389999999899</v>
      </c>
      <c r="W2379">
        <v>5.0581630000000002E-2</v>
      </c>
      <c r="X2379">
        <v>0.99170619999999998</v>
      </c>
      <c r="Y2379">
        <v>-0.27696679999999901</v>
      </c>
      <c r="Z2379">
        <v>5.1770219999999999E-2</v>
      </c>
      <c r="AA2379">
        <v>0.95948389999999995</v>
      </c>
      <c r="AB2379">
        <v>34</v>
      </c>
      <c r="AC2379">
        <v>6.0857000000000303</v>
      </c>
      <c r="AD2379">
        <v>-1.104967385658</v>
      </c>
      <c r="AE2379">
        <v>-20.272300000000001</v>
      </c>
      <c r="AF2379">
        <v>-5.9017947904462096</v>
      </c>
      <c r="AG2379">
        <v>-1.104967385658</v>
      </c>
      <c r="AH2379">
        <v>20.2666906655246</v>
      </c>
      <c r="AI2379">
        <v>92.996525230176104</v>
      </c>
      <c r="AJ2379">
        <v>106.235910287693</v>
      </c>
      <c r="AK2379">
        <v>21.1374285381162</v>
      </c>
    </row>
    <row r="2380" spans="1:37" x14ac:dyDescent="0.2">
      <c r="A2380" t="str">
        <f>"20200111153442358"</f>
        <v>20200111153442358</v>
      </c>
      <c r="B2380" t="str">
        <f>"1578728082348724"</f>
        <v>1578728082348724</v>
      </c>
      <c r="C2380" t="s">
        <v>37</v>
      </c>
      <c r="D2380">
        <v>4.4174949999999997</v>
      </c>
      <c r="E2380">
        <v>0.4364653</v>
      </c>
      <c r="F2380" t="s">
        <v>39</v>
      </c>
      <c r="G2380">
        <v>-484.27019999999999</v>
      </c>
      <c r="H2380" s="1">
        <v>-2.408053E-6</v>
      </c>
      <c r="I2380">
        <v>232.24430000000001</v>
      </c>
      <c r="J2380">
        <v>-490.3218</v>
      </c>
      <c r="K2380">
        <v>1.104968</v>
      </c>
      <c r="L2380">
        <v>252.2508</v>
      </c>
      <c r="M2380">
        <v>9.057552E-3</v>
      </c>
      <c r="N2380">
        <v>0</v>
      </c>
      <c r="O2380">
        <v>-0.99995140000000005</v>
      </c>
      <c r="P2380">
        <v>0.1284043</v>
      </c>
      <c r="Q2380">
        <v>4.680894E-2</v>
      </c>
      <c r="R2380">
        <v>-0.99061690000000002</v>
      </c>
      <c r="S2380">
        <v>0.8769226</v>
      </c>
      <c r="T2380">
        <v>-0.1600654</v>
      </c>
      <c r="U2380">
        <v>-2.9234770000000001</v>
      </c>
      <c r="V2380">
        <v>-0.119591</v>
      </c>
      <c r="W2380">
        <v>5.0316359999999997E-2</v>
      </c>
      <c r="X2380">
        <v>0.99154739999999997</v>
      </c>
      <c r="Y2380">
        <v>-0.27822909999999901</v>
      </c>
      <c r="Z2380">
        <v>5.2436490000000002E-2</v>
      </c>
      <c r="AA2380">
        <v>0.9590824</v>
      </c>
      <c r="AB2380">
        <v>34</v>
      </c>
      <c r="AC2380">
        <v>6.0515999999999996</v>
      </c>
      <c r="AD2380">
        <v>-1.1049704080529901</v>
      </c>
      <c r="AE2380">
        <v>-20.0064999999999</v>
      </c>
      <c r="AF2380">
        <v>-5.8537808310164099</v>
      </c>
      <c r="AG2380">
        <v>-1.1049704080529901</v>
      </c>
      <c r="AH2380">
        <v>20.004585331133601</v>
      </c>
      <c r="AI2380">
        <v>93.034568468749299</v>
      </c>
      <c r="AJ2380">
        <v>106.310634491698</v>
      </c>
      <c r="AK2380">
        <v>20.872736856743401</v>
      </c>
    </row>
    <row r="2381" spans="1:37" x14ac:dyDescent="0.2">
      <c r="A2381" t="str">
        <f>"20200111153442371"</f>
        <v>20200111153442371</v>
      </c>
      <c r="B2381" t="str">
        <f>"1578728082368245"</f>
        <v>1578728082368245</v>
      </c>
      <c r="C2381" t="s">
        <v>37</v>
      </c>
      <c r="D2381">
        <v>4.4956149999999999</v>
      </c>
      <c r="E2381">
        <v>0.43639159999999999</v>
      </c>
      <c r="F2381" t="s">
        <v>39</v>
      </c>
      <c r="G2381">
        <v>-484.27710000000002</v>
      </c>
      <c r="H2381" s="1">
        <v>-2.4118299999999999E-6</v>
      </c>
      <c r="I2381">
        <v>232.26079999999999</v>
      </c>
      <c r="J2381">
        <v>-490.31950000000001</v>
      </c>
      <c r="K2381">
        <v>1.1049659999999999</v>
      </c>
      <c r="L2381">
        <v>252.06989999999999</v>
      </c>
      <c r="M2381">
        <v>9.8784749999999994E-3</v>
      </c>
      <c r="N2381">
        <v>0</v>
      </c>
      <c r="O2381">
        <v>-0.99994359999999904</v>
      </c>
      <c r="P2381">
        <v>0.13046459999999999</v>
      </c>
      <c r="Q2381">
        <v>4.6550359999999999E-2</v>
      </c>
      <c r="R2381">
        <v>-0.99035980000000001</v>
      </c>
      <c r="S2381">
        <v>0.88342289999999901</v>
      </c>
      <c r="T2381">
        <v>-0.16149069999999999</v>
      </c>
      <c r="U2381">
        <v>-2.9215239999999998</v>
      </c>
      <c r="V2381">
        <v>-0.1208403</v>
      </c>
      <c r="W2381">
        <v>5.0036810000000001E-2</v>
      </c>
      <c r="X2381">
        <v>0.99141009999999996</v>
      </c>
      <c r="Y2381">
        <v>-0.27956599999999998</v>
      </c>
      <c r="Z2381">
        <v>5.2908150000000001E-2</v>
      </c>
      <c r="AA2381">
        <v>0.95866759999999995</v>
      </c>
      <c r="AB2381">
        <v>34</v>
      </c>
      <c r="AC2381">
        <v>6.0423999999999802</v>
      </c>
      <c r="AD2381">
        <v>-1.1049684118299901</v>
      </c>
      <c r="AE2381">
        <v>-19.809100000000001</v>
      </c>
      <c r="AF2381">
        <v>-5.8298245691682498</v>
      </c>
      <c r="AG2381">
        <v>-1.1049684118299901</v>
      </c>
      <c r="AH2381">
        <v>19.811427588741498</v>
      </c>
      <c r="AI2381">
        <v>93.062735387939995</v>
      </c>
      <c r="AJ2381">
        <v>106.397350006736</v>
      </c>
      <c r="AK2381">
        <v>20.680920501814398</v>
      </c>
    </row>
    <row r="2382" spans="1:37" x14ac:dyDescent="0.2">
      <c r="A2382" t="str">
        <f>"20200111153442382"</f>
        <v>20200111153442382</v>
      </c>
      <c r="B2382" t="str">
        <f>"1578728082378004"</f>
        <v>1578728082378004</v>
      </c>
      <c r="C2382" t="s">
        <v>37</v>
      </c>
      <c r="D2382">
        <v>4.5127160000000002</v>
      </c>
      <c r="E2382">
        <v>0.43633569999999999</v>
      </c>
      <c r="F2382" t="s">
        <v>39</v>
      </c>
      <c r="G2382">
        <v>-484.2851</v>
      </c>
      <c r="H2382" s="1">
        <v>-2.4136129999999998E-6</v>
      </c>
      <c r="I2382">
        <v>232.2723</v>
      </c>
      <c r="J2382">
        <v>-490.31699999999898</v>
      </c>
      <c r="K2382">
        <v>1.10497</v>
      </c>
      <c r="L2382">
        <v>251.89169999999999</v>
      </c>
      <c r="M2382">
        <v>1.068767E-2</v>
      </c>
      <c r="N2382">
        <v>0</v>
      </c>
      <c r="O2382">
        <v>-0.99993529999999997</v>
      </c>
      <c r="P2382">
        <v>0.13255829999999999</v>
      </c>
      <c r="Q2382">
        <v>4.6130089999999999E-2</v>
      </c>
      <c r="R2382">
        <v>-0.99010119999999902</v>
      </c>
      <c r="S2382">
        <v>0.88992309999999997</v>
      </c>
      <c r="T2382">
        <v>-0.16295589999999999</v>
      </c>
      <c r="U2382">
        <v>-2.91966199999999</v>
      </c>
      <c r="V2382">
        <v>-0.12213399999999899</v>
      </c>
      <c r="W2382">
        <v>4.9597240000000001E-2</v>
      </c>
      <c r="X2382">
        <v>0.99127359999999898</v>
      </c>
      <c r="Y2382">
        <v>-0.28090479999999901</v>
      </c>
      <c r="Z2382">
        <v>5.3391099999999997E-2</v>
      </c>
      <c r="AA2382">
        <v>0.95824940000000003</v>
      </c>
      <c r="AB2382">
        <v>34</v>
      </c>
      <c r="AC2382">
        <v>6.0318999999999496</v>
      </c>
      <c r="AD2382">
        <v>-1.1049724136129999</v>
      </c>
      <c r="AE2382">
        <v>-19.619399999999899</v>
      </c>
      <c r="AF2382">
        <v>-5.8050448827072696</v>
      </c>
      <c r="AG2382">
        <v>-1.1049724136129999</v>
      </c>
      <c r="AH2382">
        <v>19.625870024079202</v>
      </c>
      <c r="AI2382">
        <v>93.090375690471703</v>
      </c>
      <c r="AJ2382">
        <v>106.477445380555</v>
      </c>
      <c r="AK2382">
        <v>20.496201704880399</v>
      </c>
    </row>
    <row r="2383" spans="1:37" x14ac:dyDescent="0.2">
      <c r="A2383" t="str">
        <f>"20200111153442394"</f>
        <v>20200111153442394</v>
      </c>
      <c r="B2383" t="str">
        <f>"1578728082388741"</f>
        <v>1578728082388741</v>
      </c>
      <c r="C2383" t="s">
        <v>37</v>
      </c>
      <c r="D2383">
        <v>4.5012730000000003</v>
      </c>
      <c r="E2383">
        <v>0.43626029999999999</v>
      </c>
      <c r="F2383" t="s">
        <v>39</v>
      </c>
      <c r="G2383">
        <v>-484.29969999999997</v>
      </c>
      <c r="H2383" s="1">
        <v>-2.421109E-6</v>
      </c>
      <c r="I2383">
        <v>232.3057</v>
      </c>
      <c r="J2383">
        <v>-490.3143</v>
      </c>
      <c r="K2383">
        <v>1.1049690000000001</v>
      </c>
      <c r="L2383">
        <v>251.6978</v>
      </c>
      <c r="M2383">
        <v>1.1571059999999999E-2</v>
      </c>
      <c r="N2383">
        <v>0</v>
      </c>
      <c r="O2383">
        <v>-0.99992559999999997</v>
      </c>
      <c r="P2383">
        <v>0.1343705</v>
      </c>
      <c r="Q2383">
        <v>4.5970190000000001E-2</v>
      </c>
      <c r="R2383">
        <v>-0.98986450000000004</v>
      </c>
      <c r="S2383">
        <v>0.89639279999999999</v>
      </c>
      <c r="T2383">
        <v>-0.1646069</v>
      </c>
      <c r="U2383">
        <v>-2.9177089999999999</v>
      </c>
      <c r="V2383">
        <v>-0.1230733</v>
      </c>
      <c r="W2383">
        <v>4.9419589999999999E-2</v>
      </c>
      <c r="X2383">
        <v>0.99116629999999994</v>
      </c>
      <c r="Y2383">
        <v>-0.28216989999999997</v>
      </c>
      <c r="Z2383">
        <v>5.3936739999999997E-2</v>
      </c>
      <c r="AA2383">
        <v>0.95784709999999995</v>
      </c>
      <c r="AB2383">
        <v>34</v>
      </c>
      <c r="AC2383">
        <v>6.0146000000000299</v>
      </c>
      <c r="AD2383">
        <v>-1.104971421109</v>
      </c>
      <c r="AE2383">
        <v>-19.392099999999999</v>
      </c>
      <c r="AF2383">
        <v>-5.7727105859580803</v>
      </c>
      <c r="AG2383">
        <v>-1.104971421109</v>
      </c>
      <c r="AH2383">
        <v>19.402928918667499</v>
      </c>
      <c r="AI2383">
        <v>93.124338542971401</v>
      </c>
      <c r="AJ2383">
        <v>106.56866192298401</v>
      </c>
      <c r="AK2383">
        <v>20.273598594565399</v>
      </c>
    </row>
    <row r="2384" spans="1:37" x14ac:dyDescent="0.2">
      <c r="A2384" t="str">
        <f>"20200111153442412"</f>
        <v>20200111153442412</v>
      </c>
      <c r="B2384" t="str">
        <f>"1578728082408261"</f>
        <v>1578728082408261</v>
      </c>
      <c r="C2384" t="s">
        <v>37</v>
      </c>
      <c r="D2384">
        <v>4.5444250000000004</v>
      </c>
      <c r="E2384">
        <v>0.43620199999999998</v>
      </c>
      <c r="F2384" t="s">
        <v>39</v>
      </c>
      <c r="G2384">
        <v>-484.28500000000003</v>
      </c>
      <c r="H2384" s="1">
        <v>-2.395646E-6</v>
      </c>
      <c r="I2384">
        <v>232.21940000000001</v>
      </c>
      <c r="J2384">
        <v>-490.31029999999998</v>
      </c>
      <c r="K2384">
        <v>1.104967</v>
      </c>
      <c r="L2384">
        <v>251.44220000000001</v>
      </c>
      <c r="M2384">
        <v>1.27367E-2</v>
      </c>
      <c r="N2384">
        <v>0</v>
      </c>
      <c r="O2384">
        <v>-0.99991169999999996</v>
      </c>
      <c r="P2384">
        <v>0.13812379999999999</v>
      </c>
      <c r="Q2384">
        <v>4.4626739999999998E-2</v>
      </c>
      <c r="R2384">
        <v>-0.98940939999999999</v>
      </c>
      <c r="S2384">
        <v>0.90255739999999995</v>
      </c>
      <c r="T2384">
        <v>-0.16541</v>
      </c>
      <c r="U2384">
        <v>-2.915848</v>
      </c>
      <c r="V2384">
        <v>-0.12567319999999901</v>
      </c>
      <c r="W2384">
        <v>4.8049370000000001E-2</v>
      </c>
      <c r="X2384">
        <v>0.99090739999999999</v>
      </c>
      <c r="Y2384">
        <v>-0.28306799999999999</v>
      </c>
      <c r="Z2384">
        <v>5.4207110000000003E-2</v>
      </c>
      <c r="AA2384">
        <v>0.95756669999999999</v>
      </c>
      <c r="AB2384">
        <v>34</v>
      </c>
      <c r="AC2384">
        <v>6.0252999999999597</v>
      </c>
      <c r="AD2384">
        <v>-1.1049693956460001</v>
      </c>
      <c r="AE2384">
        <v>-19.222799999999999</v>
      </c>
      <c r="AF2384">
        <v>-5.76263689344258</v>
      </c>
      <c r="AG2384">
        <v>-1.1049693956460001</v>
      </c>
      <c r="AH2384">
        <v>19.240097644436599</v>
      </c>
      <c r="AI2384">
        <v>93.149003038709196</v>
      </c>
      <c r="AJ2384">
        <v>106.673580268463</v>
      </c>
      <c r="AK2384">
        <v>20.114927260580199</v>
      </c>
    </row>
    <row r="2385" spans="1:37" x14ac:dyDescent="0.2">
      <c r="A2385" t="str">
        <f>"20200111153442423"</f>
        <v>20200111153442423</v>
      </c>
      <c r="B2385" t="str">
        <f>"1578728082418022"</f>
        <v>1578728082418022</v>
      </c>
      <c r="C2385" t="s">
        <v>37</v>
      </c>
      <c r="D2385">
        <v>4.545147</v>
      </c>
      <c r="E2385">
        <v>0.43617319999999998</v>
      </c>
      <c r="F2385" t="s">
        <v>39</v>
      </c>
      <c r="G2385">
        <v>-484.37720000000002</v>
      </c>
      <c r="H2385" s="1">
        <v>-2.4758500000000002E-6</v>
      </c>
      <c r="I2385">
        <v>232.52709999999999</v>
      </c>
      <c r="J2385">
        <v>-490.30720000000002</v>
      </c>
      <c r="K2385">
        <v>1.1049659999999999</v>
      </c>
      <c r="L2385">
        <v>251.2465</v>
      </c>
      <c r="M2385">
        <v>1.3630049999999999E-2</v>
      </c>
      <c r="N2385">
        <v>0</v>
      </c>
      <c r="O2385">
        <v>-0.99989980000000001</v>
      </c>
      <c r="P2385">
        <v>0.14042389999999999</v>
      </c>
      <c r="Q2385">
        <v>4.4057909999999999E-2</v>
      </c>
      <c r="R2385">
        <v>-0.98911090000000002</v>
      </c>
      <c r="S2385">
        <v>0.91351319999999903</v>
      </c>
      <c r="T2385">
        <v>-0.17012920000000001</v>
      </c>
      <c r="U2385">
        <v>-2.9123079999999999</v>
      </c>
      <c r="V2385">
        <v>-0.1270908</v>
      </c>
      <c r="W2385">
        <v>4.7464480000000003E-2</v>
      </c>
      <c r="X2385">
        <v>0.99075480000000005</v>
      </c>
      <c r="Y2385">
        <v>-0.28579640000000001</v>
      </c>
      <c r="Z2385">
        <v>5.5758750000000003E-2</v>
      </c>
      <c r="AA2385">
        <v>0.95666679999999904</v>
      </c>
      <c r="AB2385">
        <v>34</v>
      </c>
      <c r="AC2385">
        <v>5.93</v>
      </c>
      <c r="AD2385">
        <v>-1.10496847584999</v>
      </c>
      <c r="AE2385">
        <v>-18.7194</v>
      </c>
      <c r="AF2385">
        <v>-5.6563897538896901</v>
      </c>
      <c r="AG2385">
        <v>-1.10496847584999</v>
      </c>
      <c r="AH2385">
        <v>18.739149672934602</v>
      </c>
      <c r="AI2385">
        <v>93.230927115300403</v>
      </c>
      <c r="AJ2385">
        <v>106.796376521694</v>
      </c>
      <c r="AK2385">
        <v>19.605392902086201</v>
      </c>
    </row>
    <row r="2386" spans="1:37" x14ac:dyDescent="0.2">
      <c r="A2386" t="str">
        <f>"20200111153442436"</f>
        <v>20200111153442436</v>
      </c>
      <c r="B2386" t="str">
        <f>"1578728082428757"</f>
        <v>1578728082428757</v>
      </c>
      <c r="C2386" t="s">
        <v>37</v>
      </c>
      <c r="D2386">
        <v>4.543533</v>
      </c>
      <c r="E2386">
        <v>0.43608909999999901</v>
      </c>
      <c r="F2386" t="s">
        <v>39</v>
      </c>
      <c r="G2386">
        <v>-484.40410000000003</v>
      </c>
      <c r="H2386" s="1">
        <v>-2.4868780000000001E-6</v>
      </c>
      <c r="I2386">
        <v>232.5806</v>
      </c>
      <c r="J2386">
        <v>-490.30369999999999</v>
      </c>
      <c r="K2386">
        <v>1.104965</v>
      </c>
      <c r="L2386">
        <v>251.0461</v>
      </c>
      <c r="M2386">
        <v>1.4544319999999999E-2</v>
      </c>
      <c r="N2386">
        <v>0</v>
      </c>
      <c r="O2386">
        <v>-0.99988699999999997</v>
      </c>
      <c r="P2386">
        <v>0.14271989999999901</v>
      </c>
      <c r="Q2386">
        <v>4.3461300000000001E-2</v>
      </c>
      <c r="R2386">
        <v>-0.98880859999999904</v>
      </c>
      <c r="S2386">
        <v>0.92028809999999905</v>
      </c>
      <c r="T2386">
        <v>-0.17226649999999999</v>
      </c>
      <c r="U2386">
        <v>-2.910034</v>
      </c>
      <c r="V2386">
        <v>-0.12848380000000001</v>
      </c>
      <c r="W2386">
        <v>4.6851950000000003E-2</v>
      </c>
      <c r="X2386">
        <v>0.99060429999999999</v>
      </c>
      <c r="Y2386">
        <v>-0.287147599999999</v>
      </c>
      <c r="Z2386">
        <v>5.6466879999999997E-2</v>
      </c>
      <c r="AA2386">
        <v>0.95622059999999998</v>
      </c>
      <c r="AB2386">
        <v>35</v>
      </c>
      <c r="AC2386">
        <v>5.8995999999999604</v>
      </c>
      <c r="AD2386">
        <v>-1.1049674868779999</v>
      </c>
      <c r="AE2386">
        <v>-18.465499999999899</v>
      </c>
      <c r="AF2386">
        <v>-5.6121712820622696</v>
      </c>
      <c r="AG2386">
        <v>-1.1049674868779999</v>
      </c>
      <c r="AH2386">
        <v>18.489279253866101</v>
      </c>
      <c r="AI2386">
        <v>93.272964947827603</v>
      </c>
      <c r="AJ2386">
        <v>106.884959193703</v>
      </c>
      <c r="AK2386">
        <v>19.3538333922173</v>
      </c>
    </row>
    <row r="2387" spans="1:37" x14ac:dyDescent="0.2">
      <c r="A2387" t="str">
        <f>"20200111153442450"</f>
        <v>20200111153442450</v>
      </c>
      <c r="B2387" t="str">
        <f>"1578728082438517"</f>
        <v>1578728082438517</v>
      </c>
      <c r="C2387" t="s">
        <v>37</v>
      </c>
      <c r="D2387">
        <v>4.5411979999999996</v>
      </c>
      <c r="E2387">
        <v>0.43607579999999901</v>
      </c>
      <c r="F2387" t="s">
        <v>39</v>
      </c>
      <c r="G2387">
        <v>-484.43430000000001</v>
      </c>
      <c r="H2387" s="1">
        <v>-2.5021050000000001E-6</v>
      </c>
      <c r="I2387">
        <v>232.649</v>
      </c>
      <c r="J2387">
        <v>-490.29989999999998</v>
      </c>
      <c r="K2387">
        <v>1.104968</v>
      </c>
      <c r="L2387">
        <v>250.84030000000001</v>
      </c>
      <c r="M2387">
        <v>1.548305E-2</v>
      </c>
      <c r="N2387">
        <v>0</v>
      </c>
      <c r="O2387">
        <v>-0.99987269999999995</v>
      </c>
      <c r="P2387">
        <v>0.1448815</v>
      </c>
      <c r="Q2387">
        <v>4.3003520000000003E-2</v>
      </c>
      <c r="R2387">
        <v>-0.98851409999999995</v>
      </c>
      <c r="S2387">
        <v>0.92767330000000003</v>
      </c>
      <c r="T2387">
        <v>-0.1746432</v>
      </c>
      <c r="U2387">
        <v>-2.907715</v>
      </c>
      <c r="V2387">
        <v>-0.12971839999999901</v>
      </c>
      <c r="W2387">
        <v>4.637848E-2</v>
      </c>
      <c r="X2387">
        <v>0.99046559999999995</v>
      </c>
      <c r="Y2387">
        <v>-0.28865970000000002</v>
      </c>
      <c r="Z2387">
        <v>5.7250719999999998E-2</v>
      </c>
      <c r="AA2387">
        <v>0.95571849999999903</v>
      </c>
      <c r="AB2387">
        <v>35</v>
      </c>
      <c r="AC2387">
        <v>5.8655999999999704</v>
      </c>
      <c r="AD2387">
        <v>-1.104970502105</v>
      </c>
      <c r="AE2387">
        <v>-18.191299999999998</v>
      </c>
      <c r="AF2387">
        <v>-5.5646404751209397</v>
      </c>
      <c r="AG2387">
        <v>-1.104970502105</v>
      </c>
      <c r="AH2387">
        <v>18.219047811193398</v>
      </c>
      <c r="AI2387">
        <v>93.319663991815403</v>
      </c>
      <c r="AJ2387">
        <v>106.98423406239</v>
      </c>
      <c r="AK2387">
        <v>19.0819256516324</v>
      </c>
    </row>
    <row r="2388" spans="1:37" x14ac:dyDescent="0.2">
      <c r="A2388" t="str">
        <f>"20200111153442469"</f>
        <v>20200111153442469</v>
      </c>
      <c r="B2388" t="str">
        <f>"1578728082458040"</f>
        <v>1578728082458040</v>
      </c>
      <c r="C2388" t="s">
        <v>37</v>
      </c>
      <c r="D2388">
        <v>4.5723000000000003</v>
      </c>
      <c r="E2388">
        <v>0.43610659999999901</v>
      </c>
      <c r="F2388" t="s">
        <v>39</v>
      </c>
      <c r="G2388">
        <v>-484.44459999999998</v>
      </c>
      <c r="H2388" s="1">
        <v>-2.4915830000000002E-6</v>
      </c>
      <c r="I2388">
        <v>232.62610000000001</v>
      </c>
      <c r="J2388">
        <v>-490.29419999999999</v>
      </c>
      <c r="K2388">
        <v>1.1049709999999999</v>
      </c>
      <c r="L2388">
        <v>250.54419999999999</v>
      </c>
      <c r="M2388">
        <v>1.6833250000000001E-2</v>
      </c>
      <c r="N2388">
        <v>0</v>
      </c>
      <c r="O2388">
        <v>-0.99985119999999905</v>
      </c>
      <c r="P2388">
        <v>0.14839859999999999</v>
      </c>
      <c r="Q2388">
        <v>4.2638059999999998E-2</v>
      </c>
      <c r="R2388">
        <v>-0.9880082</v>
      </c>
      <c r="S2388">
        <v>0.93408199999999997</v>
      </c>
      <c r="T2388">
        <v>-0.17627200000000001</v>
      </c>
      <c r="U2388">
        <v>-2.9056549999999999</v>
      </c>
      <c r="V2388">
        <v>-0.131906299999999</v>
      </c>
      <c r="W2388">
        <v>4.5985989999999997E-2</v>
      </c>
      <c r="X2388">
        <v>0.99019489999999999</v>
      </c>
      <c r="Y2388">
        <v>-0.28946519999999998</v>
      </c>
      <c r="Z2388">
        <v>5.7793700000000003E-2</v>
      </c>
      <c r="AA2388">
        <v>0.95544219999999902</v>
      </c>
      <c r="AB2388">
        <v>35</v>
      </c>
      <c r="AC2388">
        <v>5.8495999999999997</v>
      </c>
      <c r="AD2388">
        <v>-1.1049734915829901</v>
      </c>
      <c r="AE2388">
        <v>-17.9180999999999</v>
      </c>
      <c r="AF2388">
        <v>-5.5281507381426298</v>
      </c>
      <c r="AG2388">
        <v>-1.1049734915829901</v>
      </c>
      <c r="AH2388">
        <v>17.952333416272701</v>
      </c>
      <c r="AI2388">
        <v>93.366520483896096</v>
      </c>
      <c r="AJ2388">
        <v>107.11542766367801</v>
      </c>
      <c r="AK2388">
        <v>18.816686533227699</v>
      </c>
    </row>
    <row r="2389" spans="1:37" x14ac:dyDescent="0.2">
      <c r="A2389" t="str">
        <f>"20200111153442484"</f>
        <v>20200111153442484</v>
      </c>
      <c r="B2389" t="str">
        <f>"1578728082478533"</f>
        <v>1578728082478533</v>
      </c>
      <c r="C2389" t="s">
        <v>37</v>
      </c>
      <c r="D2389">
        <v>4.5946899999999999</v>
      </c>
      <c r="E2389">
        <v>0.43608779999999903</v>
      </c>
      <c r="F2389" t="s">
        <v>39</v>
      </c>
      <c r="G2389">
        <v>-484.45</v>
      </c>
      <c r="H2389" s="1">
        <v>-2.47458499999999E-6</v>
      </c>
      <c r="I2389">
        <v>232.58029999999999</v>
      </c>
      <c r="J2389">
        <v>-490.28930000000003</v>
      </c>
      <c r="K2389">
        <v>1.1049719999999901</v>
      </c>
      <c r="L2389">
        <v>250.3022</v>
      </c>
      <c r="M2389">
        <v>1.793544E-2</v>
      </c>
      <c r="N2389">
        <v>0</v>
      </c>
      <c r="O2389">
        <v>-0.99983219999999995</v>
      </c>
      <c r="P2389">
        <v>0.1504422</v>
      </c>
      <c r="Q2389">
        <v>4.2652250000000003E-2</v>
      </c>
      <c r="R2389">
        <v>-0.98769850000000003</v>
      </c>
      <c r="S2389">
        <v>0.94421390000000005</v>
      </c>
      <c r="T2389">
        <v>-0.17852409999999999</v>
      </c>
      <c r="U2389">
        <v>-2.9023129999999999</v>
      </c>
      <c r="V2389">
        <v>-0.1328638</v>
      </c>
      <c r="W2389">
        <v>4.5979800000000001E-2</v>
      </c>
      <c r="X2389">
        <v>0.99006719999999904</v>
      </c>
      <c r="Y2389">
        <v>-0.29173569999999999</v>
      </c>
      <c r="Z2389">
        <v>5.8540450000000001E-2</v>
      </c>
      <c r="AA2389">
        <v>0.95470580000000005</v>
      </c>
      <c r="AB2389">
        <v>35</v>
      </c>
      <c r="AC2389">
        <v>5.8393000000000299</v>
      </c>
      <c r="AD2389">
        <v>-1.1049744745850001</v>
      </c>
      <c r="AE2389">
        <v>-17.721900000000002</v>
      </c>
      <c r="AF2389">
        <v>-5.5012162970340697</v>
      </c>
      <c r="AG2389">
        <v>-1.1049744745850001</v>
      </c>
      <c r="AH2389">
        <v>17.761492948707399</v>
      </c>
      <c r="AI2389">
        <v>93.400896105697001</v>
      </c>
      <c r="AJ2389">
        <v>107.209171701389</v>
      </c>
      <c r="AK2389">
        <v>18.626727600499802</v>
      </c>
    </row>
    <row r="2390" spans="1:37" x14ac:dyDescent="0.2">
      <c r="A2390" t="str">
        <f>"20200111153442498"</f>
        <v>20200111153442498</v>
      </c>
      <c r="B2390" t="str">
        <f>"1578728082488294"</f>
        <v>1578728082488294</v>
      </c>
      <c r="C2390" t="s">
        <v>37</v>
      </c>
      <c r="D2390">
        <v>4.5899349999999997</v>
      </c>
      <c r="E2390">
        <v>0.43610539999999998</v>
      </c>
      <c r="F2390" t="s">
        <v>39</v>
      </c>
      <c r="G2390">
        <v>-484.42950000000002</v>
      </c>
      <c r="H2390" s="1">
        <v>-2.4206670000000001E-6</v>
      </c>
      <c r="I2390">
        <v>232.4059</v>
      </c>
      <c r="J2390">
        <v>-490.28469999999999</v>
      </c>
      <c r="K2390">
        <v>1.104973</v>
      </c>
      <c r="L2390">
        <v>250.08959999999999</v>
      </c>
      <c r="M2390">
        <v>1.8903320000000001E-2</v>
      </c>
      <c r="N2390">
        <v>0</v>
      </c>
      <c r="O2390">
        <v>-0.99981409999999904</v>
      </c>
      <c r="P2390">
        <v>0.1524131</v>
      </c>
      <c r="Q2390">
        <v>4.283791E-2</v>
      </c>
      <c r="R2390">
        <v>-0.98738789999999999</v>
      </c>
      <c r="S2390">
        <v>0.94967649999999904</v>
      </c>
      <c r="T2390">
        <v>-0.17908080000000001</v>
      </c>
      <c r="U2390">
        <v>-2.9004209999999899</v>
      </c>
      <c r="V2390">
        <v>-0.13388339999999899</v>
      </c>
      <c r="W2390">
        <v>4.6144610000000003E-2</v>
      </c>
      <c r="X2390">
        <v>0.98992219999999997</v>
      </c>
      <c r="Y2390">
        <v>-0.2926145</v>
      </c>
      <c r="Z2390">
        <v>5.8732319999999998E-2</v>
      </c>
      <c r="AA2390">
        <v>0.95442510000000003</v>
      </c>
      <c r="AB2390">
        <v>35</v>
      </c>
      <c r="AC2390">
        <v>5.85519999999996</v>
      </c>
      <c r="AD2390">
        <v>-1.1049754206669999</v>
      </c>
      <c r="AE2390">
        <v>-17.683699999999899</v>
      </c>
      <c r="AF2390">
        <v>-5.5005161380113297</v>
      </c>
      <c r="AG2390">
        <v>-1.1049754206669999</v>
      </c>
      <c r="AH2390">
        <v>17.728841530226902</v>
      </c>
      <c r="AI2390">
        <v>93.406637382170402</v>
      </c>
      <c r="AJ2390">
        <v>107.236925090548</v>
      </c>
      <c r="AK2390">
        <v>18.595388419409201</v>
      </c>
    </row>
    <row r="2391" spans="1:37" x14ac:dyDescent="0.2">
      <c r="A2391" t="str">
        <f>"20200111153442513"</f>
        <v>20200111153442513</v>
      </c>
      <c r="B2391" t="str">
        <f>"1578728082508791"</f>
        <v>1578728082508791</v>
      </c>
      <c r="C2391" t="s">
        <v>37</v>
      </c>
      <c r="D2391">
        <v>4.6033739999999996</v>
      </c>
      <c r="E2391">
        <v>0.43617089999999997</v>
      </c>
      <c r="F2391" t="s">
        <v>39</v>
      </c>
      <c r="G2391">
        <v>-484.37849999999997</v>
      </c>
      <c r="H2391" s="1">
        <v>-2.3543410000000001E-6</v>
      </c>
      <c r="I2391">
        <v>232.1711</v>
      </c>
      <c r="J2391">
        <v>-490.27940000000001</v>
      </c>
      <c r="K2391">
        <v>1.104975</v>
      </c>
      <c r="L2391">
        <v>249.8544</v>
      </c>
      <c r="M2391">
        <v>1.997405E-2</v>
      </c>
      <c r="N2391">
        <v>0</v>
      </c>
      <c r="O2391">
        <v>-0.99979340000000005</v>
      </c>
      <c r="P2391">
        <v>0.1561457</v>
      </c>
      <c r="Q2391">
        <v>4.2828119999999997E-2</v>
      </c>
      <c r="R2391">
        <v>-0.98680509999999999</v>
      </c>
      <c r="S2391">
        <v>0.95541379999999998</v>
      </c>
      <c r="T2391">
        <v>-0.17874570000000001</v>
      </c>
      <c r="U2391">
        <v>-2.8985750000000001</v>
      </c>
      <c r="V2391">
        <v>-0.1365672</v>
      </c>
      <c r="W2391">
        <v>4.6102209999999998E-2</v>
      </c>
      <c r="X2391">
        <v>0.98955740000000003</v>
      </c>
      <c r="Y2391">
        <v>-0.29347719999999999</v>
      </c>
      <c r="Z2391">
        <v>5.8630769999999999E-2</v>
      </c>
      <c r="AA2391">
        <v>0.95416639999999997</v>
      </c>
      <c r="AB2391">
        <v>35</v>
      </c>
      <c r="AC2391">
        <v>5.9009000000000302</v>
      </c>
      <c r="AD2391">
        <v>-1.104977354341</v>
      </c>
      <c r="AE2391">
        <v>-17.683299999999999</v>
      </c>
      <c r="AF2391">
        <v>-5.5270942415076396</v>
      </c>
      <c r="AG2391">
        <v>-1.104977354341</v>
      </c>
      <c r="AH2391">
        <v>17.735326563858798</v>
      </c>
      <c r="AI2391">
        <v>93.404066575935303</v>
      </c>
      <c r="AJ2391">
        <v>107.30929117495501</v>
      </c>
      <c r="AK2391">
        <v>18.609447977702899</v>
      </c>
    </row>
    <row r="2392" spans="1:37" x14ac:dyDescent="0.2">
      <c r="A2392" t="str">
        <f>"20200111153442528"</f>
        <v>20200111153442528</v>
      </c>
      <c r="B2392" t="str">
        <f>"1578728082518549"</f>
        <v>1578728082518549</v>
      </c>
      <c r="C2392" t="s">
        <v>37</v>
      </c>
      <c r="D2392">
        <v>4.6091749999999996</v>
      </c>
      <c r="E2392">
        <v>0.43621720000000003</v>
      </c>
      <c r="F2392" t="s">
        <v>39</v>
      </c>
      <c r="G2392">
        <v>-484.32350000000002</v>
      </c>
      <c r="H2392" s="1">
        <v>-2.31166599999999E-6</v>
      </c>
      <c r="I2392">
        <v>232.0027</v>
      </c>
      <c r="J2392">
        <v>-490.27379999999999</v>
      </c>
      <c r="K2392">
        <v>1.1049770000000001</v>
      </c>
      <c r="L2392">
        <v>249.6181</v>
      </c>
      <c r="M2392">
        <v>2.1056410000000001E-2</v>
      </c>
      <c r="N2392">
        <v>0</v>
      </c>
      <c r="O2392">
        <v>-0.99977139999999998</v>
      </c>
      <c r="P2392">
        <v>0.158941</v>
      </c>
      <c r="Q2392">
        <v>4.299915E-2</v>
      </c>
      <c r="R2392">
        <v>-0.9863516</v>
      </c>
      <c r="S2392">
        <v>0.96588130000000005</v>
      </c>
      <c r="T2392">
        <v>-0.1791961</v>
      </c>
      <c r="U2392">
        <v>-2.8950499999999999</v>
      </c>
      <c r="V2392">
        <v>-0.13830209999999901</v>
      </c>
      <c r="W2392">
        <v>4.6237019999999997E-2</v>
      </c>
      <c r="X2392">
        <v>0.98931019999999903</v>
      </c>
      <c r="Y2392">
        <v>-0.29589159999999998</v>
      </c>
      <c r="Z2392">
        <v>5.8788809999999997E-2</v>
      </c>
      <c r="AA2392">
        <v>0.95341069999999895</v>
      </c>
      <c r="AB2392">
        <v>35</v>
      </c>
      <c r="AC2392">
        <v>5.9502999999999702</v>
      </c>
      <c r="AD2392">
        <v>-1.1049793116660001</v>
      </c>
      <c r="AE2392">
        <v>-17.615399999999902</v>
      </c>
      <c r="AF2392">
        <v>-5.5584297317004898</v>
      </c>
      <c r="AG2392">
        <v>-1.1049793116660001</v>
      </c>
      <c r="AH2392">
        <v>17.674364593615699</v>
      </c>
      <c r="AI2392">
        <v>93.413020203682606</v>
      </c>
      <c r="AJ2392">
        <v>107.457895794623</v>
      </c>
      <c r="AK2392">
        <v>18.560718847865701</v>
      </c>
    </row>
    <row r="2393" spans="1:37" x14ac:dyDescent="0.2">
      <c r="A2393" t="str">
        <f>"20200111153442541"</f>
        <v>20200111153442541</v>
      </c>
      <c r="B2393" t="str">
        <f>"1578728082538069"</f>
        <v>1578728082538069</v>
      </c>
      <c r="C2393" t="s">
        <v>37</v>
      </c>
      <c r="D2393">
        <v>4.6197660000000003</v>
      </c>
      <c r="E2393">
        <v>0.43630390000000002</v>
      </c>
      <c r="F2393" t="s">
        <v>39</v>
      </c>
      <c r="G2393">
        <v>-484.2679</v>
      </c>
      <c r="H2393" s="1">
        <v>-2.2491370000000002E-6</v>
      </c>
      <c r="I2393">
        <v>231.77549999999999</v>
      </c>
      <c r="J2393">
        <v>-490.2688</v>
      </c>
      <c r="K2393">
        <v>1.1049799999999901</v>
      </c>
      <c r="L2393">
        <v>249.4117</v>
      </c>
      <c r="M2393">
        <v>2.2007769999999999E-2</v>
      </c>
      <c r="N2393">
        <v>0</v>
      </c>
      <c r="O2393">
        <v>-0.9997509</v>
      </c>
      <c r="P2393">
        <v>0.16154660000000001</v>
      </c>
      <c r="Q2393">
        <v>4.3134529999999997E-2</v>
      </c>
      <c r="R2393">
        <v>-0.98592199999999997</v>
      </c>
      <c r="S2393">
        <v>0.97360230000000003</v>
      </c>
      <c r="T2393">
        <v>-0.17912649999999999</v>
      </c>
      <c r="U2393">
        <v>-2.8924409999999998</v>
      </c>
      <c r="V2393">
        <v>-0.1399764</v>
      </c>
      <c r="W2393">
        <v>4.633371E-2</v>
      </c>
      <c r="X2393">
        <v>0.98907019999999901</v>
      </c>
      <c r="Y2393">
        <v>-0.29752869999999998</v>
      </c>
      <c r="Z2393">
        <v>5.877483E-2</v>
      </c>
      <c r="AA2393">
        <v>0.95290200000000003</v>
      </c>
      <c r="AB2393">
        <v>35</v>
      </c>
      <c r="AC2393">
        <v>6.0008999999999997</v>
      </c>
      <c r="AD2393">
        <v>-1.1049822491369901</v>
      </c>
      <c r="AE2393">
        <v>-17.636199999999999</v>
      </c>
      <c r="AF2393">
        <v>-5.5916378317092104</v>
      </c>
      <c r="AG2393">
        <v>-1.1049822491369901</v>
      </c>
      <c r="AH2393">
        <v>17.7017172323057</v>
      </c>
      <c r="AI2393">
        <v>93.406413270024998</v>
      </c>
      <c r="AJ2393">
        <v>107.530341762765</v>
      </c>
      <c r="AK2393">
        <v>18.596725313463601</v>
      </c>
    </row>
    <row r="2394" spans="1:37" x14ac:dyDescent="0.2">
      <c r="A2394" t="str">
        <f>"20200111153442558"</f>
        <v>20200111153442558</v>
      </c>
      <c r="B2394" t="str">
        <f>"1578728082548804"</f>
        <v>1578728082548804</v>
      </c>
      <c r="C2394" t="s">
        <v>37</v>
      </c>
      <c r="D2394">
        <v>4.5729499999999996</v>
      </c>
      <c r="E2394">
        <v>0.43632299999999902</v>
      </c>
      <c r="F2394" t="s">
        <v>39</v>
      </c>
      <c r="G2394">
        <v>-484.2321</v>
      </c>
      <c r="H2394" s="1">
        <v>-2.2059719999999998E-6</v>
      </c>
      <c r="I2394">
        <v>231.6206</v>
      </c>
      <c r="J2394">
        <v>-490.26190000000003</v>
      </c>
      <c r="K2394">
        <v>1.1049850000000001</v>
      </c>
      <c r="L2394">
        <v>249.14089999999999</v>
      </c>
      <c r="M2394">
        <v>2.32705E-2</v>
      </c>
      <c r="N2394">
        <v>0</v>
      </c>
      <c r="O2394">
        <v>-0.99972249999999996</v>
      </c>
      <c r="P2394">
        <v>0.1661473</v>
      </c>
      <c r="Q2394">
        <v>4.3273069999999997E-2</v>
      </c>
      <c r="R2394">
        <v>-0.98515140000000001</v>
      </c>
      <c r="S2394">
        <v>0.98062130000000003</v>
      </c>
      <c r="T2394">
        <v>-0.17949660000000001</v>
      </c>
      <c r="U2394">
        <v>-2.8900450000000002</v>
      </c>
      <c r="V2394">
        <v>-0.14334720000000001</v>
      </c>
      <c r="W2394">
        <v>4.6404210000000001E-2</v>
      </c>
      <c r="X2394">
        <v>0.98858389999999996</v>
      </c>
      <c r="Y2394">
        <v>-0.29863620000000002</v>
      </c>
      <c r="Z2394">
        <v>5.8906720000000003E-2</v>
      </c>
      <c r="AA2394">
        <v>0.95254740000000004</v>
      </c>
      <c r="AB2394">
        <v>35</v>
      </c>
      <c r="AC2394">
        <v>6.0298000000000203</v>
      </c>
      <c r="AD2394">
        <v>-1.1049872059720001</v>
      </c>
      <c r="AE2394">
        <v>-17.520299999999899</v>
      </c>
      <c r="AF2394">
        <v>-5.6005402497215</v>
      </c>
      <c r="AG2394">
        <v>-1.1049872059720001</v>
      </c>
      <c r="AH2394">
        <v>17.5933033087775</v>
      </c>
      <c r="AI2394">
        <v>93.4249544527014</v>
      </c>
      <c r="AJ2394">
        <v>107.658022830227</v>
      </c>
      <c r="AK2394">
        <v>18.496252840204001</v>
      </c>
    </row>
    <row r="2395" spans="1:37" x14ac:dyDescent="0.2">
      <c r="A2395" t="str">
        <f>"20200111153442572"</f>
        <v>20200111153442572</v>
      </c>
      <c r="B2395" t="str">
        <f>"1578728082568325"</f>
        <v>1578728082568325</v>
      </c>
      <c r="C2395" t="s">
        <v>37</v>
      </c>
      <c r="D2395">
        <v>4.6477729999999999</v>
      </c>
      <c r="E2395">
        <v>0.43640410000000002</v>
      </c>
      <c r="F2395" t="s">
        <v>39</v>
      </c>
      <c r="G2395">
        <v>-484.14019999999999</v>
      </c>
      <c r="H2395" s="1">
        <v>-2.146367E-6</v>
      </c>
      <c r="I2395">
        <v>231.37360000000001</v>
      </c>
      <c r="J2395">
        <v>-490.25599999999997</v>
      </c>
      <c r="K2395">
        <v>1.1049929999999999</v>
      </c>
      <c r="L2395">
        <v>248.9263</v>
      </c>
      <c r="M2395">
        <v>2.4289310000000001E-2</v>
      </c>
      <c r="N2395">
        <v>0</v>
      </c>
      <c r="O2395">
        <v>-0.99969859999999899</v>
      </c>
      <c r="P2395">
        <v>0.16852500000000001</v>
      </c>
      <c r="Q2395">
        <v>4.3387120000000001E-2</v>
      </c>
      <c r="R2395">
        <v>-0.98474249999999997</v>
      </c>
      <c r="S2395">
        <v>0.99417109999999997</v>
      </c>
      <c r="T2395">
        <v>-0.17945159999999999</v>
      </c>
      <c r="U2395">
        <v>-2.885437</v>
      </c>
      <c r="V2395">
        <v>-0.14472879999999999</v>
      </c>
      <c r="W2395">
        <v>4.6463270000000001E-2</v>
      </c>
      <c r="X2395">
        <v>0.98837980000000003</v>
      </c>
      <c r="Y2395">
        <v>-0.30212879999999998</v>
      </c>
      <c r="Z2395">
        <v>5.8901929999999998E-2</v>
      </c>
      <c r="AA2395">
        <v>0.9514456</v>
      </c>
      <c r="AB2395">
        <v>35</v>
      </c>
      <c r="AC2395">
        <v>6.1157999999999699</v>
      </c>
      <c r="AD2395">
        <v>-1.104995146367</v>
      </c>
      <c r="AE2395">
        <v>-17.552699999999898</v>
      </c>
      <c r="AF2395">
        <v>-5.6676203157260199</v>
      </c>
      <c r="AG2395">
        <v>-1.104995146367</v>
      </c>
      <c r="AH2395">
        <v>17.633752379299398</v>
      </c>
      <c r="AI2395">
        <v>93.414101849047697</v>
      </c>
      <c r="AJ2395">
        <v>107.81779479876801</v>
      </c>
      <c r="AK2395">
        <v>18.555111352163099</v>
      </c>
    </row>
    <row r="2396" spans="1:37" x14ac:dyDescent="0.2">
      <c r="A2396" t="str">
        <f>"20200111153442584"</f>
        <v>20200111153442584</v>
      </c>
      <c r="B2396" t="str">
        <f>"1578728082578085"</f>
        <v>1578728082578085</v>
      </c>
      <c r="C2396" t="s">
        <v>37</v>
      </c>
      <c r="D2396">
        <v>4.6412719999999998</v>
      </c>
      <c r="E2396">
        <v>0.43646359999999901</v>
      </c>
      <c r="F2396" t="s">
        <v>39</v>
      </c>
      <c r="G2396">
        <v>-484.0915</v>
      </c>
      <c r="H2396" s="1">
        <v>-2.0849729999999998E-6</v>
      </c>
      <c r="I2396">
        <v>231.1551</v>
      </c>
      <c r="J2396">
        <v>-490.25040000000001</v>
      </c>
      <c r="K2396">
        <v>1.105003</v>
      </c>
      <c r="L2396">
        <v>248.7235</v>
      </c>
      <c r="M2396">
        <v>2.526627E-2</v>
      </c>
      <c r="N2396">
        <v>0</v>
      </c>
      <c r="O2396">
        <v>-0.99967450000000002</v>
      </c>
      <c r="P2396">
        <v>0.17096420000000001</v>
      </c>
      <c r="Q2396">
        <v>4.3746699999999999E-2</v>
      </c>
      <c r="R2396">
        <v>-0.9843056</v>
      </c>
      <c r="S2396">
        <v>1.0001530000000001</v>
      </c>
      <c r="T2396">
        <v>-0.1792763</v>
      </c>
      <c r="U2396">
        <v>-2.8832239999999998</v>
      </c>
      <c r="V2396">
        <v>-0.14621629999999899</v>
      </c>
      <c r="W2396">
        <v>4.6768120000000003E-2</v>
      </c>
      <c r="X2396">
        <v>0.98814650000000004</v>
      </c>
      <c r="Y2396">
        <v>-0.30318600000000001</v>
      </c>
      <c r="Z2396">
        <v>5.8855539999999998E-2</v>
      </c>
      <c r="AA2396">
        <v>0.95111219999999996</v>
      </c>
      <c r="AB2396">
        <v>36</v>
      </c>
      <c r="AC2396">
        <v>6.1589000000000098</v>
      </c>
      <c r="AD2396">
        <v>-1.105005084973</v>
      </c>
      <c r="AE2396">
        <v>-17.568399999999901</v>
      </c>
      <c r="AF2396">
        <v>-5.6929861530402404</v>
      </c>
      <c r="AG2396">
        <v>-1.105005084973</v>
      </c>
      <c r="AH2396">
        <v>17.656200301093499</v>
      </c>
      <c r="AI2396">
        <v>93.408782120253605</v>
      </c>
      <c r="AJ2396">
        <v>107.871164999013</v>
      </c>
      <c r="AK2396">
        <v>18.5842012647533</v>
      </c>
    </row>
    <row r="2397" spans="1:37" x14ac:dyDescent="0.2">
      <c r="A2397" t="str">
        <f>"20200111153442601"</f>
        <v>20200111153442601</v>
      </c>
      <c r="B2397" t="str">
        <f>"1578728082598580"</f>
        <v>1578728082598580</v>
      </c>
      <c r="C2397" t="s">
        <v>37</v>
      </c>
      <c r="D2397">
        <v>4.669543</v>
      </c>
      <c r="E2397">
        <v>0.43659709999999902</v>
      </c>
      <c r="F2397" t="s">
        <v>39</v>
      </c>
      <c r="G2397">
        <v>-484.01389999999998</v>
      </c>
      <c r="H2397" s="1">
        <v>-2.0145130000000001E-6</v>
      </c>
      <c r="I2397">
        <v>230.88740000000001</v>
      </c>
      <c r="J2397">
        <v>-490.24239999999998</v>
      </c>
      <c r="K2397">
        <v>1.1050229999999901</v>
      </c>
      <c r="L2397">
        <v>248.44980000000001</v>
      </c>
      <c r="M2397">
        <v>2.661726E-2</v>
      </c>
      <c r="N2397">
        <v>0</v>
      </c>
      <c r="O2397">
        <v>-0.99963930000000001</v>
      </c>
      <c r="P2397">
        <v>0.17500679999999999</v>
      </c>
      <c r="Q2397">
        <v>4.3850699999999902E-2</v>
      </c>
      <c r="R2397">
        <v>-0.98359019999999997</v>
      </c>
      <c r="S2397">
        <v>1.0072939999999999</v>
      </c>
      <c r="T2397">
        <v>-0.178476</v>
      </c>
      <c r="U2397">
        <v>-2.880814</v>
      </c>
      <c r="V2397">
        <v>-0.14894560000000001</v>
      </c>
      <c r="W2397">
        <v>4.6792889999999997E-2</v>
      </c>
      <c r="X2397">
        <v>0.98773770000000005</v>
      </c>
      <c r="Y2397">
        <v>-0.30425200000000002</v>
      </c>
      <c r="Z2397">
        <v>5.8603410000000002E-2</v>
      </c>
      <c r="AA2397">
        <v>0.95078719999999906</v>
      </c>
      <c r="AB2397">
        <v>36</v>
      </c>
      <c r="AC2397">
        <v>6.2284999999999897</v>
      </c>
      <c r="AD2397">
        <v>-1.1050250145129901</v>
      </c>
      <c r="AE2397">
        <v>-17.562399999999901</v>
      </c>
      <c r="AF2397">
        <v>-5.7386466561728797</v>
      </c>
      <c r="AG2397">
        <v>-1.1050250145129901</v>
      </c>
      <c r="AH2397">
        <v>17.659861326065101</v>
      </c>
      <c r="AI2397">
        <v>93.405630188268603</v>
      </c>
      <c r="AJ2397">
        <v>108.001789727766</v>
      </c>
      <c r="AK2397">
        <v>18.601716259070098</v>
      </c>
    </row>
    <row r="2398" spans="1:37" x14ac:dyDescent="0.2">
      <c r="A2398" t="str">
        <f>"20200111153442615"</f>
        <v>20200111153442615</v>
      </c>
      <c r="B2398" t="str">
        <f>"1578728082608341"</f>
        <v>1578728082608341</v>
      </c>
      <c r="C2398" t="s">
        <v>37</v>
      </c>
      <c r="D2398">
        <v>4.6977440000000001</v>
      </c>
      <c r="E2398">
        <v>0.43659690000000001</v>
      </c>
      <c r="F2398" t="s">
        <v>39</v>
      </c>
      <c r="G2398">
        <v>-483.94560000000001</v>
      </c>
      <c r="H2398" s="1">
        <v>-1.95439E-6</v>
      </c>
      <c r="I2398">
        <v>230.6574</v>
      </c>
      <c r="J2398">
        <v>-490.23579999999998</v>
      </c>
      <c r="K2398">
        <v>1.1050519999999999</v>
      </c>
      <c r="L2398">
        <v>248.2329</v>
      </c>
      <c r="M2398">
        <v>2.7724680000000002E-2</v>
      </c>
      <c r="N2398">
        <v>0</v>
      </c>
      <c r="O2398">
        <v>-0.99960949999999904</v>
      </c>
      <c r="P2398">
        <v>0.17766179999999901</v>
      </c>
      <c r="Q2398">
        <v>4.3192029999999999E-2</v>
      </c>
      <c r="R2398">
        <v>-0.9831434</v>
      </c>
      <c r="S2398">
        <v>1.018127</v>
      </c>
      <c r="T2398">
        <v>-0.17867160000000001</v>
      </c>
      <c r="U2398">
        <v>-2.876862</v>
      </c>
      <c r="V2398">
        <v>-0.1505194</v>
      </c>
      <c r="W2398">
        <v>4.6073160000000002E-2</v>
      </c>
      <c r="X2398">
        <v>0.98753289999999905</v>
      </c>
      <c r="Y2398">
        <v>-0.30678689999999997</v>
      </c>
      <c r="Z2398">
        <v>5.8680509999999998E-2</v>
      </c>
      <c r="AA2398">
        <v>0.94996759999999902</v>
      </c>
      <c r="AB2398">
        <v>36</v>
      </c>
      <c r="AC2398">
        <v>6.2901999999999703</v>
      </c>
      <c r="AD2398">
        <v>-1.10505395439</v>
      </c>
      <c r="AE2398">
        <v>-17.575500000000002</v>
      </c>
      <c r="AF2398">
        <v>-5.7802478790779199</v>
      </c>
      <c r="AG2398">
        <v>-1.10505395439</v>
      </c>
      <c r="AH2398">
        <v>17.681177576895401</v>
      </c>
      <c r="AI2398">
        <v>93.399662617493902</v>
      </c>
      <c r="AJ2398">
        <v>108.103361665826</v>
      </c>
      <c r="AK2398">
        <v>18.6348182253384</v>
      </c>
    </row>
    <row r="2399" spans="1:37" x14ac:dyDescent="0.2">
      <c r="A2399" t="str">
        <f>"20200111153442626"</f>
        <v>20200111153442626</v>
      </c>
      <c r="B2399" t="str">
        <f>"1578728082618102"</f>
        <v>1578728082618102</v>
      </c>
      <c r="C2399" t="s">
        <v>37</v>
      </c>
      <c r="D2399">
        <v>4.6363269999999996</v>
      </c>
      <c r="E2399">
        <v>0.43668129999999999</v>
      </c>
      <c r="F2399" t="s">
        <v>39</v>
      </c>
      <c r="G2399">
        <v>-483.96269999999998</v>
      </c>
      <c r="H2399" s="1">
        <v>-1.9501210000000001E-6</v>
      </c>
      <c r="I2399">
        <v>230.65819999999999</v>
      </c>
      <c r="J2399">
        <v>-490.2294</v>
      </c>
      <c r="K2399">
        <v>1.1050799999999901</v>
      </c>
      <c r="L2399">
        <v>248.03120000000001</v>
      </c>
      <c r="M2399">
        <v>2.8785109999999999E-2</v>
      </c>
      <c r="N2399">
        <v>0</v>
      </c>
      <c r="O2399">
        <v>-0.99957949999999995</v>
      </c>
      <c r="P2399">
        <v>0.180136299999999</v>
      </c>
      <c r="Q2399">
        <v>4.2909559999999999E-2</v>
      </c>
      <c r="R2399">
        <v>-0.9827053</v>
      </c>
      <c r="S2399">
        <v>1.0258479999999901</v>
      </c>
      <c r="T2399">
        <v>-0.1807095</v>
      </c>
      <c r="U2399">
        <v>-2.873993</v>
      </c>
      <c r="V2399">
        <v>-0.15196109999999999</v>
      </c>
      <c r="W2399">
        <v>4.5733999999999997E-2</v>
      </c>
      <c r="X2399">
        <v>0.98732779999999998</v>
      </c>
      <c r="Y2399">
        <v>-0.30832729999999903</v>
      </c>
      <c r="Z2399">
        <v>5.9359290000000002E-2</v>
      </c>
      <c r="AA2399">
        <v>0.94942649999999995</v>
      </c>
      <c r="AB2399">
        <v>36</v>
      </c>
      <c r="AC2399">
        <v>6.2667000000000099</v>
      </c>
      <c r="AD2399">
        <v>-1.1050819501209901</v>
      </c>
      <c r="AE2399">
        <v>-17.373000000000001</v>
      </c>
      <c r="AF2399">
        <v>-5.7434532620575496</v>
      </c>
      <c r="AG2399">
        <v>-1.1050819501209901</v>
      </c>
      <c r="AH2399">
        <v>17.483593586980799</v>
      </c>
      <c r="AI2399">
        <v>93.436464387418297</v>
      </c>
      <c r="AJ2399">
        <v>108.18562624518199</v>
      </c>
      <c r="AK2399">
        <v>18.435956883347199</v>
      </c>
    </row>
    <row r="2400" spans="1:37" x14ac:dyDescent="0.2">
      <c r="A2400" t="str">
        <f>"20200111153442640"</f>
        <v>20200111153442640</v>
      </c>
      <c r="B2400" t="str">
        <f>"1578728082628838"</f>
        <v>1578728082628838</v>
      </c>
      <c r="C2400" t="s">
        <v>37</v>
      </c>
      <c r="D2400">
        <v>4.6150859999999998</v>
      </c>
      <c r="E2400">
        <v>0.43675540000000002</v>
      </c>
      <c r="F2400" t="s">
        <v>39</v>
      </c>
      <c r="G2400">
        <v>-483.9572</v>
      </c>
      <c r="H2400" s="1">
        <v>-1.9268360000000001E-6</v>
      </c>
      <c r="I2400">
        <v>230.5855</v>
      </c>
      <c r="J2400">
        <v>-490.22289999999998</v>
      </c>
      <c r="K2400">
        <v>1.1051120000000001</v>
      </c>
      <c r="L2400">
        <v>247.83</v>
      </c>
      <c r="M2400">
        <v>2.9862360000000001E-2</v>
      </c>
      <c r="N2400">
        <v>0</v>
      </c>
      <c r="O2400">
        <v>-0.99954809999999905</v>
      </c>
      <c r="P2400">
        <v>0.18271470000000001</v>
      </c>
      <c r="Q2400">
        <v>4.219001E-2</v>
      </c>
      <c r="R2400">
        <v>-0.98226039999999903</v>
      </c>
      <c r="S2400">
        <v>1.0323789999999999</v>
      </c>
      <c r="T2400">
        <v>-0.18189169999999999</v>
      </c>
      <c r="U2400">
        <v>-2.8714900000000001</v>
      </c>
      <c r="V2400">
        <v>-0.153489299999999</v>
      </c>
      <c r="W2400">
        <v>4.4956610000000001E-2</v>
      </c>
      <c r="X2400">
        <v>0.98712710000000004</v>
      </c>
      <c r="Y2400">
        <v>-0.30946960000000001</v>
      </c>
      <c r="Z2400">
        <v>5.9758569999999997E-2</v>
      </c>
      <c r="AA2400">
        <v>0.94902969999999898</v>
      </c>
      <c r="AB2400">
        <v>36</v>
      </c>
      <c r="AC2400">
        <v>6.2656999999999803</v>
      </c>
      <c r="AD2400">
        <v>-1.105113926836</v>
      </c>
      <c r="AE2400">
        <v>-17.244499999999999</v>
      </c>
      <c r="AF2400">
        <v>-5.7271633251590899</v>
      </c>
      <c r="AG2400">
        <v>-1.105113926836</v>
      </c>
      <c r="AH2400">
        <v>17.360934638450601</v>
      </c>
      <c r="AI2400">
        <v>93.459367414868893</v>
      </c>
      <c r="AJ2400">
        <v>108.257100792302</v>
      </c>
      <c r="AK2400">
        <v>18.314576928361902</v>
      </c>
    </row>
    <row r="2401" spans="1:37" x14ac:dyDescent="0.2">
      <c r="A2401" t="str">
        <f>"20200111153442657"</f>
        <v>20200111153442657</v>
      </c>
      <c r="B2401" t="str">
        <f>"1578728082648357"</f>
        <v>1578728082648357</v>
      </c>
      <c r="C2401" t="s">
        <v>37</v>
      </c>
      <c r="D2401">
        <v>4.6801009999999996</v>
      </c>
      <c r="E2401">
        <v>0.436847599999999</v>
      </c>
      <c r="F2401" t="s">
        <v>39</v>
      </c>
      <c r="G2401">
        <v>-483.99209999999999</v>
      </c>
      <c r="H2401" s="1">
        <v>-1.9329819999999999E-6</v>
      </c>
      <c r="I2401">
        <v>230.63079999999999</v>
      </c>
      <c r="J2401">
        <v>-490.21300000000002</v>
      </c>
      <c r="K2401">
        <v>1.105173</v>
      </c>
      <c r="L2401">
        <v>247.5403</v>
      </c>
      <c r="M2401">
        <v>3.1498659999999998E-2</v>
      </c>
      <c r="N2401">
        <v>0</v>
      </c>
      <c r="O2401">
        <v>-0.99949789999999905</v>
      </c>
      <c r="P2401">
        <v>0.1867838</v>
      </c>
      <c r="Q2401">
        <v>4.0886510000000001E-2</v>
      </c>
      <c r="R2401">
        <v>-0.98154989999999998</v>
      </c>
      <c r="S2401">
        <v>1.0392760000000001</v>
      </c>
      <c r="T2401">
        <v>-0.18432999999999999</v>
      </c>
      <c r="U2401">
        <v>-2.8687740000000002</v>
      </c>
      <c r="V2401">
        <v>-0.1559654</v>
      </c>
      <c r="W2401">
        <v>4.3567519999999998E-2</v>
      </c>
      <c r="X2401">
        <v>0.98680119999999905</v>
      </c>
      <c r="Y2401">
        <v>-0.310201</v>
      </c>
      <c r="Z2401">
        <v>6.0574419999999997E-2</v>
      </c>
      <c r="AA2401">
        <v>0.9487392</v>
      </c>
      <c r="AB2401">
        <v>36</v>
      </c>
      <c r="AC2401">
        <v>6.2209000000000199</v>
      </c>
      <c r="AD2401">
        <v>-1.105174932982</v>
      </c>
      <c r="AE2401">
        <v>-16.909500000000001</v>
      </c>
      <c r="AF2401">
        <v>-5.6638732682721402</v>
      </c>
      <c r="AG2401">
        <v>-1.105174932982</v>
      </c>
      <c r="AH2401">
        <v>17.032974523247699</v>
      </c>
      <c r="AI2401">
        <v>93.523237158081002</v>
      </c>
      <c r="AJ2401">
        <v>108.39320580563199</v>
      </c>
      <c r="AK2401">
        <v>17.983967669597899</v>
      </c>
    </row>
    <row r="2402" spans="1:37" x14ac:dyDescent="0.2">
      <c r="A2402" t="str">
        <f>"20200111153442670"</f>
        <v>20200111153442670</v>
      </c>
      <c r="B2402" t="str">
        <f>"1578728082658117"</f>
        <v>1578728082658117</v>
      </c>
      <c r="C2402" t="s">
        <v>37</v>
      </c>
      <c r="D2402">
        <v>4.6403290000000004</v>
      </c>
      <c r="E2402">
        <v>0.43690269999999998</v>
      </c>
      <c r="F2402" t="s">
        <v>39</v>
      </c>
      <c r="G2402">
        <v>-484.07389999999998</v>
      </c>
      <c r="H2402" s="1">
        <v>-1.9700429999999999E-6</v>
      </c>
      <c r="I2402">
        <v>230.80369999999999</v>
      </c>
      <c r="J2402">
        <v>-490.2056</v>
      </c>
      <c r="K2402">
        <v>1.1052309999999901</v>
      </c>
      <c r="L2402">
        <v>247.334</v>
      </c>
      <c r="M2402">
        <v>3.2732860000000003E-2</v>
      </c>
      <c r="N2402">
        <v>0</v>
      </c>
      <c r="O2402">
        <v>-0.99945859999999997</v>
      </c>
      <c r="P2402">
        <v>0.18942799999999901</v>
      </c>
      <c r="Q2402">
        <v>4.0723879999999997E-2</v>
      </c>
      <c r="R2402">
        <v>-0.98104990000000003</v>
      </c>
      <c r="S2402">
        <v>1.050659</v>
      </c>
      <c r="T2402">
        <v>-0.18914159999999999</v>
      </c>
      <c r="U2402">
        <v>-2.8643339999999999</v>
      </c>
      <c r="V2402">
        <v>-0.15741229999999901</v>
      </c>
      <c r="W2402">
        <v>4.3343619999999999E-2</v>
      </c>
      <c r="X2402">
        <v>0.98658129999999999</v>
      </c>
      <c r="Y2402">
        <v>-0.31279079999999998</v>
      </c>
      <c r="Z2402">
        <v>6.2167699999999999E-2</v>
      </c>
      <c r="AA2402">
        <v>0.947785399999999</v>
      </c>
      <c r="AB2402">
        <v>36</v>
      </c>
      <c r="AC2402">
        <v>6.1317000000000199</v>
      </c>
      <c r="AD2402">
        <v>-1.1052329700429999</v>
      </c>
      <c r="AE2402">
        <v>-16.5303</v>
      </c>
      <c r="AF2402">
        <v>-5.5654566738439204</v>
      </c>
      <c r="AG2402">
        <v>-1.1052329700429999</v>
      </c>
      <c r="AH2402">
        <v>16.656695377722802</v>
      </c>
      <c r="AI2402">
        <v>93.601081517765493</v>
      </c>
      <c r="AJ2402">
        <v>108.475880974519</v>
      </c>
      <c r="AK2402">
        <v>17.596628904786201</v>
      </c>
    </row>
    <row r="2403" spans="1:37" x14ac:dyDescent="0.2">
      <c r="A2403" t="str">
        <f>"20200111153442683"</f>
        <v>20200111153442683</v>
      </c>
      <c r="B2403" t="str">
        <f>"1578728082678613"</f>
        <v>1578728082678613</v>
      </c>
      <c r="C2403" t="s">
        <v>37</v>
      </c>
      <c r="D2403">
        <v>4.672714</v>
      </c>
      <c r="E2403">
        <v>0.43700209999999901</v>
      </c>
      <c r="F2403" t="s">
        <v>39</v>
      </c>
      <c r="G2403">
        <v>-484.0419</v>
      </c>
      <c r="H2403" s="1">
        <v>-1.9299380000000001E-6</v>
      </c>
      <c r="I2403">
        <v>230.66079999999999</v>
      </c>
      <c r="J2403">
        <v>-490.19760000000002</v>
      </c>
      <c r="K2403">
        <v>1.1052999999999999</v>
      </c>
      <c r="L2403">
        <v>247.1182</v>
      </c>
      <c r="M2403">
        <v>3.4067140000000003E-2</v>
      </c>
      <c r="N2403">
        <v>0</v>
      </c>
      <c r="O2403">
        <v>-0.99941409999999997</v>
      </c>
      <c r="P2403">
        <v>0.19211919999999999</v>
      </c>
      <c r="Q2403">
        <v>4.0319239999999999E-2</v>
      </c>
      <c r="R2403">
        <v>-0.98054349999999901</v>
      </c>
      <c r="S2403">
        <v>1.0578609999999999</v>
      </c>
      <c r="T2403">
        <v>-0.18969049999999901</v>
      </c>
      <c r="U2403">
        <v>-2.861618</v>
      </c>
      <c r="V2403">
        <v>-0.1588078</v>
      </c>
      <c r="W2403">
        <v>4.2874849999999999E-2</v>
      </c>
      <c r="X2403">
        <v>0.98637809999999904</v>
      </c>
      <c r="Y2403">
        <v>-0.31390990000000002</v>
      </c>
      <c r="Z2403">
        <v>6.2360470000000001E-2</v>
      </c>
      <c r="AA2403">
        <v>0.94740270000000004</v>
      </c>
      <c r="AB2403">
        <v>36</v>
      </c>
      <c r="AC2403">
        <v>6.1557000000000199</v>
      </c>
      <c r="AD2403">
        <v>-1.105301929938</v>
      </c>
      <c r="AE2403">
        <v>-16.4574</v>
      </c>
      <c r="AF2403">
        <v>-5.5694287888515897</v>
      </c>
      <c r="AG2403">
        <v>-1.105301929938</v>
      </c>
      <c r="AH2403">
        <v>16.591900500908999</v>
      </c>
      <c r="AI2403">
        <v>93.613655923088402</v>
      </c>
      <c r="AJ2403">
        <v>108.555436552042</v>
      </c>
      <c r="AK2403">
        <v>17.536572972575801</v>
      </c>
    </row>
    <row r="2404" spans="1:37" x14ac:dyDescent="0.2">
      <c r="A2404" t="str">
        <f>"20200111153442696"</f>
        <v>20200111153442696</v>
      </c>
      <c r="B2404" t="str">
        <f>"1578728082688374"</f>
        <v>1578728082688374</v>
      </c>
      <c r="C2404" t="s">
        <v>37</v>
      </c>
      <c r="D2404">
        <v>4.6533300000000004</v>
      </c>
      <c r="E2404">
        <v>0.43706089999999997</v>
      </c>
      <c r="F2404" t="s">
        <v>39</v>
      </c>
      <c r="G2404">
        <v>-484.0446</v>
      </c>
      <c r="H2404" s="1">
        <v>-1.910324E-6</v>
      </c>
      <c r="I2404">
        <v>230.6053</v>
      </c>
      <c r="J2404">
        <v>-490.1893</v>
      </c>
      <c r="K2404">
        <v>1.105378</v>
      </c>
      <c r="L2404">
        <v>246.9049</v>
      </c>
      <c r="M2404">
        <v>3.5447939999999997E-2</v>
      </c>
      <c r="N2404">
        <v>0</v>
      </c>
      <c r="O2404">
        <v>-0.99936599999999998</v>
      </c>
      <c r="P2404">
        <v>0.19455919999999999</v>
      </c>
      <c r="Q2404">
        <v>4.0162789999999997E-2</v>
      </c>
      <c r="R2404">
        <v>-0.98006859999999996</v>
      </c>
      <c r="S2404">
        <v>1.065186</v>
      </c>
      <c r="T2404">
        <v>-0.1913475</v>
      </c>
      <c r="U2404">
        <v>-2.8586879999999999</v>
      </c>
      <c r="V2404">
        <v>-0.15990839999999901</v>
      </c>
      <c r="W2404">
        <v>4.2653789999999997E-2</v>
      </c>
      <c r="X2404">
        <v>0.98620989999999997</v>
      </c>
      <c r="Y2404">
        <v>-0.31503500000000001</v>
      </c>
      <c r="Z2404">
        <v>6.2919459999999997E-2</v>
      </c>
      <c r="AA2404">
        <v>0.94699219999999895</v>
      </c>
      <c r="AB2404">
        <v>37</v>
      </c>
      <c r="AC2404">
        <v>6.1447000000000003</v>
      </c>
      <c r="AD2404">
        <v>-1.1053799103240001</v>
      </c>
      <c r="AE2404">
        <v>-16.299599999999899</v>
      </c>
      <c r="AF2404">
        <v>-5.5407363745996498</v>
      </c>
      <c r="AG2404">
        <v>-1.1053799103240001</v>
      </c>
      <c r="AH2404">
        <v>16.440969889043</v>
      </c>
      <c r="AI2404">
        <v>93.645528973150405</v>
      </c>
      <c r="AJ2404">
        <v>108.624221797095</v>
      </c>
      <c r="AK2404">
        <v>17.384680474814001</v>
      </c>
    </row>
    <row r="2405" spans="1:37" x14ac:dyDescent="0.2">
      <c r="A2405" t="str">
        <f>"20200111153442713"</f>
        <v>20200111153442713</v>
      </c>
      <c r="B2405" t="str">
        <f>"1578728082708869"</f>
        <v>1578728082708869</v>
      </c>
      <c r="C2405" t="s">
        <v>37</v>
      </c>
      <c r="D2405">
        <v>4.6296970000000002</v>
      </c>
      <c r="E2405">
        <v>0.43724399999999902</v>
      </c>
      <c r="F2405" t="s">
        <v>39</v>
      </c>
      <c r="G2405">
        <v>-484.01929999999999</v>
      </c>
      <c r="H2405" s="1">
        <v>-1.869238E-6</v>
      </c>
      <c r="I2405">
        <v>230.46469999999999</v>
      </c>
      <c r="J2405">
        <v>-490.17829999999998</v>
      </c>
      <c r="K2405">
        <v>1.105491</v>
      </c>
      <c r="L2405">
        <v>246.6353</v>
      </c>
      <c r="M2405">
        <v>3.7302380000000003E-2</v>
      </c>
      <c r="N2405">
        <v>0</v>
      </c>
      <c r="O2405">
        <v>-0.99929869999999898</v>
      </c>
      <c r="P2405">
        <v>0.19939179999999901</v>
      </c>
      <c r="Q2405">
        <v>4.0087589999999999E-2</v>
      </c>
      <c r="R2405">
        <v>-0.97909959999999996</v>
      </c>
      <c r="S2405">
        <v>1.0718989999999999</v>
      </c>
      <c r="T2405">
        <v>-0.19203319999999999</v>
      </c>
      <c r="U2405">
        <v>-2.8560789999999998</v>
      </c>
      <c r="V2405">
        <v>-0.16295470000000001</v>
      </c>
      <c r="W2405">
        <v>4.2484189999999998E-2</v>
      </c>
      <c r="X2405">
        <v>0.98571839999999999</v>
      </c>
      <c r="Y2405">
        <v>-0.31550459999999902</v>
      </c>
      <c r="Z2405">
        <v>6.3161140000000005E-2</v>
      </c>
      <c r="AA2405">
        <v>0.94681970000000004</v>
      </c>
      <c r="AB2405">
        <v>37</v>
      </c>
      <c r="AC2405">
        <v>6.15899999999999</v>
      </c>
      <c r="AD2405">
        <v>-1.1054928692379999</v>
      </c>
      <c r="AE2405">
        <v>-16.1706</v>
      </c>
      <c r="AF2405">
        <v>-5.5289415214229898</v>
      </c>
      <c r="AG2405">
        <v>-1.1054928692379999</v>
      </c>
      <c r="AH2405">
        <v>16.322470570052399</v>
      </c>
      <c r="AI2405">
        <v>93.670382990658695</v>
      </c>
      <c r="AJ2405">
        <v>108.712880252594</v>
      </c>
      <c r="AK2405">
        <v>17.268883992356901</v>
      </c>
    </row>
    <row r="2406" spans="1:37" x14ac:dyDescent="0.2">
      <c r="A2406" t="str">
        <f>"20200111153442727"</f>
        <v>20200111153442727</v>
      </c>
      <c r="B2406" t="str">
        <f>"1578728082718629"</f>
        <v>1578728082718629</v>
      </c>
      <c r="C2406" t="s">
        <v>37</v>
      </c>
      <c r="D2406">
        <v>4.7088950000000001</v>
      </c>
      <c r="E2406">
        <v>0.43731389999999998</v>
      </c>
      <c r="F2406" t="s">
        <v>39</v>
      </c>
      <c r="G2406">
        <v>-483.97660000000002</v>
      </c>
      <c r="H2406" s="1">
        <v>-1.8338689999999999E-6</v>
      </c>
      <c r="I2406">
        <v>230.32740000000001</v>
      </c>
      <c r="J2406">
        <v>-490.16860000000003</v>
      </c>
      <c r="K2406">
        <v>1.105594</v>
      </c>
      <c r="L2406">
        <v>246.40799999999999</v>
      </c>
      <c r="M2406">
        <v>3.8948389999999999E-2</v>
      </c>
      <c r="N2406">
        <v>0</v>
      </c>
      <c r="O2406">
        <v>-0.99923600000000001</v>
      </c>
      <c r="P2406">
        <v>0.2023624</v>
      </c>
      <c r="Q2406">
        <v>4.0306910000000001E-2</v>
      </c>
      <c r="R2406">
        <v>-0.97848089999999999</v>
      </c>
      <c r="S2406">
        <v>1.0842590000000001</v>
      </c>
      <c r="T2406">
        <v>-0.193275</v>
      </c>
      <c r="U2406">
        <v>-2.8511199999999999</v>
      </c>
      <c r="V2406">
        <v>-0.16433539999999999</v>
      </c>
      <c r="W2406">
        <v>4.2629979999999998E-2</v>
      </c>
      <c r="X2406">
        <v>0.98548289999999905</v>
      </c>
      <c r="Y2406">
        <v>-0.31806390000000001</v>
      </c>
      <c r="Z2406">
        <v>6.3589919999999994E-2</v>
      </c>
      <c r="AA2406">
        <v>0.94593430000000001</v>
      </c>
      <c r="AB2406">
        <v>37</v>
      </c>
      <c r="AC2406">
        <v>6.1920000000000002</v>
      </c>
      <c r="AD2406">
        <v>-1.105595833869</v>
      </c>
      <c r="AE2406">
        <v>-16.080599999999901</v>
      </c>
      <c r="AF2406">
        <v>-5.5381860949861403</v>
      </c>
      <c r="AG2406">
        <v>-1.105595833869</v>
      </c>
      <c r="AH2406">
        <v>16.242702492627899</v>
      </c>
      <c r="AI2406">
        <v>93.686199919609095</v>
      </c>
      <c r="AJ2406">
        <v>108.827557800218</v>
      </c>
      <c r="AK2406">
        <v>17.196488933342899</v>
      </c>
    </row>
    <row r="2407" spans="1:37" x14ac:dyDescent="0.2">
      <c r="A2407" t="str">
        <f>"20200111153442741"</f>
        <v>20200111153442741</v>
      </c>
      <c r="B2407" t="str">
        <f>"1578728082728389"</f>
        <v>1578728082728389</v>
      </c>
      <c r="C2407" t="s">
        <v>37</v>
      </c>
      <c r="D2407">
        <v>4.6748629999999904</v>
      </c>
      <c r="E2407">
        <v>0.43737599999999999</v>
      </c>
      <c r="F2407" t="s">
        <v>39</v>
      </c>
      <c r="G2407">
        <v>-483.90730000000002</v>
      </c>
      <c r="H2407" s="1">
        <v>-1.770508E-6</v>
      </c>
      <c r="I2407">
        <v>230.08699999999999</v>
      </c>
      <c r="J2407">
        <v>-490.1592</v>
      </c>
      <c r="K2407">
        <v>1.1056979999999901</v>
      </c>
      <c r="L2407">
        <v>246.19239999999999</v>
      </c>
      <c r="M2407">
        <v>4.0565289999999997E-2</v>
      </c>
      <c r="N2407">
        <v>0</v>
      </c>
      <c r="O2407">
        <v>-0.9991719</v>
      </c>
      <c r="P2407">
        <v>0.20508649999999901</v>
      </c>
      <c r="Q2407">
        <v>4.0507170000000002E-2</v>
      </c>
      <c r="R2407">
        <v>-0.97790529999999998</v>
      </c>
      <c r="S2407">
        <v>1.09259</v>
      </c>
      <c r="T2407">
        <v>-0.19292239999999999</v>
      </c>
      <c r="U2407">
        <v>-2.8479459999999999</v>
      </c>
      <c r="V2407">
        <v>-0.16549739999999999</v>
      </c>
      <c r="W2407">
        <v>4.2760510000000002E-2</v>
      </c>
      <c r="X2407">
        <v>0.98528280000000001</v>
      </c>
      <c r="Y2407">
        <v>-0.319297</v>
      </c>
      <c r="Z2407">
        <v>6.3488530000000001E-2</v>
      </c>
      <c r="AA2407">
        <v>0.94552559999999997</v>
      </c>
      <c r="AB2407">
        <v>37</v>
      </c>
      <c r="AC2407">
        <v>6.2518999999999698</v>
      </c>
      <c r="AD2407">
        <v>-1.1056997705079901</v>
      </c>
      <c r="AE2407">
        <v>-16.1053999999999</v>
      </c>
      <c r="AF2407">
        <v>-5.5706125257653198</v>
      </c>
      <c r="AG2407">
        <v>-1.1056997705079901</v>
      </c>
      <c r="AH2407">
        <v>16.279073582184601</v>
      </c>
      <c r="AI2407">
        <v>93.676951548333705</v>
      </c>
      <c r="AJ2407">
        <v>108.890674148812</v>
      </c>
      <c r="AK2407">
        <v>17.2413031000819</v>
      </c>
    </row>
    <row r="2408" spans="1:37" x14ac:dyDescent="0.2">
      <c r="A2408" t="str">
        <f>"20200111153442752"</f>
        <v>20200111153442752</v>
      </c>
      <c r="B2408" t="str">
        <f>"1578728082748886"</f>
        <v>1578728082748886</v>
      </c>
      <c r="C2408" t="s">
        <v>37</v>
      </c>
      <c r="D2408">
        <v>4.6875549999999997</v>
      </c>
      <c r="E2408">
        <v>0.4375214</v>
      </c>
      <c r="F2408" t="s">
        <v>39</v>
      </c>
      <c r="G2408">
        <v>-483.84109999999998</v>
      </c>
      <c r="H2408" s="1">
        <v>-1.7067290000000001E-6</v>
      </c>
      <c r="I2408">
        <v>229.84790000000001</v>
      </c>
      <c r="J2408">
        <v>-490.14909999999998</v>
      </c>
      <c r="K2408">
        <v>1.1058049999999999</v>
      </c>
      <c r="L2408">
        <v>245.97559999999999</v>
      </c>
      <c r="M2408">
        <v>4.2292570000000002E-2</v>
      </c>
      <c r="N2408">
        <v>0</v>
      </c>
      <c r="O2408">
        <v>-0.99910019999999999</v>
      </c>
      <c r="P2408">
        <v>0.20812079999999999</v>
      </c>
      <c r="Q2408">
        <v>4.069176E-2</v>
      </c>
      <c r="R2408">
        <v>-0.97725659999999903</v>
      </c>
      <c r="S2408">
        <v>1.0997920000000001</v>
      </c>
      <c r="T2408">
        <v>-0.1924689</v>
      </c>
      <c r="U2408">
        <v>-2.8450929999999999</v>
      </c>
      <c r="V2408">
        <v>-0.1668655</v>
      </c>
      <c r="W2408">
        <v>4.2874370000000002E-2</v>
      </c>
      <c r="X2408">
        <v>0.98504699999999901</v>
      </c>
      <c r="Y2408">
        <v>-0.3200633</v>
      </c>
      <c r="Z2408">
        <v>6.3355880000000003E-2</v>
      </c>
      <c r="AA2408">
        <v>0.94527539999999999</v>
      </c>
      <c r="AB2408">
        <v>37</v>
      </c>
      <c r="AC2408">
        <v>6.3079999999999901</v>
      </c>
      <c r="AD2408">
        <v>-1.1058067067289901</v>
      </c>
      <c r="AE2408">
        <v>-16.127699999999901</v>
      </c>
      <c r="AF2408">
        <v>-5.5974471942654196</v>
      </c>
      <c r="AG2408">
        <v>-1.1058067067289901</v>
      </c>
      <c r="AH2408">
        <v>16.3135347566371</v>
      </c>
      <c r="AI2408">
        <v>93.668524783032296</v>
      </c>
      <c r="AJ2408">
        <v>108.93795369399901</v>
      </c>
      <c r="AK2408">
        <v>17.282524116032501</v>
      </c>
    </row>
    <row r="2409" spans="1:37" x14ac:dyDescent="0.2">
      <c r="A2409" t="str">
        <f>"20200111153442769"</f>
        <v>20200111153442769</v>
      </c>
      <c r="B2409" t="str">
        <f>"1578728082758648"</f>
        <v>1578728082758648</v>
      </c>
      <c r="C2409" t="s">
        <v>37</v>
      </c>
      <c r="D2409">
        <v>4.7161470000000003</v>
      </c>
      <c r="E2409">
        <v>0.43757109999999899</v>
      </c>
      <c r="F2409" t="s">
        <v>39</v>
      </c>
      <c r="G2409">
        <v>-483.7817</v>
      </c>
      <c r="H2409" s="1">
        <v>-1.6524709999999999E-6</v>
      </c>
      <c r="I2409">
        <v>229.642</v>
      </c>
      <c r="J2409">
        <v>-490.13650000000001</v>
      </c>
      <c r="K2409">
        <v>1.105939</v>
      </c>
      <c r="L2409">
        <v>245.7148</v>
      </c>
      <c r="M2409">
        <v>4.4452270000000002E-2</v>
      </c>
      <c r="N2409">
        <v>0</v>
      </c>
      <c r="O2409">
        <v>-0.99900639999999996</v>
      </c>
      <c r="P2409">
        <v>0.2122599</v>
      </c>
      <c r="Q2409">
        <v>4.0525539999999999E-2</v>
      </c>
      <c r="R2409">
        <v>-0.97637289999999999</v>
      </c>
      <c r="S2409">
        <v>1.10788</v>
      </c>
      <c r="T2409">
        <v>-0.19240099999999999</v>
      </c>
      <c r="U2409">
        <v>-2.841904</v>
      </c>
      <c r="V2409">
        <v>-0.16892289999999999</v>
      </c>
      <c r="W2409">
        <v>4.2620930000000001E-2</v>
      </c>
      <c r="X2409">
        <v>0.98470729999999995</v>
      </c>
      <c r="Y2409">
        <v>-0.32070989999999999</v>
      </c>
      <c r="Z2409">
        <v>6.3352039999999998E-2</v>
      </c>
      <c r="AA2409">
        <v>0.94505640000000002</v>
      </c>
      <c r="AB2409">
        <v>37</v>
      </c>
      <c r="AC2409">
        <v>6.3548000000000098</v>
      </c>
      <c r="AD2409">
        <v>-1.105940652471</v>
      </c>
      <c r="AE2409">
        <v>-16.072800000000001</v>
      </c>
      <c r="AF2409">
        <v>-5.6110676232209498</v>
      </c>
      <c r="AG2409">
        <v>-1.105940652471</v>
      </c>
      <c r="AH2409">
        <v>16.272769769947001</v>
      </c>
      <c r="AI2409">
        <v>93.676220336304993</v>
      </c>
      <c r="AJ2409">
        <v>109.024875043457</v>
      </c>
      <c r="AK2409">
        <v>17.248484588068798</v>
      </c>
    </row>
    <row r="2410" spans="1:37" x14ac:dyDescent="0.2">
      <c r="A2410" t="str">
        <f>"20200111153442782"</f>
        <v>20200111153442782</v>
      </c>
      <c r="B2410" t="str">
        <f>"1578728082778165"</f>
        <v>1578728082778165</v>
      </c>
      <c r="C2410" t="s">
        <v>37</v>
      </c>
      <c r="D2410">
        <v>4.6504120000000002</v>
      </c>
      <c r="E2410">
        <v>0.4376659</v>
      </c>
      <c r="F2410" t="s">
        <v>50</v>
      </c>
      <c r="G2410">
        <v>-483.72370000000001</v>
      </c>
      <c r="H2410" s="1">
        <v>4.9274620000000001E-6</v>
      </c>
      <c r="I2410">
        <v>229.4657</v>
      </c>
      <c r="J2410">
        <v>-490.1259</v>
      </c>
      <c r="K2410">
        <v>1.10605</v>
      </c>
      <c r="L2410">
        <v>245.50360000000001</v>
      </c>
      <c r="M2410">
        <v>4.626301E-2</v>
      </c>
      <c r="N2410">
        <v>0</v>
      </c>
      <c r="O2410">
        <v>-0.99892420000000004</v>
      </c>
      <c r="P2410">
        <v>0.2153283</v>
      </c>
      <c r="Q2410">
        <v>4.0651909999999999E-2</v>
      </c>
      <c r="R2410">
        <v>-0.97569509999999904</v>
      </c>
      <c r="S2410">
        <v>1.11972</v>
      </c>
      <c r="T2410">
        <v>-0.19310550000000001</v>
      </c>
      <c r="U2410">
        <v>-2.8372189999999899</v>
      </c>
      <c r="V2410">
        <v>-0.17024600000000001</v>
      </c>
      <c r="W2410">
        <v>4.2679050000000003E-2</v>
      </c>
      <c r="X2410">
        <v>0.98447689999999999</v>
      </c>
      <c r="Y2410">
        <v>-0.3229322</v>
      </c>
      <c r="Z2410">
        <v>6.3601060000000001E-2</v>
      </c>
      <c r="AA2410">
        <v>0.94428269999999903</v>
      </c>
      <c r="AB2410">
        <v>37</v>
      </c>
      <c r="AC2410">
        <v>6.4021999999999899</v>
      </c>
      <c r="AD2410">
        <v>-1.106045072538</v>
      </c>
      <c r="AE2410">
        <v>-16.0379</v>
      </c>
      <c r="AF2410">
        <v>-5.6302822668097301</v>
      </c>
      <c r="AG2410">
        <v>-1.106045072538</v>
      </c>
      <c r="AH2410">
        <v>16.250250005012401</v>
      </c>
      <c r="AI2410">
        <v>93.679765894179695</v>
      </c>
      <c r="AJ2410">
        <v>109.10984949414799</v>
      </c>
      <c r="AK2410">
        <v>17.233515002222902</v>
      </c>
    </row>
    <row r="2411" spans="1:37" x14ac:dyDescent="0.2">
      <c r="A2411" t="str">
        <f>"20200111153442795"</f>
        <v>20200111153442795</v>
      </c>
      <c r="B2411" t="str">
        <f>"1578728082788901"</f>
        <v>1578728082788901</v>
      </c>
      <c r="C2411" t="s">
        <v>37</v>
      </c>
      <c r="D2411">
        <v>4.511647</v>
      </c>
      <c r="E2411">
        <v>0.4376659</v>
      </c>
      <c r="F2411" t="s">
        <v>50</v>
      </c>
      <c r="G2411">
        <v>-483.65230000000003</v>
      </c>
      <c r="H2411" s="1">
        <v>4.8377770000000001E-6</v>
      </c>
      <c r="I2411">
        <v>229.23750000000001</v>
      </c>
      <c r="J2411">
        <v>-490.113</v>
      </c>
      <c r="K2411">
        <v>1.1061840000000001</v>
      </c>
      <c r="L2411">
        <v>245.25919999999999</v>
      </c>
      <c r="M2411">
        <v>4.8462089999999999E-2</v>
      </c>
      <c r="N2411">
        <v>0</v>
      </c>
      <c r="O2411">
        <v>-0.99881989999999998</v>
      </c>
      <c r="P2411">
        <v>0.21865470000000001</v>
      </c>
      <c r="Q2411">
        <v>4.1124180000000003E-2</v>
      </c>
      <c r="R2411">
        <v>-0.97493539999999901</v>
      </c>
      <c r="S2411">
        <v>1.1278079999999999</v>
      </c>
      <c r="T2411">
        <v>-0.19269310000000001</v>
      </c>
      <c r="U2411">
        <v>-2.833847</v>
      </c>
      <c r="V2411">
        <v>-0.17145450000000001</v>
      </c>
      <c r="W2411">
        <v>4.3074929999999997E-2</v>
      </c>
      <c r="X2411">
        <v>0.98424990000000001</v>
      </c>
      <c r="Y2411">
        <v>-0.32356399999999902</v>
      </c>
      <c r="Z2411">
        <v>6.3486520000000005E-2</v>
      </c>
      <c r="AA2411">
        <v>0.94407399999999997</v>
      </c>
      <c r="AB2411">
        <v>37</v>
      </c>
      <c r="AC2411">
        <v>6.4607000000000303</v>
      </c>
      <c r="AD2411">
        <v>-1.1061791622229999</v>
      </c>
      <c r="AE2411">
        <v>-16.0216999999999</v>
      </c>
      <c r="AF2411">
        <v>-5.6534795545038303</v>
      </c>
      <c r="AG2411">
        <v>-1.1061791622229999</v>
      </c>
      <c r="AH2411">
        <v>16.249350418333101</v>
      </c>
      <c r="AI2411">
        <v>93.678769026239607</v>
      </c>
      <c r="AJ2411">
        <v>109.18382545584601</v>
      </c>
      <c r="AK2411">
        <v>17.240268339846399</v>
      </c>
    </row>
    <row r="2412" spans="1:37" x14ac:dyDescent="0.2">
      <c r="A2412" t="str">
        <f>"20200111153442808"</f>
        <v>20200111153442808</v>
      </c>
      <c r="B2412" t="str">
        <f>"1578728082798661"</f>
        <v>1578728082798661</v>
      </c>
      <c r="C2412" t="s">
        <v>37</v>
      </c>
      <c r="D2412">
        <v>4.5500080000000001</v>
      </c>
      <c r="E2412">
        <v>0.4133059</v>
      </c>
      <c r="F2412" t="s">
        <v>50</v>
      </c>
      <c r="G2412">
        <v>-483.52749999999997</v>
      </c>
      <c r="H2412" s="1">
        <v>4.6927110000000001E-6</v>
      </c>
      <c r="I2412">
        <v>228.87639999999999</v>
      </c>
      <c r="J2412">
        <v>-490.10160000000002</v>
      </c>
      <c r="K2412">
        <v>1.106309</v>
      </c>
      <c r="L2412">
        <v>245.0531</v>
      </c>
      <c r="M2412">
        <v>5.0403080000000003E-2</v>
      </c>
      <c r="N2412">
        <v>0</v>
      </c>
      <c r="O2412">
        <v>-0.99872399999999995</v>
      </c>
      <c r="P2412">
        <v>0.22167529999999899</v>
      </c>
      <c r="Q2412">
        <v>4.1905159999999997E-2</v>
      </c>
      <c r="R2412">
        <v>-0.97421959999999996</v>
      </c>
      <c r="S2412">
        <v>1.1376040000000001</v>
      </c>
      <c r="T2412">
        <v>-0.1910859</v>
      </c>
      <c r="U2412">
        <v>-2.8300320000000001</v>
      </c>
      <c r="V2412">
        <v>-0.1726115</v>
      </c>
      <c r="W2412">
        <v>4.379094E-2</v>
      </c>
      <c r="X2412">
        <v>0.98401609999999995</v>
      </c>
      <c r="Y2412">
        <v>-0.32499129999999998</v>
      </c>
      <c r="Z2412">
        <v>6.2973749999999995E-2</v>
      </c>
      <c r="AA2412">
        <v>0.94361799999999996</v>
      </c>
      <c r="AB2412">
        <v>37</v>
      </c>
      <c r="AC2412">
        <v>6.5741000000000396</v>
      </c>
      <c r="AD2412">
        <v>-1.106304307289</v>
      </c>
      <c r="AE2412">
        <v>-16.1767</v>
      </c>
      <c r="AF2412">
        <v>-5.72739422188471</v>
      </c>
      <c r="AG2412">
        <v>-1.106304307289</v>
      </c>
      <c r="AH2412">
        <v>16.4215775974357</v>
      </c>
      <c r="AI2412">
        <v>93.639740611445902</v>
      </c>
      <c r="AJ2412">
        <v>109.22736555669201</v>
      </c>
      <c r="AK2412">
        <v>17.4268518264718</v>
      </c>
    </row>
    <row r="2413" spans="1:37" x14ac:dyDescent="0.2">
      <c r="A2413" t="str">
        <f>"20200111153442825"</f>
        <v>20200111153442825</v>
      </c>
      <c r="B2413" t="str">
        <f>"1578728082818184"</f>
        <v>1578728082818184</v>
      </c>
      <c r="C2413" t="s">
        <v>37</v>
      </c>
      <c r="D2413">
        <v>4.5293219999999996</v>
      </c>
      <c r="E2413">
        <v>0.41258230000000001</v>
      </c>
      <c r="F2413" t="s">
        <v>50</v>
      </c>
      <c r="G2413">
        <v>-480.84429999999998</v>
      </c>
      <c r="H2413" s="1">
        <v>3.3208809999999999E-6</v>
      </c>
      <c r="I2413">
        <v>225.78190000000001</v>
      </c>
      <c r="J2413">
        <v>-490.0849</v>
      </c>
      <c r="K2413">
        <v>1.1064799999999999</v>
      </c>
      <c r="L2413">
        <v>244.7619</v>
      </c>
      <c r="M2413">
        <v>5.3243060000000002E-2</v>
      </c>
      <c r="N2413">
        <v>0</v>
      </c>
      <c r="O2413">
        <v>-0.99857649999999998</v>
      </c>
      <c r="P2413">
        <v>0.22674520000000001</v>
      </c>
      <c r="Q2413">
        <v>4.337038E-2</v>
      </c>
      <c r="R2413">
        <v>-0.97298819999999997</v>
      </c>
      <c r="S2413">
        <v>1.3364559999999901</v>
      </c>
      <c r="T2413">
        <v>-0.1597142</v>
      </c>
      <c r="U2413">
        <v>-2.7821349999999998</v>
      </c>
      <c r="V2413">
        <v>-0.17496989999999901</v>
      </c>
      <c r="W2413">
        <v>4.5157160000000002E-2</v>
      </c>
      <c r="X2413">
        <v>0.98353769999999996</v>
      </c>
      <c r="Y2413">
        <v>-0.38380789999999998</v>
      </c>
      <c r="Z2413">
        <v>5.2153419999999999E-2</v>
      </c>
      <c r="AA2413">
        <v>0.92193899999999995</v>
      </c>
      <c r="AB2413">
        <v>37</v>
      </c>
      <c r="AC2413">
        <v>9.2406000000000201</v>
      </c>
      <c r="AD2413">
        <v>-1.1064766791189999</v>
      </c>
      <c r="AE2413">
        <v>-18.979999999999901</v>
      </c>
      <c r="AF2413">
        <v>-8.1944216398137506</v>
      </c>
      <c r="AG2413">
        <v>-1.1064766791189999</v>
      </c>
      <c r="AH2413">
        <v>19.391802773977101</v>
      </c>
      <c r="AI2413">
        <v>93.0086399564224</v>
      </c>
      <c r="AJ2413">
        <v>112.90752997471699</v>
      </c>
      <c r="AK2413">
        <v>21.0811491972641</v>
      </c>
    </row>
    <row r="2414" spans="1:37" x14ac:dyDescent="0.2">
      <c r="A2414" t="str">
        <f>"20200111153442839"</f>
        <v>20200111153442839</v>
      </c>
      <c r="B2414" t="str">
        <f>"1578728082827941"</f>
        <v>1578728082827941</v>
      </c>
      <c r="C2414" t="s">
        <v>37</v>
      </c>
      <c r="D2414">
        <v>4.5037260000000003</v>
      </c>
      <c r="E2414">
        <v>0.41284149999999997</v>
      </c>
      <c r="F2414" t="s">
        <v>50</v>
      </c>
      <c r="G2414">
        <v>-479.95749999999998</v>
      </c>
      <c r="H2414">
        <v>3.0563650000000001E-2</v>
      </c>
      <c r="I2414">
        <v>224.06039999999999</v>
      </c>
      <c r="J2414">
        <v>-490.07159999999999</v>
      </c>
      <c r="K2414">
        <v>1.106614</v>
      </c>
      <c r="L2414">
        <v>244.53829999999999</v>
      </c>
      <c r="M2414">
        <v>5.549975E-2</v>
      </c>
      <c r="N2414">
        <v>0</v>
      </c>
      <c r="O2414">
        <v>-0.99845399999999995</v>
      </c>
      <c r="P2414">
        <v>0.23000770000000001</v>
      </c>
      <c r="Q2414">
        <v>4.407142E-2</v>
      </c>
      <c r="R2414">
        <v>-0.97219059999999902</v>
      </c>
      <c r="S2414">
        <v>1.3568420000000001</v>
      </c>
      <c r="T2414">
        <v>-0.14414759999999999</v>
      </c>
      <c r="U2414">
        <v>-2.773514</v>
      </c>
      <c r="V2414">
        <v>-0.17606830000000001</v>
      </c>
      <c r="W2414">
        <v>4.5787359999999999E-2</v>
      </c>
      <c r="X2414">
        <v>0.98331250000000003</v>
      </c>
      <c r="Y2414">
        <v>-0.38842870000000002</v>
      </c>
      <c r="Z2414">
        <v>4.7086629999999997E-2</v>
      </c>
      <c r="AA2414">
        <v>0.92027499999999995</v>
      </c>
      <c r="AB2414">
        <v>38</v>
      </c>
      <c r="AC2414">
        <v>10.114100000000001</v>
      </c>
      <c r="AD2414">
        <v>-1.07605035</v>
      </c>
      <c r="AE2414">
        <v>-20.477900000000002</v>
      </c>
      <c r="AF2414">
        <v>-8.9421384488130098</v>
      </c>
      <c r="AG2414">
        <v>-1.07605035</v>
      </c>
      <c r="AH2414">
        <v>20.9611422921265</v>
      </c>
      <c r="AI2414">
        <v>92.703401272273297</v>
      </c>
      <c r="AJ2414">
        <v>113.103361614454</v>
      </c>
      <c r="AK2414">
        <v>22.8142326319395</v>
      </c>
    </row>
    <row r="2415" spans="1:37" x14ac:dyDescent="0.2">
      <c r="A2415" t="str">
        <f>"20200111153442853"</f>
        <v>20200111153442853</v>
      </c>
      <c r="B2415" t="str">
        <f>"1578728082848437"</f>
        <v>1578728082848437</v>
      </c>
      <c r="C2415" t="s">
        <v>37</v>
      </c>
      <c r="D2415">
        <v>4.5265829999999996</v>
      </c>
      <c r="E2415">
        <v>0.41322029999999899</v>
      </c>
      <c r="F2415" t="s">
        <v>40</v>
      </c>
      <c r="G2415">
        <v>-489.5684</v>
      </c>
      <c r="H2415">
        <v>1.0540039999999999</v>
      </c>
      <c r="I2415">
        <v>243.51609999999999</v>
      </c>
      <c r="J2415">
        <v>-490.0564</v>
      </c>
      <c r="K2415">
        <v>1.1067530000000001</v>
      </c>
      <c r="L2415">
        <v>244.29920000000001</v>
      </c>
      <c r="M2415">
        <v>5.8030999999999902E-2</v>
      </c>
      <c r="N2415">
        <v>0</v>
      </c>
      <c r="O2415">
        <v>-0.99830969999999997</v>
      </c>
      <c r="P2415">
        <v>0.23343330000000001</v>
      </c>
      <c r="Q2415">
        <v>4.4522440000000003E-2</v>
      </c>
      <c r="R2415">
        <v>-0.97135289999999996</v>
      </c>
      <c r="S2415">
        <v>1.3639829999999999</v>
      </c>
      <c r="T2415">
        <v>-0.1425235</v>
      </c>
      <c r="U2415">
        <v>-2.7695919999999998</v>
      </c>
      <c r="V2415">
        <v>-0.1770629</v>
      </c>
      <c r="W2415">
        <v>4.6165560000000001E-2</v>
      </c>
      <c r="X2415">
        <v>0.9831162</v>
      </c>
      <c r="Y2415">
        <v>-0.38852929999999902</v>
      </c>
      <c r="Z2415">
        <v>4.6579990000000002E-2</v>
      </c>
      <c r="AA2415">
        <v>0.92025829999999997</v>
      </c>
      <c r="AB2415">
        <v>38</v>
      </c>
      <c r="AC2415">
        <v>0.48799999999999899</v>
      </c>
      <c r="AD2415">
        <v>-5.27489999999999E-2</v>
      </c>
      <c r="AE2415">
        <v>-0.783100000000018</v>
      </c>
      <c r="AF2415">
        <v>-0.44029435658208499</v>
      </c>
      <c r="AG2415">
        <v>-5.27489999999999E-2</v>
      </c>
      <c r="AH2415">
        <v>0.80746067242471897</v>
      </c>
      <c r="AI2415">
        <v>93.2825713773601</v>
      </c>
      <c r="AJ2415">
        <v>118.60287193188201</v>
      </c>
      <c r="AK2415">
        <v>0.92121350128599999</v>
      </c>
    </row>
    <row r="2416" spans="1:37" x14ac:dyDescent="0.2">
      <c r="A2416" t="str">
        <f>"20200111153442870"</f>
        <v>20200111153442870</v>
      </c>
      <c r="B2416" t="str">
        <f>"1578728082858197"</f>
        <v>1578728082858197</v>
      </c>
      <c r="C2416" t="s">
        <v>37</v>
      </c>
      <c r="D2416">
        <v>4.5360800000000001</v>
      </c>
      <c r="E2416">
        <v>0.41332609999999997</v>
      </c>
      <c r="F2416" t="s">
        <v>50</v>
      </c>
      <c r="G2416">
        <v>-479.93979999999999</v>
      </c>
      <c r="H2416">
        <v>6.751791E-2</v>
      </c>
      <c r="I2416">
        <v>223.89189999999999</v>
      </c>
      <c r="J2416">
        <v>-490.03789999999998</v>
      </c>
      <c r="K2416">
        <v>1.106916</v>
      </c>
      <c r="L2416">
        <v>244.01859999999999</v>
      </c>
      <c r="M2416">
        <v>6.1093229999999998E-2</v>
      </c>
      <c r="N2416">
        <v>0</v>
      </c>
      <c r="O2416">
        <v>-0.99812699999999999</v>
      </c>
      <c r="P2416">
        <v>0.23872950000000001</v>
      </c>
      <c r="Q2416">
        <v>4.4440899999999998E-2</v>
      </c>
      <c r="R2416">
        <v>-0.9700685</v>
      </c>
      <c r="S2416">
        <v>1.370941</v>
      </c>
      <c r="T2416">
        <v>-0.14083090000000001</v>
      </c>
      <c r="U2416">
        <v>-2.7654719999999999</v>
      </c>
      <c r="V2416">
        <v>-0.17942839999999999</v>
      </c>
      <c r="W2416">
        <v>4.5988840000000003E-2</v>
      </c>
      <c r="X2416">
        <v>0.98269549999999894</v>
      </c>
      <c r="Y2416">
        <v>-0.38811770000000001</v>
      </c>
      <c r="Z2416">
        <v>4.6056310000000003E-2</v>
      </c>
      <c r="AA2416">
        <v>0.92045829999999995</v>
      </c>
      <c r="AB2416">
        <v>38</v>
      </c>
      <c r="AC2416">
        <v>10.098099999999899</v>
      </c>
      <c r="AD2416">
        <v>-1.0393980899999999</v>
      </c>
      <c r="AE2416">
        <v>-20.1267</v>
      </c>
      <c r="AF2416">
        <v>-8.8308106812155405</v>
      </c>
      <c r="AG2416">
        <v>-1.0393980899999999</v>
      </c>
      <c r="AH2416">
        <v>20.662009784593401</v>
      </c>
      <c r="AI2416">
        <v>92.648448850520097</v>
      </c>
      <c r="AJ2416">
        <v>113.141553202057</v>
      </c>
      <c r="AK2416">
        <v>22.494048413204801</v>
      </c>
    </row>
    <row r="2417" spans="1:37" x14ac:dyDescent="0.2">
      <c r="A2417" t="str">
        <f>"20200111153442892"</f>
        <v>20200111153442892</v>
      </c>
      <c r="B2417" t="str">
        <f>"1578728082888453"</f>
        <v>1578728082888453</v>
      </c>
      <c r="C2417" t="s">
        <v>37</v>
      </c>
      <c r="D2417">
        <v>4.6215539999999997</v>
      </c>
      <c r="E2417">
        <v>0.41602410000000001</v>
      </c>
      <c r="F2417" t="s">
        <v>50</v>
      </c>
      <c r="G2417">
        <v>-479.93450000000001</v>
      </c>
      <c r="H2417">
        <v>7.285614E-2</v>
      </c>
      <c r="I2417">
        <v>223.89619999999999</v>
      </c>
      <c r="J2417">
        <v>-490.01229999999998</v>
      </c>
      <c r="K2417">
        <v>1.1071229999999901</v>
      </c>
      <c r="L2417">
        <v>243.65010000000001</v>
      </c>
      <c r="M2417">
        <v>6.5276490000000006E-2</v>
      </c>
      <c r="N2417">
        <v>0</v>
      </c>
      <c r="O2417">
        <v>-0.99786219999999903</v>
      </c>
      <c r="P2417">
        <v>0.2461122</v>
      </c>
      <c r="Q2417">
        <v>4.3947510000000002E-2</v>
      </c>
      <c r="R2417">
        <v>-0.96824460000000001</v>
      </c>
      <c r="S2417">
        <v>1.3848879999999999</v>
      </c>
      <c r="T2417">
        <v>-0.1417399</v>
      </c>
      <c r="U2417">
        <v>-2.7582089999999999</v>
      </c>
      <c r="V2417">
        <v>-0.1828129</v>
      </c>
      <c r="W2417">
        <v>4.536627E-2</v>
      </c>
      <c r="X2417">
        <v>0.98210049999999904</v>
      </c>
      <c r="Y2417">
        <v>-0.38893719999999998</v>
      </c>
      <c r="Z2417">
        <v>4.638511E-2</v>
      </c>
      <c r="AA2417">
        <v>0.92009580000000002</v>
      </c>
      <c r="AB2417">
        <v>38</v>
      </c>
      <c r="AC2417">
        <v>10.0777999999999</v>
      </c>
      <c r="AD2417">
        <v>-1.03426685999999</v>
      </c>
      <c r="AE2417">
        <v>-19.753900000000002</v>
      </c>
      <c r="AF2417">
        <v>-8.74780623041379</v>
      </c>
      <c r="AG2417">
        <v>-1.03426685999999</v>
      </c>
      <c r="AH2417">
        <v>20.325404019789399</v>
      </c>
      <c r="AI2417">
        <v>92.676073897269106</v>
      </c>
      <c r="AJ2417">
        <v>113.286454957933</v>
      </c>
      <c r="AK2417">
        <v>22.1521075825808</v>
      </c>
    </row>
    <row r="2418" spans="1:37" x14ac:dyDescent="0.2">
      <c r="A2418" t="str">
        <f>"20200111153442905"</f>
        <v>20200111153442905</v>
      </c>
      <c r="B2418" t="str">
        <f>"1578728082898213"</f>
        <v>1578728082898213</v>
      </c>
      <c r="C2418" t="s">
        <v>37</v>
      </c>
      <c r="D2418">
        <v>4.6470580000000004</v>
      </c>
      <c r="E2418">
        <v>0.41675400000000001</v>
      </c>
      <c r="F2418" t="s">
        <v>50</v>
      </c>
      <c r="G2418">
        <v>-480.31849999999997</v>
      </c>
      <c r="H2418" s="1">
        <v>2.8764819999999998E-6</v>
      </c>
      <c r="I2418">
        <v>224.3715</v>
      </c>
      <c r="J2418">
        <v>-489.99650000000003</v>
      </c>
      <c r="K2418">
        <v>1.1072439999999999</v>
      </c>
      <c r="L2418">
        <v>243.43350000000001</v>
      </c>
      <c r="M2418">
        <v>6.7821060000000002E-2</v>
      </c>
      <c r="N2418">
        <v>0</v>
      </c>
      <c r="O2418">
        <v>-0.99769259999999904</v>
      </c>
      <c r="P2418">
        <v>0.25027289999999902</v>
      </c>
      <c r="Q2418">
        <v>4.3611209999999997E-2</v>
      </c>
      <c r="R2418">
        <v>-0.96719259999999996</v>
      </c>
      <c r="S2418">
        <v>1.3846129999999901</v>
      </c>
      <c r="T2418">
        <v>-0.15813479999999999</v>
      </c>
      <c r="U2418">
        <v>-2.753647</v>
      </c>
      <c r="V2418">
        <v>-0.18454039999999999</v>
      </c>
      <c r="W2418">
        <v>4.4955670000000003E-2</v>
      </c>
      <c r="X2418">
        <v>0.98179620000000001</v>
      </c>
      <c r="Y2418">
        <v>-0.38700570000000001</v>
      </c>
      <c r="Z2418">
        <v>5.1821470000000001E-2</v>
      </c>
      <c r="AA2418">
        <v>0.92061999999999999</v>
      </c>
      <c r="AB2418">
        <v>38</v>
      </c>
      <c r="AC2418">
        <v>9.6780000000000506</v>
      </c>
      <c r="AD2418">
        <v>-1.107241123518</v>
      </c>
      <c r="AE2418">
        <v>-19.062000000000001</v>
      </c>
      <c r="AF2418">
        <v>-8.3405310405526496</v>
      </c>
      <c r="AG2418">
        <v>-1.107241123518</v>
      </c>
      <c r="AH2418">
        <v>19.621848414870598</v>
      </c>
      <c r="AI2418">
        <v>92.972822944189005</v>
      </c>
      <c r="AJ2418">
        <v>113.02857230187</v>
      </c>
      <c r="AK2418">
        <v>21.349645808776099</v>
      </c>
    </row>
    <row r="2419" spans="1:37" x14ac:dyDescent="0.2">
      <c r="A2419" t="str">
        <f>"20200111153442919"</f>
        <v>20200111153442919</v>
      </c>
      <c r="B2419" t="str">
        <f>"1578728082907974"</f>
        <v>1578728082907974</v>
      </c>
      <c r="C2419" t="s">
        <v>37</v>
      </c>
      <c r="D2419">
        <v>4.6455960000000003</v>
      </c>
      <c r="E2419">
        <v>0.41742180000000001</v>
      </c>
      <c r="F2419" t="s">
        <v>40</v>
      </c>
      <c r="G2419">
        <v>-489.48509999999999</v>
      </c>
      <c r="H2419">
        <v>1.0476729999999901</v>
      </c>
      <c r="I2419">
        <v>242.42230000000001</v>
      </c>
      <c r="J2419">
        <v>-489.97789999999998</v>
      </c>
      <c r="K2419">
        <v>1.1073770000000001</v>
      </c>
      <c r="L2419">
        <v>243.18729999999999</v>
      </c>
      <c r="M2419">
        <v>7.0772950000000001E-2</v>
      </c>
      <c r="N2419">
        <v>0</v>
      </c>
      <c r="O2419">
        <v>-0.99748740000000002</v>
      </c>
      <c r="P2419">
        <v>0.25482640000000001</v>
      </c>
      <c r="Q2419">
        <v>4.3487989999999997E-2</v>
      </c>
      <c r="R2419">
        <v>-0.96600830000000004</v>
      </c>
      <c r="S2419">
        <v>1.3904110000000001</v>
      </c>
      <c r="T2419">
        <v>-0.16196529999999901</v>
      </c>
      <c r="U2419">
        <v>-2.7492519999999998</v>
      </c>
      <c r="V2419">
        <v>-0.18627439999999901</v>
      </c>
      <c r="W2419">
        <v>4.4749869999999997E-2</v>
      </c>
      <c r="X2419">
        <v>0.98147809999999902</v>
      </c>
      <c r="Y2419">
        <v>-0.38638529999999999</v>
      </c>
      <c r="Z2419">
        <v>5.3115089999999997E-2</v>
      </c>
      <c r="AA2419">
        <v>0.92080680000000004</v>
      </c>
      <c r="AB2419">
        <v>38</v>
      </c>
      <c r="AC2419">
        <v>0.49279999999998803</v>
      </c>
      <c r="AD2419">
        <v>-5.9704000000000201E-2</v>
      </c>
      <c r="AE2419">
        <v>-0.76499999999998602</v>
      </c>
      <c r="AF2419">
        <v>-0.43554781392254299</v>
      </c>
      <c r="AG2419">
        <v>-5.9704000000000201E-2</v>
      </c>
      <c r="AH2419">
        <v>0.79453859329875398</v>
      </c>
      <c r="AI2419">
        <v>93.769891505697103</v>
      </c>
      <c r="AJ2419">
        <v>118.730541664794</v>
      </c>
      <c r="AK2419">
        <v>0.90805178380413398</v>
      </c>
    </row>
    <row r="2420" spans="1:37" x14ac:dyDescent="0.2">
      <c r="A2420" t="str">
        <f>"20200111153442938"</f>
        <v>20200111153442938</v>
      </c>
      <c r="B2420" t="str">
        <f>"1578728082928469"</f>
        <v>1578728082928469</v>
      </c>
      <c r="C2420" t="s">
        <v>37</v>
      </c>
      <c r="D2420">
        <v>4.6033229999999996</v>
      </c>
      <c r="E2420">
        <v>0.41840119999999997</v>
      </c>
      <c r="F2420" t="s">
        <v>40</v>
      </c>
      <c r="G2420">
        <v>-489.4572</v>
      </c>
      <c r="H2420">
        <v>1.0454060000000001</v>
      </c>
      <c r="I2420">
        <v>242.16489999999999</v>
      </c>
      <c r="J2420">
        <v>-489.95170000000002</v>
      </c>
      <c r="K2420">
        <v>1.1075520000000001</v>
      </c>
      <c r="L2420">
        <v>242.8586</v>
      </c>
      <c r="M2420">
        <v>7.4844170000000002E-2</v>
      </c>
      <c r="N2420">
        <v>0</v>
      </c>
      <c r="O2420">
        <v>-0.99719049999999998</v>
      </c>
      <c r="P2420">
        <v>0.26205679999999998</v>
      </c>
      <c r="Q2420">
        <v>4.3613230000000003E-2</v>
      </c>
      <c r="R2420">
        <v>-0.964066599999999</v>
      </c>
      <c r="S2420">
        <v>1.397797</v>
      </c>
      <c r="T2420">
        <v>-0.166326</v>
      </c>
      <c r="U2420">
        <v>-2.7442929999999999</v>
      </c>
      <c r="V2420">
        <v>-0.18964249999999999</v>
      </c>
      <c r="W2420">
        <v>4.4755110000000001E-2</v>
      </c>
      <c r="X2420">
        <v>0.980832699999999</v>
      </c>
      <c r="Y2420">
        <v>-0.38522469999999998</v>
      </c>
      <c r="Z2420">
        <v>5.4585699999999897E-2</v>
      </c>
      <c r="AA2420">
        <v>0.921207</v>
      </c>
      <c r="AB2420">
        <v>38</v>
      </c>
      <c r="AC2420">
        <v>0.49450000000001598</v>
      </c>
      <c r="AD2420">
        <v>-6.2146E-2</v>
      </c>
      <c r="AE2420">
        <v>-0.69370000000000598</v>
      </c>
      <c r="AF2420">
        <v>-0.43885797654362102</v>
      </c>
      <c r="AG2420">
        <v>-6.2146E-2</v>
      </c>
      <c r="AH2420">
        <v>0.72490729672623999</v>
      </c>
      <c r="AI2420">
        <v>94.194406517929295</v>
      </c>
      <c r="AJ2420">
        <v>121.190660493141</v>
      </c>
      <c r="AK2420">
        <v>0.84967584274175201</v>
      </c>
    </row>
    <row r="2421" spans="1:37" x14ac:dyDescent="0.2">
      <c r="A2421" t="str">
        <f>"20200111153442954"</f>
        <v>20200111153442954</v>
      </c>
      <c r="B2421" t="str">
        <f>"1578728082947988"</f>
        <v>1578728082947988</v>
      </c>
      <c r="C2421" t="s">
        <v>37</v>
      </c>
      <c r="D2421">
        <v>4.6187110000000002</v>
      </c>
      <c r="E2421">
        <v>0.41899899999999901</v>
      </c>
      <c r="F2421" t="s">
        <v>50</v>
      </c>
      <c r="G2421">
        <v>-480.83139999999997</v>
      </c>
      <c r="H2421" s="1">
        <v>3.182268E-6</v>
      </c>
      <c r="I2421">
        <v>225.1678</v>
      </c>
      <c r="J2421">
        <v>-489.92860000000002</v>
      </c>
      <c r="K2421">
        <v>1.107694</v>
      </c>
      <c r="L2421">
        <v>242.58420000000001</v>
      </c>
      <c r="M2421">
        <v>7.8337959999999998E-2</v>
      </c>
      <c r="N2421">
        <v>0</v>
      </c>
      <c r="O2421">
        <v>-0.99692179999999997</v>
      </c>
      <c r="P2421">
        <v>0.26707579999999997</v>
      </c>
      <c r="Q2421">
        <v>4.3740399999999999E-2</v>
      </c>
      <c r="R2421">
        <v>-0.96268229999999999</v>
      </c>
      <c r="S2421">
        <v>1.4105829999999999</v>
      </c>
      <c r="T2421">
        <v>-0.1712996</v>
      </c>
      <c r="U2421">
        <v>-2.7361599999999999</v>
      </c>
      <c r="V2421">
        <v>-0.19133349999999999</v>
      </c>
      <c r="W2421">
        <v>4.4797040000000003E-2</v>
      </c>
      <c r="X2421">
        <v>0.98050230000000005</v>
      </c>
      <c r="Y2421">
        <v>-0.38646340000000001</v>
      </c>
      <c r="Z2421">
        <v>5.626573E-2</v>
      </c>
      <c r="AA2421">
        <v>0.92058689999999999</v>
      </c>
      <c r="AB2421">
        <v>38</v>
      </c>
      <c r="AC2421">
        <v>9.0972000000000399</v>
      </c>
      <c r="AD2421">
        <v>-1.107690817732</v>
      </c>
      <c r="AE2421">
        <v>-17.416399999999999</v>
      </c>
      <c r="AF2421">
        <v>-7.6804624112242896</v>
      </c>
      <c r="AG2421">
        <v>-1.107690817732</v>
      </c>
      <c r="AH2421">
        <v>18.018274738605101</v>
      </c>
      <c r="AI2421">
        <v>93.236775124656802</v>
      </c>
      <c r="AJ2421">
        <v>113.08659225837999</v>
      </c>
      <c r="AK2421">
        <v>19.618223832798201</v>
      </c>
    </row>
    <row r="2422" spans="1:37" x14ac:dyDescent="0.2">
      <c r="A2422" t="str">
        <f>"20200111153442970"</f>
        <v>20200111153442970</v>
      </c>
      <c r="B2422" t="str">
        <f>"1578728082958725"</f>
        <v>1578728082958725</v>
      </c>
      <c r="C2422" t="s">
        <v>37</v>
      </c>
      <c r="D2422">
        <v>4.6493719999999996</v>
      </c>
      <c r="E2422">
        <v>0.41925119999999999</v>
      </c>
      <c r="F2422" t="s">
        <v>50</v>
      </c>
      <c r="G2422">
        <v>-480.91129999999998</v>
      </c>
      <c r="H2422" s="1">
        <v>3.216238E-6</v>
      </c>
      <c r="I2422">
        <v>225.2414</v>
      </c>
      <c r="J2422">
        <v>-489.90469999999999</v>
      </c>
      <c r="K2422">
        <v>1.107834</v>
      </c>
      <c r="L2422">
        <v>242.31</v>
      </c>
      <c r="M2422">
        <v>8.1901370000000001E-2</v>
      </c>
      <c r="N2422">
        <v>0</v>
      </c>
      <c r="O2422">
        <v>-0.99663559999999995</v>
      </c>
      <c r="P2422">
        <v>0.27363680000000001</v>
      </c>
      <c r="Q2422">
        <v>4.4871519999999998E-2</v>
      </c>
      <c r="R2422">
        <v>-0.96078609999999898</v>
      </c>
      <c r="S2422">
        <v>1.4196469999999899</v>
      </c>
      <c r="T2422">
        <v>-0.17438979999999901</v>
      </c>
      <c r="U2422">
        <v>-2.7303769999999998</v>
      </c>
      <c r="V2422">
        <v>-0.1945489</v>
      </c>
      <c r="W2422">
        <v>4.5825940000000003E-2</v>
      </c>
      <c r="X2422">
        <v>0.97982179999999997</v>
      </c>
      <c r="Y2422">
        <v>-0.38634249999999998</v>
      </c>
      <c r="Z2422">
        <v>5.7319630000000003E-2</v>
      </c>
      <c r="AA2422">
        <v>0.92057259999999996</v>
      </c>
      <c r="AB2422">
        <v>39</v>
      </c>
      <c r="AC2422">
        <v>8.9933999999999994</v>
      </c>
      <c r="AD2422">
        <v>-1.1078307837620001</v>
      </c>
      <c r="AE2422">
        <v>-17.0686</v>
      </c>
      <c r="AF2422">
        <v>-7.5403750284440703</v>
      </c>
      <c r="AG2422">
        <v>-1.1078307837620001</v>
      </c>
      <c r="AH2422">
        <v>17.689505438701602</v>
      </c>
      <c r="AI2422">
        <v>93.297212961911896</v>
      </c>
      <c r="AJ2422">
        <v>113.08673940422899</v>
      </c>
      <c r="AK2422">
        <v>19.261441983426099</v>
      </c>
    </row>
    <row r="2423" spans="1:37" x14ac:dyDescent="0.2">
      <c r="A2423" t="str">
        <f>"20200111153442984"</f>
        <v>20200111153442984</v>
      </c>
      <c r="B2423" t="str">
        <f>"1578728082978245"</f>
        <v>1578728082978245</v>
      </c>
      <c r="C2423" t="s">
        <v>37</v>
      </c>
      <c r="D2423">
        <v>4.5118749999999999</v>
      </c>
      <c r="E2423">
        <v>0.4198827</v>
      </c>
      <c r="F2423" t="s">
        <v>50</v>
      </c>
      <c r="G2423">
        <v>-480.71019999999999</v>
      </c>
      <c r="H2423" s="1">
        <v>3.0915879999999999E-6</v>
      </c>
      <c r="I2423">
        <v>224.8793</v>
      </c>
      <c r="J2423">
        <v>-489.8843</v>
      </c>
      <c r="K2423">
        <v>1.107945</v>
      </c>
      <c r="L2423">
        <v>242.08580000000001</v>
      </c>
      <c r="M2423">
        <v>8.4863739999999993E-2</v>
      </c>
      <c r="N2423">
        <v>0</v>
      </c>
      <c r="O2423">
        <v>-0.99638769999999999</v>
      </c>
      <c r="P2423">
        <v>0.27813769999999999</v>
      </c>
      <c r="Q2423">
        <v>4.5306470000000001E-2</v>
      </c>
      <c r="R2423">
        <v>-0.95947249999999995</v>
      </c>
      <c r="S2423">
        <v>1.435638</v>
      </c>
      <c r="T2423">
        <v>-0.1729781</v>
      </c>
      <c r="U2423">
        <v>-2.7216640000000001</v>
      </c>
      <c r="V2423">
        <v>-0.196248799999999</v>
      </c>
      <c r="W2423">
        <v>4.6188920000000001E-2</v>
      </c>
      <c r="X2423">
        <v>0.979465699999999</v>
      </c>
      <c r="Y2423">
        <v>-0.38905840000000003</v>
      </c>
      <c r="Z2423">
        <v>5.6889450000000001E-2</v>
      </c>
      <c r="AA2423">
        <v>0.91945480000000002</v>
      </c>
      <c r="AB2423">
        <v>39</v>
      </c>
      <c r="AC2423">
        <v>9.1741000000000099</v>
      </c>
      <c r="AD2423">
        <v>-1.1079419084119999</v>
      </c>
      <c r="AE2423">
        <v>-17.206499999999998</v>
      </c>
      <c r="AF2423">
        <v>-7.65607267037832</v>
      </c>
      <c r="AG2423">
        <v>-1.1079419084119999</v>
      </c>
      <c r="AH2423">
        <v>17.865303574579801</v>
      </c>
      <c r="AI2423">
        <v>93.262479711508107</v>
      </c>
      <c r="AJ2423">
        <v>113.197273698437</v>
      </c>
      <c r="AK2423">
        <v>19.468231964367501</v>
      </c>
    </row>
    <row r="2424" spans="1:37" x14ac:dyDescent="0.2">
      <c r="A2424" t="str">
        <f>"20200111153442998"</f>
        <v>20200111153442998</v>
      </c>
      <c r="B2424" t="str">
        <f>"1578728082988006"</f>
        <v>1578728082988006</v>
      </c>
      <c r="C2424" t="s">
        <v>37</v>
      </c>
      <c r="D2424">
        <v>4.5815049999999999</v>
      </c>
      <c r="E2424">
        <v>0.42018919999999998</v>
      </c>
      <c r="F2424" t="s">
        <v>40</v>
      </c>
      <c r="G2424">
        <v>-489.37220000000002</v>
      </c>
      <c r="H2424">
        <v>1.046651</v>
      </c>
      <c r="I2424">
        <v>241.12180000000001</v>
      </c>
      <c r="J2424">
        <v>-489.85969999999998</v>
      </c>
      <c r="K2424">
        <v>1.1080779999999999</v>
      </c>
      <c r="L2424">
        <v>241.8228</v>
      </c>
      <c r="M2424">
        <v>8.8394210000000001E-2</v>
      </c>
      <c r="N2424">
        <v>0</v>
      </c>
      <c r="O2424">
        <v>-0.99608079999999999</v>
      </c>
      <c r="P2424">
        <v>0.28289769999999997</v>
      </c>
      <c r="Q2424">
        <v>4.5682630000000002E-2</v>
      </c>
      <c r="R2424">
        <v>-0.95806170000000002</v>
      </c>
      <c r="S2424">
        <v>1.443298</v>
      </c>
      <c r="T2424">
        <v>-0.1727206</v>
      </c>
      <c r="U2424">
        <v>-2.7164919999999899</v>
      </c>
      <c r="V2424">
        <v>-0.19766149999999999</v>
      </c>
      <c r="W2424">
        <v>4.6488040000000001E-2</v>
      </c>
      <c r="X2424">
        <v>0.97916740000000002</v>
      </c>
      <c r="Y2424">
        <v>-0.38854260000000002</v>
      </c>
      <c r="Z2424">
        <v>5.6844690000000003E-2</v>
      </c>
      <c r="AA2424">
        <v>0.91967559999999904</v>
      </c>
      <c r="AB2424">
        <v>39</v>
      </c>
      <c r="AC2424">
        <v>0.48749999999995403</v>
      </c>
      <c r="AD2424">
        <v>-6.14270000000001E-2</v>
      </c>
      <c r="AE2424">
        <v>-0.70099999999999296</v>
      </c>
      <c r="AF2424">
        <v>-0.42144584536392898</v>
      </c>
      <c r="AG2424">
        <v>-6.14270000000001E-2</v>
      </c>
      <c r="AH2424">
        <v>0.73753120712378295</v>
      </c>
      <c r="AI2424">
        <v>94.136068626621096</v>
      </c>
      <c r="AJ2424">
        <v>119.744848577261</v>
      </c>
      <c r="AK2424">
        <v>0.85167021691789901</v>
      </c>
    </row>
    <row r="2425" spans="1:37" x14ac:dyDescent="0.2">
      <c r="A2425" t="str">
        <f>"20200111153443017"</f>
        <v>20200111153443017</v>
      </c>
      <c r="B2425" t="str">
        <f>"1578728083008501"</f>
        <v>1578728083008501</v>
      </c>
      <c r="C2425" t="s">
        <v>37</v>
      </c>
      <c r="D2425">
        <v>4.6568189999999996</v>
      </c>
      <c r="E2425">
        <v>0.42058469999999998</v>
      </c>
      <c r="F2425" t="s">
        <v>50</v>
      </c>
      <c r="G2425">
        <v>-480.48160000000001</v>
      </c>
      <c r="H2425" s="1">
        <v>2.9012249999999999E-6</v>
      </c>
      <c r="I2425">
        <v>224.3526</v>
      </c>
      <c r="J2425">
        <v>-489.82929999999999</v>
      </c>
      <c r="K2425">
        <v>1.108233</v>
      </c>
      <c r="L2425">
        <v>241.5128</v>
      </c>
      <c r="M2425">
        <v>9.2653330000000006E-2</v>
      </c>
      <c r="N2425">
        <v>0</v>
      </c>
      <c r="O2425">
        <v>-0.9956933</v>
      </c>
      <c r="P2425">
        <v>0.29023969999999999</v>
      </c>
      <c r="Q2425">
        <v>4.6101410000000002E-2</v>
      </c>
      <c r="R2425">
        <v>-0.95584309999999995</v>
      </c>
      <c r="S2425">
        <v>1.454742</v>
      </c>
      <c r="T2425">
        <v>-0.17188439999999999</v>
      </c>
      <c r="U2425">
        <v>-2.7099759999999899</v>
      </c>
      <c r="V2425">
        <v>-0.20101069999999999</v>
      </c>
      <c r="W2425">
        <v>4.6796699999999997E-2</v>
      </c>
      <c r="X2425">
        <v>0.97847059999999997</v>
      </c>
      <c r="Y2425">
        <v>-0.38854559999999999</v>
      </c>
      <c r="Z2425">
        <v>5.6603399999999998E-2</v>
      </c>
      <c r="AA2425">
        <v>0.91968930000000004</v>
      </c>
      <c r="AB2425">
        <v>39</v>
      </c>
      <c r="AC2425">
        <v>9.3476999999999695</v>
      </c>
      <c r="AD2425">
        <v>-1.108230098775</v>
      </c>
      <c r="AE2425">
        <v>-17.1602</v>
      </c>
      <c r="AF2425">
        <v>-7.6927892045041304</v>
      </c>
      <c r="AG2425">
        <v>-1.108230098775</v>
      </c>
      <c r="AH2425">
        <v>17.894926817887399</v>
      </c>
      <c r="AI2425">
        <v>93.256354728767505</v>
      </c>
      <c r="AJ2425">
        <v>113.262221018331</v>
      </c>
      <c r="AK2425">
        <v>19.509884302945299</v>
      </c>
    </row>
    <row r="2426" spans="1:37" x14ac:dyDescent="0.2">
      <c r="A2426" t="str">
        <f>"20200111153443039"</f>
        <v>20200111153443039</v>
      </c>
      <c r="B2426" t="str">
        <f>"1578728083028021"</f>
        <v>1578728083028021</v>
      </c>
      <c r="C2426" t="s">
        <v>37</v>
      </c>
      <c r="D2426">
        <v>4.5817699999999997</v>
      </c>
      <c r="E2426">
        <v>0.42097459999999998</v>
      </c>
      <c r="F2426" t="s">
        <v>50</v>
      </c>
      <c r="G2426">
        <v>-480.4101</v>
      </c>
      <c r="H2426" s="1">
        <v>2.8622389999999999E-6</v>
      </c>
      <c r="I2426">
        <v>224.2336</v>
      </c>
      <c r="J2426">
        <v>-489.78919999999999</v>
      </c>
      <c r="K2426">
        <v>1.1084290000000001</v>
      </c>
      <c r="L2426">
        <v>241.12260000000001</v>
      </c>
      <c r="M2426">
        <v>9.8134860000000004E-2</v>
      </c>
      <c r="N2426">
        <v>0</v>
      </c>
      <c r="O2426">
        <v>-0.99516800000000005</v>
      </c>
      <c r="P2426">
        <v>0.29801879999999997</v>
      </c>
      <c r="Q2426">
        <v>4.6628389999999999E-2</v>
      </c>
      <c r="R2426">
        <v>-0.95342059999999995</v>
      </c>
      <c r="S2426">
        <v>1.471832</v>
      </c>
      <c r="T2426">
        <v>-0.1731705</v>
      </c>
      <c r="U2426">
        <v>-2.7000120000000001</v>
      </c>
      <c r="V2426">
        <v>-0.203626799999999</v>
      </c>
      <c r="W2426">
        <v>4.7203460000000003E-2</v>
      </c>
      <c r="X2426">
        <v>0.97790999999999995</v>
      </c>
      <c r="Y2426">
        <v>-0.38937319999999997</v>
      </c>
      <c r="Z2426">
        <v>5.70728E-2</v>
      </c>
      <c r="AA2426">
        <v>0.91931019999999897</v>
      </c>
      <c r="AB2426">
        <v>39</v>
      </c>
      <c r="AC2426">
        <v>9.3790999999999904</v>
      </c>
      <c r="AD2426">
        <v>-1.1084261377610001</v>
      </c>
      <c r="AE2426">
        <v>-16.888999999999999</v>
      </c>
      <c r="AF2426">
        <v>-7.65123153268451</v>
      </c>
      <c r="AG2426">
        <v>-1.1084261377610001</v>
      </c>
      <c r="AH2426">
        <v>17.6697299832251</v>
      </c>
      <c r="AI2426">
        <v>93.294606234758902</v>
      </c>
      <c r="AJ2426">
        <v>113.413262704727</v>
      </c>
      <c r="AK2426">
        <v>19.2870243985355</v>
      </c>
    </row>
    <row r="2427" spans="1:37" x14ac:dyDescent="0.2">
      <c r="A2427" t="str">
        <f>"20200111153443053"</f>
        <v>20200111153443053</v>
      </c>
      <c r="B2427" t="str">
        <f>"1578728083048517"</f>
        <v>1578728083048517</v>
      </c>
      <c r="C2427" t="s">
        <v>37</v>
      </c>
      <c r="D2427">
        <v>4.6592630000000002</v>
      </c>
      <c r="E2427">
        <v>0.42114279999999998</v>
      </c>
      <c r="F2427" t="s">
        <v>40</v>
      </c>
      <c r="G2427">
        <v>-489.22750000000002</v>
      </c>
      <c r="H2427">
        <v>1.04336299999999</v>
      </c>
      <c r="I2427">
        <v>240.10900000000001</v>
      </c>
      <c r="J2427">
        <v>-489.76170000000002</v>
      </c>
      <c r="K2427">
        <v>1.10856</v>
      </c>
      <c r="L2427">
        <v>240.869</v>
      </c>
      <c r="M2427">
        <v>0.1017966</v>
      </c>
      <c r="N2427">
        <v>0</v>
      </c>
      <c r="O2427">
        <v>-0.99480020000000002</v>
      </c>
      <c r="P2427">
        <v>0.30244499999999902</v>
      </c>
      <c r="Q2427">
        <v>4.6744019999999997E-2</v>
      </c>
      <c r="R2427">
        <v>-0.95202019999999998</v>
      </c>
      <c r="S2427">
        <v>1.4911190000000001</v>
      </c>
      <c r="T2427">
        <v>-0.17259669999999999</v>
      </c>
      <c r="U2427">
        <v>-2.688904</v>
      </c>
      <c r="V2427">
        <v>-0.20458870000000001</v>
      </c>
      <c r="W2427">
        <v>4.7250149999999998E-2</v>
      </c>
      <c r="X2427">
        <v>0.97770699999999999</v>
      </c>
      <c r="Y2427">
        <v>-0.39263940000000003</v>
      </c>
      <c r="Z2427">
        <v>5.692403E-2</v>
      </c>
      <c r="AA2427">
        <v>0.9179292</v>
      </c>
      <c r="AB2427">
        <v>39</v>
      </c>
      <c r="AC2427">
        <v>0.53419999999999801</v>
      </c>
      <c r="AD2427">
        <v>-6.5197000000000102E-2</v>
      </c>
      <c r="AE2427">
        <v>-0.76000000000001899</v>
      </c>
      <c r="AF2427">
        <v>-0.45183357005111402</v>
      </c>
      <c r="AG2427">
        <v>-6.5197000000000102E-2</v>
      </c>
      <c r="AH2427">
        <v>0.80645965084496696</v>
      </c>
      <c r="AI2427">
        <v>94.034296839179504</v>
      </c>
      <c r="AJ2427">
        <v>119.26051631627099</v>
      </c>
      <c r="AK2427">
        <v>0.92670458738215</v>
      </c>
    </row>
    <row r="2428" spans="1:37" x14ac:dyDescent="0.2">
      <c r="A2428" t="str">
        <f>"20200111153443071"</f>
        <v>20200111153443071</v>
      </c>
      <c r="B2428" t="str">
        <f>"1578728083068037"</f>
        <v>1578728083068037</v>
      </c>
      <c r="C2428" t="s">
        <v>37</v>
      </c>
      <c r="D2428">
        <v>4.5707849999999999</v>
      </c>
      <c r="E2428">
        <v>0.4213924</v>
      </c>
      <c r="F2428" t="s">
        <v>50</v>
      </c>
      <c r="G2428">
        <v>-480.17809999999997</v>
      </c>
      <c r="H2428" s="1">
        <v>2.7152050000000002E-6</v>
      </c>
      <c r="I2428">
        <v>223.75470000000001</v>
      </c>
      <c r="J2428">
        <v>-489.72710000000001</v>
      </c>
      <c r="K2428">
        <v>1.1087149999999999</v>
      </c>
      <c r="L2428">
        <v>240.56</v>
      </c>
      <c r="M2428">
        <v>0.106327</v>
      </c>
      <c r="N2428">
        <v>0</v>
      </c>
      <c r="O2428">
        <v>-0.99432609999999999</v>
      </c>
      <c r="P2428">
        <v>0.30884650000000002</v>
      </c>
      <c r="Q2428">
        <v>4.7182969999999998E-2</v>
      </c>
      <c r="R2428">
        <v>-0.94994100000000004</v>
      </c>
      <c r="S2428">
        <v>1.5021359999999999</v>
      </c>
      <c r="T2428">
        <v>-0.17375589999999999</v>
      </c>
      <c r="U2428">
        <v>-2.68250999999999</v>
      </c>
      <c r="V2428">
        <v>-0.20674290000000001</v>
      </c>
      <c r="W2428">
        <v>4.7593549999999998E-2</v>
      </c>
      <c r="X2428">
        <v>0.97723700000000002</v>
      </c>
      <c r="Y2428">
        <v>-0.39224229999999999</v>
      </c>
      <c r="Z2428">
        <v>5.7333559999999999E-2</v>
      </c>
      <c r="AA2428">
        <v>0.91807349999999999</v>
      </c>
      <c r="AB2428">
        <v>39</v>
      </c>
      <c r="AC2428">
        <v>9.5490000000000297</v>
      </c>
      <c r="AD2428">
        <v>-1.1087122847949999</v>
      </c>
      <c r="AE2428">
        <v>-16.8052999999999</v>
      </c>
      <c r="AF2428">
        <v>-7.6827239199436903</v>
      </c>
      <c r="AG2428">
        <v>-1.1087122847949999</v>
      </c>
      <c r="AH2428">
        <v>17.6672255021093</v>
      </c>
      <c r="AI2428">
        <v>93.293707343313898</v>
      </c>
      <c r="AJ2428">
        <v>113.502169998971</v>
      </c>
      <c r="AK2428">
        <v>19.297262673833099</v>
      </c>
    </row>
    <row r="2429" spans="1:37" x14ac:dyDescent="0.2">
      <c r="A2429" t="str">
        <f>"20200111153443096"</f>
        <v>20200111153443096</v>
      </c>
      <c r="B2429" t="str">
        <f>"1578728083088533"</f>
        <v>1578728083088533</v>
      </c>
      <c r="C2429" t="s">
        <v>37</v>
      </c>
      <c r="D2429">
        <v>4.5665559999999896</v>
      </c>
      <c r="E2429">
        <v>0.421139599999999</v>
      </c>
      <c r="F2429" t="s">
        <v>50</v>
      </c>
      <c r="G2429">
        <v>-480.0138</v>
      </c>
      <c r="H2429" s="1">
        <v>2.6209519999999999E-6</v>
      </c>
      <c r="I2429">
        <v>223.46019999999999</v>
      </c>
      <c r="J2429">
        <v>-489.6764</v>
      </c>
      <c r="K2429">
        <v>1.1089279999999999</v>
      </c>
      <c r="L2429">
        <v>240.1285</v>
      </c>
      <c r="M2429">
        <v>0.112808399999999</v>
      </c>
      <c r="N2429">
        <v>0</v>
      </c>
      <c r="O2429">
        <v>-0.99361160000000004</v>
      </c>
      <c r="P2429">
        <v>0.31636389999999998</v>
      </c>
      <c r="Q2429">
        <v>4.7174630000000002E-2</v>
      </c>
      <c r="R2429">
        <v>-0.94746459999999999</v>
      </c>
      <c r="S2429">
        <v>1.5183719999999901</v>
      </c>
      <c r="T2429">
        <v>-0.17331279999999999</v>
      </c>
      <c r="U2429">
        <v>-2.673019</v>
      </c>
      <c r="V2429">
        <v>-0.20814089999999999</v>
      </c>
      <c r="W2429">
        <v>4.7471140000000002E-2</v>
      </c>
      <c r="X2429">
        <v>0.97694619999999999</v>
      </c>
      <c r="Y2429">
        <v>-0.3918644</v>
      </c>
      <c r="Z2429">
        <v>5.7226300000000001E-2</v>
      </c>
      <c r="AA2429">
        <v>0.91824150000000004</v>
      </c>
      <c r="AB2429">
        <v>39</v>
      </c>
      <c r="AC2429">
        <v>9.6625999999999905</v>
      </c>
      <c r="AD2429">
        <v>-1.108925379048</v>
      </c>
      <c r="AE2429">
        <v>-16.668299999999999</v>
      </c>
      <c r="AF2429">
        <v>-7.6950942460903002</v>
      </c>
      <c r="AG2429">
        <v>-1.108925379048</v>
      </c>
      <c r="AH2429">
        <v>17.593644447627099</v>
      </c>
      <c r="AI2429">
        <v>93.305037579028294</v>
      </c>
      <c r="AJ2429">
        <v>113.623568401748</v>
      </c>
      <c r="AK2429">
        <v>19.234877589993399</v>
      </c>
    </row>
    <row r="2430" spans="1:37" x14ac:dyDescent="0.2">
      <c r="A2430" t="str">
        <f>"20200111153443117"</f>
        <v>20200111153443117</v>
      </c>
      <c r="B2430" t="str">
        <f>"1578728083108055"</f>
        <v>1578728083108055</v>
      </c>
      <c r="C2430" t="s">
        <v>37</v>
      </c>
      <c r="D2430">
        <v>4.5655359999999998</v>
      </c>
      <c r="E2430">
        <v>0.4208751</v>
      </c>
      <c r="F2430" t="s">
        <v>50</v>
      </c>
      <c r="G2430">
        <v>-479.95389999999998</v>
      </c>
      <c r="H2430">
        <v>1.2908080000000001E-2</v>
      </c>
      <c r="I2430">
        <v>223.3519</v>
      </c>
      <c r="J2430">
        <v>-489.62990000000002</v>
      </c>
      <c r="K2430">
        <v>1.1091309999999901</v>
      </c>
      <c r="L2430">
        <v>239.75299999999999</v>
      </c>
      <c r="M2430">
        <v>0.118634899999999</v>
      </c>
      <c r="N2430">
        <v>0</v>
      </c>
      <c r="O2430">
        <v>-0.9929325</v>
      </c>
      <c r="P2430">
        <v>0.32321719999999998</v>
      </c>
      <c r="Q2430">
        <v>4.7005650000000003E-2</v>
      </c>
      <c r="R2430">
        <v>-0.94515659999999901</v>
      </c>
      <c r="S2430">
        <v>1.541687</v>
      </c>
      <c r="T2430">
        <v>-0.173794</v>
      </c>
      <c r="U2430">
        <v>-2.6602329999999998</v>
      </c>
      <c r="V2430">
        <v>-0.209507</v>
      </c>
      <c r="W2430">
        <v>4.7197280000000001E-2</v>
      </c>
      <c r="X2430">
        <v>0.97666739999999996</v>
      </c>
      <c r="Y2430">
        <v>-0.39440349999999902</v>
      </c>
      <c r="Z2430">
        <v>5.7413760000000001E-2</v>
      </c>
      <c r="AA2430">
        <v>0.91714200000000001</v>
      </c>
      <c r="AB2430">
        <v>40</v>
      </c>
      <c r="AC2430">
        <v>9.6760000000000392</v>
      </c>
      <c r="AD2430">
        <v>-1.09622291999999</v>
      </c>
      <c r="AE2430">
        <v>-16.4010999999999</v>
      </c>
      <c r="AF2430">
        <v>-7.6366061677837198</v>
      </c>
      <c r="AG2430">
        <v>-1.09622291999999</v>
      </c>
      <c r="AH2430">
        <v>17.375609014656099</v>
      </c>
      <c r="AI2430">
        <v>93.305594802799106</v>
      </c>
      <c r="AJ2430">
        <v>113.725560692648</v>
      </c>
      <c r="AK2430">
        <v>19.0113452202195</v>
      </c>
    </row>
    <row r="2431" spans="1:37" x14ac:dyDescent="0.2">
      <c r="A2431" t="str">
        <f>"20200111153443138"</f>
        <v>20200111153443138</v>
      </c>
      <c r="B2431" t="str">
        <f>"1578728083128548"</f>
        <v>1578728083128548</v>
      </c>
      <c r="C2431" t="s">
        <v>37</v>
      </c>
      <c r="D2431">
        <v>4.5784820000000002</v>
      </c>
      <c r="E2431">
        <v>0.42069459999999997</v>
      </c>
      <c r="F2431" t="s">
        <v>50</v>
      </c>
      <c r="G2431">
        <v>-479.9545</v>
      </c>
      <c r="H2431">
        <v>2.8997849999999999E-2</v>
      </c>
      <c r="I2431">
        <v>223.36099999999999</v>
      </c>
      <c r="J2431">
        <v>-489.5813</v>
      </c>
      <c r="K2431">
        <v>1.1093459999999999</v>
      </c>
      <c r="L2431">
        <v>239.37970000000001</v>
      </c>
      <c r="M2431">
        <v>0.1246101</v>
      </c>
      <c r="N2431">
        <v>0</v>
      </c>
      <c r="O2431">
        <v>-0.99220039999999998</v>
      </c>
      <c r="P2431">
        <v>0.32982879999999998</v>
      </c>
      <c r="Q2431">
        <v>4.7028479999999998E-2</v>
      </c>
      <c r="R2431">
        <v>-0.94286890000000001</v>
      </c>
      <c r="S2431">
        <v>1.56311</v>
      </c>
      <c r="T2431">
        <v>-0.17450199999999999</v>
      </c>
      <c r="U2431">
        <v>-2.6482239999999999</v>
      </c>
      <c r="V2431">
        <v>-0.2104945</v>
      </c>
      <c r="W2431">
        <v>4.7117260000000001E-2</v>
      </c>
      <c r="X2431">
        <v>0.97645890000000002</v>
      </c>
      <c r="Y2431">
        <v>-0.39618920000000002</v>
      </c>
      <c r="Z2431">
        <v>5.76739E-2</v>
      </c>
      <c r="AA2431">
        <v>0.916355699999999</v>
      </c>
      <c r="AB2431">
        <v>40</v>
      </c>
      <c r="AC2431">
        <v>9.6267999999999994</v>
      </c>
      <c r="AD2431">
        <v>-1.0803481499999901</v>
      </c>
      <c r="AE2431">
        <v>-16.018699999999999</v>
      </c>
      <c r="AF2431">
        <v>-7.5304990794901903</v>
      </c>
      <c r="AG2431">
        <v>-1.0803481499999901</v>
      </c>
      <c r="AH2431">
        <v>17.0365183070084</v>
      </c>
      <c r="AI2431">
        <v>93.319447287412402</v>
      </c>
      <c r="AJ2431">
        <v>113.846435845211</v>
      </c>
      <c r="AK2431">
        <v>18.657934626759801</v>
      </c>
    </row>
    <row r="2432" spans="1:37" x14ac:dyDescent="0.2">
      <c r="A2432" t="str">
        <f>"20200111153443152"</f>
        <v>20200111153443152</v>
      </c>
      <c r="B2432" t="str">
        <f>"1578728083148069"</f>
        <v>1578728083148069</v>
      </c>
      <c r="C2432" t="s">
        <v>37</v>
      </c>
      <c r="D2432">
        <v>4.5636219999999996</v>
      </c>
      <c r="E2432">
        <v>0.42061520000000002</v>
      </c>
      <c r="F2432" t="s">
        <v>50</v>
      </c>
      <c r="G2432">
        <v>-479.95260000000002</v>
      </c>
      <c r="H2432">
        <v>4.3559E-2</v>
      </c>
      <c r="I2432">
        <v>223.33590000000001</v>
      </c>
      <c r="J2432">
        <v>-489.54840000000002</v>
      </c>
      <c r="K2432">
        <v>1.109494</v>
      </c>
      <c r="L2432">
        <v>239.1388</v>
      </c>
      <c r="M2432">
        <v>0.12858639999999999</v>
      </c>
      <c r="N2432">
        <v>0</v>
      </c>
      <c r="O2432">
        <v>-0.99169280000000004</v>
      </c>
      <c r="P2432">
        <v>0.33411170000000001</v>
      </c>
      <c r="Q2432">
        <v>4.694007E-2</v>
      </c>
      <c r="R2432">
        <v>-0.94136390000000003</v>
      </c>
      <c r="S2432">
        <v>1.5825499999999999</v>
      </c>
      <c r="T2432">
        <v>-0.17517089999999999</v>
      </c>
      <c r="U2432">
        <v>-2.6369319999999998</v>
      </c>
      <c r="V2432">
        <v>-0.21103520000000001</v>
      </c>
      <c r="W2432">
        <v>4.6963409999999997E-2</v>
      </c>
      <c r="X2432">
        <v>0.97634969999999999</v>
      </c>
      <c r="Y2432">
        <v>-0.39919909999999997</v>
      </c>
      <c r="Z2432">
        <v>5.792025E-2</v>
      </c>
      <c r="AA2432">
        <v>0.91503299999999999</v>
      </c>
      <c r="AB2432">
        <v>40</v>
      </c>
      <c r="AC2432">
        <v>9.5957999999999899</v>
      </c>
      <c r="AD2432">
        <v>-1.0659350000000001</v>
      </c>
      <c r="AE2432">
        <v>-15.8028999999999</v>
      </c>
      <c r="AF2432">
        <v>-7.4592931331242003</v>
      </c>
      <c r="AG2432">
        <v>-1.0659350000000001</v>
      </c>
      <c r="AH2432">
        <v>16.849593997449499</v>
      </c>
      <c r="AI2432">
        <v>93.310684927971593</v>
      </c>
      <c r="AJ2432">
        <v>113.878909223059</v>
      </c>
      <c r="AK2432">
        <v>18.457683748211402</v>
      </c>
    </row>
    <row r="2433" spans="1:37" x14ac:dyDescent="0.2">
      <c r="A2433" t="str">
        <f>"20200111153443171"</f>
        <v>20200111153443171</v>
      </c>
      <c r="B2433" t="str">
        <f>"1578728083168566"</f>
        <v>1578728083168566</v>
      </c>
      <c r="C2433" t="s">
        <v>37</v>
      </c>
      <c r="D2433">
        <v>4.5739799999999997</v>
      </c>
      <c r="E2433">
        <v>0.42045850000000001</v>
      </c>
      <c r="F2433" t="s">
        <v>50</v>
      </c>
      <c r="G2433">
        <v>-479.94959999999998</v>
      </c>
      <c r="H2433">
        <v>5.1771009999999999E-2</v>
      </c>
      <c r="I2433">
        <v>223.31890000000001</v>
      </c>
      <c r="J2433">
        <v>-489.49950000000001</v>
      </c>
      <c r="K2433">
        <v>1.10971</v>
      </c>
      <c r="L2433">
        <v>238.79089999999999</v>
      </c>
      <c r="M2433">
        <v>0.13443959999999999</v>
      </c>
      <c r="N2433">
        <v>0</v>
      </c>
      <c r="O2433">
        <v>-0.99091609999999997</v>
      </c>
      <c r="P2433">
        <v>0.34050839999999999</v>
      </c>
      <c r="Q2433">
        <v>4.7263869999999999E-2</v>
      </c>
      <c r="R2433">
        <v>-0.93905260000000002</v>
      </c>
      <c r="S2433">
        <v>1.5953979999999901</v>
      </c>
      <c r="T2433">
        <v>-0.17580170000000001</v>
      </c>
      <c r="U2433">
        <v>-2.6293950000000001</v>
      </c>
      <c r="V2433">
        <v>-0.2119453</v>
      </c>
      <c r="W2433">
        <v>4.7189170000000003E-2</v>
      </c>
      <c r="X2433">
        <v>0.97614159999999905</v>
      </c>
      <c r="Y2433">
        <v>-0.39821190000000001</v>
      </c>
      <c r="Z2433">
        <v>5.8145769999999999E-2</v>
      </c>
      <c r="AA2433">
        <v>0.915448699999999</v>
      </c>
      <c r="AB2433">
        <v>40</v>
      </c>
      <c r="AC2433">
        <v>9.5499000000000294</v>
      </c>
      <c r="AD2433">
        <v>-1.05793899</v>
      </c>
      <c r="AE2433">
        <v>-15.4719999999999</v>
      </c>
      <c r="AF2433">
        <v>-7.3582295158042603</v>
      </c>
      <c r="AG2433">
        <v>-1.05793899</v>
      </c>
      <c r="AH2433">
        <v>16.559368328960399</v>
      </c>
      <c r="AI2433">
        <v>93.341318791495397</v>
      </c>
      <c r="AJ2433">
        <v>113.95818452554199</v>
      </c>
      <c r="AK2433">
        <v>18.151458783469501</v>
      </c>
    </row>
    <row r="2434" spans="1:37" x14ac:dyDescent="0.2">
      <c r="A2434" t="str">
        <f>"20200111153443186"</f>
        <v>20200111153443186</v>
      </c>
      <c r="B2434" t="str">
        <f>"1578728083178325"</f>
        <v>1578728083178325</v>
      </c>
      <c r="C2434" t="s">
        <v>37</v>
      </c>
      <c r="D2434">
        <v>4.5765839999999898</v>
      </c>
      <c r="E2434">
        <v>0.42038149999999902</v>
      </c>
      <c r="F2434" t="s">
        <v>50</v>
      </c>
      <c r="G2434">
        <v>-479.93189999999998</v>
      </c>
      <c r="H2434">
        <v>6.5722210000000003E-2</v>
      </c>
      <c r="I2434">
        <v>223.27</v>
      </c>
      <c r="J2434">
        <v>-489.46300000000002</v>
      </c>
      <c r="K2434">
        <v>1.1098600000000001</v>
      </c>
      <c r="L2434">
        <v>238.5403</v>
      </c>
      <c r="M2434">
        <v>0.13874800000000001</v>
      </c>
      <c r="N2434">
        <v>0</v>
      </c>
      <c r="O2434">
        <v>-0.99032209999999998</v>
      </c>
      <c r="P2434">
        <v>0.3448427</v>
      </c>
      <c r="Q2434">
        <v>4.7684749999999998E-2</v>
      </c>
      <c r="R2434">
        <v>-0.93744859999999897</v>
      </c>
      <c r="S2434">
        <v>1.6140139999999901</v>
      </c>
      <c r="T2434">
        <v>-0.17611599999999999</v>
      </c>
      <c r="U2434">
        <v>-2.61830099999999</v>
      </c>
      <c r="V2434">
        <v>-0.21223729999999999</v>
      </c>
      <c r="W2434">
        <v>4.7546400000000003E-2</v>
      </c>
      <c r="X2434">
        <v>0.97606079999999995</v>
      </c>
      <c r="Y2434">
        <v>-0.40066819999999997</v>
      </c>
      <c r="Z2434">
        <v>5.8273100000000001E-2</v>
      </c>
      <c r="AA2434">
        <v>0.91436819999999897</v>
      </c>
      <c r="AB2434">
        <v>40</v>
      </c>
      <c r="AC2434">
        <v>9.5311000000000305</v>
      </c>
      <c r="AD2434">
        <v>-1.04413779</v>
      </c>
      <c r="AE2434">
        <v>-15.270299999999899</v>
      </c>
      <c r="AF2434">
        <v>-7.2956289608671296</v>
      </c>
      <c r="AG2434">
        <v>-1.04413779</v>
      </c>
      <c r="AH2434">
        <v>16.389882104026299</v>
      </c>
      <c r="AI2434">
        <v>93.3308958218838</v>
      </c>
      <c r="AJ2434">
        <v>113.995283143506</v>
      </c>
      <c r="AK2434">
        <v>17.970661118696501</v>
      </c>
    </row>
    <row r="2435" spans="1:37" x14ac:dyDescent="0.2">
      <c r="A2435" t="str">
        <f>"20200111153443198"</f>
        <v>20200111153443198</v>
      </c>
      <c r="B2435" t="str">
        <f>"1578728083188088"</f>
        <v>1578728083188088</v>
      </c>
      <c r="C2435" t="s">
        <v>37</v>
      </c>
      <c r="D2435">
        <v>4.5491000000000001</v>
      </c>
      <c r="E2435">
        <v>0.4203134</v>
      </c>
      <c r="F2435" t="s">
        <v>40</v>
      </c>
      <c r="G2435">
        <v>-488.90609999999998</v>
      </c>
      <c r="H2435">
        <v>1.0496319999999999</v>
      </c>
      <c r="I2435">
        <v>237.64619999999999</v>
      </c>
      <c r="J2435">
        <v>-489.42869999999999</v>
      </c>
      <c r="K2435">
        <v>1.1100000000000001</v>
      </c>
      <c r="L2435">
        <v>238.3108</v>
      </c>
      <c r="M2435">
        <v>0.1427416</v>
      </c>
      <c r="N2435">
        <v>0</v>
      </c>
      <c r="O2435">
        <v>-0.98975429999999998</v>
      </c>
      <c r="P2435">
        <v>0.348997</v>
      </c>
      <c r="Q2435">
        <v>4.802008E-2</v>
      </c>
      <c r="R2435">
        <v>-0.93589290000000003</v>
      </c>
      <c r="S2435">
        <v>1.62616</v>
      </c>
      <c r="T2435">
        <v>-0.17585729999999999</v>
      </c>
      <c r="U2435">
        <v>-2.610916</v>
      </c>
      <c r="V2435">
        <v>-0.2126538</v>
      </c>
      <c r="W2435">
        <v>4.7820750000000002E-2</v>
      </c>
      <c r="X2435">
        <v>0.97595669999999901</v>
      </c>
      <c r="Y2435">
        <v>-0.40120139999999999</v>
      </c>
      <c r="Z2435">
        <v>5.8203360000000003E-2</v>
      </c>
      <c r="AA2435">
        <v>0.91413889999999998</v>
      </c>
      <c r="AB2435">
        <v>40</v>
      </c>
      <c r="AC2435">
        <v>0.52260000000001094</v>
      </c>
      <c r="AD2435">
        <v>-6.0368000000000199E-2</v>
      </c>
      <c r="AE2435">
        <v>-0.66460000000000696</v>
      </c>
      <c r="AF2435">
        <v>-0.42023939536272498</v>
      </c>
      <c r="AG2435">
        <v>-6.0368000000000199E-2</v>
      </c>
      <c r="AH2435">
        <v>0.72867656922081703</v>
      </c>
      <c r="AI2435">
        <v>94.104880888008793</v>
      </c>
      <c r="AJ2435">
        <v>119.972734388394</v>
      </c>
      <c r="AK2435">
        <v>0.84333563150755697</v>
      </c>
    </row>
    <row r="2436" spans="1:37" x14ac:dyDescent="0.2">
      <c r="A2436" t="str">
        <f>"20200111153443220"</f>
        <v>20200111153443220</v>
      </c>
      <c r="B2436" t="str">
        <f>"1578728083208580"</f>
        <v>1578728083208580</v>
      </c>
      <c r="C2436" t="s">
        <v>37</v>
      </c>
      <c r="D2436">
        <v>4.590503</v>
      </c>
      <c r="E2436">
        <v>0.42021629999999899</v>
      </c>
      <c r="F2436" t="s">
        <v>50</v>
      </c>
      <c r="G2436">
        <v>-479.80759999999998</v>
      </c>
      <c r="H2436">
        <v>8.0000650000000006E-2</v>
      </c>
      <c r="I2436">
        <v>223.01949999999999</v>
      </c>
      <c r="J2436">
        <v>-489.37139999999999</v>
      </c>
      <c r="K2436">
        <v>1.110214</v>
      </c>
      <c r="L2436">
        <v>237.94329999999999</v>
      </c>
      <c r="M2436">
        <v>0.1492822</v>
      </c>
      <c r="N2436">
        <v>0</v>
      </c>
      <c r="O2436">
        <v>-0.98878869999999897</v>
      </c>
      <c r="P2436">
        <v>0.35591859999999997</v>
      </c>
      <c r="Q2436">
        <v>4.8684690000000003E-2</v>
      </c>
      <c r="R2436">
        <v>-0.93324799999999997</v>
      </c>
      <c r="S2436">
        <v>1.6381840000000001</v>
      </c>
      <c r="T2436">
        <v>-0.17537720000000001</v>
      </c>
      <c r="U2436">
        <v>-2.6036380000000001</v>
      </c>
      <c r="V2436">
        <v>-0.21347159999999901</v>
      </c>
      <c r="W2436">
        <v>4.8388960000000002E-2</v>
      </c>
      <c r="X2436">
        <v>0.97575009999999995</v>
      </c>
      <c r="Y2436">
        <v>-0.3993276</v>
      </c>
      <c r="Z2436">
        <v>5.8055099999999901E-2</v>
      </c>
      <c r="AA2436">
        <v>0.91496840000000002</v>
      </c>
      <c r="AB2436">
        <v>40</v>
      </c>
      <c r="AC2436">
        <v>9.5638000000000094</v>
      </c>
      <c r="AD2436">
        <v>-1.0302133499999999</v>
      </c>
      <c r="AE2436">
        <v>-14.9238</v>
      </c>
      <c r="AF2436">
        <v>-7.2044250918385497</v>
      </c>
      <c r="AG2436">
        <v>-1.0302133499999999</v>
      </c>
      <c r="AH2436">
        <v>16.129797408804102</v>
      </c>
      <c r="AI2436">
        <v>93.337561898992604</v>
      </c>
      <c r="AJ2436">
        <v>114.06807846285599</v>
      </c>
      <c r="AK2436">
        <v>17.6956334981117</v>
      </c>
    </row>
    <row r="2437" spans="1:37" x14ac:dyDescent="0.2">
      <c r="A2437" t="str">
        <f>"20200111153443239"</f>
        <v>20200111153443239</v>
      </c>
      <c r="B2437" t="str">
        <f>"1578728083228104"</f>
        <v>1578728083228104</v>
      </c>
      <c r="C2437" t="s">
        <v>37</v>
      </c>
      <c r="D2437">
        <v>4.5952710000000003</v>
      </c>
      <c r="E2437">
        <v>0.42011589999999999</v>
      </c>
      <c r="F2437" t="s">
        <v>40</v>
      </c>
      <c r="G2437">
        <v>-488.74369999999999</v>
      </c>
      <c r="H2437">
        <v>1.0440579999999999</v>
      </c>
      <c r="I2437">
        <v>236.9616</v>
      </c>
      <c r="J2437">
        <v>-489.31310000000002</v>
      </c>
      <c r="K2437">
        <v>1.110417</v>
      </c>
      <c r="L2437">
        <v>237.5847</v>
      </c>
      <c r="M2437">
        <v>0.1557905</v>
      </c>
      <c r="N2437">
        <v>0</v>
      </c>
      <c r="O2437">
        <v>-0.98778410000000005</v>
      </c>
      <c r="P2437">
        <v>0.36298849999999999</v>
      </c>
      <c r="Q2437">
        <v>4.9335820000000002E-2</v>
      </c>
      <c r="R2437">
        <v>-0.93048649999999999</v>
      </c>
      <c r="S2437">
        <v>1.65786699999999</v>
      </c>
      <c r="T2437">
        <v>-0.17462</v>
      </c>
      <c r="U2437">
        <v>-2.591415</v>
      </c>
      <c r="V2437">
        <v>-0.21448929999999999</v>
      </c>
      <c r="W2437">
        <v>4.8944759999999997E-2</v>
      </c>
      <c r="X2437">
        <v>0.97549929999999996</v>
      </c>
      <c r="Y2437">
        <v>-0.4001903</v>
      </c>
      <c r="Z2437">
        <v>5.7825429999999997E-2</v>
      </c>
      <c r="AA2437">
        <v>0.91460589999999997</v>
      </c>
      <c r="AB2437">
        <v>41</v>
      </c>
      <c r="AC2437">
        <v>0.56940000000002999</v>
      </c>
      <c r="AD2437">
        <v>-6.6359000000000001E-2</v>
      </c>
      <c r="AE2437">
        <v>-0.62309999999999299</v>
      </c>
      <c r="AF2437">
        <v>-0.46251533459176503</v>
      </c>
      <c r="AG2437">
        <v>-6.6359000000000001E-2</v>
      </c>
      <c r="AH2437">
        <v>0.69987390535466298</v>
      </c>
      <c r="AI2437">
        <v>94.522845492258398</v>
      </c>
      <c r="AJ2437">
        <v>123.45893080074001</v>
      </c>
      <c r="AK2437">
        <v>0.84151496422221805</v>
      </c>
    </row>
    <row r="2438" spans="1:37" x14ac:dyDescent="0.2">
      <c r="A2438" t="str">
        <f>"20200111153443255"</f>
        <v>20200111153443255</v>
      </c>
      <c r="B2438" t="str">
        <f>"1578728083248598"</f>
        <v>1578728083248598</v>
      </c>
      <c r="C2438" t="s">
        <v>37</v>
      </c>
      <c r="D2438">
        <v>4.6330200000000001</v>
      </c>
      <c r="E2438">
        <v>0.42002259999999902</v>
      </c>
      <c r="F2438" t="s">
        <v>40</v>
      </c>
      <c r="G2438">
        <v>-488.67770000000002</v>
      </c>
      <c r="H2438">
        <v>1.044513</v>
      </c>
      <c r="I2438">
        <v>236.608</v>
      </c>
      <c r="J2438">
        <v>-489.26479999999998</v>
      </c>
      <c r="K2438">
        <v>1.110563</v>
      </c>
      <c r="L2438">
        <v>237.29939999999999</v>
      </c>
      <c r="M2438">
        <v>0.16104859999999999</v>
      </c>
      <c r="N2438">
        <v>0</v>
      </c>
      <c r="O2438">
        <v>-0.98694029999999999</v>
      </c>
      <c r="P2438">
        <v>0.36825920000000001</v>
      </c>
      <c r="Q2438">
        <v>4.9891339999999999E-2</v>
      </c>
      <c r="R2438">
        <v>-0.92838359999999998</v>
      </c>
      <c r="S2438">
        <v>1.678223</v>
      </c>
      <c r="T2438">
        <v>-0.1739677</v>
      </c>
      <c r="U2438">
        <v>-2.5786289999999998</v>
      </c>
      <c r="V2438">
        <v>-0.21485940000000001</v>
      </c>
      <c r="W2438">
        <v>4.943674E-2</v>
      </c>
      <c r="X2438">
        <v>0.97539299999999995</v>
      </c>
      <c r="Y2438">
        <v>-0.4024625</v>
      </c>
      <c r="Z2438">
        <v>5.7630920000000002E-2</v>
      </c>
      <c r="AA2438">
        <v>0.9136206</v>
      </c>
      <c r="AB2438">
        <v>41</v>
      </c>
      <c r="AC2438">
        <v>0.58709999999996398</v>
      </c>
      <c r="AD2438">
        <v>-6.60499999999999E-2</v>
      </c>
      <c r="AE2438">
        <v>-0.69139999999998702</v>
      </c>
      <c r="AF2438">
        <v>-0.46561749266366997</v>
      </c>
      <c r="AG2438">
        <v>-6.60499999999999E-2</v>
      </c>
      <c r="AH2438">
        <v>0.77282884794457096</v>
      </c>
      <c r="AI2438">
        <v>94.186895812614495</v>
      </c>
      <c r="AJ2438">
        <v>121.068316862513</v>
      </c>
      <c r="AK2438">
        <v>0.90466937617548204</v>
      </c>
    </row>
    <row r="2439" spans="1:37" x14ac:dyDescent="0.2">
      <c r="A2439" t="str">
        <f>"20200111153443273"</f>
        <v>20200111153443273</v>
      </c>
      <c r="B2439" t="str">
        <f>"1578728083268117"</f>
        <v>1578728083268117</v>
      </c>
      <c r="C2439" t="s">
        <v>37</v>
      </c>
      <c r="D2439">
        <v>4.5987109999999998</v>
      </c>
      <c r="E2439">
        <v>0.41996270000000002</v>
      </c>
      <c r="F2439" t="s">
        <v>50</v>
      </c>
      <c r="G2439">
        <v>-479.19310000000002</v>
      </c>
      <c r="H2439">
        <v>8.0000559999999998E-2</v>
      </c>
      <c r="I2439">
        <v>222.01650000000001</v>
      </c>
      <c r="J2439">
        <v>-489.2097</v>
      </c>
      <c r="K2439">
        <v>1.1107149999999999</v>
      </c>
      <c r="L2439">
        <v>236.9837</v>
      </c>
      <c r="M2439">
        <v>0.166930299999999</v>
      </c>
      <c r="N2439">
        <v>0</v>
      </c>
      <c r="O2439">
        <v>-0.98596269999999997</v>
      </c>
      <c r="P2439">
        <v>0.37513150000000001</v>
      </c>
      <c r="Q2439">
        <v>5.0804729999999999E-2</v>
      </c>
      <c r="R2439">
        <v>-0.92557839999999902</v>
      </c>
      <c r="S2439">
        <v>1.6931149999999999</v>
      </c>
      <c r="T2439">
        <v>-0.17324419999999999</v>
      </c>
      <c r="U2439">
        <v>-2.569153</v>
      </c>
      <c r="V2439">
        <v>-0.2163186</v>
      </c>
      <c r="W2439">
        <v>5.026303E-2</v>
      </c>
      <c r="X2439">
        <v>0.97502819999999901</v>
      </c>
      <c r="Y2439">
        <v>-0.40225459999999902</v>
      </c>
      <c r="Z2439">
        <v>5.7401250000000001E-2</v>
      </c>
      <c r="AA2439">
        <v>0.91372659999999895</v>
      </c>
      <c r="AB2439">
        <v>41</v>
      </c>
      <c r="AC2439">
        <v>10.016599999999899</v>
      </c>
      <c r="AD2439">
        <v>-1.0307144399999999</v>
      </c>
      <c r="AE2439">
        <v>-14.967199999999901</v>
      </c>
      <c r="AF2439">
        <v>-7.3534729012459596</v>
      </c>
      <c r="AG2439">
        <v>-1.0307144399999999</v>
      </c>
      <c r="AH2439">
        <v>16.375635463698899</v>
      </c>
      <c r="AI2439">
        <v>93.286230670792193</v>
      </c>
      <c r="AJ2439">
        <v>114.18244630912901</v>
      </c>
      <c r="AK2439">
        <v>17.9804719850769</v>
      </c>
    </row>
    <row r="2440" spans="1:37" x14ac:dyDescent="0.2">
      <c r="A2440" t="str">
        <f>"20200111153443298"</f>
        <v>20200111153443298</v>
      </c>
      <c r="B2440" t="str">
        <f>"1578728083288613"</f>
        <v>1578728083288613</v>
      </c>
      <c r="C2440" t="s">
        <v>37</v>
      </c>
      <c r="D2440">
        <v>4.6328860000000001</v>
      </c>
      <c r="E2440">
        <v>0.4199483</v>
      </c>
      <c r="F2440" t="s">
        <v>50</v>
      </c>
      <c r="G2440">
        <v>-478.95080000000002</v>
      </c>
      <c r="H2440">
        <v>8.0000500000000002E-2</v>
      </c>
      <c r="I2440">
        <v>221.6671</v>
      </c>
      <c r="J2440">
        <v>-489.12630000000001</v>
      </c>
      <c r="K2440">
        <v>1.110927</v>
      </c>
      <c r="L2440">
        <v>236.524</v>
      </c>
      <c r="M2440">
        <v>0.17559949999999999</v>
      </c>
      <c r="N2440">
        <v>0</v>
      </c>
      <c r="O2440">
        <v>-0.98445539999999998</v>
      </c>
      <c r="P2440">
        <v>0.38457269999999999</v>
      </c>
      <c r="Q2440">
        <v>5.0908559999999999E-2</v>
      </c>
      <c r="R2440">
        <v>-0.92168989999999995</v>
      </c>
      <c r="S2440">
        <v>1.712372</v>
      </c>
      <c r="T2440">
        <v>-0.17204249999999999</v>
      </c>
      <c r="U2440">
        <v>-2.5565950000000002</v>
      </c>
      <c r="V2440">
        <v>-0.21773600000000001</v>
      </c>
      <c r="W2440">
        <v>5.025636E-2</v>
      </c>
      <c r="X2440">
        <v>0.97471299999999905</v>
      </c>
      <c r="Y2440">
        <v>-0.4010399</v>
      </c>
      <c r="Z2440">
        <v>5.7011599999999898E-2</v>
      </c>
      <c r="AA2440">
        <v>0.91428480000000001</v>
      </c>
      <c r="AB2440">
        <v>41</v>
      </c>
      <c r="AC2440">
        <v>10.1755</v>
      </c>
      <c r="AD2440">
        <v>-1.0309265000000001</v>
      </c>
      <c r="AE2440">
        <v>-14.8568999999999</v>
      </c>
      <c r="AF2440">
        <v>-7.3843050546173599</v>
      </c>
      <c r="AG2440">
        <v>-1.0309265000000001</v>
      </c>
      <c r="AH2440">
        <v>16.359251285238098</v>
      </c>
      <c r="AI2440">
        <v>93.287322354749406</v>
      </c>
      <c r="AJ2440">
        <v>114.293657150032</v>
      </c>
      <c r="AK2440">
        <v>17.978205505600702</v>
      </c>
    </row>
    <row r="2441" spans="1:37" x14ac:dyDescent="0.2">
      <c r="A2441" t="str">
        <f>"20200111153443318"</f>
        <v>20200111153443318</v>
      </c>
      <c r="B2441" t="str">
        <f>"1578728083308132"</f>
        <v>1578728083308132</v>
      </c>
      <c r="C2441" t="s">
        <v>37</v>
      </c>
      <c r="D2441">
        <v>4.6248309999999897</v>
      </c>
      <c r="E2441">
        <v>0.41996469999999902</v>
      </c>
      <c r="F2441" t="s">
        <v>50</v>
      </c>
      <c r="G2441">
        <v>-478.76690000000002</v>
      </c>
      <c r="H2441">
        <v>8.0000459999999995E-2</v>
      </c>
      <c r="I2441">
        <v>221.3972</v>
      </c>
      <c r="J2441">
        <v>-489.05779999999999</v>
      </c>
      <c r="K2441">
        <v>1.1110819999999999</v>
      </c>
      <c r="L2441">
        <v>236.16299999999899</v>
      </c>
      <c r="M2441">
        <v>0.18249840000000001</v>
      </c>
      <c r="N2441">
        <v>0</v>
      </c>
      <c r="O2441">
        <v>-0.98319990000000002</v>
      </c>
      <c r="P2441">
        <v>0.39130290000000001</v>
      </c>
      <c r="Q2441">
        <v>5.1029390000000001E-2</v>
      </c>
      <c r="R2441">
        <v>-0.91884619999999995</v>
      </c>
      <c r="S2441">
        <v>1.7387699999999999</v>
      </c>
      <c r="T2441">
        <v>-0.17303470000000001</v>
      </c>
      <c r="U2441">
        <v>-2.5389249999999999</v>
      </c>
      <c r="V2441">
        <v>-0.2180542</v>
      </c>
      <c r="W2441">
        <v>5.0308270000000002E-2</v>
      </c>
      <c r="X2441">
        <v>0.97463909999999998</v>
      </c>
      <c r="Y2441">
        <v>-0.40404299999999999</v>
      </c>
      <c r="Z2441">
        <v>5.7364499999999999E-2</v>
      </c>
      <c r="AA2441">
        <v>0.91293950000000001</v>
      </c>
      <c r="AB2441">
        <v>41</v>
      </c>
      <c r="AC2441">
        <v>10.290899999999899</v>
      </c>
      <c r="AD2441">
        <v>-1.03108154</v>
      </c>
      <c r="AE2441">
        <v>-14.765799999999899</v>
      </c>
      <c r="AF2441">
        <v>-7.3990392667872698</v>
      </c>
      <c r="AG2441">
        <v>-1.03108154</v>
      </c>
      <c r="AH2441">
        <v>16.342271993476</v>
      </c>
      <c r="AI2441">
        <v>93.289535070692594</v>
      </c>
      <c r="AJ2441">
        <v>114.35886026113199</v>
      </c>
      <c r="AK2441">
        <v>17.9688275945411</v>
      </c>
    </row>
    <row r="2442" spans="1:37" x14ac:dyDescent="0.2">
      <c r="A2442" t="str">
        <f>"20200111153443341"</f>
        <v>20200111153443341</v>
      </c>
      <c r="B2442" t="str">
        <f>"1578728083338389"</f>
        <v>1578728083338389</v>
      </c>
      <c r="C2442" t="s">
        <v>37</v>
      </c>
      <c r="D2442">
        <v>4.5835080000000001</v>
      </c>
      <c r="E2442">
        <v>0.41993389999999903</v>
      </c>
      <c r="F2442" t="s">
        <v>50</v>
      </c>
      <c r="G2442">
        <v>-478.611999999999</v>
      </c>
      <c r="H2442">
        <v>8.0000420000000003E-2</v>
      </c>
      <c r="I2442">
        <v>221.14400000000001</v>
      </c>
      <c r="J2442">
        <v>-488.98059999999998</v>
      </c>
      <c r="K2442">
        <v>1.111243</v>
      </c>
      <c r="L2442">
        <v>235.77250000000001</v>
      </c>
      <c r="M2442">
        <v>0.19004299999999999</v>
      </c>
      <c r="N2442">
        <v>0</v>
      </c>
      <c r="O2442">
        <v>-0.98176929999999996</v>
      </c>
      <c r="P2442">
        <v>0.39898440000000002</v>
      </c>
      <c r="Q2442">
        <v>5.1444589999999998E-2</v>
      </c>
      <c r="R2442">
        <v>-0.91551369999999899</v>
      </c>
      <c r="S2442">
        <v>1.75705</v>
      </c>
      <c r="T2442">
        <v>-0.1734337</v>
      </c>
      <c r="U2442">
        <v>-2.5262910000000001</v>
      </c>
      <c r="V2442">
        <v>-0.21876660000000001</v>
      </c>
      <c r="W2442">
        <v>5.0644960000000003E-2</v>
      </c>
      <c r="X2442">
        <v>0.97446200000000005</v>
      </c>
      <c r="Y2442">
        <v>-0.40360869999999999</v>
      </c>
      <c r="Z2442">
        <v>5.7503350000000002E-2</v>
      </c>
      <c r="AA2442">
        <v>0.91312289999999996</v>
      </c>
      <c r="AB2442">
        <v>41</v>
      </c>
      <c r="AC2442">
        <v>10.368600000000001</v>
      </c>
      <c r="AD2442">
        <v>-1.03124258</v>
      </c>
      <c r="AE2442">
        <v>-14.628500000000001</v>
      </c>
      <c r="AF2442">
        <v>-7.3751804879157099</v>
      </c>
      <c r="AG2442">
        <v>-1.03124258</v>
      </c>
      <c r="AH2442">
        <v>16.278549544385399</v>
      </c>
      <c r="AI2442">
        <v>93.302518387903504</v>
      </c>
      <c r="AJ2442">
        <v>114.373439557179</v>
      </c>
      <c r="AK2442">
        <v>17.901059291481801</v>
      </c>
    </row>
    <row r="2443" spans="1:37" x14ac:dyDescent="0.2">
      <c r="A2443" t="str">
        <f>"20200111153443363"</f>
        <v>20200111153443363</v>
      </c>
      <c r="B2443" t="str">
        <f>"1578728083358885"</f>
        <v>1578728083358885</v>
      </c>
      <c r="C2443" t="s">
        <v>37</v>
      </c>
      <c r="D2443">
        <v>4.6084259999999997</v>
      </c>
      <c r="E2443">
        <v>0.41990539999999998</v>
      </c>
      <c r="F2443" t="s">
        <v>40</v>
      </c>
      <c r="G2443">
        <v>-488.31130000000002</v>
      </c>
      <c r="H2443">
        <v>1.045914</v>
      </c>
      <c r="I2443">
        <v>234.82749999999999</v>
      </c>
      <c r="J2443">
        <v>-488.89350000000002</v>
      </c>
      <c r="K2443">
        <v>1.1114200000000001</v>
      </c>
      <c r="L2443">
        <v>235.3501</v>
      </c>
      <c r="M2443">
        <v>0.19829040000000001</v>
      </c>
      <c r="N2443">
        <v>0</v>
      </c>
      <c r="O2443">
        <v>-0.98013669999999997</v>
      </c>
      <c r="P2443">
        <v>0.4076265</v>
      </c>
      <c r="Q2443">
        <v>5.177383E-2</v>
      </c>
      <c r="R2443">
        <v>-0.91167989999999999</v>
      </c>
      <c r="S2443">
        <v>1.778931</v>
      </c>
      <c r="T2443">
        <v>-0.17360780000000001</v>
      </c>
      <c r="U2443">
        <v>-2.51135299999999</v>
      </c>
      <c r="V2443">
        <v>-0.2198251</v>
      </c>
      <c r="W2443">
        <v>5.088546E-2</v>
      </c>
      <c r="X2443">
        <v>0.9742113</v>
      </c>
      <c r="Y2443">
        <v>-0.40377770000000002</v>
      </c>
      <c r="Z2443">
        <v>5.7561769999999998E-2</v>
      </c>
      <c r="AA2443">
        <v>0.91304449999999904</v>
      </c>
      <c r="AB2443">
        <v>41</v>
      </c>
      <c r="AC2443">
        <v>0.58220000000000005</v>
      </c>
      <c r="AD2443">
        <v>-6.5505999999999995E-2</v>
      </c>
      <c r="AE2443">
        <v>-0.52260000000001094</v>
      </c>
      <c r="AF2443">
        <v>-0.46376075357944502</v>
      </c>
      <c r="AG2443">
        <v>-6.5505999999999995E-2</v>
      </c>
      <c r="AH2443">
        <v>0.62329840755817101</v>
      </c>
      <c r="AI2443">
        <v>94.819612070394498</v>
      </c>
      <c r="AJ2443">
        <v>126.65082955726599</v>
      </c>
      <c r="AK2443">
        <v>0.77965760270847595</v>
      </c>
    </row>
    <row r="2444" spans="1:37" x14ac:dyDescent="0.2">
      <c r="A2444" t="str">
        <f>"20200111153443386"</f>
        <v>20200111153443386</v>
      </c>
      <c r="B2444" t="str">
        <f>"1578728083378405"</f>
        <v>1578728083378405</v>
      </c>
      <c r="C2444" t="s">
        <v>37</v>
      </c>
      <c r="D2444">
        <v>4.643116</v>
      </c>
      <c r="E2444">
        <v>0.4199309</v>
      </c>
      <c r="F2444" t="s">
        <v>40</v>
      </c>
      <c r="G2444">
        <v>-488.25069999999999</v>
      </c>
      <c r="H2444">
        <v>1.0492509999999999</v>
      </c>
      <c r="I2444">
        <v>234.46019999999999</v>
      </c>
      <c r="J2444">
        <v>-488.80720000000002</v>
      </c>
      <c r="K2444">
        <v>1.111578</v>
      </c>
      <c r="L2444">
        <v>234.9477</v>
      </c>
      <c r="M2444">
        <v>0.20621100000000001</v>
      </c>
      <c r="N2444">
        <v>0</v>
      </c>
      <c r="O2444">
        <v>-0.9785007</v>
      </c>
      <c r="P2444">
        <v>0.41627649999999999</v>
      </c>
      <c r="Q2444">
        <v>5.1669109999999997E-2</v>
      </c>
      <c r="R2444">
        <v>-0.90776849999999998</v>
      </c>
      <c r="S2444">
        <v>1.802338</v>
      </c>
      <c r="T2444">
        <v>-0.17426810000000001</v>
      </c>
      <c r="U2444">
        <v>-2.494675</v>
      </c>
      <c r="V2444">
        <v>-0.22122719999999901</v>
      </c>
      <c r="W2444">
        <v>5.069067E-2</v>
      </c>
      <c r="X2444">
        <v>0.97390399999999999</v>
      </c>
      <c r="Y2444">
        <v>-0.40489969999999997</v>
      </c>
      <c r="Z2444">
        <v>5.7788699999999901E-2</v>
      </c>
      <c r="AA2444">
        <v>0.91253320000000004</v>
      </c>
      <c r="AB2444">
        <v>42</v>
      </c>
      <c r="AC2444">
        <v>0.55650000000002797</v>
      </c>
      <c r="AD2444">
        <v>-6.2327E-2</v>
      </c>
      <c r="AE2444">
        <v>-0.48750000000001098</v>
      </c>
      <c r="AF2444">
        <v>-0.44088171641275198</v>
      </c>
      <c r="AG2444">
        <v>-6.2327E-2</v>
      </c>
      <c r="AH2444">
        <v>0.58760908542119705</v>
      </c>
      <c r="AI2444">
        <v>94.849527884398896</v>
      </c>
      <c r="AJ2444">
        <v>126.880810734709</v>
      </c>
      <c r="AK2444">
        <v>0.737255573099038</v>
      </c>
    </row>
    <row r="2445" spans="1:37" x14ac:dyDescent="0.2">
      <c r="A2445" t="str">
        <f>"20200111153443408"</f>
        <v>20200111153443408</v>
      </c>
      <c r="B2445" t="str">
        <f>"1578728083398900"</f>
        <v>1578728083398900</v>
      </c>
      <c r="C2445" t="s">
        <v>37</v>
      </c>
      <c r="D2445">
        <v>4.6496129999999898</v>
      </c>
      <c r="E2445">
        <v>0.41993779999999897</v>
      </c>
      <c r="F2445" t="s">
        <v>40</v>
      </c>
      <c r="G2445">
        <v>-488.17919999999998</v>
      </c>
      <c r="H2445">
        <v>1.0510930000000001</v>
      </c>
      <c r="I2445">
        <v>234.09549999999999</v>
      </c>
      <c r="J2445">
        <v>-488.7167</v>
      </c>
      <c r="K2445">
        <v>1.111729</v>
      </c>
      <c r="L2445">
        <v>234.5412</v>
      </c>
      <c r="M2445">
        <v>0.21428079999999999</v>
      </c>
      <c r="N2445">
        <v>0</v>
      </c>
      <c r="O2445">
        <v>-0.9767652</v>
      </c>
      <c r="P2445">
        <v>0.42488969999999998</v>
      </c>
      <c r="Q2445">
        <v>5.1635970000000003E-2</v>
      </c>
      <c r="R2445">
        <v>-0.90377129999999894</v>
      </c>
      <c r="S2445">
        <v>1.8257749999999999</v>
      </c>
      <c r="T2445">
        <v>-0.17584539999999901</v>
      </c>
      <c r="U2445">
        <v>-2.4775700000000001</v>
      </c>
      <c r="V2445">
        <v>-0.22246869999999999</v>
      </c>
      <c r="W2445">
        <v>5.0571629999999999E-2</v>
      </c>
      <c r="X2445">
        <v>0.97362729999999997</v>
      </c>
      <c r="Y2445">
        <v>-0.4059393</v>
      </c>
      <c r="Z2445">
        <v>5.8316069999999998E-2</v>
      </c>
      <c r="AA2445">
        <v>0.9120376</v>
      </c>
      <c r="AB2445">
        <v>42</v>
      </c>
      <c r="AC2445">
        <v>0.53750000000002196</v>
      </c>
      <c r="AD2445">
        <v>-6.06360000000001E-2</v>
      </c>
      <c r="AE2445">
        <v>-0.44570000000001597</v>
      </c>
      <c r="AF2445">
        <v>-0.42629448634779699</v>
      </c>
      <c r="AG2445">
        <v>-6.06360000000001E-2</v>
      </c>
      <c r="AH2445">
        <v>0.54640337991403098</v>
      </c>
      <c r="AI2445">
        <v>95.0003420912564</v>
      </c>
      <c r="AJ2445">
        <v>127.960740033484</v>
      </c>
      <c r="AK2445">
        <v>0.695672600558631</v>
      </c>
    </row>
    <row r="2446" spans="1:37" x14ac:dyDescent="0.2">
      <c r="A2446" t="str">
        <f>"20200111153443433"</f>
        <v>20200111153443433</v>
      </c>
      <c r="B2446" t="str">
        <f>"1578728083428181"</f>
        <v>1578728083428181</v>
      </c>
      <c r="C2446" t="s">
        <v>37</v>
      </c>
      <c r="D2446">
        <v>4.6449819999999997</v>
      </c>
      <c r="E2446">
        <v>0.41988969999999998</v>
      </c>
      <c r="F2446" t="s">
        <v>40</v>
      </c>
      <c r="G2446">
        <v>-488.09589999999997</v>
      </c>
      <c r="H2446">
        <v>1.052279</v>
      </c>
      <c r="I2446">
        <v>233.715</v>
      </c>
      <c r="J2446">
        <v>-488.61579999999998</v>
      </c>
      <c r="K2446">
        <v>1.1118950000000001</v>
      </c>
      <c r="L2446">
        <v>234.10579999999999</v>
      </c>
      <c r="M2446">
        <v>0.22300889999999901</v>
      </c>
      <c r="N2446">
        <v>0</v>
      </c>
      <c r="O2446">
        <v>-0.974809499999999</v>
      </c>
      <c r="P2446">
        <v>0.43380489999999999</v>
      </c>
      <c r="Q2446">
        <v>5.1884630000000001E-2</v>
      </c>
      <c r="R2446">
        <v>-0.89951179999999997</v>
      </c>
      <c r="S2446">
        <v>1.8494569999999999</v>
      </c>
      <c r="T2446">
        <v>-0.17699429999999999</v>
      </c>
      <c r="U2446">
        <v>-2.460083</v>
      </c>
      <c r="V2446">
        <v>-0.22341749999999999</v>
      </c>
      <c r="W2446">
        <v>5.0737339999999999E-2</v>
      </c>
      <c r="X2446">
        <v>0.97340139999999997</v>
      </c>
      <c r="Y2446">
        <v>-0.40647759999999999</v>
      </c>
      <c r="Z2446">
        <v>5.8692010000000003E-2</v>
      </c>
      <c r="AA2446">
        <v>0.91177359999999896</v>
      </c>
      <c r="AB2446">
        <v>42</v>
      </c>
      <c r="AC2446">
        <v>0.51990000000000602</v>
      </c>
      <c r="AD2446">
        <v>-5.9615999999999801E-2</v>
      </c>
      <c r="AE2446">
        <v>-0.39079999999998399</v>
      </c>
      <c r="AF2446">
        <v>-0.41615799723639801</v>
      </c>
      <c r="AG2446">
        <v>-5.9615999999999801E-2</v>
      </c>
      <c r="AH2446">
        <v>0.49276122347221402</v>
      </c>
      <c r="AI2446">
        <v>95.280876303267405</v>
      </c>
      <c r="AJ2446">
        <v>130.18252700966701</v>
      </c>
      <c r="AK2446">
        <v>0.64773078472282197</v>
      </c>
    </row>
    <row r="2447" spans="1:37" x14ac:dyDescent="0.2">
      <c r="A2447" t="str">
        <f>"20200111153443452"</f>
        <v>20200111153443452</v>
      </c>
      <c r="B2447" t="str">
        <f>"1578728083448677"</f>
        <v>1578728083448677</v>
      </c>
      <c r="C2447" t="s">
        <v>37</v>
      </c>
      <c r="D2447">
        <v>4.586392</v>
      </c>
      <c r="E2447">
        <v>0.41985099999999997</v>
      </c>
      <c r="F2447" t="s">
        <v>50</v>
      </c>
      <c r="G2447">
        <v>-477.72730000000001</v>
      </c>
      <c r="H2447">
        <v>8.0000180000000004E-2</v>
      </c>
      <c r="I2447">
        <v>219.9213</v>
      </c>
      <c r="J2447">
        <v>-488.52870000000001</v>
      </c>
      <c r="K2447">
        <v>1.112039</v>
      </c>
      <c r="L2447">
        <v>233.7431</v>
      </c>
      <c r="M2447">
        <v>0.2303597</v>
      </c>
      <c r="N2447">
        <v>0</v>
      </c>
      <c r="O2447">
        <v>-0.97309840000000003</v>
      </c>
      <c r="P2447">
        <v>0.44268970000000002</v>
      </c>
      <c r="Q2447">
        <v>5.2534320000000002E-2</v>
      </c>
      <c r="R2447">
        <v>-0.8951344</v>
      </c>
      <c r="S2447">
        <v>1.874207</v>
      </c>
      <c r="T2447">
        <v>-0.17761640000000001</v>
      </c>
      <c r="U2447">
        <v>-2.4415279999999999</v>
      </c>
      <c r="V2447">
        <v>-0.2257509</v>
      </c>
      <c r="W2447">
        <v>5.1282620000000001E-2</v>
      </c>
      <c r="X2447">
        <v>0.97283430000000004</v>
      </c>
      <c r="Y2447">
        <v>-0.40873880000000001</v>
      </c>
      <c r="Z2447">
        <v>5.8902759999999998E-2</v>
      </c>
      <c r="AA2447">
        <v>0.91074869999999997</v>
      </c>
      <c r="AB2447">
        <v>42</v>
      </c>
      <c r="AC2447">
        <v>10.801399999999999</v>
      </c>
      <c r="AD2447">
        <v>-1.0320388199999999</v>
      </c>
      <c r="AE2447">
        <v>-13.8217999999999</v>
      </c>
      <c r="AF2447">
        <v>-7.30161678238834</v>
      </c>
      <c r="AG2447">
        <v>-1.0320388199999999</v>
      </c>
      <c r="AH2447">
        <v>15.883311701943599</v>
      </c>
      <c r="AI2447">
        <v>93.378648609750698</v>
      </c>
      <c r="AJ2447">
        <v>114.688415698993</v>
      </c>
      <c r="AK2447">
        <v>17.5116618966887</v>
      </c>
    </row>
    <row r="2448" spans="1:37" x14ac:dyDescent="0.2">
      <c r="A2448" t="str">
        <f>"20200111153443476"</f>
        <v>20200111153443476</v>
      </c>
      <c r="B2448" t="str">
        <f>"1578728083468198"</f>
        <v>1578728083468198</v>
      </c>
      <c r="C2448" t="s">
        <v>37</v>
      </c>
      <c r="D2448">
        <v>4.6225620000000003</v>
      </c>
      <c r="E2448">
        <v>0.41987150000000001</v>
      </c>
      <c r="F2448" t="s">
        <v>50</v>
      </c>
      <c r="G2448">
        <v>-476.58479999999997</v>
      </c>
      <c r="H2448" s="1">
        <v>3.208214E-6</v>
      </c>
      <c r="I2448">
        <v>218.50219999999999</v>
      </c>
      <c r="J2448">
        <v>-488.4221</v>
      </c>
      <c r="K2448">
        <v>1.11222</v>
      </c>
      <c r="L2448">
        <v>233.31450000000001</v>
      </c>
      <c r="M2448">
        <v>0.23914850000000001</v>
      </c>
      <c r="N2448">
        <v>0</v>
      </c>
      <c r="O2448">
        <v>-0.97097559999999905</v>
      </c>
      <c r="P2448">
        <v>0.45202929999999902</v>
      </c>
      <c r="Q2448">
        <v>5.2116889999999999E-2</v>
      </c>
      <c r="R2448">
        <v>-0.89047940000000003</v>
      </c>
      <c r="S2448">
        <v>1.898712</v>
      </c>
      <c r="T2448">
        <v>-0.17677970000000001</v>
      </c>
      <c r="U2448">
        <v>-2.4228360000000002</v>
      </c>
      <c r="V2448">
        <v>-0.22714039999999999</v>
      </c>
      <c r="W2448">
        <v>5.0769259999999997E-2</v>
      </c>
      <c r="X2448">
        <v>0.97253780000000001</v>
      </c>
      <c r="Y2448">
        <v>-0.40961920000000002</v>
      </c>
      <c r="Z2448">
        <v>5.8614659999999999E-2</v>
      </c>
      <c r="AA2448">
        <v>0.91037159999999995</v>
      </c>
      <c r="AB2448">
        <v>42</v>
      </c>
      <c r="AC2448">
        <v>11.837300000000001</v>
      </c>
      <c r="AD2448">
        <v>-1.112216791786</v>
      </c>
      <c r="AE2448">
        <v>-14.8123</v>
      </c>
      <c r="AF2448">
        <v>-7.9241824570552604</v>
      </c>
      <c r="AG2448">
        <v>-1.112216791786</v>
      </c>
      <c r="AH2448">
        <v>17.154354928708099</v>
      </c>
      <c r="AI2448">
        <v>93.368510686130904</v>
      </c>
      <c r="AJ2448">
        <v>114.793827995304</v>
      </c>
      <c r="AK2448">
        <v>18.928855930159202</v>
      </c>
    </row>
    <row r="2449" spans="1:37" x14ac:dyDescent="0.2">
      <c r="A2449" t="str">
        <f>"20200111153443497"</f>
        <v>20200111153443497</v>
      </c>
      <c r="B2449" t="str">
        <f>"1578728083488692"</f>
        <v>1578728083488692</v>
      </c>
      <c r="C2449" t="s">
        <v>37</v>
      </c>
      <c r="D2449">
        <v>4.673381</v>
      </c>
      <c r="E2449">
        <v>0.41983469999999901</v>
      </c>
      <c r="F2449" t="s">
        <v>50</v>
      </c>
      <c r="G2449">
        <v>-476.46980000000002</v>
      </c>
      <c r="H2449" s="1">
        <v>3.2541289999999899E-6</v>
      </c>
      <c r="I2449">
        <v>218.38560000000001</v>
      </c>
      <c r="J2449">
        <v>-488.31729999999999</v>
      </c>
      <c r="K2449">
        <v>1.112403</v>
      </c>
      <c r="L2449">
        <v>232.90819999999999</v>
      </c>
      <c r="M2449">
        <v>0.2476005</v>
      </c>
      <c r="N2449">
        <v>0</v>
      </c>
      <c r="O2449">
        <v>-0.96885469999999896</v>
      </c>
      <c r="P2449">
        <v>0.46113409999999899</v>
      </c>
      <c r="Q2449">
        <v>5.2329849999999997E-2</v>
      </c>
      <c r="R2449">
        <v>-0.88578609999999902</v>
      </c>
      <c r="S2449">
        <v>1.9237979999999999</v>
      </c>
      <c r="T2449">
        <v>-0.17901700000000001</v>
      </c>
      <c r="U2449">
        <v>-2.4028930000000002</v>
      </c>
      <c r="V2449">
        <v>-0.22866719999999999</v>
      </c>
      <c r="W2449">
        <v>5.0884029999999997E-2</v>
      </c>
      <c r="X2449">
        <v>0.97217389999999904</v>
      </c>
      <c r="Y2449">
        <v>-0.41112219999999999</v>
      </c>
      <c r="Z2449">
        <v>5.9349979999999997E-2</v>
      </c>
      <c r="AA2449">
        <v>0.90964619999999996</v>
      </c>
      <c r="AB2449">
        <v>42</v>
      </c>
      <c r="AC2449">
        <v>11.847499999999901</v>
      </c>
      <c r="AD2449">
        <v>-1.112399745871</v>
      </c>
      <c r="AE2449">
        <v>-14.522599999999899</v>
      </c>
      <c r="AF2449">
        <v>-7.85508892562697</v>
      </c>
      <c r="AG2449">
        <v>-1.112399745871</v>
      </c>
      <c r="AH2449">
        <v>16.9441699394267</v>
      </c>
      <c r="AI2449">
        <v>93.408614902277094</v>
      </c>
      <c r="AJ2449">
        <v>114.871803727152</v>
      </c>
      <c r="AK2449">
        <v>18.709482893984301</v>
      </c>
    </row>
    <row r="2450" spans="1:37" x14ac:dyDescent="0.2">
      <c r="A2450" t="str">
        <f>"20200111153443520"</f>
        <v>20200111153443520</v>
      </c>
      <c r="B2450" t="str">
        <f>"1578728083508212"</f>
        <v>1578728083508212</v>
      </c>
      <c r="C2450" t="s">
        <v>37</v>
      </c>
      <c r="D2450">
        <v>4.6160759999999996</v>
      </c>
      <c r="E2450">
        <v>0.41986390000000001</v>
      </c>
      <c r="F2450" t="s">
        <v>50</v>
      </c>
      <c r="G2450">
        <v>-476.27980000000002</v>
      </c>
      <c r="H2450" s="1">
        <v>3.3298049999999998E-6</v>
      </c>
      <c r="I2450">
        <v>218.1892</v>
      </c>
      <c r="J2450">
        <v>-488.20909999999998</v>
      </c>
      <c r="K2450">
        <v>1.11259</v>
      </c>
      <c r="L2450">
        <v>232.50380000000001</v>
      </c>
      <c r="M2450">
        <v>0.25614969999999998</v>
      </c>
      <c r="N2450">
        <v>0</v>
      </c>
      <c r="O2450">
        <v>-0.96662919999999997</v>
      </c>
      <c r="P2450">
        <v>0.47022529999999901</v>
      </c>
      <c r="Q2450">
        <v>5.3002720000000003E-2</v>
      </c>
      <c r="R2450">
        <v>-0.88095330000000005</v>
      </c>
      <c r="S2450">
        <v>1.9488220000000001</v>
      </c>
      <c r="T2450">
        <v>-0.180092</v>
      </c>
      <c r="U2450">
        <v>-2.3829349999999998</v>
      </c>
      <c r="V2450">
        <v>-0.23013529999999999</v>
      </c>
      <c r="W2450">
        <v>5.1456429999999997E-2</v>
      </c>
      <c r="X2450">
        <v>0.97179729999999998</v>
      </c>
      <c r="Y2450">
        <v>-0.41251700000000002</v>
      </c>
      <c r="Z2450">
        <v>5.9690649999999998E-2</v>
      </c>
      <c r="AA2450">
        <v>0.90899219999999903</v>
      </c>
      <c r="AB2450">
        <v>42</v>
      </c>
      <c r="AC2450">
        <v>11.9292999999999</v>
      </c>
      <c r="AD2450">
        <v>-1.112586670195</v>
      </c>
      <c r="AE2450">
        <v>-14.3146</v>
      </c>
      <c r="AF2450">
        <v>-7.8366512594295399</v>
      </c>
      <c r="AG2450">
        <v>-1.112586670195</v>
      </c>
      <c r="AH2450">
        <v>16.8327165630973</v>
      </c>
      <c r="AI2450">
        <v>93.429124066727795</v>
      </c>
      <c r="AJ2450">
        <v>114.964836171465</v>
      </c>
      <c r="AK2450">
        <v>18.600841350707402</v>
      </c>
    </row>
    <row r="2451" spans="1:37" x14ac:dyDescent="0.2">
      <c r="A2451" t="str">
        <f>"20200111153443541"</f>
        <v>20200111153443541</v>
      </c>
      <c r="B2451" t="str">
        <f>"1578728083538470"</f>
        <v>1578728083538470</v>
      </c>
      <c r="C2451" t="s">
        <v>37</v>
      </c>
      <c r="D2451">
        <v>4.784821</v>
      </c>
      <c r="E2451">
        <v>0.4203364</v>
      </c>
      <c r="F2451" t="s">
        <v>40</v>
      </c>
      <c r="G2451">
        <v>-487.45170000000002</v>
      </c>
      <c r="H2451">
        <v>1.043663</v>
      </c>
      <c r="I2451">
        <v>231.59649999999999</v>
      </c>
      <c r="J2451">
        <v>-488.10070000000002</v>
      </c>
      <c r="K2451">
        <v>1.112781</v>
      </c>
      <c r="L2451">
        <v>232.11269999999999</v>
      </c>
      <c r="M2451">
        <v>0.26455899999999999</v>
      </c>
      <c r="N2451">
        <v>0</v>
      </c>
      <c r="O2451">
        <v>-0.96436169999999999</v>
      </c>
      <c r="P2451">
        <v>0.47858699999999998</v>
      </c>
      <c r="Q2451">
        <v>5.2641529999999999E-2</v>
      </c>
      <c r="R2451">
        <v>-0.87646059999999903</v>
      </c>
      <c r="S2451">
        <v>1.972931</v>
      </c>
      <c r="T2451">
        <v>-0.17952179999999901</v>
      </c>
      <c r="U2451">
        <v>-2.363083</v>
      </c>
      <c r="V2451">
        <v>-0.2309301</v>
      </c>
      <c r="W2451">
        <v>5.10088E-2</v>
      </c>
      <c r="X2451">
        <v>0.9716323</v>
      </c>
      <c r="Y2451">
        <v>-0.41381489999999999</v>
      </c>
      <c r="Z2451">
        <v>5.9486740000000003E-2</v>
      </c>
      <c r="AA2451">
        <v>0.90841539999999998</v>
      </c>
      <c r="AB2451">
        <v>43</v>
      </c>
      <c r="AC2451">
        <v>0.64900000000000002</v>
      </c>
      <c r="AD2451">
        <v>-6.9117999999999999E-2</v>
      </c>
      <c r="AE2451">
        <v>-0.51619999999999699</v>
      </c>
      <c r="AF2451">
        <v>-0.48593322010423801</v>
      </c>
      <c r="AG2451">
        <v>-6.9117999999999999E-2</v>
      </c>
      <c r="AH2451">
        <v>0.66488826217674801</v>
      </c>
      <c r="AI2451">
        <v>94.797509876976505</v>
      </c>
      <c r="AJ2451">
        <v>126.161181478571</v>
      </c>
      <c r="AK2451">
        <v>0.82642894038464698</v>
      </c>
    </row>
    <row r="2452" spans="1:37" x14ac:dyDescent="0.2">
      <c r="A2452" t="str">
        <f>"20200111153443563"</f>
        <v>20200111153443563</v>
      </c>
      <c r="B2452" t="str">
        <f>"1578728083557989"</f>
        <v>1578728083557989</v>
      </c>
      <c r="C2452" t="s">
        <v>37</v>
      </c>
      <c r="D2452">
        <v>4.7694229999999997</v>
      </c>
      <c r="E2452">
        <v>0.42080580000000001</v>
      </c>
      <c r="F2452" t="s">
        <v>40</v>
      </c>
      <c r="G2452">
        <v>-487.35129999999998</v>
      </c>
      <c r="H2452">
        <v>1.0431319999999999</v>
      </c>
      <c r="I2452">
        <v>231.2303</v>
      </c>
      <c r="J2452">
        <v>-487.9821</v>
      </c>
      <c r="K2452">
        <v>1.1129799999999901</v>
      </c>
      <c r="L2452">
        <v>231.6995</v>
      </c>
      <c r="M2452">
        <v>0.273586</v>
      </c>
      <c r="N2452">
        <v>0</v>
      </c>
      <c r="O2452">
        <v>-0.96183940000000001</v>
      </c>
      <c r="P2452">
        <v>0.48738569999999998</v>
      </c>
      <c r="Q2452">
        <v>5.2331750000000003E-2</v>
      </c>
      <c r="R2452">
        <v>-0.87161749999999905</v>
      </c>
      <c r="S2452">
        <v>1.9924009999999901</v>
      </c>
      <c r="T2452">
        <v>-0.18517529999999999</v>
      </c>
      <c r="U2452">
        <v>-2.3460540000000001</v>
      </c>
      <c r="V2452">
        <v>-0.23161909999999999</v>
      </c>
      <c r="W2452">
        <v>5.06121E-2</v>
      </c>
      <c r="X2452">
        <v>0.97148909999999999</v>
      </c>
      <c r="Y2452">
        <v>-0.41284340000000003</v>
      </c>
      <c r="Z2452">
        <v>6.132075E-2</v>
      </c>
      <c r="AA2452">
        <v>0.90873549999999903</v>
      </c>
      <c r="AB2452">
        <v>43</v>
      </c>
      <c r="AC2452">
        <v>0.63080000000002201</v>
      </c>
      <c r="AD2452">
        <v>-6.9847999999999896E-2</v>
      </c>
      <c r="AE2452">
        <v>-0.46920000000000001</v>
      </c>
      <c r="AF2452">
        <v>-0.47461900213833602</v>
      </c>
      <c r="AG2452">
        <v>-6.9847999999999896E-2</v>
      </c>
      <c r="AH2452">
        <v>0.61899186274110796</v>
      </c>
      <c r="AI2452">
        <v>95.117055646858802</v>
      </c>
      <c r="AJ2452">
        <v>127.479594109858</v>
      </c>
      <c r="AK2452">
        <v>0.783130172087947</v>
      </c>
    </row>
    <row r="2453" spans="1:37" x14ac:dyDescent="0.2">
      <c r="A2453" t="str">
        <f>"20200111153443587"</f>
        <v>20200111153443587</v>
      </c>
      <c r="B2453" t="str">
        <f>"1578728083578485"</f>
        <v>1578728083578485</v>
      </c>
      <c r="C2453" t="s">
        <v>37</v>
      </c>
      <c r="D2453">
        <v>4.8335210000000002</v>
      </c>
      <c r="E2453">
        <v>0.42120259999999998</v>
      </c>
      <c r="F2453" t="s">
        <v>40</v>
      </c>
      <c r="G2453">
        <v>-487.25619999999998</v>
      </c>
      <c r="H2453">
        <v>1.0448309999999901</v>
      </c>
      <c r="I2453">
        <v>230.85929999999999</v>
      </c>
      <c r="J2453">
        <v>-487.85559999999998</v>
      </c>
      <c r="K2453">
        <v>1.1131949999999999</v>
      </c>
      <c r="L2453">
        <v>231.27350000000001</v>
      </c>
      <c r="M2453">
        <v>0.28304669999999998</v>
      </c>
      <c r="N2453">
        <v>0</v>
      </c>
      <c r="O2453">
        <v>-0.95909789999999995</v>
      </c>
      <c r="P2453">
        <v>0.4966679</v>
      </c>
      <c r="Q2453">
        <v>5.2927059999999998E-2</v>
      </c>
      <c r="R2453">
        <v>-0.86632559999999903</v>
      </c>
      <c r="S2453">
        <v>2.012451</v>
      </c>
      <c r="T2453">
        <v>-0.18877939999999899</v>
      </c>
      <c r="U2453">
        <v>-2.3278810000000001</v>
      </c>
      <c r="V2453">
        <v>-0.2324802</v>
      </c>
      <c r="W2453">
        <v>5.1111650000000002E-2</v>
      </c>
      <c r="X2453">
        <v>0.97125720000000004</v>
      </c>
      <c r="Y2453">
        <v>-0.41181400000000001</v>
      </c>
      <c r="Z2453">
        <v>6.247291E-2</v>
      </c>
      <c r="AA2453">
        <v>0.90912399999999904</v>
      </c>
      <c r="AB2453">
        <v>43</v>
      </c>
      <c r="AC2453">
        <v>0.59940000000000204</v>
      </c>
      <c r="AD2453">
        <v>-6.83640000000003E-2</v>
      </c>
      <c r="AE2453">
        <v>-0.414200000000022</v>
      </c>
      <c r="AF2453">
        <v>-0.45365488379053898</v>
      </c>
      <c r="AG2453">
        <v>-6.83640000000003E-2</v>
      </c>
      <c r="AH2453">
        <v>0.56197329379351102</v>
      </c>
      <c r="AI2453">
        <v>95.4073224538147</v>
      </c>
      <c r="AJ2453">
        <v>128.91232316883099</v>
      </c>
      <c r="AK2453">
        <v>0.72545873281678497</v>
      </c>
    </row>
    <row r="2454" spans="1:37" x14ac:dyDescent="0.2">
      <c r="A2454" t="str">
        <f>"20200111153443608"</f>
        <v>20200111153443608</v>
      </c>
      <c r="B2454" t="str">
        <f>"1578728083598004"</f>
        <v>1578728083598004</v>
      </c>
      <c r="C2454" t="s">
        <v>37</v>
      </c>
      <c r="D2454">
        <v>4.7495289999999999</v>
      </c>
      <c r="E2454">
        <v>0.42148909999999901</v>
      </c>
      <c r="F2454" t="s">
        <v>40</v>
      </c>
      <c r="G2454">
        <v>-487.16109999999998</v>
      </c>
      <c r="H2454">
        <v>1.0482910000000001</v>
      </c>
      <c r="I2454">
        <v>230.48580000000001</v>
      </c>
      <c r="J2454">
        <v>-487.73099999999999</v>
      </c>
      <c r="K2454">
        <v>1.11341</v>
      </c>
      <c r="L2454">
        <v>230.8682</v>
      </c>
      <c r="M2454">
        <v>0.2922051</v>
      </c>
      <c r="N2454">
        <v>0</v>
      </c>
      <c r="O2454">
        <v>-0.95634719999999995</v>
      </c>
      <c r="P2454">
        <v>0.50558159999999996</v>
      </c>
      <c r="Q2454">
        <v>5.2910100000000002E-2</v>
      </c>
      <c r="R2454">
        <v>-0.861154999999999</v>
      </c>
      <c r="S2454">
        <v>2.0344540000000002</v>
      </c>
      <c r="T2454">
        <v>-0.1901669</v>
      </c>
      <c r="U2454">
        <v>-2.3081209999999999</v>
      </c>
      <c r="V2454">
        <v>-0.23324329999999999</v>
      </c>
      <c r="W2454">
        <v>5.100213E-2</v>
      </c>
      <c r="X2454">
        <v>0.97107999999999906</v>
      </c>
      <c r="Y2454">
        <v>-0.41182179999999902</v>
      </c>
      <c r="Z2454">
        <v>6.2891589999999997E-2</v>
      </c>
      <c r="AA2454">
        <v>0.90909150000000005</v>
      </c>
      <c r="AB2454">
        <v>43</v>
      </c>
      <c r="AC2454">
        <v>0.56990000000001795</v>
      </c>
      <c r="AD2454">
        <v>-6.5118999999999899E-2</v>
      </c>
      <c r="AE2454">
        <v>-0.38239999999998903</v>
      </c>
      <c r="AF2454">
        <v>-0.42942054281758901</v>
      </c>
      <c r="AG2454">
        <v>-6.5118999999999899E-2</v>
      </c>
      <c r="AH2454">
        <v>0.52749025481720302</v>
      </c>
      <c r="AI2454">
        <v>95.468691141917105</v>
      </c>
      <c r="AJ2454">
        <v>129.14842950850201</v>
      </c>
      <c r="AK2454">
        <v>0.68329236471796695</v>
      </c>
    </row>
    <row r="2455" spans="1:37" x14ac:dyDescent="0.2">
      <c r="A2455" t="str">
        <f>"20200111153443631"</f>
        <v>20200111153443631</v>
      </c>
      <c r="B2455" t="str">
        <f>"1578728083628262"</f>
        <v>1578728083628262</v>
      </c>
      <c r="C2455" t="s">
        <v>37</v>
      </c>
      <c r="D2455">
        <v>4.4696030000000002</v>
      </c>
      <c r="E2455">
        <v>0.42147810000000002</v>
      </c>
      <c r="F2455" t="s">
        <v>40</v>
      </c>
      <c r="G2455">
        <v>-487.05450000000002</v>
      </c>
      <c r="H2455">
        <v>1.0500479999999901</v>
      </c>
      <c r="I2455">
        <v>230.11519999999999</v>
      </c>
      <c r="J2455">
        <v>-487.6046</v>
      </c>
      <c r="K2455">
        <v>1.113634</v>
      </c>
      <c r="L2455">
        <v>230.47059999999999</v>
      </c>
      <c r="M2455">
        <v>0.30135600000000001</v>
      </c>
      <c r="N2455">
        <v>0</v>
      </c>
      <c r="O2455">
        <v>-0.95350279999999998</v>
      </c>
      <c r="P2455">
        <v>0.51407130000000001</v>
      </c>
      <c r="Q2455">
        <v>5.3084760000000002E-2</v>
      </c>
      <c r="R2455">
        <v>-0.85610339999999996</v>
      </c>
      <c r="S2455">
        <v>2.0563660000000001</v>
      </c>
      <c r="T2455">
        <v>-0.19252849999999999</v>
      </c>
      <c r="U2455">
        <v>-2.2882539999999998</v>
      </c>
      <c r="V2455">
        <v>-0.2335766</v>
      </c>
      <c r="W2455">
        <v>5.109404E-2</v>
      </c>
      <c r="X2455">
        <v>0.970995099999999</v>
      </c>
      <c r="Y2455">
        <v>-0.41179949999999999</v>
      </c>
      <c r="Z2455">
        <v>6.3621230000000001E-2</v>
      </c>
      <c r="AA2455">
        <v>0.9090509</v>
      </c>
      <c r="AB2455">
        <v>43</v>
      </c>
      <c r="AC2455">
        <v>0.55009999999998604</v>
      </c>
      <c r="AD2455">
        <v>-6.3586000000000101E-2</v>
      </c>
      <c r="AE2455">
        <v>-0.35540000000000299</v>
      </c>
      <c r="AF2455">
        <v>-0.41352543871634201</v>
      </c>
      <c r="AG2455">
        <v>-6.3586000000000101E-2</v>
      </c>
      <c r="AH2455">
        <v>0.49994243742564298</v>
      </c>
      <c r="AI2455">
        <v>95.597400382232493</v>
      </c>
      <c r="AJ2455">
        <v>129.59571905628599</v>
      </c>
      <c r="AK2455">
        <v>0.65191173374977396</v>
      </c>
    </row>
    <row r="2456" spans="1:37" x14ac:dyDescent="0.2">
      <c r="A2456" t="str">
        <f>"20200111153443653"</f>
        <v>20200111153443653</v>
      </c>
      <c r="B2456" t="str">
        <f>"1578728083648758"</f>
        <v>1578728083648758</v>
      </c>
      <c r="C2456" t="s">
        <v>37</v>
      </c>
      <c r="D2456">
        <v>4.7375660000000002</v>
      </c>
      <c r="E2456">
        <v>0.41795199999999999</v>
      </c>
      <c r="F2456" t="s">
        <v>40</v>
      </c>
      <c r="G2456">
        <v>-486.9067</v>
      </c>
      <c r="H2456">
        <v>1.048484</v>
      </c>
      <c r="I2456">
        <v>229.70959999999999</v>
      </c>
      <c r="J2456">
        <v>-487.46969999999999</v>
      </c>
      <c r="K2456">
        <v>1.1138779999999999</v>
      </c>
      <c r="L2456">
        <v>230.0598</v>
      </c>
      <c r="M2456">
        <v>0.31099309999999902</v>
      </c>
      <c r="N2456">
        <v>0</v>
      </c>
      <c r="O2456">
        <v>-0.950403</v>
      </c>
      <c r="P2456">
        <v>0.52364309999999903</v>
      </c>
      <c r="Q2456">
        <v>5.434253E-2</v>
      </c>
      <c r="R2456">
        <v>-0.85020289999999998</v>
      </c>
      <c r="S2456">
        <v>2.0793759999999999</v>
      </c>
      <c r="T2456">
        <v>-0.1941446</v>
      </c>
      <c r="U2456">
        <v>-2.2676539999999998</v>
      </c>
      <c r="V2456">
        <v>-0.23472970000000001</v>
      </c>
      <c r="W2456">
        <v>5.2240729999999999E-2</v>
      </c>
      <c r="X2456">
        <v>0.97065590000000002</v>
      </c>
      <c r="Y2456">
        <v>-0.41168149999999998</v>
      </c>
      <c r="Z2456">
        <v>6.4083710000000002E-2</v>
      </c>
      <c r="AA2456">
        <v>0.90907190000000004</v>
      </c>
      <c r="AB2456">
        <v>43</v>
      </c>
      <c r="AC2456">
        <v>0.56299999999998795</v>
      </c>
      <c r="AD2456">
        <v>-6.5394000000000105E-2</v>
      </c>
      <c r="AE2456">
        <v>-0.35020000000000001</v>
      </c>
      <c r="AF2456">
        <v>-0.42206510584323298</v>
      </c>
      <c r="AG2456">
        <v>-6.5394000000000105E-2</v>
      </c>
      <c r="AH2456">
        <v>0.50303134530891802</v>
      </c>
      <c r="AI2456">
        <v>95.687244062704707</v>
      </c>
      <c r="AJ2456">
        <v>129.99810767936199</v>
      </c>
      <c r="AK2456">
        <v>0.65989079639722203</v>
      </c>
    </row>
    <row r="2457" spans="1:37" x14ac:dyDescent="0.2">
      <c r="A2457" t="str">
        <f>"20200111153443676"</f>
        <v>20200111153443676</v>
      </c>
      <c r="B2457" t="str">
        <f>"1578728083668276"</f>
        <v>1578728083668276</v>
      </c>
      <c r="C2457" t="s">
        <v>37</v>
      </c>
      <c r="D2457">
        <v>4.7309039999999998</v>
      </c>
      <c r="E2457">
        <v>0.42357299999999998</v>
      </c>
      <c r="F2457" t="s">
        <v>40</v>
      </c>
      <c r="G2457">
        <v>-486.7543</v>
      </c>
      <c r="H2457">
        <v>1.0106790000000001</v>
      </c>
      <c r="I2457">
        <v>229.3075</v>
      </c>
      <c r="J2457">
        <v>-487.325999999999</v>
      </c>
      <c r="K2457">
        <v>1.1141379999999901</v>
      </c>
      <c r="L2457">
        <v>229.63669999999999</v>
      </c>
      <c r="M2457">
        <v>0.32112209999999902</v>
      </c>
      <c r="N2457">
        <v>0</v>
      </c>
      <c r="O2457">
        <v>-0.94702819999999899</v>
      </c>
      <c r="P2457">
        <v>0.53405879999999994</v>
      </c>
      <c r="Q2457">
        <v>5.5132519999999997E-2</v>
      </c>
      <c r="R2457">
        <v>-0.84364799999999995</v>
      </c>
      <c r="S2457">
        <v>2.1287539999999998</v>
      </c>
      <c r="T2457">
        <v>-0.3068593</v>
      </c>
      <c r="U2457">
        <v>-2.2370610000000002</v>
      </c>
      <c r="V2457">
        <v>-0.2363767</v>
      </c>
      <c r="W2457">
        <v>5.2898800000000003E-2</v>
      </c>
      <c r="X2457">
        <v>0.97022039999999998</v>
      </c>
      <c r="Y2457">
        <v>-0.4165893</v>
      </c>
      <c r="Z2457">
        <v>0.1006233</v>
      </c>
      <c r="AA2457">
        <v>0.90350889999999995</v>
      </c>
      <c r="AB2457">
        <v>44</v>
      </c>
      <c r="AC2457">
        <v>0.57169999999996401</v>
      </c>
      <c r="AD2457">
        <v>-0.103458999999999</v>
      </c>
      <c r="AE2457">
        <v>-0.329199999999985</v>
      </c>
      <c r="AF2457">
        <v>-0.42524792069818801</v>
      </c>
      <c r="AG2457">
        <v>-0.103458999999999</v>
      </c>
      <c r="AH2457">
        <v>0.48346130790867498</v>
      </c>
      <c r="AI2457">
        <v>99.128410033271606</v>
      </c>
      <c r="AJ2457">
        <v>131.33454815419199</v>
      </c>
      <c r="AK2457">
        <v>0.65213065790828995</v>
      </c>
    </row>
    <row r="2458" spans="1:37" x14ac:dyDescent="0.2">
      <c r="A2458" t="str">
        <f>"20200111153443699"</f>
        <v>20200111153443699</v>
      </c>
      <c r="B2458" t="str">
        <f>"1578728083688618"</f>
        <v>1578728083688618</v>
      </c>
      <c r="C2458" t="s">
        <v>37</v>
      </c>
      <c r="D2458">
        <v>4.7202310000000001</v>
      </c>
      <c r="E2458">
        <v>0.42594739999999998</v>
      </c>
      <c r="F2458" t="s">
        <v>50</v>
      </c>
      <c r="G2458">
        <v>-479.67669999999998</v>
      </c>
      <c r="H2458" s="1">
        <v>2.2920409999999999E-6</v>
      </c>
      <c r="I2458">
        <v>221.56659999999999</v>
      </c>
      <c r="J2458">
        <v>-487.1782</v>
      </c>
      <c r="K2458">
        <v>1.114401</v>
      </c>
      <c r="L2458">
        <v>229.2157</v>
      </c>
      <c r="M2458">
        <v>0.33140890000000001</v>
      </c>
      <c r="N2458">
        <v>0</v>
      </c>
      <c r="O2458">
        <v>-0.94347760000000003</v>
      </c>
      <c r="P2458">
        <v>0.5442517</v>
      </c>
      <c r="Q2458">
        <v>5.5452040000000001E-2</v>
      </c>
      <c r="R2458">
        <v>-0.83708760000000004</v>
      </c>
      <c r="S2458">
        <v>2.1185299999999998</v>
      </c>
      <c r="T2458">
        <v>-0.30856790000000001</v>
      </c>
      <c r="U2458">
        <v>-2.235077</v>
      </c>
      <c r="V2458">
        <v>-0.2376385</v>
      </c>
      <c r="W2458">
        <v>5.3093080000000001E-2</v>
      </c>
      <c r="X2458">
        <v>0.96990159999999903</v>
      </c>
      <c r="Y2458">
        <v>-0.40485840000000001</v>
      </c>
      <c r="Z2458">
        <v>0.1011034</v>
      </c>
      <c r="AA2458">
        <v>0.90877269999999899</v>
      </c>
      <c r="AB2458">
        <v>44</v>
      </c>
      <c r="AC2458">
        <v>7.5015000000000196</v>
      </c>
      <c r="AD2458">
        <v>-1.1143987079590001</v>
      </c>
      <c r="AE2458">
        <v>-7.6490999999999998</v>
      </c>
      <c r="AF2458">
        <v>-4.4939361526361896</v>
      </c>
      <c r="AG2458">
        <v>-1.1143987079590001</v>
      </c>
      <c r="AH2458">
        <v>9.5990488174778701</v>
      </c>
      <c r="AI2458">
        <v>96.002175340493295</v>
      </c>
      <c r="AJ2458">
        <v>115.087336333115</v>
      </c>
      <c r="AK2458">
        <v>10.6573488647315</v>
      </c>
    </row>
    <row r="2459" spans="1:37" x14ac:dyDescent="0.2">
      <c r="A2459" t="str">
        <f>"20200111153443720"</f>
        <v>20200111153443720</v>
      </c>
      <c r="B2459" t="str">
        <f>"1578728083718855"</f>
        <v>1578728083718855</v>
      </c>
      <c r="C2459" t="s">
        <v>37</v>
      </c>
      <c r="D2459">
        <v>4.7645850000000003</v>
      </c>
      <c r="E2459">
        <v>0.42757020000000001</v>
      </c>
      <c r="F2459" t="s">
        <v>50</v>
      </c>
      <c r="G2459">
        <v>-479.49430000000001</v>
      </c>
      <c r="H2459" s="1">
        <v>2.27749799999999E-6</v>
      </c>
      <c r="I2459">
        <v>221.2081</v>
      </c>
      <c r="J2459">
        <v>-487.03449999999998</v>
      </c>
      <c r="K2459">
        <v>1.11466</v>
      </c>
      <c r="L2459">
        <v>228.8211</v>
      </c>
      <c r="M2459">
        <v>0.34126529999999999</v>
      </c>
      <c r="N2459">
        <v>0</v>
      </c>
      <c r="O2459">
        <v>-0.93995659999999903</v>
      </c>
      <c r="P2459">
        <v>0.55385609999999996</v>
      </c>
      <c r="Q2459">
        <v>5.5893409999999998E-2</v>
      </c>
      <c r="R2459">
        <v>-0.83073399999999997</v>
      </c>
      <c r="S2459">
        <v>2.129883</v>
      </c>
      <c r="T2459">
        <v>-0.30889949999999999</v>
      </c>
      <c r="U2459">
        <v>-2.2196199999999999</v>
      </c>
      <c r="V2459">
        <v>-0.238716399999999</v>
      </c>
      <c r="W2459">
        <v>5.3417340000000001E-2</v>
      </c>
      <c r="X2459">
        <v>0.96961900000000001</v>
      </c>
      <c r="Y2459">
        <v>-0.4008642</v>
      </c>
      <c r="Z2459">
        <v>0.1011011</v>
      </c>
      <c r="AA2459">
        <v>0.91054179999999996</v>
      </c>
      <c r="AB2459">
        <v>44</v>
      </c>
      <c r="AC2459">
        <v>7.5401999999999703</v>
      </c>
      <c r="AD2459">
        <v>-1.114657722502</v>
      </c>
      <c r="AE2459">
        <v>-7.6129999999999898</v>
      </c>
      <c r="AF2459">
        <v>-4.4413887428787904</v>
      </c>
      <c r="AG2459">
        <v>-1.114657722502</v>
      </c>
      <c r="AH2459">
        <v>9.6250345296713</v>
      </c>
      <c r="AI2459">
        <v>96.002763970659302</v>
      </c>
      <c r="AJ2459">
        <v>114.77055252055899</v>
      </c>
      <c r="AK2459">
        <v>10.6587844288675</v>
      </c>
    </row>
    <row r="2460" spans="1:37" x14ac:dyDescent="0.2">
      <c r="A2460" t="str">
        <f>"20200111153443743"</f>
        <v>20200111153443743</v>
      </c>
      <c r="B2460" t="str">
        <f>"1578728083738374"</f>
        <v>1578728083738374</v>
      </c>
      <c r="C2460" t="s">
        <v>37</v>
      </c>
      <c r="D2460">
        <v>4.7187640000000002</v>
      </c>
      <c r="E2460">
        <v>0.42817849999999902</v>
      </c>
      <c r="F2460" t="s">
        <v>40</v>
      </c>
      <c r="G2460">
        <v>-486.2124</v>
      </c>
      <c r="H2460">
        <v>0.99479229999999996</v>
      </c>
      <c r="I2460">
        <v>227.97649999999999</v>
      </c>
      <c r="J2460">
        <v>-486.88069999999999</v>
      </c>
      <c r="K2460">
        <v>1.1149199999999999</v>
      </c>
      <c r="L2460">
        <v>228.4119</v>
      </c>
      <c r="M2460">
        <v>0.35168359999999999</v>
      </c>
      <c r="N2460">
        <v>0</v>
      </c>
      <c r="O2460">
        <v>-0.93610839999999995</v>
      </c>
      <c r="P2460">
        <v>0.56440409999999996</v>
      </c>
      <c r="Q2460">
        <v>5.5887560000000003E-2</v>
      </c>
      <c r="R2460">
        <v>-0.82360480000000003</v>
      </c>
      <c r="S2460">
        <v>2.1447449999999999</v>
      </c>
      <c r="T2460">
        <v>-0.31257679999999999</v>
      </c>
      <c r="U2460">
        <v>-2.2024080000000001</v>
      </c>
      <c r="V2460">
        <v>-0.2403496</v>
      </c>
      <c r="W2460">
        <v>5.3272119999999999E-2</v>
      </c>
      <c r="X2460">
        <v>0.96922350000000002</v>
      </c>
      <c r="Y2460">
        <v>-0.39732040000000002</v>
      </c>
      <c r="Z2460">
        <v>0.102122899999999</v>
      </c>
      <c r="AA2460">
        <v>0.91197999999999901</v>
      </c>
      <c r="AB2460">
        <v>44</v>
      </c>
      <c r="AC2460">
        <v>0.66829999999998702</v>
      </c>
      <c r="AD2460">
        <v>-0.1201277</v>
      </c>
      <c r="AE2460">
        <v>-0.435400000000015</v>
      </c>
      <c r="AF2460">
        <v>-0.46200339428090098</v>
      </c>
      <c r="AG2460">
        <v>-0.1201277</v>
      </c>
      <c r="AH2460">
        <v>0.62836508804061897</v>
      </c>
      <c r="AI2460">
        <v>98.756106102788195</v>
      </c>
      <c r="AJ2460">
        <v>126.325064673242</v>
      </c>
      <c r="AK2460">
        <v>0.78912640590887495</v>
      </c>
    </row>
    <row r="2461" spans="1:37" x14ac:dyDescent="0.2">
      <c r="A2461" t="str">
        <f>"20200111153443764"</f>
        <v>20200111153443764</v>
      </c>
      <c r="B2461" t="str">
        <f>"1578728083758871"</f>
        <v>1578728083758871</v>
      </c>
      <c r="C2461" t="s">
        <v>37</v>
      </c>
      <c r="D2461">
        <v>4.6856249999999999</v>
      </c>
      <c r="E2461">
        <v>0.42770409999999998</v>
      </c>
      <c r="F2461" t="s">
        <v>40</v>
      </c>
      <c r="G2461">
        <v>-486.08019999999999</v>
      </c>
      <c r="H2461">
        <v>0.99874409999999902</v>
      </c>
      <c r="I2461">
        <v>227.6079</v>
      </c>
      <c r="J2461">
        <v>-486.72340000000003</v>
      </c>
      <c r="K2461">
        <v>1.115181</v>
      </c>
      <c r="L2461">
        <v>228.0069</v>
      </c>
      <c r="M2461">
        <v>0.36216589999999999</v>
      </c>
      <c r="N2461">
        <v>0</v>
      </c>
      <c r="O2461">
        <v>-0.9321026</v>
      </c>
      <c r="P2461">
        <v>0.57522879999999998</v>
      </c>
      <c r="Q2461">
        <v>5.457248E-2</v>
      </c>
      <c r="R2461">
        <v>-0.81616999999999995</v>
      </c>
      <c r="S2461">
        <v>2.1685180000000002</v>
      </c>
      <c r="T2461">
        <v>-0.31469399999999997</v>
      </c>
      <c r="U2461">
        <v>-2.177765</v>
      </c>
      <c r="V2461">
        <v>-0.24223439999999999</v>
      </c>
      <c r="W2461">
        <v>5.1811199999999898E-2</v>
      </c>
      <c r="X2461">
        <v>0.96883339999999996</v>
      </c>
      <c r="Y2461">
        <v>-0.39714339999999998</v>
      </c>
      <c r="Z2461">
        <v>0.10264949999999901</v>
      </c>
      <c r="AA2461">
        <v>0.91199789999999903</v>
      </c>
      <c r="AB2461">
        <v>44</v>
      </c>
      <c r="AC2461">
        <v>0.64320000000003497</v>
      </c>
      <c r="AD2461">
        <v>-0.1164369</v>
      </c>
      <c r="AE2461">
        <v>-0.39900000000000002</v>
      </c>
      <c r="AF2461">
        <v>-0.44450979302090099</v>
      </c>
      <c r="AG2461">
        <v>-0.1164369</v>
      </c>
      <c r="AH2461">
        <v>0.59087746779732997</v>
      </c>
      <c r="AI2461">
        <v>98.949049345286099</v>
      </c>
      <c r="AJ2461">
        <v>126.9536903202</v>
      </c>
      <c r="AK2461">
        <v>0.74852033354056502</v>
      </c>
    </row>
    <row r="2462" spans="1:37" x14ac:dyDescent="0.2">
      <c r="A2462" t="str">
        <f>"20200111153443788"</f>
        <v>20200111153443788</v>
      </c>
      <c r="B2462" t="str">
        <f>"1578728083778390"</f>
        <v>1578728083778390</v>
      </c>
      <c r="C2462" t="s">
        <v>37</v>
      </c>
      <c r="D2462">
        <v>4.7002350000000002</v>
      </c>
      <c r="E2462">
        <v>0.42667569999999999</v>
      </c>
      <c r="F2462" t="s">
        <v>40</v>
      </c>
      <c r="G2462">
        <v>-485.94</v>
      </c>
      <c r="H2462">
        <v>1.0015559999999999</v>
      </c>
      <c r="I2462">
        <v>227.2422</v>
      </c>
      <c r="J2462">
        <v>-486.55279999999999</v>
      </c>
      <c r="K2462">
        <v>1.1154360000000001</v>
      </c>
      <c r="L2462">
        <v>227.58179999999999</v>
      </c>
      <c r="M2462">
        <v>0.37334099999999998</v>
      </c>
      <c r="N2462">
        <v>0</v>
      </c>
      <c r="O2462">
        <v>-0.92768259999999902</v>
      </c>
      <c r="P2462">
        <v>0.58750809999999998</v>
      </c>
      <c r="Q2462">
        <v>5.5002120000000002E-2</v>
      </c>
      <c r="R2462">
        <v>-0.80734680000000003</v>
      </c>
      <c r="S2462">
        <v>2.2001040000000001</v>
      </c>
      <c r="T2462">
        <v>-0.31891729999999902</v>
      </c>
      <c r="U2462">
        <v>-2.146347</v>
      </c>
      <c r="V2462">
        <v>-0.2453051</v>
      </c>
      <c r="W2462">
        <v>5.205216E-2</v>
      </c>
      <c r="X2462">
        <v>0.96804749999999995</v>
      </c>
      <c r="Y2462">
        <v>-0.39924539999999997</v>
      </c>
      <c r="Z2462">
        <v>0.1038346</v>
      </c>
      <c r="AA2462">
        <v>0.91094540000000002</v>
      </c>
      <c r="AB2462">
        <v>44</v>
      </c>
      <c r="AC2462">
        <v>0.61279999999999202</v>
      </c>
      <c r="AD2462">
        <v>-0.11388</v>
      </c>
      <c r="AE2462">
        <v>-0.33959999999999002</v>
      </c>
      <c r="AF2462">
        <v>-0.43033235714465801</v>
      </c>
      <c r="AG2462">
        <v>-0.11388</v>
      </c>
      <c r="AH2462">
        <v>0.52983169433468602</v>
      </c>
      <c r="AI2462">
        <v>99.471929063014898</v>
      </c>
      <c r="AJ2462">
        <v>129.08370273702599</v>
      </c>
      <c r="AK2462">
        <v>0.69200882676974695</v>
      </c>
    </row>
    <row r="2463" spans="1:37" x14ac:dyDescent="0.2">
      <c r="A2463" t="str">
        <f>"20200111153443809"</f>
        <v>20200111153443809</v>
      </c>
      <c r="B2463" t="str">
        <f>"1578728083798889"</f>
        <v>1578728083798889</v>
      </c>
      <c r="C2463" t="s">
        <v>37</v>
      </c>
      <c r="D2463">
        <v>4.6861509999999997</v>
      </c>
      <c r="E2463">
        <v>0.4258885</v>
      </c>
      <c r="F2463" t="s">
        <v>40</v>
      </c>
      <c r="G2463">
        <v>-485.8</v>
      </c>
      <c r="H2463">
        <v>1.0080089999999999</v>
      </c>
      <c r="I2463">
        <v>226.87260000000001</v>
      </c>
      <c r="J2463">
        <v>-486.39019999999999</v>
      </c>
      <c r="K2463">
        <v>1.1156629999999901</v>
      </c>
      <c r="L2463">
        <v>227.1893</v>
      </c>
      <c r="M2463">
        <v>0.38381279999999901</v>
      </c>
      <c r="N2463">
        <v>0</v>
      </c>
      <c r="O2463">
        <v>-0.92339910000000003</v>
      </c>
      <c r="P2463">
        <v>0.59891090000000002</v>
      </c>
      <c r="Q2463">
        <v>5.3428199999999898E-2</v>
      </c>
      <c r="R2463">
        <v>-0.79903159999999995</v>
      </c>
      <c r="S2463">
        <v>2.238464</v>
      </c>
      <c r="T2463">
        <v>-0.31942140000000002</v>
      </c>
      <c r="U2463">
        <v>-2.108765</v>
      </c>
      <c r="V2463">
        <v>-0.24803910000000001</v>
      </c>
      <c r="W2463">
        <v>5.0303979999999998E-2</v>
      </c>
      <c r="X2463">
        <v>0.96744300000000005</v>
      </c>
      <c r="Y2463">
        <v>-0.40477429999999998</v>
      </c>
      <c r="Z2463">
        <v>0.10385229999999999</v>
      </c>
      <c r="AA2463">
        <v>0.90850010000000003</v>
      </c>
      <c r="AB2463">
        <v>45</v>
      </c>
      <c r="AC2463">
        <v>0.59019999999998096</v>
      </c>
      <c r="AD2463">
        <v>-0.107653999999999</v>
      </c>
      <c r="AE2463">
        <v>-0.31669999999999698</v>
      </c>
      <c r="AF2463">
        <v>-0.412778146746545</v>
      </c>
      <c r="AG2463">
        <v>-0.107653999999999</v>
      </c>
      <c r="AH2463">
        <v>0.50590369402120905</v>
      </c>
      <c r="AI2463">
        <v>99.362524935268198</v>
      </c>
      <c r="AJ2463">
        <v>129.211775401773</v>
      </c>
      <c r="AK2463">
        <v>0.66175050417194003</v>
      </c>
    </row>
    <row r="2464" spans="1:37" x14ac:dyDescent="0.2">
      <c r="A2464" t="str">
        <f>"20200111153443832"</f>
        <v>20200111153443832</v>
      </c>
      <c r="B2464" t="str">
        <f>"1578728083828166"</f>
        <v>1578728083828166</v>
      </c>
      <c r="C2464" t="s">
        <v>37</v>
      </c>
      <c r="D2464">
        <v>4.7742829999999996</v>
      </c>
      <c r="E2464">
        <v>0.425201</v>
      </c>
      <c r="F2464" t="s">
        <v>40</v>
      </c>
      <c r="G2464">
        <v>-485.64</v>
      </c>
      <c r="H2464">
        <v>1.0081009999999999</v>
      </c>
      <c r="I2464">
        <v>226.5043</v>
      </c>
      <c r="J2464">
        <v>-486.21370000000002</v>
      </c>
      <c r="K2464">
        <v>1.115899</v>
      </c>
      <c r="L2464">
        <v>226.77629999999999</v>
      </c>
      <c r="M2464">
        <v>0.39498349999999999</v>
      </c>
      <c r="N2464">
        <v>0</v>
      </c>
      <c r="O2464">
        <v>-0.91867600000000005</v>
      </c>
      <c r="P2464">
        <v>0.61003229999999997</v>
      </c>
      <c r="Q2464">
        <v>5.1280569999999998E-2</v>
      </c>
      <c r="R2464">
        <v>-0.79071569999999902</v>
      </c>
      <c r="S2464">
        <v>2.271973</v>
      </c>
      <c r="T2464">
        <v>-0.32560099999999997</v>
      </c>
      <c r="U2464">
        <v>-2.0733799999999998</v>
      </c>
      <c r="V2464">
        <v>-0.2497518</v>
      </c>
      <c r="W2464">
        <v>4.8009360000000001E-2</v>
      </c>
      <c r="X2464">
        <v>0.96711899999999995</v>
      </c>
      <c r="Y2464">
        <v>-0.40793279999999998</v>
      </c>
      <c r="Z2464">
        <v>0.1056551</v>
      </c>
      <c r="AA2464">
        <v>0.90687809999999902</v>
      </c>
      <c r="AB2464">
        <v>45</v>
      </c>
      <c r="AC2464">
        <v>0.57370000000002996</v>
      </c>
      <c r="AD2464">
        <v>-0.107798</v>
      </c>
      <c r="AE2464">
        <v>-0.27199999999999103</v>
      </c>
      <c r="AF2464">
        <v>-0.40785654661773302</v>
      </c>
      <c r="AG2464">
        <v>-0.107798</v>
      </c>
      <c r="AH2464">
        <v>0.46313665040406099</v>
      </c>
      <c r="AI2464">
        <v>99.908338536319903</v>
      </c>
      <c r="AJ2464">
        <v>131.36842852008101</v>
      </c>
      <c r="AK2464">
        <v>0.62646861722710101</v>
      </c>
    </row>
    <row r="2465" spans="1:37" x14ac:dyDescent="0.2">
      <c r="A2465" t="str">
        <f>"20200111153443855"</f>
        <v>20200111153443855</v>
      </c>
      <c r="B2465" t="str">
        <f>"1578728083848663"</f>
        <v>1578728083848663</v>
      </c>
      <c r="C2465" t="s">
        <v>37</v>
      </c>
      <c r="D2465">
        <v>4.8042889999999998</v>
      </c>
      <c r="E2465">
        <v>0.42505399999999999</v>
      </c>
      <c r="F2465" t="s">
        <v>40</v>
      </c>
      <c r="G2465">
        <v>-485.43329999999997</v>
      </c>
      <c r="H2465">
        <v>1.0041530000000001</v>
      </c>
      <c r="I2465">
        <v>226.0865</v>
      </c>
      <c r="J2465">
        <v>-486.02670000000001</v>
      </c>
      <c r="K2465">
        <v>1.116153</v>
      </c>
      <c r="L2465">
        <v>226.35249999999999</v>
      </c>
      <c r="M2465">
        <v>0.40660559999999901</v>
      </c>
      <c r="N2465">
        <v>0</v>
      </c>
      <c r="O2465">
        <v>-0.91359080000000004</v>
      </c>
      <c r="P2465">
        <v>0.62045629999999996</v>
      </c>
      <c r="Q2465">
        <v>5.0103460000000002E-2</v>
      </c>
      <c r="R2465">
        <v>-0.78263859999999996</v>
      </c>
      <c r="S2465">
        <v>2.3047179999999998</v>
      </c>
      <c r="T2465">
        <v>-0.33006540000000001</v>
      </c>
      <c r="U2465">
        <v>-2.037369</v>
      </c>
      <c r="V2465">
        <v>-0.25026369999999998</v>
      </c>
      <c r="W2465">
        <v>4.6722390000000003E-2</v>
      </c>
      <c r="X2465">
        <v>0.96704969999999901</v>
      </c>
      <c r="Y2465">
        <v>-0.41060010000000002</v>
      </c>
      <c r="Z2465">
        <v>0.106871699999999</v>
      </c>
      <c r="AA2465">
        <v>0.90553079999999997</v>
      </c>
      <c r="AB2465">
        <v>45</v>
      </c>
      <c r="AC2465">
        <v>0.59340000000003101</v>
      </c>
      <c r="AD2465">
        <v>-0.112</v>
      </c>
      <c r="AE2465">
        <v>-0.26599999999999102</v>
      </c>
      <c r="AF2465">
        <v>-0.42147063494042902</v>
      </c>
      <c r="AG2465">
        <v>-0.112</v>
      </c>
      <c r="AH2465">
        <v>0.47034857629770299</v>
      </c>
      <c r="AI2465">
        <v>100.05624100412901</v>
      </c>
      <c r="AJ2465">
        <v>131.86292837808</v>
      </c>
      <c r="AK2465">
        <v>0.64141194200167895</v>
      </c>
    </row>
    <row r="2466" spans="1:37" x14ac:dyDescent="0.2">
      <c r="A2466" t="str">
        <f>"20200111153443878"</f>
        <v>20200111153443878</v>
      </c>
      <c r="B2466" t="str">
        <f>"1578728083868186"</f>
        <v>1578728083868186</v>
      </c>
      <c r="C2466" t="s">
        <v>37</v>
      </c>
      <c r="D2466">
        <v>4.7364009999999999</v>
      </c>
      <c r="E2466">
        <v>0.42514259999999898</v>
      </c>
      <c r="F2466" t="s">
        <v>50</v>
      </c>
      <c r="G2466">
        <v>-478.200999999999</v>
      </c>
      <c r="H2466" s="1">
        <v>2.541496E-6</v>
      </c>
      <c r="I2466">
        <v>219.62629999999999</v>
      </c>
      <c r="J2466">
        <v>-485.83890000000002</v>
      </c>
      <c r="K2466">
        <v>1.1164049999999901</v>
      </c>
      <c r="L2466">
        <v>225.94040000000001</v>
      </c>
      <c r="M2466">
        <v>0.41806650000000001</v>
      </c>
      <c r="N2466">
        <v>0</v>
      </c>
      <c r="O2466">
        <v>-0.90840319999999997</v>
      </c>
      <c r="P2466">
        <v>0.62994850000000002</v>
      </c>
      <c r="Q2466">
        <v>4.9585999999999998E-2</v>
      </c>
      <c r="R2466">
        <v>-0.77505239999999997</v>
      </c>
      <c r="S2466">
        <v>2.3328859999999998</v>
      </c>
      <c r="T2466">
        <v>-0.33273379999999902</v>
      </c>
      <c r="U2466">
        <v>-2.00514199999999</v>
      </c>
      <c r="V2466">
        <v>-0.24988589999999999</v>
      </c>
      <c r="W2466">
        <v>4.6129839999999998E-2</v>
      </c>
      <c r="X2466">
        <v>0.96717580000000003</v>
      </c>
      <c r="Y2466">
        <v>-0.41168100000000002</v>
      </c>
      <c r="Z2466">
        <v>0.107463899999999</v>
      </c>
      <c r="AA2466">
        <v>0.90496980000000005</v>
      </c>
      <c r="AB2466">
        <v>45</v>
      </c>
      <c r="AC2466">
        <v>7.6379000000000499</v>
      </c>
      <c r="AD2466">
        <v>-1.11640245850399</v>
      </c>
      <c r="AE2466">
        <v>-6.3141000000000203</v>
      </c>
      <c r="AF2466">
        <v>-4.2447592199158404</v>
      </c>
      <c r="AG2466">
        <v>-1.11640245850399</v>
      </c>
      <c r="AH2466">
        <v>8.8171054566023095</v>
      </c>
      <c r="AI2466">
        <v>96.508474780808299</v>
      </c>
      <c r="AJ2466">
        <v>115.707243383631</v>
      </c>
      <c r="AK2466">
        <v>9.8491463547487594</v>
      </c>
    </row>
    <row r="2467" spans="1:37" x14ac:dyDescent="0.2">
      <c r="A2467" t="str">
        <f>"20200111153443899"</f>
        <v>20200111153443899</v>
      </c>
      <c r="B2467" t="str">
        <f>"1578728083888681"</f>
        <v>1578728083888681</v>
      </c>
      <c r="C2467" t="s">
        <v>37</v>
      </c>
      <c r="D2467">
        <v>4.7153099999999997</v>
      </c>
      <c r="E2467">
        <v>0.42486489999999999</v>
      </c>
      <c r="F2467" t="s">
        <v>50</v>
      </c>
      <c r="G2467">
        <v>-477.8956</v>
      </c>
      <c r="H2467" s="1">
        <v>2.6609129999999999E-6</v>
      </c>
      <c r="I2467">
        <v>219.27969999999999</v>
      </c>
      <c r="J2467">
        <v>-485.66090000000003</v>
      </c>
      <c r="K2467">
        <v>1.1166419999999999</v>
      </c>
      <c r="L2467">
        <v>225.56219999999999</v>
      </c>
      <c r="M2467">
        <v>0.42872909999999997</v>
      </c>
      <c r="N2467">
        <v>0</v>
      </c>
      <c r="O2467">
        <v>-0.90341939999999998</v>
      </c>
      <c r="P2467">
        <v>0.63856930000000001</v>
      </c>
      <c r="Q2467">
        <v>4.9352229999999997E-2</v>
      </c>
      <c r="R2467">
        <v>-0.7679802</v>
      </c>
      <c r="S2467">
        <v>2.35687299999999</v>
      </c>
      <c r="T2467">
        <v>-0.33125159999999998</v>
      </c>
      <c r="U2467">
        <v>-1.9763029999999999</v>
      </c>
      <c r="V2467">
        <v>-0.24932570000000001</v>
      </c>
      <c r="W2467">
        <v>4.5837849999999999E-2</v>
      </c>
      <c r="X2467">
        <v>0.96733429999999998</v>
      </c>
      <c r="Y2467">
        <v>-0.41205909999999901</v>
      </c>
      <c r="Z2467">
        <v>0.1067287</v>
      </c>
      <c r="AA2467">
        <v>0.90488469999999999</v>
      </c>
      <c r="AB2467">
        <v>45</v>
      </c>
      <c r="AC2467">
        <v>7.7653000000000203</v>
      </c>
      <c r="AD2467">
        <v>-1.116639339087</v>
      </c>
      <c r="AE2467">
        <v>-6.28249999999999</v>
      </c>
      <c r="AF2467">
        <v>-4.2685390050535297</v>
      </c>
      <c r="AG2467">
        <v>-1.116639339087</v>
      </c>
      <c r="AH2467">
        <v>8.8939013079294806</v>
      </c>
      <c r="AI2467">
        <v>96.457817258455705</v>
      </c>
      <c r="AJ2467">
        <v>115.638211810755</v>
      </c>
      <c r="AK2467">
        <v>9.9281815619200806</v>
      </c>
    </row>
    <row r="2468" spans="1:37" x14ac:dyDescent="0.2">
      <c r="A2468" t="str">
        <f>"20200111153443920"</f>
        <v>20200111153443920</v>
      </c>
      <c r="B2468" t="str">
        <f>"1578728083917959"</f>
        <v>1578728083917959</v>
      </c>
      <c r="C2468" t="s">
        <v>37</v>
      </c>
      <c r="D2468">
        <v>4.7553179999999999</v>
      </c>
      <c r="E2468">
        <v>0.42665559999999902</v>
      </c>
      <c r="F2468" t="s">
        <v>40</v>
      </c>
      <c r="G2468">
        <v>-484.71769999999998</v>
      </c>
      <c r="H2468">
        <v>1.0246649999999999</v>
      </c>
      <c r="I2468">
        <v>224.7928</v>
      </c>
      <c r="J2468">
        <v>-485.47070000000002</v>
      </c>
      <c r="K2468">
        <v>1.1168940000000001</v>
      </c>
      <c r="L2468">
        <v>225.1704</v>
      </c>
      <c r="M2468">
        <v>0.43992629999999999</v>
      </c>
      <c r="N2468">
        <v>0</v>
      </c>
      <c r="O2468">
        <v>-0.89801969999999998</v>
      </c>
      <c r="P2468">
        <v>0.64782240000000002</v>
      </c>
      <c r="Q2468">
        <v>5.0395750000000003E-2</v>
      </c>
      <c r="R2468">
        <v>-0.76012279999999999</v>
      </c>
      <c r="S2468">
        <v>2.3802189999999999</v>
      </c>
      <c r="T2468">
        <v>-0.23216689999999901</v>
      </c>
      <c r="U2468">
        <v>-1.9421389999999901</v>
      </c>
      <c r="V2468">
        <v>-0.2491129</v>
      </c>
      <c r="W2468">
        <v>4.6811470000000001E-2</v>
      </c>
      <c r="X2468">
        <v>0.96734249999999899</v>
      </c>
      <c r="Y2468">
        <v>-0.41530800000000001</v>
      </c>
      <c r="Z2468">
        <v>7.4919600000000003E-2</v>
      </c>
      <c r="AA2468">
        <v>0.90659049999999997</v>
      </c>
      <c r="AB2468">
        <v>45</v>
      </c>
      <c r="AC2468">
        <v>0.75300000000004197</v>
      </c>
      <c r="AD2468">
        <v>-9.2229000000000103E-2</v>
      </c>
      <c r="AE2468">
        <v>-0.37760000000000099</v>
      </c>
      <c r="AF2468">
        <v>-0.504056800097754</v>
      </c>
      <c r="AG2468">
        <v>-9.2229000000000103E-2</v>
      </c>
      <c r="AH2468">
        <v>0.66242449455353603</v>
      </c>
      <c r="AI2468">
        <v>96.322567190016102</v>
      </c>
      <c r="AJ2468">
        <v>127.268492425063</v>
      </c>
      <c r="AK2468">
        <v>0.83748770567113195</v>
      </c>
    </row>
    <row r="2469" spans="1:37" x14ac:dyDescent="0.2">
      <c r="A2469" t="str">
        <f>"20200111153443943"</f>
        <v>20200111153443943</v>
      </c>
      <c r="B2469" t="str">
        <f>"1578728083938454"</f>
        <v>1578728083938454</v>
      </c>
      <c r="C2469" t="s">
        <v>37</v>
      </c>
      <c r="D2469">
        <v>4.7504150000000003</v>
      </c>
      <c r="E2469">
        <v>0.42584569999999999</v>
      </c>
      <c r="F2469" t="s">
        <v>40</v>
      </c>
      <c r="G2469">
        <v>-484.54880000000003</v>
      </c>
      <c r="H2469">
        <v>1.030427</v>
      </c>
      <c r="I2469">
        <v>224.4299</v>
      </c>
      <c r="J2469">
        <v>-485.26780000000002</v>
      </c>
      <c r="K2469">
        <v>1.117154</v>
      </c>
      <c r="L2469">
        <v>224.76509999999999</v>
      </c>
      <c r="M2469">
        <v>0.45164389999999999</v>
      </c>
      <c r="N2469">
        <v>0</v>
      </c>
      <c r="O2469">
        <v>-0.89218339999999996</v>
      </c>
      <c r="P2469">
        <v>0.65745750000000003</v>
      </c>
      <c r="Q2469">
        <v>5.143644E-2</v>
      </c>
      <c r="R2469">
        <v>-0.75173409999999996</v>
      </c>
      <c r="S2469">
        <v>2.3933409999999999</v>
      </c>
      <c r="T2469">
        <v>-0.2244022</v>
      </c>
      <c r="U2469">
        <v>-1.9218439999999899</v>
      </c>
      <c r="V2469">
        <v>-0.2488795</v>
      </c>
      <c r="W2469">
        <v>4.7785019999999997E-2</v>
      </c>
      <c r="X2469">
        <v>0.96735499999999996</v>
      </c>
      <c r="Y2469">
        <v>-0.41066140000000001</v>
      </c>
      <c r="Z2469">
        <v>7.2159009999999996E-2</v>
      </c>
      <c r="AA2469">
        <v>0.90892809999999902</v>
      </c>
      <c r="AB2469">
        <v>45</v>
      </c>
      <c r="AC2469">
        <v>0.71899999999999398</v>
      </c>
      <c r="AD2469">
        <v>-8.6726999999999999E-2</v>
      </c>
      <c r="AE2469">
        <v>-0.33519999999998601</v>
      </c>
      <c r="AF2469">
        <v>-0.48430694984043199</v>
      </c>
      <c r="AG2469">
        <v>-8.6726999999999999E-2</v>
      </c>
      <c r="AH2469">
        <v>0.61643258361625897</v>
      </c>
      <c r="AI2469">
        <v>96.313040178476598</v>
      </c>
      <c r="AJ2469">
        <v>128.15533366437299</v>
      </c>
      <c r="AK2469">
        <v>0.78871029176533403</v>
      </c>
    </row>
    <row r="2470" spans="1:37" x14ac:dyDescent="0.2">
      <c r="A2470" t="str">
        <f>"20200111153443966"</f>
        <v>20200111153443966</v>
      </c>
      <c r="B2470" t="str">
        <f>"1578728083957975"</f>
        <v>1578728083957975</v>
      </c>
      <c r="C2470" t="s">
        <v>37</v>
      </c>
      <c r="D2470">
        <v>4.767684</v>
      </c>
      <c r="E2470">
        <v>0.42624409999999902</v>
      </c>
      <c r="F2470" t="s">
        <v>40</v>
      </c>
      <c r="G2470">
        <v>-484.37389999999999</v>
      </c>
      <c r="H2470">
        <v>1.038473</v>
      </c>
      <c r="I2470">
        <v>224.06909999999999</v>
      </c>
      <c r="J2470">
        <v>-485.05220000000003</v>
      </c>
      <c r="K2470">
        <v>1.117408</v>
      </c>
      <c r="L2470">
        <v>224.34829999999999</v>
      </c>
      <c r="M2470">
        <v>0.46382440000000003</v>
      </c>
      <c r="N2470">
        <v>0</v>
      </c>
      <c r="O2470">
        <v>-0.88591160000000002</v>
      </c>
      <c r="P2470">
        <v>0.66710409999999998</v>
      </c>
      <c r="Q2470">
        <v>5.1708629999999998E-2</v>
      </c>
      <c r="R2470">
        <v>-0.74316769999999999</v>
      </c>
      <c r="S2470">
        <v>2.422577</v>
      </c>
      <c r="T2470">
        <v>-0.21327499999999999</v>
      </c>
      <c r="U2470">
        <v>-1.886566</v>
      </c>
      <c r="V2470">
        <v>-0.24816269999999899</v>
      </c>
      <c r="W2470">
        <v>4.8009360000000001E-2</v>
      </c>
      <c r="X2470">
        <v>0.96752800000000005</v>
      </c>
      <c r="Y2470">
        <v>-0.41196490000000002</v>
      </c>
      <c r="Z2470">
        <v>6.8344230000000006E-2</v>
      </c>
      <c r="AA2470">
        <v>0.90863309999999997</v>
      </c>
      <c r="AB2470">
        <v>45</v>
      </c>
      <c r="AC2470">
        <v>0.67830000000003499</v>
      </c>
      <c r="AD2470">
        <v>-7.8934999999999894E-2</v>
      </c>
      <c r="AE2470">
        <v>-0.279200000000003</v>
      </c>
      <c r="AF2470">
        <v>-0.46602384193052399</v>
      </c>
      <c r="AG2470">
        <v>-7.8934999999999894E-2</v>
      </c>
      <c r="AH2470">
        <v>0.55553308457083195</v>
      </c>
      <c r="AI2470">
        <v>96.212654336670099</v>
      </c>
      <c r="AJ2470">
        <v>129.99250857977</v>
      </c>
      <c r="AK2470">
        <v>0.72940109920774598</v>
      </c>
    </row>
    <row r="2471" spans="1:37" x14ac:dyDescent="0.2">
      <c r="A2471" t="str">
        <f>"20200111153443990"</f>
        <v>20200111153443990</v>
      </c>
      <c r="B2471" t="str">
        <f>"1578728083978471"</f>
        <v>1578728083978471</v>
      </c>
      <c r="C2471" t="s">
        <v>37</v>
      </c>
      <c r="D2471">
        <v>4.7889080000000002</v>
      </c>
      <c r="E2471">
        <v>0.42655389999999999</v>
      </c>
      <c r="F2471" t="s">
        <v>40</v>
      </c>
      <c r="G2471">
        <v>-484.20249999999999</v>
      </c>
      <c r="H2471">
        <v>1.0438529999999999</v>
      </c>
      <c r="I2471">
        <v>223.70249999999999</v>
      </c>
      <c r="J2471">
        <v>-484.8288</v>
      </c>
      <c r="K2471">
        <v>1.11765</v>
      </c>
      <c r="L2471">
        <v>223.92920000000001</v>
      </c>
      <c r="M2471">
        <v>0.47619289999999997</v>
      </c>
      <c r="N2471">
        <v>0</v>
      </c>
      <c r="O2471">
        <v>-0.87932469999999996</v>
      </c>
      <c r="P2471">
        <v>0.67725950000000001</v>
      </c>
      <c r="Q2471">
        <v>5.2658280000000002E-2</v>
      </c>
      <c r="R2471">
        <v>-0.7338576</v>
      </c>
      <c r="S2471">
        <v>2.4444270000000001</v>
      </c>
      <c r="T2471">
        <v>-0.21156050000000001</v>
      </c>
      <c r="U2471">
        <v>-1.857254</v>
      </c>
      <c r="V2471">
        <v>-0.24800810000000001</v>
      </c>
      <c r="W2471">
        <v>4.8895229999999998E-2</v>
      </c>
      <c r="X2471">
        <v>0.96752329999999998</v>
      </c>
      <c r="Y2471">
        <v>-0.41006350000000003</v>
      </c>
      <c r="Z2471">
        <v>6.7504869999999995E-2</v>
      </c>
      <c r="AA2471">
        <v>0.90955540000000001</v>
      </c>
      <c r="AB2471">
        <v>46</v>
      </c>
      <c r="AC2471">
        <v>0.62630000000001396</v>
      </c>
      <c r="AD2471">
        <v>-7.3796999999999793E-2</v>
      </c>
      <c r="AE2471">
        <v>-0.226700000000022</v>
      </c>
      <c r="AF2471">
        <v>-0.43740501242361202</v>
      </c>
      <c r="AG2471">
        <v>-7.3796999999999793E-2</v>
      </c>
      <c r="AH2471">
        <v>0.49155545579284599</v>
      </c>
      <c r="AI2471">
        <v>96.399284110771305</v>
      </c>
      <c r="AJ2471">
        <v>131.66392163483201</v>
      </c>
      <c r="AK2471">
        <v>0.66211472436581098</v>
      </c>
    </row>
    <row r="2472" spans="1:37" x14ac:dyDescent="0.2">
      <c r="A2472" t="str">
        <f>"20200111153444011"</f>
        <v>20200111153444011</v>
      </c>
      <c r="B2472" t="str">
        <f>"1578728084008378"</f>
        <v>1578728084008378</v>
      </c>
      <c r="C2472" t="s">
        <v>37</v>
      </c>
      <c r="D2472">
        <v>4.7921290000000001</v>
      </c>
      <c r="E2472">
        <v>0.42686439999999998</v>
      </c>
      <c r="F2472" t="s">
        <v>40</v>
      </c>
      <c r="G2472">
        <v>-484.0138</v>
      </c>
      <c r="H2472">
        <v>1.048081</v>
      </c>
      <c r="I2472">
        <v>223.32660000000001</v>
      </c>
      <c r="J2472">
        <v>-484.6234</v>
      </c>
      <c r="K2472">
        <v>1.1178649999999899</v>
      </c>
      <c r="L2472">
        <v>223.5556</v>
      </c>
      <c r="M2472">
        <v>0.48732740000000002</v>
      </c>
      <c r="N2472">
        <v>0</v>
      </c>
      <c r="O2472">
        <v>-0.87320279999999995</v>
      </c>
      <c r="P2472">
        <v>0.68649280000000001</v>
      </c>
      <c r="Q2472">
        <v>5.3134649999999999E-2</v>
      </c>
      <c r="R2472">
        <v>-0.72519299999999998</v>
      </c>
      <c r="S2472">
        <v>2.46826199999999</v>
      </c>
      <c r="T2472">
        <v>-0.21070810000000001</v>
      </c>
      <c r="U2472">
        <v>-1.8251949999999999</v>
      </c>
      <c r="V2472">
        <v>-0.24802279999999999</v>
      </c>
      <c r="W2472">
        <v>4.9313860000000001E-2</v>
      </c>
      <c r="X2472">
        <v>0.96749819999999997</v>
      </c>
      <c r="Y2472">
        <v>-0.41034079999999901</v>
      </c>
      <c r="Z2472">
        <v>6.6988010000000001E-2</v>
      </c>
      <c r="AA2472">
        <v>0.90946849999999901</v>
      </c>
      <c r="AB2472">
        <v>46</v>
      </c>
      <c r="AC2472">
        <v>0.60960000000000003</v>
      </c>
      <c r="AD2472">
        <v>-6.9783999999999805E-2</v>
      </c>
      <c r="AE2472">
        <v>-0.22899999999998499</v>
      </c>
      <c r="AF2472">
        <v>-0.41593593756691999</v>
      </c>
      <c r="AG2472">
        <v>-6.9783999999999805E-2</v>
      </c>
      <c r="AH2472">
        <v>0.49140216102095702</v>
      </c>
      <c r="AI2472">
        <v>96.186358158219306</v>
      </c>
      <c r="AJ2472">
        <v>130.24546947176</v>
      </c>
      <c r="AK2472">
        <v>0.64757130470067903</v>
      </c>
    </row>
    <row r="2473" spans="1:37" x14ac:dyDescent="0.2">
      <c r="A2473" t="str">
        <f>"20200111153444033"</f>
        <v>20200111153444033</v>
      </c>
      <c r="B2473" t="str">
        <f>"1578728084028874"</f>
        <v>1578728084028874</v>
      </c>
      <c r="C2473" t="s">
        <v>37</v>
      </c>
      <c r="D2473">
        <v>4.770772</v>
      </c>
      <c r="E2473">
        <v>0.427176</v>
      </c>
      <c r="F2473" t="s">
        <v>40</v>
      </c>
      <c r="G2473">
        <v>-483.78370000000001</v>
      </c>
      <c r="H2473">
        <v>1.04630499999999</v>
      </c>
      <c r="I2473">
        <v>222.94990000000001</v>
      </c>
      <c r="J2473">
        <v>-484.39760000000001</v>
      </c>
      <c r="K2473">
        <v>1.1180909999999999</v>
      </c>
      <c r="L2473">
        <v>223.15690000000001</v>
      </c>
      <c r="M2473">
        <v>0.49931579999999898</v>
      </c>
      <c r="N2473">
        <v>0</v>
      </c>
      <c r="O2473">
        <v>-0.86640269999999997</v>
      </c>
      <c r="P2473">
        <v>0.69634399999999996</v>
      </c>
      <c r="Q2473">
        <v>5.35138E-2</v>
      </c>
      <c r="R2473">
        <v>-0.71571090000000004</v>
      </c>
      <c r="S2473">
        <v>2.489471</v>
      </c>
      <c r="T2473">
        <v>-0.2121372</v>
      </c>
      <c r="U2473">
        <v>-1.7957609999999999</v>
      </c>
      <c r="V2473">
        <v>-0.24797729999999901</v>
      </c>
      <c r="W2473">
        <v>4.963915E-2</v>
      </c>
      <c r="X2473">
        <v>0.96749319999999905</v>
      </c>
      <c r="Y2473">
        <v>-0.40850989999999998</v>
      </c>
      <c r="Z2473">
        <v>6.7119150000000002E-2</v>
      </c>
      <c r="AA2473">
        <v>0.910282699999999</v>
      </c>
      <c r="AB2473">
        <v>46</v>
      </c>
      <c r="AC2473">
        <v>0.613900000000001</v>
      </c>
      <c r="AD2473">
        <v>-7.17860000000001E-2</v>
      </c>
      <c r="AE2473">
        <v>-0.206999999999993</v>
      </c>
      <c r="AF2473">
        <v>-0.42333510704337002</v>
      </c>
      <c r="AG2473">
        <v>-7.17860000000001E-2</v>
      </c>
      <c r="AH2473">
        <v>0.47998946548154398</v>
      </c>
      <c r="AI2473">
        <v>96.399847825967498</v>
      </c>
      <c r="AJ2473">
        <v>131.41124616068501</v>
      </c>
      <c r="AK2473">
        <v>0.64401531784941302</v>
      </c>
    </row>
    <row r="2474" spans="1:37" x14ac:dyDescent="0.2">
      <c r="A2474" t="str">
        <f>"20200111153444057"</f>
        <v>20200111153444057</v>
      </c>
      <c r="B2474" t="str">
        <f>"1578728084048395"</f>
        <v>1578728084048395</v>
      </c>
      <c r="C2474" t="s">
        <v>37</v>
      </c>
      <c r="D2474">
        <v>4.8695069999999996</v>
      </c>
      <c r="E2474">
        <v>0.427485</v>
      </c>
      <c r="F2474" t="s">
        <v>50</v>
      </c>
      <c r="G2474">
        <v>-471.16050000000001</v>
      </c>
      <c r="H2474" s="1">
        <v>5.4110320000000004E-6</v>
      </c>
      <c r="I2474">
        <v>213.86599999999899</v>
      </c>
      <c r="J2474">
        <v>-484.16</v>
      </c>
      <c r="K2474">
        <v>1.118317</v>
      </c>
      <c r="L2474">
        <v>222.74979999999999</v>
      </c>
      <c r="M2474">
        <v>0.51165839999999996</v>
      </c>
      <c r="N2474">
        <v>0</v>
      </c>
      <c r="O2474">
        <v>-0.85917060000000001</v>
      </c>
      <c r="P2474">
        <v>0.70669969999999904</v>
      </c>
      <c r="Q2474">
        <v>5.324077E-2</v>
      </c>
      <c r="R2474">
        <v>-0.70550760000000001</v>
      </c>
      <c r="S2474">
        <v>2.5122070000000001</v>
      </c>
      <c r="T2474">
        <v>-0.21219470000000001</v>
      </c>
      <c r="U2474">
        <v>-1.7632599999999901</v>
      </c>
      <c r="V2474">
        <v>-0.2482472</v>
      </c>
      <c r="W2474">
        <v>4.9303390000000002E-2</v>
      </c>
      <c r="X2474">
        <v>0.9674412</v>
      </c>
      <c r="Y2474">
        <v>-0.40723229999999999</v>
      </c>
      <c r="Z2474">
        <v>6.6802509999999996E-2</v>
      </c>
      <c r="AA2474">
        <v>0.91087830000000003</v>
      </c>
      <c r="AB2474">
        <v>46</v>
      </c>
      <c r="AC2474">
        <v>12.999499999999999</v>
      </c>
      <c r="AD2474">
        <v>-1.118311588968</v>
      </c>
      <c r="AE2474">
        <v>-8.8838000000000008</v>
      </c>
      <c r="AF2474">
        <v>-6.5901765207512097</v>
      </c>
      <c r="AG2474">
        <v>-1.118311588968</v>
      </c>
      <c r="AH2474">
        <v>14.2125309120984</v>
      </c>
      <c r="AI2474">
        <v>94.083087716726297</v>
      </c>
      <c r="AJ2474">
        <v>114.87657731057401</v>
      </c>
      <c r="AK2474">
        <v>15.705956905328501</v>
      </c>
    </row>
    <row r="2475" spans="1:37" x14ac:dyDescent="0.2">
      <c r="A2475" t="str">
        <f>"20200111153444079"</f>
        <v>20200111153444079</v>
      </c>
      <c r="B2475" t="str">
        <f>"1578728084068890"</f>
        <v>1578728084068890</v>
      </c>
      <c r="C2475" t="s">
        <v>37</v>
      </c>
      <c r="D2475">
        <v>4.8938509999999997</v>
      </c>
      <c r="E2475">
        <v>0.427612299999999</v>
      </c>
      <c r="F2475" t="s">
        <v>50</v>
      </c>
      <c r="G2475">
        <v>-470.97269999999997</v>
      </c>
      <c r="H2475" s="1">
        <v>5.4897140000000001E-6</v>
      </c>
      <c r="I2475">
        <v>213.76169999999999</v>
      </c>
      <c r="J2475">
        <v>-483.92599999999999</v>
      </c>
      <c r="K2475">
        <v>1.11853</v>
      </c>
      <c r="L2475">
        <v>222.36089999999999</v>
      </c>
      <c r="M2475">
        <v>0.52354309999999904</v>
      </c>
      <c r="N2475">
        <v>0</v>
      </c>
      <c r="O2475">
        <v>-0.85198030000000002</v>
      </c>
      <c r="P2475">
        <v>0.71682250000000003</v>
      </c>
      <c r="Q2475">
        <v>5.2936509999999999E-2</v>
      </c>
      <c r="R2475">
        <v>-0.69524339999999996</v>
      </c>
      <c r="S2475">
        <v>2.5358890000000001</v>
      </c>
      <c r="T2475">
        <v>-0.21504949999999901</v>
      </c>
      <c r="U2475">
        <v>-1.72839399999999</v>
      </c>
      <c r="V2475">
        <v>-0.2487974</v>
      </c>
      <c r="W2475">
        <v>4.8933329999999997E-2</v>
      </c>
      <c r="X2475">
        <v>0.96731869999999998</v>
      </c>
      <c r="Y2475">
        <v>-0.40701569999999998</v>
      </c>
      <c r="Z2475">
        <v>6.7376430000000001E-2</v>
      </c>
      <c r="AA2475">
        <v>0.91093289999999905</v>
      </c>
      <c r="AB2475">
        <v>46</v>
      </c>
      <c r="AC2475">
        <v>12.9533</v>
      </c>
      <c r="AD2475">
        <v>-1.118524510286</v>
      </c>
      <c r="AE2475">
        <v>-8.5991999999999909</v>
      </c>
      <c r="AF2475">
        <v>-6.50036706975422</v>
      </c>
      <c r="AG2475">
        <v>-1.118524510286</v>
      </c>
      <c r="AH2475">
        <v>14.0355458507</v>
      </c>
      <c r="AI2475">
        <v>94.136048951673303</v>
      </c>
      <c r="AJ2475">
        <v>114.850554651376</v>
      </c>
      <c r="AK2475">
        <v>15.508140328510001</v>
      </c>
    </row>
    <row r="2476" spans="1:37" x14ac:dyDescent="0.2">
      <c r="A2476" t="str">
        <f>"20200111153444100"</f>
        <v>20200111153444100</v>
      </c>
      <c r="B2476" t="str">
        <f>"1578728084088973"</f>
        <v>1578728084088973</v>
      </c>
      <c r="C2476" t="s">
        <v>37</v>
      </c>
      <c r="D2476">
        <v>4.6082660000000004</v>
      </c>
      <c r="E2476">
        <v>0.42416039999999999</v>
      </c>
      <c r="F2476" t="s">
        <v>40</v>
      </c>
      <c r="G2476">
        <v>-482.90629999999999</v>
      </c>
      <c r="H2476">
        <v>1.0317129999999901</v>
      </c>
      <c r="I2476">
        <v>221.68629999999999</v>
      </c>
      <c r="J2476">
        <v>-483.69220000000001</v>
      </c>
      <c r="K2476">
        <v>1.1187209999999901</v>
      </c>
      <c r="L2476">
        <v>221.9845</v>
      </c>
      <c r="M2476">
        <v>0.5351378</v>
      </c>
      <c r="N2476">
        <v>0</v>
      </c>
      <c r="O2476">
        <v>-0.84474479999999996</v>
      </c>
      <c r="P2476">
        <v>0.7271147</v>
      </c>
      <c r="Q2476">
        <v>5.2357279999999999E-2</v>
      </c>
      <c r="R2476">
        <v>-0.68451609999999996</v>
      </c>
      <c r="S2476">
        <v>2.5595400000000001</v>
      </c>
      <c r="T2476">
        <v>-0.21781900000000001</v>
      </c>
      <c r="U2476">
        <v>-1.69264199999999</v>
      </c>
      <c r="V2476">
        <v>-0.24998979999999901</v>
      </c>
      <c r="W2476">
        <v>4.8267030000000002E-2</v>
      </c>
      <c r="X2476">
        <v>0.96704469999999998</v>
      </c>
      <c r="Y2476">
        <v>-0.40721819999999997</v>
      </c>
      <c r="Z2476">
        <v>6.7915100000000006E-2</v>
      </c>
      <c r="AA2476">
        <v>0.91080239999999901</v>
      </c>
      <c r="AB2476">
        <v>46</v>
      </c>
      <c r="AC2476">
        <v>0.78590000000002602</v>
      </c>
      <c r="AD2476">
        <v>-8.7007999999999905E-2</v>
      </c>
      <c r="AE2476">
        <v>-0.29820000000000801</v>
      </c>
      <c r="AF2476">
        <v>-0.49896920057162297</v>
      </c>
      <c r="AG2476">
        <v>-8.7007999999999905E-2</v>
      </c>
      <c r="AH2476">
        <v>0.66535021543896</v>
      </c>
      <c r="AI2476">
        <v>95.972526708486399</v>
      </c>
      <c r="AJ2476">
        <v>126.86750231386701</v>
      </c>
      <c r="AK2476">
        <v>0.83620067230764406</v>
      </c>
    </row>
    <row r="2477" spans="1:37" x14ac:dyDescent="0.2">
      <c r="A2477" t="str">
        <f>"20200111153444125"</f>
        <v>20200111153444125</v>
      </c>
      <c r="B2477" t="str">
        <f>"1578728084118256"</f>
        <v>1578728084118256</v>
      </c>
      <c r="C2477" t="s">
        <v>37</v>
      </c>
      <c r="D2477">
        <v>4.7996840000000001</v>
      </c>
      <c r="E2477">
        <v>0.34966529999999901</v>
      </c>
      <c r="F2477" t="s">
        <v>40</v>
      </c>
      <c r="G2477">
        <v>-482.68199999999899</v>
      </c>
      <c r="H2477">
        <v>1.0331299999999899</v>
      </c>
      <c r="I2477">
        <v>221.35040000000001</v>
      </c>
      <c r="J2477">
        <v>-483.426999999999</v>
      </c>
      <c r="K2477">
        <v>1.118916</v>
      </c>
      <c r="L2477">
        <v>221.57060000000001</v>
      </c>
      <c r="M2477">
        <v>0.54795340000000003</v>
      </c>
      <c r="N2477">
        <v>0</v>
      </c>
      <c r="O2477">
        <v>-0.83648809999999996</v>
      </c>
      <c r="P2477">
        <v>0.73866909999999997</v>
      </c>
      <c r="Q2477">
        <v>5.1546469999999997E-2</v>
      </c>
      <c r="R2477">
        <v>-0.67209439999999998</v>
      </c>
      <c r="S2477">
        <v>2.603577</v>
      </c>
      <c r="T2477">
        <v>-0.22056319999999999</v>
      </c>
      <c r="U2477">
        <v>-1.633942</v>
      </c>
      <c r="V2477">
        <v>-0.25168179999999901</v>
      </c>
      <c r="W2477">
        <v>4.7348260000000003E-2</v>
      </c>
      <c r="X2477">
        <v>0.96665109999999999</v>
      </c>
      <c r="Y2477">
        <v>-0.41495070000000001</v>
      </c>
      <c r="Z2477">
        <v>6.8431060000000002E-2</v>
      </c>
      <c r="AA2477">
        <v>0.90726679999999904</v>
      </c>
      <c r="AB2477">
        <v>46</v>
      </c>
      <c r="AC2477">
        <v>0.74500000000000399</v>
      </c>
      <c r="AD2477">
        <v>-8.5786000000000098E-2</v>
      </c>
      <c r="AE2477">
        <v>-0.220200000000005</v>
      </c>
      <c r="AF2477">
        <v>-0.49647895813870002</v>
      </c>
      <c r="AG2477">
        <v>-8.5786000000000098E-2</v>
      </c>
      <c r="AH2477">
        <v>0.58529318536173003</v>
      </c>
      <c r="AI2477">
        <v>96.377649102762803</v>
      </c>
      <c r="AJ2477">
        <v>130.306504260618</v>
      </c>
      <c r="AK2477">
        <v>0.77228149434087201</v>
      </c>
    </row>
    <row r="2478" spans="1:37" x14ac:dyDescent="0.2">
      <c r="A2478" t="str">
        <f>"20200111153444146"</f>
        <v>20200111153444146</v>
      </c>
      <c r="B2478" t="str">
        <f>"1578728084138750"</f>
        <v>1578728084138750</v>
      </c>
      <c r="C2478" t="s">
        <v>37</v>
      </c>
      <c r="D2478">
        <v>4.6991059999999996</v>
      </c>
      <c r="E2478">
        <v>0.35027720000000001</v>
      </c>
      <c r="F2478" t="s">
        <v>50</v>
      </c>
      <c r="G2478">
        <v>-470.5865</v>
      </c>
      <c r="H2478" s="1">
        <v>5.7890500000000001E-6</v>
      </c>
      <c r="I2478">
        <v>216.6909</v>
      </c>
      <c r="J2478">
        <v>-483.18419999999998</v>
      </c>
      <c r="K2478">
        <v>1.119073</v>
      </c>
      <c r="L2478">
        <v>221.20240000000001</v>
      </c>
      <c r="M2478">
        <v>0.55939139999999998</v>
      </c>
      <c r="N2478">
        <v>0</v>
      </c>
      <c r="O2478">
        <v>-0.82888220000000001</v>
      </c>
      <c r="P2478">
        <v>0.74829109999999999</v>
      </c>
      <c r="Q2478">
        <v>5.0745289999999998E-2</v>
      </c>
      <c r="R2478">
        <v>-0.66142679999999998</v>
      </c>
      <c r="S2478">
        <v>3.031555</v>
      </c>
      <c r="T2478">
        <v>-0.26416640000000002</v>
      </c>
      <c r="U2478">
        <v>-1.1520539999999999</v>
      </c>
      <c r="V2478">
        <v>-0.25231049999999999</v>
      </c>
      <c r="W2478">
        <v>4.6488999999999898E-2</v>
      </c>
      <c r="X2478">
        <v>0.96652899999999997</v>
      </c>
      <c r="Y2478">
        <v>-0.57252919999999996</v>
      </c>
      <c r="Z2478">
        <v>8.1666160000000002E-2</v>
      </c>
      <c r="AA2478">
        <v>0.8158069</v>
      </c>
      <c r="AB2478">
        <v>46</v>
      </c>
      <c r="AC2478">
        <v>12.5976999999999</v>
      </c>
      <c r="AD2478">
        <v>-1.1190672109499999</v>
      </c>
      <c r="AE2478">
        <v>-4.5115000000000096</v>
      </c>
      <c r="AF2478">
        <v>-7.8634589250792404</v>
      </c>
      <c r="AG2478">
        <v>-1.1190672109499999</v>
      </c>
      <c r="AH2478">
        <v>10.711820640602401</v>
      </c>
      <c r="AI2478">
        <v>94.813800371568803</v>
      </c>
      <c r="AJ2478">
        <v>126.28208441031499</v>
      </c>
      <c r="AK2478">
        <v>13.335268993367499</v>
      </c>
    </row>
    <row r="2479" spans="1:37" x14ac:dyDescent="0.2">
      <c r="A2479" t="str">
        <f>"20200111153444168"</f>
        <v>20200111153444168</v>
      </c>
      <c r="B2479" t="str">
        <f>"1578728084158272"</f>
        <v>1578728084158272</v>
      </c>
      <c r="C2479" t="s">
        <v>37</v>
      </c>
      <c r="D2479">
        <v>4.676031</v>
      </c>
      <c r="E2479">
        <v>0.35113820000000001</v>
      </c>
      <c r="F2479" t="s">
        <v>50</v>
      </c>
      <c r="G2479">
        <v>-470.50049999999999</v>
      </c>
      <c r="H2479" s="1">
        <v>5.8219210000000001E-6</v>
      </c>
      <c r="I2479">
        <v>216.571</v>
      </c>
      <c r="J2479">
        <v>-482.93020000000001</v>
      </c>
      <c r="K2479">
        <v>1.1192249999999999</v>
      </c>
      <c r="L2479">
        <v>220.82820000000001</v>
      </c>
      <c r="M2479">
        <v>0.57104719999999998</v>
      </c>
      <c r="N2479">
        <v>0</v>
      </c>
      <c r="O2479">
        <v>-0.82089509999999899</v>
      </c>
      <c r="P2479">
        <v>0.75788159999999904</v>
      </c>
      <c r="Q2479">
        <v>5.0260510000000001E-2</v>
      </c>
      <c r="R2479">
        <v>-0.65045330000000001</v>
      </c>
      <c r="S2479">
        <v>3.0446469999999999</v>
      </c>
      <c r="T2479">
        <v>-0.26862649999999999</v>
      </c>
      <c r="U2479">
        <v>-1.11174</v>
      </c>
      <c r="V2479">
        <v>-0.25276650000000001</v>
      </c>
      <c r="W2479">
        <v>4.5955509999999998E-2</v>
      </c>
      <c r="X2479">
        <v>0.9664353</v>
      </c>
      <c r="Y2479">
        <v>-0.57151430000000003</v>
      </c>
      <c r="Z2479">
        <v>8.2697989999999999E-2</v>
      </c>
      <c r="AA2479">
        <v>0.81641439999999998</v>
      </c>
      <c r="AB2479">
        <v>47</v>
      </c>
      <c r="AC2479">
        <v>12.4297</v>
      </c>
      <c r="AD2479">
        <v>-1.119219178079</v>
      </c>
      <c r="AE2479">
        <v>-4.2572000000000099</v>
      </c>
      <c r="AF2479">
        <v>-7.7165624827775803</v>
      </c>
      <c r="AG2479">
        <v>-1.119219178079</v>
      </c>
      <c r="AH2479">
        <v>10.5165375919639</v>
      </c>
      <c r="AI2479">
        <v>94.904202977323607</v>
      </c>
      <c r="AJ2479">
        <v>126.26954694458399</v>
      </c>
      <c r="AK2479">
        <v>13.091812366604501</v>
      </c>
    </row>
    <row r="2480" spans="1:37" x14ac:dyDescent="0.2">
      <c r="A2480" t="str">
        <f>"20200111153444191"</f>
        <v>20200111153444191</v>
      </c>
      <c r="B2480" t="str">
        <f>"1578728084188527"</f>
        <v>1578728084188527</v>
      </c>
      <c r="C2480" t="s">
        <v>37</v>
      </c>
      <c r="D2480">
        <v>4.6659280000000001</v>
      </c>
      <c r="E2480">
        <v>0.35407899999999998</v>
      </c>
      <c r="F2480" t="s">
        <v>50</v>
      </c>
      <c r="G2480">
        <v>-470.24699999999899</v>
      </c>
      <c r="H2480" s="1">
        <v>5.9257970000000002E-6</v>
      </c>
      <c r="I2480">
        <v>216.37549999999999</v>
      </c>
      <c r="J2480">
        <v>-482.66030000000001</v>
      </c>
      <c r="K2480">
        <v>1.1193759999999999</v>
      </c>
      <c r="L2480">
        <v>220.4419</v>
      </c>
      <c r="M2480">
        <v>0.58310079999999997</v>
      </c>
      <c r="N2480">
        <v>0</v>
      </c>
      <c r="O2480">
        <v>-0.81237669999999995</v>
      </c>
      <c r="P2480">
        <v>0.76761269999999904</v>
      </c>
      <c r="Q2480">
        <v>5.0058289999999998E-2</v>
      </c>
      <c r="R2480">
        <v>-0.63895619999999997</v>
      </c>
      <c r="S2480">
        <v>3.055634</v>
      </c>
      <c r="T2480">
        <v>-0.26964149999999998</v>
      </c>
      <c r="U2480">
        <v>-1.0727389999999899</v>
      </c>
      <c r="V2480">
        <v>-0.25309369999999998</v>
      </c>
      <c r="W2480">
        <v>4.5712099999999999E-2</v>
      </c>
      <c r="X2480">
        <v>0.96636119999999903</v>
      </c>
      <c r="Y2480">
        <v>-0.56959930000000003</v>
      </c>
      <c r="Z2480">
        <v>8.2627939999999997E-2</v>
      </c>
      <c r="AA2480">
        <v>0.81775869999999995</v>
      </c>
      <c r="AB2480">
        <v>47</v>
      </c>
      <c r="AC2480">
        <v>12.4133</v>
      </c>
      <c r="AD2480">
        <v>-1.1193700742029999</v>
      </c>
      <c r="AE2480">
        <v>-4.0664000000000096</v>
      </c>
      <c r="AF2480">
        <v>-7.6570697370848499</v>
      </c>
      <c r="AG2480">
        <v>-1.1193700742029999</v>
      </c>
      <c r="AH2480">
        <v>10.465001974619501</v>
      </c>
      <c r="AI2480">
        <v>94.933742743429704</v>
      </c>
      <c r="AJ2480">
        <v>126.192320180126</v>
      </c>
      <c r="AK2480">
        <v>13.0153744721538</v>
      </c>
    </row>
    <row r="2481" spans="1:37" x14ac:dyDescent="0.2">
      <c r="A2481" t="str">
        <f>"20200111153444212"</f>
        <v>20200111153444212</v>
      </c>
      <c r="B2481" t="str">
        <f>"1578728084208754"</f>
        <v>1578728084208754</v>
      </c>
      <c r="C2481" t="s">
        <v>37</v>
      </c>
      <c r="D2481">
        <v>4.6174210000000002</v>
      </c>
      <c r="E2481">
        <v>0.35536599999999902</v>
      </c>
      <c r="F2481" t="s">
        <v>40</v>
      </c>
      <c r="G2481">
        <v>-481.67149999999998</v>
      </c>
      <c r="H2481">
        <v>1.0305150000000001</v>
      </c>
      <c r="I2481">
        <v>220.1035</v>
      </c>
      <c r="J2481">
        <v>-482.40039999999999</v>
      </c>
      <c r="K2481">
        <v>1.119516</v>
      </c>
      <c r="L2481">
        <v>220.0804</v>
      </c>
      <c r="M2481">
        <v>0.5943908</v>
      </c>
      <c r="N2481">
        <v>0</v>
      </c>
      <c r="O2481">
        <v>-0.80415249999999905</v>
      </c>
      <c r="P2481">
        <v>0.77700380000000002</v>
      </c>
      <c r="Q2481">
        <v>4.9871789999999999E-2</v>
      </c>
      <c r="R2481">
        <v>-0.62751749999999995</v>
      </c>
      <c r="S2481">
        <v>3.0558169999999998</v>
      </c>
      <c r="T2481">
        <v>-0.27461669999999999</v>
      </c>
      <c r="U2481">
        <v>-1.0455019999999999</v>
      </c>
      <c r="V2481">
        <v>-0.25392919999999902</v>
      </c>
      <c r="W2481">
        <v>4.5469170000000003E-2</v>
      </c>
      <c r="X2481">
        <v>0.9661535</v>
      </c>
      <c r="Y2481">
        <v>-0.564523</v>
      </c>
      <c r="Z2481">
        <v>8.3805489999999996E-2</v>
      </c>
      <c r="AA2481">
        <v>0.82115190000000005</v>
      </c>
      <c r="AB2481">
        <v>47</v>
      </c>
      <c r="AC2481">
        <v>0.72890000000000998</v>
      </c>
      <c r="AD2481">
        <v>-8.9000999999999802E-2</v>
      </c>
      <c r="AE2481">
        <v>2.3099999999999399E-2</v>
      </c>
      <c r="AF2481">
        <v>-0.591084930953926</v>
      </c>
      <c r="AG2481">
        <v>-8.9000999999999802E-2</v>
      </c>
      <c r="AH2481">
        <v>0.40859773311505598</v>
      </c>
      <c r="AI2481">
        <v>97.060673440321096</v>
      </c>
      <c r="AJ2481">
        <v>145.34515930942101</v>
      </c>
      <c r="AK2481">
        <v>0.72405433574322997</v>
      </c>
    </row>
    <row r="2482" spans="1:37" x14ac:dyDescent="0.2">
      <c r="A2482" t="str">
        <f>"20200111153444235"</f>
        <v>20200111153444235</v>
      </c>
      <c r="B2482" t="str">
        <f>"1578728084228274"</f>
        <v>1578728084228274</v>
      </c>
      <c r="C2482" t="s">
        <v>37</v>
      </c>
      <c r="D2482">
        <v>4.58847</v>
      </c>
      <c r="E2482">
        <v>0.35649769999999997</v>
      </c>
      <c r="F2482" t="s">
        <v>40</v>
      </c>
      <c r="G2482">
        <v>-481.4391</v>
      </c>
      <c r="H2482">
        <v>1.033091</v>
      </c>
      <c r="I2482">
        <v>219.76400000000001</v>
      </c>
      <c r="J2482">
        <v>-482.11989999999997</v>
      </c>
      <c r="K2482">
        <v>1.1196549999999901</v>
      </c>
      <c r="L2482">
        <v>219.7011</v>
      </c>
      <c r="M2482">
        <v>0.60623570000000004</v>
      </c>
      <c r="N2482">
        <v>0</v>
      </c>
      <c r="O2482">
        <v>-0.79526030000000003</v>
      </c>
      <c r="P2482">
        <v>0.78648430000000003</v>
      </c>
      <c r="Q2482">
        <v>5.0632990000000003E-2</v>
      </c>
      <c r="R2482">
        <v>-0.6155313</v>
      </c>
      <c r="S2482">
        <v>3.0647279999999899</v>
      </c>
      <c r="T2482">
        <v>-0.27543129999999999</v>
      </c>
      <c r="U2482">
        <v>-1.007843</v>
      </c>
      <c r="V2482">
        <v>-0.254444</v>
      </c>
      <c r="W2482">
        <v>4.6190340000000003E-2</v>
      </c>
      <c r="X2482">
        <v>0.96598379999999995</v>
      </c>
      <c r="Y2482">
        <v>-0.56211899999999904</v>
      </c>
      <c r="Z2482">
        <v>8.3619509999999994E-2</v>
      </c>
      <c r="AA2482">
        <v>0.8228183</v>
      </c>
      <c r="AB2482">
        <v>47</v>
      </c>
      <c r="AC2482">
        <v>0.68079999999997598</v>
      </c>
      <c r="AD2482">
        <v>-8.6563999999999794E-2</v>
      </c>
      <c r="AE2482">
        <v>6.2900000000013195E-2</v>
      </c>
      <c r="AF2482">
        <v>-0.57041289451886801</v>
      </c>
      <c r="AG2482">
        <v>-8.6563999999999794E-2</v>
      </c>
      <c r="AH2482">
        <v>0.35698787018629002</v>
      </c>
      <c r="AI2482">
        <v>97.3303166690213</v>
      </c>
      <c r="AJ2482">
        <v>147.95997268586601</v>
      </c>
      <c r="AK2482">
        <v>0.67845746792966799</v>
      </c>
    </row>
    <row r="2483" spans="1:37" x14ac:dyDescent="0.2">
      <c r="A2483" t="str">
        <f>"20200111153444257"</f>
        <v>20200111153444257</v>
      </c>
      <c r="B2483" t="str">
        <f>"1578728084248770"</f>
        <v>1578728084248770</v>
      </c>
      <c r="C2483" t="s">
        <v>37</v>
      </c>
      <c r="D2483">
        <v>4.7207929999999996</v>
      </c>
      <c r="E2483">
        <v>0.34487640000000003</v>
      </c>
      <c r="F2483" t="s">
        <v>40</v>
      </c>
      <c r="G2483">
        <v>-481.21159999999998</v>
      </c>
      <c r="H2483">
        <v>1.0391569999999899</v>
      </c>
      <c r="I2483">
        <v>219.4153</v>
      </c>
      <c r="J2483">
        <v>-481.83960000000002</v>
      </c>
      <c r="K2483">
        <v>1.1197790000000001</v>
      </c>
      <c r="L2483">
        <v>219.3329</v>
      </c>
      <c r="M2483">
        <v>0.61772369999999899</v>
      </c>
      <c r="N2483">
        <v>0</v>
      </c>
      <c r="O2483">
        <v>-0.7863694</v>
      </c>
      <c r="P2483">
        <v>0.79545049999999995</v>
      </c>
      <c r="Q2483">
        <v>5.0903289999999997E-2</v>
      </c>
      <c r="R2483">
        <v>-0.603877</v>
      </c>
      <c r="S2483">
        <v>3.0744630000000002</v>
      </c>
      <c r="T2483">
        <v>-0.27255429999999897</v>
      </c>
      <c r="U2483">
        <v>-0.96792599999999995</v>
      </c>
      <c r="V2483">
        <v>-0.25465989999999999</v>
      </c>
      <c r="W2483">
        <v>4.6438029999999998E-2</v>
      </c>
      <c r="X2483">
        <v>0.96591499999999997</v>
      </c>
      <c r="Y2483">
        <v>-0.56068589999999996</v>
      </c>
      <c r="Z2483">
        <v>8.2327300000000006E-2</v>
      </c>
      <c r="AA2483">
        <v>0.82392569999999998</v>
      </c>
      <c r="AB2483">
        <v>47</v>
      </c>
      <c r="AC2483">
        <v>0.62800000000004197</v>
      </c>
      <c r="AD2483">
        <v>-8.0622000000000194E-2</v>
      </c>
      <c r="AE2483">
        <v>8.2400000000006898E-2</v>
      </c>
      <c r="AF2483">
        <v>-0.53606601258893205</v>
      </c>
      <c r="AG2483">
        <v>-8.0622000000000194E-2</v>
      </c>
      <c r="AH2483">
        <v>0.31798809032094999</v>
      </c>
      <c r="AI2483">
        <v>97.3703028172947</v>
      </c>
      <c r="AJ2483">
        <v>149.32407756583601</v>
      </c>
      <c r="AK2483">
        <v>0.62847681128500099</v>
      </c>
    </row>
    <row r="2484" spans="1:37" x14ac:dyDescent="0.2">
      <c r="A2484" t="str">
        <f>"20200111153444282"</f>
        <v>20200111153444282</v>
      </c>
      <c r="B2484" t="str">
        <f>"1578728084278050"</f>
        <v>1578728084278050</v>
      </c>
      <c r="C2484" t="s">
        <v>37</v>
      </c>
      <c r="D2484">
        <v>4.6632400000000001</v>
      </c>
      <c r="E2484">
        <v>0.34811880000000001</v>
      </c>
      <c r="F2484" t="s">
        <v>60</v>
      </c>
      <c r="G2484">
        <v>-386.46719999999999</v>
      </c>
      <c r="H2484">
        <v>0.74640059999999997</v>
      </c>
      <c r="I2484">
        <v>193.9709</v>
      </c>
      <c r="J2484">
        <v>-481.524</v>
      </c>
      <c r="K2484">
        <v>1.1199049999999999</v>
      </c>
      <c r="L2484">
        <v>218.9314</v>
      </c>
      <c r="M2484">
        <v>0.63024290000000005</v>
      </c>
      <c r="N2484">
        <v>0</v>
      </c>
      <c r="O2484">
        <v>-0.77637129999999999</v>
      </c>
      <c r="P2484">
        <v>0.80542650000000005</v>
      </c>
      <c r="Q2484">
        <v>5.0357909999999999E-2</v>
      </c>
      <c r="R2484">
        <v>-0.59055259999999998</v>
      </c>
      <c r="S2484">
        <v>3.138611</v>
      </c>
      <c r="T2484">
        <v>-1.22875E-2</v>
      </c>
      <c r="U2484">
        <v>-0.83464050000000001</v>
      </c>
      <c r="V2484">
        <v>-0.25528529999999999</v>
      </c>
      <c r="W2484">
        <v>4.5855479999999997E-2</v>
      </c>
      <c r="X2484">
        <v>0.96577780000000002</v>
      </c>
      <c r="Y2484">
        <v>-0.58833009999999997</v>
      </c>
      <c r="Z2484">
        <v>3.71308599999999E-3</v>
      </c>
      <c r="AA2484">
        <v>0.80861229999999995</v>
      </c>
      <c r="AB2484">
        <v>47</v>
      </c>
      <c r="AC2484">
        <v>95.056799999999996</v>
      </c>
      <c r="AD2484">
        <v>-0.37350440000000001</v>
      </c>
      <c r="AE2484">
        <v>-24.9605</v>
      </c>
      <c r="AF2484">
        <v>-58.068559487861002</v>
      </c>
      <c r="AG2484">
        <v>-0.37350440000000001</v>
      </c>
      <c r="AH2484">
        <v>79.287988878932694</v>
      </c>
      <c r="AI2484">
        <v>90.217751151288994</v>
      </c>
      <c r="AJ2484">
        <v>126.218123814824</v>
      </c>
      <c r="AK2484">
        <v>98.278595263657607</v>
      </c>
    </row>
    <row r="2485" spans="1:37" x14ac:dyDescent="0.2">
      <c r="A2485" t="str">
        <f>"20200111153444303"</f>
        <v>20200111153444303</v>
      </c>
      <c r="B2485" t="str">
        <f>"1578728084298124"</f>
        <v>1578728084298124</v>
      </c>
      <c r="C2485" t="s">
        <v>37</v>
      </c>
      <c r="D2485">
        <v>4.5915929999999996</v>
      </c>
      <c r="E2485">
        <v>0.34003299999999997</v>
      </c>
      <c r="F2485" t="s">
        <v>52</v>
      </c>
      <c r="G2485">
        <v>-457.41649999999998</v>
      </c>
      <c r="H2485" s="1">
        <v>2.4929019999999999E-6</v>
      </c>
      <c r="I2485">
        <v>212.71709999999999</v>
      </c>
      <c r="J2485">
        <v>-481.2568</v>
      </c>
      <c r="K2485">
        <v>1.119999</v>
      </c>
      <c r="L2485">
        <v>218.6009</v>
      </c>
      <c r="M2485">
        <v>0.64052339999999997</v>
      </c>
      <c r="N2485">
        <v>0</v>
      </c>
      <c r="O2485">
        <v>-0.76791100000000001</v>
      </c>
      <c r="P2485">
        <v>0.81367509999999998</v>
      </c>
      <c r="Q2485">
        <v>5.0057839999999999E-2</v>
      </c>
      <c r="R2485">
        <v>-0.57916089999999998</v>
      </c>
      <c r="S2485">
        <v>3.1403500000000002</v>
      </c>
      <c r="T2485">
        <v>-0.14588299999999901</v>
      </c>
      <c r="U2485">
        <v>-0.80949399999999905</v>
      </c>
      <c r="V2485">
        <v>-0.25603239999999999</v>
      </c>
      <c r="W2485">
        <v>4.551728E-2</v>
      </c>
      <c r="X2485">
        <v>0.96559599999999901</v>
      </c>
      <c r="Y2485">
        <v>-0.58259510000000003</v>
      </c>
      <c r="Z2485">
        <v>4.377752E-2</v>
      </c>
      <c r="AA2485">
        <v>0.81158269999999899</v>
      </c>
      <c r="AB2485">
        <v>47</v>
      </c>
      <c r="AC2485">
        <v>23.840299999999999</v>
      </c>
      <c r="AD2485">
        <v>-1.119996507098</v>
      </c>
      <c r="AE2485">
        <v>-5.8837999999999999</v>
      </c>
      <c r="AF2485">
        <v>-14.508643078694099</v>
      </c>
      <c r="AG2485">
        <v>-1.119996507098</v>
      </c>
      <c r="AH2485">
        <v>19.747843050930801</v>
      </c>
      <c r="AI2485">
        <v>92.616908880971906</v>
      </c>
      <c r="AJ2485">
        <v>126.304541769338</v>
      </c>
      <c r="AK2485">
        <v>24.530234840397402</v>
      </c>
    </row>
    <row r="2486" spans="1:37" x14ac:dyDescent="0.2">
      <c r="A2486" t="str">
        <f>"20200111153444325"</f>
        <v>20200111153444325</v>
      </c>
      <c r="B2486" t="str">
        <f>"1578728084318620"</f>
        <v>1578728084318620</v>
      </c>
      <c r="C2486" t="s">
        <v>37</v>
      </c>
      <c r="D2486">
        <v>4.6028099999999998</v>
      </c>
      <c r="E2486">
        <v>0.33562509999999901</v>
      </c>
      <c r="F2486" t="s">
        <v>52</v>
      </c>
      <c r="G2486">
        <v>-458.13080000000002</v>
      </c>
      <c r="H2486" s="1">
        <v>2.8418769999999998E-6</v>
      </c>
      <c r="I2486">
        <v>213.43010000000001</v>
      </c>
      <c r="J2486">
        <v>-480.94909999999999</v>
      </c>
      <c r="K2486">
        <v>1.120093</v>
      </c>
      <c r="L2486">
        <v>218.23079999999999</v>
      </c>
      <c r="M2486">
        <v>0.65200259999999999</v>
      </c>
      <c r="N2486">
        <v>0</v>
      </c>
      <c r="O2486">
        <v>-0.75818809999999903</v>
      </c>
      <c r="P2486">
        <v>0.82239649999999997</v>
      </c>
      <c r="Q2486">
        <v>4.9346180000000003E-2</v>
      </c>
      <c r="R2486">
        <v>-0.56677040000000001</v>
      </c>
      <c r="S2486">
        <v>3.188965</v>
      </c>
      <c r="T2486">
        <v>-0.154442</v>
      </c>
      <c r="U2486">
        <v>-0.713028</v>
      </c>
      <c r="V2486">
        <v>-0.25614890000000001</v>
      </c>
      <c r="W2486">
        <v>4.4798459999999998E-2</v>
      </c>
      <c r="X2486">
        <v>0.96559869999999903</v>
      </c>
      <c r="Y2486">
        <v>-0.596383199999999</v>
      </c>
      <c r="Z2486">
        <v>4.5999569999999997E-2</v>
      </c>
      <c r="AA2486">
        <v>0.8013808</v>
      </c>
      <c r="AB2486">
        <v>47</v>
      </c>
      <c r="AC2486">
        <v>22.818299999999901</v>
      </c>
      <c r="AD2486">
        <v>-1.1200901581230001</v>
      </c>
      <c r="AE2486">
        <v>-4.8006999999999698</v>
      </c>
      <c r="AF2486">
        <v>-14.138179327475999</v>
      </c>
      <c r="AG2486">
        <v>-1.1200901581230001</v>
      </c>
      <c r="AH2486">
        <v>18.475196206090001</v>
      </c>
      <c r="AI2486">
        <v>92.756468640867695</v>
      </c>
      <c r="AJ2486">
        <v>127.425092732561</v>
      </c>
      <c r="AK2486">
        <v>23.291105416268199</v>
      </c>
    </row>
    <row r="2487" spans="1:37" x14ac:dyDescent="0.2">
      <c r="A2487" t="str">
        <f>"20200111153444347"</f>
        <v>20200111153444347</v>
      </c>
      <c r="B2487" t="str">
        <f>"1578728084338141"</f>
        <v>1578728084338141</v>
      </c>
      <c r="C2487" t="s">
        <v>37</v>
      </c>
      <c r="D2487">
        <v>4.5064190000000002</v>
      </c>
      <c r="E2487">
        <v>0.3308469</v>
      </c>
      <c r="F2487" t="s">
        <v>52</v>
      </c>
      <c r="G2487">
        <v>-457.71660000000003</v>
      </c>
      <c r="H2487" s="1">
        <v>2.6120269999999998E-6</v>
      </c>
      <c r="I2487">
        <v>213.64599999999999</v>
      </c>
      <c r="J2487">
        <v>-480.6438</v>
      </c>
      <c r="K2487">
        <v>1.1201719999999999</v>
      </c>
      <c r="L2487">
        <v>217.874</v>
      </c>
      <c r="M2487">
        <v>0.66302879999999997</v>
      </c>
      <c r="N2487">
        <v>0</v>
      </c>
      <c r="O2487">
        <v>-0.74856449999999997</v>
      </c>
      <c r="P2487">
        <v>0.83049289999999998</v>
      </c>
      <c r="Q2487">
        <v>4.892005E-2</v>
      </c>
      <c r="R2487">
        <v>-0.55487699999999995</v>
      </c>
      <c r="S2487">
        <v>3.2192989999999999</v>
      </c>
      <c r="T2487">
        <v>-0.15520970000000001</v>
      </c>
      <c r="U2487">
        <v>-0.63531490000000002</v>
      </c>
      <c r="V2487">
        <v>-0.25592670000000001</v>
      </c>
      <c r="W2487">
        <v>4.4382599999999897E-2</v>
      </c>
      <c r="X2487">
        <v>0.9656768</v>
      </c>
      <c r="Y2487">
        <v>-0.60474949999999905</v>
      </c>
      <c r="Z2487">
        <v>4.5936100000000001E-2</v>
      </c>
      <c r="AA2487">
        <v>0.79508990000000002</v>
      </c>
      <c r="AB2487">
        <v>47</v>
      </c>
      <c r="AC2487">
        <v>22.9271999999999</v>
      </c>
      <c r="AD2487">
        <v>-1.1201693879729999</v>
      </c>
      <c r="AE2487">
        <v>-4.22800000000003</v>
      </c>
      <c r="AF2487">
        <v>-14.326444636232299</v>
      </c>
      <c r="AG2487">
        <v>-1.1201693879729999</v>
      </c>
      <c r="AH2487">
        <v>18.3244255722466</v>
      </c>
      <c r="AI2487">
        <v>92.757145051005693</v>
      </c>
      <c r="AJ2487">
        <v>128.01908920869101</v>
      </c>
      <c r="AK2487">
        <v>23.287042919305701</v>
      </c>
    </row>
    <row r="2488" spans="1:37" x14ac:dyDescent="0.2">
      <c r="A2488" t="str">
        <f>"20200111153444370"</f>
        <v>20200111153444370</v>
      </c>
      <c r="B2488" t="str">
        <f>"1578728084358639"</f>
        <v>1578728084358639</v>
      </c>
      <c r="C2488" t="s">
        <v>37</v>
      </c>
      <c r="D2488">
        <v>4.6217129999999997</v>
      </c>
      <c r="E2488">
        <v>0.33013979999999998</v>
      </c>
      <c r="F2488" t="s">
        <v>52</v>
      </c>
      <c r="G2488">
        <v>-447.55290000000002</v>
      </c>
      <c r="H2488" s="1">
        <v>2.5870549999999898E-6</v>
      </c>
      <c r="I2488">
        <v>212.22470000000001</v>
      </c>
      <c r="J2488">
        <v>-480.33269999999999</v>
      </c>
      <c r="K2488">
        <v>1.1202559999999999</v>
      </c>
      <c r="L2488">
        <v>217.5206</v>
      </c>
      <c r="M2488">
        <v>0.67390589999999995</v>
      </c>
      <c r="N2488">
        <v>0</v>
      </c>
      <c r="O2488">
        <v>-0.73878690000000002</v>
      </c>
      <c r="P2488">
        <v>0.83841279999999996</v>
      </c>
      <c r="Q2488">
        <v>5.0121230000000003E-2</v>
      </c>
      <c r="R2488">
        <v>-0.54272600000000004</v>
      </c>
      <c r="S2488">
        <v>3.248291</v>
      </c>
      <c r="T2488">
        <v>-0.109958999999999</v>
      </c>
      <c r="U2488">
        <v>-0.55455019999999999</v>
      </c>
      <c r="V2488">
        <v>-0.25587500000000002</v>
      </c>
      <c r="W2488">
        <v>4.5591109999999997E-2</v>
      </c>
      <c r="X2488">
        <v>0.965634199999999</v>
      </c>
      <c r="Y2488">
        <v>-0.61420379999999997</v>
      </c>
      <c r="Z2488">
        <v>3.2362700000000001E-2</v>
      </c>
      <c r="AA2488">
        <v>0.78848359999999995</v>
      </c>
      <c r="AB2488">
        <v>47</v>
      </c>
      <c r="AC2488">
        <v>32.779799999999902</v>
      </c>
      <c r="AD2488">
        <v>-1.1202534129449999</v>
      </c>
      <c r="AE2488">
        <v>-5.2958999999999801</v>
      </c>
      <c r="AF2488">
        <v>-20.625334285176201</v>
      </c>
      <c r="AG2488">
        <v>-1.1202534129449999</v>
      </c>
      <c r="AH2488">
        <v>25.974059634245801</v>
      </c>
      <c r="AI2488">
        <v>91.934489624016194</v>
      </c>
      <c r="AJ2488">
        <v>128.45218752141</v>
      </c>
      <c r="AK2488">
        <v>33.186008436807199</v>
      </c>
    </row>
    <row r="2489" spans="1:37" x14ac:dyDescent="0.2">
      <c r="A2489" t="str">
        <f>"20200111153444391"</f>
        <v>20200111153444391</v>
      </c>
      <c r="B2489" t="str">
        <f>"1578728084388893"</f>
        <v>1578728084388893</v>
      </c>
      <c r="C2489" t="s">
        <v>37</v>
      </c>
      <c r="D2489">
        <v>4.6089139999999897</v>
      </c>
      <c r="E2489">
        <v>0.33274499999999901</v>
      </c>
      <c r="F2489" t="s">
        <v>52</v>
      </c>
      <c r="G2489">
        <v>-444.91989999999998</v>
      </c>
      <c r="H2489" s="1">
        <v>1.192944E-6</v>
      </c>
      <c r="I2489">
        <v>212.06270000000001</v>
      </c>
      <c r="J2489">
        <v>-480.02460000000002</v>
      </c>
      <c r="K2489">
        <v>1.1203239999999901</v>
      </c>
      <c r="L2489">
        <v>217.18</v>
      </c>
      <c r="M2489">
        <v>0.68433820000000001</v>
      </c>
      <c r="N2489">
        <v>0</v>
      </c>
      <c r="O2489">
        <v>-0.72913349999999999</v>
      </c>
      <c r="P2489">
        <v>0.84563509999999997</v>
      </c>
      <c r="Q2489">
        <v>5.0941220000000002E-2</v>
      </c>
      <c r="R2489">
        <v>-0.53132579999999996</v>
      </c>
      <c r="S2489">
        <v>3.2591549999999998</v>
      </c>
      <c r="T2489">
        <v>-0.1031005</v>
      </c>
      <c r="U2489">
        <v>-0.50230410000000003</v>
      </c>
      <c r="V2489">
        <v>-0.2552355</v>
      </c>
      <c r="W2489">
        <v>4.6447549999999997E-2</v>
      </c>
      <c r="X2489">
        <v>0.96576269999999997</v>
      </c>
      <c r="Y2489">
        <v>-0.61582539999999997</v>
      </c>
      <c r="Z2489">
        <v>3.015866E-2</v>
      </c>
      <c r="AA2489">
        <v>0.78730519999999904</v>
      </c>
      <c r="AB2489">
        <v>48</v>
      </c>
      <c r="AC2489">
        <v>35.104700000000001</v>
      </c>
      <c r="AD2489">
        <v>-1.1203228070559901</v>
      </c>
      <c r="AE2489">
        <v>-5.1173000000000002</v>
      </c>
      <c r="AF2489">
        <v>-22.0725394587358</v>
      </c>
      <c r="AG2489">
        <v>-1.1203228070559901</v>
      </c>
      <c r="AH2489">
        <v>27.7276617665099</v>
      </c>
      <c r="AI2489">
        <v>91.810601577658105</v>
      </c>
      <c r="AJ2489">
        <v>128.52146003896101</v>
      </c>
      <c r="AK2489">
        <v>35.458078746421599</v>
      </c>
    </row>
    <row r="2490" spans="1:37" x14ac:dyDescent="0.2">
      <c r="A2490" t="str">
        <f>"20200111153444413"</f>
        <v>20200111153444413</v>
      </c>
      <c r="B2490" t="str">
        <f>"1578728084407972"</f>
        <v>1578728084407972</v>
      </c>
      <c r="C2490" t="s">
        <v>37</v>
      </c>
      <c r="D2490">
        <v>4.6248259999999997</v>
      </c>
      <c r="E2490">
        <v>0.33490249999999999</v>
      </c>
      <c r="F2490" t="s">
        <v>52</v>
      </c>
      <c r="G2490">
        <v>-450.16950000000003</v>
      </c>
      <c r="H2490" s="1">
        <v>-1.3676249999999899E-6</v>
      </c>
      <c r="I2490">
        <v>212.8098</v>
      </c>
      <c r="J2490">
        <v>-479.70670000000001</v>
      </c>
      <c r="K2490">
        <v>1.1203939999999999</v>
      </c>
      <c r="L2490">
        <v>216.8381</v>
      </c>
      <c r="M2490">
        <v>0.69475600000000004</v>
      </c>
      <c r="N2490">
        <v>0</v>
      </c>
      <c r="O2490">
        <v>-0.71921309999999905</v>
      </c>
      <c r="P2490">
        <v>0.85267230000000005</v>
      </c>
      <c r="Q2490">
        <v>5.0923110000000001E-2</v>
      </c>
      <c r="R2490">
        <v>-0.51995849999999999</v>
      </c>
      <c r="S2490">
        <v>3.2555540000000001</v>
      </c>
      <c r="T2490">
        <v>-0.1221661</v>
      </c>
      <c r="U2490">
        <v>-0.476547199999999</v>
      </c>
      <c r="V2490">
        <v>-0.2542816</v>
      </c>
      <c r="W2490">
        <v>4.6488990000000001E-2</v>
      </c>
      <c r="X2490">
        <v>0.96601219999999999</v>
      </c>
      <c r="Y2490">
        <v>-0.61021300000000001</v>
      </c>
      <c r="Z2490">
        <v>3.5474779999999997E-2</v>
      </c>
      <c r="AA2490">
        <v>0.7914428</v>
      </c>
      <c r="AB2490">
        <v>48</v>
      </c>
      <c r="AC2490">
        <v>29.537199999999899</v>
      </c>
      <c r="AD2490">
        <v>-1.120395367625</v>
      </c>
      <c r="AE2490">
        <v>-4.0282999999999998</v>
      </c>
      <c r="AF2490">
        <v>-18.419267588688399</v>
      </c>
      <c r="AG2490">
        <v>-1.120395367625</v>
      </c>
      <c r="AH2490">
        <v>23.385865476523499</v>
      </c>
      <c r="AI2490">
        <v>92.155415178856998</v>
      </c>
      <c r="AJ2490">
        <v>128.22481497249299</v>
      </c>
      <c r="AK2490">
        <v>29.7896527064274</v>
      </c>
    </row>
    <row r="2491" spans="1:37" x14ac:dyDescent="0.2">
      <c r="A2491" t="str">
        <f>"20200111153444436"</f>
        <v>20200111153444436</v>
      </c>
      <c r="B2491" t="str">
        <f>"1578728084428467"</f>
        <v>1578728084428467</v>
      </c>
      <c r="C2491" t="s">
        <v>37</v>
      </c>
      <c r="D2491">
        <v>4.5990010000000003</v>
      </c>
      <c r="E2491">
        <v>0.33691179999999998</v>
      </c>
      <c r="F2491" t="s">
        <v>52</v>
      </c>
      <c r="G2491">
        <v>-451.81709999999998</v>
      </c>
      <c r="H2491" s="1">
        <v>-4.9935479999999998E-7</v>
      </c>
      <c r="I2491">
        <v>213.00470000000001</v>
      </c>
      <c r="J2491">
        <v>-479.37349999999998</v>
      </c>
      <c r="K2491">
        <v>1.1204719999999999</v>
      </c>
      <c r="L2491">
        <v>216.4897</v>
      </c>
      <c r="M2491">
        <v>0.70530490000000001</v>
      </c>
      <c r="N2491">
        <v>0</v>
      </c>
      <c r="O2491">
        <v>-0.70887040000000001</v>
      </c>
      <c r="P2491">
        <v>0.85977819999999905</v>
      </c>
      <c r="Q2491">
        <v>5.1077249999999998E-2</v>
      </c>
      <c r="R2491">
        <v>-0.50810679999999997</v>
      </c>
      <c r="S2491">
        <v>3.2534480000000001</v>
      </c>
      <c r="T2491">
        <v>-0.13069939999999999</v>
      </c>
      <c r="U2491">
        <v>-0.44718930000000001</v>
      </c>
      <c r="V2491">
        <v>-0.25339339999999999</v>
      </c>
      <c r="W2491">
        <v>4.6718099999999999E-2</v>
      </c>
      <c r="X2491">
        <v>0.96623459999999906</v>
      </c>
      <c r="Y2491">
        <v>-0.60532010000000003</v>
      </c>
      <c r="Z2491">
        <v>3.7657629999999997E-2</v>
      </c>
      <c r="AA2491">
        <v>0.79509090000000004</v>
      </c>
      <c r="AB2491">
        <v>48</v>
      </c>
      <c r="AC2491">
        <v>27.5564</v>
      </c>
      <c r="AD2491">
        <v>-1.1204724993548001</v>
      </c>
      <c r="AE2491">
        <v>-3.4849999999999799</v>
      </c>
      <c r="AF2491">
        <v>-17.048593363118101</v>
      </c>
      <c r="AG2491">
        <v>-1.1204724993548001</v>
      </c>
      <c r="AH2491">
        <v>21.871009779800499</v>
      </c>
      <c r="AI2491">
        <v>92.313799538605096</v>
      </c>
      <c r="AJ2491">
        <v>127.93664529259701</v>
      </c>
      <c r="AK2491">
        <v>27.753397324848301</v>
      </c>
    </row>
    <row r="2492" spans="1:37" x14ac:dyDescent="0.2">
      <c r="A2492" t="str">
        <f>"20200111153444459"</f>
        <v>20200111153444459</v>
      </c>
      <c r="B2492" t="str">
        <f>"1578728084448963"</f>
        <v>1578728084448963</v>
      </c>
      <c r="C2492" t="s">
        <v>37</v>
      </c>
      <c r="D2492">
        <v>4.5868650000000004</v>
      </c>
      <c r="E2492">
        <v>0.33915139999999999</v>
      </c>
      <c r="F2492" t="s">
        <v>40</v>
      </c>
      <c r="G2492">
        <v>-478.44009999999997</v>
      </c>
      <c r="H2492">
        <v>1.080937</v>
      </c>
      <c r="I2492">
        <v>216.37039999999999</v>
      </c>
      <c r="J2492">
        <v>-479.04259999999999</v>
      </c>
      <c r="K2492">
        <v>1.120557</v>
      </c>
      <c r="L2492">
        <v>216.1534</v>
      </c>
      <c r="M2492">
        <v>0.71542299999999903</v>
      </c>
      <c r="N2492">
        <v>0</v>
      </c>
      <c r="O2492">
        <v>-0.69865630000000001</v>
      </c>
      <c r="P2492">
        <v>0.8666199</v>
      </c>
      <c r="Q2492">
        <v>5.204893E-2</v>
      </c>
      <c r="R2492">
        <v>-0.49624659999999898</v>
      </c>
      <c r="S2492">
        <v>3.25177</v>
      </c>
      <c r="T2492">
        <v>-0.13773160000000001</v>
      </c>
      <c r="U2492">
        <v>-0.415802</v>
      </c>
      <c r="V2492">
        <v>-0.2527915</v>
      </c>
      <c r="W2492">
        <v>4.7770729999999997E-2</v>
      </c>
      <c r="X2492">
        <v>0.96634069999999905</v>
      </c>
      <c r="Y2492">
        <v>-0.60126579999999996</v>
      </c>
      <c r="Z2492">
        <v>3.9381510000000002E-2</v>
      </c>
      <c r="AA2492">
        <v>0.79807799999999995</v>
      </c>
      <c r="AB2492">
        <v>48</v>
      </c>
      <c r="AC2492">
        <v>0.60250000000002002</v>
      </c>
      <c r="AD2492">
        <v>-3.9619999999999898E-2</v>
      </c>
      <c r="AE2492">
        <v>0.21699999999998401</v>
      </c>
      <c r="AF2492">
        <v>-0.57400426881770605</v>
      </c>
      <c r="AG2492">
        <v>-3.9619999999999898E-2</v>
      </c>
      <c r="AH2492">
        <v>0.27837527694342501</v>
      </c>
      <c r="AI2492">
        <v>93.553828699335199</v>
      </c>
      <c r="AJ2492">
        <v>154.12797185516999</v>
      </c>
      <c r="AK2492">
        <v>0.63917402938032297</v>
      </c>
    </row>
    <row r="2493" spans="1:37" x14ac:dyDescent="0.2">
      <c r="A2493" t="str">
        <f>"20200111153444483"</f>
        <v>20200111153444483</v>
      </c>
      <c r="B2493" t="str">
        <f>"1578728084478244"</f>
        <v>1578728084478244</v>
      </c>
      <c r="C2493" t="s">
        <v>37</v>
      </c>
      <c r="D2493">
        <v>4.5295819999999898</v>
      </c>
      <c r="E2493">
        <v>0.3419392</v>
      </c>
      <c r="F2493" t="s">
        <v>40</v>
      </c>
      <c r="G2493">
        <v>-478.16120000000001</v>
      </c>
      <c r="H2493">
        <v>1.0823739999999999</v>
      </c>
      <c r="I2493">
        <v>216.04849999999999</v>
      </c>
      <c r="J2493">
        <v>-478.68290000000002</v>
      </c>
      <c r="K2493">
        <v>1.120654</v>
      </c>
      <c r="L2493">
        <v>215.79920000000001</v>
      </c>
      <c r="M2493">
        <v>0.72601539999999998</v>
      </c>
      <c r="N2493">
        <v>0</v>
      </c>
      <c r="O2493">
        <v>-0.68764139999999996</v>
      </c>
      <c r="P2493">
        <v>0.87360249999999995</v>
      </c>
      <c r="Q2493">
        <v>5.5186489999999998E-2</v>
      </c>
      <c r="R2493">
        <v>-0.48350100000000001</v>
      </c>
      <c r="S2493">
        <v>3.2488709999999998</v>
      </c>
      <c r="T2493">
        <v>-0.14070250000000001</v>
      </c>
      <c r="U2493">
        <v>-0.38641360000000002</v>
      </c>
      <c r="V2493">
        <v>-0.2521989</v>
      </c>
      <c r="W2493">
        <v>5.1018319999999999E-2</v>
      </c>
      <c r="X2493">
        <v>0.96632960000000001</v>
      </c>
      <c r="Y2493">
        <v>-0.59603450000000002</v>
      </c>
      <c r="Z2493">
        <v>3.9875510000000003E-2</v>
      </c>
      <c r="AA2493">
        <v>0.80196800000000001</v>
      </c>
      <c r="AB2493">
        <v>48</v>
      </c>
      <c r="AC2493">
        <v>0.52170000000000905</v>
      </c>
      <c r="AD2493">
        <v>-3.8280000000000002E-2</v>
      </c>
      <c r="AE2493">
        <v>0.24929999999997601</v>
      </c>
      <c r="AF2493">
        <v>-0.53739645300107097</v>
      </c>
      <c r="AG2493">
        <v>-3.8280000000000002E-2</v>
      </c>
      <c r="AH2493">
        <v>0.206433698489807</v>
      </c>
      <c r="AI2493">
        <v>93.804284674723903</v>
      </c>
      <c r="AJ2493">
        <v>158.98638520192301</v>
      </c>
      <c r="AK2493">
        <v>0.57695335857442898</v>
      </c>
    </row>
    <row r="2494" spans="1:37" x14ac:dyDescent="0.2">
      <c r="A2494" t="str">
        <f>"20200111153444516"</f>
        <v>20200111153444516</v>
      </c>
      <c r="B2494" t="str">
        <f>"1578728084508500"</f>
        <v>1578728084508500</v>
      </c>
      <c r="C2494" t="s">
        <v>37</v>
      </c>
      <c r="D2494">
        <v>4.6422230000000004</v>
      </c>
      <c r="E2494">
        <v>0.34450609999999998</v>
      </c>
      <c r="F2494" t="s">
        <v>52</v>
      </c>
      <c r="G2494">
        <v>-452.2681</v>
      </c>
      <c r="H2494" s="1">
        <v>-2.5393860000000001E-7</v>
      </c>
      <c r="I2494">
        <v>212.88030000000001</v>
      </c>
      <c r="J2494">
        <v>-478.17180000000002</v>
      </c>
      <c r="K2494">
        <v>1.1207879999999999</v>
      </c>
      <c r="L2494">
        <v>215.31309999999999</v>
      </c>
      <c r="M2494">
        <v>0.74042519999999901</v>
      </c>
      <c r="N2494">
        <v>0</v>
      </c>
      <c r="O2494">
        <v>-0.67209859999999999</v>
      </c>
      <c r="P2494">
        <v>0.88320019999999999</v>
      </c>
      <c r="Q2494">
        <v>5.6005999999999903E-2</v>
      </c>
      <c r="R2494">
        <v>-0.4656402</v>
      </c>
      <c r="S2494">
        <v>3.2442630000000001</v>
      </c>
      <c r="T2494">
        <v>-0.13763880000000001</v>
      </c>
      <c r="U2494">
        <v>-0.35850520000000002</v>
      </c>
      <c r="V2494">
        <v>-0.25138729999999998</v>
      </c>
      <c r="W2494">
        <v>5.201882E-2</v>
      </c>
      <c r="X2494">
        <v>0.96648769999999995</v>
      </c>
      <c r="Y2494">
        <v>-0.58571359999999995</v>
      </c>
      <c r="Z2494">
        <v>3.8425609999999999E-2</v>
      </c>
      <c r="AA2494">
        <v>0.80960669999999901</v>
      </c>
      <c r="AB2494">
        <v>48</v>
      </c>
      <c r="AC2494">
        <v>25.903700000000001</v>
      </c>
      <c r="AD2494">
        <v>-1.1207882539385901</v>
      </c>
      <c r="AE2494">
        <v>-2.4327999999999799</v>
      </c>
      <c r="AF2494">
        <v>-15.5800434737767</v>
      </c>
      <c r="AG2494">
        <v>-1.1207882539385901</v>
      </c>
      <c r="AH2494">
        <v>20.776839948267</v>
      </c>
      <c r="AI2494">
        <v>92.471230324985697</v>
      </c>
      <c r="AJ2494">
        <v>126.865332449779</v>
      </c>
      <c r="AK2494">
        <v>25.993672291364302</v>
      </c>
    </row>
    <row r="2495" spans="1:37" x14ac:dyDescent="0.2">
      <c r="A2495" t="str">
        <f>"20200111153444537"</f>
        <v>20200111153444537</v>
      </c>
      <c r="B2495" t="str">
        <f>"1578728084528022"</f>
        <v>1578728084528022</v>
      </c>
      <c r="C2495" t="s">
        <v>37</v>
      </c>
      <c r="D2495">
        <v>4.6893479999999998</v>
      </c>
      <c r="E2495">
        <v>0.3465164</v>
      </c>
      <c r="F2495" t="s">
        <v>40</v>
      </c>
      <c r="G2495">
        <v>-477.2242</v>
      </c>
      <c r="H2495">
        <v>1.081097</v>
      </c>
      <c r="I2495">
        <v>215.2225</v>
      </c>
      <c r="J2495">
        <v>-477.83</v>
      </c>
      <c r="K2495">
        <v>1.1208629999999999</v>
      </c>
      <c r="L2495">
        <v>214.9991</v>
      </c>
      <c r="M2495">
        <v>0.74965879999999996</v>
      </c>
      <c r="N2495">
        <v>0</v>
      </c>
      <c r="O2495">
        <v>-0.66178199999999998</v>
      </c>
      <c r="P2495">
        <v>0.88975680000000001</v>
      </c>
      <c r="Q2495">
        <v>5.6364599999999897E-2</v>
      </c>
      <c r="R2495">
        <v>-0.45294119999999999</v>
      </c>
      <c r="S2495">
        <v>3.241638</v>
      </c>
      <c r="T2495">
        <v>-0.13583779999999901</v>
      </c>
      <c r="U2495">
        <v>-0.31047059999999999</v>
      </c>
      <c r="V2495">
        <v>-0.25186529999999901</v>
      </c>
      <c r="W2495">
        <v>5.246787E-2</v>
      </c>
      <c r="X2495">
        <v>0.96633899999999995</v>
      </c>
      <c r="Y2495">
        <v>-0.58632499999999999</v>
      </c>
      <c r="Z2495">
        <v>3.7718750000000002E-2</v>
      </c>
      <c r="AA2495">
        <v>0.80919730000000001</v>
      </c>
      <c r="AB2495">
        <v>48</v>
      </c>
      <c r="AC2495">
        <v>0.60579999999998702</v>
      </c>
      <c r="AD2495">
        <v>-3.9765999999999899E-2</v>
      </c>
      <c r="AE2495">
        <v>0.22339999999999799</v>
      </c>
      <c r="AF2495">
        <v>-0.56624948005780196</v>
      </c>
      <c r="AG2495">
        <v>-3.9765999999999899E-2</v>
      </c>
      <c r="AH2495">
        <v>0.30515235633917398</v>
      </c>
      <c r="AI2495">
        <v>93.537608739722103</v>
      </c>
      <c r="AJ2495">
        <v>151.67973237919799</v>
      </c>
      <c r="AK2495">
        <v>0.64446704260270904</v>
      </c>
    </row>
    <row r="2496" spans="1:37" x14ac:dyDescent="0.2">
      <c r="A2496" t="str">
        <f>"20200111153444561"</f>
        <v>20200111153444561</v>
      </c>
      <c r="B2496" t="str">
        <f>"1578728084558275"</f>
        <v>1578728084558275</v>
      </c>
      <c r="C2496" t="s">
        <v>37</v>
      </c>
      <c r="D2496">
        <v>4.6644809999999897</v>
      </c>
      <c r="E2496">
        <v>0.38016040000000001</v>
      </c>
      <c r="F2496" t="s">
        <v>40</v>
      </c>
      <c r="G2496">
        <v>-476.92309999999998</v>
      </c>
      <c r="H2496">
        <v>1.0830379999999999</v>
      </c>
      <c r="I2496">
        <v>214.9211</v>
      </c>
      <c r="J2496">
        <v>-477.46420000000001</v>
      </c>
      <c r="K2496">
        <v>1.1209370000000001</v>
      </c>
      <c r="L2496">
        <v>214.6728</v>
      </c>
      <c r="M2496">
        <v>0.75920310000000002</v>
      </c>
      <c r="N2496">
        <v>0</v>
      </c>
      <c r="O2496">
        <v>-0.65080859999999996</v>
      </c>
      <c r="P2496">
        <v>0.89657549999999997</v>
      </c>
      <c r="Q2496">
        <v>5.8142680000000002E-2</v>
      </c>
      <c r="R2496">
        <v>-0.439057799999999</v>
      </c>
      <c r="S2496">
        <v>3.2388919999999999</v>
      </c>
      <c r="T2496">
        <v>-0.1350065</v>
      </c>
      <c r="U2496">
        <v>-0.27771000000000001</v>
      </c>
      <c r="V2496">
        <v>-0.25284989999999902</v>
      </c>
      <c r="W2496">
        <v>5.4332020000000002E-2</v>
      </c>
      <c r="X2496">
        <v>0.96597869999999997</v>
      </c>
      <c r="Y2496">
        <v>-0.58261640000000003</v>
      </c>
      <c r="Z2496">
        <v>3.7147270000000003E-2</v>
      </c>
      <c r="AA2496">
        <v>0.81189789999999995</v>
      </c>
      <c r="AB2496">
        <v>48</v>
      </c>
      <c r="AC2496">
        <v>0.541100000000028</v>
      </c>
      <c r="AD2496">
        <v>-3.7899000000000099E-2</v>
      </c>
      <c r="AE2496">
        <v>0.24829999999999999</v>
      </c>
      <c r="AF2496">
        <v>-0.538496372423795</v>
      </c>
      <c r="AG2496">
        <v>-3.7899000000000099E-2</v>
      </c>
      <c r="AH2496">
        <v>0.248210508095106</v>
      </c>
      <c r="AI2496">
        <v>93.657158145557403</v>
      </c>
      <c r="AJ2496">
        <v>155.253485528959</v>
      </c>
      <c r="AK2496">
        <v>0.59415749902144399</v>
      </c>
    </row>
    <row r="2497" spans="1:37" x14ac:dyDescent="0.2">
      <c r="A2497" t="str">
        <f>"20200111153444582"</f>
        <v>20200111153444582</v>
      </c>
      <c r="B2497" t="str">
        <f>"1578728084578772"</f>
        <v>1578728084578772</v>
      </c>
      <c r="C2497" t="s">
        <v>37</v>
      </c>
      <c r="D2497">
        <v>4.6761439999999999</v>
      </c>
      <c r="E2497">
        <v>0.38025300000000001</v>
      </c>
      <c r="F2497" t="s">
        <v>52</v>
      </c>
      <c r="G2497">
        <v>-456.10129999999998</v>
      </c>
      <c r="H2497" s="1">
        <v>1.8479069999999999E-6</v>
      </c>
      <c r="I2497">
        <v>211.4615</v>
      </c>
      <c r="J2497">
        <v>-477.11149999999998</v>
      </c>
      <c r="K2497">
        <v>1.1209929999999999</v>
      </c>
      <c r="L2497">
        <v>214.3672</v>
      </c>
      <c r="M2497">
        <v>0.76810069999999997</v>
      </c>
      <c r="N2497">
        <v>0</v>
      </c>
      <c r="O2497">
        <v>-0.64028079999999998</v>
      </c>
      <c r="P2497">
        <v>0.90249199999999996</v>
      </c>
      <c r="Q2497">
        <v>5.8247479999999997E-2</v>
      </c>
      <c r="R2497">
        <v>-0.42674960000000001</v>
      </c>
      <c r="S2497">
        <v>3.1265259999999899</v>
      </c>
      <c r="T2497">
        <v>-0.164051799999999</v>
      </c>
      <c r="U2497">
        <v>-0.46998599999999902</v>
      </c>
      <c r="V2497">
        <v>-0.25276539999999997</v>
      </c>
      <c r="W2497">
        <v>5.4577220000000003E-2</v>
      </c>
      <c r="X2497">
        <v>0.96598700000000004</v>
      </c>
      <c r="Y2497">
        <v>-0.51759359999999999</v>
      </c>
      <c r="Z2497">
        <v>4.4308849999999997E-2</v>
      </c>
      <c r="AA2497">
        <v>0.85447850000000003</v>
      </c>
      <c r="AB2497">
        <v>48</v>
      </c>
      <c r="AC2497">
        <v>21.010200000000001</v>
      </c>
      <c r="AD2497">
        <v>-1.120991152093</v>
      </c>
      <c r="AE2497">
        <v>-2.9056999999999902</v>
      </c>
      <c r="AF2497">
        <v>-11.189648341554101</v>
      </c>
      <c r="AG2497">
        <v>-1.120991152093</v>
      </c>
      <c r="AH2497">
        <v>17.948833260970599</v>
      </c>
      <c r="AI2497">
        <v>93.033792062735699</v>
      </c>
      <c r="AJ2497">
        <v>121.94020811982701</v>
      </c>
      <c r="AK2497">
        <v>21.180780594700501</v>
      </c>
    </row>
    <row r="2498" spans="1:37" x14ac:dyDescent="0.2">
      <c r="A2498" t="str">
        <f>"20200111153444604"</f>
        <v>20200111153444604</v>
      </c>
      <c r="B2498" t="str">
        <f>"1578728084598292"</f>
        <v>1578728084598292</v>
      </c>
      <c r="C2498" t="s">
        <v>37</v>
      </c>
      <c r="D2498">
        <v>4.6557620000000002</v>
      </c>
      <c r="E2498">
        <v>0.38158009999999998</v>
      </c>
      <c r="F2498" t="s">
        <v>52</v>
      </c>
      <c r="G2498">
        <v>-455.200999999999</v>
      </c>
      <c r="H2498" s="1">
        <v>1.372456E-6</v>
      </c>
      <c r="I2498">
        <v>211.37799999999999</v>
      </c>
      <c r="J2498">
        <v>-476.75130000000001</v>
      </c>
      <c r="K2498">
        <v>1.1210420000000001</v>
      </c>
      <c r="L2498">
        <v>214.06389999999999</v>
      </c>
      <c r="M2498">
        <v>0.7768929</v>
      </c>
      <c r="N2498">
        <v>0</v>
      </c>
      <c r="O2498">
        <v>-0.62958159999999996</v>
      </c>
      <c r="P2498">
        <v>0.90830519999999904</v>
      </c>
      <c r="Q2498">
        <v>5.7557089999999998E-2</v>
      </c>
      <c r="R2498">
        <v>-0.41432970000000002</v>
      </c>
      <c r="S2498">
        <v>3.1324160000000001</v>
      </c>
      <c r="T2498">
        <v>-0.16026170000000001</v>
      </c>
      <c r="U2498">
        <v>-0.42735289999999998</v>
      </c>
      <c r="V2498">
        <v>-0.2526485</v>
      </c>
      <c r="W2498">
        <v>5.4036819999999999E-2</v>
      </c>
      <c r="X2498">
        <v>0.96604799999999902</v>
      </c>
      <c r="Y2498">
        <v>-0.51746000000000003</v>
      </c>
      <c r="Z2498">
        <v>4.2869039999999997E-2</v>
      </c>
      <c r="AA2498">
        <v>0.85463289999999903</v>
      </c>
      <c r="AB2498">
        <v>48</v>
      </c>
      <c r="AC2498">
        <v>21.5503</v>
      </c>
      <c r="AD2498">
        <v>-1.1210406275439999</v>
      </c>
      <c r="AE2498">
        <v>-2.6859000000000002</v>
      </c>
      <c r="AF2498">
        <v>-11.450872918661499</v>
      </c>
      <c r="AG2498">
        <v>-1.1210406275439999</v>
      </c>
      <c r="AH2498">
        <v>18.384872717501398</v>
      </c>
      <c r="AI2498">
        <v>92.962864964013093</v>
      </c>
      <c r="AJ2498">
        <v>121.916388759291</v>
      </c>
      <c r="AK2498">
        <v>21.688309466776499</v>
      </c>
    </row>
    <row r="2499" spans="1:37" x14ac:dyDescent="0.2">
      <c r="A2499" t="str">
        <f>"20200111153444627"</f>
        <v>20200111153444627</v>
      </c>
      <c r="B2499" t="str">
        <f>"1578728084618788"</f>
        <v>1578728084618788</v>
      </c>
      <c r="C2499" t="s">
        <v>37</v>
      </c>
      <c r="D2499">
        <v>4.6602439999999996</v>
      </c>
      <c r="E2499">
        <v>0.38204979999999999</v>
      </c>
      <c r="F2499" t="s">
        <v>52</v>
      </c>
      <c r="G2499">
        <v>-455.35879999999997</v>
      </c>
      <c r="H2499" s="1">
        <v>1.456485E-6</v>
      </c>
      <c r="I2499">
        <v>211.3768</v>
      </c>
      <c r="J2499">
        <v>-476.37009999999998</v>
      </c>
      <c r="K2499">
        <v>1.1210869999999999</v>
      </c>
      <c r="L2499">
        <v>213.75190000000001</v>
      </c>
      <c r="M2499">
        <v>0.78590230000000005</v>
      </c>
      <c r="N2499">
        <v>0</v>
      </c>
      <c r="O2499">
        <v>-0.61829630000000002</v>
      </c>
      <c r="P2499">
        <v>0.91404050000000003</v>
      </c>
      <c r="Q2499">
        <v>5.7765199999999899E-2</v>
      </c>
      <c r="R2499">
        <v>-0.40148889999999998</v>
      </c>
      <c r="S2499">
        <v>3.1336979999999999</v>
      </c>
      <c r="T2499">
        <v>-0.164216</v>
      </c>
      <c r="U2499">
        <v>-0.39361570000000001</v>
      </c>
      <c r="V2499">
        <v>-0.25232539999999998</v>
      </c>
      <c r="W2499">
        <v>5.4418670000000002E-2</v>
      </c>
      <c r="X2499">
        <v>0.96611100000000005</v>
      </c>
      <c r="Y2499">
        <v>-0.51414609999999905</v>
      </c>
      <c r="Z2499">
        <v>4.3428029999999999E-2</v>
      </c>
      <c r="AA2499">
        <v>0.85660249999999905</v>
      </c>
      <c r="AB2499">
        <v>48</v>
      </c>
      <c r="AC2499">
        <v>21.011299999999999</v>
      </c>
      <c r="AD2499">
        <v>-1.121085543515</v>
      </c>
      <c r="AE2499">
        <v>-2.3751000000000002</v>
      </c>
      <c r="AF2499">
        <v>-11.093802201567399</v>
      </c>
      <c r="AG2499">
        <v>-1.121085543515</v>
      </c>
      <c r="AH2499">
        <v>17.9315441059675</v>
      </c>
      <c r="AI2499">
        <v>93.043418814636297</v>
      </c>
      <c r="AJ2499">
        <v>121.7440524671</v>
      </c>
      <c r="AK2499">
        <v>21.1156234600743</v>
      </c>
    </row>
    <row r="2500" spans="1:37" x14ac:dyDescent="0.2">
      <c r="A2500" t="str">
        <f>"20200111153444649"</f>
        <v>20200111153444649</v>
      </c>
      <c r="B2500" t="str">
        <f>"1578728084638311"</f>
        <v>1578728084638311</v>
      </c>
      <c r="C2500" t="s">
        <v>37</v>
      </c>
      <c r="D2500">
        <v>4.6422030000000003</v>
      </c>
      <c r="E2500">
        <v>0.3832023</v>
      </c>
      <c r="F2500" t="s">
        <v>40</v>
      </c>
      <c r="G2500">
        <v>-475.27269999999999</v>
      </c>
      <c r="H2500">
        <v>1.061178</v>
      </c>
      <c r="I2500">
        <v>213.62809999999999</v>
      </c>
      <c r="J2500">
        <v>-476.00240000000002</v>
      </c>
      <c r="K2500">
        <v>1.121127</v>
      </c>
      <c r="L2500">
        <v>213.45959999999999</v>
      </c>
      <c r="M2500">
        <v>0.79431359999999995</v>
      </c>
      <c r="N2500">
        <v>0</v>
      </c>
      <c r="O2500">
        <v>-0.60744989999999999</v>
      </c>
      <c r="P2500">
        <v>0.91880329999999999</v>
      </c>
      <c r="Q2500">
        <v>5.690837E-2</v>
      </c>
      <c r="R2500">
        <v>-0.39059159999999998</v>
      </c>
      <c r="S2500">
        <v>3.1374819999999999</v>
      </c>
      <c r="T2500">
        <v>-0.17127319999999999</v>
      </c>
      <c r="U2500">
        <v>-0.3539429</v>
      </c>
      <c r="V2500">
        <v>-0.250558</v>
      </c>
      <c r="W2500">
        <v>5.3797789999999998E-2</v>
      </c>
      <c r="X2500">
        <v>0.96660569999999901</v>
      </c>
      <c r="Y2500">
        <v>-0.51307849999999999</v>
      </c>
      <c r="Z2500">
        <v>4.4814930000000003E-2</v>
      </c>
      <c r="AA2500">
        <v>0.85717099999999902</v>
      </c>
      <c r="AB2500">
        <v>48</v>
      </c>
      <c r="AC2500">
        <v>0.72970000000003599</v>
      </c>
      <c r="AD2500">
        <v>-5.9949000000000002E-2</v>
      </c>
      <c r="AE2500">
        <v>0.16849999999999399</v>
      </c>
      <c r="AF2500">
        <v>-0.57344382985697295</v>
      </c>
      <c r="AG2500">
        <v>-5.9949000000000002E-2</v>
      </c>
      <c r="AH2500">
        <v>0.47423332931448198</v>
      </c>
      <c r="AI2500">
        <v>94.605922531684797</v>
      </c>
      <c r="AJ2500">
        <v>140.40953168178601</v>
      </c>
      <c r="AK2500">
        <v>0.74654467999894703</v>
      </c>
    </row>
    <row r="2501" spans="1:37" x14ac:dyDescent="0.2">
      <c r="A2501" t="str">
        <f>"20200111153444671"</f>
        <v>20200111153444671</v>
      </c>
      <c r="B2501" t="str">
        <f>"1578728084668564"</f>
        <v>1578728084668564</v>
      </c>
      <c r="C2501" t="s">
        <v>37</v>
      </c>
      <c r="D2501">
        <v>4.6993679999999998</v>
      </c>
      <c r="E2501">
        <v>0.38509989999999999</v>
      </c>
      <c r="F2501" t="s">
        <v>40</v>
      </c>
      <c r="G2501">
        <v>-474.94670000000002</v>
      </c>
      <c r="H2501">
        <v>1.0641049999999901</v>
      </c>
      <c r="I2501">
        <v>213.35040000000001</v>
      </c>
      <c r="J2501">
        <v>-475.62479999999999</v>
      </c>
      <c r="K2501">
        <v>1.1211679999999999</v>
      </c>
      <c r="L2501">
        <v>213.1679</v>
      </c>
      <c r="M2501">
        <v>0.80268890000000004</v>
      </c>
      <c r="N2501">
        <v>0</v>
      </c>
      <c r="O2501">
        <v>-0.59633639999999999</v>
      </c>
      <c r="P2501">
        <v>0.92312229999999995</v>
      </c>
      <c r="Q2501">
        <v>5.7446079999999997E-2</v>
      </c>
      <c r="R2501">
        <v>-0.380191099999999</v>
      </c>
      <c r="S2501">
        <v>3.13787799999999</v>
      </c>
      <c r="T2501">
        <v>-0.16943029999999901</v>
      </c>
      <c r="U2501">
        <v>-0.3241272</v>
      </c>
      <c r="V2501">
        <v>-0.24803739999999999</v>
      </c>
      <c r="W2501">
        <v>5.4609129999999999E-2</v>
      </c>
      <c r="X2501">
        <v>0.96721009999999996</v>
      </c>
      <c r="Y2501">
        <v>-0.50924809999999998</v>
      </c>
      <c r="Z2501">
        <v>4.3797599999999999E-2</v>
      </c>
      <c r="AA2501">
        <v>0.85950459999999995</v>
      </c>
      <c r="AB2501">
        <v>48</v>
      </c>
      <c r="AC2501">
        <v>0.67809999999997195</v>
      </c>
      <c r="AD2501">
        <v>-5.7063000000000003E-2</v>
      </c>
      <c r="AE2501">
        <v>0.18250000000000399</v>
      </c>
      <c r="AF2501">
        <v>-0.54727293523084597</v>
      </c>
      <c r="AG2501">
        <v>-5.7063000000000003E-2</v>
      </c>
      <c r="AH2501">
        <v>0.43263120838402103</v>
      </c>
      <c r="AI2501">
        <v>94.676176092080297</v>
      </c>
      <c r="AJ2501">
        <v>141.672859341546</v>
      </c>
      <c r="AK2501">
        <v>0.69995257987452597</v>
      </c>
    </row>
    <row r="2502" spans="1:37" x14ac:dyDescent="0.2">
      <c r="A2502" t="str">
        <f>"20200111153444692"</f>
        <v>20200111153444692</v>
      </c>
      <c r="B2502" t="str">
        <f>"1578728084688083"</f>
        <v>1578728084688083</v>
      </c>
      <c r="C2502" t="s">
        <v>37</v>
      </c>
      <c r="D2502">
        <v>4.7033579999999997</v>
      </c>
      <c r="E2502">
        <v>0.3857255</v>
      </c>
      <c r="F2502" t="s">
        <v>40</v>
      </c>
      <c r="G2502">
        <v>-474.61900000000003</v>
      </c>
      <c r="H2502">
        <v>1.067507</v>
      </c>
      <c r="I2502">
        <v>213.07089999999999</v>
      </c>
      <c r="J2502">
        <v>-475.25420000000003</v>
      </c>
      <c r="K2502">
        <v>1.1212040000000001</v>
      </c>
      <c r="L2502">
        <v>212.8897</v>
      </c>
      <c r="M2502">
        <v>0.81066070000000001</v>
      </c>
      <c r="N2502">
        <v>0</v>
      </c>
      <c r="O2502">
        <v>-0.58545130000000001</v>
      </c>
      <c r="P2502">
        <v>0.92736049999999903</v>
      </c>
      <c r="Q2502">
        <v>5.9115540000000001E-2</v>
      </c>
      <c r="R2502">
        <v>-0.36946990000000002</v>
      </c>
      <c r="S2502">
        <v>3.135742</v>
      </c>
      <c r="T2502">
        <v>-0.16731570000000001</v>
      </c>
      <c r="U2502">
        <v>-0.30241390000000001</v>
      </c>
      <c r="V2502">
        <v>-0.2462182</v>
      </c>
      <c r="W2502">
        <v>5.6512569999999998E-2</v>
      </c>
      <c r="X2502">
        <v>0.96756549999999997</v>
      </c>
      <c r="Y2502">
        <v>-0.50351919999999994</v>
      </c>
      <c r="Z2502">
        <v>4.2695370000000003E-2</v>
      </c>
      <c r="AA2502">
        <v>0.86292849999999999</v>
      </c>
      <c r="AB2502">
        <v>49</v>
      </c>
      <c r="AC2502">
        <v>0.63519999999999699</v>
      </c>
      <c r="AD2502">
        <v>-5.3697000000000099E-2</v>
      </c>
      <c r="AE2502">
        <v>0.18119999999998901</v>
      </c>
      <c r="AF2502">
        <v>-0.515384187638247</v>
      </c>
      <c r="AG2502">
        <v>-5.3697000000000099E-2</v>
      </c>
      <c r="AH2502">
        <v>0.40617920687241199</v>
      </c>
      <c r="AI2502">
        <v>94.678082380495496</v>
      </c>
      <c r="AJ2502">
        <v>141.75801753108399</v>
      </c>
      <c r="AK2502">
        <v>0.65839636752646002</v>
      </c>
    </row>
    <row r="2503" spans="1:37" x14ac:dyDescent="0.2">
      <c r="A2503" t="str">
        <f>"20200111153444716"</f>
        <v>20200111153444716</v>
      </c>
      <c r="B2503" t="str">
        <f>"1578728084708580"</f>
        <v>1578728084708580</v>
      </c>
      <c r="C2503" t="s">
        <v>37</v>
      </c>
      <c r="D2503">
        <v>4.9112419999999997</v>
      </c>
      <c r="E2503">
        <v>0.4029179</v>
      </c>
      <c r="F2503" t="s">
        <v>40</v>
      </c>
      <c r="G2503">
        <v>-474.28280000000001</v>
      </c>
      <c r="H2503">
        <v>1.0700080000000001</v>
      </c>
      <c r="I2503">
        <v>212.80539999999999</v>
      </c>
      <c r="J2503">
        <v>-474.85270000000003</v>
      </c>
      <c r="K2503">
        <v>1.121232</v>
      </c>
      <c r="L2503">
        <v>212.5968</v>
      </c>
      <c r="M2503">
        <v>0.819040199999999</v>
      </c>
      <c r="N2503">
        <v>0</v>
      </c>
      <c r="O2503">
        <v>-0.57366719999999904</v>
      </c>
      <c r="P2503">
        <v>0.93166800000000005</v>
      </c>
      <c r="Q2503">
        <v>5.952296E-2</v>
      </c>
      <c r="R2503">
        <v>-0.35840100000000003</v>
      </c>
      <c r="S2503">
        <v>3.137238</v>
      </c>
      <c r="T2503">
        <v>-0.1653047</v>
      </c>
      <c r="U2503">
        <v>-0.2718353</v>
      </c>
      <c r="V2503">
        <v>-0.2437609</v>
      </c>
      <c r="W2503">
        <v>5.718811E-2</v>
      </c>
      <c r="X2503">
        <v>0.9681478</v>
      </c>
      <c r="Y2503">
        <v>-0.49946099999999999</v>
      </c>
      <c r="Z2503">
        <v>4.1593129999999999E-2</v>
      </c>
      <c r="AA2503">
        <v>0.86533740000000003</v>
      </c>
      <c r="AB2503">
        <v>49</v>
      </c>
      <c r="AC2503">
        <v>0.56990000000001795</v>
      </c>
      <c r="AD2503">
        <v>-5.1223999999999902E-2</v>
      </c>
      <c r="AE2503">
        <v>0.20859999999998899</v>
      </c>
      <c r="AF2503">
        <v>-0.49428296494344298</v>
      </c>
      <c r="AG2503">
        <v>-5.1223999999999902E-2</v>
      </c>
      <c r="AH2503">
        <v>0.344662264997735</v>
      </c>
      <c r="AI2503">
        <v>94.858872849047302</v>
      </c>
      <c r="AJ2503">
        <v>145.11203333490201</v>
      </c>
      <c r="AK2503">
        <v>0.60475749232452602</v>
      </c>
    </row>
    <row r="2504" spans="1:37" x14ac:dyDescent="0.2">
      <c r="A2504" t="str">
        <f>"20200111153444738"</f>
        <v>20200111153444738</v>
      </c>
      <c r="B2504" t="str">
        <f>"1578728084728099"</f>
        <v>1578728084728099</v>
      </c>
      <c r="C2504" t="s">
        <v>37</v>
      </c>
      <c r="D2504">
        <v>4.7547040000000003</v>
      </c>
      <c r="E2504">
        <v>0.40441709999999997</v>
      </c>
      <c r="F2504" t="s">
        <v>40</v>
      </c>
      <c r="G2504">
        <v>-473.96319999999997</v>
      </c>
      <c r="H2504">
        <v>1.0664370000000001</v>
      </c>
      <c r="I2504">
        <v>212.49260000000001</v>
      </c>
      <c r="J2504">
        <v>-474.45490000000001</v>
      </c>
      <c r="K2504">
        <v>1.1212530000000001</v>
      </c>
      <c r="L2504">
        <v>212.3152</v>
      </c>
      <c r="M2504">
        <v>0.82709089999999996</v>
      </c>
      <c r="N2504">
        <v>0</v>
      </c>
      <c r="O2504">
        <v>-0.56199560000000004</v>
      </c>
      <c r="P2504">
        <v>0.93591049999999998</v>
      </c>
      <c r="Q2504">
        <v>6.0432409999999999E-2</v>
      </c>
      <c r="R2504">
        <v>-0.34701509999999902</v>
      </c>
      <c r="S2504">
        <v>3.0926819999999999</v>
      </c>
      <c r="T2504">
        <v>-0.190549</v>
      </c>
      <c r="U2504">
        <v>-0.36259459999999999</v>
      </c>
      <c r="V2504">
        <v>-0.24185399999999899</v>
      </c>
      <c r="W2504">
        <v>5.8329190000000003E-2</v>
      </c>
      <c r="X2504">
        <v>0.96855789999999997</v>
      </c>
      <c r="Y2504">
        <v>-0.46009830000000002</v>
      </c>
      <c r="Z2504">
        <v>4.6681779999999999E-2</v>
      </c>
      <c r="AA2504">
        <v>0.88663999999999998</v>
      </c>
      <c r="AB2504">
        <v>49</v>
      </c>
      <c r="AC2504">
        <v>0.491700000000037</v>
      </c>
      <c r="AD2504">
        <v>-5.48159999999999E-2</v>
      </c>
      <c r="AE2504">
        <v>0.177400000000005</v>
      </c>
      <c r="AF2504">
        <v>-0.41847449224658301</v>
      </c>
      <c r="AG2504">
        <v>-5.48159999999999E-2</v>
      </c>
      <c r="AH2504">
        <v>0.30365582202698299</v>
      </c>
      <c r="AI2504">
        <v>96.051856803859394</v>
      </c>
      <c r="AJ2504">
        <v>144.03439875217799</v>
      </c>
      <c r="AK2504">
        <v>0.51993514284756603</v>
      </c>
    </row>
    <row r="2505" spans="1:37" x14ac:dyDescent="0.2">
      <c r="A2505" t="str">
        <f>"20200111153444761"</f>
        <v>20200111153444761</v>
      </c>
      <c r="B2505" t="str">
        <f>"1578728084758355"</f>
        <v>1578728084758355</v>
      </c>
      <c r="C2505" t="s">
        <v>37</v>
      </c>
      <c r="D2505">
        <v>5.0862059999999998</v>
      </c>
      <c r="E2505">
        <v>0.45419929999999997</v>
      </c>
      <c r="F2505" t="s">
        <v>52</v>
      </c>
      <c r="G2505">
        <v>-454.9479</v>
      </c>
      <c r="H2505" s="1">
        <v>1.289341E-6</v>
      </c>
      <c r="I2505">
        <v>210.19909999999999</v>
      </c>
      <c r="J2505">
        <v>-474.06229999999999</v>
      </c>
      <c r="K2505">
        <v>1.121281</v>
      </c>
      <c r="L2505">
        <v>212.0463</v>
      </c>
      <c r="M2505">
        <v>0.83479269999999905</v>
      </c>
      <c r="N2505">
        <v>0</v>
      </c>
      <c r="O2505">
        <v>-0.55048809999999904</v>
      </c>
      <c r="P2505">
        <v>0.93990189999999996</v>
      </c>
      <c r="Q2505">
        <v>6.213933E-2</v>
      </c>
      <c r="R2505">
        <v>-0.3357426</v>
      </c>
      <c r="S2505">
        <v>3.0925289999999999</v>
      </c>
      <c r="T2505">
        <v>-0.17775750000000001</v>
      </c>
      <c r="U2505">
        <v>-0.33547969999999999</v>
      </c>
      <c r="V2505">
        <v>-0.24010490000000001</v>
      </c>
      <c r="W2505">
        <v>6.024794E-2</v>
      </c>
      <c r="X2505">
        <v>0.968875499999999</v>
      </c>
      <c r="Y2505">
        <v>-0.45572869999999999</v>
      </c>
      <c r="Z2505">
        <v>4.292464E-2</v>
      </c>
      <c r="AA2505">
        <v>0.88908310000000002</v>
      </c>
      <c r="AB2505">
        <v>49</v>
      </c>
      <c r="AC2505">
        <v>19.1143999999999</v>
      </c>
      <c r="AD2505">
        <v>-1.121279710659</v>
      </c>
      <c r="AE2505">
        <v>-1.8472000000000099</v>
      </c>
      <c r="AF2505">
        <v>-8.9500840346106099</v>
      </c>
      <c r="AG2505">
        <v>-1.121279710659</v>
      </c>
      <c r="AH2505">
        <v>16.916462269816499</v>
      </c>
      <c r="AI2505">
        <v>93.353044536141596</v>
      </c>
      <c r="AJ2505">
        <v>117.882215705954</v>
      </c>
      <c r="AK2505">
        <v>19.171018964631301</v>
      </c>
    </row>
    <row r="2506" spans="1:37" x14ac:dyDescent="0.2">
      <c r="A2506" t="str">
        <f>"20200111153444782"</f>
        <v>20200111153444782</v>
      </c>
      <c r="B2506" t="str">
        <f>"1578728084778852"</f>
        <v>1578728084778852</v>
      </c>
      <c r="C2506" t="s">
        <v>37</v>
      </c>
      <c r="D2506">
        <v>5.1121439999999998</v>
      </c>
      <c r="E2506">
        <v>0.47685539999999998</v>
      </c>
      <c r="F2506" t="s">
        <v>40</v>
      </c>
      <c r="G2506">
        <v>-472.8229</v>
      </c>
      <c r="H2506">
        <v>1.0386819999999899</v>
      </c>
      <c r="I2506">
        <v>211.7646</v>
      </c>
      <c r="J2506">
        <v>-473.66899999999998</v>
      </c>
      <c r="K2506">
        <v>1.1212979999999999</v>
      </c>
      <c r="L2506">
        <v>211.78469999999999</v>
      </c>
      <c r="M2506">
        <v>0.84228689999999995</v>
      </c>
      <c r="N2506">
        <v>0</v>
      </c>
      <c r="O2506">
        <v>-0.53894949999999997</v>
      </c>
      <c r="P2506">
        <v>0.94358030000000004</v>
      </c>
      <c r="Q2506">
        <v>6.2970830000000005E-2</v>
      </c>
      <c r="R2506">
        <v>-0.32510139999999998</v>
      </c>
      <c r="S2506">
        <v>2.9644469999999998</v>
      </c>
      <c r="T2506">
        <v>-0.19749890000000001</v>
      </c>
      <c r="U2506">
        <v>-0.67317199999999999</v>
      </c>
      <c r="V2506">
        <v>-0.23773539999999899</v>
      </c>
      <c r="W2506">
        <v>6.131027E-2</v>
      </c>
      <c r="X2506">
        <v>0.96939310000000001</v>
      </c>
      <c r="Y2506">
        <v>-0.33736670000000002</v>
      </c>
      <c r="Z2506">
        <v>4.447284E-2</v>
      </c>
      <c r="AA2506">
        <v>0.9403222</v>
      </c>
      <c r="AB2506">
        <v>49</v>
      </c>
      <c r="AC2506">
        <v>0.84610000000003505</v>
      </c>
      <c r="AD2506">
        <v>-8.2615999999999995E-2</v>
      </c>
      <c r="AE2506">
        <v>-2.0099999999985099E-2</v>
      </c>
      <c r="AF2506">
        <v>-0.43494957011816998</v>
      </c>
      <c r="AG2506">
        <v>-8.2615999999999995E-2</v>
      </c>
      <c r="AH2506">
        <v>0.71669376253779205</v>
      </c>
      <c r="AI2506">
        <v>95.628094027376207</v>
      </c>
      <c r="AJ2506">
        <v>121.252869903289</v>
      </c>
      <c r="AK2506">
        <v>0.84241111178720696</v>
      </c>
    </row>
    <row r="2507" spans="1:37" x14ac:dyDescent="0.2">
      <c r="A2507" t="str">
        <f>"20200111153444805"</f>
        <v>20200111153444805</v>
      </c>
      <c r="B2507" t="str">
        <f>"1578728084798372"</f>
        <v>1578728084798372</v>
      </c>
      <c r="C2507" t="s">
        <v>37</v>
      </c>
      <c r="D2507">
        <v>5.0190910000000004</v>
      </c>
      <c r="E2507">
        <v>0.48604969999999997</v>
      </c>
      <c r="F2507" t="s">
        <v>52</v>
      </c>
      <c r="G2507">
        <v>-459.62619999999998</v>
      </c>
      <c r="H2507">
        <v>8.0000399999999902E-2</v>
      </c>
      <c r="I2507">
        <v>207.8843</v>
      </c>
      <c r="J2507">
        <v>-473.25439999999998</v>
      </c>
      <c r="K2507">
        <v>1.1213139999999999</v>
      </c>
      <c r="L2507">
        <v>211.51740000000001</v>
      </c>
      <c r="M2507">
        <v>0.84995330000000002</v>
      </c>
      <c r="N2507">
        <v>0</v>
      </c>
      <c r="O2507">
        <v>-0.52677399999999996</v>
      </c>
      <c r="P2507">
        <v>0.94735059999999904</v>
      </c>
      <c r="Q2507">
        <v>6.3836210000000004E-2</v>
      </c>
      <c r="R2507">
        <v>-0.31377050000000001</v>
      </c>
      <c r="S2507">
        <v>2.914825</v>
      </c>
      <c r="T2507">
        <v>-0.21613879999999999</v>
      </c>
      <c r="U2507">
        <v>-0.80960080000000001</v>
      </c>
      <c r="V2507">
        <v>-0.23541869999999901</v>
      </c>
      <c r="W2507">
        <v>6.2398710000000003E-2</v>
      </c>
      <c r="X2507">
        <v>0.96988890000000005</v>
      </c>
      <c r="Y2507">
        <v>-0.27823209999999998</v>
      </c>
      <c r="Z2507">
        <v>4.6188E-2</v>
      </c>
      <c r="AA2507">
        <v>0.95940270000000005</v>
      </c>
      <c r="AB2507">
        <v>49</v>
      </c>
      <c r="AC2507">
        <v>13.6281999999999</v>
      </c>
      <c r="AD2507">
        <v>-1.0413135999999901</v>
      </c>
      <c r="AE2507">
        <v>-3.63310000000001</v>
      </c>
      <c r="AF2507">
        <v>-4.0690173786681001</v>
      </c>
      <c r="AG2507">
        <v>-1.0413135999999901</v>
      </c>
      <c r="AH2507">
        <v>13.4245776174706</v>
      </c>
      <c r="AI2507">
        <v>94.245433823568405</v>
      </c>
      <c r="AJ2507">
        <v>106.862165250388</v>
      </c>
      <c r="AK2507">
        <v>14.0662902234008</v>
      </c>
    </row>
    <row r="2508" spans="1:37" x14ac:dyDescent="0.2">
      <c r="A2508" t="str">
        <f>"20200111153444829"</f>
        <v>20200111153444829</v>
      </c>
      <c r="B2508" t="str">
        <f>"1578728084818869"</f>
        <v>1578728084818869</v>
      </c>
      <c r="C2508" t="s">
        <v>37</v>
      </c>
      <c r="D2508">
        <v>5.0252629999999998</v>
      </c>
      <c r="E2508">
        <v>0.48963400000000001</v>
      </c>
      <c r="F2508" t="s">
        <v>52</v>
      </c>
      <c r="G2508">
        <v>-459.5566</v>
      </c>
      <c r="H2508">
        <v>8.0000440000000006E-2</v>
      </c>
      <c r="I2508">
        <v>207.53829999999999</v>
      </c>
      <c r="J2508">
        <v>-472.81319999999999</v>
      </c>
      <c r="K2508">
        <v>1.1213489999999999</v>
      </c>
      <c r="L2508">
        <v>211.24080000000001</v>
      </c>
      <c r="M2508">
        <v>0.85782099999999994</v>
      </c>
      <c r="N2508">
        <v>0</v>
      </c>
      <c r="O2508">
        <v>-0.51385349999999996</v>
      </c>
      <c r="P2508">
        <v>0.95159749999999999</v>
      </c>
      <c r="Q2508">
        <v>6.5202839999999998E-2</v>
      </c>
      <c r="R2508">
        <v>-0.3003517</v>
      </c>
      <c r="S2508">
        <v>2.9023129999999999</v>
      </c>
      <c r="T2508">
        <v>-0.22063579999999899</v>
      </c>
      <c r="U2508">
        <v>-0.84309389999999995</v>
      </c>
      <c r="V2508">
        <v>-0.23456239999999901</v>
      </c>
      <c r="W2508">
        <v>6.402766E-2</v>
      </c>
      <c r="X2508">
        <v>0.96999020000000002</v>
      </c>
      <c r="Y2508">
        <v>-0.25230669999999999</v>
      </c>
      <c r="Z2508">
        <v>4.5474470000000003E-2</v>
      </c>
      <c r="AA2508">
        <v>0.96657819999999905</v>
      </c>
      <c r="AB2508">
        <v>49</v>
      </c>
      <c r="AC2508">
        <v>13.256599999999899</v>
      </c>
      <c r="AD2508">
        <v>-1.0413485600000001</v>
      </c>
      <c r="AE2508">
        <v>-3.7025000000000099</v>
      </c>
      <c r="AF2508">
        <v>-3.6153510864197198</v>
      </c>
      <c r="AG2508">
        <v>-1.0413485600000001</v>
      </c>
      <c r="AH2508">
        <v>13.199426249581199</v>
      </c>
      <c r="AI2508">
        <v>94.351298532769903</v>
      </c>
      <c r="AJ2508">
        <v>105.317754628393</v>
      </c>
      <c r="AK2508">
        <v>13.725160240216599</v>
      </c>
    </row>
    <row r="2509" spans="1:37" x14ac:dyDescent="0.2">
      <c r="A2509" t="str">
        <f>"20200111153444851"</f>
        <v>20200111153444851</v>
      </c>
      <c r="B2509" t="str">
        <f>"1578728084838387"</f>
        <v>1578728084838387</v>
      </c>
      <c r="C2509" t="s">
        <v>37</v>
      </c>
      <c r="D2509">
        <v>5.0565850000000001</v>
      </c>
      <c r="E2509">
        <v>0.49159219999999998</v>
      </c>
      <c r="F2509" t="s">
        <v>52</v>
      </c>
      <c r="G2509">
        <v>-459.0532</v>
      </c>
      <c r="H2509">
        <v>8.0000589999999996E-2</v>
      </c>
      <c r="I2509">
        <v>207.3126</v>
      </c>
      <c r="J2509">
        <v>-472.41590000000002</v>
      </c>
      <c r="K2509">
        <v>1.121154</v>
      </c>
      <c r="L2509">
        <v>210.9991</v>
      </c>
      <c r="M2509">
        <v>0.86408909999999906</v>
      </c>
      <c r="N2509">
        <v>0</v>
      </c>
      <c r="O2509">
        <v>-0.50322040000000001</v>
      </c>
      <c r="P2509">
        <v>0.95496939999999997</v>
      </c>
      <c r="Q2509">
        <v>6.5794350000000001E-2</v>
      </c>
      <c r="R2509">
        <v>-0.28931750000000001</v>
      </c>
      <c r="S2509">
        <v>2.9058229999999998</v>
      </c>
      <c r="T2509">
        <v>-0.21991089999999999</v>
      </c>
      <c r="U2509">
        <v>-0.8295593</v>
      </c>
      <c r="V2509">
        <v>-0.23392470000000001</v>
      </c>
      <c r="W2509">
        <v>6.5439460000000005E-2</v>
      </c>
      <c r="X2509">
        <v>0.97004999999999997</v>
      </c>
      <c r="Y2509">
        <v>-0.2448824</v>
      </c>
      <c r="Z2509">
        <v>4.4373219999999998E-2</v>
      </c>
      <c r="AA2509">
        <v>0.96853690000000003</v>
      </c>
      <c r="AB2509">
        <v>49</v>
      </c>
      <c r="AC2509">
        <v>13.3627</v>
      </c>
      <c r="AD2509">
        <v>-1.0411534099999999</v>
      </c>
      <c r="AE2509">
        <v>-3.6864999999999899</v>
      </c>
      <c r="AF2509">
        <v>-3.5192762757451499</v>
      </c>
      <c r="AG2509">
        <v>-1.0411534099999999</v>
      </c>
      <c r="AH2509">
        <v>13.327300398025599</v>
      </c>
      <c r="AI2509">
        <v>94.319506370971297</v>
      </c>
      <c r="AJ2509">
        <v>104.792169967696</v>
      </c>
      <c r="AK2509">
        <v>13.8233947287702</v>
      </c>
    </row>
    <row r="2510" spans="1:37" x14ac:dyDescent="0.2">
      <c r="A2510" t="str">
        <f>"20200111153444872"</f>
        <v>20200111153444872</v>
      </c>
      <c r="B2510" t="str">
        <f>"1578728084868643"</f>
        <v>1578728084868643</v>
      </c>
      <c r="C2510" t="s">
        <v>37</v>
      </c>
      <c r="D2510">
        <v>5.0269940000000002</v>
      </c>
      <c r="E2510">
        <v>0.49410949999999998</v>
      </c>
      <c r="F2510" t="s">
        <v>52</v>
      </c>
      <c r="G2510">
        <v>-458.39249999999998</v>
      </c>
      <c r="H2510">
        <v>8.0000790000000002E-2</v>
      </c>
      <c r="I2510">
        <v>207.095</v>
      </c>
      <c r="J2510">
        <v>-472.02330000000001</v>
      </c>
      <c r="K2510">
        <v>1.1206700000000001</v>
      </c>
      <c r="L2510">
        <v>210.76900000000001</v>
      </c>
      <c r="M2510">
        <v>0.8694556</v>
      </c>
      <c r="N2510">
        <v>0</v>
      </c>
      <c r="O2510">
        <v>-0.49387039999999999</v>
      </c>
      <c r="P2510">
        <v>0.95756090000000005</v>
      </c>
      <c r="Q2510">
        <v>6.5742610000000007E-2</v>
      </c>
      <c r="R2510">
        <v>-0.28063280000000002</v>
      </c>
      <c r="S2510">
        <v>2.9108580000000002</v>
      </c>
      <c r="T2510">
        <v>-0.21611369999999999</v>
      </c>
      <c r="U2510">
        <v>-0.81039430000000001</v>
      </c>
      <c r="V2510">
        <v>-0.232229299999999</v>
      </c>
      <c r="W2510">
        <v>6.6598980000000002E-2</v>
      </c>
      <c r="X2510">
        <v>0.97037830000000003</v>
      </c>
      <c r="Y2510">
        <v>-0.24087259999999999</v>
      </c>
      <c r="Z2510">
        <v>4.286479E-2</v>
      </c>
      <c r="AA2510">
        <v>0.96960970000000002</v>
      </c>
      <c r="AB2510">
        <v>49</v>
      </c>
      <c r="AC2510">
        <v>13.630800000000001</v>
      </c>
      <c r="AD2510">
        <v>-1.0406692099999999</v>
      </c>
      <c r="AE2510">
        <v>-3.6739999999999999</v>
      </c>
      <c r="AF2510">
        <v>-3.5185943676809002</v>
      </c>
      <c r="AG2510">
        <v>-1.0406692099999999</v>
      </c>
      <c r="AH2510">
        <v>13.592940138109199</v>
      </c>
      <c r="AI2510">
        <v>94.238822404607106</v>
      </c>
      <c r="AJ2510">
        <v>104.512725109727</v>
      </c>
      <c r="AK2510">
        <v>14.079471592610901</v>
      </c>
    </row>
    <row r="2511" spans="1:37" x14ac:dyDescent="0.2">
      <c r="A2511" t="str">
        <f>"20200111153444894"</f>
        <v>20200111153444894</v>
      </c>
      <c r="B2511" t="str">
        <f>"1578728084888164"</f>
        <v>1578728084888164</v>
      </c>
      <c r="C2511" t="s">
        <v>37</v>
      </c>
      <c r="D2511">
        <v>5.0458930000000004</v>
      </c>
      <c r="E2511">
        <v>0.49519579999999902</v>
      </c>
      <c r="F2511" t="s">
        <v>52</v>
      </c>
      <c r="G2511">
        <v>-457.7953</v>
      </c>
      <c r="H2511">
        <v>8.0000979999999999E-2</v>
      </c>
      <c r="I2511">
        <v>206.8477</v>
      </c>
      <c r="J2511">
        <v>-471.5958</v>
      </c>
      <c r="K2511">
        <v>1.119902</v>
      </c>
      <c r="L2511">
        <v>210.52789999999999</v>
      </c>
      <c r="M2511">
        <v>0.8752704</v>
      </c>
      <c r="N2511">
        <v>0</v>
      </c>
      <c r="O2511">
        <v>-0.48348609999999997</v>
      </c>
      <c r="P2511">
        <v>0.96039379999999996</v>
      </c>
      <c r="Q2511">
        <v>6.6042989999999996E-2</v>
      </c>
      <c r="R2511">
        <v>-0.27070640000000001</v>
      </c>
      <c r="S2511">
        <v>2.9123839999999999</v>
      </c>
      <c r="T2511">
        <v>-0.2130175</v>
      </c>
      <c r="U2511">
        <v>-0.80265810000000004</v>
      </c>
      <c r="V2511">
        <v>-0.2305286</v>
      </c>
      <c r="W2511">
        <v>6.7840230000000001E-2</v>
      </c>
      <c r="X2511">
        <v>0.97069780000000006</v>
      </c>
      <c r="Y2511">
        <v>-0.23192769999999999</v>
      </c>
      <c r="Z2511">
        <v>4.1292099999999998E-2</v>
      </c>
      <c r="AA2511">
        <v>0.97185619999999995</v>
      </c>
      <c r="AB2511">
        <v>49</v>
      </c>
      <c r="AC2511">
        <v>13.8005</v>
      </c>
      <c r="AD2511">
        <v>-1.0399010199999901</v>
      </c>
      <c r="AE2511">
        <v>-3.6801999999999802</v>
      </c>
      <c r="AF2511">
        <v>-3.4332268640629602</v>
      </c>
      <c r="AG2511">
        <v>-1.0399010199999901</v>
      </c>
      <c r="AH2511">
        <v>13.7864032302022</v>
      </c>
      <c r="AI2511">
        <v>94.186242546901596</v>
      </c>
      <c r="AJ2511">
        <v>103.983919433713</v>
      </c>
      <c r="AK2511">
        <v>14.245467870773901</v>
      </c>
    </row>
    <row r="2512" spans="1:37" x14ac:dyDescent="0.2">
      <c r="A2512" t="str">
        <f>"20200111153444917"</f>
        <v>20200111153444917</v>
      </c>
      <c r="B2512" t="str">
        <f>"1578728084908660"</f>
        <v>1578728084908660</v>
      </c>
      <c r="C2512" t="s">
        <v>37</v>
      </c>
      <c r="D2512">
        <v>5.0454610000000004</v>
      </c>
      <c r="E2512">
        <v>0.496090799999999</v>
      </c>
      <c r="F2512" t="s">
        <v>52</v>
      </c>
      <c r="G2512">
        <v>-457.15820000000002</v>
      </c>
      <c r="H2512">
        <v>8.0001180000000005E-2</v>
      </c>
      <c r="I2512">
        <v>206.65940000000001</v>
      </c>
      <c r="J2512">
        <v>-471.17360000000002</v>
      </c>
      <c r="K2512">
        <v>1.1190149999999901</v>
      </c>
      <c r="L2512">
        <v>210.2987</v>
      </c>
      <c r="M2512">
        <v>0.88136460000000005</v>
      </c>
      <c r="N2512">
        <v>0</v>
      </c>
      <c r="O2512">
        <v>-0.472302</v>
      </c>
      <c r="P2512">
        <v>0.96341219999999905</v>
      </c>
      <c r="Q2512">
        <v>6.647757E-2</v>
      </c>
      <c r="R2512">
        <v>-0.25964920000000002</v>
      </c>
      <c r="S2512">
        <v>2.9178470000000001</v>
      </c>
      <c r="T2512">
        <v>-0.21016379999999901</v>
      </c>
      <c r="U2512">
        <v>-0.78181460000000003</v>
      </c>
      <c r="V2512">
        <v>-0.22901920000000001</v>
      </c>
      <c r="W2512">
        <v>6.8618990000000005E-2</v>
      </c>
      <c r="X2512">
        <v>0.97100030000000004</v>
      </c>
      <c r="Y2512">
        <v>-0.22654820000000001</v>
      </c>
      <c r="Z2512">
        <v>3.9844329999999997E-2</v>
      </c>
      <c r="AA2512">
        <v>0.97318459999999996</v>
      </c>
      <c r="AB2512">
        <v>49</v>
      </c>
      <c r="AC2512">
        <v>14.0154</v>
      </c>
      <c r="AD2512">
        <v>-1.0390138200000001</v>
      </c>
      <c r="AE2512">
        <v>-3.6392999999999902</v>
      </c>
      <c r="AF2512">
        <v>-3.3946902903639602</v>
      </c>
      <c r="AG2512">
        <v>-1.0390138200000001</v>
      </c>
      <c r="AH2512">
        <v>14.000338603247201</v>
      </c>
      <c r="AI2512">
        <v>94.125234159794701</v>
      </c>
      <c r="AJ2512">
        <v>103.629579982734</v>
      </c>
      <c r="AK2512">
        <v>14.4434397873643</v>
      </c>
    </row>
    <row r="2513" spans="1:37" x14ac:dyDescent="0.2">
      <c r="A2513" t="str">
        <f>"20200111153444939"</f>
        <v>20200111153444939</v>
      </c>
      <c r="B2513" t="str">
        <f>"1578728084928182"</f>
        <v>1578728084928182</v>
      </c>
      <c r="C2513" t="s">
        <v>37</v>
      </c>
      <c r="D2513">
        <v>5.0784969999999996</v>
      </c>
      <c r="E2513">
        <v>0.49676490000000001</v>
      </c>
      <c r="F2513" t="s">
        <v>52</v>
      </c>
      <c r="G2513">
        <v>-456.5351</v>
      </c>
      <c r="H2513">
        <v>8.0001370000000002E-2</v>
      </c>
      <c r="I2513">
        <v>206.51419999999999</v>
      </c>
      <c r="J2513">
        <v>-470.75319999999999</v>
      </c>
      <c r="K2513">
        <v>1.1182639999999999</v>
      </c>
      <c r="L2513">
        <v>210.07849999999999</v>
      </c>
      <c r="M2513">
        <v>0.88769889999999996</v>
      </c>
      <c r="N2513">
        <v>0</v>
      </c>
      <c r="O2513">
        <v>-0.46031309999999898</v>
      </c>
      <c r="P2513">
        <v>0.96634569999999997</v>
      </c>
      <c r="Q2513">
        <v>6.6431879999999999E-2</v>
      </c>
      <c r="R2513">
        <v>-0.2485212</v>
      </c>
      <c r="S2513">
        <v>2.92446899999999</v>
      </c>
      <c r="T2513">
        <v>-0.20757229999999999</v>
      </c>
      <c r="U2513">
        <v>-0.75605769999999906</v>
      </c>
      <c r="V2513">
        <v>-0.22670419999999999</v>
      </c>
      <c r="W2513">
        <v>6.8541939999999996E-2</v>
      </c>
      <c r="X2513">
        <v>0.97154889999999905</v>
      </c>
      <c r="Y2513">
        <v>-0.221982499999999</v>
      </c>
      <c r="Z2513">
        <v>3.8438760000000002E-2</v>
      </c>
      <c r="AA2513">
        <v>0.97429270000000001</v>
      </c>
      <c r="AB2513">
        <v>49</v>
      </c>
      <c r="AC2513">
        <v>14.2180999999999</v>
      </c>
      <c r="AD2513">
        <v>-1.03826263</v>
      </c>
      <c r="AE2513">
        <v>-3.5642999999999998</v>
      </c>
      <c r="AF2513">
        <v>-3.3640476853778201</v>
      </c>
      <c r="AG2513">
        <v>-1.03826263</v>
      </c>
      <c r="AH2513">
        <v>14.1916145769856</v>
      </c>
      <c r="AI2513">
        <v>94.0718799297277</v>
      </c>
      <c r="AJ2513">
        <v>103.335524582815</v>
      </c>
      <c r="AK2513">
        <v>14.621789576521</v>
      </c>
    </row>
    <row r="2514" spans="1:37" x14ac:dyDescent="0.2">
      <c r="A2514" t="str">
        <f>"20200111153444961"</f>
        <v>20200111153444961</v>
      </c>
      <c r="B2514" t="str">
        <f>"1578728084948678"</f>
        <v>1578728084948678</v>
      </c>
      <c r="C2514" t="s">
        <v>37</v>
      </c>
      <c r="D2514">
        <v>5.135758</v>
      </c>
      <c r="E2514">
        <v>0.49750870000000003</v>
      </c>
      <c r="F2514" t="s">
        <v>52</v>
      </c>
      <c r="G2514">
        <v>-456.11410000000001</v>
      </c>
      <c r="H2514">
        <v>8.0001489999999995E-2</v>
      </c>
      <c r="I2514">
        <v>206.4477</v>
      </c>
      <c r="J2514">
        <v>-470.33300000000003</v>
      </c>
      <c r="K2514">
        <v>1.117583</v>
      </c>
      <c r="L2514">
        <v>209.86539999999999</v>
      </c>
      <c r="M2514">
        <v>0.89418940000000002</v>
      </c>
      <c r="N2514">
        <v>0</v>
      </c>
      <c r="O2514">
        <v>-0.44759349999999998</v>
      </c>
      <c r="P2514">
        <v>0.96918009999999999</v>
      </c>
      <c r="Q2514">
        <v>6.5893670000000001E-2</v>
      </c>
      <c r="R2514">
        <v>-0.237377</v>
      </c>
      <c r="S2514">
        <v>2.9318240000000002</v>
      </c>
      <c r="T2514">
        <v>-0.2079368</v>
      </c>
      <c r="U2514">
        <v>-0.72715759999999996</v>
      </c>
      <c r="V2514">
        <v>-0.22363269999999999</v>
      </c>
      <c r="W2514">
        <v>6.8411109999999997E-2</v>
      </c>
      <c r="X2514">
        <v>0.97226970000000001</v>
      </c>
      <c r="Y2514">
        <v>-0.21770919999999999</v>
      </c>
      <c r="Z2514">
        <v>3.754507E-2</v>
      </c>
      <c r="AA2514">
        <v>0.97529129999999997</v>
      </c>
      <c r="AB2514">
        <v>49</v>
      </c>
      <c r="AC2514">
        <v>14.2189</v>
      </c>
      <c r="AD2514">
        <v>-1.0375815100000001</v>
      </c>
      <c r="AE2514">
        <v>-3.4176999999999902</v>
      </c>
      <c r="AF2514">
        <v>-3.29178624737186</v>
      </c>
      <c r="AG2514">
        <v>-1.0375815100000001</v>
      </c>
      <c r="AH2514">
        <v>14.1733882063126</v>
      </c>
      <c r="AI2514">
        <v>94.078764288796407</v>
      </c>
      <c r="AJ2514">
        <v>103.075207263095</v>
      </c>
      <c r="AK2514">
        <v>14.5875757182309</v>
      </c>
    </row>
    <row r="2515" spans="1:37" x14ac:dyDescent="0.2">
      <c r="A2515" t="str">
        <f>"20200111153444984"</f>
        <v>20200111153444984</v>
      </c>
      <c r="B2515" t="str">
        <f>"1578728084978932"</f>
        <v>1578728084978932</v>
      </c>
      <c r="C2515" t="s">
        <v>37</v>
      </c>
      <c r="D2515">
        <v>5.1166169999999997</v>
      </c>
      <c r="E2515">
        <v>0.49817109999999898</v>
      </c>
      <c r="F2515" t="s">
        <v>42</v>
      </c>
      <c r="G2515">
        <v>-455.98070000000001</v>
      </c>
      <c r="H2515">
        <v>8.7127289999999996E-2</v>
      </c>
      <c r="I2515">
        <v>206.45160000000001</v>
      </c>
      <c r="J2515">
        <v>-469.8897</v>
      </c>
      <c r="K2515">
        <v>1.1174090000000001</v>
      </c>
      <c r="L2515">
        <v>209.64769999999999</v>
      </c>
      <c r="M2515">
        <v>0.90097530000000003</v>
      </c>
      <c r="N2515">
        <v>0</v>
      </c>
      <c r="O2515">
        <v>-0.43377769999999999</v>
      </c>
      <c r="P2515">
        <v>0.97202619999999895</v>
      </c>
      <c r="Q2515">
        <v>6.568976E-2</v>
      </c>
      <c r="R2515">
        <v>-0.225499899999999</v>
      </c>
      <c r="S2515">
        <v>2.9385680000000001</v>
      </c>
      <c r="T2515">
        <v>-0.210973299999999</v>
      </c>
      <c r="U2515">
        <v>-0.6989746</v>
      </c>
      <c r="V2515">
        <v>-0.22015989999999999</v>
      </c>
      <c r="W2515">
        <v>6.9312100000000001E-2</v>
      </c>
      <c r="X2515">
        <v>0.97299809999999998</v>
      </c>
      <c r="Y2515">
        <v>-0.21204139999999899</v>
      </c>
      <c r="Z2515">
        <v>3.6997339999999997E-2</v>
      </c>
      <c r="AA2515">
        <v>0.97656010000000004</v>
      </c>
      <c r="AB2515">
        <v>49</v>
      </c>
      <c r="AC2515">
        <v>13.908999999999899</v>
      </c>
      <c r="AD2515">
        <v>-1.0302817099999999</v>
      </c>
      <c r="AE2515">
        <v>-3.1960999999999702</v>
      </c>
      <c r="AF2515">
        <v>-3.1375817746167001</v>
      </c>
      <c r="AG2515">
        <v>-1.0302817099999999</v>
      </c>
      <c r="AH2515">
        <v>13.8464593873077</v>
      </c>
      <c r="AI2515">
        <v>94.1505561640151</v>
      </c>
      <c r="AJ2515">
        <v>102.767507425533</v>
      </c>
      <c r="AK2515">
        <v>14.234828322067299</v>
      </c>
    </row>
    <row r="2516" spans="1:37" x14ac:dyDescent="0.2">
      <c r="A2516" t="str">
        <f>"20200111153445007"</f>
        <v>20200111153445007</v>
      </c>
      <c r="B2516" t="str">
        <f>"1578728084998452"</f>
        <v>1578728084998452</v>
      </c>
      <c r="C2516" t="s">
        <v>37</v>
      </c>
      <c r="D2516">
        <v>5.1160879999999898</v>
      </c>
      <c r="E2516">
        <v>0.49870130000000001</v>
      </c>
      <c r="F2516" t="s">
        <v>42</v>
      </c>
      <c r="G2516">
        <v>-455.98070000000001</v>
      </c>
      <c r="H2516">
        <v>0.1125211</v>
      </c>
      <c r="I2516">
        <v>206.489</v>
      </c>
      <c r="J2516">
        <v>-469.44220000000001</v>
      </c>
      <c r="K2516">
        <v>1.1179889999999999</v>
      </c>
      <c r="L2516">
        <v>209.43549999999999</v>
      </c>
      <c r="M2516">
        <v>0.90802280000000002</v>
      </c>
      <c r="N2516">
        <v>0</v>
      </c>
      <c r="O2516">
        <v>-0.418817099999999</v>
      </c>
      <c r="P2516">
        <v>0.97538939999999996</v>
      </c>
      <c r="Q2516">
        <v>6.51558E-2</v>
      </c>
      <c r="R2516">
        <v>-0.210643</v>
      </c>
      <c r="S2516">
        <v>2.94558699999999</v>
      </c>
      <c r="T2516">
        <v>-0.212802399999999</v>
      </c>
      <c r="U2516">
        <v>-0.66894529999999996</v>
      </c>
      <c r="V2516">
        <v>-0.21852440000000001</v>
      </c>
      <c r="W2516">
        <v>7.0413749999999997E-2</v>
      </c>
      <c r="X2516">
        <v>0.97328769999999998</v>
      </c>
      <c r="Y2516">
        <v>-0.205871</v>
      </c>
      <c r="Z2516">
        <v>3.6114090000000001E-2</v>
      </c>
      <c r="AA2516">
        <v>0.97791249999999996</v>
      </c>
      <c r="AB2516">
        <v>49</v>
      </c>
      <c r="AC2516">
        <v>13.461499999999999</v>
      </c>
      <c r="AD2516">
        <v>-1.0054679</v>
      </c>
      <c r="AE2516">
        <v>-2.9464999999999799</v>
      </c>
      <c r="AF2516">
        <v>-2.94685721950313</v>
      </c>
      <c r="AG2516">
        <v>-1.0054679</v>
      </c>
      <c r="AH2516">
        <v>13.3867090224668</v>
      </c>
      <c r="AI2516">
        <v>94.195311955188401</v>
      </c>
      <c r="AJ2516">
        <v>102.41469014079701</v>
      </c>
      <c r="AK2516">
        <v>13.7440500443742</v>
      </c>
    </row>
    <row r="2517" spans="1:37" x14ac:dyDescent="0.2">
      <c r="A2517" t="str">
        <f>"20200111153445029"</f>
        <v>20200111153445029</v>
      </c>
      <c r="B2517" t="str">
        <f>"1578728085018947"</f>
        <v>1578728085018947</v>
      </c>
      <c r="C2517" t="s">
        <v>37</v>
      </c>
      <c r="D2517">
        <v>5.1411220000000002</v>
      </c>
      <c r="E2517">
        <v>0.49918879999999999</v>
      </c>
      <c r="F2517" t="s">
        <v>42</v>
      </c>
      <c r="G2517">
        <v>-455.98070000000001</v>
      </c>
      <c r="H2517">
        <v>0.13653689999999999</v>
      </c>
      <c r="I2517">
        <v>206.56379999999999</v>
      </c>
      <c r="J2517">
        <v>-469.015999999999</v>
      </c>
      <c r="K2517">
        <v>1.1198349999999999</v>
      </c>
      <c r="L2517">
        <v>209.24039999999999</v>
      </c>
      <c r="M2517">
        <v>0.91502729999999999</v>
      </c>
      <c r="N2517">
        <v>0</v>
      </c>
      <c r="O2517">
        <v>-0.40328370000000002</v>
      </c>
      <c r="P2517">
        <v>0.97807069999999996</v>
      </c>
      <c r="Q2517">
        <v>6.7413719999999996E-2</v>
      </c>
      <c r="R2517">
        <v>-0.19706129999999999</v>
      </c>
      <c r="S2517">
        <v>2.9539789999999999</v>
      </c>
      <c r="T2517">
        <v>-0.21536</v>
      </c>
      <c r="U2517">
        <v>-0.63017270000000003</v>
      </c>
      <c r="V2517">
        <v>-0.21518609999999999</v>
      </c>
      <c r="W2517">
        <v>7.3498960000000002E-2</v>
      </c>
      <c r="X2517">
        <v>0.97380330000000004</v>
      </c>
      <c r="Y2517">
        <v>-0.20205090000000001</v>
      </c>
      <c r="Z2517">
        <v>3.536649E-2</v>
      </c>
      <c r="AA2517">
        <v>0.9787363</v>
      </c>
      <c r="AB2517">
        <v>48</v>
      </c>
      <c r="AC2517">
        <v>13.0352999999999</v>
      </c>
      <c r="AD2517">
        <v>-0.98329809999999995</v>
      </c>
      <c r="AE2517">
        <v>-2.6766000000000001</v>
      </c>
      <c r="AF2517">
        <v>-2.7926366994681602</v>
      </c>
      <c r="AG2517">
        <v>-0.98329809999999995</v>
      </c>
      <c r="AH2517">
        <v>12.9370161366339</v>
      </c>
      <c r="AI2517">
        <v>94.249000120601806</v>
      </c>
      <c r="AJ2517">
        <v>102.181190857958</v>
      </c>
      <c r="AK2517">
        <v>13.271476233192899</v>
      </c>
    </row>
    <row r="2518" spans="1:37" x14ac:dyDescent="0.2">
      <c r="A2518" t="str">
        <f>"20200111153445051"</f>
        <v>20200111153445051</v>
      </c>
      <c r="B2518" t="str">
        <f>"1578728085038467"</f>
        <v>1578728085038467</v>
      </c>
      <c r="C2518" t="s">
        <v>37</v>
      </c>
      <c r="D2518">
        <v>5.1101859999999997</v>
      </c>
      <c r="E2518">
        <v>0.499442099999999</v>
      </c>
      <c r="F2518" t="s">
        <v>42</v>
      </c>
      <c r="G2518">
        <v>-455.98070000000001</v>
      </c>
      <c r="H2518">
        <v>0.19197030000000001</v>
      </c>
      <c r="I2518">
        <v>206.62270000000001</v>
      </c>
      <c r="J2518">
        <v>-468.59460000000001</v>
      </c>
      <c r="K2518">
        <v>1.122692</v>
      </c>
      <c r="L2518">
        <v>209.05410000000001</v>
      </c>
      <c r="M2518">
        <v>0.92200799999999905</v>
      </c>
      <c r="N2518">
        <v>0</v>
      </c>
      <c r="O2518">
        <v>-0.3870748</v>
      </c>
      <c r="P2518">
        <v>0.98034069999999995</v>
      </c>
      <c r="Q2518">
        <v>7.1083439999999998E-2</v>
      </c>
      <c r="R2518">
        <v>-0.18406339999999999</v>
      </c>
      <c r="S2518">
        <v>2.9619749999999998</v>
      </c>
      <c r="T2518">
        <v>-0.210827299999999</v>
      </c>
      <c r="U2518">
        <v>-0.59481809999999902</v>
      </c>
      <c r="V2518">
        <v>-0.21074129999999999</v>
      </c>
      <c r="W2518">
        <v>7.6867329999999998E-2</v>
      </c>
      <c r="X2518">
        <v>0.97451499999999902</v>
      </c>
      <c r="Y2518">
        <v>-0.19661909999999999</v>
      </c>
      <c r="Z2518">
        <v>3.3356820000000002E-2</v>
      </c>
      <c r="AA2518">
        <v>0.97991240000000002</v>
      </c>
      <c r="AB2518">
        <v>48</v>
      </c>
      <c r="AC2518">
        <v>12.613899999999999</v>
      </c>
      <c r="AD2518">
        <v>-0.93072169999999999</v>
      </c>
      <c r="AE2518">
        <v>-2.4313999999999898</v>
      </c>
      <c r="AF2518">
        <v>-2.6270606388129001</v>
      </c>
      <c r="AG2518">
        <v>-0.93072169999999999</v>
      </c>
      <c r="AH2518">
        <v>12.506070219315699</v>
      </c>
      <c r="AI2518">
        <v>94.165613049230004</v>
      </c>
      <c r="AJ2518">
        <v>101.863227519627</v>
      </c>
      <c r="AK2518">
        <v>12.812863958276701</v>
      </c>
    </row>
    <row r="2519" spans="1:37" x14ac:dyDescent="0.2">
      <c r="A2519" t="str">
        <f>"20200111153445073"</f>
        <v>20200111153445073</v>
      </c>
      <c r="B2519" t="str">
        <f>"1578728085068724"</f>
        <v>1578728085068724</v>
      </c>
      <c r="C2519" t="s">
        <v>37</v>
      </c>
      <c r="D2519">
        <v>5.1627289999999997</v>
      </c>
      <c r="E2519">
        <v>0.499834099999999</v>
      </c>
      <c r="F2519" t="s">
        <v>42</v>
      </c>
      <c r="G2519">
        <v>-455.74810000000002</v>
      </c>
      <c r="H2519">
        <v>0.2460328</v>
      </c>
      <c r="I2519">
        <v>206.637</v>
      </c>
      <c r="J2519">
        <v>-468.16109999999998</v>
      </c>
      <c r="K2519">
        <v>1.1262529999999999</v>
      </c>
      <c r="L2519">
        <v>208.86930000000001</v>
      </c>
      <c r="M2519">
        <v>0.92891309999999905</v>
      </c>
      <c r="N2519">
        <v>0</v>
      </c>
      <c r="O2519">
        <v>-0.37022509999999997</v>
      </c>
      <c r="P2519">
        <v>0.98272969999999904</v>
      </c>
      <c r="Q2519">
        <v>7.3291179999999997E-2</v>
      </c>
      <c r="R2519">
        <v>-0.16991289999999901</v>
      </c>
      <c r="S2519">
        <v>2.96991</v>
      </c>
      <c r="T2519">
        <v>-0.20266120000000001</v>
      </c>
      <c r="U2519">
        <v>-0.55880739999999995</v>
      </c>
      <c r="V2519">
        <v>-0.20696439999999899</v>
      </c>
      <c r="W2519">
        <v>7.7947459999999996E-2</v>
      </c>
      <c r="X2519">
        <v>0.97523839999999995</v>
      </c>
      <c r="Y2519">
        <v>-0.1908705</v>
      </c>
      <c r="Z2519">
        <v>3.0791579999999999E-2</v>
      </c>
      <c r="AA2519">
        <v>0.98113209999999995</v>
      </c>
      <c r="AB2519">
        <v>48</v>
      </c>
      <c r="AC2519">
        <v>12.412999999999901</v>
      </c>
      <c r="AD2519">
        <v>-0.88022020000000001</v>
      </c>
      <c r="AE2519">
        <v>-2.2323</v>
      </c>
      <c r="AF2519">
        <v>-2.5098342705549399</v>
      </c>
      <c r="AG2519">
        <v>-0.88022020000000001</v>
      </c>
      <c r="AH2519">
        <v>12.297485011007799</v>
      </c>
      <c r="AI2519">
        <v>94.011671842445097</v>
      </c>
      <c r="AJ2519">
        <v>101.535262292062</v>
      </c>
      <c r="AK2519">
        <v>12.581819950313299</v>
      </c>
    </row>
    <row r="2520" spans="1:37" x14ac:dyDescent="0.2">
      <c r="A2520" t="str">
        <f>"20200111153445097"</f>
        <v>20200111153445097</v>
      </c>
      <c r="B2520" t="str">
        <f>"1578728085088244"</f>
        <v>1578728085088244</v>
      </c>
      <c r="C2520" t="s">
        <v>37</v>
      </c>
      <c r="D2520">
        <v>5.3742049999999999</v>
      </c>
      <c r="E2520">
        <v>0.50003149999999996</v>
      </c>
      <c r="F2520" t="s">
        <v>42</v>
      </c>
      <c r="G2520">
        <v>-455.73840000000001</v>
      </c>
      <c r="H2520">
        <v>0.2894448</v>
      </c>
      <c r="I2520">
        <v>206.70339999999999</v>
      </c>
      <c r="J2520">
        <v>-467.6893</v>
      </c>
      <c r="K2520">
        <v>1.130412</v>
      </c>
      <c r="L2520">
        <v>208.67599999999999</v>
      </c>
      <c r="M2520">
        <v>0.93590269999999998</v>
      </c>
      <c r="N2520">
        <v>0</v>
      </c>
      <c r="O2520">
        <v>-0.35221279999999999</v>
      </c>
      <c r="P2520">
        <v>0.9852805</v>
      </c>
      <c r="Q2520">
        <v>7.2510489999999997E-2</v>
      </c>
      <c r="R2520">
        <v>-0.154805</v>
      </c>
      <c r="S2520">
        <v>2.9779360000000001</v>
      </c>
      <c r="T2520">
        <v>-0.20058719999999999</v>
      </c>
      <c r="U2520">
        <v>-0.51919559999999998</v>
      </c>
      <c r="V2520">
        <v>-0.20310120000000001</v>
      </c>
      <c r="W2520">
        <v>7.5537510000000002E-2</v>
      </c>
      <c r="X2520">
        <v>0.97623969999999904</v>
      </c>
      <c r="Y2520">
        <v>-0.18509589999999901</v>
      </c>
      <c r="Z2520">
        <v>2.9135589999999999E-2</v>
      </c>
      <c r="AA2520">
        <v>0.98228850000000001</v>
      </c>
      <c r="AB2520">
        <v>49</v>
      </c>
      <c r="AC2520">
        <v>11.950899999999899</v>
      </c>
      <c r="AD2520">
        <v>-0.84096719999999903</v>
      </c>
      <c r="AE2520">
        <v>-1.9725999999999999</v>
      </c>
      <c r="AF2520">
        <v>-2.35179980954462</v>
      </c>
      <c r="AG2520">
        <v>-0.84096719999999903</v>
      </c>
      <c r="AH2520">
        <v>11.8228553894012</v>
      </c>
      <c r="AI2520">
        <v>93.990704298786696</v>
      </c>
      <c r="AJ2520">
        <v>101.250408623628</v>
      </c>
      <c r="AK2520">
        <v>12.083794839964099</v>
      </c>
    </row>
    <row r="2521" spans="1:37" x14ac:dyDescent="0.2">
      <c r="A2521" t="str">
        <f>"20200111153445121"</f>
        <v>20200111153445121</v>
      </c>
      <c r="B2521" t="str">
        <f>"1578728085108740"</f>
        <v>1578728085108740</v>
      </c>
      <c r="C2521" t="s">
        <v>37</v>
      </c>
      <c r="D2521">
        <v>5.2118169999999999</v>
      </c>
      <c r="E2521">
        <v>0.50025839999999999</v>
      </c>
      <c r="F2521" t="s">
        <v>42</v>
      </c>
      <c r="G2521">
        <v>-455.73349999999999</v>
      </c>
      <c r="H2521">
        <v>0.31142700000000001</v>
      </c>
      <c r="I2521">
        <v>206.77780000000001</v>
      </c>
      <c r="J2521">
        <v>-467.21080000000001</v>
      </c>
      <c r="K2521">
        <v>1.134541</v>
      </c>
      <c r="L2521">
        <v>208.48830000000001</v>
      </c>
      <c r="M2521">
        <v>0.94261740000000005</v>
      </c>
      <c r="N2521">
        <v>0</v>
      </c>
      <c r="O2521">
        <v>-0.33385009999999998</v>
      </c>
      <c r="P2521">
        <v>0.98759809999999904</v>
      </c>
      <c r="Q2521">
        <v>7.2180359999999999E-2</v>
      </c>
      <c r="R2521">
        <v>-0.13942789999999999</v>
      </c>
      <c r="S2521">
        <v>2.985382</v>
      </c>
      <c r="T2521">
        <v>-0.20449059999999999</v>
      </c>
      <c r="U2521">
        <v>-0.473999</v>
      </c>
      <c r="V2521">
        <v>-0.19921320000000001</v>
      </c>
      <c r="W2521">
        <v>7.3721999999999996E-2</v>
      </c>
      <c r="X2521">
        <v>0.97717919999999903</v>
      </c>
      <c r="Y2521">
        <v>-0.18077209999999999</v>
      </c>
      <c r="Z2521">
        <v>2.8362439999999999E-2</v>
      </c>
      <c r="AA2521">
        <v>0.98311599999999999</v>
      </c>
      <c r="AB2521">
        <v>49</v>
      </c>
      <c r="AC2521">
        <v>11.4773</v>
      </c>
      <c r="AD2521">
        <v>-0.82311399999999901</v>
      </c>
      <c r="AE2521">
        <v>-1.7104999999999899</v>
      </c>
      <c r="AF2521">
        <v>-2.20825813798024</v>
      </c>
      <c r="AG2521">
        <v>-0.82311399999999901</v>
      </c>
      <c r="AH2521">
        <v>11.3328260763376</v>
      </c>
      <c r="AI2521">
        <v>94.077727430247904</v>
      </c>
      <c r="AJ2521">
        <v>101.02620675631</v>
      </c>
      <c r="AK2521">
        <v>11.5752696529053</v>
      </c>
    </row>
    <row r="2522" spans="1:37" x14ac:dyDescent="0.2">
      <c r="A2522" t="str">
        <f>"20200111153445141"</f>
        <v>20200111153445141</v>
      </c>
      <c r="B2522" t="str">
        <f>"1578728085138996"</f>
        <v>1578728085138996</v>
      </c>
      <c r="C2522" t="s">
        <v>37</v>
      </c>
      <c r="D2522">
        <v>5.1378309999999896</v>
      </c>
      <c r="E2522">
        <v>0.5002759</v>
      </c>
      <c r="F2522" t="s">
        <v>42</v>
      </c>
      <c r="G2522">
        <v>-455.72649999999999</v>
      </c>
      <c r="H2522">
        <v>0.34250839999999999</v>
      </c>
      <c r="I2522">
        <v>206.84559999999999</v>
      </c>
      <c r="J2522">
        <v>-466.77710000000002</v>
      </c>
      <c r="K2522">
        <v>1.1389309999999999</v>
      </c>
      <c r="L2522">
        <v>208.32470000000001</v>
      </c>
      <c r="M2522">
        <v>0.94843129999999998</v>
      </c>
      <c r="N2522">
        <v>0</v>
      </c>
      <c r="O2522">
        <v>-0.31696579999999902</v>
      </c>
      <c r="P2522">
        <v>0.98931909999999901</v>
      </c>
      <c r="Q2522">
        <v>7.2945209999999996E-2</v>
      </c>
      <c r="R2522">
        <v>-0.12620139999999999</v>
      </c>
      <c r="S2522">
        <v>2.9924009999999899</v>
      </c>
      <c r="T2522">
        <v>-0.206365299999999</v>
      </c>
      <c r="U2522">
        <v>-0.42803959999999902</v>
      </c>
      <c r="V2522">
        <v>-0.19487839999999901</v>
      </c>
      <c r="W2522">
        <v>7.3561280000000007E-2</v>
      </c>
      <c r="X2522">
        <v>0.97806499999999996</v>
      </c>
      <c r="Y2522">
        <v>-0.17835379999999901</v>
      </c>
      <c r="Z2522">
        <v>2.7425990000000001E-2</v>
      </c>
      <c r="AA2522">
        <v>0.98358409999999996</v>
      </c>
      <c r="AB2522">
        <v>49</v>
      </c>
      <c r="AC2522">
        <v>11.050599999999999</v>
      </c>
      <c r="AD2522">
        <v>-0.79642259999999898</v>
      </c>
      <c r="AE2522">
        <v>-1.4791000000000101</v>
      </c>
      <c r="AF2522">
        <v>-2.08918822796196</v>
      </c>
      <c r="AG2522">
        <v>-0.79642259999999898</v>
      </c>
      <c r="AH2522">
        <v>10.8940284560829</v>
      </c>
      <c r="AI2522">
        <v>94.1066756092915</v>
      </c>
      <c r="AJ2522">
        <v>100.856020188752</v>
      </c>
      <c r="AK2522">
        <v>11.121099424588801</v>
      </c>
    </row>
    <row r="2523" spans="1:37" x14ac:dyDescent="0.2">
      <c r="A2523" t="str">
        <f>"20200111153445162"</f>
        <v>20200111153445162</v>
      </c>
      <c r="B2523" t="str">
        <f>"1578728085158516"</f>
        <v>1578728085158516</v>
      </c>
      <c r="C2523" t="s">
        <v>37</v>
      </c>
      <c r="D2523">
        <v>5.3547029999999998</v>
      </c>
      <c r="E2523">
        <v>0.45926489999999998</v>
      </c>
      <c r="F2523" t="s">
        <v>42</v>
      </c>
      <c r="G2523">
        <v>-455.71710000000002</v>
      </c>
      <c r="H2523">
        <v>0.38459330000000003</v>
      </c>
      <c r="I2523">
        <v>206.89850000000001</v>
      </c>
      <c r="J2523">
        <v>-466.35660000000001</v>
      </c>
      <c r="K2523">
        <v>1.1440549999999901</v>
      </c>
      <c r="L2523">
        <v>208.17140000000001</v>
      </c>
      <c r="M2523">
        <v>0.95378069999999904</v>
      </c>
      <c r="N2523">
        <v>0</v>
      </c>
      <c r="O2523">
        <v>-0.3004888</v>
      </c>
      <c r="P2523">
        <v>0.99056279999999997</v>
      </c>
      <c r="Q2523">
        <v>7.5436299999999998E-2</v>
      </c>
      <c r="R2523">
        <v>-0.1144318</v>
      </c>
      <c r="S2523">
        <v>2.998138</v>
      </c>
      <c r="T2523">
        <v>-0.20447460000000001</v>
      </c>
      <c r="U2523">
        <v>-0.3866272</v>
      </c>
      <c r="V2523">
        <v>-0.18971089999999999</v>
      </c>
      <c r="W2523">
        <v>7.534064E-2</v>
      </c>
      <c r="X2523">
        <v>0.97894509999999901</v>
      </c>
      <c r="Y2523">
        <v>-0.17497650000000001</v>
      </c>
      <c r="Z2523">
        <v>2.5982450000000001E-2</v>
      </c>
      <c r="AA2523">
        <v>0.98422969999999899</v>
      </c>
      <c r="AB2523">
        <v>49</v>
      </c>
      <c r="AC2523">
        <v>10.6394999999999</v>
      </c>
      <c r="AD2523">
        <v>-0.75946169999999902</v>
      </c>
      <c r="AE2523">
        <v>-1.2728999999999899</v>
      </c>
      <c r="AF2523">
        <v>-1.9730803597128099</v>
      </c>
      <c r="AG2523">
        <v>-0.75946169999999902</v>
      </c>
      <c r="AH2523">
        <v>10.477655212827999</v>
      </c>
      <c r="AI2523">
        <v>94.074407203149704</v>
      </c>
      <c r="AJ2523">
        <v>100.664656936396</v>
      </c>
      <c r="AK2523">
        <v>10.688830007936</v>
      </c>
    </row>
    <row r="2524" spans="1:37" x14ac:dyDescent="0.2">
      <c r="A2524" t="str">
        <f>"20200111153445186"</f>
        <v>20200111153445186</v>
      </c>
      <c r="B2524" t="str">
        <f>"1578728085178036"</f>
        <v>1578728085178036</v>
      </c>
      <c r="C2524" t="s">
        <v>37</v>
      </c>
      <c r="D2524">
        <v>5.1285959999999999</v>
      </c>
      <c r="E2524">
        <v>0.45991090000000001</v>
      </c>
      <c r="F2524" t="s">
        <v>52</v>
      </c>
      <c r="G2524">
        <v>-450.7244</v>
      </c>
      <c r="H2524">
        <v>8.0001539999999996E-2</v>
      </c>
      <c r="I2524">
        <v>208.05099999999999</v>
      </c>
      <c r="J2524">
        <v>-465.8682</v>
      </c>
      <c r="K2524">
        <v>1.150755</v>
      </c>
      <c r="L2524">
        <v>208.0009</v>
      </c>
      <c r="M2524">
        <v>0.95945729999999996</v>
      </c>
      <c r="N2524">
        <v>0</v>
      </c>
      <c r="O2524">
        <v>-0.28184039999999999</v>
      </c>
      <c r="P2524">
        <v>0.99176779999999998</v>
      </c>
      <c r="Q2524">
        <v>7.8434240000000002E-2</v>
      </c>
      <c r="R2524">
        <v>-0.101217</v>
      </c>
      <c r="S2524">
        <v>3.0416560000000001</v>
      </c>
      <c r="T2524">
        <v>-0.20703920000000001</v>
      </c>
      <c r="U2524">
        <v>-2.342224E-2</v>
      </c>
      <c r="V2524">
        <v>-0.18399460000000001</v>
      </c>
      <c r="W2524">
        <v>7.752626E-2</v>
      </c>
      <c r="X2524">
        <v>0.97986509999999905</v>
      </c>
      <c r="Y2524">
        <v>-0.273175</v>
      </c>
      <c r="Z2524">
        <v>2.824463E-2</v>
      </c>
      <c r="AA2524">
        <v>0.96154959999999901</v>
      </c>
      <c r="AB2524">
        <v>49</v>
      </c>
      <c r="AC2524">
        <v>15.143800000000001</v>
      </c>
      <c r="AD2524">
        <v>-1.0707534599999999</v>
      </c>
      <c r="AE2524">
        <v>5.0099999999986197E-2</v>
      </c>
      <c r="AF2524">
        <v>-4.2947495226858798</v>
      </c>
      <c r="AG2524">
        <v>-1.0707534599999999</v>
      </c>
      <c r="AH2524">
        <v>14.443558087911301</v>
      </c>
      <c r="AI2524">
        <v>94.064538466636094</v>
      </c>
      <c r="AJ2524">
        <v>106.559690954072</v>
      </c>
      <c r="AK2524">
        <v>15.1065468149932</v>
      </c>
    </row>
    <row r="2525" spans="1:37" x14ac:dyDescent="0.2">
      <c r="A2525" t="str">
        <f>"20200111153445208"</f>
        <v>20200111153445208</v>
      </c>
      <c r="B2525" t="str">
        <f>"1578728085198532"</f>
        <v>1578728085198532</v>
      </c>
      <c r="C2525" t="s">
        <v>37</v>
      </c>
      <c r="D2525">
        <v>5.1830290000000003</v>
      </c>
      <c r="E2525">
        <v>0.46092309999999997</v>
      </c>
      <c r="F2525" t="s">
        <v>52</v>
      </c>
      <c r="G2525">
        <v>-446.53590000000003</v>
      </c>
      <c r="H2525">
        <v>8.0001290000000003E-2</v>
      </c>
      <c r="I2525">
        <v>208.09710000000001</v>
      </c>
      <c r="J2525">
        <v>-465.42180000000002</v>
      </c>
      <c r="K2525">
        <v>1.1572119999999999</v>
      </c>
      <c r="L2525">
        <v>207.85239999999999</v>
      </c>
      <c r="M2525">
        <v>0.96407489999999996</v>
      </c>
      <c r="N2525">
        <v>0</v>
      </c>
      <c r="O2525">
        <v>-0.26561630000000003</v>
      </c>
      <c r="P2525">
        <v>0.99263749999999995</v>
      </c>
      <c r="Q2525">
        <v>8.1126210000000004E-2</v>
      </c>
      <c r="R2525">
        <v>-8.9939649999999996E-2</v>
      </c>
      <c r="S2525">
        <v>3.0397639999999999</v>
      </c>
      <c r="T2525">
        <v>-0.16836309999999999</v>
      </c>
      <c r="U2525">
        <v>1.512146E-2</v>
      </c>
      <c r="V2525">
        <v>-0.178976</v>
      </c>
      <c r="W2525">
        <v>7.9470509999999994E-2</v>
      </c>
      <c r="X2525">
        <v>0.98063860000000003</v>
      </c>
      <c r="Y2525">
        <v>-0.26959670000000002</v>
      </c>
      <c r="Z2525">
        <v>2.2028550000000001E-2</v>
      </c>
      <c r="AA2525">
        <v>0.9627213</v>
      </c>
      <c r="AB2525">
        <v>49</v>
      </c>
      <c r="AC2525">
        <v>18.8858999999999</v>
      </c>
      <c r="AD2525">
        <v>-1.0772107099999999</v>
      </c>
      <c r="AE2525">
        <v>0.24470000000002301</v>
      </c>
      <c r="AF2525">
        <v>-5.23530266051353</v>
      </c>
      <c r="AG2525">
        <v>-1.0772107099999999</v>
      </c>
      <c r="AH2525">
        <v>18.083672513701</v>
      </c>
      <c r="AI2525">
        <v>93.274811004327105</v>
      </c>
      <c r="AJ2525">
        <v>106.145962290875</v>
      </c>
      <c r="AK2525">
        <v>18.857040818848098</v>
      </c>
    </row>
    <row r="2526" spans="1:37" x14ac:dyDescent="0.2">
      <c r="A2526" t="str">
        <f>"20200111153445230"</f>
        <v>20200111153445230</v>
      </c>
      <c r="B2526" t="str">
        <f>"1578728085218051"</f>
        <v>1578728085218051</v>
      </c>
      <c r="C2526" t="s">
        <v>37</v>
      </c>
      <c r="D2526">
        <v>5.1595899999999997</v>
      </c>
      <c r="E2526">
        <v>0.46144089999999999</v>
      </c>
      <c r="F2526" t="s">
        <v>52</v>
      </c>
      <c r="G2526">
        <v>-444.65539999999999</v>
      </c>
      <c r="H2526">
        <v>8.0000390000000005E-2</v>
      </c>
      <c r="I2526">
        <v>208.15440000000001</v>
      </c>
      <c r="J2526">
        <v>-464.9545</v>
      </c>
      <c r="K2526">
        <v>1.1638869999999999</v>
      </c>
      <c r="L2526">
        <v>207.7047</v>
      </c>
      <c r="M2526">
        <v>0.96835300000000002</v>
      </c>
      <c r="N2526">
        <v>0</v>
      </c>
      <c r="O2526">
        <v>-0.24956790000000001</v>
      </c>
      <c r="P2526">
        <v>0.99343869999999901</v>
      </c>
      <c r="Q2526">
        <v>8.3948999999999996E-2</v>
      </c>
      <c r="R2526">
        <v>-7.7666750000000007E-2</v>
      </c>
      <c r="S2526">
        <v>3.0391539999999999</v>
      </c>
      <c r="T2526">
        <v>-0.1576495</v>
      </c>
      <c r="U2526">
        <v>4.4204710000000001E-2</v>
      </c>
      <c r="V2526">
        <v>-0.17522560000000001</v>
      </c>
      <c r="W2526">
        <v>8.1600740000000005E-2</v>
      </c>
      <c r="X2526">
        <v>0.98114089999999998</v>
      </c>
      <c r="Y2526">
        <v>-0.2629417</v>
      </c>
      <c r="Z2526">
        <v>1.9653099999999899E-2</v>
      </c>
      <c r="AA2526">
        <v>0.96461149999999996</v>
      </c>
      <c r="AB2526">
        <v>49</v>
      </c>
      <c r="AC2526">
        <v>20.299099999999999</v>
      </c>
      <c r="AD2526">
        <v>-1.08388661</v>
      </c>
      <c r="AE2526">
        <v>0.44970000000000698</v>
      </c>
      <c r="AF2526">
        <v>-5.4858618895991196</v>
      </c>
      <c r="AG2526">
        <v>-1.08388661</v>
      </c>
      <c r="AH2526">
        <v>19.489007041120601</v>
      </c>
      <c r="AI2526">
        <v>93.064394186869507</v>
      </c>
      <c r="AJ2526">
        <v>105.72111115656</v>
      </c>
      <c r="AK2526">
        <v>20.275376354187401</v>
      </c>
    </row>
    <row r="2527" spans="1:37" x14ac:dyDescent="0.2">
      <c r="A2527" t="str">
        <f>"20200111153445252"</f>
        <v>20200111153445252</v>
      </c>
      <c r="B2527" t="str">
        <f>"1578728085248307"</f>
        <v>1578728085248307</v>
      </c>
      <c r="C2527" t="s">
        <v>37</v>
      </c>
      <c r="D2527">
        <v>5.1173779999999898</v>
      </c>
      <c r="E2527">
        <v>0.46280059999999901</v>
      </c>
      <c r="F2527" t="s">
        <v>52</v>
      </c>
      <c r="G2527">
        <v>-443.35570000000001</v>
      </c>
      <c r="H2527">
        <v>8.0000760000000004E-2</v>
      </c>
      <c r="I2527">
        <v>208.2664</v>
      </c>
      <c r="J2527">
        <v>-464.50240000000002</v>
      </c>
      <c r="K2527">
        <v>1.1698230000000001</v>
      </c>
      <c r="L2527">
        <v>207.5694</v>
      </c>
      <c r="M2527">
        <v>0.97202900000000003</v>
      </c>
      <c r="N2527">
        <v>0</v>
      </c>
      <c r="O2527">
        <v>-0.23484189999999999</v>
      </c>
      <c r="P2527">
        <v>0.9941257</v>
      </c>
      <c r="Q2527">
        <v>8.6528099999999997E-2</v>
      </c>
      <c r="R2527">
        <v>-6.5016089999999999E-2</v>
      </c>
      <c r="S2527">
        <v>3.0388790000000001</v>
      </c>
      <c r="T2527">
        <v>-0.15249960000000001</v>
      </c>
      <c r="U2527">
        <v>7.9040529999999998E-2</v>
      </c>
      <c r="V2527">
        <v>-0.17318749999999999</v>
      </c>
      <c r="W2527">
        <v>8.3697339999999995E-2</v>
      </c>
      <c r="X2527">
        <v>0.98132600000000003</v>
      </c>
      <c r="Y2527">
        <v>-0.25941900000000001</v>
      </c>
      <c r="Z2527">
        <v>1.820513E-2</v>
      </c>
      <c r="AA2527">
        <v>0.96559329999999999</v>
      </c>
      <c r="AB2527">
        <v>49</v>
      </c>
      <c r="AC2527">
        <v>21.146699999999999</v>
      </c>
      <c r="AD2527">
        <v>-1.0898222399999999</v>
      </c>
      <c r="AE2527">
        <v>0.69700000000000195</v>
      </c>
      <c r="AF2527">
        <v>-5.6287269404144498</v>
      </c>
      <c r="AG2527">
        <v>-1.0898222399999999</v>
      </c>
      <c r="AH2527">
        <v>20.337653698032302</v>
      </c>
      <c r="AI2527">
        <v>92.956411961949499</v>
      </c>
      <c r="AJ2527">
        <v>105.470163531663</v>
      </c>
      <c r="AK2527">
        <v>21.130320334193499</v>
      </c>
    </row>
    <row r="2528" spans="1:37" x14ac:dyDescent="0.2">
      <c r="A2528" t="str">
        <f>"20200111153445274"</f>
        <v>20200111153445274</v>
      </c>
      <c r="B2528" t="str">
        <f>"1578728085268805"</f>
        <v>1578728085268805</v>
      </c>
      <c r="C2528" t="s">
        <v>37</v>
      </c>
      <c r="D2528">
        <v>5.1260219999999999</v>
      </c>
      <c r="E2528">
        <v>0.46415640000000002</v>
      </c>
      <c r="F2528" t="s">
        <v>52</v>
      </c>
      <c r="G2528">
        <v>-441.036</v>
      </c>
      <c r="H2528">
        <v>8.0001420000000004E-2</v>
      </c>
      <c r="I2528">
        <v>208.39940000000001</v>
      </c>
      <c r="J2528">
        <v>-464.03269999999998</v>
      </c>
      <c r="K2528">
        <v>1.1750590000000001</v>
      </c>
      <c r="L2528">
        <v>207.4365</v>
      </c>
      <c r="M2528">
        <v>0.97544809999999904</v>
      </c>
      <c r="N2528">
        <v>0</v>
      </c>
      <c r="O2528">
        <v>-0.22020580000000001</v>
      </c>
      <c r="P2528">
        <v>0.99491289999999999</v>
      </c>
      <c r="Q2528">
        <v>8.6254750000000005E-2</v>
      </c>
      <c r="R2528">
        <v>-5.2041610000000002E-2</v>
      </c>
      <c r="S2528">
        <v>3.0370180000000002</v>
      </c>
      <c r="T2528">
        <v>-0.14104439999999999</v>
      </c>
      <c r="U2528">
        <v>0.1074219</v>
      </c>
      <c r="V2528">
        <v>-0.1714782</v>
      </c>
      <c r="W2528">
        <v>8.3217429999999995E-2</v>
      </c>
      <c r="X2528">
        <v>0.98166699999999996</v>
      </c>
      <c r="Y2528">
        <v>-0.25404179999999998</v>
      </c>
      <c r="Z2528">
        <v>1.6058590000000001E-2</v>
      </c>
      <c r="AA2528">
        <v>0.96705989999999997</v>
      </c>
      <c r="AB2528">
        <v>50</v>
      </c>
      <c r="AC2528">
        <v>22.996699999999901</v>
      </c>
      <c r="AD2528">
        <v>-1.09505758</v>
      </c>
      <c r="AE2528">
        <v>0.96290000000001896</v>
      </c>
      <c r="AF2528">
        <v>-5.9897391176169803</v>
      </c>
      <c r="AG2528">
        <v>-1.09505758</v>
      </c>
      <c r="AH2528">
        <v>22.169984861432798</v>
      </c>
      <c r="AI2528">
        <v>92.730025980582994</v>
      </c>
      <c r="AJ2528">
        <v>105.11883217203901</v>
      </c>
      <c r="AK2528">
        <v>22.990962453903201</v>
      </c>
    </row>
    <row r="2529" spans="1:37" x14ac:dyDescent="0.2">
      <c r="A2529" t="str">
        <f>"20200111153445297"</f>
        <v>20200111153445297</v>
      </c>
      <c r="B2529" t="str">
        <f>"1578728085288324"</f>
        <v>1578728085288324</v>
      </c>
      <c r="C2529" t="s">
        <v>37</v>
      </c>
      <c r="D2529">
        <v>5.1763870000000001</v>
      </c>
      <c r="E2529">
        <v>0.46507730000000003</v>
      </c>
      <c r="F2529" t="s">
        <v>52</v>
      </c>
      <c r="G2529">
        <v>-440.18290000000002</v>
      </c>
      <c r="H2529">
        <v>8.0001669999999997E-2</v>
      </c>
      <c r="I2529">
        <v>208.52090000000001</v>
      </c>
      <c r="J2529">
        <v>-463.54579999999999</v>
      </c>
      <c r="K2529">
        <v>1.1793499999999999</v>
      </c>
      <c r="L2529">
        <v>207.3066</v>
      </c>
      <c r="M2529">
        <v>0.97863069999999897</v>
      </c>
      <c r="N2529">
        <v>0</v>
      </c>
      <c r="O2529">
        <v>-0.20559669999999999</v>
      </c>
      <c r="P2529">
        <v>0.99567779999999995</v>
      </c>
      <c r="Q2529">
        <v>8.4730949999999999E-2</v>
      </c>
      <c r="R2529">
        <v>-3.803339E-2</v>
      </c>
      <c r="S2529">
        <v>3.0346679999999999</v>
      </c>
      <c r="T2529">
        <v>-0.13933619999999999</v>
      </c>
      <c r="U2529">
        <v>0.1379852</v>
      </c>
      <c r="V2529">
        <v>-0.17071910000000001</v>
      </c>
      <c r="W2529">
        <v>8.1714319999999993E-2</v>
      </c>
      <c r="X2529">
        <v>0.98192549999999901</v>
      </c>
      <c r="Y2529">
        <v>-0.249361</v>
      </c>
      <c r="Z2529">
        <v>1.5108979999999999E-2</v>
      </c>
      <c r="AA2529">
        <v>0.96829270000000001</v>
      </c>
      <c r="AB2529">
        <v>50</v>
      </c>
      <c r="AC2529">
        <v>23.3628999999999</v>
      </c>
      <c r="AD2529">
        <v>-1.09934833</v>
      </c>
      <c r="AE2529">
        <v>1.2142999999999999</v>
      </c>
      <c r="AF2529">
        <v>-5.9785202181414103</v>
      </c>
      <c r="AG2529">
        <v>-1.09934833</v>
      </c>
      <c r="AH2529">
        <v>22.564302920618701</v>
      </c>
      <c r="AI2529">
        <v>92.696389126113004</v>
      </c>
      <c r="AJ2529">
        <v>104.839806840284</v>
      </c>
      <c r="AK2529">
        <v>23.368761992087599</v>
      </c>
    </row>
    <row r="2530" spans="1:37" x14ac:dyDescent="0.2">
      <c r="A2530" t="str">
        <f>"20200111153445319"</f>
        <v>20200111153445319</v>
      </c>
      <c r="B2530" t="str">
        <f>"1578728085308822"</f>
        <v>1578728085308822</v>
      </c>
      <c r="C2530" t="s">
        <v>37</v>
      </c>
      <c r="D2530">
        <v>5.1581479999999997</v>
      </c>
      <c r="E2530">
        <v>0.46565659999999998</v>
      </c>
      <c r="F2530" t="s">
        <v>52</v>
      </c>
      <c r="G2530">
        <v>-441.13310000000001</v>
      </c>
      <c r="H2530">
        <v>8.0001390000000006E-2</v>
      </c>
      <c r="I2530">
        <v>208.59829999999999</v>
      </c>
      <c r="J2530">
        <v>-463.07639999999998</v>
      </c>
      <c r="K2530">
        <v>1.1826889999999901</v>
      </c>
      <c r="L2530">
        <v>207.18870000000001</v>
      </c>
      <c r="M2530">
        <v>0.98137559999999902</v>
      </c>
      <c r="N2530">
        <v>0</v>
      </c>
      <c r="O2530">
        <v>-0.19206300000000001</v>
      </c>
      <c r="P2530">
        <v>0.99614910000000001</v>
      </c>
      <c r="Q2530">
        <v>8.4086209999999995E-2</v>
      </c>
      <c r="R2530">
        <v>-2.483059E-2</v>
      </c>
      <c r="S2530">
        <v>3.0323790000000002</v>
      </c>
      <c r="T2530">
        <v>-0.14873910000000001</v>
      </c>
      <c r="U2530">
        <v>0.17475889999999999</v>
      </c>
      <c r="V2530">
        <v>-0.1702342</v>
      </c>
      <c r="W2530">
        <v>8.1201540000000003E-2</v>
      </c>
      <c r="X2530">
        <v>0.98205229999999999</v>
      </c>
      <c r="Y2530">
        <v>-0.24768419999999999</v>
      </c>
      <c r="Z2530">
        <v>1.5441989999999999E-2</v>
      </c>
      <c r="AA2530">
        <v>0.96871779999999996</v>
      </c>
      <c r="AB2530">
        <v>50</v>
      </c>
      <c r="AC2530">
        <v>21.943299999999901</v>
      </c>
      <c r="AD2530">
        <v>-1.10268760999999</v>
      </c>
      <c r="AE2530">
        <v>1.40959999999998</v>
      </c>
      <c r="AF2530">
        <v>-5.5838389835148901</v>
      </c>
      <c r="AG2530">
        <v>-1.10268760999999</v>
      </c>
      <c r="AH2530">
        <v>21.210691460741799</v>
      </c>
      <c r="AI2530">
        <v>92.878089400135906</v>
      </c>
      <c r="AJ2530">
        <v>104.748812578786</v>
      </c>
      <c r="AK2530">
        <v>21.961070329149599</v>
      </c>
    </row>
    <row r="2531" spans="1:37" x14ac:dyDescent="0.2">
      <c r="A2531" t="str">
        <f>"20200111153445341"</f>
        <v>20200111153445341</v>
      </c>
      <c r="B2531" t="str">
        <f>"1578728085338099"</f>
        <v>1578728085338099</v>
      </c>
      <c r="C2531" t="s">
        <v>37</v>
      </c>
      <c r="D2531">
        <v>5.1500409999999999</v>
      </c>
      <c r="E2531">
        <v>0.46665180000000001</v>
      </c>
      <c r="F2531" t="s">
        <v>52</v>
      </c>
      <c r="G2531">
        <v>-441.82459999999998</v>
      </c>
      <c r="H2531">
        <v>8.0001180000000005E-2</v>
      </c>
      <c r="I2531">
        <v>208.66489999999999</v>
      </c>
      <c r="J2531">
        <v>-462.60789999999997</v>
      </c>
      <c r="K2531">
        <v>1.1854819999999999</v>
      </c>
      <c r="L2531">
        <v>207.07830000000001</v>
      </c>
      <c r="M2531">
        <v>0.98380540000000005</v>
      </c>
      <c r="N2531">
        <v>0</v>
      </c>
      <c r="O2531">
        <v>-0.17919560000000001</v>
      </c>
      <c r="P2531">
        <v>0.99649959999999904</v>
      </c>
      <c r="Q2531">
        <v>8.2653260000000006E-2</v>
      </c>
      <c r="R2531">
        <v>-1.253337E-2</v>
      </c>
      <c r="S2531">
        <v>3.03009</v>
      </c>
      <c r="T2531">
        <v>-0.15722239999999901</v>
      </c>
      <c r="U2531">
        <v>0.21047969999999999</v>
      </c>
      <c r="V2531">
        <v>-0.1695188</v>
      </c>
      <c r="W2531">
        <v>7.9963889999999996E-2</v>
      </c>
      <c r="X2531">
        <v>0.98227749999999903</v>
      </c>
      <c r="Y2531">
        <v>-0.24637120000000001</v>
      </c>
      <c r="Z2531">
        <v>1.563693E-2</v>
      </c>
      <c r="AA2531">
        <v>0.96904939999999995</v>
      </c>
      <c r="AB2531">
        <v>50</v>
      </c>
      <c r="AC2531">
        <v>20.783300000000001</v>
      </c>
      <c r="AD2531">
        <v>-1.1054808199999999</v>
      </c>
      <c r="AE2531">
        <v>1.58659999999997</v>
      </c>
      <c r="AF2531">
        <v>-5.2703985548251104</v>
      </c>
      <c r="AG2531">
        <v>-1.1054808199999999</v>
      </c>
      <c r="AH2531">
        <v>20.106015418761899</v>
      </c>
      <c r="AI2531">
        <v>93.044447003393103</v>
      </c>
      <c r="AJ2531">
        <v>104.68849255242</v>
      </c>
      <c r="AK2531">
        <v>20.814683393930899</v>
      </c>
    </row>
    <row r="2532" spans="1:37" x14ac:dyDescent="0.2">
      <c r="A2532" t="str">
        <f>"20200111153445363"</f>
        <v>20200111153445363</v>
      </c>
      <c r="B2532" t="str">
        <f>"1578728085358595"</f>
        <v>1578728085358595</v>
      </c>
      <c r="C2532" t="s">
        <v>37</v>
      </c>
      <c r="D2532">
        <v>5.128069</v>
      </c>
      <c r="E2532">
        <v>0.46745879999999901</v>
      </c>
      <c r="F2532" t="s">
        <v>52</v>
      </c>
      <c r="G2532">
        <v>-442.7013</v>
      </c>
      <c r="H2532">
        <v>8.0000929999999998E-2</v>
      </c>
      <c r="I2532">
        <v>208.66200000000001</v>
      </c>
      <c r="J2532">
        <v>-462.13229999999999</v>
      </c>
      <c r="K2532">
        <v>1.187956</v>
      </c>
      <c r="L2532">
        <v>206.97319999999999</v>
      </c>
      <c r="M2532">
        <v>0.98599029999999999</v>
      </c>
      <c r="N2532">
        <v>0</v>
      </c>
      <c r="O2532">
        <v>-0.16674800000000001</v>
      </c>
      <c r="P2532">
        <v>0.99668230000000002</v>
      </c>
      <c r="Q2532">
        <v>8.1377270000000002E-2</v>
      </c>
      <c r="R2532">
        <v>-1.5712250000000001E-3</v>
      </c>
      <c r="S2532">
        <v>3.0275270000000001</v>
      </c>
      <c r="T2532">
        <v>-0.16812849999999999</v>
      </c>
      <c r="U2532">
        <v>0.24085999999999999</v>
      </c>
      <c r="V2532">
        <v>-0.1679417</v>
      </c>
      <c r="W2532">
        <v>7.8935740000000004E-2</v>
      </c>
      <c r="X2532">
        <v>0.98263149999999999</v>
      </c>
      <c r="Y2532">
        <v>-0.24379110000000001</v>
      </c>
      <c r="Z2532">
        <v>1.5974599999999999E-2</v>
      </c>
      <c r="AA2532">
        <v>0.96969620000000001</v>
      </c>
      <c r="AB2532">
        <v>50</v>
      </c>
      <c r="AC2532">
        <v>19.430999999999901</v>
      </c>
      <c r="AD2532">
        <v>-1.10795507</v>
      </c>
      <c r="AE2532">
        <v>1.6888000000000101</v>
      </c>
      <c r="AF2532">
        <v>-4.8894876289525904</v>
      </c>
      <c r="AG2532">
        <v>-1.10795507</v>
      </c>
      <c r="AH2532">
        <v>18.816626186886701</v>
      </c>
      <c r="AI2532">
        <v>93.261708706057505</v>
      </c>
      <c r="AJ2532">
        <v>104.56612954472</v>
      </c>
      <c r="AK2532">
        <v>19.4730602311976</v>
      </c>
    </row>
    <row r="2533" spans="1:37" x14ac:dyDescent="0.2">
      <c r="A2533" t="str">
        <f>"20200111153445386"</f>
        <v>20200111153445386</v>
      </c>
      <c r="B2533" t="str">
        <f>"1578728085379093"</f>
        <v>1578728085379093</v>
      </c>
      <c r="C2533" t="s">
        <v>37</v>
      </c>
      <c r="D2533">
        <v>5.0920959999999997</v>
      </c>
      <c r="E2533">
        <v>0.46833900000000001</v>
      </c>
      <c r="F2533" t="s">
        <v>52</v>
      </c>
      <c r="G2533">
        <v>-443.05189999999999</v>
      </c>
      <c r="H2533">
        <v>8.0000829999999995E-2</v>
      </c>
      <c r="I2533">
        <v>208.67230000000001</v>
      </c>
      <c r="J2533">
        <v>-461.60890000000001</v>
      </c>
      <c r="K2533">
        <v>1.1903330000000001</v>
      </c>
      <c r="L2533">
        <v>206.8655</v>
      </c>
      <c r="M2533">
        <v>0.98809849999999999</v>
      </c>
      <c r="N2533">
        <v>0</v>
      </c>
      <c r="O2533">
        <v>-0.1537521</v>
      </c>
      <c r="P2533">
        <v>0.9966933</v>
      </c>
      <c r="Q2533">
        <v>8.0714460000000002E-2</v>
      </c>
      <c r="R2533">
        <v>9.3552970000000003E-3</v>
      </c>
      <c r="S2533">
        <v>3.0247799999999998</v>
      </c>
      <c r="T2533">
        <v>-0.175642299999999</v>
      </c>
      <c r="U2533">
        <v>0.26936339999999998</v>
      </c>
      <c r="V2533">
        <v>-0.16583699999999901</v>
      </c>
      <c r="W2533">
        <v>7.8583020000000003E-2</v>
      </c>
      <c r="X2533">
        <v>0.98301719999999904</v>
      </c>
      <c r="Y2533">
        <v>-0.24013519999999999</v>
      </c>
      <c r="Z2533">
        <v>1.5844130000000001E-2</v>
      </c>
      <c r="AA2533">
        <v>0.97061010000000003</v>
      </c>
      <c r="AB2533">
        <v>50</v>
      </c>
      <c r="AC2533">
        <v>18.556999999999999</v>
      </c>
      <c r="AD2533">
        <v>-1.11033217</v>
      </c>
      <c r="AE2533">
        <v>1.8068</v>
      </c>
      <c r="AF2533">
        <v>-4.6221321778215101</v>
      </c>
      <c r="AG2533">
        <v>-1.11033217</v>
      </c>
      <c r="AH2533">
        <v>17.9947228130791</v>
      </c>
      <c r="AI2533">
        <v>93.420110760616893</v>
      </c>
      <c r="AJ2533">
        <v>104.405593650019</v>
      </c>
      <c r="AK2533">
        <v>18.6120120491187</v>
      </c>
    </row>
    <row r="2534" spans="1:37" x14ac:dyDescent="0.2">
      <c r="A2534" t="str">
        <f>"20200111153445408"</f>
        <v>20200111153445408</v>
      </c>
      <c r="B2534" t="str">
        <f>"1578728085398611"</f>
        <v>1578728085398611</v>
      </c>
      <c r="C2534" t="s">
        <v>37</v>
      </c>
      <c r="D2534">
        <v>5.0765699999999896</v>
      </c>
      <c r="E2534">
        <v>0.46916340000000001</v>
      </c>
      <c r="F2534" t="s">
        <v>52</v>
      </c>
      <c r="G2534">
        <v>-443.09870000000001</v>
      </c>
      <c r="H2534">
        <v>8.0000810000000006E-2</v>
      </c>
      <c r="I2534">
        <v>208.68369999999999</v>
      </c>
      <c r="J2534">
        <v>-461.1454</v>
      </c>
      <c r="K2534">
        <v>1.192169</v>
      </c>
      <c r="L2534">
        <v>206.77690000000001</v>
      </c>
      <c r="M2534">
        <v>0.98974240000000002</v>
      </c>
      <c r="N2534">
        <v>0</v>
      </c>
      <c r="O2534">
        <v>-0.1427766</v>
      </c>
      <c r="P2534">
        <v>0.99659279999999995</v>
      </c>
      <c r="Q2534">
        <v>8.0483260000000001E-2</v>
      </c>
      <c r="R2534">
        <v>1.8031019999999998E-2</v>
      </c>
      <c r="S2534">
        <v>3.02182</v>
      </c>
      <c r="T2534">
        <v>-0.18126329999999999</v>
      </c>
      <c r="U2534">
        <v>0.29681399999999902</v>
      </c>
      <c r="V2534">
        <v>-0.1635491</v>
      </c>
      <c r="W2534">
        <v>7.866194E-2</v>
      </c>
      <c r="X2534">
        <v>0.98339409999999905</v>
      </c>
      <c r="Y2534">
        <v>-0.23816689999999999</v>
      </c>
      <c r="Z2534">
        <v>1.5649030000000001E-2</v>
      </c>
      <c r="AA2534">
        <v>0.97109820000000002</v>
      </c>
      <c r="AB2534">
        <v>50</v>
      </c>
      <c r="AC2534">
        <v>18.046699999999898</v>
      </c>
      <c r="AD2534">
        <v>-1.11216819</v>
      </c>
      <c r="AE2534">
        <v>1.9067999999999701</v>
      </c>
      <c r="AF2534">
        <v>-4.4472389219130104</v>
      </c>
      <c r="AG2534">
        <v>-1.11216819</v>
      </c>
      <c r="AH2534">
        <v>17.523737186990999</v>
      </c>
      <c r="AI2534">
        <v>93.520187114275799</v>
      </c>
      <c r="AJ2534">
        <v>104.24009899041501</v>
      </c>
      <c r="AK2534">
        <v>18.113426432074</v>
      </c>
    </row>
    <row r="2535" spans="1:37" x14ac:dyDescent="0.2">
      <c r="A2535" t="str">
        <f>"20200111153445430"</f>
        <v>20200111153445430</v>
      </c>
      <c r="B2535" t="str">
        <f>"1578728085418135"</f>
        <v>1578728085418135</v>
      </c>
      <c r="C2535" t="s">
        <v>37</v>
      </c>
      <c r="D2535">
        <v>5.0765849999999997</v>
      </c>
      <c r="E2535">
        <v>0.46994619999999998</v>
      </c>
      <c r="F2535" t="s">
        <v>52</v>
      </c>
      <c r="G2535">
        <v>-442.9973</v>
      </c>
      <c r="H2535">
        <v>8.0000840000000004E-2</v>
      </c>
      <c r="I2535">
        <v>208.6849</v>
      </c>
      <c r="J2535">
        <v>-460.65750000000003</v>
      </c>
      <c r="K2535">
        <v>1.193827</v>
      </c>
      <c r="L2535">
        <v>206.69069999999999</v>
      </c>
      <c r="M2535">
        <v>0.99127319999999997</v>
      </c>
      <c r="N2535">
        <v>0</v>
      </c>
      <c r="O2535">
        <v>-0.1317151</v>
      </c>
      <c r="P2535">
        <v>0.99640659999999903</v>
      </c>
      <c r="Q2535">
        <v>8.0728910000000001E-2</v>
      </c>
      <c r="R2535">
        <v>2.5631930000000001E-2</v>
      </c>
      <c r="S2535">
        <v>3.0194399999999999</v>
      </c>
      <c r="T2535">
        <v>-0.18504019999999999</v>
      </c>
      <c r="U2535">
        <v>0.3174438</v>
      </c>
      <c r="V2535">
        <v>-0.16014879999999901</v>
      </c>
      <c r="W2535">
        <v>7.9294149999999994E-2</v>
      </c>
      <c r="X2535">
        <v>0.98390279999999997</v>
      </c>
      <c r="Y2535">
        <v>-0.23396140000000001</v>
      </c>
      <c r="Z2535">
        <v>1.518123E-2</v>
      </c>
      <c r="AA2535">
        <v>0.97212739999999997</v>
      </c>
      <c r="AB2535">
        <v>50</v>
      </c>
      <c r="AC2535">
        <v>17.6602</v>
      </c>
      <c r="AD2535">
        <v>-1.1138261599999999</v>
      </c>
      <c r="AE2535">
        <v>1.9942</v>
      </c>
      <c r="AF2535">
        <v>-4.28613873741108</v>
      </c>
      <c r="AG2535">
        <v>-1.1138261599999999</v>
      </c>
      <c r="AH2535">
        <v>17.176199728000501</v>
      </c>
      <c r="AI2535">
        <v>93.600173513882893</v>
      </c>
      <c r="AJ2535">
        <v>104.011403231751</v>
      </c>
      <c r="AK2535">
        <v>17.737909433955299</v>
      </c>
    </row>
    <row r="2536" spans="1:37" x14ac:dyDescent="0.2">
      <c r="A2536" t="str">
        <f>"20200111153445452"</f>
        <v>20200111153445452</v>
      </c>
      <c r="B2536" t="str">
        <f>"1578728085448387"</f>
        <v>1578728085448387</v>
      </c>
      <c r="C2536" t="s">
        <v>37</v>
      </c>
      <c r="D2536">
        <v>5.09056</v>
      </c>
      <c r="E2536">
        <v>0.47072259999999999</v>
      </c>
      <c r="F2536" t="s">
        <v>52</v>
      </c>
      <c r="G2536">
        <v>-442.71749999999997</v>
      </c>
      <c r="H2536">
        <v>8.0000920000000003E-2</v>
      </c>
      <c r="I2536">
        <v>208.68340000000001</v>
      </c>
      <c r="J2536">
        <v>-460.17500000000001</v>
      </c>
      <c r="K2536">
        <v>1.195217</v>
      </c>
      <c r="L2536">
        <v>206.61240000000001</v>
      </c>
      <c r="M2536">
        <v>0.99261379999999999</v>
      </c>
      <c r="N2536">
        <v>0</v>
      </c>
      <c r="O2536">
        <v>-0.12118329999999999</v>
      </c>
      <c r="P2536">
        <v>0.99631800000000004</v>
      </c>
      <c r="Q2536">
        <v>7.992718E-2</v>
      </c>
      <c r="R2536">
        <v>3.102007E-2</v>
      </c>
      <c r="S2536">
        <v>3.017395</v>
      </c>
      <c r="T2536">
        <v>-0.18733839999999999</v>
      </c>
      <c r="U2536">
        <v>0.33515929999999999</v>
      </c>
      <c r="V2536">
        <v>-0.15506310000000001</v>
      </c>
      <c r="W2536">
        <v>7.8967109999999993E-2</v>
      </c>
      <c r="X2536">
        <v>0.98474340000000005</v>
      </c>
      <c r="Y2536">
        <v>-0.2293596</v>
      </c>
      <c r="Z2536">
        <v>1.458388E-2</v>
      </c>
      <c r="AA2536">
        <v>0.97323249999999994</v>
      </c>
      <c r="AB2536">
        <v>50</v>
      </c>
      <c r="AC2536">
        <v>17.4575</v>
      </c>
      <c r="AD2536">
        <v>-1.1152160799999999</v>
      </c>
      <c r="AE2536">
        <v>2.07099999999999</v>
      </c>
      <c r="AF2536">
        <v>-4.1546091516961203</v>
      </c>
      <c r="AG2536">
        <v>-1.1152160799999999</v>
      </c>
      <c r="AH2536">
        <v>17.009411836532198</v>
      </c>
      <c r="AI2536">
        <v>93.644373604551404</v>
      </c>
      <c r="AJ2536">
        <v>103.72594687051701</v>
      </c>
      <c r="AK2536">
        <v>17.544930183195699</v>
      </c>
    </row>
    <row r="2537" spans="1:37" x14ac:dyDescent="0.2">
      <c r="A2537" t="str">
        <f>"20200111153445476"</f>
        <v>20200111153445476</v>
      </c>
      <c r="B2537" t="str">
        <f>"1578728085468886"</f>
        <v>1578728085468886</v>
      </c>
      <c r="C2537" t="s">
        <v>37</v>
      </c>
      <c r="D2537">
        <v>5.0568519999999904</v>
      </c>
      <c r="E2537">
        <v>0.4900021</v>
      </c>
      <c r="F2537" t="s">
        <v>52</v>
      </c>
      <c r="G2537">
        <v>-442.66160000000002</v>
      </c>
      <c r="H2537">
        <v>8.0000940000000006E-2</v>
      </c>
      <c r="I2537">
        <v>208.62430000000001</v>
      </c>
      <c r="J2537">
        <v>-459.65050000000002</v>
      </c>
      <c r="K2537">
        <v>1.1964629999999901</v>
      </c>
      <c r="L2537">
        <v>206.53489999999999</v>
      </c>
      <c r="M2537">
        <v>0.9939036</v>
      </c>
      <c r="N2537">
        <v>0</v>
      </c>
      <c r="O2537">
        <v>-0.11008469999999999</v>
      </c>
      <c r="P2537">
        <v>0.99623499999999998</v>
      </c>
      <c r="Q2537">
        <v>7.8640849999999998E-2</v>
      </c>
      <c r="R2537">
        <v>3.6491839999999998E-2</v>
      </c>
      <c r="S2537">
        <v>3.0157470000000002</v>
      </c>
      <c r="T2537">
        <v>-0.19203589999999901</v>
      </c>
      <c r="U2537">
        <v>0.34643550000000001</v>
      </c>
      <c r="V2537">
        <v>-0.14948649999999999</v>
      </c>
      <c r="W2537">
        <v>7.8216530000000006E-2</v>
      </c>
      <c r="X2537">
        <v>0.98566529999999997</v>
      </c>
      <c r="Y2537">
        <v>-0.2221332</v>
      </c>
      <c r="Z2537">
        <v>1.4022700000000001E-2</v>
      </c>
      <c r="AA2537">
        <v>0.97491550000000005</v>
      </c>
      <c r="AB2537">
        <v>50</v>
      </c>
      <c r="AC2537">
        <v>16.988900000000001</v>
      </c>
      <c r="AD2537">
        <v>-1.1164620599999999</v>
      </c>
      <c r="AE2537">
        <v>2.0894000000000101</v>
      </c>
      <c r="AF2537">
        <v>-3.9302323922173601</v>
      </c>
      <c r="AG2537">
        <v>-1.1164620599999999</v>
      </c>
      <c r="AH2537">
        <v>16.585066572898199</v>
      </c>
      <c r="AI2537">
        <v>93.747703335932002</v>
      </c>
      <c r="AJ2537">
        <v>103.331695917475</v>
      </c>
      <c r="AK2537">
        <v>17.080914712500601</v>
      </c>
    </row>
    <row r="2538" spans="1:37" x14ac:dyDescent="0.2">
      <c r="A2538" t="str">
        <f>"20200111153445499"</f>
        <v>20200111153445499</v>
      </c>
      <c r="B2538" t="str">
        <f>"1578728085488404"</f>
        <v>1578728085488404</v>
      </c>
      <c r="C2538" t="s">
        <v>37</v>
      </c>
      <c r="D2538">
        <v>5.0515840000000001</v>
      </c>
      <c r="E2538">
        <v>0.49021350000000002</v>
      </c>
      <c r="F2538" t="s">
        <v>42</v>
      </c>
      <c r="G2538">
        <v>-455.59100000000001</v>
      </c>
      <c r="H2538">
        <v>0.94788069999999902</v>
      </c>
      <c r="I2538">
        <v>206.8167</v>
      </c>
      <c r="J2538">
        <v>-459.15260000000001</v>
      </c>
      <c r="K2538">
        <v>1.1974180000000001</v>
      </c>
      <c r="L2538">
        <v>206.46870000000001</v>
      </c>
      <c r="M2538">
        <v>0.99498679999999995</v>
      </c>
      <c r="N2538">
        <v>0</v>
      </c>
      <c r="O2538">
        <v>-9.9798289999999998E-2</v>
      </c>
      <c r="P2538">
        <v>0.99611640000000001</v>
      </c>
      <c r="Q2538">
        <v>7.7795100000000006E-2</v>
      </c>
      <c r="R2538">
        <v>4.1233869999999999E-2</v>
      </c>
      <c r="S2538">
        <v>3.0182799999999999</v>
      </c>
      <c r="T2538">
        <v>-0.1847944</v>
      </c>
      <c r="U2538">
        <v>0.2095795</v>
      </c>
      <c r="V2538">
        <v>-0.14400089999999999</v>
      </c>
      <c r="W2538">
        <v>7.7902769999999996E-2</v>
      </c>
      <c r="X2538">
        <v>0.98650640000000001</v>
      </c>
      <c r="Y2538">
        <v>-0.167985299999999</v>
      </c>
      <c r="Z2538">
        <v>1.1226379999999999E-2</v>
      </c>
      <c r="AA2538">
        <v>0.98572559999999998</v>
      </c>
      <c r="AB2538">
        <v>50</v>
      </c>
      <c r="AC2538">
        <v>3.5615999999999901</v>
      </c>
      <c r="AD2538">
        <v>-0.24953729999999999</v>
      </c>
      <c r="AE2538">
        <v>0.34799999999998399</v>
      </c>
      <c r="AF2538">
        <v>-0.69831606222327702</v>
      </c>
      <c r="AG2538">
        <v>-0.24953729999999999</v>
      </c>
      <c r="AH2538">
        <v>3.4921079581257901</v>
      </c>
      <c r="AI2538">
        <v>94.008178298679994</v>
      </c>
      <c r="AJ2538">
        <v>101.308267614353</v>
      </c>
      <c r="AK2538">
        <v>3.5699764954486399</v>
      </c>
    </row>
    <row r="2539" spans="1:37" x14ac:dyDescent="0.2">
      <c r="A2539" t="str">
        <f>"20200111153445522"</f>
        <v>20200111153445522</v>
      </c>
      <c r="B2539" t="str">
        <f>"1578728085518660"</f>
        <v>1578728085518660</v>
      </c>
      <c r="C2539" t="s">
        <v>37</v>
      </c>
      <c r="D2539">
        <v>5.1246289999999997</v>
      </c>
      <c r="E2539">
        <v>0.48917149999999998</v>
      </c>
      <c r="F2539" t="s">
        <v>42</v>
      </c>
      <c r="G2539">
        <v>-455.58420000000001</v>
      </c>
      <c r="H2539">
        <v>0.97644209999999998</v>
      </c>
      <c r="I2539">
        <v>206.73169999999999</v>
      </c>
      <c r="J2539">
        <v>-458.6345</v>
      </c>
      <c r="K2539">
        <v>1.1981899999999901</v>
      </c>
      <c r="L2539">
        <v>206.40809999999999</v>
      </c>
      <c r="M2539">
        <v>0.9959867</v>
      </c>
      <c r="N2539">
        <v>0</v>
      </c>
      <c r="O2539">
        <v>-8.9242959999999996E-2</v>
      </c>
      <c r="P2539">
        <v>0.99600509999999998</v>
      </c>
      <c r="Q2539">
        <v>7.7131110000000003E-2</v>
      </c>
      <c r="R2539">
        <v>4.4991389999999999E-2</v>
      </c>
      <c r="S2539">
        <v>3.0171199999999998</v>
      </c>
      <c r="T2539">
        <v>-0.1867992</v>
      </c>
      <c r="U2539">
        <v>0.22238160000000001</v>
      </c>
      <c r="V2539">
        <v>-0.1372747</v>
      </c>
      <c r="W2539">
        <v>7.7852379999999999E-2</v>
      </c>
      <c r="X2539">
        <v>0.98746880000000004</v>
      </c>
      <c r="Y2539">
        <v>-0.16173899999999999</v>
      </c>
      <c r="Z2539">
        <v>1.050704E-2</v>
      </c>
      <c r="AA2539">
        <v>0.98677760000000003</v>
      </c>
      <c r="AB2539">
        <v>50</v>
      </c>
      <c r="AC2539">
        <v>3.0502999999999898</v>
      </c>
      <c r="AD2539">
        <v>-0.221747899999999</v>
      </c>
      <c r="AE2539">
        <v>0.323599999999998</v>
      </c>
      <c r="AF2539">
        <v>-0.59144192330546497</v>
      </c>
      <c r="AG2539">
        <v>-0.221747899999999</v>
      </c>
      <c r="AH2539">
        <v>2.9936039868016402</v>
      </c>
      <c r="AI2539">
        <v>94.156332942117402</v>
      </c>
      <c r="AJ2539">
        <v>101.17591498479101</v>
      </c>
      <c r="AK2539">
        <v>3.05951638491974</v>
      </c>
    </row>
    <row r="2540" spans="1:37" x14ac:dyDescent="0.2">
      <c r="A2540" t="str">
        <f>"20200111153445554"</f>
        <v>20200111153445554</v>
      </c>
      <c r="B2540" t="str">
        <f>"1578728085548915"</f>
        <v>1578728085548915</v>
      </c>
      <c r="C2540" t="s">
        <v>37</v>
      </c>
      <c r="D2540">
        <v>5.1338749999999997</v>
      </c>
      <c r="E2540">
        <v>0.48826320000000001</v>
      </c>
      <c r="F2540" t="s">
        <v>52</v>
      </c>
      <c r="G2540">
        <v>-441.93470000000002</v>
      </c>
      <c r="H2540">
        <v>8.000119E-2</v>
      </c>
      <c r="I2540">
        <v>207.7508</v>
      </c>
      <c r="J2540">
        <v>-457.92329999999998</v>
      </c>
      <c r="K2540">
        <v>1.198971</v>
      </c>
      <c r="L2540">
        <v>206.33680000000001</v>
      </c>
      <c r="M2540">
        <v>0.99717479999999903</v>
      </c>
      <c r="N2540">
        <v>0</v>
      </c>
      <c r="O2540">
        <v>-7.4764410000000003E-2</v>
      </c>
      <c r="P2540">
        <v>0.99570509999999901</v>
      </c>
      <c r="Q2540">
        <v>7.4673349999999999E-2</v>
      </c>
      <c r="R2540">
        <v>5.4730479999999998E-2</v>
      </c>
      <c r="S2540">
        <v>3.016724</v>
      </c>
      <c r="T2540">
        <v>-0.20199500000000001</v>
      </c>
      <c r="U2540">
        <v>0.24255370000000001</v>
      </c>
      <c r="V2540">
        <v>-0.13252410000000001</v>
      </c>
      <c r="W2540">
        <v>7.6047669999999998E-2</v>
      </c>
      <c r="X2540">
        <v>0.98825810000000003</v>
      </c>
      <c r="Y2540">
        <v>-0.15393660000000001</v>
      </c>
      <c r="Z2540">
        <v>1.0132499999999999E-2</v>
      </c>
      <c r="AA2540">
        <v>0.98802880000000004</v>
      </c>
      <c r="AB2540">
        <v>50</v>
      </c>
      <c r="AC2540">
        <v>15.9885999999999</v>
      </c>
      <c r="AD2540">
        <v>-1.1189698100000001</v>
      </c>
      <c r="AE2540">
        <v>1.4139999999999799</v>
      </c>
      <c r="AF2540">
        <v>-2.5928509276532599</v>
      </c>
      <c r="AG2540">
        <v>-1.1189698100000001</v>
      </c>
      <c r="AH2540">
        <v>15.7615291432483</v>
      </c>
      <c r="AI2540">
        <v>94.007148543588798</v>
      </c>
      <c r="AJ2540">
        <v>99.341775205873503</v>
      </c>
      <c r="AK2540">
        <v>16.012519174139602</v>
      </c>
    </row>
    <row r="2541" spans="1:37" x14ac:dyDescent="0.2">
      <c r="A2541" t="str">
        <f>"20200111153445590"</f>
        <v>20200111153445590</v>
      </c>
      <c r="B2541" t="str">
        <f>"1578728085588931"</f>
        <v>1578728085588931</v>
      </c>
      <c r="C2541" t="s">
        <v>37</v>
      </c>
      <c r="D2541">
        <v>5.1539390000000003</v>
      </c>
      <c r="E2541">
        <v>0.48771179999999997</v>
      </c>
      <c r="F2541" t="s">
        <v>52</v>
      </c>
      <c r="G2541">
        <v>-442.79939999999999</v>
      </c>
      <c r="H2541">
        <v>8.0000940000000006E-2</v>
      </c>
      <c r="I2541">
        <v>207.73830000000001</v>
      </c>
      <c r="J2541">
        <v>-457.52719999999999</v>
      </c>
      <c r="K2541">
        <v>1.2027760000000001</v>
      </c>
      <c r="L2541">
        <v>206.25579999999999</v>
      </c>
      <c r="M2541">
        <v>0.99558630000000004</v>
      </c>
      <c r="N2541">
        <v>0</v>
      </c>
      <c r="O2541">
        <v>-9.3627699999999994E-2</v>
      </c>
      <c r="P2541">
        <v>0.9968939</v>
      </c>
      <c r="Q2541">
        <v>7.0430030000000005E-2</v>
      </c>
      <c r="R2541">
        <v>3.5242349999999999E-2</v>
      </c>
      <c r="S2541">
        <v>3.0142820000000001</v>
      </c>
      <c r="T2541">
        <v>-0.2230172</v>
      </c>
      <c r="U2541">
        <v>0.2793274</v>
      </c>
      <c r="V2541">
        <v>-0.12996769999999999</v>
      </c>
      <c r="W2541">
        <v>7.4174229999999994E-2</v>
      </c>
      <c r="X2541">
        <v>0.98873989999999901</v>
      </c>
      <c r="Y2541">
        <v>-0.18434310000000001</v>
      </c>
      <c r="Z2541">
        <v>1.3698729999999999E-2</v>
      </c>
      <c r="AA2541">
        <v>0.98276649999999999</v>
      </c>
      <c r="AB2541">
        <v>50</v>
      </c>
      <c r="AC2541">
        <v>14.7278</v>
      </c>
      <c r="AD2541">
        <v>-1.1227750599999999</v>
      </c>
      <c r="AE2541">
        <v>1.4825000000000099</v>
      </c>
      <c r="AF2541">
        <v>-2.8386144176110699</v>
      </c>
      <c r="AG2541">
        <v>-1.1227750599999999</v>
      </c>
      <c r="AH2541">
        <v>14.441208842877501</v>
      </c>
      <c r="AI2541">
        <v>94.362540837618297</v>
      </c>
      <c r="AJ2541">
        <v>101.120483454725</v>
      </c>
      <c r="AK2541">
        <v>14.760313969927299</v>
      </c>
    </row>
    <row r="2542" spans="1:37" x14ac:dyDescent="0.2">
      <c r="A2542" t="str">
        <f>"20200111153445607"</f>
        <v>20200111153445607</v>
      </c>
      <c r="B2542" t="str">
        <f>"1578728085598692"</f>
        <v>1578728085598692</v>
      </c>
      <c r="C2542" t="s">
        <v>37</v>
      </c>
      <c r="D2542">
        <v>5.1409789999999997</v>
      </c>
      <c r="E2542">
        <v>0.48814849999999999</v>
      </c>
      <c r="F2542" t="s">
        <v>52</v>
      </c>
      <c r="G2542">
        <v>-443.91500000000002</v>
      </c>
      <c r="H2542">
        <v>8.0000630000000003E-2</v>
      </c>
      <c r="I2542">
        <v>207.22200000000001</v>
      </c>
      <c r="J2542">
        <v>-456.96640000000002</v>
      </c>
      <c r="K2542">
        <v>1.2102189999999999</v>
      </c>
      <c r="L2542">
        <v>206.12819999999999</v>
      </c>
      <c r="M2542">
        <v>0.99165249999999905</v>
      </c>
      <c r="N2542">
        <v>0</v>
      </c>
      <c r="O2542">
        <v>-0.12890769999999999</v>
      </c>
      <c r="P2542">
        <v>0.99765179999999998</v>
      </c>
      <c r="Q2542">
        <v>6.8486850000000002E-2</v>
      </c>
      <c r="R2542">
        <v>5.4921579999999998E-4</v>
      </c>
      <c r="S2542">
        <v>3.0193789999999998</v>
      </c>
      <c r="T2542">
        <v>-0.24904879999999999</v>
      </c>
      <c r="U2542">
        <v>0.21430969999999999</v>
      </c>
      <c r="V2542">
        <v>-0.12853899999999999</v>
      </c>
      <c r="W2542">
        <v>7.2384240000000002E-2</v>
      </c>
      <c r="X2542">
        <v>0.98905929999999997</v>
      </c>
      <c r="Y2542">
        <v>-0.1976897</v>
      </c>
      <c r="Z2542">
        <v>1.872045E-2</v>
      </c>
      <c r="AA2542">
        <v>0.98008580000000001</v>
      </c>
      <c r="AB2542">
        <v>50</v>
      </c>
      <c r="AC2542">
        <v>13.051399999999999</v>
      </c>
      <c r="AD2542">
        <v>-1.1302183699999999</v>
      </c>
      <c r="AE2542">
        <v>1.0938000000000101</v>
      </c>
      <c r="AF2542">
        <v>-2.7466528706821198</v>
      </c>
      <c r="AG2542">
        <v>-1.1302183699999999</v>
      </c>
      <c r="AH2542">
        <v>12.7068803450135</v>
      </c>
      <c r="AI2542">
        <v>94.968663752224501</v>
      </c>
      <c r="AJ2542">
        <v>102.19710562308499</v>
      </c>
      <c r="AK2542">
        <v>13.0493794357587</v>
      </c>
    </row>
    <row r="2543" spans="1:37" x14ac:dyDescent="0.2">
      <c r="A2543" t="str">
        <f>"20200111153445623"</f>
        <v>20200111153445623</v>
      </c>
      <c r="B2543" t="str">
        <f>"1578728085618212"</f>
        <v>1578728085618212</v>
      </c>
      <c r="C2543" t="s">
        <v>37</v>
      </c>
      <c r="D2543">
        <v>5.153359</v>
      </c>
      <c r="E2543">
        <v>0.48855599999999999</v>
      </c>
      <c r="F2543" t="s">
        <v>52</v>
      </c>
      <c r="G2543">
        <v>-443.57139999999998</v>
      </c>
      <c r="H2543">
        <v>8.0000760000000004E-2</v>
      </c>
      <c r="I2543">
        <v>206.53479999999999</v>
      </c>
      <c r="J2543">
        <v>-456.67110000000002</v>
      </c>
      <c r="K2543">
        <v>1.214437</v>
      </c>
      <c r="L2543">
        <v>206.06059999999999</v>
      </c>
      <c r="M2543">
        <v>0.98905859999999901</v>
      </c>
      <c r="N2543">
        <v>0</v>
      </c>
      <c r="O2543">
        <v>-0.14752119999999999</v>
      </c>
      <c r="P2543">
        <v>0.99758269999999905</v>
      </c>
      <c r="Q2543">
        <v>6.7280870000000007E-2</v>
      </c>
      <c r="R2543">
        <v>-1.737789E-2</v>
      </c>
      <c r="S2543">
        <v>3.0245060000000001</v>
      </c>
      <c r="T2543">
        <v>-0.2551968</v>
      </c>
      <c r="U2543">
        <v>9.1796879999999997E-2</v>
      </c>
      <c r="V2543">
        <v>-0.12873950000000001</v>
      </c>
      <c r="W2543">
        <v>7.0288180000000006E-2</v>
      </c>
      <c r="X2543">
        <v>0.98918439999999996</v>
      </c>
      <c r="Y2543">
        <v>-0.17631050000000001</v>
      </c>
      <c r="Z2543">
        <v>1.981844E-2</v>
      </c>
      <c r="AA2543">
        <v>0.98413510000000004</v>
      </c>
      <c r="AB2543">
        <v>40</v>
      </c>
      <c r="AC2543">
        <v>13.0997</v>
      </c>
      <c r="AD2543">
        <v>-1.1344362400000001</v>
      </c>
      <c r="AE2543">
        <v>0.47419999999999601</v>
      </c>
      <c r="AF2543">
        <v>-2.38364280191337</v>
      </c>
      <c r="AG2543">
        <v>-1.1344362400000001</v>
      </c>
      <c r="AH2543">
        <v>12.7906212617397</v>
      </c>
      <c r="AI2543">
        <v>94.983112713397105</v>
      </c>
      <c r="AJ2543">
        <v>100.556468175246</v>
      </c>
      <c r="AK2543">
        <v>13.060194900957899</v>
      </c>
    </row>
    <row r="2544" spans="1:37" x14ac:dyDescent="0.2">
      <c r="A2544" t="str">
        <f>"20200111153445642"</f>
        <v>20200111153445642</v>
      </c>
      <c r="B2544" t="str">
        <f>"1578728085638708"</f>
        <v>1578728085638708</v>
      </c>
      <c r="C2544" t="s">
        <v>37</v>
      </c>
      <c r="D2544">
        <v>5.162121</v>
      </c>
      <c r="E2544">
        <v>0.4889309</v>
      </c>
      <c r="F2544" t="s">
        <v>52</v>
      </c>
      <c r="G2544">
        <v>-443.31119999999999</v>
      </c>
      <c r="H2544">
        <v>8.0000859999999993E-2</v>
      </c>
      <c r="I2544">
        <v>206.18620000000001</v>
      </c>
      <c r="J2544">
        <v>-456.31569999999999</v>
      </c>
      <c r="K2544">
        <v>1.220324</v>
      </c>
      <c r="L2544">
        <v>205.97799999999901</v>
      </c>
      <c r="M2544">
        <v>0.98529219999999895</v>
      </c>
      <c r="N2544">
        <v>0</v>
      </c>
      <c r="O2544">
        <v>-0.17086309999999999</v>
      </c>
      <c r="P2544">
        <v>0.99686019999999897</v>
      </c>
      <c r="Q2544">
        <v>6.8432820000000005E-2</v>
      </c>
      <c r="R2544">
        <v>-3.9830440000000002E-2</v>
      </c>
      <c r="S2544">
        <v>3.0250849999999998</v>
      </c>
      <c r="T2544">
        <v>-0.25687189999999999</v>
      </c>
      <c r="U2544">
        <v>2.842712E-2</v>
      </c>
      <c r="V2544">
        <v>-0.1295596</v>
      </c>
      <c r="W2544">
        <v>6.9152249999999998E-2</v>
      </c>
      <c r="X2544">
        <v>0.98915739999999996</v>
      </c>
      <c r="Y2544">
        <v>-0.1788602</v>
      </c>
      <c r="Z2544">
        <v>2.2011550000000001E-2</v>
      </c>
      <c r="AA2544">
        <v>0.98362830000000001</v>
      </c>
      <c r="AB2544">
        <v>40</v>
      </c>
      <c r="AC2544">
        <v>13.0045</v>
      </c>
      <c r="AD2544">
        <v>-1.14032314</v>
      </c>
      <c r="AE2544">
        <v>0.208200000000033</v>
      </c>
      <c r="AF2544">
        <v>-2.40861812350744</v>
      </c>
      <c r="AG2544">
        <v>-1.14032314</v>
      </c>
      <c r="AH2544">
        <v>12.6802182619357</v>
      </c>
      <c r="AI2544">
        <v>95.048946166113595</v>
      </c>
      <c r="AJ2544">
        <v>100.755248599873</v>
      </c>
      <c r="AK2544">
        <v>12.9572262965048</v>
      </c>
    </row>
    <row r="2545" spans="1:37" x14ac:dyDescent="0.2">
      <c r="A2545" t="str">
        <f>"20200111153445666"</f>
        <v>20200111153445666</v>
      </c>
      <c r="B2545" t="str">
        <f>"1578728085658227"</f>
        <v>1578728085658227</v>
      </c>
      <c r="C2545" t="s">
        <v>37</v>
      </c>
      <c r="D2545">
        <v>5.1855089999999997</v>
      </c>
      <c r="E2545">
        <v>0.48917640000000001</v>
      </c>
      <c r="F2545" t="s">
        <v>52</v>
      </c>
      <c r="G2545">
        <v>-442.6472</v>
      </c>
      <c r="H2545">
        <v>8.0001069999999994E-2</v>
      </c>
      <c r="I2545">
        <v>205.76949999999999</v>
      </c>
      <c r="J2545">
        <v>-455.90039999999999</v>
      </c>
      <c r="K2545">
        <v>1.2280819999999999</v>
      </c>
      <c r="L2545">
        <v>205.87950000000001</v>
      </c>
      <c r="M2545">
        <v>0.98004619999999998</v>
      </c>
      <c r="N2545">
        <v>0</v>
      </c>
      <c r="O2545">
        <v>-0.1986713</v>
      </c>
      <c r="P2545">
        <v>0.99506430000000001</v>
      </c>
      <c r="Q2545">
        <v>7.1665279999999998E-2</v>
      </c>
      <c r="R2545">
        <v>-6.8637859999999995E-2</v>
      </c>
      <c r="S2545">
        <v>3.0249630000000001</v>
      </c>
      <c r="T2545">
        <v>-0.252364799999999</v>
      </c>
      <c r="U2545">
        <v>-4.6142580000000002E-2</v>
      </c>
      <c r="V2545">
        <v>-0.12912129999999999</v>
      </c>
      <c r="W2545">
        <v>6.7992460000000005E-2</v>
      </c>
      <c r="X2545">
        <v>0.98929509999999898</v>
      </c>
      <c r="Y2545">
        <v>-0.18238840000000001</v>
      </c>
      <c r="Z2545">
        <v>2.4050040000000002E-2</v>
      </c>
      <c r="AA2545">
        <v>0.98293240000000004</v>
      </c>
      <c r="AB2545">
        <v>41</v>
      </c>
      <c r="AC2545">
        <v>13.2531999999999</v>
      </c>
      <c r="AD2545">
        <v>-1.1480809300000001</v>
      </c>
      <c r="AE2545">
        <v>-0.110000000000013</v>
      </c>
      <c r="AF2545">
        <v>-2.50646714083177</v>
      </c>
      <c r="AG2545">
        <v>-1.1480809300000001</v>
      </c>
      <c r="AH2545">
        <v>12.913954874131401</v>
      </c>
      <c r="AI2545">
        <v>94.987777288675204</v>
      </c>
      <c r="AJ2545">
        <v>100.98396114023301</v>
      </c>
      <c r="AK2545">
        <v>13.204949747765101</v>
      </c>
    </row>
    <row r="2546" spans="1:37" x14ac:dyDescent="0.2">
      <c r="A2546" t="str">
        <f>"20200111153445687"</f>
        <v>20200111153445687</v>
      </c>
      <c r="B2546" t="str">
        <f>"1578728085678724"</f>
        <v>1578728085678724</v>
      </c>
      <c r="C2546" t="s">
        <v>37</v>
      </c>
      <c r="D2546">
        <v>5.1665219999999996</v>
      </c>
      <c r="E2546">
        <v>0.48896539999999999</v>
      </c>
      <c r="F2546" t="s">
        <v>52</v>
      </c>
      <c r="G2546">
        <v>-441.49149999999997</v>
      </c>
      <c r="H2546">
        <v>8.0001429999999998E-2</v>
      </c>
      <c r="I2546">
        <v>205.2371</v>
      </c>
      <c r="J2546">
        <v>-455.49059999999997</v>
      </c>
      <c r="K2546">
        <v>1.234874</v>
      </c>
      <c r="L2546">
        <v>205.7809</v>
      </c>
      <c r="M2546">
        <v>0.97422129999999996</v>
      </c>
      <c r="N2546">
        <v>0</v>
      </c>
      <c r="O2546">
        <v>-0.2253655</v>
      </c>
      <c r="P2546">
        <v>0.99239659999999996</v>
      </c>
      <c r="Q2546">
        <v>7.5477600000000006E-2</v>
      </c>
      <c r="R2546">
        <v>-9.7225619999999999E-2</v>
      </c>
      <c r="S2546">
        <v>3.0229189999999999</v>
      </c>
      <c r="T2546">
        <v>-0.24086239999999901</v>
      </c>
      <c r="U2546">
        <v>-0.13478090000000001</v>
      </c>
      <c r="V2546">
        <v>-0.12812509999999999</v>
      </c>
      <c r="W2546">
        <v>6.6996730000000004E-2</v>
      </c>
      <c r="X2546">
        <v>0.989492499999999</v>
      </c>
      <c r="Y2546">
        <v>-0.18048610000000001</v>
      </c>
      <c r="Z2546">
        <v>2.495667E-2</v>
      </c>
      <c r="AA2546">
        <v>0.98326089999999999</v>
      </c>
      <c r="AB2546">
        <v>41</v>
      </c>
      <c r="AC2546">
        <v>13.9991</v>
      </c>
      <c r="AD2546">
        <v>-1.15487257</v>
      </c>
      <c r="AE2546">
        <v>-0.54380000000000395</v>
      </c>
      <c r="AF2546">
        <v>-2.6075489034650099</v>
      </c>
      <c r="AG2546">
        <v>-1.15487257</v>
      </c>
      <c r="AH2546">
        <v>13.668602414353501</v>
      </c>
      <c r="AI2546">
        <v>94.744344213843107</v>
      </c>
      <c r="AJ2546">
        <v>100.80049968056299</v>
      </c>
      <c r="AK2546">
        <v>13.9629414486551</v>
      </c>
    </row>
    <row r="2547" spans="1:37" x14ac:dyDescent="0.2">
      <c r="A2547" t="str">
        <f>"20200111153445709"</f>
        <v>20200111153445709</v>
      </c>
      <c r="B2547" t="str">
        <f>"1578728085698243"</f>
        <v>1578728085698243</v>
      </c>
      <c r="C2547" t="s">
        <v>37</v>
      </c>
      <c r="D2547">
        <v>5.2130089999999996</v>
      </c>
      <c r="E2547">
        <v>0.48879430000000001</v>
      </c>
      <c r="F2547" t="s">
        <v>52</v>
      </c>
      <c r="G2547">
        <v>-440.53039999999999</v>
      </c>
      <c r="H2547">
        <v>8.0001729999999993E-2</v>
      </c>
      <c r="I2547">
        <v>204.70259999999999</v>
      </c>
      <c r="J2547">
        <v>-455.0754</v>
      </c>
      <c r="K2547">
        <v>1.239501</v>
      </c>
      <c r="L2547">
        <v>205.6797</v>
      </c>
      <c r="M2547">
        <v>0.96805980000000003</v>
      </c>
      <c r="N2547">
        <v>0</v>
      </c>
      <c r="O2547">
        <v>-0.25036560000000002</v>
      </c>
      <c r="P2547">
        <v>0.98916800000000005</v>
      </c>
      <c r="Q2547">
        <v>7.8581929999999994E-2</v>
      </c>
      <c r="R2547">
        <v>-0.12398089999999901</v>
      </c>
      <c r="S2547">
        <v>3.019409</v>
      </c>
      <c r="T2547">
        <v>-0.2330866</v>
      </c>
      <c r="U2547">
        <v>-0.2176361</v>
      </c>
      <c r="V2547">
        <v>-0.1273418</v>
      </c>
      <c r="W2547">
        <v>6.6003300000000001E-2</v>
      </c>
      <c r="X2547">
        <v>0.989660399999999</v>
      </c>
      <c r="Y2547">
        <v>-0.1788846</v>
      </c>
      <c r="Z2547">
        <v>2.5961439999999999E-2</v>
      </c>
      <c r="AA2547">
        <v>0.9835275</v>
      </c>
      <c r="AB2547">
        <v>41</v>
      </c>
      <c r="AC2547">
        <v>14.545</v>
      </c>
      <c r="AD2547">
        <v>-1.15949927</v>
      </c>
      <c r="AE2547">
        <v>-0.97710000000000696</v>
      </c>
      <c r="AF2547">
        <v>-2.6789671403950401</v>
      </c>
      <c r="AG2547">
        <v>-1.15949927</v>
      </c>
      <c r="AH2547">
        <v>14.236267427143099</v>
      </c>
      <c r="AI2547">
        <v>94.576311839289502</v>
      </c>
      <c r="AJ2547">
        <v>100.65723544532101</v>
      </c>
      <c r="AK2547">
        <v>14.532467572769001</v>
      </c>
    </row>
    <row r="2548" spans="1:37" x14ac:dyDescent="0.2">
      <c r="A2548" t="str">
        <f>"20200111153445731"</f>
        <v>20200111153445731</v>
      </c>
      <c r="B2548" t="str">
        <f>"1578728085728499"</f>
        <v>1578728085728499</v>
      </c>
      <c r="C2548" t="s">
        <v>37</v>
      </c>
      <c r="D2548">
        <v>5.2368779999999999</v>
      </c>
      <c r="E2548">
        <v>0.4887666</v>
      </c>
      <c r="F2548" t="s">
        <v>38</v>
      </c>
      <c r="G2548">
        <v>-437.95119999999997</v>
      </c>
      <c r="H2548">
        <v>-0.05</v>
      </c>
      <c r="I2548">
        <v>204</v>
      </c>
      <c r="J2548">
        <v>-454.6728</v>
      </c>
      <c r="K2548">
        <v>1.2414190000000001</v>
      </c>
      <c r="L2548">
        <v>205.58090000000001</v>
      </c>
      <c r="M2548">
        <v>0.96213320000000002</v>
      </c>
      <c r="N2548">
        <v>0</v>
      </c>
      <c r="O2548">
        <v>-0.27216489999999999</v>
      </c>
      <c r="P2548">
        <v>0.98575709999999905</v>
      </c>
      <c r="Q2548">
        <v>8.1542890000000007E-2</v>
      </c>
      <c r="R2548">
        <v>-0.1470844</v>
      </c>
      <c r="S2548">
        <v>3.0137939999999999</v>
      </c>
      <c r="T2548">
        <v>-0.22694710000000001</v>
      </c>
      <c r="U2548">
        <v>-0.29562379999999999</v>
      </c>
      <c r="V2548">
        <v>-0.1269053</v>
      </c>
      <c r="W2548">
        <v>6.6445779999999996E-2</v>
      </c>
      <c r="X2548">
        <v>0.98968679999999998</v>
      </c>
      <c r="Y2548">
        <v>-0.17572670000000001</v>
      </c>
      <c r="Z2548">
        <v>2.674644E-2</v>
      </c>
      <c r="AA2548">
        <v>0.98407559999999905</v>
      </c>
      <c r="AB2548">
        <v>42</v>
      </c>
      <c r="AC2548">
        <v>16.721599999999999</v>
      </c>
      <c r="AD2548">
        <v>-1.2914190000000001</v>
      </c>
      <c r="AE2548">
        <v>-1.58090000000001</v>
      </c>
      <c r="AF2548">
        <v>-3.0125293823656598</v>
      </c>
      <c r="AG2548">
        <v>-1.2914190000000001</v>
      </c>
      <c r="AH2548">
        <v>16.423447830801599</v>
      </c>
      <c r="AI2548">
        <v>94.422581300509293</v>
      </c>
      <c r="AJ2548">
        <v>100.394136378897</v>
      </c>
      <c r="AK2548">
        <v>16.7473202323309</v>
      </c>
    </row>
    <row r="2549" spans="1:37" x14ac:dyDescent="0.2">
      <c r="A2549" t="str">
        <f>"20200111153445754"</f>
        <v>20200111153445754</v>
      </c>
      <c r="B2549" t="str">
        <f>"1578728085748996"</f>
        <v>1578728085748996</v>
      </c>
      <c r="C2549" t="s">
        <v>37</v>
      </c>
      <c r="D2549">
        <v>5.2487339999999998</v>
      </c>
      <c r="E2549">
        <v>0.48884689999999997</v>
      </c>
      <c r="F2549" t="s">
        <v>38</v>
      </c>
      <c r="G2549">
        <v>-437.15769999999998</v>
      </c>
      <c r="H2549">
        <v>-0.05</v>
      </c>
      <c r="I2549">
        <v>203.46129999999999</v>
      </c>
      <c r="J2549">
        <v>-454.25080000000003</v>
      </c>
      <c r="K2549">
        <v>1.2408520000000001</v>
      </c>
      <c r="L2549">
        <v>205.47579999999999</v>
      </c>
      <c r="M2549">
        <v>0.95634929999999996</v>
      </c>
      <c r="N2549">
        <v>0</v>
      </c>
      <c r="O2549">
        <v>-0.29183490000000001</v>
      </c>
      <c r="P2549">
        <v>0.98216159999999997</v>
      </c>
      <c r="Q2549">
        <v>8.2265089999999999E-2</v>
      </c>
      <c r="R2549">
        <v>-0.1690895</v>
      </c>
      <c r="S2549">
        <v>3.0074160000000001</v>
      </c>
      <c r="T2549">
        <v>-0.22174189999999999</v>
      </c>
      <c r="U2549">
        <v>-0.36395259999999902</v>
      </c>
      <c r="V2549">
        <v>-0.12536530000000001</v>
      </c>
      <c r="W2549">
        <v>6.6499059999999999E-2</v>
      </c>
      <c r="X2549">
        <v>0.98987950000000002</v>
      </c>
      <c r="Y2549">
        <v>-0.17362629999999901</v>
      </c>
      <c r="Z2549">
        <v>2.7450280000000001E-2</v>
      </c>
      <c r="AA2549">
        <v>0.98442890000000005</v>
      </c>
      <c r="AB2549">
        <v>42</v>
      </c>
      <c r="AC2549">
        <v>17.0931</v>
      </c>
      <c r="AD2549">
        <v>-1.2908520000000001</v>
      </c>
      <c r="AE2549">
        <v>-2.0144999999999902</v>
      </c>
      <c r="AF2549">
        <v>-3.04501903986651</v>
      </c>
      <c r="AG2549">
        <v>-1.2908520000000001</v>
      </c>
      <c r="AH2549">
        <v>16.842073755421101</v>
      </c>
      <c r="AI2549">
        <v>94.313179013919793</v>
      </c>
      <c r="AJ2549">
        <v>100.24827375166601</v>
      </c>
      <c r="AK2549">
        <v>17.163737594769401</v>
      </c>
    </row>
    <row r="2550" spans="1:37" x14ac:dyDescent="0.2">
      <c r="A2550" t="str">
        <f>"20200111153445777"</f>
        <v>20200111153445777</v>
      </c>
      <c r="B2550" t="str">
        <f>"1578728085768516"</f>
        <v>1578728085768516</v>
      </c>
      <c r="C2550" t="s">
        <v>37</v>
      </c>
      <c r="D2550">
        <v>5.2593139999999998</v>
      </c>
      <c r="E2550">
        <v>0.48937639999999999</v>
      </c>
      <c r="F2550" t="s">
        <v>38</v>
      </c>
      <c r="G2550">
        <v>-436.82240000000002</v>
      </c>
      <c r="H2550">
        <v>-0.05</v>
      </c>
      <c r="I2550">
        <v>202.97810000000001</v>
      </c>
      <c r="J2550">
        <v>-453.82199999999898</v>
      </c>
      <c r="K2550">
        <v>1.2387520000000001</v>
      </c>
      <c r="L2550">
        <v>205.3656</v>
      </c>
      <c r="M2550">
        <v>0.95070509999999997</v>
      </c>
      <c r="N2550">
        <v>0</v>
      </c>
      <c r="O2550">
        <v>-0.30975989999999998</v>
      </c>
      <c r="P2550">
        <v>0.97860559999999996</v>
      </c>
      <c r="Q2550">
        <v>8.3358940000000006E-2</v>
      </c>
      <c r="R2550">
        <v>-0.18810160000000001</v>
      </c>
      <c r="S2550">
        <v>2.9990839999999999</v>
      </c>
      <c r="T2550">
        <v>-0.22213079999999999</v>
      </c>
      <c r="U2550">
        <v>-0.42980959999999901</v>
      </c>
      <c r="V2550">
        <v>-0.1252586</v>
      </c>
      <c r="W2550">
        <v>6.7346890000000006E-2</v>
      </c>
      <c r="X2550">
        <v>0.98983569999999999</v>
      </c>
      <c r="Y2550">
        <v>-0.1705198</v>
      </c>
      <c r="Z2550">
        <v>2.8660020000000001E-2</v>
      </c>
      <c r="AA2550">
        <v>0.98493739999999996</v>
      </c>
      <c r="AB2550">
        <v>42</v>
      </c>
      <c r="AC2550">
        <v>16.999599999999901</v>
      </c>
      <c r="AD2550">
        <v>-1.2887519999999999</v>
      </c>
      <c r="AE2550">
        <v>-2.3874999999999802</v>
      </c>
      <c r="AF2550">
        <v>-2.97950574540552</v>
      </c>
      <c r="AG2550">
        <v>-1.2887519999999999</v>
      </c>
      <c r="AH2550">
        <v>16.808188825561601</v>
      </c>
      <c r="AI2550">
        <v>94.317472456227605</v>
      </c>
      <c r="AJ2550">
        <v>100.052122692219</v>
      </c>
      <c r="AK2550">
        <v>17.118806845108701</v>
      </c>
    </row>
    <row r="2551" spans="1:37" x14ac:dyDescent="0.2">
      <c r="A2551" t="str">
        <f>"20200111153445800"</f>
        <v>20200111153445800</v>
      </c>
      <c r="B2551" t="str">
        <f>"1578728085789014"</f>
        <v>1578728085789014</v>
      </c>
      <c r="C2551" t="s">
        <v>37</v>
      </c>
      <c r="D2551">
        <v>5.2785699999999904</v>
      </c>
      <c r="E2551">
        <v>0.48977039999999999</v>
      </c>
      <c r="F2551" t="s">
        <v>38</v>
      </c>
      <c r="G2551">
        <v>-436.14069999999998</v>
      </c>
      <c r="H2551">
        <v>-0.05</v>
      </c>
      <c r="I2551">
        <v>202.4649</v>
      </c>
      <c r="J2551">
        <v>-453.39879999999999</v>
      </c>
      <c r="K2551">
        <v>1.2356849999999999</v>
      </c>
      <c r="L2551">
        <v>205.25229999999999</v>
      </c>
      <c r="M2551">
        <v>0.94535820000000004</v>
      </c>
      <c r="N2551">
        <v>0</v>
      </c>
      <c r="O2551">
        <v>-0.3257698</v>
      </c>
      <c r="P2551">
        <v>0.97514709999999905</v>
      </c>
      <c r="Q2551">
        <v>8.2962949999999994E-2</v>
      </c>
      <c r="R2551">
        <v>-0.20543979999999901</v>
      </c>
      <c r="S2551">
        <v>2.9898069999999999</v>
      </c>
      <c r="T2551">
        <v>-0.21792039999999899</v>
      </c>
      <c r="U2551">
        <v>-0.49049379999999998</v>
      </c>
      <c r="V2551">
        <v>-0.1252336</v>
      </c>
      <c r="W2551">
        <v>6.6784049999999998E-2</v>
      </c>
      <c r="X2551">
        <v>0.98987700000000001</v>
      </c>
      <c r="Y2551">
        <v>-0.16720839999999901</v>
      </c>
      <c r="Z2551">
        <v>2.9119119999999998E-2</v>
      </c>
      <c r="AA2551">
        <v>0.98549149999999996</v>
      </c>
      <c r="AB2551">
        <v>42</v>
      </c>
      <c r="AC2551">
        <v>17.258099999999999</v>
      </c>
      <c r="AD2551">
        <v>-1.285685</v>
      </c>
      <c r="AE2551">
        <v>-2.7873999999999901</v>
      </c>
      <c r="AF2551">
        <v>-2.9712622245692799</v>
      </c>
      <c r="AG2551">
        <v>-1.285685</v>
      </c>
      <c r="AH2551">
        <v>17.131954736761301</v>
      </c>
      <c r="AI2551">
        <v>94.228879693671502</v>
      </c>
      <c r="AJ2551">
        <v>99.839159470329705</v>
      </c>
      <c r="AK2551">
        <v>17.435173019755599</v>
      </c>
    </row>
    <row r="2552" spans="1:37" x14ac:dyDescent="0.2">
      <c r="A2552" t="str">
        <f>"20200111153445823"</f>
        <v>20200111153445823</v>
      </c>
      <c r="B2552" t="str">
        <f>"1578728085818292"</f>
        <v>1578728085818292</v>
      </c>
      <c r="C2552" t="s">
        <v>37</v>
      </c>
      <c r="D2552">
        <v>5.2623959999999999</v>
      </c>
      <c r="E2552">
        <v>0.49022159999999898</v>
      </c>
      <c r="F2552" t="s">
        <v>38</v>
      </c>
      <c r="G2552">
        <v>-435.78449999999998</v>
      </c>
      <c r="H2552">
        <v>-0.05</v>
      </c>
      <c r="I2552">
        <v>202.04519999999999</v>
      </c>
      <c r="J2552">
        <v>-452.97199999999998</v>
      </c>
      <c r="K2552">
        <v>1.2308129999999999</v>
      </c>
      <c r="L2552">
        <v>205.1343</v>
      </c>
      <c r="M2552">
        <v>0.94041509999999995</v>
      </c>
      <c r="N2552">
        <v>0</v>
      </c>
      <c r="O2552">
        <v>-0.33984920000000002</v>
      </c>
      <c r="P2552">
        <v>0.97178719999999996</v>
      </c>
      <c r="Q2552">
        <v>7.9215750000000001E-2</v>
      </c>
      <c r="R2552">
        <v>-0.2221591</v>
      </c>
      <c r="S2552">
        <v>2.98062099999999</v>
      </c>
      <c r="T2552">
        <v>-0.21755959999999999</v>
      </c>
      <c r="U2552">
        <v>-0.54269409999999996</v>
      </c>
      <c r="V2552">
        <v>-0.124029</v>
      </c>
      <c r="W2552">
        <v>6.3283409999999998E-2</v>
      </c>
      <c r="X2552">
        <v>0.99025859999999899</v>
      </c>
      <c r="Y2552">
        <v>-0.16465379999999999</v>
      </c>
      <c r="Z2552">
        <v>2.9963279999999998E-2</v>
      </c>
      <c r="AA2552">
        <v>0.9858962</v>
      </c>
      <c r="AB2552">
        <v>42</v>
      </c>
      <c r="AC2552">
        <v>17.1875</v>
      </c>
      <c r="AD2552">
        <v>-1.280813</v>
      </c>
      <c r="AE2552">
        <v>-3.0891000000000002</v>
      </c>
      <c r="AF2552">
        <v>-2.92058969594166</v>
      </c>
      <c r="AG2552">
        <v>-1.280813</v>
      </c>
      <c r="AH2552">
        <v>17.122154453236799</v>
      </c>
      <c r="AI2552">
        <v>94.217322584611793</v>
      </c>
      <c r="AJ2552">
        <v>99.6799910883488</v>
      </c>
      <c r="AK2552">
        <v>17.4166156079046</v>
      </c>
    </row>
    <row r="2553" spans="1:37" x14ac:dyDescent="0.2">
      <c r="A2553" t="str">
        <f>"20200111153445844"</f>
        <v>20200111153445844</v>
      </c>
      <c r="B2553" t="str">
        <f>"1578728085838787"</f>
        <v>1578728085838787</v>
      </c>
      <c r="C2553" t="s">
        <v>37</v>
      </c>
      <c r="D2553">
        <v>5.5074019999999999</v>
      </c>
      <c r="E2553">
        <v>0.49054510000000001</v>
      </c>
      <c r="F2553" t="s">
        <v>38</v>
      </c>
      <c r="G2553">
        <v>-436.20870000000002</v>
      </c>
      <c r="H2553">
        <v>-0.05</v>
      </c>
      <c r="I2553">
        <v>201.80959999999999</v>
      </c>
      <c r="J2553">
        <v>-452.56509999999997</v>
      </c>
      <c r="K2553">
        <v>1.2243310000000001</v>
      </c>
      <c r="L2553">
        <v>205.01929999999999</v>
      </c>
      <c r="M2553">
        <v>0.93638779999999999</v>
      </c>
      <c r="N2553">
        <v>0</v>
      </c>
      <c r="O2553">
        <v>-0.35085640000000001</v>
      </c>
      <c r="P2553">
        <v>0.969198</v>
      </c>
      <c r="Q2553">
        <v>7.7061859999999996E-2</v>
      </c>
      <c r="R2553">
        <v>-0.23391609999999999</v>
      </c>
      <c r="S2553">
        <v>2.970917</v>
      </c>
      <c r="T2553">
        <v>-0.2269948</v>
      </c>
      <c r="U2553">
        <v>-0.58921809999999997</v>
      </c>
      <c r="V2553">
        <v>-0.1246567</v>
      </c>
      <c r="W2553">
        <v>6.1447340000000003E-2</v>
      </c>
      <c r="X2553">
        <v>0.99029539999999905</v>
      </c>
      <c r="Y2553">
        <v>-0.16061689999999901</v>
      </c>
      <c r="Z2553">
        <v>3.1920959999999998E-2</v>
      </c>
      <c r="AA2553">
        <v>0.986500499999999</v>
      </c>
      <c r="AB2553">
        <v>42</v>
      </c>
      <c r="AC2553">
        <v>16.356399999999901</v>
      </c>
      <c r="AD2553">
        <v>-1.2743310000000001</v>
      </c>
      <c r="AE2553">
        <v>-3.20969999999999</v>
      </c>
      <c r="AF2553">
        <v>-2.7174465788533202</v>
      </c>
      <c r="AG2553">
        <v>-1.2743310000000001</v>
      </c>
      <c r="AH2553">
        <v>16.347167794977</v>
      </c>
      <c r="AI2553">
        <v>94.3973328916545</v>
      </c>
      <c r="AJ2553">
        <v>99.438171509333699</v>
      </c>
      <c r="AK2553">
        <v>16.620419077857601</v>
      </c>
    </row>
    <row r="2554" spans="1:37" x14ac:dyDescent="0.2">
      <c r="A2554" t="str">
        <f>"20200111153445866"</f>
        <v>20200111153445866</v>
      </c>
      <c r="B2554" t="str">
        <f>"1578728085858307"</f>
        <v>1578728085858307</v>
      </c>
      <c r="C2554" t="s">
        <v>37</v>
      </c>
      <c r="D2554">
        <v>5.3047620000000002</v>
      </c>
      <c r="E2554">
        <v>0.49072149999999998</v>
      </c>
      <c r="F2554" t="s">
        <v>38</v>
      </c>
      <c r="G2554">
        <v>-436.21460000000002</v>
      </c>
      <c r="H2554">
        <v>-0.05</v>
      </c>
      <c r="I2554">
        <v>201.59379999999999</v>
      </c>
      <c r="J2554">
        <v>-452.15769999999998</v>
      </c>
      <c r="K2554">
        <v>1.2159599999999999</v>
      </c>
      <c r="L2554">
        <v>204.90299999999999</v>
      </c>
      <c r="M2554">
        <v>0.93378619999999901</v>
      </c>
      <c r="N2554">
        <v>0</v>
      </c>
      <c r="O2554">
        <v>-0.35775600000000002</v>
      </c>
      <c r="P2554">
        <v>0.96796759999999904</v>
      </c>
      <c r="Q2554">
        <v>7.7016840000000003E-2</v>
      </c>
      <c r="R2554">
        <v>-0.23897209999999999</v>
      </c>
      <c r="S2554">
        <v>2.9638369999999998</v>
      </c>
      <c r="T2554">
        <v>-0.230996799999999</v>
      </c>
      <c r="U2554">
        <v>-0.62095639999999996</v>
      </c>
      <c r="V2554">
        <v>-0.12772700000000001</v>
      </c>
      <c r="W2554">
        <v>6.0946649999999998E-2</v>
      </c>
      <c r="X2554">
        <v>0.98993500000000001</v>
      </c>
      <c r="Y2554">
        <v>-0.1572432</v>
      </c>
      <c r="Z2554">
        <v>3.2874920000000002E-2</v>
      </c>
      <c r="AA2554">
        <v>0.98701260000000002</v>
      </c>
      <c r="AB2554">
        <v>43</v>
      </c>
      <c r="AC2554">
        <v>15.9430999999999</v>
      </c>
      <c r="AD2554">
        <v>-1.26596</v>
      </c>
      <c r="AE2554">
        <v>-3.3092000000000001</v>
      </c>
      <c r="AF2554">
        <v>-2.5980206395130701</v>
      </c>
      <c r="AG2554">
        <v>-1.26596</v>
      </c>
      <c r="AH2554">
        <v>15.9752011522805</v>
      </c>
      <c r="AI2554">
        <v>94.472439502248804</v>
      </c>
      <c r="AJ2554">
        <v>99.237050941011304</v>
      </c>
      <c r="AK2554">
        <v>16.2345131685789</v>
      </c>
    </row>
    <row r="2555" spans="1:37" x14ac:dyDescent="0.2">
      <c r="A2555" t="str">
        <f>"20200111153445889"</f>
        <v>20200111153445889</v>
      </c>
      <c r="B2555" t="str">
        <f>"1578728085878806"</f>
        <v>1578728085878806</v>
      </c>
      <c r="C2555" t="s">
        <v>37</v>
      </c>
      <c r="D2555">
        <v>5.2655459999999996</v>
      </c>
      <c r="E2555">
        <v>0.49079780000000001</v>
      </c>
      <c r="F2555" t="s">
        <v>38</v>
      </c>
      <c r="G2555">
        <v>-435.77659999999997</v>
      </c>
      <c r="H2555">
        <v>-0.05</v>
      </c>
      <c r="I2555">
        <v>201.39940000000001</v>
      </c>
      <c r="J2555">
        <v>-451.72969999999998</v>
      </c>
      <c r="K2555">
        <v>1.205408</v>
      </c>
      <c r="L2555">
        <v>204.77979999999999</v>
      </c>
      <c r="M2555">
        <v>0.93335059999999903</v>
      </c>
      <c r="N2555">
        <v>0</v>
      </c>
      <c r="O2555">
        <v>-0.3589022</v>
      </c>
      <c r="P2555">
        <v>0.96839259999999905</v>
      </c>
      <c r="Q2555">
        <v>7.4843939999999998E-2</v>
      </c>
      <c r="R2555">
        <v>-0.23793779999999901</v>
      </c>
      <c r="S2555">
        <v>2.9610599999999998</v>
      </c>
      <c r="T2555">
        <v>-0.22883719999999999</v>
      </c>
      <c r="U2555">
        <v>-0.63331599999999999</v>
      </c>
      <c r="V2555">
        <v>-0.13060079999999999</v>
      </c>
      <c r="W2555">
        <v>5.7717480000000002E-2</v>
      </c>
      <c r="X2555">
        <v>0.98975349999999995</v>
      </c>
      <c r="Y2555">
        <v>-0.154355399999999</v>
      </c>
      <c r="Z2555">
        <v>3.2550280000000001E-2</v>
      </c>
      <c r="AA2555">
        <v>0.987479</v>
      </c>
      <c r="AB2555">
        <v>43</v>
      </c>
      <c r="AC2555">
        <v>15.953099999999999</v>
      </c>
      <c r="AD2555">
        <v>-1.2554080000000001</v>
      </c>
      <c r="AE2555">
        <v>-3.3803999999999799</v>
      </c>
      <c r="AF2555">
        <v>-2.5554183557465202</v>
      </c>
      <c r="AG2555">
        <v>-1.2554080000000001</v>
      </c>
      <c r="AH2555">
        <v>16.0085615935715</v>
      </c>
      <c r="AI2555">
        <v>94.428181913638099</v>
      </c>
      <c r="AJ2555">
        <v>99.069506568644798</v>
      </c>
      <c r="AK2555">
        <v>16.2597741839954</v>
      </c>
    </row>
    <row r="2556" spans="1:37" x14ac:dyDescent="0.2">
      <c r="A2556" t="str">
        <f>"20200111153445911"</f>
        <v>20200111153445911</v>
      </c>
      <c r="B2556" t="str">
        <f>"1578728085908084"</f>
        <v>1578728085908084</v>
      </c>
      <c r="C2556" t="s">
        <v>37</v>
      </c>
      <c r="D2556">
        <v>5.3510299999999997</v>
      </c>
      <c r="E2556">
        <v>0.49091259999999998</v>
      </c>
      <c r="F2556" t="s">
        <v>38</v>
      </c>
      <c r="G2556">
        <v>-435.90260000000001</v>
      </c>
      <c r="H2556">
        <v>-0.05</v>
      </c>
      <c r="I2556">
        <v>201.44319999999999</v>
      </c>
      <c r="J2556">
        <v>-451.30919999999998</v>
      </c>
      <c r="K2556">
        <v>1.193816</v>
      </c>
      <c r="L2556">
        <v>204.6575</v>
      </c>
      <c r="M2556">
        <v>0.93585399999999996</v>
      </c>
      <c r="N2556">
        <v>0</v>
      </c>
      <c r="O2556">
        <v>-0.3523232</v>
      </c>
      <c r="P2556">
        <v>0.97078549999999997</v>
      </c>
      <c r="Q2556">
        <v>7.34316E-2</v>
      </c>
      <c r="R2556">
        <v>-0.228436099999999</v>
      </c>
      <c r="S2556">
        <v>2.9625849999999998</v>
      </c>
      <c r="T2556">
        <v>-0.23499129999999999</v>
      </c>
      <c r="U2556">
        <v>-0.62455749999999999</v>
      </c>
      <c r="V2556">
        <v>-0.1336021</v>
      </c>
      <c r="W2556">
        <v>5.5247600000000001E-2</v>
      </c>
      <c r="X2556">
        <v>0.98949390000000004</v>
      </c>
      <c r="Y2556">
        <v>-0.1502511</v>
      </c>
      <c r="Z2556">
        <v>3.2780379999999998E-2</v>
      </c>
      <c r="AA2556">
        <v>0.98810429999999905</v>
      </c>
      <c r="AB2556">
        <v>43</v>
      </c>
      <c r="AC2556">
        <v>15.4065999999999</v>
      </c>
      <c r="AD2556">
        <v>-1.243816</v>
      </c>
      <c r="AE2556">
        <v>-3.2143000000000002</v>
      </c>
      <c r="AF2556">
        <v>-2.4050208260969401</v>
      </c>
      <c r="AG2556">
        <v>-1.243816</v>
      </c>
      <c r="AH2556">
        <v>15.454627641337201</v>
      </c>
      <c r="AI2556">
        <v>94.546856158935398</v>
      </c>
      <c r="AJ2556">
        <v>98.845317146918106</v>
      </c>
      <c r="AK2556">
        <v>15.690019724277001</v>
      </c>
    </row>
    <row r="2557" spans="1:37" x14ac:dyDescent="0.2">
      <c r="A2557" t="str">
        <f>"20200111153445934"</f>
        <v>20200111153445934</v>
      </c>
      <c r="B2557" t="str">
        <f>"1578728085928580"</f>
        <v>1578728085928580</v>
      </c>
      <c r="C2557" t="s">
        <v>37</v>
      </c>
      <c r="D2557">
        <v>5.3206709999999999</v>
      </c>
      <c r="E2557">
        <v>0.49101270000000002</v>
      </c>
      <c r="F2557" t="s">
        <v>38</v>
      </c>
      <c r="G2557">
        <v>-435.95749999999998</v>
      </c>
      <c r="H2557">
        <v>-0.05</v>
      </c>
      <c r="I2557">
        <v>201.57980000000001</v>
      </c>
      <c r="J2557">
        <v>-450.89249999999998</v>
      </c>
      <c r="K2557">
        <v>1.181889</v>
      </c>
      <c r="L2557">
        <v>204.5351</v>
      </c>
      <c r="M2557">
        <v>0.94124099999999999</v>
      </c>
      <c r="N2557">
        <v>0</v>
      </c>
      <c r="O2557">
        <v>-0.3376729</v>
      </c>
      <c r="P2557">
        <v>0.97512080000000001</v>
      </c>
      <c r="Q2557">
        <v>6.8916199999999997E-2</v>
      </c>
      <c r="R2557">
        <v>-0.210689399999999</v>
      </c>
      <c r="S2557">
        <v>2.968445</v>
      </c>
      <c r="T2557">
        <v>-0.240508</v>
      </c>
      <c r="U2557">
        <v>-0.59510799999999997</v>
      </c>
      <c r="V2557">
        <v>-0.13600499999999999</v>
      </c>
      <c r="W2557">
        <v>5.0569240000000001E-2</v>
      </c>
      <c r="X2557">
        <v>0.98941669999999904</v>
      </c>
      <c r="Y2557">
        <v>-0.14460909999999999</v>
      </c>
      <c r="Z2557">
        <v>3.2206110000000003E-2</v>
      </c>
      <c r="AA2557">
        <v>0.98896459999999997</v>
      </c>
      <c r="AB2557">
        <v>44</v>
      </c>
      <c r="AC2557">
        <v>14.935</v>
      </c>
      <c r="AD2557">
        <v>-1.231889</v>
      </c>
      <c r="AE2557">
        <v>-2.95529999999999</v>
      </c>
      <c r="AF2557">
        <v>-2.24683282378157</v>
      </c>
      <c r="AG2557">
        <v>-1.231889</v>
      </c>
      <c r="AH2557">
        <v>14.9577475955351</v>
      </c>
      <c r="AI2557">
        <v>94.656132573577807</v>
      </c>
      <c r="AJ2557">
        <v>98.542643317471899</v>
      </c>
      <c r="AK2557">
        <v>15.175639076430301</v>
      </c>
    </row>
    <row r="2558" spans="1:37" x14ac:dyDescent="0.2">
      <c r="A2558" t="str">
        <f>"20200111153445955"</f>
        <v>20200111153445955</v>
      </c>
      <c r="B2558" t="str">
        <f>"1578728085948099"</f>
        <v>1578728085948099</v>
      </c>
      <c r="C2558" t="s">
        <v>37</v>
      </c>
      <c r="D2558">
        <v>5.351864</v>
      </c>
      <c r="E2558">
        <v>0.491052499999999</v>
      </c>
      <c r="F2558" t="s">
        <v>38</v>
      </c>
      <c r="G2558">
        <v>-436.53149999999999</v>
      </c>
      <c r="H2558">
        <v>-0.05</v>
      </c>
      <c r="I2558">
        <v>201.9177</v>
      </c>
      <c r="J2558">
        <v>-450.48070000000001</v>
      </c>
      <c r="K2558">
        <v>1.1687749999999999</v>
      </c>
      <c r="L2558">
        <v>204.41419999999999</v>
      </c>
      <c r="M2558">
        <v>0.94847380000000003</v>
      </c>
      <c r="N2558">
        <v>0</v>
      </c>
      <c r="O2558">
        <v>-0.31682769999999999</v>
      </c>
      <c r="P2558">
        <v>0.98024049999999996</v>
      </c>
      <c r="Q2558">
        <v>6.0762080000000003E-2</v>
      </c>
      <c r="R2558">
        <v>-0.1882461</v>
      </c>
      <c r="S2558">
        <v>2.9773559999999999</v>
      </c>
      <c r="T2558">
        <v>-0.25539839999999903</v>
      </c>
      <c r="U2558">
        <v>-0.54264829999999997</v>
      </c>
      <c r="V2558">
        <v>-0.13627999999999901</v>
      </c>
      <c r="W2558">
        <v>4.5391050000000002E-2</v>
      </c>
      <c r="X2558">
        <v>0.98962989999999995</v>
      </c>
      <c r="Y2558">
        <v>-0.14005709999999999</v>
      </c>
      <c r="Z2558">
        <v>3.2309209999999998E-2</v>
      </c>
      <c r="AA2558">
        <v>0.98961619999999995</v>
      </c>
      <c r="AB2558">
        <v>44</v>
      </c>
      <c r="AC2558">
        <v>13.949199999999999</v>
      </c>
      <c r="AD2558">
        <v>-1.2187749999999999</v>
      </c>
      <c r="AE2558">
        <v>-2.4964999999999899</v>
      </c>
      <c r="AF2558">
        <v>-2.0365816219484199</v>
      </c>
      <c r="AG2558">
        <v>-1.2187749999999999</v>
      </c>
      <c r="AH2558">
        <v>13.918579089663201</v>
      </c>
      <c r="AI2558">
        <v>94.951856346757097</v>
      </c>
      <c r="AJ2558">
        <v>98.324507323121594</v>
      </c>
      <c r="AK2558">
        <v>14.1194872810132</v>
      </c>
    </row>
    <row r="2559" spans="1:37" x14ac:dyDescent="0.2">
      <c r="A2559" t="str">
        <f>"20200111153445978"</f>
        <v>20200111153445978</v>
      </c>
      <c r="B2559" t="str">
        <f>"1578728085968596"</f>
        <v>1578728085968596</v>
      </c>
      <c r="C2559" t="s">
        <v>37</v>
      </c>
      <c r="D2559">
        <v>5.3163260000000001</v>
      </c>
      <c r="E2559">
        <v>0.49114259999999899</v>
      </c>
      <c r="F2559" t="s">
        <v>38</v>
      </c>
      <c r="G2559">
        <v>-437.53120000000001</v>
      </c>
      <c r="H2559">
        <v>-0.05</v>
      </c>
      <c r="I2559">
        <v>202.3605</v>
      </c>
      <c r="J2559">
        <v>-450.0575</v>
      </c>
      <c r="K2559">
        <v>1.154255</v>
      </c>
      <c r="L2559">
        <v>204.29150000000001</v>
      </c>
      <c r="M2559">
        <v>0.9567599</v>
      </c>
      <c r="N2559">
        <v>0</v>
      </c>
      <c r="O2559">
        <v>-0.2908792</v>
      </c>
      <c r="P2559">
        <v>0.98494409999999899</v>
      </c>
      <c r="Q2559">
        <v>5.5087959999999998E-2</v>
      </c>
      <c r="R2559">
        <v>-0.1638616</v>
      </c>
      <c r="S2559">
        <v>2.9869379999999999</v>
      </c>
      <c r="T2559">
        <v>-0.28112350000000003</v>
      </c>
      <c r="U2559">
        <v>-0.47370909999999899</v>
      </c>
      <c r="V2559">
        <v>-0.1333831</v>
      </c>
      <c r="W2559">
        <v>4.589882E-2</v>
      </c>
      <c r="X2559">
        <v>0.99000109999999997</v>
      </c>
      <c r="Y2559">
        <v>-0.1356356</v>
      </c>
      <c r="Z2559">
        <v>3.3023490000000003E-2</v>
      </c>
      <c r="AA2559">
        <v>0.99020830000000004</v>
      </c>
      <c r="AB2559">
        <v>44</v>
      </c>
      <c r="AC2559">
        <v>12.5262999999999</v>
      </c>
      <c r="AD2559">
        <v>-1.2042550000000001</v>
      </c>
      <c r="AE2559">
        <v>-1.93100000000001</v>
      </c>
      <c r="AF2559">
        <v>-1.78006612911273</v>
      </c>
      <c r="AG2559">
        <v>-1.2042550000000001</v>
      </c>
      <c r="AH2559">
        <v>12.4340929526716</v>
      </c>
      <c r="AI2559">
        <v>95.476413197591796</v>
      </c>
      <c r="AJ2559">
        <v>98.147113260359902</v>
      </c>
      <c r="AK2559">
        <v>12.618460012407001</v>
      </c>
    </row>
    <row r="2560" spans="1:37" x14ac:dyDescent="0.2">
      <c r="A2560" t="str">
        <f>"20200111153446000"</f>
        <v>20200111153446000</v>
      </c>
      <c r="B2560" t="str">
        <f>"1578728085988115"</f>
        <v>1578728085988115</v>
      </c>
      <c r="C2560" t="s">
        <v>37</v>
      </c>
      <c r="D2560">
        <v>5.2952699999999897</v>
      </c>
      <c r="E2560">
        <v>0.49117379999999999</v>
      </c>
      <c r="F2560" t="s">
        <v>38</v>
      </c>
      <c r="G2560">
        <v>-438.03769999999997</v>
      </c>
      <c r="H2560">
        <v>-0.05</v>
      </c>
      <c r="I2560">
        <v>202.68770000000001</v>
      </c>
      <c r="J2560">
        <v>-449.64510000000001</v>
      </c>
      <c r="K2560">
        <v>1.141942</v>
      </c>
      <c r="L2560">
        <v>204.1746</v>
      </c>
      <c r="M2560">
        <v>0.96419920000000003</v>
      </c>
      <c r="N2560">
        <v>0</v>
      </c>
      <c r="O2560">
        <v>-0.26512570000000002</v>
      </c>
      <c r="P2560">
        <v>0.98838320000000002</v>
      </c>
      <c r="Q2560">
        <v>5.3300309999999997E-2</v>
      </c>
      <c r="R2560">
        <v>-0.1423307</v>
      </c>
      <c r="S2560">
        <v>2.996124</v>
      </c>
      <c r="T2560">
        <v>-0.30018129999999998</v>
      </c>
      <c r="U2560">
        <v>-0.39978029999999998</v>
      </c>
      <c r="V2560">
        <v>-0.1283176</v>
      </c>
      <c r="W2560">
        <v>5.0458280000000001E-2</v>
      </c>
      <c r="X2560">
        <v>0.99044869999999996</v>
      </c>
      <c r="Y2560">
        <v>-0.133354</v>
      </c>
      <c r="Z2560">
        <v>3.2659729999999998E-2</v>
      </c>
      <c r="AA2560">
        <v>0.99053019999999903</v>
      </c>
      <c r="AB2560">
        <v>44</v>
      </c>
      <c r="AC2560">
        <v>11.6074</v>
      </c>
      <c r="AD2560">
        <v>-1.1919420000000001</v>
      </c>
      <c r="AE2560">
        <v>-1.4868999999999899</v>
      </c>
      <c r="AF2560">
        <v>-1.6268970734068799</v>
      </c>
      <c r="AG2560">
        <v>-1.1919420000000001</v>
      </c>
      <c r="AH2560">
        <v>11.467256664224699</v>
      </c>
      <c r="AI2560">
        <v>95.875768441182103</v>
      </c>
      <c r="AJ2560">
        <v>98.074849809350994</v>
      </c>
      <c r="AK2560">
        <v>11.643259647625699</v>
      </c>
    </row>
    <row r="2561" spans="1:37" x14ac:dyDescent="0.2">
      <c r="A2561" t="str">
        <f>"20200111153446023"</f>
        <v>20200111153446023</v>
      </c>
      <c r="B2561" t="str">
        <f>"1578728086018132"</f>
        <v>1578728086018132</v>
      </c>
      <c r="C2561" t="s">
        <v>37</v>
      </c>
      <c r="D2561">
        <v>5.3320749999999997</v>
      </c>
      <c r="E2561">
        <v>0.49124790000000002</v>
      </c>
      <c r="F2561" t="s">
        <v>38</v>
      </c>
      <c r="G2561">
        <v>-437.97550000000001</v>
      </c>
      <c r="H2561">
        <v>-0.05</v>
      </c>
      <c r="I2561">
        <v>202.8793</v>
      </c>
      <c r="J2561">
        <v>-449.22390000000001</v>
      </c>
      <c r="K2561">
        <v>1.1328</v>
      </c>
      <c r="L2561">
        <v>204.05950000000001</v>
      </c>
      <c r="M2561">
        <v>0.9705106</v>
      </c>
      <c r="N2561">
        <v>0</v>
      </c>
      <c r="O2561">
        <v>-0.24082049999999999</v>
      </c>
      <c r="P2561">
        <v>0.99118240000000002</v>
      </c>
      <c r="Q2561">
        <v>5.2175619999999999E-2</v>
      </c>
      <c r="R2561">
        <v>-0.1217998</v>
      </c>
      <c r="S2561">
        <v>3.003784</v>
      </c>
      <c r="T2561">
        <v>-0.30681009999999997</v>
      </c>
      <c r="U2561">
        <v>-0.33341979999999999</v>
      </c>
      <c r="V2561">
        <v>-0.1241816</v>
      </c>
      <c r="W2561">
        <v>5.5135240000000002E-2</v>
      </c>
      <c r="X2561">
        <v>0.99072649999999995</v>
      </c>
      <c r="Y2561">
        <v>-0.1304121</v>
      </c>
      <c r="Z2561">
        <v>3.0819659999999999E-2</v>
      </c>
      <c r="AA2561">
        <v>0.99098069999999905</v>
      </c>
      <c r="AB2561">
        <v>44</v>
      </c>
      <c r="AC2561">
        <v>11.2484</v>
      </c>
      <c r="AD2561">
        <v>-1.1828000000000001</v>
      </c>
      <c r="AE2561">
        <v>-1.1802000000000099</v>
      </c>
      <c r="AF2561">
        <v>-1.5466233877234701</v>
      </c>
      <c r="AG2561">
        <v>-1.1828000000000001</v>
      </c>
      <c r="AH2561">
        <v>11.080367347056301</v>
      </c>
      <c r="AI2561">
        <v>96.0350303911776</v>
      </c>
      <c r="AJ2561">
        <v>97.946137820397396</v>
      </c>
      <c r="AK2561">
        <v>11.2501377897857</v>
      </c>
    </row>
    <row r="2562" spans="1:37" x14ac:dyDescent="0.2">
      <c r="A2562" t="str">
        <f>"20200111153446045"</f>
        <v>20200111153446045</v>
      </c>
      <c r="B2562" t="str">
        <f>"1578728086038627"</f>
        <v>1578728086038627</v>
      </c>
      <c r="C2562" t="s">
        <v>37</v>
      </c>
      <c r="D2562">
        <v>5.2903139999999897</v>
      </c>
      <c r="E2562">
        <v>0.49121619999999999</v>
      </c>
      <c r="F2562" t="s">
        <v>38</v>
      </c>
      <c r="G2562">
        <v>-437.78140000000002</v>
      </c>
      <c r="H2562">
        <v>-0.05</v>
      </c>
      <c r="I2562">
        <v>203.03200000000001</v>
      </c>
      <c r="J2562">
        <v>-448.7971</v>
      </c>
      <c r="K2562">
        <v>1.127092</v>
      </c>
      <c r="L2562">
        <v>203.94829999999999</v>
      </c>
      <c r="M2562">
        <v>0.97561059999999999</v>
      </c>
      <c r="N2562">
        <v>0</v>
      </c>
      <c r="O2562">
        <v>-0.21891359999999899</v>
      </c>
      <c r="P2562">
        <v>0.99383379999999999</v>
      </c>
      <c r="Q2562">
        <v>4.6625130000000001E-2</v>
      </c>
      <c r="R2562">
        <v>-0.1006026</v>
      </c>
      <c r="S2562">
        <v>3.009827</v>
      </c>
      <c r="T2562">
        <v>-0.31112319999999999</v>
      </c>
      <c r="U2562">
        <v>-0.27027889999999999</v>
      </c>
      <c r="V2562">
        <v>-0.1233471</v>
      </c>
      <c r="W2562">
        <v>5.4531990000000002E-2</v>
      </c>
      <c r="X2562">
        <v>0.99086419999999997</v>
      </c>
      <c r="Y2562">
        <v>-0.12897990000000001</v>
      </c>
      <c r="Z2562">
        <v>2.8968589999999999E-2</v>
      </c>
      <c r="AA2562">
        <v>0.99122399999999999</v>
      </c>
      <c r="AB2562">
        <v>44</v>
      </c>
      <c r="AC2562">
        <v>11.015699999999899</v>
      </c>
      <c r="AD2562">
        <v>-1.177092</v>
      </c>
      <c r="AE2562">
        <v>-0.91629999999997802</v>
      </c>
      <c r="AF2562">
        <v>-1.5007147969071899</v>
      </c>
      <c r="AG2562">
        <v>-1.177092</v>
      </c>
      <c r="AH2562">
        <v>10.8262850734242</v>
      </c>
      <c r="AI2562">
        <v>96.146813734293204</v>
      </c>
      <c r="AJ2562">
        <v>97.891918532413698</v>
      </c>
      <c r="AK2562">
        <v>10.993004092110899</v>
      </c>
    </row>
    <row r="2563" spans="1:37" x14ac:dyDescent="0.2">
      <c r="A2563" t="str">
        <f>"20200111153446067"</f>
        <v>20200111153446067</v>
      </c>
      <c r="B2563" t="str">
        <f>"1578728086058148"</f>
        <v>1578728086058148</v>
      </c>
      <c r="C2563" t="s">
        <v>37</v>
      </c>
      <c r="D2563">
        <v>5.296297</v>
      </c>
      <c r="E2563">
        <v>0.49120269999999999</v>
      </c>
      <c r="F2563" t="s">
        <v>38</v>
      </c>
      <c r="G2563">
        <v>-438.00209999999998</v>
      </c>
      <c r="H2563">
        <v>-0.05</v>
      </c>
      <c r="I2563">
        <v>203.21879999999999</v>
      </c>
      <c r="J2563">
        <v>-448.3655</v>
      </c>
      <c r="K2563">
        <v>1.123877</v>
      </c>
      <c r="L2563">
        <v>203.84299999999999</v>
      </c>
      <c r="M2563">
        <v>0.97977969999999903</v>
      </c>
      <c r="N2563">
        <v>0</v>
      </c>
      <c r="O2563">
        <v>-0.19894819999999999</v>
      </c>
      <c r="P2563">
        <v>0.99596640000000003</v>
      </c>
      <c r="Q2563">
        <v>3.6527199999999899E-2</v>
      </c>
      <c r="R2563">
        <v>-8.1954899999999997E-2</v>
      </c>
      <c r="S2563">
        <v>3.01342799999999</v>
      </c>
      <c r="T2563">
        <v>-0.32858500000000002</v>
      </c>
      <c r="U2563">
        <v>-0.20364379999999899</v>
      </c>
      <c r="V2563">
        <v>-0.1218615</v>
      </c>
      <c r="W2563">
        <v>4.8607079999999997E-2</v>
      </c>
      <c r="X2563">
        <v>0.99135620000000002</v>
      </c>
      <c r="Y2563">
        <v>-0.13053770000000001</v>
      </c>
      <c r="Z2563">
        <v>2.8552109999999999E-2</v>
      </c>
      <c r="AA2563">
        <v>0.99103209999999997</v>
      </c>
      <c r="AB2563">
        <v>45</v>
      </c>
      <c r="AC2563">
        <v>10.3634</v>
      </c>
      <c r="AD2563">
        <v>-1.1738770000000001</v>
      </c>
      <c r="AE2563">
        <v>-0.62420000000000098</v>
      </c>
      <c r="AF2563">
        <v>-1.4322191335561201</v>
      </c>
      <c r="AG2563">
        <v>-1.1738770000000001</v>
      </c>
      <c r="AH2563">
        <v>10.1505872340742</v>
      </c>
      <c r="AI2563">
        <v>96.532597081696906</v>
      </c>
      <c r="AJ2563">
        <v>98.031255865840507</v>
      </c>
      <c r="AK2563">
        <v>10.3181228939281</v>
      </c>
    </row>
    <row r="2564" spans="1:37" x14ac:dyDescent="0.2">
      <c r="A2564" t="str">
        <f>"20200111153446090"</f>
        <v>20200111153446090</v>
      </c>
      <c r="B2564" t="str">
        <f>"1578728086078646"</f>
        <v>1578728086078646</v>
      </c>
      <c r="C2564" t="s">
        <v>37</v>
      </c>
      <c r="D2564">
        <v>5.3546809999999896</v>
      </c>
      <c r="E2564">
        <v>0.49236380000000002</v>
      </c>
      <c r="F2564" t="s">
        <v>38</v>
      </c>
      <c r="G2564">
        <v>-438.48379999999997</v>
      </c>
      <c r="H2564">
        <v>-0.05</v>
      </c>
      <c r="I2564">
        <v>203.37700000000001</v>
      </c>
      <c r="J2564">
        <v>-447.92540000000002</v>
      </c>
      <c r="K2564">
        <v>1.121167</v>
      </c>
      <c r="L2564">
        <v>203.744</v>
      </c>
      <c r="M2564">
        <v>0.98346080000000002</v>
      </c>
      <c r="N2564">
        <v>0</v>
      </c>
      <c r="O2564">
        <v>-0.17933370000000001</v>
      </c>
      <c r="P2564">
        <v>0.99753999999999998</v>
      </c>
      <c r="Q2564">
        <v>2.7491640000000001E-2</v>
      </c>
      <c r="R2564">
        <v>-6.4485009999999995E-2</v>
      </c>
      <c r="S2564">
        <v>3.01355</v>
      </c>
      <c r="T2564">
        <v>-0.35798740000000001</v>
      </c>
      <c r="U2564">
        <v>-0.14210510000000001</v>
      </c>
      <c r="V2564">
        <v>-0.1194963</v>
      </c>
      <c r="W2564">
        <v>4.2886760000000003E-2</v>
      </c>
      <c r="X2564">
        <v>0.99190800000000001</v>
      </c>
      <c r="Y2564">
        <v>-0.130692899999999</v>
      </c>
      <c r="Z2564">
        <v>2.8845909999999999E-2</v>
      </c>
      <c r="AA2564">
        <v>0.99100319999999997</v>
      </c>
      <c r="AB2564">
        <v>45</v>
      </c>
      <c r="AC2564">
        <v>9.4416000000000508</v>
      </c>
      <c r="AD2564">
        <v>-1.1711670000000001</v>
      </c>
      <c r="AE2564">
        <v>-0.36700000000001798</v>
      </c>
      <c r="AF2564">
        <v>-1.3125312298727401</v>
      </c>
      <c r="AG2564">
        <v>-1.1711670000000001</v>
      </c>
      <c r="AH2564">
        <v>9.2127328050909991</v>
      </c>
      <c r="AI2564">
        <v>97.173187763860497</v>
      </c>
      <c r="AJ2564">
        <v>98.108321630542306</v>
      </c>
      <c r="AK2564">
        <v>9.37916926541366</v>
      </c>
    </row>
    <row r="2565" spans="1:37" x14ac:dyDescent="0.2">
      <c r="A2565" t="str">
        <f>"20200111153446112"</f>
        <v>20200111153446112</v>
      </c>
      <c r="B2565" t="str">
        <f>"1578728086108899"</f>
        <v>1578728086108899</v>
      </c>
      <c r="C2565" t="s">
        <v>37</v>
      </c>
      <c r="D2565">
        <v>5.2825300000000004</v>
      </c>
      <c r="E2565">
        <v>0.49174679999999998</v>
      </c>
      <c r="F2565" t="s">
        <v>38</v>
      </c>
      <c r="G2565">
        <v>-437.3886</v>
      </c>
      <c r="H2565">
        <v>-0.05</v>
      </c>
      <c r="I2565">
        <v>203.4006</v>
      </c>
      <c r="J2565">
        <v>-447.50380000000001</v>
      </c>
      <c r="K2565">
        <v>1.117788</v>
      </c>
      <c r="L2565">
        <v>203.65889999999999</v>
      </c>
      <c r="M2565">
        <v>0.98665939999999996</v>
      </c>
      <c r="N2565">
        <v>0</v>
      </c>
      <c r="O2565">
        <v>-0.1603272</v>
      </c>
      <c r="P2565">
        <v>0.99864489999999995</v>
      </c>
      <c r="Q2565">
        <v>2.0075229999999999E-2</v>
      </c>
      <c r="R2565">
        <v>-4.801478E-2</v>
      </c>
      <c r="S2565">
        <v>3.010284</v>
      </c>
      <c r="T2565">
        <v>-0.33459169999999999</v>
      </c>
      <c r="U2565">
        <v>-9.8114010000000001E-2</v>
      </c>
      <c r="V2565">
        <v>-0.1165643</v>
      </c>
      <c r="W2565">
        <v>3.8076560000000002E-2</v>
      </c>
      <c r="X2565">
        <v>0.99245300000000003</v>
      </c>
      <c r="Y2565">
        <v>-0.1263967</v>
      </c>
      <c r="Z2565">
        <v>2.4699459999999999E-2</v>
      </c>
      <c r="AA2565">
        <v>0.9916722</v>
      </c>
      <c r="AB2565">
        <v>45</v>
      </c>
      <c r="AC2565">
        <v>10.1152</v>
      </c>
      <c r="AD2565">
        <v>-1.1677879999999901</v>
      </c>
      <c r="AE2565">
        <v>-0.25829999999999098</v>
      </c>
      <c r="AF2565">
        <v>-1.3494591171228101</v>
      </c>
      <c r="AG2565">
        <v>-1.1677879999999901</v>
      </c>
      <c r="AH2565">
        <v>9.8938887215708906</v>
      </c>
      <c r="AI2565">
        <v>96.670353011431303</v>
      </c>
      <c r="AJ2565">
        <v>97.766828812692694</v>
      </c>
      <c r="AK2565">
        <v>10.0535467749723</v>
      </c>
    </row>
    <row r="2566" spans="1:37" x14ac:dyDescent="0.2">
      <c r="A2566" t="str">
        <f>"20200111153446135"</f>
        <v>20200111153446135</v>
      </c>
      <c r="B2566" t="str">
        <f>"1578728086128419"</f>
        <v>1578728086128419</v>
      </c>
      <c r="C2566" t="s">
        <v>37</v>
      </c>
      <c r="D2566">
        <v>5.269145</v>
      </c>
      <c r="E2566">
        <v>0.48990040000000001</v>
      </c>
      <c r="F2566" t="s">
        <v>38</v>
      </c>
      <c r="G2566">
        <v>-437.81849999999997</v>
      </c>
      <c r="H2566">
        <v>-0.05</v>
      </c>
      <c r="I2566">
        <v>203.5273</v>
      </c>
      <c r="J2566">
        <v>-447.06569999999999</v>
      </c>
      <c r="K2566">
        <v>1.113688</v>
      </c>
      <c r="L2566">
        <v>203.58099999999999</v>
      </c>
      <c r="M2566">
        <v>0.98965409999999998</v>
      </c>
      <c r="N2566">
        <v>0</v>
      </c>
      <c r="O2566">
        <v>-0.14025219999999999</v>
      </c>
      <c r="P2566">
        <v>0.99944439999999901</v>
      </c>
      <c r="Q2566">
        <v>1.5453929999999999E-2</v>
      </c>
      <c r="R2566">
        <v>-2.9538519999999999E-2</v>
      </c>
      <c r="S2566">
        <v>3.0093990000000002</v>
      </c>
      <c r="T2566">
        <v>-0.36285600000000001</v>
      </c>
      <c r="U2566">
        <v>-4.0893550000000001E-2</v>
      </c>
      <c r="V2566">
        <v>-0.1145639</v>
      </c>
      <c r="W2566">
        <v>3.5551510000000001E-2</v>
      </c>
      <c r="X2566">
        <v>0.99277959999999998</v>
      </c>
      <c r="Y2566">
        <v>-0.12493559999999999</v>
      </c>
      <c r="Z2566">
        <v>2.4315150000000001E-2</v>
      </c>
      <c r="AA2566">
        <v>0.9918669</v>
      </c>
      <c r="AB2566">
        <v>45</v>
      </c>
      <c r="AC2566">
        <v>9.2472000000000101</v>
      </c>
      <c r="AD2566">
        <v>-1.1636879999999901</v>
      </c>
      <c r="AE2566">
        <v>-5.3699999999991997E-2</v>
      </c>
      <c r="AF2566">
        <v>-1.2249663440287999</v>
      </c>
      <c r="AG2566">
        <v>-1.1636879999999901</v>
      </c>
      <c r="AH2566">
        <v>9.0204052175983804</v>
      </c>
      <c r="AI2566">
        <v>97.284773387240406</v>
      </c>
      <c r="AJ2566">
        <v>97.733429973394095</v>
      </c>
      <c r="AK2566">
        <v>9.1772775154194495</v>
      </c>
    </row>
    <row r="2567" spans="1:37" x14ac:dyDescent="0.2">
      <c r="A2567" t="str">
        <f>"20200111153446158"</f>
        <v>20200111153446158</v>
      </c>
      <c r="B2567" t="str">
        <f>"1578728086148915"</f>
        <v>1578728086148915</v>
      </c>
      <c r="C2567" t="s">
        <v>37</v>
      </c>
      <c r="D2567">
        <v>5.2563719999999998</v>
      </c>
      <c r="E2567">
        <v>0.48869699999999999</v>
      </c>
      <c r="F2567" t="s">
        <v>38</v>
      </c>
      <c r="G2567">
        <v>-438.06699999999898</v>
      </c>
      <c r="H2567">
        <v>-0.05</v>
      </c>
      <c r="I2567">
        <v>203.67259999999999</v>
      </c>
      <c r="J2567">
        <v>-446.61720000000003</v>
      </c>
      <c r="K2567">
        <v>1.1088290000000001</v>
      </c>
      <c r="L2567">
        <v>203.51179999999999</v>
      </c>
      <c r="M2567">
        <v>0.99240049999999902</v>
      </c>
      <c r="N2567">
        <v>0</v>
      </c>
      <c r="O2567">
        <v>-0.11909</v>
      </c>
      <c r="P2567">
        <v>0.99988519999999903</v>
      </c>
      <c r="Q2567">
        <v>1.21067E-2</v>
      </c>
      <c r="R2567">
        <v>-9.1220490000000001E-3</v>
      </c>
      <c r="S2567">
        <v>3.008575</v>
      </c>
      <c r="T2567">
        <v>-0.38905879999999998</v>
      </c>
      <c r="U2567">
        <v>3.0624390000000001E-2</v>
      </c>
      <c r="V2567">
        <v>-0.113309199999999</v>
      </c>
      <c r="W2567">
        <v>3.3409399999999999E-2</v>
      </c>
      <c r="X2567">
        <v>0.99299789999999999</v>
      </c>
      <c r="Y2567">
        <v>-0.1271989</v>
      </c>
      <c r="Z2567">
        <v>2.3508379999999999E-2</v>
      </c>
      <c r="AA2567">
        <v>0.991598599999999</v>
      </c>
      <c r="AB2567">
        <v>45</v>
      </c>
      <c r="AC2567">
        <v>8.5502000000000695</v>
      </c>
      <c r="AD2567">
        <v>-1.1588290000000001</v>
      </c>
      <c r="AE2567">
        <v>0.160799999999994</v>
      </c>
      <c r="AF2567">
        <v>-1.1571383920731999</v>
      </c>
      <c r="AG2567">
        <v>-1.1588290000000001</v>
      </c>
      <c r="AH2567">
        <v>8.3174060797782996</v>
      </c>
      <c r="AI2567">
        <v>97.857005462217501</v>
      </c>
      <c r="AJ2567">
        <v>97.920294342375996</v>
      </c>
      <c r="AK2567">
        <v>8.4770925325599595</v>
      </c>
    </row>
    <row r="2568" spans="1:37" x14ac:dyDescent="0.2">
      <c r="A2568" t="str">
        <f>"20200111153446181"</f>
        <v>20200111153446181</v>
      </c>
      <c r="B2568" t="str">
        <f>"1578728086178196"</f>
        <v>1578728086178196</v>
      </c>
      <c r="C2568" t="s">
        <v>37</v>
      </c>
      <c r="D2568">
        <v>5.2322369999999996</v>
      </c>
      <c r="E2568">
        <v>0.45841979999999999</v>
      </c>
      <c r="F2568" t="s">
        <v>38</v>
      </c>
      <c r="G2568">
        <v>-438.06020000000001</v>
      </c>
      <c r="H2568">
        <v>-0.05</v>
      </c>
      <c r="I2568">
        <v>203.79640000000001</v>
      </c>
      <c r="J2568">
        <v>-446.17899999999997</v>
      </c>
      <c r="K2568">
        <v>1.1033010000000001</v>
      </c>
      <c r="L2568">
        <v>203.4538</v>
      </c>
      <c r="M2568">
        <v>0.99472209999999905</v>
      </c>
      <c r="N2568">
        <v>0</v>
      </c>
      <c r="O2568">
        <v>-9.7978270000000006E-2</v>
      </c>
      <c r="P2568">
        <v>0.99988559999999904</v>
      </c>
      <c r="Q2568">
        <v>1.0140339999999999E-2</v>
      </c>
      <c r="R2568">
        <v>1.122078E-2</v>
      </c>
      <c r="S2568">
        <v>3.006195</v>
      </c>
      <c r="T2568">
        <v>-0.40711740000000002</v>
      </c>
      <c r="U2568">
        <v>9.9975590000000003E-2</v>
      </c>
      <c r="V2568">
        <v>-0.11201889999999901</v>
      </c>
      <c r="W2568">
        <v>3.1709429999999997E-2</v>
      </c>
      <c r="X2568">
        <v>0.99319999999999997</v>
      </c>
      <c r="Y2568">
        <v>-0.12897829999999999</v>
      </c>
      <c r="Z2568">
        <v>2.1891870000000001E-2</v>
      </c>
      <c r="AA2568">
        <v>0.99140569999999895</v>
      </c>
      <c r="AB2568">
        <v>45</v>
      </c>
      <c r="AC2568">
        <v>8.1188000000000198</v>
      </c>
      <c r="AD2568">
        <v>-1.1533009999999999</v>
      </c>
      <c r="AE2568">
        <v>0.34260000000000401</v>
      </c>
      <c r="AF2568">
        <v>-1.11433909353014</v>
      </c>
      <c r="AG2568">
        <v>-1.1533009999999999</v>
      </c>
      <c r="AH2568">
        <v>7.8872430043510704</v>
      </c>
      <c r="AI2568">
        <v>98.238360736124207</v>
      </c>
      <c r="AJ2568">
        <v>98.041735916314096</v>
      </c>
      <c r="AK2568">
        <v>8.0486307544609996</v>
      </c>
    </row>
    <row r="2569" spans="1:37" x14ac:dyDescent="0.2">
      <c r="A2569" t="str">
        <f>"20200111153446202"</f>
        <v>20200111153446202</v>
      </c>
      <c r="B2569" t="str">
        <f>"1578728086198691"</f>
        <v>1578728086198691</v>
      </c>
      <c r="C2569" t="s">
        <v>37</v>
      </c>
      <c r="D2569">
        <v>5.2478800000000003</v>
      </c>
      <c r="E2569">
        <v>0.45126709999999898</v>
      </c>
      <c r="F2569" t="s">
        <v>38</v>
      </c>
      <c r="G2569">
        <v>-436.64049999999997</v>
      </c>
      <c r="H2569">
        <v>-0.05</v>
      </c>
      <c r="I2569">
        <v>204.71279999999999</v>
      </c>
      <c r="J2569">
        <v>-445.765999999999</v>
      </c>
      <c r="K2569">
        <v>1.0977950000000001</v>
      </c>
      <c r="L2569">
        <v>203.40639999999999</v>
      </c>
      <c r="M2569">
        <v>0.99651659999999997</v>
      </c>
      <c r="N2569">
        <v>0</v>
      </c>
      <c r="O2569">
        <v>-7.8131530000000005E-2</v>
      </c>
      <c r="P2569">
        <v>0.99949589999999999</v>
      </c>
      <c r="Q2569">
        <v>1.0175160000000001E-2</v>
      </c>
      <c r="R2569">
        <v>3.007992E-2</v>
      </c>
      <c r="S2569">
        <v>2.9995419999999999</v>
      </c>
      <c r="T2569">
        <v>-0.36267359999999998</v>
      </c>
      <c r="U2569">
        <v>0.39591979999999999</v>
      </c>
      <c r="V2569">
        <v>-0.1106593</v>
      </c>
      <c r="W2569">
        <v>3.1249510000000001E-2</v>
      </c>
      <c r="X2569">
        <v>0.993367</v>
      </c>
      <c r="Y2569">
        <v>-0.2059126</v>
      </c>
      <c r="Z2569">
        <v>2.1731429999999999E-2</v>
      </c>
      <c r="AA2569">
        <v>0.97832909999999995</v>
      </c>
      <c r="AB2569">
        <v>45</v>
      </c>
      <c r="AC2569">
        <v>9.1254999999999793</v>
      </c>
      <c r="AD2569">
        <v>-1.1477949999999999</v>
      </c>
      <c r="AE2569">
        <v>1.30639999999999</v>
      </c>
      <c r="AF2569">
        <v>-1.98492405800893</v>
      </c>
      <c r="AG2569">
        <v>-1.1477949999999999</v>
      </c>
      <c r="AH2569">
        <v>8.8581414259856395</v>
      </c>
      <c r="AI2569">
        <v>97.206219811040896</v>
      </c>
      <c r="AJ2569">
        <v>102.63015051465</v>
      </c>
      <c r="AK2569">
        <v>9.1500834095023702</v>
      </c>
    </row>
    <row r="2570" spans="1:37" x14ac:dyDescent="0.2">
      <c r="A2570" t="str">
        <f>"20200111153446223"</f>
        <v>20200111153446223</v>
      </c>
      <c r="B2570" t="str">
        <f>"1578728086218212"</f>
        <v>1578728086218212</v>
      </c>
      <c r="C2570" t="s">
        <v>37</v>
      </c>
      <c r="D2570">
        <v>5.1970140000000002</v>
      </c>
      <c r="E2570">
        <v>0.45048549999999998</v>
      </c>
      <c r="F2570" t="s">
        <v>56</v>
      </c>
      <c r="G2570">
        <v>-437.07900000000001</v>
      </c>
      <c r="H2570">
        <v>8.0000979999999999E-2</v>
      </c>
      <c r="I2570">
        <v>204.875</v>
      </c>
      <c r="J2570">
        <v>-445.34010000000001</v>
      </c>
      <c r="K2570">
        <v>1.0924579999999999</v>
      </c>
      <c r="L2570">
        <v>203.36429999999999</v>
      </c>
      <c r="M2570">
        <v>0.99793140000000002</v>
      </c>
      <c r="N2570">
        <v>0</v>
      </c>
      <c r="O2570">
        <v>-5.8226890000000003E-2</v>
      </c>
      <c r="P2570">
        <v>0.99874349999999901</v>
      </c>
      <c r="Q2570">
        <v>1.2019429999999999E-2</v>
      </c>
      <c r="R2570">
        <v>4.8650430000000001E-2</v>
      </c>
      <c r="S2570">
        <v>2.9898380000000002</v>
      </c>
      <c r="T2570">
        <v>-0.35030159999999899</v>
      </c>
      <c r="U2570">
        <v>0.50546259999999998</v>
      </c>
      <c r="V2570">
        <v>-0.1091022</v>
      </c>
      <c r="W2570">
        <v>3.193725E-2</v>
      </c>
      <c r="X2570">
        <v>0.99351730000000005</v>
      </c>
      <c r="Y2570">
        <v>-0.22197729999999899</v>
      </c>
      <c r="Z2570">
        <v>1.962848E-2</v>
      </c>
      <c r="AA2570">
        <v>0.974854199999999</v>
      </c>
      <c r="AB2570">
        <v>45</v>
      </c>
      <c r="AC2570">
        <v>8.2610999999999901</v>
      </c>
      <c r="AD2570">
        <v>-1.01245701999999</v>
      </c>
      <c r="AE2570">
        <v>1.5107000000000099</v>
      </c>
      <c r="AF2570">
        <v>-1.9608326818988</v>
      </c>
      <c r="AG2570">
        <v>-1.01245701999999</v>
      </c>
      <c r="AH2570">
        <v>8.0421905914784002</v>
      </c>
      <c r="AI2570">
        <v>96.973221234537107</v>
      </c>
      <c r="AJ2570">
        <v>103.702407043443</v>
      </c>
      <c r="AK2570">
        <v>8.3394702189895398</v>
      </c>
    </row>
    <row r="2571" spans="1:37" x14ac:dyDescent="0.2">
      <c r="A2571" t="str">
        <f>"20200111153446246"</f>
        <v>20200111153446246</v>
      </c>
      <c r="B2571" t="str">
        <f>"1578728086238708"</f>
        <v>1578728086238708</v>
      </c>
      <c r="C2571" t="s">
        <v>37</v>
      </c>
      <c r="D2571">
        <v>5.1369339999999903</v>
      </c>
      <c r="E2571">
        <v>0.45048589999999999</v>
      </c>
      <c r="F2571" t="s">
        <v>56</v>
      </c>
      <c r="G2571">
        <v>-436.44490000000002</v>
      </c>
      <c r="H2571">
        <v>8.0001030000000001E-2</v>
      </c>
      <c r="I2571">
        <v>205.0478</v>
      </c>
      <c r="J2571">
        <v>-444.88889999999998</v>
      </c>
      <c r="K2571">
        <v>1.0877330000000001</v>
      </c>
      <c r="L2571">
        <v>203.327</v>
      </c>
      <c r="M2571">
        <v>0.99895689999999904</v>
      </c>
      <c r="N2571">
        <v>0</v>
      </c>
      <c r="O2571">
        <v>-3.8257599999999899E-2</v>
      </c>
      <c r="P2571">
        <v>0.99758040000000003</v>
      </c>
      <c r="Q2571">
        <v>1.508281E-2</v>
      </c>
      <c r="R2571">
        <v>6.7867109999999994E-2</v>
      </c>
      <c r="S2571">
        <v>2.9803769999999998</v>
      </c>
      <c r="T2571">
        <v>-0.33922979999999903</v>
      </c>
      <c r="U2571">
        <v>0.56407169999999995</v>
      </c>
      <c r="V2571">
        <v>-0.10825659999999999</v>
      </c>
      <c r="W2571">
        <v>3.3234979999999997E-2</v>
      </c>
      <c r="X2571">
        <v>0.99356730000000004</v>
      </c>
      <c r="Y2571">
        <v>-0.2218021</v>
      </c>
      <c r="Z2571">
        <v>1.677969E-2</v>
      </c>
      <c r="AA2571">
        <v>0.97494729999999996</v>
      </c>
      <c r="AB2571">
        <v>45</v>
      </c>
      <c r="AC2571">
        <v>8.44399999999996</v>
      </c>
      <c r="AD2571">
        <v>-1.00773197</v>
      </c>
      <c r="AE2571">
        <v>1.7207999999999899</v>
      </c>
      <c r="AF2571">
        <v>-2.01513048425499</v>
      </c>
      <c r="AG2571">
        <v>-1.00773197</v>
      </c>
      <c r="AH2571">
        <v>8.2590196033700902</v>
      </c>
      <c r="AI2571">
        <v>96.760211739062896</v>
      </c>
      <c r="AJ2571">
        <v>103.711776572056</v>
      </c>
      <c r="AK2571">
        <v>8.5608223554040208</v>
      </c>
    </row>
    <row r="2572" spans="1:37" x14ac:dyDescent="0.2">
      <c r="A2572" t="str">
        <f>"20200111153446267"</f>
        <v>20200111153446267</v>
      </c>
      <c r="B2572" t="str">
        <f>"1578728086258229"</f>
        <v>1578728086258229</v>
      </c>
      <c r="C2572" t="s">
        <v>37</v>
      </c>
      <c r="D2572">
        <v>5.1630099999999999</v>
      </c>
      <c r="E2572">
        <v>0.45092690000000002</v>
      </c>
      <c r="F2572" t="s">
        <v>56</v>
      </c>
      <c r="G2572">
        <v>-435.73630000000003</v>
      </c>
      <c r="H2572">
        <v>8.0001089999999997E-2</v>
      </c>
      <c r="I2572">
        <v>205.233</v>
      </c>
      <c r="J2572">
        <v>-444.45069999999998</v>
      </c>
      <c r="K2572">
        <v>1.0842339999999999</v>
      </c>
      <c r="L2572">
        <v>203.298</v>
      </c>
      <c r="M2572">
        <v>0.99953630000000004</v>
      </c>
      <c r="N2572">
        <v>0</v>
      </c>
      <c r="O2572">
        <v>-2.0256630000000001E-2</v>
      </c>
      <c r="P2572">
        <v>0.99620339999999996</v>
      </c>
      <c r="Q2572">
        <v>1.970218E-2</v>
      </c>
      <c r="R2572">
        <v>8.4799020000000003E-2</v>
      </c>
      <c r="S2572">
        <v>2.9701230000000001</v>
      </c>
      <c r="T2572">
        <v>-0.32702199999999998</v>
      </c>
      <c r="U2572">
        <v>0.61853029999999998</v>
      </c>
      <c r="V2572">
        <v>-0.1072864</v>
      </c>
      <c r="W2572">
        <v>3.6011840000000003E-2</v>
      </c>
      <c r="X2572">
        <v>0.99357580000000001</v>
      </c>
      <c r="Y2572">
        <v>-0.22226489999999999</v>
      </c>
      <c r="Z2572">
        <v>1.4272740000000001E-2</v>
      </c>
      <c r="AA2572">
        <v>0.97488180000000002</v>
      </c>
      <c r="AB2572">
        <v>45</v>
      </c>
      <c r="AC2572">
        <v>8.7143999999999497</v>
      </c>
      <c r="AD2572">
        <v>-1.00423290999999</v>
      </c>
      <c r="AE2572">
        <v>1.9350000000000001</v>
      </c>
      <c r="AF2572">
        <v>-2.08478794444874</v>
      </c>
      <c r="AG2572">
        <v>-1.00423290999999</v>
      </c>
      <c r="AH2572">
        <v>8.5650065854272199</v>
      </c>
      <c r="AI2572">
        <v>96.499237268692596</v>
      </c>
      <c r="AJ2572">
        <v>103.680199257902</v>
      </c>
      <c r="AK2572">
        <v>8.8721002203118502</v>
      </c>
    </row>
    <row r="2573" spans="1:37" x14ac:dyDescent="0.2">
      <c r="A2573" t="str">
        <f>"20200111153446290"</f>
        <v>20200111153446290</v>
      </c>
      <c r="B2573" t="str">
        <f>"1578728086278726"</f>
        <v>1578728086278726</v>
      </c>
      <c r="C2573" t="s">
        <v>37</v>
      </c>
      <c r="D2573">
        <v>5.1860850000000003</v>
      </c>
      <c r="E2573">
        <v>0.45143679999999897</v>
      </c>
      <c r="F2573" t="s">
        <v>56</v>
      </c>
      <c r="G2573">
        <v>-434.9631</v>
      </c>
      <c r="H2573">
        <v>8.0001260000000005E-2</v>
      </c>
      <c r="I2573">
        <v>205.42310000000001</v>
      </c>
      <c r="J2573">
        <v>-444.0127</v>
      </c>
      <c r="K2573">
        <v>1.081785</v>
      </c>
      <c r="L2573">
        <v>203.2764</v>
      </c>
      <c r="M2573">
        <v>0.99977739999999904</v>
      </c>
      <c r="N2573">
        <v>0</v>
      </c>
      <c r="O2573">
        <v>-3.7003750000000001E-3</v>
      </c>
      <c r="P2573">
        <v>0.99466599999999905</v>
      </c>
      <c r="Q2573">
        <v>2.3481080000000001E-2</v>
      </c>
      <c r="R2573">
        <v>0.1004414</v>
      </c>
      <c r="S2573">
        <v>2.9611509999999899</v>
      </c>
      <c r="T2573">
        <v>-0.31342769999999998</v>
      </c>
      <c r="U2573">
        <v>0.66328430000000005</v>
      </c>
      <c r="V2573">
        <v>-0.1065043</v>
      </c>
      <c r="W2573">
        <v>3.8024629999999997E-2</v>
      </c>
      <c r="X2573">
        <v>0.99358489999999999</v>
      </c>
      <c r="Y2573">
        <v>-0.22099360000000001</v>
      </c>
      <c r="Z2573">
        <v>1.190751E-2</v>
      </c>
      <c r="AA2573">
        <v>0.97520260000000003</v>
      </c>
      <c r="AB2573">
        <v>45</v>
      </c>
      <c r="AC2573">
        <v>9.0495999999999892</v>
      </c>
      <c r="AD2573">
        <v>-1.00178374</v>
      </c>
      <c r="AE2573">
        <v>2.1467000000000098</v>
      </c>
      <c r="AF2573">
        <v>-2.1551761758837</v>
      </c>
      <c r="AG2573">
        <v>-1.00178374</v>
      </c>
      <c r="AH2573">
        <v>8.9378997285342106</v>
      </c>
      <c r="AI2573">
        <v>96.218406717841702</v>
      </c>
      <c r="AJ2573">
        <v>103.556816979838</v>
      </c>
      <c r="AK2573">
        <v>9.24848131144552</v>
      </c>
    </row>
    <row r="2574" spans="1:37" x14ac:dyDescent="0.2">
      <c r="A2574" t="str">
        <f>"20200111153446312"</f>
        <v>20200111153446312</v>
      </c>
      <c r="B2574" t="str">
        <f>"1578728086308707"</f>
        <v>1578728086308707</v>
      </c>
      <c r="C2574" t="s">
        <v>37</v>
      </c>
      <c r="D2574">
        <v>5.1780290000000004</v>
      </c>
      <c r="E2574">
        <v>0.45225749999999998</v>
      </c>
      <c r="F2574" t="s">
        <v>56</v>
      </c>
      <c r="G2574">
        <v>-434.21069999999997</v>
      </c>
      <c r="H2574">
        <v>8.0001290000000003E-2</v>
      </c>
      <c r="I2574">
        <v>205.61519999999999</v>
      </c>
      <c r="J2574">
        <v>-443.57049999999998</v>
      </c>
      <c r="K2574">
        <v>1.0800270000000001</v>
      </c>
      <c r="L2574">
        <v>203.26230000000001</v>
      </c>
      <c r="M2574">
        <v>0.9997492</v>
      </c>
      <c r="N2574">
        <v>0</v>
      </c>
      <c r="O2574">
        <v>1.1786140000000001E-2</v>
      </c>
      <c r="P2574">
        <v>0.99302009999999996</v>
      </c>
      <c r="Q2574">
        <v>2.6059180000000001E-2</v>
      </c>
      <c r="R2574">
        <v>0.11503149999999999</v>
      </c>
      <c r="S2574">
        <v>2.95214799999999</v>
      </c>
      <c r="T2574">
        <v>-0.30171409999999999</v>
      </c>
      <c r="U2574">
        <v>0.70437620000000001</v>
      </c>
      <c r="V2574">
        <v>-0.1057261</v>
      </c>
      <c r="W2574">
        <v>3.9001889999999997E-2</v>
      </c>
      <c r="X2574">
        <v>0.99363009999999996</v>
      </c>
      <c r="Y2574">
        <v>-0.2195771</v>
      </c>
      <c r="Z2574">
        <v>9.8529610000000004E-3</v>
      </c>
      <c r="AA2574">
        <v>0.97554540000000001</v>
      </c>
      <c r="AB2574">
        <v>45</v>
      </c>
      <c r="AC2574">
        <v>9.3597999999999999</v>
      </c>
      <c r="AD2574">
        <v>-1.0000257100000001</v>
      </c>
      <c r="AE2574">
        <v>2.3528999999999698</v>
      </c>
      <c r="AF2574">
        <v>-2.21858003429357</v>
      </c>
      <c r="AG2574">
        <v>-1.0000257100000001</v>
      </c>
      <c r="AH2574">
        <v>9.2871713350643308</v>
      </c>
      <c r="AI2574">
        <v>95.978865078212195</v>
      </c>
      <c r="AJ2574">
        <v>103.435394923999</v>
      </c>
      <c r="AK2574">
        <v>9.6007135253619396</v>
      </c>
    </row>
    <row r="2575" spans="1:37" x14ac:dyDescent="0.2">
      <c r="A2575" t="str">
        <f>"20200111153446335"</f>
        <v>20200111153446335</v>
      </c>
      <c r="B2575" t="str">
        <f>"1578728086328227"</f>
        <v>1578728086328227</v>
      </c>
      <c r="C2575" t="s">
        <v>37</v>
      </c>
      <c r="D2575">
        <v>5.1800839999999999</v>
      </c>
      <c r="E2575">
        <v>0.45280049999999999</v>
      </c>
      <c r="F2575" t="s">
        <v>56</v>
      </c>
      <c r="G2575">
        <v>-433.57670000000002</v>
      </c>
      <c r="H2575">
        <v>8.0001340000000004E-2</v>
      </c>
      <c r="I2575">
        <v>205.7765</v>
      </c>
      <c r="J2575">
        <v>-443.12430000000001</v>
      </c>
      <c r="K2575">
        <v>1.0786089999999999</v>
      </c>
      <c r="L2575">
        <v>203.25599999999901</v>
      </c>
      <c r="M2575">
        <v>0.99949659999999996</v>
      </c>
      <c r="N2575">
        <v>0</v>
      </c>
      <c r="O2575">
        <v>2.6466679999999999E-2</v>
      </c>
      <c r="P2575">
        <v>0.99130110000000005</v>
      </c>
      <c r="Q2575">
        <v>2.6993369999999999E-2</v>
      </c>
      <c r="R2575">
        <v>0.12881629999999999</v>
      </c>
      <c r="S2575">
        <v>2.9430540000000001</v>
      </c>
      <c r="T2575">
        <v>-0.29449619999999999</v>
      </c>
      <c r="U2575">
        <v>0.74040220000000001</v>
      </c>
      <c r="V2575">
        <v>-0.1048809</v>
      </c>
      <c r="W2575">
        <v>3.8511589999999998E-2</v>
      </c>
      <c r="X2575">
        <v>0.99373880000000003</v>
      </c>
      <c r="Y2575">
        <v>-0.2173226</v>
      </c>
      <c r="Z2575">
        <v>8.0813009999999904E-3</v>
      </c>
      <c r="AA2575">
        <v>0.9760664</v>
      </c>
      <c r="AB2575">
        <v>45</v>
      </c>
      <c r="AC2575">
        <v>9.5475999999999797</v>
      </c>
      <c r="AD2575">
        <v>-0.99860766000000001</v>
      </c>
      <c r="AE2575">
        <v>2.5205000000000202</v>
      </c>
      <c r="AF2575">
        <v>-2.2439364038423499</v>
      </c>
      <c r="AG2575">
        <v>-0.99860766000000001</v>
      </c>
      <c r="AH2575">
        <v>9.5136787943124705</v>
      </c>
      <c r="AI2575">
        <v>95.833223890265003</v>
      </c>
      <c r="AJ2575">
        <v>103.27146675332401</v>
      </c>
      <c r="AK2575">
        <v>9.8256069555244494</v>
      </c>
    </row>
    <row r="2576" spans="1:37" x14ac:dyDescent="0.2">
      <c r="A2576" t="str">
        <f>"20200111153446357"</f>
        <v>20200111153446357</v>
      </c>
      <c r="B2576" t="str">
        <f>"1578728086348723"</f>
        <v>1578728086348723</v>
      </c>
      <c r="C2576" t="s">
        <v>37</v>
      </c>
      <c r="D2576">
        <v>5.1796629999999997</v>
      </c>
      <c r="E2576">
        <v>0.45349600000000001</v>
      </c>
      <c r="F2576" t="s">
        <v>56</v>
      </c>
      <c r="G2576">
        <v>-433.0686</v>
      </c>
      <c r="H2576">
        <v>8.0001359999999994E-2</v>
      </c>
      <c r="I2576">
        <v>205.91720000000001</v>
      </c>
      <c r="J2576">
        <v>-442.66469999999998</v>
      </c>
      <c r="K2576">
        <v>1.0773509999999999</v>
      </c>
      <c r="L2576">
        <v>203.25729999999999</v>
      </c>
      <c r="M2576">
        <v>0.99903699999999995</v>
      </c>
      <c r="N2576">
        <v>0</v>
      </c>
      <c r="O2576">
        <v>4.0828950000000003E-2</v>
      </c>
      <c r="P2576">
        <v>0.98945079999999996</v>
      </c>
      <c r="Q2576">
        <v>2.8003670000000001E-2</v>
      </c>
      <c r="R2576">
        <v>0.1421374</v>
      </c>
      <c r="S2576">
        <v>2.9333499999999999</v>
      </c>
      <c r="T2576">
        <v>-0.29130509999999998</v>
      </c>
      <c r="U2576">
        <v>0.77630619999999995</v>
      </c>
      <c r="V2576">
        <v>-0.1039086</v>
      </c>
      <c r="W2576">
        <v>3.8244279999999999E-2</v>
      </c>
      <c r="X2576">
        <v>0.99385129999999999</v>
      </c>
      <c r="Y2576">
        <v>-0.21535170000000001</v>
      </c>
      <c r="Z2576">
        <v>6.5164480000000002E-3</v>
      </c>
      <c r="AA2576">
        <v>0.97651480000000002</v>
      </c>
      <c r="AB2576">
        <v>45</v>
      </c>
      <c r="AC2576">
        <v>9.5960999999999803</v>
      </c>
      <c r="AD2576">
        <v>-0.99734964000000004</v>
      </c>
      <c r="AE2576">
        <v>2.6599000000000199</v>
      </c>
      <c r="AF2576">
        <v>-2.2433287032920299</v>
      </c>
      <c r="AG2576">
        <v>-0.99734964000000004</v>
      </c>
      <c r="AH2576">
        <v>9.6004065607687608</v>
      </c>
      <c r="AI2576">
        <v>95.776453294651802</v>
      </c>
      <c r="AJ2576">
        <v>103.152324170593</v>
      </c>
      <c r="AK2576">
        <v>9.9093408513116508</v>
      </c>
    </row>
    <row r="2577" spans="1:37" x14ac:dyDescent="0.2">
      <c r="A2577" t="str">
        <f>"20200111153446379"</f>
        <v>20200111153446379</v>
      </c>
      <c r="B2577" t="str">
        <f>"1578728086368246"</f>
        <v>1578728086368246</v>
      </c>
      <c r="C2577" t="s">
        <v>37</v>
      </c>
      <c r="D2577">
        <v>5.1508029999999998</v>
      </c>
      <c r="E2577">
        <v>0.4543045</v>
      </c>
      <c r="F2577" t="s">
        <v>56</v>
      </c>
      <c r="G2577">
        <v>-432.55689999999998</v>
      </c>
      <c r="H2577">
        <v>8.0001390000000006E-2</v>
      </c>
      <c r="I2577">
        <v>206.05459999999999</v>
      </c>
      <c r="J2577">
        <v>-442.20979999999997</v>
      </c>
      <c r="K2577">
        <v>1.076247</v>
      </c>
      <c r="L2577">
        <v>203.26669999999999</v>
      </c>
      <c r="M2577">
        <v>0.99840899999999999</v>
      </c>
      <c r="N2577">
        <v>0</v>
      </c>
      <c r="O2577">
        <v>5.4408640000000001E-2</v>
      </c>
      <c r="P2577">
        <v>0.98748230000000004</v>
      </c>
      <c r="Q2577">
        <v>2.9796369999999999E-2</v>
      </c>
      <c r="R2577">
        <v>0.15489029999999901</v>
      </c>
      <c r="S2577">
        <v>2.9239199999999999</v>
      </c>
      <c r="T2577">
        <v>-0.28850779999999998</v>
      </c>
      <c r="U2577">
        <v>0.80917359999999905</v>
      </c>
      <c r="V2577">
        <v>-0.1032073</v>
      </c>
      <c r="W2577">
        <v>3.8939469999999997E-2</v>
      </c>
      <c r="X2577">
        <v>0.99389740000000004</v>
      </c>
      <c r="Y2577">
        <v>-0.2131654</v>
      </c>
      <c r="Z2577">
        <v>5.0525839999999997E-3</v>
      </c>
      <c r="AA2577">
        <v>0.97700299999999995</v>
      </c>
      <c r="AB2577">
        <v>46</v>
      </c>
      <c r="AC2577">
        <v>9.6528999999999794</v>
      </c>
      <c r="AD2577">
        <v>-0.99624561</v>
      </c>
      <c r="AE2577">
        <v>2.7879</v>
      </c>
      <c r="AF2577">
        <v>-2.2365222795541899</v>
      </c>
      <c r="AG2577">
        <v>-0.99624561</v>
      </c>
      <c r="AH2577">
        <v>9.6949841079354009</v>
      </c>
      <c r="AI2577">
        <v>95.717917074513693</v>
      </c>
      <c r="AJ2577">
        <v>102.990230321406</v>
      </c>
      <c r="AK2577">
        <v>9.9993626834667104</v>
      </c>
    </row>
    <row r="2578" spans="1:37" x14ac:dyDescent="0.2">
      <c r="A2578" t="str">
        <f>"20200111153446401"</f>
        <v>20200111153446401</v>
      </c>
      <c r="B2578" t="str">
        <f>"1578728086398499"</f>
        <v>1578728086398499</v>
      </c>
      <c r="C2578" t="s">
        <v>37</v>
      </c>
      <c r="D2578">
        <v>5.0798730000000001</v>
      </c>
      <c r="E2578">
        <v>0.45521040000000002</v>
      </c>
      <c r="F2578" t="s">
        <v>56</v>
      </c>
      <c r="G2578">
        <v>-432.00189999999998</v>
      </c>
      <c r="H2578">
        <v>8.0001429999999998E-2</v>
      </c>
      <c r="I2578">
        <v>206.20609999999999</v>
      </c>
      <c r="J2578">
        <v>-441.7747</v>
      </c>
      <c r="K2578">
        <v>1.075315</v>
      </c>
      <c r="L2578">
        <v>203.28290000000001</v>
      </c>
      <c r="M2578">
        <v>0.99766449999999995</v>
      </c>
      <c r="N2578">
        <v>0</v>
      </c>
      <c r="O2578">
        <v>6.6910380000000005E-2</v>
      </c>
      <c r="P2578">
        <v>0.98525490000000004</v>
      </c>
      <c r="Q2578">
        <v>3.4002570000000003E-2</v>
      </c>
      <c r="R2578">
        <v>0.167679299999999</v>
      </c>
      <c r="S2578">
        <v>2.9149479999999999</v>
      </c>
      <c r="T2578">
        <v>-0.2844836</v>
      </c>
      <c r="U2578">
        <v>0.83937070000000003</v>
      </c>
      <c r="V2578">
        <v>-0.1037723</v>
      </c>
      <c r="W2578">
        <v>4.2176430000000001E-2</v>
      </c>
      <c r="X2578">
        <v>0.99370639999999999</v>
      </c>
      <c r="Y2578">
        <v>-0.21115610000000001</v>
      </c>
      <c r="Z2578">
        <v>3.7083179999999999E-3</v>
      </c>
      <c r="AA2578">
        <v>0.97744529999999996</v>
      </c>
      <c r="AB2578">
        <v>46</v>
      </c>
      <c r="AC2578">
        <v>9.7728000000000108</v>
      </c>
      <c r="AD2578">
        <v>-0.99531356999999998</v>
      </c>
      <c r="AE2578">
        <v>2.92319999999998</v>
      </c>
      <c r="AF2578">
        <v>-2.2413453693849599</v>
      </c>
      <c r="AG2578">
        <v>-0.99531356999999998</v>
      </c>
      <c r="AH2578">
        <v>9.8527016961931899</v>
      </c>
      <c r="AI2578">
        <v>95.625644647096806</v>
      </c>
      <c r="AJ2578">
        <v>102.8158499867</v>
      </c>
      <c r="AK2578">
        <v>10.153325016055399</v>
      </c>
    </row>
    <row r="2579" spans="1:37" x14ac:dyDescent="0.2">
      <c r="A2579" t="str">
        <f>"20200111153446423"</f>
        <v>20200111153446423</v>
      </c>
      <c r="B2579" t="str">
        <f>"1578728086418675"</f>
        <v>1578728086418675</v>
      </c>
      <c r="C2579" t="s">
        <v>37</v>
      </c>
      <c r="D2579">
        <v>5.2171029999999998</v>
      </c>
      <c r="E2579">
        <v>0.46617839999999999</v>
      </c>
      <c r="F2579" t="s">
        <v>56</v>
      </c>
      <c r="G2579">
        <v>-431.20299999999997</v>
      </c>
      <c r="H2579">
        <v>8.0001340000000004E-2</v>
      </c>
      <c r="I2579">
        <v>206.44130000000001</v>
      </c>
      <c r="J2579">
        <v>-441.32</v>
      </c>
      <c r="K2579">
        <v>1.0744359999999999</v>
      </c>
      <c r="L2579">
        <v>203.30690000000001</v>
      </c>
      <c r="M2579">
        <v>0.99674739999999995</v>
      </c>
      <c r="N2579">
        <v>0</v>
      </c>
      <c r="O2579">
        <v>7.9577300000000004E-2</v>
      </c>
      <c r="P2579">
        <v>0.98270859999999904</v>
      </c>
      <c r="Q2579">
        <v>3.7372030000000001E-2</v>
      </c>
      <c r="R2579">
        <v>0.18134879999999901</v>
      </c>
      <c r="S2579">
        <v>2.906555</v>
      </c>
      <c r="T2579">
        <v>-0.27365009999999901</v>
      </c>
      <c r="U2579">
        <v>0.86837770000000003</v>
      </c>
      <c r="V2579">
        <v>-0.1050309</v>
      </c>
      <c r="W2579">
        <v>4.4626020000000002E-2</v>
      </c>
      <c r="X2579">
        <v>0.993467199999999</v>
      </c>
      <c r="Y2579">
        <v>-0.20857989999999901</v>
      </c>
      <c r="Z2579">
        <v>2.298586E-3</v>
      </c>
      <c r="AA2579">
        <v>0.9780027</v>
      </c>
      <c r="AB2579">
        <v>46</v>
      </c>
      <c r="AC2579">
        <v>10.1169999999999</v>
      </c>
      <c r="AD2579">
        <v>-0.99443466000000003</v>
      </c>
      <c r="AE2579">
        <v>3.1343999999999901</v>
      </c>
      <c r="AF2579">
        <v>-2.2990423829879099</v>
      </c>
      <c r="AG2579">
        <v>-0.99443466000000003</v>
      </c>
      <c r="AH2579">
        <v>10.244052159009501</v>
      </c>
      <c r="AI2579">
        <v>95.410815463773503</v>
      </c>
      <c r="AJ2579">
        <v>102.64913373916499</v>
      </c>
      <c r="AK2579">
        <v>10.5458570447494</v>
      </c>
    </row>
    <row r="2580" spans="1:37" x14ac:dyDescent="0.2">
      <c r="A2580" t="str">
        <f>"20200111153446446"</f>
        <v>20200111153446446</v>
      </c>
      <c r="B2580" t="str">
        <f>"1578728086438196"</f>
        <v>1578728086438196</v>
      </c>
      <c r="C2580" t="s">
        <v>37</v>
      </c>
      <c r="D2580">
        <v>5.1912000000000003</v>
      </c>
      <c r="E2580">
        <v>0.467995299999999</v>
      </c>
      <c r="F2580" t="s">
        <v>56</v>
      </c>
      <c r="G2580">
        <v>-428.92099999999999</v>
      </c>
      <c r="H2580" s="1">
        <v>3.5648359999999999E-6</v>
      </c>
      <c r="I2580">
        <v>206.80080000000001</v>
      </c>
      <c r="J2580">
        <v>-440.84949999999998</v>
      </c>
      <c r="K2580">
        <v>1.0736110000000001</v>
      </c>
      <c r="L2580">
        <v>203.339</v>
      </c>
      <c r="M2580">
        <v>0.99565800000000004</v>
      </c>
      <c r="N2580">
        <v>0</v>
      </c>
      <c r="O2580">
        <v>9.2334310000000003E-2</v>
      </c>
      <c r="P2580">
        <v>0.98014299999999999</v>
      </c>
      <c r="Q2580">
        <v>3.7048900000000003E-2</v>
      </c>
      <c r="R2580">
        <v>0.19480049999999999</v>
      </c>
      <c r="S2580">
        <v>2.9110109999999998</v>
      </c>
      <c r="T2580">
        <v>-0.2522527</v>
      </c>
      <c r="U2580">
        <v>0.82029719999999995</v>
      </c>
      <c r="V2580">
        <v>-0.1058002</v>
      </c>
      <c r="W2580">
        <v>4.3496060000000003E-2</v>
      </c>
      <c r="X2580">
        <v>0.99343570000000003</v>
      </c>
      <c r="Y2580">
        <v>-0.18088399999999999</v>
      </c>
      <c r="Z2580">
        <v>-1.279144E-4</v>
      </c>
      <c r="AA2580">
        <v>0.98350439999999995</v>
      </c>
      <c r="AB2580">
        <v>46</v>
      </c>
      <c r="AC2580">
        <v>11.9284999999999</v>
      </c>
      <c r="AD2580">
        <v>-1.0736074351639999</v>
      </c>
      <c r="AE2580">
        <v>3.4617999999999798</v>
      </c>
      <c r="AF2580">
        <v>-2.32812835641265</v>
      </c>
      <c r="AG2580">
        <v>-1.0736074351639999</v>
      </c>
      <c r="AH2580">
        <v>12.1067462298967</v>
      </c>
      <c r="AI2580">
        <v>94.976928839487101</v>
      </c>
      <c r="AJ2580">
        <v>100.885106856628</v>
      </c>
      <c r="AK2580">
        <v>12.3752219714998</v>
      </c>
    </row>
    <row r="2581" spans="1:37" x14ac:dyDescent="0.2">
      <c r="A2581" t="str">
        <f>"20200111153446469"</f>
        <v>20200111153446469</v>
      </c>
      <c r="B2581" t="str">
        <f>"1578728086458694"</f>
        <v>1578728086458694</v>
      </c>
      <c r="C2581" t="s">
        <v>37</v>
      </c>
      <c r="D2581">
        <v>5.2741319999999998</v>
      </c>
      <c r="E2581">
        <v>0.46763840000000001</v>
      </c>
      <c r="F2581" t="s">
        <v>56</v>
      </c>
      <c r="G2581">
        <v>-428.3691</v>
      </c>
      <c r="H2581" s="1">
        <v>3.617342E-6</v>
      </c>
      <c r="I2581">
        <v>206.97229999999999</v>
      </c>
      <c r="J2581">
        <v>-440.38729999999998</v>
      </c>
      <c r="K2581">
        <v>1.0728879999999901</v>
      </c>
      <c r="L2581">
        <v>203.3775</v>
      </c>
      <c r="M2581">
        <v>0.99445490000000003</v>
      </c>
      <c r="N2581">
        <v>0</v>
      </c>
      <c r="O2581">
        <v>0.10458389999999999</v>
      </c>
      <c r="P2581">
        <v>0.977556599999999</v>
      </c>
      <c r="Q2581">
        <v>3.535257E-2</v>
      </c>
      <c r="R2581">
        <v>0.20768609999999901</v>
      </c>
      <c r="S2581">
        <v>2.9023129999999999</v>
      </c>
      <c r="T2581">
        <v>-0.24966759999999999</v>
      </c>
      <c r="U2581">
        <v>0.84490969999999999</v>
      </c>
      <c r="V2581">
        <v>-0.1064628</v>
      </c>
      <c r="W2581">
        <v>4.1111630000000003E-2</v>
      </c>
      <c r="X2581">
        <v>0.99346639999999997</v>
      </c>
      <c r="Y2581">
        <v>-0.17731140000000001</v>
      </c>
      <c r="Z2581">
        <v>-1.2959169999999999E-3</v>
      </c>
      <c r="AA2581">
        <v>0.98415390000000003</v>
      </c>
      <c r="AB2581">
        <v>46</v>
      </c>
      <c r="AC2581">
        <v>12.018199999999901</v>
      </c>
      <c r="AD2581">
        <v>-1.0728843826579999</v>
      </c>
      <c r="AE2581">
        <v>3.59479999999999</v>
      </c>
      <c r="AF2581">
        <v>-2.301263597717</v>
      </c>
      <c r="AG2581">
        <v>-1.0728843826579999</v>
      </c>
      <c r="AH2581">
        <v>12.2387400719733</v>
      </c>
      <c r="AI2581">
        <v>94.924056177824198</v>
      </c>
      <c r="AJ2581">
        <v>100.64904804361601</v>
      </c>
      <c r="AK2581">
        <v>12.4993461266601</v>
      </c>
    </row>
    <row r="2582" spans="1:37" x14ac:dyDescent="0.2">
      <c r="A2582" t="str">
        <f>"20200111153446491"</f>
        <v>20200111153446491</v>
      </c>
      <c r="B2582" t="str">
        <f>"1578728086488948"</f>
        <v>1578728086488948</v>
      </c>
      <c r="C2582" t="s">
        <v>37</v>
      </c>
      <c r="D2582">
        <v>5.3057860000000003</v>
      </c>
      <c r="E2582">
        <v>0.46812819999999999</v>
      </c>
      <c r="F2582" t="s">
        <v>56</v>
      </c>
      <c r="G2582">
        <v>-430.04230000000001</v>
      </c>
      <c r="H2582">
        <v>8.0001509999999998E-2</v>
      </c>
      <c r="I2582">
        <v>206.54589999999999</v>
      </c>
      <c r="J2582">
        <v>-439.93020000000001</v>
      </c>
      <c r="K2582">
        <v>1.072249</v>
      </c>
      <c r="L2582">
        <v>203.4221</v>
      </c>
      <c r="M2582">
        <v>0.99313940000000001</v>
      </c>
      <c r="N2582">
        <v>0</v>
      </c>
      <c r="O2582">
        <v>0.116478399999999</v>
      </c>
      <c r="P2582">
        <v>0.97489999999999999</v>
      </c>
      <c r="Q2582">
        <v>3.2609239999999998E-2</v>
      </c>
      <c r="R2582">
        <v>0.22024250000000001</v>
      </c>
      <c r="S2582">
        <v>2.8908390000000002</v>
      </c>
      <c r="T2582">
        <v>-0.27745599999999998</v>
      </c>
      <c r="U2582">
        <v>0.88540649999999999</v>
      </c>
      <c r="V2582">
        <v>-0.1071236</v>
      </c>
      <c r="W2582">
        <v>3.7770650000000003E-2</v>
      </c>
      <c r="X2582">
        <v>0.99352799999999997</v>
      </c>
      <c r="Y2582">
        <v>-0.17921779999999901</v>
      </c>
      <c r="Z2582">
        <v>-2.4505579999999998E-3</v>
      </c>
      <c r="AA2582">
        <v>0.98380639999999997</v>
      </c>
      <c r="AB2582">
        <v>46</v>
      </c>
      <c r="AC2582">
        <v>9.8879000000000001</v>
      </c>
      <c r="AD2582">
        <v>-0.99224749000000001</v>
      </c>
      <c r="AE2582">
        <v>3.1237999999999801</v>
      </c>
      <c r="AF2582">
        <v>-1.9330469903012699</v>
      </c>
      <c r="AG2582">
        <v>-0.99224749000000001</v>
      </c>
      <c r="AH2582">
        <v>10.0920577667014</v>
      </c>
      <c r="AI2582">
        <v>95.515620750502904</v>
      </c>
      <c r="AJ2582">
        <v>100.843182179274</v>
      </c>
      <c r="AK2582">
        <v>10.3233161200537</v>
      </c>
    </row>
    <row r="2583" spans="1:37" x14ac:dyDescent="0.2">
      <c r="A2583" t="str">
        <f>"20200111153446514"</f>
        <v>20200111153446514</v>
      </c>
      <c r="B2583" t="str">
        <f>"1578728086508436"</f>
        <v>1578728086508436</v>
      </c>
      <c r="C2583" t="s">
        <v>37</v>
      </c>
      <c r="D2583">
        <v>5.3122319999999998</v>
      </c>
      <c r="E2583">
        <v>0.46905930000000001</v>
      </c>
      <c r="F2583" t="s">
        <v>56</v>
      </c>
      <c r="G2583">
        <v>-430.45569999999998</v>
      </c>
      <c r="H2583">
        <v>8.0001610000000001E-2</v>
      </c>
      <c r="I2583">
        <v>206.4425</v>
      </c>
      <c r="J2583">
        <v>-439.48599999999999</v>
      </c>
      <c r="K2583">
        <v>1.0716969999999999</v>
      </c>
      <c r="L2583">
        <v>203.4717</v>
      </c>
      <c r="M2583">
        <v>0.99174169999999995</v>
      </c>
      <c r="N2583">
        <v>0</v>
      </c>
      <c r="O2583">
        <v>0.1278823</v>
      </c>
      <c r="P2583">
        <v>0.97232819999999998</v>
      </c>
      <c r="Q2583">
        <v>3.0817560000000001E-2</v>
      </c>
      <c r="R2583">
        <v>0.2315779</v>
      </c>
      <c r="S2583">
        <v>2.8799130000000002</v>
      </c>
      <c r="T2583">
        <v>-0.30160769999999998</v>
      </c>
      <c r="U2583">
        <v>0.91809079999999998</v>
      </c>
      <c r="V2583">
        <v>-0.1071121</v>
      </c>
      <c r="W2583">
        <v>3.5501949999999997E-2</v>
      </c>
      <c r="X2583">
        <v>0.99361290000000002</v>
      </c>
      <c r="Y2583">
        <v>-0.1791355</v>
      </c>
      <c r="Z2583">
        <v>-3.8152500000000001E-3</v>
      </c>
      <c r="AA2583">
        <v>0.98381700000000005</v>
      </c>
      <c r="AB2583">
        <v>46</v>
      </c>
      <c r="AC2583">
        <v>9.0303000000000093</v>
      </c>
      <c r="AD2583">
        <v>-0.99169538999999896</v>
      </c>
      <c r="AE2583">
        <v>2.9707999999999899</v>
      </c>
      <c r="AF2583">
        <v>-1.77224913482583</v>
      </c>
      <c r="AG2583">
        <v>-0.99169538999999896</v>
      </c>
      <c r="AH2583">
        <v>9.2355742484946592</v>
      </c>
      <c r="AI2583">
        <v>96.019806264673903</v>
      </c>
      <c r="AJ2583">
        <v>100.862654936109</v>
      </c>
      <c r="AK2583">
        <v>9.4562232652309905</v>
      </c>
    </row>
    <row r="2584" spans="1:37" x14ac:dyDescent="0.2">
      <c r="A2584" t="str">
        <f>"20200111153446536"</f>
        <v>20200111153446536</v>
      </c>
      <c r="B2584" t="str">
        <f>"1578728086528931"</f>
        <v>1578728086528931</v>
      </c>
      <c r="C2584" t="s">
        <v>37</v>
      </c>
      <c r="D2584">
        <v>5.3390139999999997</v>
      </c>
      <c r="E2584">
        <v>0.4700782</v>
      </c>
      <c r="F2584" t="s">
        <v>56</v>
      </c>
      <c r="G2584">
        <v>-430.44880000000001</v>
      </c>
      <c r="H2584">
        <v>8.0001610000000001E-2</v>
      </c>
      <c r="I2584">
        <v>206.44659999999999</v>
      </c>
      <c r="J2584">
        <v>-439.01490000000001</v>
      </c>
      <c r="K2584">
        <v>1.0711899999999901</v>
      </c>
      <c r="L2584">
        <v>203.53059999999999</v>
      </c>
      <c r="M2584">
        <v>0.99012909999999899</v>
      </c>
      <c r="N2584">
        <v>0</v>
      </c>
      <c r="O2584">
        <v>0.13985799999999901</v>
      </c>
      <c r="P2584">
        <v>0.96974859999999896</v>
      </c>
      <c r="Q2584">
        <v>3.0533370000000001E-2</v>
      </c>
      <c r="R2584">
        <v>0.2421885</v>
      </c>
      <c r="S2584">
        <v>2.8703310000000002</v>
      </c>
      <c r="T2584">
        <v>-0.3149747</v>
      </c>
      <c r="U2584">
        <v>0.94488530000000004</v>
      </c>
      <c r="V2584">
        <v>-0.10588259999999999</v>
      </c>
      <c r="W2584">
        <v>3.4835270000000002E-2</v>
      </c>
      <c r="X2584">
        <v>0.99376830000000005</v>
      </c>
      <c r="Y2584">
        <v>-0.17655940000000001</v>
      </c>
      <c r="Z2584">
        <v>-5.3803439999999996E-3</v>
      </c>
      <c r="AA2584">
        <v>0.98427529999999996</v>
      </c>
      <c r="AB2584">
        <v>46</v>
      </c>
      <c r="AC2584">
        <v>8.5661000000000005</v>
      </c>
      <c r="AD2584">
        <v>-0.99118838999999903</v>
      </c>
      <c r="AE2584">
        <v>2.9159999999999902</v>
      </c>
      <c r="AF2584">
        <v>-1.66922164835196</v>
      </c>
      <c r="AG2584">
        <v>-0.99118838999999903</v>
      </c>
      <c r="AH2584">
        <v>8.7843452875533394</v>
      </c>
      <c r="AI2584">
        <v>96.325535949299393</v>
      </c>
      <c r="AJ2584">
        <v>100.759201223508</v>
      </c>
      <c r="AK2584">
        <v>8.9963035446097592</v>
      </c>
    </row>
    <row r="2585" spans="1:37" x14ac:dyDescent="0.2">
      <c r="A2585" t="str">
        <f>"20200111153446558"</f>
        <v>20200111153446558</v>
      </c>
      <c r="B2585" t="str">
        <f>"1578728086548451"</f>
        <v>1578728086548451</v>
      </c>
      <c r="C2585" t="s">
        <v>37</v>
      </c>
      <c r="D2585">
        <v>5.3271470000000001</v>
      </c>
      <c r="E2585">
        <v>0.4708039</v>
      </c>
      <c r="F2585" t="s">
        <v>56</v>
      </c>
      <c r="G2585">
        <v>-430.24439999999998</v>
      </c>
      <c r="H2585">
        <v>8.0001619999999996E-2</v>
      </c>
      <c r="I2585">
        <v>206.50149999999999</v>
      </c>
      <c r="J2585">
        <v>-438.5634</v>
      </c>
      <c r="K2585">
        <v>1.0707679999999999</v>
      </c>
      <c r="L2585">
        <v>203.5933</v>
      </c>
      <c r="M2585">
        <v>0.98845499999999997</v>
      </c>
      <c r="N2585">
        <v>0</v>
      </c>
      <c r="O2585">
        <v>0.1512648</v>
      </c>
      <c r="P2585">
        <v>0.96732809999999902</v>
      </c>
      <c r="Q2585">
        <v>3.2905110000000001E-2</v>
      </c>
      <c r="R2585">
        <v>0.25138349999999998</v>
      </c>
      <c r="S2585">
        <v>2.86166399999999</v>
      </c>
      <c r="T2585">
        <v>-0.32340959999999902</v>
      </c>
      <c r="U2585">
        <v>0.969375599999999</v>
      </c>
      <c r="V2585">
        <v>-0.10392129999999999</v>
      </c>
      <c r="W2585">
        <v>3.6932949999999999E-2</v>
      </c>
      <c r="X2585">
        <v>0.99389950000000005</v>
      </c>
      <c r="Y2585">
        <v>-0.17374010000000001</v>
      </c>
      <c r="Z2585">
        <v>-6.9099879999999997E-3</v>
      </c>
      <c r="AA2585">
        <v>0.98476730000000001</v>
      </c>
      <c r="AB2585">
        <v>47</v>
      </c>
      <c r="AC2585">
        <v>8.3190000000000097</v>
      </c>
      <c r="AD2585">
        <v>-0.99076637999999995</v>
      </c>
      <c r="AE2585">
        <v>2.9081999999999901</v>
      </c>
      <c r="AF2585">
        <v>-1.5961398789747701</v>
      </c>
      <c r="AG2585">
        <v>-0.99076637999999995</v>
      </c>
      <c r="AH2585">
        <v>8.5550624395314507</v>
      </c>
      <c r="AI2585">
        <v>96.494933577754793</v>
      </c>
      <c r="AJ2585">
        <v>100.568312829456</v>
      </c>
      <c r="AK2585">
        <v>8.7589025498217392</v>
      </c>
    </row>
    <row r="2586" spans="1:37" x14ac:dyDescent="0.2">
      <c r="A2586" t="str">
        <f>"20200111153446592"</f>
        <v>20200111153446592</v>
      </c>
      <c r="B2586" t="str">
        <f>"1578728086588468"</f>
        <v>1578728086588468</v>
      </c>
      <c r="C2586" t="s">
        <v>37</v>
      </c>
      <c r="D2586">
        <v>5.3890769999999897</v>
      </c>
      <c r="E2586">
        <v>0.47236210000000001</v>
      </c>
      <c r="F2586" t="s">
        <v>56</v>
      </c>
      <c r="G2586">
        <v>-429.07380000000001</v>
      </c>
      <c r="H2586" s="1">
        <v>3.513304E-6</v>
      </c>
      <c r="I2586">
        <v>206.8931</v>
      </c>
      <c r="J2586">
        <v>-437.89339999999999</v>
      </c>
      <c r="K2586">
        <v>1.0702320000000001</v>
      </c>
      <c r="L2586">
        <v>203.69810000000001</v>
      </c>
      <c r="M2586">
        <v>0.98572839999999995</v>
      </c>
      <c r="N2586">
        <v>0</v>
      </c>
      <c r="O2586">
        <v>0.16814870000000001</v>
      </c>
      <c r="P2586">
        <v>0.96307999999999905</v>
      </c>
      <c r="Q2586">
        <v>3.7467859999999999E-2</v>
      </c>
      <c r="R2586">
        <v>0.26659539999999998</v>
      </c>
      <c r="S2586">
        <v>2.8543090000000002</v>
      </c>
      <c r="T2586">
        <v>-0.32206639999999997</v>
      </c>
      <c r="U2586">
        <v>0.99252320000000005</v>
      </c>
      <c r="V2586">
        <v>-0.1027353</v>
      </c>
      <c r="W2586">
        <v>4.1101150000000003E-2</v>
      </c>
      <c r="X2586">
        <v>0.99385919999999905</v>
      </c>
      <c r="Y2586">
        <v>-0.16494639999999999</v>
      </c>
      <c r="Z2586">
        <v>-9.1703900000000005E-3</v>
      </c>
      <c r="AA2586">
        <v>0.98625989999999997</v>
      </c>
      <c r="AB2586">
        <v>47</v>
      </c>
      <c r="AC2586">
        <v>8.8195999999999799</v>
      </c>
      <c r="AD2586">
        <v>-1.0702284866959999</v>
      </c>
      <c r="AE2586">
        <v>3.1949999999999901</v>
      </c>
      <c r="AF2586">
        <v>-1.64503947837936</v>
      </c>
      <c r="AG2586">
        <v>-1.0702284866959999</v>
      </c>
      <c r="AH2586">
        <v>9.1126505574052601</v>
      </c>
      <c r="AI2586">
        <v>96.5927734958359</v>
      </c>
      <c r="AJ2586">
        <v>100.23297480231599</v>
      </c>
      <c r="AK2586">
        <v>9.3215848481114296</v>
      </c>
    </row>
    <row r="2587" spans="1:37" x14ac:dyDescent="0.2">
      <c r="A2587" t="str">
        <f>"20200111153446612"</f>
        <v>20200111153446612</v>
      </c>
      <c r="B2587" t="str">
        <f>"1578728086608963"</f>
        <v>1578728086608963</v>
      </c>
      <c r="C2587" t="s">
        <v>37</v>
      </c>
      <c r="D2587">
        <v>5.432639</v>
      </c>
      <c r="E2587">
        <v>0.48440309999999998</v>
      </c>
      <c r="F2587" t="s">
        <v>56</v>
      </c>
      <c r="G2587">
        <v>-428.3648</v>
      </c>
      <c r="H2587" s="1">
        <v>3.574046E-6</v>
      </c>
      <c r="I2587">
        <v>207.1386</v>
      </c>
      <c r="J2587">
        <v>-437.44290000000001</v>
      </c>
      <c r="K2587">
        <v>1.069912</v>
      </c>
      <c r="L2587">
        <v>203.77529999999999</v>
      </c>
      <c r="M2587">
        <v>0.98372539999999997</v>
      </c>
      <c r="N2587">
        <v>0</v>
      </c>
      <c r="O2587">
        <v>0.17951029999999901</v>
      </c>
      <c r="P2587">
        <v>0.96030700000000002</v>
      </c>
      <c r="Q2587">
        <v>3.8513270000000002E-2</v>
      </c>
      <c r="R2587">
        <v>0.27627370000000001</v>
      </c>
      <c r="S2587">
        <v>2.84326199999999</v>
      </c>
      <c r="T2587">
        <v>-0.31934980000000002</v>
      </c>
      <c r="U2587">
        <v>1.026627</v>
      </c>
      <c r="V2587">
        <v>-0.1012753</v>
      </c>
      <c r="W2587">
        <v>4.1958229999999999E-2</v>
      </c>
      <c r="X2587">
        <v>0.99397329999999995</v>
      </c>
      <c r="Y2587">
        <v>-0.16531960000000001</v>
      </c>
      <c r="Z2587">
        <v>-1.028505E-2</v>
      </c>
      <c r="AA2587">
        <v>0.98618639999999902</v>
      </c>
      <c r="AB2587">
        <v>47</v>
      </c>
      <c r="AC2587">
        <v>9.0780999999999992</v>
      </c>
      <c r="AD2587">
        <v>-1.0699084259539999</v>
      </c>
      <c r="AE2587">
        <v>3.3633000000000002</v>
      </c>
      <c r="AF2587">
        <v>-1.6587426545095201</v>
      </c>
      <c r="AG2587">
        <v>-1.0699084259539999</v>
      </c>
      <c r="AH2587">
        <v>9.4193482449107808</v>
      </c>
      <c r="AI2587">
        <v>96.382854193917694</v>
      </c>
      <c r="AJ2587">
        <v>99.987359653284898</v>
      </c>
      <c r="AK2587">
        <v>9.6239416349394293</v>
      </c>
    </row>
    <row r="2588" spans="1:37" x14ac:dyDescent="0.2">
      <c r="A2588" t="str">
        <f>"20200111153446636"</f>
        <v>20200111153446636</v>
      </c>
      <c r="B2588" t="str">
        <f>"1578728086628485"</f>
        <v>1578728086628485</v>
      </c>
      <c r="C2588" t="s">
        <v>37</v>
      </c>
      <c r="D2588">
        <v>5.4111449999999897</v>
      </c>
      <c r="E2588">
        <v>0.484927</v>
      </c>
      <c r="F2588" t="s">
        <v>56</v>
      </c>
      <c r="G2588">
        <v>-428.61250000000001</v>
      </c>
      <c r="H2588" s="1">
        <v>3.6317630000000001E-6</v>
      </c>
      <c r="I2588">
        <v>206.75479999999999</v>
      </c>
      <c r="J2588">
        <v>-436.96300000000002</v>
      </c>
      <c r="K2588">
        <v>1.0696079999999999</v>
      </c>
      <c r="L2588">
        <v>203.8638</v>
      </c>
      <c r="M2588">
        <v>0.9814349</v>
      </c>
      <c r="N2588">
        <v>0</v>
      </c>
      <c r="O2588">
        <v>0.19165099999999999</v>
      </c>
      <c r="P2588">
        <v>0.95734979999999903</v>
      </c>
      <c r="Q2588">
        <v>3.8823290000000003E-2</v>
      </c>
      <c r="R2588">
        <v>0.28631119999999999</v>
      </c>
      <c r="S2588">
        <v>2.8602910000000001</v>
      </c>
      <c r="T2588">
        <v>-0.34655609999999998</v>
      </c>
      <c r="U2588">
        <v>0.96507259999999995</v>
      </c>
      <c r="V2588">
        <v>-9.9370050000000001E-2</v>
      </c>
      <c r="W2588">
        <v>4.2118790000000003E-2</v>
      </c>
      <c r="X2588">
        <v>0.99415869999999995</v>
      </c>
      <c r="Y2588">
        <v>-0.1325424</v>
      </c>
      <c r="Z2588">
        <v>-1.44532999999999E-2</v>
      </c>
      <c r="AA2588">
        <v>0.99107190000000001</v>
      </c>
      <c r="AB2588">
        <v>47</v>
      </c>
      <c r="AC2588">
        <v>8.3505000000000091</v>
      </c>
      <c r="AD2588">
        <v>-1.069604368237</v>
      </c>
      <c r="AE2588">
        <v>2.8909999999999898</v>
      </c>
      <c r="AF2588">
        <v>-1.2191199604863201</v>
      </c>
      <c r="AG2588">
        <v>-1.069604368237</v>
      </c>
      <c r="AH2588">
        <v>8.6234383917721402</v>
      </c>
      <c r="AI2588">
        <v>97.001624353944294</v>
      </c>
      <c r="AJ2588">
        <v>98.046741585846803</v>
      </c>
      <c r="AK2588">
        <v>8.7746223097804901</v>
      </c>
    </row>
    <row r="2589" spans="1:37" x14ac:dyDescent="0.2">
      <c r="A2589" t="str">
        <f>"20200111153446658"</f>
        <v>20200111153446658</v>
      </c>
      <c r="B2589" t="str">
        <f>"1578728086648982"</f>
        <v>1578728086648982</v>
      </c>
      <c r="C2589" t="s">
        <v>37</v>
      </c>
      <c r="D2589">
        <v>5.414955</v>
      </c>
      <c r="E2589">
        <v>0.48513580000000001</v>
      </c>
      <c r="F2589" t="s">
        <v>56</v>
      </c>
      <c r="G2589">
        <v>-428.19720000000001</v>
      </c>
      <c r="H2589" s="1">
        <v>3.664094E-6</v>
      </c>
      <c r="I2589">
        <v>206.9109</v>
      </c>
      <c r="J2589">
        <v>-436.50049999999999</v>
      </c>
      <c r="K2589">
        <v>1.069339</v>
      </c>
      <c r="L2589">
        <v>203.95480000000001</v>
      </c>
      <c r="M2589">
        <v>0.97885109999999997</v>
      </c>
      <c r="N2589">
        <v>0</v>
      </c>
      <c r="O2589">
        <v>0.2044301</v>
      </c>
      <c r="P2589">
        <v>0.95395549999999996</v>
      </c>
      <c r="Q2589">
        <v>3.7597579999999999E-2</v>
      </c>
      <c r="R2589">
        <v>0.29758319999999999</v>
      </c>
      <c r="S2589">
        <v>2.8513489999999999</v>
      </c>
      <c r="T2589">
        <v>-0.34792099999999998</v>
      </c>
      <c r="U2589">
        <v>0.99114990000000003</v>
      </c>
      <c r="V2589">
        <v>-9.8041400000000001E-2</v>
      </c>
      <c r="W2589">
        <v>4.1266940000000002E-2</v>
      </c>
      <c r="X2589">
        <v>0.99432640000000005</v>
      </c>
      <c r="Y2589">
        <v>-0.12877719999999901</v>
      </c>
      <c r="Z2589">
        <v>-1.62116E-2</v>
      </c>
      <c r="AA2589">
        <v>0.99154100000000001</v>
      </c>
      <c r="AB2589">
        <v>47</v>
      </c>
      <c r="AC2589">
        <v>8.3032999999999699</v>
      </c>
      <c r="AD2589">
        <v>-1.0693353359060001</v>
      </c>
      <c r="AE2589">
        <v>2.95609999999999</v>
      </c>
      <c r="AF2589">
        <v>-1.1788205608357101</v>
      </c>
      <c r="AG2589">
        <v>-1.0693353359060001</v>
      </c>
      <c r="AH2589">
        <v>8.6055950427960095</v>
      </c>
      <c r="AI2589">
        <v>97.018413603923904</v>
      </c>
      <c r="AJ2589">
        <v>97.800004403605996</v>
      </c>
      <c r="AK2589">
        <v>8.7515348377219802</v>
      </c>
    </row>
    <row r="2590" spans="1:37" x14ac:dyDescent="0.2">
      <c r="A2590" t="str">
        <f>"20200111153446681"</f>
        <v>20200111153446681</v>
      </c>
      <c r="B2590" t="str">
        <f>"1578728086678260"</f>
        <v>1578728086678260</v>
      </c>
      <c r="C2590" t="s">
        <v>37</v>
      </c>
      <c r="D2590">
        <v>5.444947</v>
      </c>
      <c r="E2590">
        <v>0.48680190000000001</v>
      </c>
      <c r="F2590" t="s">
        <v>56</v>
      </c>
      <c r="G2590">
        <v>-427.91649999999998</v>
      </c>
      <c r="H2590" s="1">
        <v>3.6788389999999998E-6</v>
      </c>
      <c r="I2590">
        <v>207.04320000000001</v>
      </c>
      <c r="J2590">
        <v>-436.0625</v>
      </c>
      <c r="K2590">
        <v>1.0696669999999999</v>
      </c>
      <c r="L2590">
        <v>204.04570000000001</v>
      </c>
      <c r="M2590">
        <v>0.97646119999999903</v>
      </c>
      <c r="N2590">
        <v>0</v>
      </c>
      <c r="O2590">
        <v>0.21551010000000001</v>
      </c>
      <c r="P2590">
        <v>0.95104230000000001</v>
      </c>
      <c r="Q2590">
        <v>3.4430629999999997E-2</v>
      </c>
      <c r="R2590">
        <v>0.30713669999999998</v>
      </c>
      <c r="S2590">
        <v>2.839966</v>
      </c>
      <c r="T2590">
        <v>-0.35378209999999999</v>
      </c>
      <c r="U2590">
        <v>1.02179</v>
      </c>
      <c r="V2590">
        <v>-9.6600399999999906E-2</v>
      </c>
      <c r="W2590">
        <v>3.9439290000000002E-2</v>
      </c>
      <c r="X2590">
        <v>0.99454149999999997</v>
      </c>
      <c r="Y2590">
        <v>-0.1283637</v>
      </c>
      <c r="Z2590">
        <v>-1.782154E-2</v>
      </c>
      <c r="AA2590">
        <v>0.99156699999999998</v>
      </c>
      <c r="AB2590">
        <v>47</v>
      </c>
      <c r="AC2590">
        <v>8.1460000000000097</v>
      </c>
      <c r="AD2590">
        <v>-1.0696633211609901</v>
      </c>
      <c r="AE2590">
        <v>2.9975000000000001</v>
      </c>
      <c r="AF2590">
        <v>-1.15391950136542</v>
      </c>
      <c r="AG2590">
        <v>-1.0696633211609901</v>
      </c>
      <c r="AH2590">
        <v>8.4719256906806706</v>
      </c>
      <c r="AI2590">
        <v>97.130919174744903</v>
      </c>
      <c r="AJ2590">
        <v>97.756248291329101</v>
      </c>
      <c r="AK2590">
        <v>8.6167995650754001</v>
      </c>
    </row>
    <row r="2591" spans="1:37" x14ac:dyDescent="0.2">
      <c r="A2591" t="str">
        <f>"20200111153446702"</f>
        <v>20200111153446702</v>
      </c>
      <c r="B2591" t="str">
        <f>"1578728086698756"</f>
        <v>1578728086698756</v>
      </c>
      <c r="C2591" t="s">
        <v>37</v>
      </c>
      <c r="D2591">
        <v>5.4398359999999997</v>
      </c>
      <c r="E2591">
        <v>0.4870679</v>
      </c>
      <c r="F2591" t="s">
        <v>56</v>
      </c>
      <c r="G2591">
        <v>-427.5779</v>
      </c>
      <c r="H2591" s="1">
        <v>3.7108149999999999E-6</v>
      </c>
      <c r="I2591">
        <v>207.14930000000001</v>
      </c>
      <c r="J2591">
        <v>-435.6189</v>
      </c>
      <c r="K2591">
        <v>1.0715159999999999</v>
      </c>
      <c r="L2591">
        <v>204.14250000000001</v>
      </c>
      <c r="M2591">
        <v>0.97396159999999998</v>
      </c>
      <c r="N2591">
        <v>0</v>
      </c>
      <c r="O2591">
        <v>0.2265006</v>
      </c>
      <c r="P2591">
        <v>0.94825509999999902</v>
      </c>
      <c r="Q2591">
        <v>3.3076710000000002E-2</v>
      </c>
      <c r="R2591">
        <v>0.31578149999999999</v>
      </c>
      <c r="S2591">
        <v>2.8327640000000001</v>
      </c>
      <c r="T2591">
        <v>-0.3571261</v>
      </c>
      <c r="U2591">
        <v>1.0361940000000001</v>
      </c>
      <c r="V2591">
        <v>-9.4457780000000005E-2</v>
      </c>
      <c r="W2591">
        <v>3.9007130000000001E-2</v>
      </c>
      <c r="X2591">
        <v>0.99476439999999999</v>
      </c>
      <c r="Y2591">
        <v>-0.1225633</v>
      </c>
      <c r="Z2591">
        <v>-1.9652309999999999E-2</v>
      </c>
      <c r="AA2591">
        <v>0.99226610000000004</v>
      </c>
      <c r="AB2591">
        <v>47</v>
      </c>
      <c r="AC2591">
        <v>8.0409999999999897</v>
      </c>
      <c r="AD2591">
        <v>-1.071512289185</v>
      </c>
      <c r="AE2591">
        <v>3.0067999999999899</v>
      </c>
      <c r="AF2591">
        <v>-1.09028433909675</v>
      </c>
      <c r="AG2591">
        <v>-1.071512289185</v>
      </c>
      <c r="AH2591">
        <v>8.3824875108066603</v>
      </c>
      <c r="AI2591">
        <v>97.224270276647204</v>
      </c>
      <c r="AJ2591">
        <v>97.410682652694504</v>
      </c>
      <c r="AK2591">
        <v>8.5207367870850099</v>
      </c>
    </row>
    <row r="2592" spans="1:37" x14ac:dyDescent="0.2">
      <c r="A2592" t="str">
        <f>"20200111153446726"</f>
        <v>20200111153446726</v>
      </c>
      <c r="B2592" t="str">
        <f>"1578728086718275"</f>
        <v>1578728086718275</v>
      </c>
      <c r="C2592" t="s">
        <v>37</v>
      </c>
      <c r="D2592">
        <v>5.4783589999999904</v>
      </c>
      <c r="E2592">
        <v>0.48751040000000001</v>
      </c>
      <c r="F2592" t="s">
        <v>56</v>
      </c>
      <c r="G2592">
        <v>-427.33749999999998</v>
      </c>
      <c r="H2592" s="1">
        <v>3.7256430000000001E-6</v>
      </c>
      <c r="I2592">
        <v>207.2543</v>
      </c>
      <c r="J2592">
        <v>-435.16059999999999</v>
      </c>
      <c r="K2592">
        <v>1.0743819999999999</v>
      </c>
      <c r="L2592">
        <v>204.24950000000001</v>
      </c>
      <c r="M2592">
        <v>0.97150059999999905</v>
      </c>
      <c r="N2592">
        <v>0</v>
      </c>
      <c r="O2592">
        <v>0.23686389999999999</v>
      </c>
      <c r="P2592">
        <v>0.94514609999999899</v>
      </c>
      <c r="Q2592">
        <v>3.4173620000000002E-2</v>
      </c>
      <c r="R2592">
        <v>0.32485570000000002</v>
      </c>
      <c r="S2592">
        <v>2.82315099999999</v>
      </c>
      <c r="T2592">
        <v>-0.3652821</v>
      </c>
      <c r="U2592">
        <v>1.0608219999999999</v>
      </c>
      <c r="V2592">
        <v>-9.3496399999999993E-2</v>
      </c>
      <c r="W2592">
        <v>3.9225349999999999E-2</v>
      </c>
      <c r="X2592">
        <v>0.99484660000000003</v>
      </c>
      <c r="Y2592">
        <v>-0.1208037</v>
      </c>
      <c r="Z2592">
        <v>-2.147313E-2</v>
      </c>
      <c r="AA2592">
        <v>0.992444199999999</v>
      </c>
      <c r="AB2592">
        <v>46</v>
      </c>
      <c r="AC2592">
        <v>7.8231000000000099</v>
      </c>
      <c r="AD2592">
        <v>-1.0743782743569901</v>
      </c>
      <c r="AE2592">
        <v>3.0047999999999799</v>
      </c>
      <c r="AF2592">
        <v>-1.0489582095480801</v>
      </c>
      <c r="AG2592">
        <v>-1.0743782743569901</v>
      </c>
      <c r="AH2592">
        <v>8.1778065000145297</v>
      </c>
      <c r="AI2592">
        <v>97.424361223325207</v>
      </c>
      <c r="AJ2592">
        <v>97.309354034828502</v>
      </c>
      <c r="AK2592">
        <v>8.3145126828617304</v>
      </c>
    </row>
    <row r="2593" spans="1:37" x14ac:dyDescent="0.2">
      <c r="A2593" t="str">
        <f>"20200111153446749"</f>
        <v>20200111153446749</v>
      </c>
      <c r="B2593" t="str">
        <f>"1578728086738774"</f>
        <v>1578728086738774</v>
      </c>
      <c r="C2593" t="s">
        <v>37</v>
      </c>
      <c r="D2593">
        <v>5.4510769999999997</v>
      </c>
      <c r="E2593">
        <v>0.48824639999999903</v>
      </c>
      <c r="F2593" t="s">
        <v>56</v>
      </c>
      <c r="G2593">
        <v>-426.92759999999998</v>
      </c>
      <c r="H2593" s="1">
        <v>3.7534840000000001E-6</v>
      </c>
      <c r="I2593">
        <v>207.4238</v>
      </c>
      <c r="J2593">
        <v>-434.69819999999999</v>
      </c>
      <c r="K2593">
        <v>1.0775059999999901</v>
      </c>
      <c r="L2593">
        <v>204.36539999999999</v>
      </c>
      <c r="M2593">
        <v>0.96874139999999997</v>
      </c>
      <c r="N2593">
        <v>0</v>
      </c>
      <c r="O2593">
        <v>0.2479932</v>
      </c>
      <c r="P2593">
        <v>0.94152459999999905</v>
      </c>
      <c r="Q2593">
        <v>3.7164019999999999E-2</v>
      </c>
      <c r="R2593">
        <v>0.33488849999999998</v>
      </c>
      <c r="S2593">
        <v>2.8144230000000001</v>
      </c>
      <c r="T2593">
        <v>-0.36727189999999998</v>
      </c>
      <c r="U2593">
        <v>1.0851139999999999</v>
      </c>
      <c r="V2593">
        <v>-9.2751529999999999E-2</v>
      </c>
      <c r="W2593">
        <v>3.9371629999999998E-2</v>
      </c>
      <c r="X2593">
        <v>0.99491049999999903</v>
      </c>
      <c r="Y2593">
        <v>-0.1180181</v>
      </c>
      <c r="Z2593">
        <v>-2.312032E-2</v>
      </c>
      <c r="AA2593">
        <v>0.99274219999999902</v>
      </c>
      <c r="AB2593">
        <v>46</v>
      </c>
      <c r="AC2593">
        <v>7.7706</v>
      </c>
      <c r="AD2593">
        <v>-1.07750224651599</v>
      </c>
      <c r="AE2593">
        <v>3.0583999999999998</v>
      </c>
      <c r="AF2593">
        <v>-1.01880150680648</v>
      </c>
      <c r="AG2593">
        <v>-1.07750224651599</v>
      </c>
      <c r="AH2593">
        <v>8.1506308393675297</v>
      </c>
      <c r="AI2593">
        <v>97.473265370625796</v>
      </c>
      <c r="AJ2593">
        <v>97.124827059806904</v>
      </c>
      <c r="AK2593">
        <v>8.2844282048411308</v>
      </c>
    </row>
    <row r="2594" spans="1:37" x14ac:dyDescent="0.2">
      <c r="A2594" t="str">
        <f>"20200111153446770"</f>
        <v>20200111153446770</v>
      </c>
      <c r="B2594" t="str">
        <f>"1578728086758294"</f>
        <v>1578728086758294</v>
      </c>
      <c r="C2594" t="s">
        <v>37</v>
      </c>
      <c r="D2594">
        <v>5.4172180000000001</v>
      </c>
      <c r="E2594">
        <v>0.48924609999999902</v>
      </c>
      <c r="F2594" t="s">
        <v>56</v>
      </c>
      <c r="G2594">
        <v>-426.25209999999998</v>
      </c>
      <c r="H2594" s="1">
        <v>3.79850199999999E-6</v>
      </c>
      <c r="I2594">
        <v>207.7062</v>
      </c>
      <c r="J2594">
        <v>-434.26510000000002</v>
      </c>
      <c r="K2594">
        <v>1.080438</v>
      </c>
      <c r="L2594">
        <v>204.48079999999999</v>
      </c>
      <c r="M2594">
        <v>0.96589749999999996</v>
      </c>
      <c r="N2594">
        <v>0</v>
      </c>
      <c r="O2594">
        <v>0.25891379999999897</v>
      </c>
      <c r="P2594">
        <v>0.9377626</v>
      </c>
      <c r="Q2594">
        <v>4.1174629999999997E-2</v>
      </c>
      <c r="R2594">
        <v>0.34482750000000001</v>
      </c>
      <c r="S2594">
        <v>2.8057249999999998</v>
      </c>
      <c r="T2594">
        <v>-0.35793950000000002</v>
      </c>
      <c r="U2594">
        <v>1.109802</v>
      </c>
      <c r="V2594">
        <v>-9.2082330000000004E-2</v>
      </c>
      <c r="W2594">
        <v>3.9575079999999999E-2</v>
      </c>
      <c r="X2594">
        <v>0.99496469999999904</v>
      </c>
      <c r="Y2594">
        <v>-0.11546339999999999</v>
      </c>
      <c r="Z2594">
        <v>-2.398776E-2</v>
      </c>
      <c r="AA2594">
        <v>0.99302199999999996</v>
      </c>
      <c r="AB2594">
        <v>46</v>
      </c>
      <c r="AC2594">
        <v>8.0130000000000301</v>
      </c>
      <c r="AD2594">
        <v>-1.080434201498</v>
      </c>
      <c r="AE2594">
        <v>3.2254</v>
      </c>
      <c r="AF2594">
        <v>-1.02470043386072</v>
      </c>
      <c r="AG2594">
        <v>-1.080434201498</v>
      </c>
      <c r="AH2594">
        <v>8.4427695128396891</v>
      </c>
      <c r="AI2594">
        <v>97.240031271450206</v>
      </c>
      <c r="AJ2594">
        <v>96.920151778298504</v>
      </c>
      <c r="AK2594">
        <v>8.5730803151408903</v>
      </c>
    </row>
    <row r="2595" spans="1:37" x14ac:dyDescent="0.2">
      <c r="A2595" t="str">
        <f>"20200111153446792"</f>
        <v>20200111153446792</v>
      </c>
      <c r="B2595" t="str">
        <f>"1578728086788547"</f>
        <v>1578728086788547</v>
      </c>
      <c r="C2595" t="s">
        <v>37</v>
      </c>
      <c r="D2595">
        <v>5.4522269999999997</v>
      </c>
      <c r="E2595">
        <v>0.48991639999999997</v>
      </c>
      <c r="F2595" t="s">
        <v>56</v>
      </c>
      <c r="G2595">
        <v>-425.5437</v>
      </c>
      <c r="H2595" s="1">
        <v>3.8438609999999997E-6</v>
      </c>
      <c r="I2595">
        <v>208.0094</v>
      </c>
      <c r="J2595">
        <v>-433.82</v>
      </c>
      <c r="K2595">
        <v>1.0832839999999999</v>
      </c>
      <c r="L2595">
        <v>204.6054</v>
      </c>
      <c r="M2595">
        <v>0.96250809999999998</v>
      </c>
      <c r="N2595">
        <v>0</v>
      </c>
      <c r="O2595">
        <v>0.27124599999999999</v>
      </c>
      <c r="P2595">
        <v>0.93321259999999995</v>
      </c>
      <c r="Q2595">
        <v>4.6531570000000001E-2</v>
      </c>
      <c r="R2595">
        <v>0.35629899999999998</v>
      </c>
      <c r="S2595">
        <v>2.798035</v>
      </c>
      <c r="T2595">
        <v>-0.34662859999999901</v>
      </c>
      <c r="U2595">
        <v>1.1320649999999901</v>
      </c>
      <c r="V2595">
        <v>-9.156069E-2</v>
      </c>
      <c r="W2595">
        <v>4.0922960000000001E-2</v>
      </c>
      <c r="X2595">
        <v>0.99495829999999996</v>
      </c>
      <c r="Y2595">
        <v>-0.110545699999999</v>
      </c>
      <c r="Z2595">
        <v>-2.4933070000000002E-2</v>
      </c>
      <c r="AA2595">
        <v>0.99355819999999995</v>
      </c>
      <c r="AB2595">
        <v>47</v>
      </c>
      <c r="AC2595">
        <v>8.2762999999999902</v>
      </c>
      <c r="AD2595">
        <v>-1.083280156139</v>
      </c>
      <c r="AE2595">
        <v>3.4039999999999901</v>
      </c>
      <c r="AF2595">
        <v>-1.01657018992208</v>
      </c>
      <c r="AG2595">
        <v>-1.083280156139</v>
      </c>
      <c r="AH2595">
        <v>8.7609672858009695</v>
      </c>
      <c r="AI2595">
        <v>97.0022477046398</v>
      </c>
      <c r="AJ2595">
        <v>96.618660803896404</v>
      </c>
      <c r="AK2595">
        <v>8.8860260313931896</v>
      </c>
    </row>
    <row r="2596" spans="1:37" x14ac:dyDescent="0.2">
      <c r="A2596" t="str">
        <f>"20200111153446815"</f>
        <v>20200111153446815</v>
      </c>
      <c r="B2596" t="str">
        <f>"1578728086809044"</f>
        <v>1578728086809044</v>
      </c>
      <c r="C2596" t="s">
        <v>37</v>
      </c>
      <c r="D2596">
        <v>5.4637440000000002</v>
      </c>
      <c r="E2596">
        <v>0.49065340000000002</v>
      </c>
      <c r="F2596" t="s">
        <v>56</v>
      </c>
      <c r="G2596">
        <v>-424.7774</v>
      </c>
      <c r="H2596" s="1">
        <v>3.885014E-6</v>
      </c>
      <c r="I2596">
        <v>208.3673</v>
      </c>
      <c r="J2596">
        <v>-433.36599999999999</v>
      </c>
      <c r="K2596">
        <v>1.0866149999999899</v>
      </c>
      <c r="L2596">
        <v>204.7373</v>
      </c>
      <c r="M2596">
        <v>0.95828449999999998</v>
      </c>
      <c r="N2596">
        <v>0</v>
      </c>
      <c r="O2596">
        <v>0.28576370000000001</v>
      </c>
      <c r="P2596">
        <v>0.92776939999999997</v>
      </c>
      <c r="Q2596">
        <v>4.9361059999999998E-2</v>
      </c>
      <c r="R2596">
        <v>0.36987509999999901</v>
      </c>
      <c r="S2596">
        <v>2.7884519999999999</v>
      </c>
      <c r="T2596">
        <v>-0.3340495</v>
      </c>
      <c r="U2596">
        <v>1.1600649999999999</v>
      </c>
      <c r="V2596">
        <v>-9.0842809999999996E-2</v>
      </c>
      <c r="W2596">
        <v>4.067569E-2</v>
      </c>
      <c r="X2596">
        <v>0.99503419999999898</v>
      </c>
      <c r="Y2596">
        <v>-0.1052791</v>
      </c>
      <c r="Z2596">
        <v>-2.5926950000000001E-2</v>
      </c>
      <c r="AA2596">
        <v>0.99410469999999895</v>
      </c>
      <c r="AB2596">
        <v>47</v>
      </c>
      <c r="AC2596">
        <v>8.58859999999998</v>
      </c>
      <c r="AD2596">
        <v>-1.0866111149859901</v>
      </c>
      <c r="AE2596">
        <v>3.6299999999999901</v>
      </c>
      <c r="AF2596">
        <v>-1.01055386283513</v>
      </c>
      <c r="AG2596">
        <v>-1.0866111149859901</v>
      </c>
      <c r="AH2596">
        <v>9.1436060857502302</v>
      </c>
      <c r="AI2596">
        <v>96.736514836521096</v>
      </c>
      <c r="AJ2596">
        <v>96.306750023058797</v>
      </c>
      <c r="AK2596">
        <v>9.2632324312990608</v>
      </c>
    </row>
    <row r="2597" spans="1:37" x14ac:dyDescent="0.2">
      <c r="A2597" t="str">
        <f>"20200111153446837"</f>
        <v>20200111153446837</v>
      </c>
      <c r="B2597" t="str">
        <f>"1578728086828564"</f>
        <v>1578728086828564</v>
      </c>
      <c r="C2597" t="s">
        <v>37</v>
      </c>
      <c r="D2597">
        <v>5.4319879999999996</v>
      </c>
      <c r="E2597">
        <v>0.49137730000000002</v>
      </c>
      <c r="F2597" t="s">
        <v>56</v>
      </c>
      <c r="G2597">
        <v>-424.22730000000001</v>
      </c>
      <c r="H2597" s="1">
        <v>3.9041629999999901E-6</v>
      </c>
      <c r="I2597">
        <v>208.6635</v>
      </c>
      <c r="J2597">
        <v>-432.92590000000001</v>
      </c>
      <c r="K2597">
        <v>1.091385</v>
      </c>
      <c r="L2597">
        <v>204.869</v>
      </c>
      <c r="M2597">
        <v>0.95337809999999901</v>
      </c>
      <c r="N2597">
        <v>0</v>
      </c>
      <c r="O2597">
        <v>0.301683799999999</v>
      </c>
      <c r="P2597">
        <v>0.92151209999999995</v>
      </c>
      <c r="Q2597">
        <v>4.9798299999999997E-2</v>
      </c>
      <c r="R2597">
        <v>0.38514359999999997</v>
      </c>
      <c r="S2597">
        <v>2.7757259999999899</v>
      </c>
      <c r="T2597">
        <v>-0.33004</v>
      </c>
      <c r="U2597">
        <v>1.1925349999999999</v>
      </c>
      <c r="V2597">
        <v>-9.0445150000000002E-2</v>
      </c>
      <c r="W2597">
        <v>3.9511240000000003E-2</v>
      </c>
      <c r="X2597">
        <v>0.99511740000000004</v>
      </c>
      <c r="Y2597">
        <v>-0.10027419999999999</v>
      </c>
      <c r="Z2597">
        <v>-2.763324E-2</v>
      </c>
      <c r="AA2597">
        <v>0.99457600000000002</v>
      </c>
      <c r="AB2597">
        <v>47</v>
      </c>
      <c r="AC2597">
        <v>8.6985999999999901</v>
      </c>
      <c r="AD2597">
        <v>-1.091381095837</v>
      </c>
      <c r="AE2597">
        <v>3.79449999999997</v>
      </c>
      <c r="AF2597">
        <v>-0.98042848872025801</v>
      </c>
      <c r="AG2597">
        <v>-1.091381095837</v>
      </c>
      <c r="AH2597">
        <v>9.3148722554826708</v>
      </c>
      <c r="AI2597">
        <v>96.646234860968093</v>
      </c>
      <c r="AJ2597">
        <v>96.008492621842706</v>
      </c>
      <c r="AK2597">
        <v>9.4296976544216697</v>
      </c>
    </row>
    <row r="2598" spans="1:37" x14ac:dyDescent="0.2">
      <c r="A2598" t="str">
        <f>"20200111153446860"</f>
        <v>20200111153446860</v>
      </c>
      <c r="B2598" t="str">
        <f>"1578728086849059"</f>
        <v>1578728086849059</v>
      </c>
      <c r="C2598" t="s">
        <v>37</v>
      </c>
      <c r="D2598">
        <v>5.3907600000000002</v>
      </c>
      <c r="E2598">
        <v>0.4918979</v>
      </c>
      <c r="F2598" t="s">
        <v>56</v>
      </c>
      <c r="G2598">
        <v>-423.8433</v>
      </c>
      <c r="H2598" s="1">
        <v>3.9046489999999997E-6</v>
      </c>
      <c r="I2598">
        <v>208.91900000000001</v>
      </c>
      <c r="J2598">
        <v>-432.4828</v>
      </c>
      <c r="K2598">
        <v>1.098384</v>
      </c>
      <c r="L2598">
        <v>205.00630000000001</v>
      </c>
      <c r="M2598">
        <v>0.94791199999999998</v>
      </c>
      <c r="N2598">
        <v>0</v>
      </c>
      <c r="O2598">
        <v>0.3184304</v>
      </c>
      <c r="P2598">
        <v>0.9147303</v>
      </c>
      <c r="Q2598">
        <v>4.963273E-2</v>
      </c>
      <c r="R2598">
        <v>0.40100540000000001</v>
      </c>
      <c r="S2598">
        <v>2.7592159999999999</v>
      </c>
      <c r="T2598">
        <v>-0.3315495</v>
      </c>
      <c r="U2598">
        <v>1.2303309999999901</v>
      </c>
      <c r="V2598">
        <v>-8.9930919999999998E-2</v>
      </c>
      <c r="W2598">
        <v>3.9204389999999999E-2</v>
      </c>
      <c r="X2598">
        <v>0.99517610000000001</v>
      </c>
      <c r="Y2598">
        <v>-9.6447069999999996E-2</v>
      </c>
      <c r="Z2598">
        <v>-2.9819419999999999E-2</v>
      </c>
      <c r="AA2598">
        <v>0.99489130000000003</v>
      </c>
      <c r="AB2598">
        <v>47</v>
      </c>
      <c r="AC2598">
        <v>8.6394999999999893</v>
      </c>
      <c r="AD2598">
        <v>-1.0983800953509999</v>
      </c>
      <c r="AE2598">
        <v>3.9127000000000001</v>
      </c>
      <c r="AF2598">
        <v>-0.94517002996914801</v>
      </c>
      <c r="AG2598">
        <v>-1.0983800953509999</v>
      </c>
      <c r="AH2598">
        <v>9.3108349284753</v>
      </c>
      <c r="AI2598">
        <v>96.693883913658695</v>
      </c>
      <c r="AJ2598">
        <v>95.796405824512604</v>
      </c>
      <c r="AK2598">
        <v>9.4229205814721197</v>
      </c>
    </row>
    <row r="2599" spans="1:37" x14ac:dyDescent="0.2">
      <c r="A2599" t="str">
        <f>"20200111153446881"</f>
        <v>20200111153446881</v>
      </c>
      <c r="B2599" t="str">
        <f>"1578728086878340"</f>
        <v>1578728086878340</v>
      </c>
      <c r="C2599" t="s">
        <v>37</v>
      </c>
      <c r="D2599">
        <v>5.3901389999999996</v>
      </c>
      <c r="E2599">
        <v>0.4998804</v>
      </c>
      <c r="F2599" t="s">
        <v>56</v>
      </c>
      <c r="G2599">
        <v>-423.53059999999999</v>
      </c>
      <c r="H2599" s="1">
        <v>3.8956429999999997E-6</v>
      </c>
      <c r="I2599">
        <v>209.16239999999999</v>
      </c>
      <c r="J2599">
        <v>-432.05970000000002</v>
      </c>
      <c r="K2599">
        <v>1.1069719999999901</v>
      </c>
      <c r="L2599">
        <v>205.14340000000001</v>
      </c>
      <c r="M2599">
        <v>0.94274369999999996</v>
      </c>
      <c r="N2599">
        <v>0</v>
      </c>
      <c r="O2599">
        <v>0.33343139999999999</v>
      </c>
      <c r="P2599">
        <v>0.90863019999999906</v>
      </c>
      <c r="Q2599">
        <v>4.9728099999999997E-2</v>
      </c>
      <c r="R2599">
        <v>0.41463040000000001</v>
      </c>
      <c r="S2599">
        <v>2.7402340000000001</v>
      </c>
      <c r="T2599">
        <v>-0.33620879999999997</v>
      </c>
      <c r="U2599">
        <v>1.2721709999999999</v>
      </c>
      <c r="V2599">
        <v>-8.8966000000000003E-2</v>
      </c>
      <c r="W2599">
        <v>3.9917170000000002E-2</v>
      </c>
      <c r="X2599">
        <v>0.99523449999999902</v>
      </c>
      <c r="Y2599">
        <v>-9.5906329999999998E-2</v>
      </c>
      <c r="Z2599">
        <v>-3.1953919999999997E-2</v>
      </c>
      <c r="AA2599">
        <v>0.99487729999999996</v>
      </c>
      <c r="AB2599">
        <v>47</v>
      </c>
      <c r="AC2599">
        <v>8.5291000000000192</v>
      </c>
      <c r="AD2599">
        <v>-1.1069681043569899</v>
      </c>
      <c r="AE2599">
        <v>4.0189999999999699</v>
      </c>
      <c r="AF2599">
        <v>-0.93219501999759702</v>
      </c>
      <c r="AG2599">
        <v>-1.1069681043569899</v>
      </c>
      <c r="AH2599">
        <v>9.2535355524765102</v>
      </c>
      <c r="AI2599">
        <v>96.787644470764604</v>
      </c>
      <c r="AJ2599">
        <v>95.752531434113806</v>
      </c>
      <c r="AK2599">
        <v>9.3660176254542105</v>
      </c>
    </row>
    <row r="2600" spans="1:37" x14ac:dyDescent="0.2">
      <c r="A2600" t="str">
        <f>"20200111153446903"</f>
        <v>20200111153446903</v>
      </c>
      <c r="B2600" t="str">
        <f>"1578728086898836"</f>
        <v>1578728086898836</v>
      </c>
      <c r="C2600" t="s">
        <v>37</v>
      </c>
      <c r="D2600">
        <v>5.4536939999999996</v>
      </c>
      <c r="E2600">
        <v>0.50061329999999904</v>
      </c>
      <c r="F2600" t="s">
        <v>40</v>
      </c>
      <c r="G2600">
        <v>-431.09570000000002</v>
      </c>
      <c r="H2600">
        <v>0.96999590000000002</v>
      </c>
      <c r="I2600">
        <v>205.58349999999999</v>
      </c>
      <c r="J2600">
        <v>-431.61950000000002</v>
      </c>
      <c r="K2600">
        <v>1.116895</v>
      </c>
      <c r="L2600">
        <v>205.29259999999999</v>
      </c>
      <c r="M2600">
        <v>0.93751109999999904</v>
      </c>
      <c r="N2600">
        <v>0</v>
      </c>
      <c r="O2600">
        <v>0.3478849</v>
      </c>
      <c r="P2600">
        <v>0.90275229999999995</v>
      </c>
      <c r="Q2600">
        <v>4.9571369999999997E-2</v>
      </c>
      <c r="R2600">
        <v>0.42729499999999998</v>
      </c>
      <c r="S2600">
        <v>2.7500309999999999</v>
      </c>
      <c r="T2600">
        <v>-0.39105849999999998</v>
      </c>
      <c r="U2600">
        <v>1.2556149999999999</v>
      </c>
      <c r="V2600">
        <v>-8.7590319999999999E-2</v>
      </c>
      <c r="W2600">
        <v>4.040697E-2</v>
      </c>
      <c r="X2600">
        <v>0.99533669999999996</v>
      </c>
      <c r="Y2600">
        <v>-7.5022329999999998E-2</v>
      </c>
      <c r="Z2600">
        <v>-4.025712E-2</v>
      </c>
      <c r="AA2600">
        <v>0.9963689</v>
      </c>
      <c r="AB2600">
        <v>47</v>
      </c>
      <c r="AC2600">
        <v>0.52379999999999405</v>
      </c>
      <c r="AD2600">
        <v>-0.14689909999999901</v>
      </c>
      <c r="AE2600">
        <v>0.290899999999993</v>
      </c>
      <c r="AF2600">
        <v>-8.5370355813537593E-2</v>
      </c>
      <c r="AG2600">
        <v>-0.14689909999999901</v>
      </c>
      <c r="AH2600">
        <v>0.55869841033475298</v>
      </c>
      <c r="AI2600">
        <v>104.56960850558799</v>
      </c>
      <c r="AJ2600">
        <v>98.687722910382405</v>
      </c>
      <c r="AK2600">
        <v>0.58396177695386897</v>
      </c>
    </row>
    <row r="2601" spans="1:37" x14ac:dyDescent="0.2">
      <c r="A2601" t="str">
        <f>"20200111153446926"</f>
        <v>20200111153446926</v>
      </c>
      <c r="B2601" t="str">
        <f>"1578728086918356"</f>
        <v>1578728086918356</v>
      </c>
      <c r="C2601" t="s">
        <v>37</v>
      </c>
      <c r="D2601">
        <v>5.4705560000000002</v>
      </c>
      <c r="E2601">
        <v>0.50295670000000003</v>
      </c>
      <c r="F2601" t="s">
        <v>40</v>
      </c>
      <c r="G2601">
        <v>-430.6986</v>
      </c>
      <c r="H2601">
        <v>0.9840103</v>
      </c>
      <c r="I2601">
        <v>205.727</v>
      </c>
      <c r="J2601">
        <v>-431.16449999999998</v>
      </c>
      <c r="K2601">
        <v>1.1274919999999999</v>
      </c>
      <c r="L2601">
        <v>205.45269999999999</v>
      </c>
      <c r="M2601">
        <v>0.93216270000000001</v>
      </c>
      <c r="N2601">
        <v>0</v>
      </c>
      <c r="O2601">
        <v>0.36198159999999902</v>
      </c>
      <c r="P2601">
        <v>0.89670090000000002</v>
      </c>
      <c r="Q2601">
        <v>4.978867E-2</v>
      </c>
      <c r="R2601">
        <v>0.43982779999999999</v>
      </c>
      <c r="S2601">
        <v>2.734283</v>
      </c>
      <c r="T2601">
        <v>-0.39477570000000001</v>
      </c>
      <c r="U2601">
        <v>1.2900849999999999</v>
      </c>
      <c r="V2601">
        <v>-8.6511920000000006E-2</v>
      </c>
      <c r="W2601">
        <v>4.1087810000000002E-2</v>
      </c>
      <c r="X2601">
        <v>0.99540319999999904</v>
      </c>
      <c r="Y2601">
        <v>-7.2641310000000001E-2</v>
      </c>
      <c r="Z2601">
        <v>-4.2633980000000002E-2</v>
      </c>
      <c r="AA2601">
        <v>0.99644650000000001</v>
      </c>
      <c r="AB2601">
        <v>47</v>
      </c>
      <c r="AC2601">
        <v>0.465899999999976</v>
      </c>
      <c r="AD2601">
        <v>-0.14348169999999899</v>
      </c>
      <c r="AE2601">
        <v>0.27430000000000998</v>
      </c>
      <c r="AF2601">
        <v>-8.1319477928857797E-2</v>
      </c>
      <c r="AG2601">
        <v>-0.14348169999999899</v>
      </c>
      <c r="AH2601">
        <v>0.49848867776406902</v>
      </c>
      <c r="AI2601">
        <v>105.858696828585</v>
      </c>
      <c r="AJ2601">
        <v>99.265164616521602</v>
      </c>
      <c r="AK2601">
        <v>0.52506267967213405</v>
      </c>
    </row>
    <row r="2602" spans="1:37" x14ac:dyDescent="0.2">
      <c r="A2602" t="str">
        <f>"20200111153446950"</f>
        <v>20200111153446950</v>
      </c>
      <c r="B2602" t="str">
        <f>"1578728086938851"</f>
        <v>1578728086938851</v>
      </c>
      <c r="C2602" t="s">
        <v>37</v>
      </c>
      <c r="D2602">
        <v>5.4149059999999896</v>
      </c>
      <c r="E2602">
        <v>0.51130259999999905</v>
      </c>
      <c r="F2602" t="s">
        <v>40</v>
      </c>
      <c r="G2602">
        <v>-430.29430000000002</v>
      </c>
      <c r="H2602">
        <v>1.006856</v>
      </c>
      <c r="I2602">
        <v>205.87209999999999</v>
      </c>
      <c r="J2602">
        <v>-430.69490000000002</v>
      </c>
      <c r="K2602">
        <v>1.1384110000000001</v>
      </c>
      <c r="L2602">
        <v>205.6241</v>
      </c>
      <c r="M2602">
        <v>0.92681229999999903</v>
      </c>
      <c r="N2602">
        <v>0</v>
      </c>
      <c r="O2602">
        <v>0.37547970000000003</v>
      </c>
      <c r="P2602">
        <v>0.89113059999999999</v>
      </c>
      <c r="Q2602">
        <v>4.9051610000000002E-2</v>
      </c>
      <c r="R2602">
        <v>0.45108799999999999</v>
      </c>
      <c r="S2602">
        <v>2.7228699999999999</v>
      </c>
      <c r="T2602">
        <v>-0.37806899999999999</v>
      </c>
      <c r="U2602">
        <v>1.3124389999999999</v>
      </c>
      <c r="V2602">
        <v>-8.4669069999999999E-2</v>
      </c>
      <c r="W2602">
        <v>4.0853880000000002E-2</v>
      </c>
      <c r="X2602">
        <v>0.99557129999999905</v>
      </c>
      <c r="Y2602">
        <v>-6.638078E-2</v>
      </c>
      <c r="Z2602">
        <v>-4.2920970000000003E-2</v>
      </c>
      <c r="AA2602">
        <v>0.99687079999999995</v>
      </c>
      <c r="AB2602">
        <v>48</v>
      </c>
      <c r="AC2602">
        <v>0.40059999999999701</v>
      </c>
      <c r="AD2602">
        <v>-0.13155500000000001</v>
      </c>
      <c r="AE2602">
        <v>0.24799999999999001</v>
      </c>
      <c r="AF2602">
        <v>-7.3688596869645295E-2</v>
      </c>
      <c r="AG2602">
        <v>-0.13155500000000001</v>
      </c>
      <c r="AH2602">
        <v>0.43081957717549801</v>
      </c>
      <c r="AI2602">
        <v>106.75120497453599</v>
      </c>
      <c r="AJ2602">
        <v>99.706106418126296</v>
      </c>
      <c r="AK2602">
        <v>0.45644521622128098</v>
      </c>
    </row>
    <row r="2603" spans="1:37" x14ac:dyDescent="0.2">
      <c r="A2603" t="str">
        <f>"20200111153446971"</f>
        <v>20200111153446971</v>
      </c>
      <c r="B2603" t="str">
        <f>"1578728086958371"</f>
        <v>1578728086958371</v>
      </c>
      <c r="C2603" t="s">
        <v>37</v>
      </c>
      <c r="D2603">
        <v>5.4698449999999896</v>
      </c>
      <c r="E2603">
        <v>0.51021559999999999</v>
      </c>
      <c r="F2603" t="s">
        <v>56</v>
      </c>
      <c r="G2603">
        <v>-417.90870000000001</v>
      </c>
      <c r="H2603" s="1">
        <v>3.8690050000000001E-6</v>
      </c>
      <c r="I2603">
        <v>211.6378</v>
      </c>
      <c r="J2603">
        <v>-430.27030000000002</v>
      </c>
      <c r="K2603">
        <v>1.1479159999999999</v>
      </c>
      <c r="L2603">
        <v>205.7843</v>
      </c>
      <c r="M2603">
        <v>0.92222919999999997</v>
      </c>
      <c r="N2603">
        <v>0</v>
      </c>
      <c r="O2603">
        <v>0.38661099999999998</v>
      </c>
      <c r="P2603">
        <v>0.88662739999999995</v>
      </c>
      <c r="Q2603">
        <v>4.7935499999999999E-2</v>
      </c>
      <c r="R2603">
        <v>0.4599934</v>
      </c>
      <c r="S2603">
        <v>2.72991899999999</v>
      </c>
      <c r="T2603">
        <v>-0.24305579999999999</v>
      </c>
      <c r="U2603">
        <v>1.2839510000000001</v>
      </c>
      <c r="V2603">
        <v>-8.27436E-2</v>
      </c>
      <c r="W2603">
        <v>4.0374090000000001E-2</v>
      </c>
      <c r="X2603">
        <v>0.99575270000000005</v>
      </c>
      <c r="Y2603">
        <v>-4.3669630000000001E-2</v>
      </c>
      <c r="Z2603">
        <v>-2.9470449999999999E-2</v>
      </c>
      <c r="AA2603">
        <v>0.99861129999999998</v>
      </c>
      <c r="AB2603">
        <v>48</v>
      </c>
      <c r="AC2603">
        <v>12.361599999999999</v>
      </c>
      <c r="AD2603">
        <v>-1.147912130995</v>
      </c>
      <c r="AE2603">
        <v>5.8534999999999897</v>
      </c>
      <c r="AF2603">
        <v>-0.614815261179255</v>
      </c>
      <c r="AG2603">
        <v>-1.147912130995</v>
      </c>
      <c r="AH2603">
        <v>13.567859085057901</v>
      </c>
      <c r="AI2603">
        <v>94.831073050383196</v>
      </c>
      <c r="AJ2603">
        <v>92.594531549136093</v>
      </c>
      <c r="AK2603">
        <v>13.630205435643701</v>
      </c>
    </row>
    <row r="2604" spans="1:37" x14ac:dyDescent="0.2">
      <c r="A2604" t="str">
        <f>"20200111153446993"</f>
        <v>20200111153446993</v>
      </c>
      <c r="B2604" t="str">
        <f>"1578728086988628"</f>
        <v>1578728086988628</v>
      </c>
      <c r="C2604" t="s">
        <v>37</v>
      </c>
      <c r="D2604">
        <v>5.4483350000000002</v>
      </c>
      <c r="E2604">
        <v>0.51076619999999995</v>
      </c>
      <c r="F2604" t="s">
        <v>56</v>
      </c>
      <c r="G2604">
        <v>-415.16640000000001</v>
      </c>
      <c r="H2604" s="1">
        <v>3.25206099999999E-6</v>
      </c>
      <c r="I2604">
        <v>213.13069999999999</v>
      </c>
      <c r="J2604">
        <v>-429.82310000000001</v>
      </c>
      <c r="K2604">
        <v>1.157095</v>
      </c>
      <c r="L2604">
        <v>205.95820000000001</v>
      </c>
      <c r="M2604">
        <v>0.917651199999999</v>
      </c>
      <c r="N2604">
        <v>0</v>
      </c>
      <c r="O2604">
        <v>0.39736830000000001</v>
      </c>
      <c r="P2604">
        <v>0.88260280000000002</v>
      </c>
      <c r="Q2604">
        <v>4.7703040000000002E-2</v>
      </c>
      <c r="R2604">
        <v>0.46769339999999998</v>
      </c>
      <c r="S2604">
        <v>2.710693</v>
      </c>
      <c r="T2604">
        <v>-0.20601610000000001</v>
      </c>
      <c r="U2604">
        <v>1.3184659999999999</v>
      </c>
      <c r="V2604">
        <v>-7.9933279999999995E-2</v>
      </c>
      <c r="W2604">
        <v>4.1122110000000003E-2</v>
      </c>
      <c r="X2604">
        <v>0.9959517</v>
      </c>
      <c r="Y2604">
        <v>-4.4785949999999998E-2</v>
      </c>
      <c r="Z2604">
        <v>-2.571845E-2</v>
      </c>
      <c r="AA2604">
        <v>0.99866549999999998</v>
      </c>
      <c r="AB2604">
        <v>48</v>
      </c>
      <c r="AC2604">
        <v>14.656700000000001</v>
      </c>
      <c r="AD2604">
        <v>-1.1570917479389999</v>
      </c>
      <c r="AE2604">
        <v>7.1724999999999799</v>
      </c>
      <c r="AF2604">
        <v>-0.75395968427462501</v>
      </c>
      <c r="AG2604">
        <v>-1.1570917479389999</v>
      </c>
      <c r="AH2604">
        <v>16.218430733465201</v>
      </c>
      <c r="AI2604">
        <v>94.0764223384476</v>
      </c>
      <c r="AJ2604">
        <v>92.661640306299304</v>
      </c>
      <c r="AK2604">
        <v>16.277125421119901</v>
      </c>
    </row>
    <row r="2605" spans="1:37" x14ac:dyDescent="0.2">
      <c r="A2605" t="str">
        <f>"20200111153447015"</f>
        <v>20200111153447015</v>
      </c>
      <c r="B2605" t="str">
        <f>"1578728087009124"</f>
        <v>1578728087009124</v>
      </c>
      <c r="C2605" t="s">
        <v>37</v>
      </c>
      <c r="D2605">
        <v>5.4026249999999996</v>
      </c>
      <c r="E2605">
        <v>0.51137559999999904</v>
      </c>
      <c r="F2605" t="s">
        <v>56</v>
      </c>
      <c r="G2605">
        <v>-413.3005</v>
      </c>
      <c r="H2605" s="1">
        <v>2.8319799999999899E-6</v>
      </c>
      <c r="I2605">
        <v>214.15</v>
      </c>
      <c r="J2605">
        <v>-429.36450000000002</v>
      </c>
      <c r="K2605">
        <v>1.165179</v>
      </c>
      <c r="L2605">
        <v>206.14240000000001</v>
      </c>
      <c r="M2605">
        <v>0.91315199999999996</v>
      </c>
      <c r="N2605">
        <v>0</v>
      </c>
      <c r="O2605">
        <v>0.40761219999999998</v>
      </c>
      <c r="P2605">
        <v>0.87898149999999997</v>
      </c>
      <c r="Q2605">
        <v>4.7167090000000002E-2</v>
      </c>
      <c r="R2605">
        <v>0.47451719999999997</v>
      </c>
      <c r="S2605">
        <v>2.6999209999999998</v>
      </c>
      <c r="T2605">
        <v>-0.18907860000000001</v>
      </c>
      <c r="U2605">
        <v>1.338608</v>
      </c>
      <c r="V2605">
        <v>-7.6659469999999993E-2</v>
      </c>
      <c r="W2605">
        <v>4.1969199999999998E-2</v>
      </c>
      <c r="X2605">
        <v>0.99617359999999899</v>
      </c>
      <c r="Y2605">
        <v>-4.1079650000000002E-2</v>
      </c>
      <c r="Z2605">
        <v>-2.4369459999999999E-2</v>
      </c>
      <c r="AA2605">
        <v>0.99885859999999904</v>
      </c>
      <c r="AB2605">
        <v>49</v>
      </c>
      <c r="AC2605">
        <v>16.064</v>
      </c>
      <c r="AD2605">
        <v>-1.1651761680199999</v>
      </c>
      <c r="AE2605">
        <v>8.0075999999999894</v>
      </c>
      <c r="AF2605">
        <v>-0.76106862786212204</v>
      </c>
      <c r="AG2605">
        <v>-1.1651761680199999</v>
      </c>
      <c r="AH2605">
        <v>17.857668507924402</v>
      </c>
      <c r="AI2605">
        <v>93.729764003505906</v>
      </c>
      <c r="AJ2605">
        <v>92.440388443356994</v>
      </c>
      <c r="AK2605">
        <v>17.911816923409901</v>
      </c>
    </row>
    <row r="2606" spans="1:37" x14ac:dyDescent="0.2">
      <c r="A2606" t="str">
        <f>"20200111153447038"</f>
        <v>20200111153447038</v>
      </c>
      <c r="B2606" t="str">
        <f>"1578728087028646"</f>
        <v>1578728087028646</v>
      </c>
      <c r="C2606" t="s">
        <v>37</v>
      </c>
      <c r="D2606">
        <v>5.4138029999999997</v>
      </c>
      <c r="E2606">
        <v>0.51197079999999995</v>
      </c>
      <c r="F2606" t="s">
        <v>56</v>
      </c>
      <c r="G2606">
        <v>-412.97640000000001</v>
      </c>
      <c r="H2606" s="1">
        <v>2.752541E-6</v>
      </c>
      <c r="I2606">
        <v>214.40090000000001</v>
      </c>
      <c r="J2606">
        <v>-428.90640000000002</v>
      </c>
      <c r="K2606">
        <v>1.171252</v>
      </c>
      <c r="L2606">
        <v>206.33179999999999</v>
      </c>
      <c r="M2606">
        <v>0.90832990000000002</v>
      </c>
      <c r="N2606">
        <v>0</v>
      </c>
      <c r="O2606">
        <v>0.41825379999999901</v>
      </c>
      <c r="P2606">
        <v>0.87549979999999905</v>
      </c>
      <c r="Q2606">
        <v>4.6011749999999997E-2</v>
      </c>
      <c r="R2606">
        <v>0.48102299999999998</v>
      </c>
      <c r="S2606">
        <v>2.6911619999999998</v>
      </c>
      <c r="T2606">
        <v>-0.19133839999999999</v>
      </c>
      <c r="U2606">
        <v>1.356171</v>
      </c>
      <c r="V2606">
        <v>-7.2467889999999993E-2</v>
      </c>
      <c r="W2606">
        <v>4.2393210000000001E-2</v>
      </c>
      <c r="X2606">
        <v>0.99646939999999995</v>
      </c>
      <c r="Y2606">
        <v>-3.5953989999999998E-2</v>
      </c>
      <c r="Z2606">
        <v>-2.548856E-2</v>
      </c>
      <c r="AA2606">
        <v>0.99902829999999998</v>
      </c>
      <c r="AB2606">
        <v>49</v>
      </c>
      <c r="AC2606">
        <v>15.93</v>
      </c>
      <c r="AD2606">
        <v>-1.1712492474589999</v>
      </c>
      <c r="AE2606">
        <v>8.0691000000000095</v>
      </c>
      <c r="AF2606">
        <v>-0.66376637434445096</v>
      </c>
      <c r="AG2606">
        <v>-1.1712492474589999</v>
      </c>
      <c r="AH2606">
        <v>17.7681919020675</v>
      </c>
      <c r="AI2606">
        <v>93.7687637379086</v>
      </c>
      <c r="AJ2606">
        <v>92.1394036885752</v>
      </c>
      <c r="AK2606">
        <v>17.819120462808499</v>
      </c>
    </row>
    <row r="2607" spans="1:37" x14ac:dyDescent="0.2">
      <c r="A2607" t="str">
        <f>"20200111153447061"</f>
        <v>20200111153447061</v>
      </c>
      <c r="B2607" t="str">
        <f>"1578728087058899"</f>
        <v>1578728087058899</v>
      </c>
      <c r="C2607" t="s">
        <v>37</v>
      </c>
      <c r="D2607">
        <v>5.4077210000000004</v>
      </c>
      <c r="E2607">
        <v>0.51284419999999997</v>
      </c>
      <c r="F2607" t="s">
        <v>56</v>
      </c>
      <c r="G2607">
        <v>-412.89019999999999</v>
      </c>
      <c r="H2607" s="1">
        <v>2.7262019999999999E-6</v>
      </c>
      <c r="I2607">
        <v>214.5274</v>
      </c>
      <c r="J2607">
        <v>-428.44549999999998</v>
      </c>
      <c r="K2607">
        <v>1.175287</v>
      </c>
      <c r="L2607">
        <v>206.52760000000001</v>
      </c>
      <c r="M2607">
        <v>0.90305990000000003</v>
      </c>
      <c r="N2607">
        <v>0</v>
      </c>
      <c r="O2607">
        <v>0.42951430000000002</v>
      </c>
      <c r="P2607">
        <v>0.87138649999999995</v>
      </c>
      <c r="Q2607">
        <v>4.3509689999999997E-2</v>
      </c>
      <c r="R2607">
        <v>0.48866409999999899</v>
      </c>
      <c r="S2607">
        <v>2.682709</v>
      </c>
      <c r="T2607">
        <v>-0.19618339999999901</v>
      </c>
      <c r="U2607">
        <v>1.372757</v>
      </c>
      <c r="V2607">
        <v>-6.8728129999999998E-2</v>
      </c>
      <c r="W2607">
        <v>4.1337459999999999E-2</v>
      </c>
      <c r="X2607">
        <v>0.99677870000000002</v>
      </c>
      <c r="Y2607">
        <v>-2.976736E-2</v>
      </c>
      <c r="Z2607">
        <v>-2.7052449999999999E-2</v>
      </c>
      <c r="AA2607">
        <v>0.99919069999999899</v>
      </c>
      <c r="AB2607">
        <v>49</v>
      </c>
      <c r="AC2607">
        <v>15.5552999999999</v>
      </c>
      <c r="AD2607">
        <v>-1.175284273798</v>
      </c>
      <c r="AE2607">
        <v>7.9997999999999898</v>
      </c>
      <c r="AF2607">
        <v>-0.54063414954993005</v>
      </c>
      <c r="AG2607">
        <v>-1.175284273798</v>
      </c>
      <c r="AH2607">
        <v>17.404823538500899</v>
      </c>
      <c r="AI2607">
        <v>93.861253813118296</v>
      </c>
      <c r="AJ2607">
        <v>91.779167604208297</v>
      </c>
      <c r="AK2607">
        <v>17.452835323071501</v>
      </c>
    </row>
    <row r="2608" spans="1:37" x14ac:dyDescent="0.2">
      <c r="A2608" t="str">
        <f>"20200111153447083"</f>
        <v>20200111153447083</v>
      </c>
      <c r="B2608" t="str">
        <f>"1578728087078420"</f>
        <v>1578728087078420</v>
      </c>
      <c r="C2608" t="s">
        <v>37</v>
      </c>
      <c r="D2608">
        <v>5.3744620000000003</v>
      </c>
      <c r="E2608">
        <v>0.51354630000000001</v>
      </c>
      <c r="F2608" t="s">
        <v>40</v>
      </c>
      <c r="G2608">
        <v>-427.45010000000002</v>
      </c>
      <c r="H2608">
        <v>1.098438</v>
      </c>
      <c r="I2608">
        <v>207.04480000000001</v>
      </c>
      <c r="J2608">
        <v>-428.00580000000002</v>
      </c>
      <c r="K2608">
        <v>1.1779309999999901</v>
      </c>
      <c r="L2608">
        <v>206.7192</v>
      </c>
      <c r="M2608">
        <v>0.89801350000000002</v>
      </c>
      <c r="N2608">
        <v>0</v>
      </c>
      <c r="O2608">
        <v>0.43996469999999999</v>
      </c>
      <c r="P2608">
        <v>0.86626039999999904</v>
      </c>
      <c r="Q2608">
        <v>4.0328900000000001E-2</v>
      </c>
      <c r="R2608">
        <v>0.49796239999999897</v>
      </c>
      <c r="S2608">
        <v>2.6738590000000002</v>
      </c>
      <c r="T2608">
        <v>-0.20676329999999901</v>
      </c>
      <c r="U2608">
        <v>1.3895109999999999</v>
      </c>
      <c r="V2608">
        <v>-6.7727960000000004E-2</v>
      </c>
      <c r="W2608">
        <v>3.9283480000000003E-2</v>
      </c>
      <c r="X2608">
        <v>0.99693019999999999</v>
      </c>
      <c r="Y2608">
        <v>-2.456477E-2</v>
      </c>
      <c r="Z2608">
        <v>-2.939027E-2</v>
      </c>
      <c r="AA2608">
        <v>0.99926610000000005</v>
      </c>
      <c r="AB2608">
        <v>50</v>
      </c>
      <c r="AC2608">
        <v>0.55570000000000097</v>
      </c>
      <c r="AD2608">
        <v>-7.94929999999998E-2</v>
      </c>
      <c r="AE2608">
        <v>0.32560000000000799</v>
      </c>
      <c r="AF2608">
        <v>-4.7186069226833903E-2</v>
      </c>
      <c r="AG2608">
        <v>-7.94929999999998E-2</v>
      </c>
      <c r="AH2608">
        <v>0.63264214444554401</v>
      </c>
      <c r="AI2608">
        <v>97.142184920945297</v>
      </c>
      <c r="AJ2608">
        <v>94.265548820508499</v>
      </c>
      <c r="AK2608">
        <v>0.63936041878328398</v>
      </c>
    </row>
    <row r="2609" spans="1:37" x14ac:dyDescent="0.2">
      <c r="A2609" t="str">
        <f>"20200111153447105"</f>
        <v>20200111153447105</v>
      </c>
      <c r="B2609" t="str">
        <f>"1578728087098916"</f>
        <v>1578728087098916</v>
      </c>
      <c r="C2609" t="s">
        <v>37</v>
      </c>
      <c r="D2609">
        <v>5.3957249999999997</v>
      </c>
      <c r="E2609">
        <v>0.51396750000000002</v>
      </c>
      <c r="F2609" t="s">
        <v>40</v>
      </c>
      <c r="G2609">
        <v>-427.05489999999998</v>
      </c>
      <c r="H2609">
        <v>1.1000179999999999</v>
      </c>
      <c r="I2609">
        <v>207.22399999999999</v>
      </c>
      <c r="J2609">
        <v>-427.54759999999999</v>
      </c>
      <c r="K2609">
        <v>1.179935</v>
      </c>
      <c r="L2609">
        <v>206.92400000000001</v>
      </c>
      <c r="M2609">
        <v>0.89297739999999903</v>
      </c>
      <c r="N2609">
        <v>0</v>
      </c>
      <c r="O2609">
        <v>0.45009189999999999</v>
      </c>
      <c r="P2609">
        <v>0.86176180000000002</v>
      </c>
      <c r="Q2609">
        <v>3.8120830000000001E-2</v>
      </c>
      <c r="R2609">
        <v>0.50587899999999997</v>
      </c>
      <c r="S2609">
        <v>2.661041</v>
      </c>
      <c r="T2609">
        <v>-0.21850849999999999</v>
      </c>
      <c r="U2609">
        <v>1.413071</v>
      </c>
      <c r="V2609">
        <v>-6.5597080000000002E-2</v>
      </c>
      <c r="W2609">
        <v>3.8211410000000001E-2</v>
      </c>
      <c r="X2609">
        <v>0.99711430000000001</v>
      </c>
      <c r="Y2609">
        <v>-2.228105E-2</v>
      </c>
      <c r="Z2609">
        <v>-3.187007E-2</v>
      </c>
      <c r="AA2609">
        <v>0.99924360000000001</v>
      </c>
      <c r="AB2609">
        <v>50</v>
      </c>
      <c r="AC2609">
        <v>0.49270000000001302</v>
      </c>
      <c r="AD2609">
        <v>-7.9917000000000002E-2</v>
      </c>
      <c r="AE2609">
        <v>0.30000000000001098</v>
      </c>
      <c r="AF2609">
        <v>-4.5264355249475897E-2</v>
      </c>
      <c r="AG2609">
        <v>-7.9917000000000002E-2</v>
      </c>
      <c r="AH2609">
        <v>0.564171548574119</v>
      </c>
      <c r="AI2609">
        <v>98.037032061716104</v>
      </c>
      <c r="AJ2609">
        <v>94.587103228796906</v>
      </c>
      <c r="AK2609">
        <v>0.57159874472016603</v>
      </c>
    </row>
    <row r="2610" spans="1:37" x14ac:dyDescent="0.2">
      <c r="A2610" t="str">
        <f>"20200111153447128"</f>
        <v>20200111153447128</v>
      </c>
      <c r="B2610" t="str">
        <f>"1578728087118435"</f>
        <v>1578728087118435</v>
      </c>
      <c r="C2610" t="s">
        <v>37</v>
      </c>
      <c r="D2610">
        <v>5.3546199999999997</v>
      </c>
      <c r="E2610">
        <v>0.51454109999999997</v>
      </c>
      <c r="F2610" t="s">
        <v>40</v>
      </c>
      <c r="G2610">
        <v>-426.65089999999998</v>
      </c>
      <c r="H2610">
        <v>1.1025579999999999</v>
      </c>
      <c r="I2610">
        <v>207.40989999999999</v>
      </c>
      <c r="J2610">
        <v>-427.08179999999999</v>
      </c>
      <c r="K2610">
        <v>1.181243</v>
      </c>
      <c r="L2610">
        <v>207.13829999999999</v>
      </c>
      <c r="M2610">
        <v>0.88812049999999998</v>
      </c>
      <c r="N2610">
        <v>0</v>
      </c>
      <c r="O2610">
        <v>0.459592</v>
      </c>
      <c r="P2610">
        <v>0.85753400000000002</v>
      </c>
      <c r="Q2610">
        <v>3.6580580000000001E-2</v>
      </c>
      <c r="R2610">
        <v>0.51312519999999995</v>
      </c>
      <c r="S2610">
        <v>2.6490779999999998</v>
      </c>
      <c r="T2610">
        <v>-0.22803619999999999</v>
      </c>
      <c r="U2610">
        <v>1.4347989999999999</v>
      </c>
      <c r="V2610">
        <v>-6.3449309999999995E-2</v>
      </c>
      <c r="W2610">
        <v>3.7798289999999998E-2</v>
      </c>
      <c r="X2610">
        <v>0.99726899999999996</v>
      </c>
      <c r="Y2610">
        <v>-1.995765E-2</v>
      </c>
      <c r="Z2610">
        <v>-3.4057690000000002E-2</v>
      </c>
      <c r="AA2610">
        <v>0.99922060000000001</v>
      </c>
      <c r="AB2610">
        <v>50</v>
      </c>
      <c r="AC2610">
        <v>0.430900000000008</v>
      </c>
      <c r="AD2610">
        <v>-7.8685000000000102E-2</v>
      </c>
      <c r="AE2610">
        <v>0.271600000000006</v>
      </c>
      <c r="AF2610">
        <v>-4.2169372471165999E-2</v>
      </c>
      <c r="AG2610">
        <v>-7.8685000000000102E-2</v>
      </c>
      <c r="AH2610">
        <v>0.49569144834640699</v>
      </c>
      <c r="AI2610">
        <v>98.987820890690202</v>
      </c>
      <c r="AJ2610">
        <v>94.862548222172705</v>
      </c>
      <c r="AK2610">
        <v>0.50366615646017998</v>
      </c>
    </row>
    <row r="2611" spans="1:37" x14ac:dyDescent="0.2">
      <c r="A2611" t="str">
        <f>"20200111153447149"</f>
        <v>20200111153447149</v>
      </c>
      <c r="B2611" t="str">
        <f>"1578728087138934"</f>
        <v>1578728087138934</v>
      </c>
      <c r="C2611" t="s">
        <v>37</v>
      </c>
      <c r="D2611">
        <v>5.3887409999999996</v>
      </c>
      <c r="E2611">
        <v>0.52146199999999998</v>
      </c>
      <c r="F2611" t="s">
        <v>40</v>
      </c>
      <c r="G2611">
        <v>-426.24509999999998</v>
      </c>
      <c r="H2611">
        <v>1.10703</v>
      </c>
      <c r="I2611">
        <v>207.59880000000001</v>
      </c>
      <c r="J2611">
        <v>-426.64909999999998</v>
      </c>
      <c r="K2611">
        <v>1.1817599999999999</v>
      </c>
      <c r="L2611">
        <v>207.3432</v>
      </c>
      <c r="M2611">
        <v>0.88379739999999996</v>
      </c>
      <c r="N2611">
        <v>0</v>
      </c>
      <c r="O2611">
        <v>0.46783999999999998</v>
      </c>
      <c r="P2611">
        <v>0.85382569999999902</v>
      </c>
      <c r="Q2611">
        <v>3.6225559999999997E-2</v>
      </c>
      <c r="R2611">
        <v>0.51929700000000001</v>
      </c>
      <c r="S2611">
        <v>2.6386720000000001</v>
      </c>
      <c r="T2611">
        <v>-0.23482749999999999</v>
      </c>
      <c r="U2611">
        <v>1.453568</v>
      </c>
      <c r="V2611">
        <v>-6.1520850000000002E-2</v>
      </c>
      <c r="W2611">
        <v>3.8430110000000003E-2</v>
      </c>
      <c r="X2611">
        <v>0.99736569999999902</v>
      </c>
      <c r="Y2611">
        <v>-1.7858450000000001E-2</v>
      </c>
      <c r="Z2611">
        <v>-3.5786980000000003E-2</v>
      </c>
      <c r="AA2611">
        <v>0.99919990000000003</v>
      </c>
      <c r="AB2611">
        <v>50</v>
      </c>
      <c r="AC2611">
        <v>0.40399999999999597</v>
      </c>
      <c r="AD2611">
        <v>-7.4730000000000102E-2</v>
      </c>
      <c r="AE2611">
        <v>0.25560000000001498</v>
      </c>
      <c r="AF2611">
        <v>-3.6011818261746403E-2</v>
      </c>
      <c r="AG2611">
        <v>-7.4730000000000102E-2</v>
      </c>
      <c r="AH2611">
        <v>0.46527174830122098</v>
      </c>
      <c r="AI2611">
        <v>99.097922746907798</v>
      </c>
      <c r="AJ2611">
        <v>94.425842977037505</v>
      </c>
      <c r="AK2611">
        <v>0.47260895433941102</v>
      </c>
    </row>
    <row r="2612" spans="1:37" x14ac:dyDescent="0.2">
      <c r="A2612" t="str">
        <f>"20200111153447172"</f>
        <v>20200111153447172</v>
      </c>
      <c r="B2612" t="str">
        <f>"1578728087168212"</f>
        <v>1578728087168212</v>
      </c>
      <c r="C2612" t="s">
        <v>37</v>
      </c>
      <c r="D2612">
        <v>5.3547250000000002</v>
      </c>
      <c r="E2612">
        <v>0.5215959</v>
      </c>
      <c r="F2612" t="s">
        <v>40</v>
      </c>
      <c r="G2612">
        <v>-425.8399</v>
      </c>
      <c r="H2612">
        <v>1.1042639999999999</v>
      </c>
      <c r="I2612">
        <v>207.77780000000001</v>
      </c>
      <c r="J2612">
        <v>-426.20499999999998</v>
      </c>
      <c r="K2612">
        <v>1.1815959999999901</v>
      </c>
      <c r="L2612">
        <v>207.5598</v>
      </c>
      <c r="M2612">
        <v>0.87953329999999996</v>
      </c>
      <c r="N2612">
        <v>0</v>
      </c>
      <c r="O2612">
        <v>0.47579519999999997</v>
      </c>
      <c r="P2612">
        <v>0.8502014</v>
      </c>
      <c r="Q2612">
        <v>3.5046019999999997E-2</v>
      </c>
      <c r="R2612">
        <v>0.52528969999999997</v>
      </c>
      <c r="S2612">
        <v>2.6564030000000001</v>
      </c>
      <c r="T2612">
        <v>-0.2545945</v>
      </c>
      <c r="U2612">
        <v>1.427155</v>
      </c>
      <c r="V2612">
        <v>-5.9646539999999998E-2</v>
      </c>
      <c r="W2612">
        <v>3.8190910000000002E-2</v>
      </c>
      <c r="X2612">
        <v>0.99748869999999901</v>
      </c>
      <c r="Y2612">
        <v>1.38260799999999E-3</v>
      </c>
      <c r="Z2612">
        <v>-4.013535E-2</v>
      </c>
      <c r="AA2612">
        <v>0.99919329999999995</v>
      </c>
      <c r="AB2612">
        <v>50</v>
      </c>
      <c r="AC2612">
        <v>0.36509999999998399</v>
      </c>
      <c r="AD2612">
        <v>-7.7331999999999901E-2</v>
      </c>
      <c r="AE2612">
        <v>0.21800000000001701</v>
      </c>
      <c r="AF2612">
        <v>-1.7448720293767799E-2</v>
      </c>
      <c r="AG2612">
        <v>-7.7331999999999901E-2</v>
      </c>
      <c r="AH2612">
        <v>0.411248460212639</v>
      </c>
      <c r="AI2612">
        <v>100.64030015280601</v>
      </c>
      <c r="AJ2612">
        <v>92.429525865895599</v>
      </c>
      <c r="AK2612">
        <v>0.41881976086516798</v>
      </c>
    </row>
    <row r="2613" spans="1:37" x14ac:dyDescent="0.2">
      <c r="A2613" t="str">
        <f>"20200111153447194"</f>
        <v>20200111153447194</v>
      </c>
      <c r="B2613" t="str">
        <f>"1578728087188708"</f>
        <v>1578728087188708</v>
      </c>
      <c r="C2613" t="s">
        <v>37</v>
      </c>
      <c r="D2613">
        <v>5.3749909999999996</v>
      </c>
      <c r="E2613">
        <v>0.52169659999999995</v>
      </c>
      <c r="F2613" t="s">
        <v>40</v>
      </c>
      <c r="G2613">
        <v>-425.43860000000001</v>
      </c>
      <c r="H2613">
        <v>1.1059079999999999</v>
      </c>
      <c r="I2613">
        <v>207.97819999999999</v>
      </c>
      <c r="J2613">
        <v>-425.75630000000001</v>
      </c>
      <c r="K2613">
        <v>1.1807350000000001</v>
      </c>
      <c r="L2613">
        <v>207.78530000000001</v>
      </c>
      <c r="M2613">
        <v>0.87543029999999999</v>
      </c>
      <c r="N2613">
        <v>0</v>
      </c>
      <c r="O2613">
        <v>0.483288</v>
      </c>
      <c r="P2613">
        <v>0.84687319999999999</v>
      </c>
      <c r="Q2613">
        <v>3.3750559999999999E-2</v>
      </c>
      <c r="R2613">
        <v>0.53072269999999999</v>
      </c>
      <c r="S2613">
        <v>2.6463619999999999</v>
      </c>
      <c r="T2613">
        <v>-0.26171860000000002</v>
      </c>
      <c r="U2613">
        <v>1.445343</v>
      </c>
      <c r="V2613">
        <v>-5.7605709999999997E-2</v>
      </c>
      <c r="W2613">
        <v>3.7857849999999998E-2</v>
      </c>
      <c r="X2613">
        <v>0.99762139999999999</v>
      </c>
      <c r="Y2613">
        <v>2.9279219999999999E-3</v>
      </c>
      <c r="Z2613">
        <v>-4.196254E-2</v>
      </c>
      <c r="AA2613">
        <v>0.99911489999999903</v>
      </c>
      <c r="AB2613">
        <v>50</v>
      </c>
      <c r="AC2613">
        <v>0.31770000000000198</v>
      </c>
      <c r="AD2613">
        <v>-7.4827000000000199E-2</v>
      </c>
      <c r="AE2613">
        <v>0.19289999999998</v>
      </c>
      <c r="AF2613">
        <v>-1.4733177007677199E-2</v>
      </c>
      <c r="AG2613">
        <v>-7.4827000000000199E-2</v>
      </c>
      <c r="AH2613">
        <v>0.35689531482181602</v>
      </c>
      <c r="AI2613">
        <v>101.831377944876</v>
      </c>
      <c r="AJ2613">
        <v>92.363913992789804</v>
      </c>
      <c r="AK2613">
        <v>0.36495261634286502</v>
      </c>
    </row>
    <row r="2614" spans="1:37" x14ac:dyDescent="0.2">
      <c r="A2614" t="str">
        <f>"20200111153447217"</f>
        <v>20200111153447217</v>
      </c>
      <c r="B2614" t="str">
        <f>"1578728087208227"</f>
        <v>1578728087208227</v>
      </c>
      <c r="C2614" t="s">
        <v>37</v>
      </c>
      <c r="D2614">
        <v>5.4100140000000003</v>
      </c>
      <c r="E2614">
        <v>0.5219625</v>
      </c>
      <c r="F2614" t="s">
        <v>40</v>
      </c>
      <c r="G2614">
        <v>-425.03859999999997</v>
      </c>
      <c r="H2614">
        <v>1.1081909999999999</v>
      </c>
      <c r="I2614">
        <v>208.1833</v>
      </c>
      <c r="J2614">
        <v>-425.31880000000001</v>
      </c>
      <c r="K2614">
        <v>1.17923</v>
      </c>
      <c r="L2614">
        <v>208.0119</v>
      </c>
      <c r="M2614">
        <v>0.87162199999999901</v>
      </c>
      <c r="N2614">
        <v>0</v>
      </c>
      <c r="O2614">
        <v>0.49010749999999997</v>
      </c>
      <c r="P2614">
        <v>0.84391719999999903</v>
      </c>
      <c r="Q2614">
        <v>3.2793910000000003E-2</v>
      </c>
      <c r="R2614">
        <v>0.53547019999999901</v>
      </c>
      <c r="S2614">
        <v>2.6364749999999999</v>
      </c>
      <c r="T2614">
        <v>-0.2667949</v>
      </c>
      <c r="U2614">
        <v>1.462677</v>
      </c>
      <c r="V2614">
        <v>-5.5505369999999998E-2</v>
      </c>
      <c r="W2614">
        <v>3.784879E-2</v>
      </c>
      <c r="X2614">
        <v>0.99774069999999904</v>
      </c>
      <c r="Y2614">
        <v>4.0379179999999997E-3</v>
      </c>
      <c r="Z2614">
        <v>-4.3420889999999997E-2</v>
      </c>
      <c r="AA2614">
        <v>0.99904869999999901</v>
      </c>
      <c r="AB2614">
        <v>50</v>
      </c>
      <c r="AC2614">
        <v>0.28020000000003598</v>
      </c>
      <c r="AD2614">
        <v>-7.1039000000000005E-2</v>
      </c>
      <c r="AE2614">
        <v>0.17140000000000499</v>
      </c>
      <c r="AF2614">
        <v>-1.1529040798248E-2</v>
      </c>
      <c r="AG2614">
        <v>-7.1039000000000005E-2</v>
      </c>
      <c r="AH2614">
        <v>0.31357684144228898</v>
      </c>
      <c r="AI2614">
        <v>102.75622943307999</v>
      </c>
      <c r="AJ2614">
        <v>92.105601856878096</v>
      </c>
      <c r="AK2614">
        <v>0.321729535155929</v>
      </c>
    </row>
    <row r="2615" spans="1:37" x14ac:dyDescent="0.2">
      <c r="A2615" t="str">
        <f>"20200111153447239"</f>
        <v>20200111153447239</v>
      </c>
      <c r="B2615" t="str">
        <f>"1578728087228723"</f>
        <v>1578728087228723</v>
      </c>
      <c r="C2615" t="s">
        <v>37</v>
      </c>
      <c r="D2615">
        <v>5.3936500000000001</v>
      </c>
      <c r="E2615">
        <v>0.522063099999999</v>
      </c>
      <c r="F2615" t="s">
        <v>40</v>
      </c>
      <c r="G2615">
        <v>-424.6395</v>
      </c>
      <c r="H2615">
        <v>1.110403</v>
      </c>
      <c r="I2615">
        <v>208.3931</v>
      </c>
      <c r="J2615">
        <v>-424.86250000000001</v>
      </c>
      <c r="K2615">
        <v>1.1770020000000001</v>
      </c>
      <c r="L2615">
        <v>208.25550000000001</v>
      </c>
      <c r="M2615">
        <v>0.86783729999999903</v>
      </c>
      <c r="N2615">
        <v>0</v>
      </c>
      <c r="O2615">
        <v>0.4967626</v>
      </c>
      <c r="P2615">
        <v>0.84133950000000002</v>
      </c>
      <c r="Q2615">
        <v>3.1040519999999999E-2</v>
      </c>
      <c r="R2615">
        <v>0.53961490000000001</v>
      </c>
      <c r="S2615">
        <v>2.6286320000000001</v>
      </c>
      <c r="T2615">
        <v>-0.26698149999999998</v>
      </c>
      <c r="U2615">
        <v>1.476105</v>
      </c>
      <c r="V2615">
        <v>-5.276782E-2</v>
      </c>
      <c r="W2615">
        <v>3.703969E-2</v>
      </c>
      <c r="X2615">
        <v>0.99791960000000002</v>
      </c>
      <c r="Y2615">
        <v>6.5095400000000003E-3</v>
      </c>
      <c r="Z2615">
        <v>-4.4137339999999997E-2</v>
      </c>
      <c r="AA2615">
        <v>0.99900419999999901</v>
      </c>
      <c r="AB2615">
        <v>50</v>
      </c>
      <c r="AC2615">
        <v>0.22300000000001299</v>
      </c>
      <c r="AD2615">
        <v>-6.6599000000000005E-2</v>
      </c>
      <c r="AE2615">
        <v>0.13759999999999101</v>
      </c>
      <c r="AF2615">
        <v>-8.1126651978070397E-3</v>
      </c>
      <c r="AG2615">
        <v>-6.6599000000000005E-2</v>
      </c>
      <c r="AH2615">
        <v>0.24600234701957699</v>
      </c>
      <c r="AI2615">
        <v>105.140435589106</v>
      </c>
      <c r="AJ2615">
        <v>91.888815641991897</v>
      </c>
      <c r="AK2615">
        <v>0.25498705237080599</v>
      </c>
    </row>
    <row r="2616" spans="1:37" x14ac:dyDescent="0.2">
      <c r="A2616" t="str">
        <f>"20200111153447260"</f>
        <v>20200111153447260</v>
      </c>
      <c r="B2616" t="str">
        <f>"1578728087248243"</f>
        <v>1578728087248243</v>
      </c>
      <c r="C2616" t="s">
        <v>37</v>
      </c>
      <c r="D2616">
        <v>5.4093549999999997</v>
      </c>
      <c r="E2616">
        <v>0.522401</v>
      </c>
      <c r="F2616" t="s">
        <v>40</v>
      </c>
      <c r="G2616">
        <v>-423.86770000000001</v>
      </c>
      <c r="H2616">
        <v>1.074152</v>
      </c>
      <c r="I2616">
        <v>208.8202</v>
      </c>
      <c r="J2616">
        <v>-424.44650000000001</v>
      </c>
      <c r="K2616">
        <v>1.1743920000000001</v>
      </c>
      <c r="L2616">
        <v>208.4845</v>
      </c>
      <c r="M2616">
        <v>0.86458289999999904</v>
      </c>
      <c r="N2616">
        <v>0</v>
      </c>
      <c r="O2616">
        <v>0.50239350000000005</v>
      </c>
      <c r="P2616">
        <v>0.8395243</v>
      </c>
      <c r="Q2616">
        <v>2.671801E-2</v>
      </c>
      <c r="R2616">
        <v>0.54266490000000001</v>
      </c>
      <c r="S2616">
        <v>2.6211549999999999</v>
      </c>
      <c r="T2616">
        <v>-0.2712406</v>
      </c>
      <c r="U2616">
        <v>1.488434</v>
      </c>
      <c r="V2616">
        <v>-4.962751E-2</v>
      </c>
      <c r="W2616">
        <v>3.3478029999999999E-2</v>
      </c>
      <c r="X2616">
        <v>0.99820659999999894</v>
      </c>
      <c r="Y2616">
        <v>8.1571519999999904E-3</v>
      </c>
      <c r="Z2616">
        <v>-4.5412790000000001E-2</v>
      </c>
      <c r="AA2616">
        <v>0.99893500000000002</v>
      </c>
      <c r="AB2616">
        <v>50</v>
      </c>
      <c r="AC2616">
        <v>0.57880000000000098</v>
      </c>
      <c r="AD2616">
        <v>-0.10024</v>
      </c>
      <c r="AE2616">
        <v>0.335700000000002</v>
      </c>
      <c r="AF2616">
        <v>5.3294361049388496E-4</v>
      </c>
      <c r="AG2616">
        <v>-0.10024</v>
      </c>
      <c r="AH2616">
        <v>0.65441911664919605</v>
      </c>
      <c r="AI2616">
        <v>98.708535018863103</v>
      </c>
      <c r="AJ2616">
        <v>89.953339668612202</v>
      </c>
      <c r="AK2616">
        <v>0.66205190269706704</v>
      </c>
    </row>
    <row r="2617" spans="1:37" x14ac:dyDescent="0.2">
      <c r="A2617" t="str">
        <f>"20200111153447283"</f>
        <v>20200111153447283</v>
      </c>
      <c r="B2617" t="str">
        <f>"1578728087278500"</f>
        <v>1578728087278500</v>
      </c>
      <c r="C2617" t="s">
        <v>37</v>
      </c>
      <c r="D2617">
        <v>5.3887720000000003</v>
      </c>
      <c r="E2617">
        <v>0.52293780000000001</v>
      </c>
      <c r="F2617" t="s">
        <v>40</v>
      </c>
      <c r="G2617">
        <v>-423.47570000000002</v>
      </c>
      <c r="H2617">
        <v>1.0685389999999999</v>
      </c>
      <c r="I2617">
        <v>209.03919999999999</v>
      </c>
      <c r="J2617">
        <v>-424.01260000000002</v>
      </c>
      <c r="K2617">
        <v>1.1711590000000001</v>
      </c>
      <c r="L2617">
        <v>208.73</v>
      </c>
      <c r="M2617">
        <v>0.86139480000000002</v>
      </c>
      <c r="N2617">
        <v>0</v>
      </c>
      <c r="O2617">
        <v>0.50783180000000006</v>
      </c>
      <c r="P2617">
        <v>0.83838599999999996</v>
      </c>
      <c r="Q2617">
        <v>1.9623640000000001E-2</v>
      </c>
      <c r="R2617">
        <v>0.54472369999999903</v>
      </c>
      <c r="S2617">
        <v>2.6165470000000002</v>
      </c>
      <c r="T2617">
        <v>-0.2851669</v>
      </c>
      <c r="U2617">
        <v>1.4944459999999999</v>
      </c>
      <c r="V2617">
        <v>-4.526819E-2</v>
      </c>
      <c r="W2617">
        <v>2.7097550000000001E-2</v>
      </c>
      <c r="X2617">
        <v>0.99860729999999998</v>
      </c>
      <c r="Y2617">
        <v>1.175175E-2</v>
      </c>
      <c r="Z2617">
        <v>-4.8405869999999997E-2</v>
      </c>
      <c r="AA2617">
        <v>0.99875859999999905</v>
      </c>
      <c r="AB2617">
        <v>50</v>
      </c>
      <c r="AC2617">
        <v>0.53690000000000204</v>
      </c>
      <c r="AD2617">
        <v>-0.10262</v>
      </c>
      <c r="AE2617">
        <v>0.30920000000000403</v>
      </c>
      <c r="AF2617">
        <v>6.1434187719352999E-3</v>
      </c>
      <c r="AG2617">
        <v>-0.10262</v>
      </c>
      <c r="AH2617">
        <v>0.602994884556874</v>
      </c>
      <c r="AI2617">
        <v>99.657792009351297</v>
      </c>
      <c r="AJ2617">
        <v>89.416280637884896</v>
      </c>
      <c r="AK2617">
        <v>0.611695542566697</v>
      </c>
    </row>
    <row r="2618" spans="1:37" x14ac:dyDescent="0.2">
      <c r="A2618" t="str">
        <f>"20200111153447306"</f>
        <v>20200111153447306</v>
      </c>
      <c r="B2618" t="str">
        <f>"1578728087298996"</f>
        <v>1578728087298996</v>
      </c>
      <c r="C2618" t="s">
        <v>37</v>
      </c>
      <c r="D2618">
        <v>5.4413239999999998</v>
      </c>
      <c r="E2618">
        <v>0.5232407</v>
      </c>
      <c r="F2618" t="s">
        <v>40</v>
      </c>
      <c r="G2618">
        <v>-423.08359999999999</v>
      </c>
      <c r="H2618">
        <v>1.0631029999999999</v>
      </c>
      <c r="I2618">
        <v>209.26089999999999</v>
      </c>
      <c r="J2618">
        <v>-423.55110000000002</v>
      </c>
      <c r="K2618">
        <v>1.1672149999999999</v>
      </c>
      <c r="L2618">
        <v>208.99809999999999</v>
      </c>
      <c r="M2618">
        <v>0.85828400000000005</v>
      </c>
      <c r="N2618">
        <v>0</v>
      </c>
      <c r="O2618">
        <v>0.51306640000000003</v>
      </c>
      <c r="P2618">
        <v>0.83793799999999996</v>
      </c>
      <c r="Q2618">
        <v>1.5067809999999999E-2</v>
      </c>
      <c r="R2618">
        <v>0.54555759999999998</v>
      </c>
      <c r="S2618">
        <v>2.613953</v>
      </c>
      <c r="T2618">
        <v>-0.30437579999999997</v>
      </c>
      <c r="U2618">
        <v>1.4951779999999999</v>
      </c>
      <c r="V2618">
        <v>-3.9838320000000003E-2</v>
      </c>
      <c r="W2618">
        <v>2.3201590000000001E-2</v>
      </c>
      <c r="X2618">
        <v>0.99893670000000001</v>
      </c>
      <c r="Y2618">
        <v>1.6879399999999999E-2</v>
      </c>
      <c r="Z2618">
        <v>-5.2425590000000001E-2</v>
      </c>
      <c r="AA2618">
        <v>0.99848219999999999</v>
      </c>
      <c r="AB2618">
        <v>51</v>
      </c>
      <c r="AC2618">
        <v>0.467500000000029</v>
      </c>
      <c r="AD2618">
        <v>-0.104111999999999</v>
      </c>
      <c r="AE2618">
        <v>0.26279999999999798</v>
      </c>
      <c r="AF2618">
        <v>1.37828794140733E-2</v>
      </c>
      <c r="AG2618">
        <v>-0.104111999999999</v>
      </c>
      <c r="AH2618">
        <v>0.51664124814109402</v>
      </c>
      <c r="AI2618">
        <v>101.389537022084</v>
      </c>
      <c r="AJ2618">
        <v>88.471834067953907</v>
      </c>
      <c r="AK2618">
        <v>0.52720722262667297</v>
      </c>
    </row>
    <row r="2619" spans="1:37" x14ac:dyDescent="0.2">
      <c r="A2619" t="str">
        <f>"20200111153447328"</f>
        <v>20200111153447328</v>
      </c>
      <c r="B2619" t="str">
        <f>"1578728087318515"</f>
        <v>1578728087318515</v>
      </c>
      <c r="C2619" t="s">
        <v>37</v>
      </c>
      <c r="D2619">
        <v>5.4557989999999998</v>
      </c>
      <c r="E2619">
        <v>0.52354480000000003</v>
      </c>
      <c r="F2619" t="s">
        <v>40</v>
      </c>
      <c r="G2619">
        <v>-422.69170000000003</v>
      </c>
      <c r="H2619">
        <v>1.06175</v>
      </c>
      <c r="I2619">
        <v>209.49</v>
      </c>
      <c r="J2619">
        <v>-423.12060000000002</v>
      </c>
      <c r="K2619">
        <v>1.1631290000000001</v>
      </c>
      <c r="L2619">
        <v>209.25389999999999</v>
      </c>
      <c r="M2619">
        <v>0.85573670000000002</v>
      </c>
      <c r="N2619">
        <v>0</v>
      </c>
      <c r="O2619">
        <v>0.51730129999999996</v>
      </c>
      <c r="P2619">
        <v>0.83792420000000001</v>
      </c>
      <c r="Q2619">
        <v>1.315235E-2</v>
      </c>
      <c r="R2619">
        <v>0.54562809999999995</v>
      </c>
      <c r="S2619">
        <v>2.6121829999999999</v>
      </c>
      <c r="T2619">
        <v>-0.320629099999999</v>
      </c>
      <c r="U2619">
        <v>1.4957579999999999</v>
      </c>
      <c r="V2619">
        <v>-3.4811750000000002E-2</v>
      </c>
      <c r="W2619">
        <v>2.1801480000000002E-2</v>
      </c>
      <c r="X2619">
        <v>0.99915609999999999</v>
      </c>
      <c r="Y2619">
        <v>2.1067610000000001E-2</v>
      </c>
      <c r="Z2619">
        <v>-5.5865529999999997E-2</v>
      </c>
      <c r="AA2619">
        <v>0.99821599999999999</v>
      </c>
      <c r="AB2619">
        <v>51</v>
      </c>
      <c r="AC2619">
        <v>0.42889999999999801</v>
      </c>
      <c r="AD2619">
        <v>-0.101379</v>
      </c>
      <c r="AE2619">
        <v>0.23610000000002099</v>
      </c>
      <c r="AF2619">
        <v>1.9016827218049401E-2</v>
      </c>
      <c r="AG2619">
        <v>-0.101379</v>
      </c>
      <c r="AH2619">
        <v>0.46907536521200699</v>
      </c>
      <c r="AI2619">
        <v>102.18577531960401</v>
      </c>
      <c r="AJ2619">
        <v>87.678437904484696</v>
      </c>
      <c r="AK2619">
        <v>0.48028224993978202</v>
      </c>
    </row>
    <row r="2620" spans="1:37" x14ac:dyDescent="0.2">
      <c r="A2620" t="str">
        <f>"20200111153447350"</f>
        <v>20200111153447350</v>
      </c>
      <c r="B2620" t="str">
        <f>"1578728087339014"</f>
        <v>1578728087339014</v>
      </c>
      <c r="C2620" t="s">
        <v>37</v>
      </c>
      <c r="D2620">
        <v>5.4482280000000003</v>
      </c>
      <c r="E2620">
        <v>0.52369639999999995</v>
      </c>
      <c r="F2620" t="s">
        <v>40</v>
      </c>
      <c r="G2620">
        <v>-422.30059999999997</v>
      </c>
      <c r="H2620">
        <v>1.0595079999999999</v>
      </c>
      <c r="I2620">
        <v>209.72229999999999</v>
      </c>
      <c r="J2620">
        <v>-422.68720000000002</v>
      </c>
      <c r="K2620">
        <v>1.1586479999999999</v>
      </c>
      <c r="L2620">
        <v>209.51650000000001</v>
      </c>
      <c r="M2620">
        <v>0.85368809999999995</v>
      </c>
      <c r="N2620">
        <v>0</v>
      </c>
      <c r="O2620">
        <v>0.52067350000000001</v>
      </c>
      <c r="P2620">
        <v>0.83791229999999906</v>
      </c>
      <c r="Q2620">
        <v>1.3030979999999999E-2</v>
      </c>
      <c r="R2620">
        <v>0.54564939999999995</v>
      </c>
      <c r="S2620">
        <v>2.6130680000000002</v>
      </c>
      <c r="T2620">
        <v>-0.33028689999999999</v>
      </c>
      <c r="U2620">
        <v>1.4934080000000001</v>
      </c>
      <c r="V2620">
        <v>-3.0816360000000001E-2</v>
      </c>
      <c r="W2620">
        <v>2.2112779999999999E-2</v>
      </c>
      <c r="X2620">
        <v>0.99928050000000002</v>
      </c>
      <c r="Y2620">
        <v>2.5636300000000001E-2</v>
      </c>
      <c r="Z2620">
        <v>-5.8122649999999998E-2</v>
      </c>
      <c r="AA2620">
        <v>0.99798019999999998</v>
      </c>
      <c r="AB2620">
        <v>51</v>
      </c>
      <c r="AC2620">
        <v>0.38660000000004402</v>
      </c>
      <c r="AD2620">
        <v>-9.9140000000000006E-2</v>
      </c>
      <c r="AE2620">
        <v>0.205799999999982</v>
      </c>
      <c r="AF2620">
        <v>2.4356775313276999E-2</v>
      </c>
      <c r="AG2620">
        <v>-9.9140000000000006E-2</v>
      </c>
      <c r="AH2620">
        <v>0.41590428974210403</v>
      </c>
      <c r="AI2620">
        <v>103.38540485898299</v>
      </c>
      <c r="AJ2620">
        <v>86.648391657899296</v>
      </c>
      <c r="AK2620">
        <v>0.42825035940387202</v>
      </c>
    </row>
    <row r="2621" spans="1:37" x14ac:dyDescent="0.2">
      <c r="A2621" t="str">
        <f>"20200111153447372"</f>
        <v>20200111153447372</v>
      </c>
      <c r="B2621" t="str">
        <f>"1578728087368292"</f>
        <v>1578728087368292</v>
      </c>
      <c r="C2621" t="s">
        <v>37</v>
      </c>
      <c r="D2621">
        <v>5.4549219999999998</v>
      </c>
      <c r="E2621">
        <v>0.52390230000000004</v>
      </c>
      <c r="F2621" t="s">
        <v>40</v>
      </c>
      <c r="G2621">
        <v>-421.90969999999999</v>
      </c>
      <c r="H2621">
        <v>1.059604</v>
      </c>
      <c r="I2621">
        <v>209.9598</v>
      </c>
      <c r="J2621">
        <v>-422.27289999999999</v>
      </c>
      <c r="K2621">
        <v>1.1540629999999901</v>
      </c>
      <c r="L2621">
        <v>209.7715</v>
      </c>
      <c r="M2621">
        <v>0.8523733</v>
      </c>
      <c r="N2621">
        <v>0</v>
      </c>
      <c r="O2621">
        <v>0.52282079999999997</v>
      </c>
      <c r="P2621">
        <v>0.83919949999999999</v>
      </c>
      <c r="Q2621">
        <v>1.5966190000000002E-2</v>
      </c>
      <c r="R2621">
        <v>0.54358919999999999</v>
      </c>
      <c r="S2621">
        <v>2.6145019999999999</v>
      </c>
      <c r="T2621">
        <v>-0.33310440000000002</v>
      </c>
      <c r="U2621">
        <v>1.4911350000000001</v>
      </c>
      <c r="V2621">
        <v>-2.5931249999999999E-2</v>
      </c>
      <c r="W2621">
        <v>2.5545499999999999E-2</v>
      </c>
      <c r="X2621">
        <v>0.99933729999999998</v>
      </c>
      <c r="Y2621">
        <v>2.8969519999999999E-2</v>
      </c>
      <c r="Z2621">
        <v>-5.9003800000000002E-2</v>
      </c>
      <c r="AA2621">
        <v>0.99783729999999904</v>
      </c>
      <c r="AB2621">
        <v>51</v>
      </c>
      <c r="AC2621">
        <v>0.36320000000000602</v>
      </c>
      <c r="AD2621">
        <v>-9.4458999999999793E-2</v>
      </c>
      <c r="AE2621">
        <v>0.188299999999998</v>
      </c>
      <c r="AF2621">
        <v>2.7900966783402599E-2</v>
      </c>
      <c r="AG2621">
        <v>-9.4458999999999793E-2</v>
      </c>
      <c r="AH2621">
        <v>0.38740102192145998</v>
      </c>
      <c r="AI2621">
        <v>103.668833887288</v>
      </c>
      <c r="AJ2621">
        <v>85.880619503217901</v>
      </c>
      <c r="AK2621">
        <v>0.39972555386695002</v>
      </c>
    </row>
    <row r="2622" spans="1:37" x14ac:dyDescent="0.2">
      <c r="A2622" t="str">
        <f>"20200111153447395"</f>
        <v>20200111153447395</v>
      </c>
      <c r="B2622" t="str">
        <f>"1578728087388788"</f>
        <v>1578728087388788</v>
      </c>
      <c r="C2622" t="s">
        <v>37</v>
      </c>
      <c r="D2622">
        <v>5.4916229999999997</v>
      </c>
      <c r="E2622">
        <v>0.52398659999999997</v>
      </c>
      <c r="F2622" t="s">
        <v>40</v>
      </c>
      <c r="G2622">
        <v>-421.5179</v>
      </c>
      <c r="H2622">
        <v>1.0599019999999999</v>
      </c>
      <c r="I2622">
        <v>210.1985</v>
      </c>
      <c r="J2622">
        <v>-421.82279999999997</v>
      </c>
      <c r="K2622">
        <v>1.1486860000000001</v>
      </c>
      <c r="L2622">
        <v>210.05160000000001</v>
      </c>
      <c r="M2622">
        <v>0.85169640000000002</v>
      </c>
      <c r="N2622">
        <v>0</v>
      </c>
      <c r="O2622">
        <v>0.52391809999999905</v>
      </c>
      <c r="P2622">
        <v>0.84181709999999998</v>
      </c>
      <c r="Q2622">
        <v>2.0227099999999901E-2</v>
      </c>
      <c r="R2622">
        <v>0.53938379999999997</v>
      </c>
      <c r="S2622">
        <v>2.6206669999999899</v>
      </c>
      <c r="T2622">
        <v>-0.32686979999999999</v>
      </c>
      <c r="U2622">
        <v>1.4826969999999999</v>
      </c>
      <c r="V2622">
        <v>-1.973664E-2</v>
      </c>
      <c r="W2622">
        <v>3.0462619999999999E-2</v>
      </c>
      <c r="X2622">
        <v>0.99934100000000003</v>
      </c>
      <c r="Y2622">
        <v>3.378225E-2</v>
      </c>
      <c r="Z2622">
        <v>-5.8224570000000003E-2</v>
      </c>
      <c r="AA2622">
        <v>0.997731699999999</v>
      </c>
      <c r="AB2622">
        <v>51</v>
      </c>
      <c r="AC2622">
        <v>0.30489999999997502</v>
      </c>
      <c r="AD2622">
        <v>-8.8783999999999905E-2</v>
      </c>
      <c r="AE2622">
        <v>0.14689999999998801</v>
      </c>
      <c r="AF2622">
        <v>3.2400817244991498E-2</v>
      </c>
      <c r="AG2622">
        <v>-8.8783999999999905E-2</v>
      </c>
      <c r="AH2622">
        <v>0.31498973128783597</v>
      </c>
      <c r="AI2622">
        <v>105.66263137809401</v>
      </c>
      <c r="AJ2622">
        <v>84.127034510206599</v>
      </c>
      <c r="AK2622">
        <v>0.328863105913276</v>
      </c>
    </row>
    <row r="2623" spans="1:37" x14ac:dyDescent="0.2">
      <c r="A2623" t="str">
        <f>"20200111153447418"</f>
        <v>20200111153447418</v>
      </c>
      <c r="B2623" t="str">
        <f>"1578728087408307"</f>
        <v>1578728087408307</v>
      </c>
      <c r="C2623" t="s">
        <v>37</v>
      </c>
      <c r="D2623">
        <v>5.484159</v>
      </c>
      <c r="E2623">
        <v>0.52392570000000005</v>
      </c>
      <c r="F2623" t="s">
        <v>40</v>
      </c>
      <c r="G2623">
        <v>-421.12479999999999</v>
      </c>
      <c r="H2623">
        <v>1.0649839999999999</v>
      </c>
      <c r="I2623">
        <v>210.44130000000001</v>
      </c>
      <c r="J2623">
        <v>-421.38159999999999</v>
      </c>
      <c r="K2623">
        <v>1.142863</v>
      </c>
      <c r="L2623">
        <v>210.32810000000001</v>
      </c>
      <c r="M2623">
        <v>0.85166489999999995</v>
      </c>
      <c r="N2623">
        <v>0</v>
      </c>
      <c r="O2623">
        <v>0.52396019999999999</v>
      </c>
      <c r="P2623">
        <v>0.84528709999999996</v>
      </c>
      <c r="Q2623">
        <v>2.2712070000000001E-2</v>
      </c>
      <c r="R2623">
        <v>0.53382949999999996</v>
      </c>
      <c r="S2623">
        <v>2.630493</v>
      </c>
      <c r="T2623">
        <v>-0.31546779999999902</v>
      </c>
      <c r="U2623">
        <v>1.468307</v>
      </c>
      <c r="V2623">
        <v>-1.301922E-2</v>
      </c>
      <c r="W2623">
        <v>3.3761590000000001E-2</v>
      </c>
      <c r="X2623">
        <v>0.99934509999999899</v>
      </c>
      <c r="Y2623">
        <v>3.9755949999999998E-2</v>
      </c>
      <c r="Z2623">
        <v>-5.6450269999999997E-2</v>
      </c>
      <c r="AA2623">
        <v>0.99761350000000004</v>
      </c>
      <c r="AB2623">
        <v>51</v>
      </c>
      <c r="AC2623">
        <v>0.25679999999999797</v>
      </c>
      <c r="AD2623">
        <v>-7.7879000000000004E-2</v>
      </c>
      <c r="AE2623">
        <v>0.113200000000006</v>
      </c>
      <c r="AF2623">
        <v>3.5419480460782901E-2</v>
      </c>
      <c r="AG2623">
        <v>-7.7879000000000004E-2</v>
      </c>
      <c r="AH2623">
        <v>0.25815818928412998</v>
      </c>
      <c r="AI2623">
        <v>106.639919594273</v>
      </c>
      <c r="AJ2623">
        <v>82.187755427913203</v>
      </c>
      <c r="AK2623">
        <v>0.271965676017346</v>
      </c>
    </row>
    <row r="2624" spans="1:37" x14ac:dyDescent="0.2">
      <c r="A2624" t="str">
        <f>"20200111153447440"</f>
        <v>20200111153447440</v>
      </c>
      <c r="B2624" t="str">
        <f>"1578728087428806"</f>
        <v>1578728087428806</v>
      </c>
      <c r="C2624" t="s">
        <v>37</v>
      </c>
      <c r="D2624">
        <v>5.4989189999999999</v>
      </c>
      <c r="E2624">
        <v>0.52377070000000003</v>
      </c>
      <c r="F2624" t="s">
        <v>40</v>
      </c>
      <c r="G2624">
        <v>-420.7328</v>
      </c>
      <c r="H2624">
        <v>1.066932</v>
      </c>
      <c r="I2624">
        <v>210.68369999999999</v>
      </c>
      <c r="J2624">
        <v>-420.964</v>
      </c>
      <c r="K2624">
        <v>1.136836</v>
      </c>
      <c r="L2624">
        <v>210.59</v>
      </c>
      <c r="M2624">
        <v>0.85194360000000002</v>
      </c>
      <c r="N2624">
        <v>0</v>
      </c>
      <c r="O2624">
        <v>0.52349279999999998</v>
      </c>
      <c r="P2624">
        <v>0.84921440000000004</v>
      </c>
      <c r="Q2624">
        <v>2.2937929999999999E-2</v>
      </c>
      <c r="R2624">
        <v>0.52754979999999996</v>
      </c>
      <c r="S2624">
        <v>2.6418759999999999</v>
      </c>
      <c r="T2624">
        <v>-0.3090676</v>
      </c>
      <c r="U2624">
        <v>1.4496149999999901</v>
      </c>
      <c r="V2624">
        <v>-5.9080109999999899E-3</v>
      </c>
      <c r="W2624">
        <v>3.4922950000000001E-2</v>
      </c>
      <c r="X2624">
        <v>0.9993725</v>
      </c>
      <c r="Y2624">
        <v>4.65355E-2</v>
      </c>
      <c r="Z2624">
        <v>-5.5545249999999997E-2</v>
      </c>
      <c r="AA2624">
        <v>0.99737109999999995</v>
      </c>
      <c r="AB2624">
        <v>51</v>
      </c>
      <c r="AC2624">
        <v>0.23120000000000099</v>
      </c>
      <c r="AD2624">
        <v>-6.9903999999999897E-2</v>
      </c>
      <c r="AE2624">
        <v>9.3699999999984102E-2</v>
      </c>
      <c r="AF2624">
        <v>3.8207397461137202E-2</v>
      </c>
      <c r="AG2624">
        <v>-6.9903999999999897E-2</v>
      </c>
      <c r="AH2624">
        <v>0.22812621077881601</v>
      </c>
      <c r="AI2624">
        <v>106.8157340357</v>
      </c>
      <c r="AJ2624">
        <v>80.492142435963004</v>
      </c>
      <c r="AK2624">
        <v>0.24163597099987799</v>
      </c>
    </row>
    <row r="2625" spans="1:37" x14ac:dyDescent="0.2">
      <c r="A2625" t="str">
        <f>"20200111153447461"</f>
        <v>20200111153447461</v>
      </c>
      <c r="B2625" t="str">
        <f>"1578728087459060"</f>
        <v>1578728087459060</v>
      </c>
      <c r="C2625" t="s">
        <v>37</v>
      </c>
      <c r="D2625">
        <v>5.5170570000000003</v>
      </c>
      <c r="E2625">
        <v>0.52357759999999998</v>
      </c>
      <c r="F2625" t="s">
        <v>40</v>
      </c>
      <c r="G2625">
        <v>-419.95710000000003</v>
      </c>
      <c r="H2625">
        <v>1.019363</v>
      </c>
      <c r="I2625">
        <v>211.1317</v>
      </c>
      <c r="J2625">
        <v>-420.53859999999997</v>
      </c>
      <c r="K2625">
        <v>1.1303859999999999</v>
      </c>
      <c r="L2625">
        <v>210.85579999999999</v>
      </c>
      <c r="M2625">
        <v>0.85228189999999904</v>
      </c>
      <c r="N2625">
        <v>0</v>
      </c>
      <c r="O2625">
        <v>0.52292139999999998</v>
      </c>
      <c r="P2625">
        <v>0.85285719999999998</v>
      </c>
      <c r="Q2625">
        <v>2.2476010000000001E-2</v>
      </c>
      <c r="R2625">
        <v>0.52166029999999997</v>
      </c>
      <c r="S2625">
        <v>2.6532900000000001</v>
      </c>
      <c r="T2625">
        <v>-0.30946489999999999</v>
      </c>
      <c r="U2625">
        <v>1.429047</v>
      </c>
      <c r="V2625">
        <v>6.520613E-4</v>
      </c>
      <c r="W2625">
        <v>3.5486699999999899E-2</v>
      </c>
      <c r="X2625">
        <v>0.99936990000000003</v>
      </c>
      <c r="Y2625">
        <v>5.3624720000000001E-2</v>
      </c>
      <c r="Z2625">
        <v>-5.5865560000000002E-2</v>
      </c>
      <c r="AA2625">
        <v>0.99699720000000003</v>
      </c>
      <c r="AB2625">
        <v>51</v>
      </c>
      <c r="AC2625">
        <v>0.58149999999994795</v>
      </c>
      <c r="AD2625">
        <v>-0.111023</v>
      </c>
      <c r="AE2625">
        <v>0.27590000000000697</v>
      </c>
      <c r="AF2625">
        <v>6.6948043680722699E-2</v>
      </c>
      <c r="AG2625">
        <v>-0.111023</v>
      </c>
      <c r="AH2625">
        <v>0.621439448114953</v>
      </c>
      <c r="AI2625">
        <v>100.07221183939799</v>
      </c>
      <c r="AJ2625">
        <v>83.8512055995335</v>
      </c>
      <c r="AK2625">
        <v>0.63481897794181796</v>
      </c>
    </row>
    <row r="2626" spans="1:37" x14ac:dyDescent="0.2">
      <c r="A2626" t="str">
        <f>"20200111153447485"</f>
        <v>20200111153447485</v>
      </c>
      <c r="B2626" t="str">
        <f>"1578728087478579"</f>
        <v>1578728087478579</v>
      </c>
      <c r="C2626" t="s">
        <v>37</v>
      </c>
      <c r="D2626">
        <v>5.5086250000000003</v>
      </c>
      <c r="E2626">
        <v>0.51675720000000003</v>
      </c>
      <c r="F2626" t="s">
        <v>40</v>
      </c>
      <c r="G2626">
        <v>-419.56699999999898</v>
      </c>
      <c r="H2626">
        <v>1.0173019999999999</v>
      </c>
      <c r="I2626">
        <v>211.36949999999999</v>
      </c>
      <c r="J2626">
        <v>-420.08089999999999</v>
      </c>
      <c r="K2626">
        <v>1.1236269999999999</v>
      </c>
      <c r="L2626">
        <v>211.1395</v>
      </c>
      <c r="M2626">
        <v>0.85271659999999905</v>
      </c>
      <c r="N2626">
        <v>0</v>
      </c>
      <c r="O2626">
        <v>0.52218589999999998</v>
      </c>
      <c r="P2626">
        <v>0.85671459999999999</v>
      </c>
      <c r="Q2626">
        <v>2.097781E-2</v>
      </c>
      <c r="R2626">
        <v>0.51536409999999999</v>
      </c>
      <c r="S2626">
        <v>2.6638489999999999</v>
      </c>
      <c r="T2626">
        <v>-0.31003409999999998</v>
      </c>
      <c r="U2626">
        <v>1.409149</v>
      </c>
      <c r="V2626">
        <v>7.4999869999999996E-3</v>
      </c>
      <c r="W2626">
        <v>3.5071629999999999E-2</v>
      </c>
      <c r="X2626">
        <v>0.99935669999999899</v>
      </c>
      <c r="Y2626">
        <v>6.0190380000000002E-2</v>
      </c>
      <c r="Z2626">
        <v>-5.6183320000000002E-2</v>
      </c>
      <c r="AA2626">
        <v>0.9966045</v>
      </c>
      <c r="AB2626">
        <v>51</v>
      </c>
      <c r="AC2626">
        <v>0.513900000000035</v>
      </c>
      <c r="AD2626">
        <v>-0.106325</v>
      </c>
      <c r="AE2626">
        <v>0.22999999999998899</v>
      </c>
      <c r="AF2626">
        <v>6.9746228923159806E-2</v>
      </c>
      <c r="AG2626">
        <v>-0.106325</v>
      </c>
      <c r="AH2626">
        <v>0.53914110072335497</v>
      </c>
      <c r="AI2626">
        <v>101.06633235975301</v>
      </c>
      <c r="AJ2626">
        <v>82.628843810140793</v>
      </c>
      <c r="AK2626">
        <v>0.55393381243898798</v>
      </c>
    </row>
    <row r="2627" spans="1:37" x14ac:dyDescent="0.2">
      <c r="A2627" t="str">
        <f>"20200111153447508"</f>
        <v>20200111153447508</v>
      </c>
      <c r="B2627" t="str">
        <f>"1578728087499076"</f>
        <v>1578728087499076</v>
      </c>
      <c r="C2627" t="s">
        <v>37</v>
      </c>
      <c r="D2627">
        <v>5.5483330000000004</v>
      </c>
      <c r="E2627">
        <v>0.51543349999999999</v>
      </c>
      <c r="F2627" t="s">
        <v>40</v>
      </c>
      <c r="G2627">
        <v>-419.18669999999997</v>
      </c>
      <c r="H2627">
        <v>1.016931</v>
      </c>
      <c r="I2627">
        <v>211.62299999999999</v>
      </c>
      <c r="J2627">
        <v>-419.63369999999998</v>
      </c>
      <c r="K2627">
        <v>1.117721</v>
      </c>
      <c r="L2627">
        <v>211.41399999999999</v>
      </c>
      <c r="M2627">
        <v>0.85347280000000003</v>
      </c>
      <c r="N2627">
        <v>0</v>
      </c>
      <c r="O2627">
        <v>0.52092240000000001</v>
      </c>
      <c r="P2627">
        <v>0.86079479999999997</v>
      </c>
      <c r="Q2627">
        <v>1.8056470000000002E-2</v>
      </c>
      <c r="R2627">
        <v>0.50863170000000002</v>
      </c>
      <c r="S2627">
        <v>2.6475219999999999</v>
      </c>
      <c r="T2627">
        <v>-0.31576959999999998</v>
      </c>
      <c r="U2627">
        <v>1.4329379999999901</v>
      </c>
      <c r="V2627">
        <v>1.415812E-2</v>
      </c>
      <c r="W2627">
        <v>3.3084860000000001E-2</v>
      </c>
      <c r="X2627">
        <v>0.99935229999999997</v>
      </c>
      <c r="Y2627">
        <v>4.9174500000000003E-2</v>
      </c>
      <c r="Z2627">
        <v>-5.6653769999999999E-2</v>
      </c>
      <c r="AA2627">
        <v>0.99718209999999996</v>
      </c>
      <c r="AB2627">
        <v>51</v>
      </c>
      <c r="AC2627">
        <v>0.44700000000000201</v>
      </c>
      <c r="AD2627">
        <v>-0.10078999999999901</v>
      </c>
      <c r="AE2627">
        <v>0.20899999999997401</v>
      </c>
      <c r="AF2627">
        <v>5.2300573429977897E-2</v>
      </c>
      <c r="AG2627">
        <v>-0.10078999999999901</v>
      </c>
      <c r="AH2627">
        <v>0.47078834486497401</v>
      </c>
      <c r="AI2627">
        <v>102.012179823233</v>
      </c>
      <c r="AJ2627">
        <v>83.660919387733202</v>
      </c>
      <c r="AK2627">
        <v>0.48428879786941798</v>
      </c>
    </row>
    <row r="2628" spans="1:37" x14ac:dyDescent="0.2">
      <c r="A2628" t="str">
        <f>"20200111153447530"</f>
        <v>20200111153447530</v>
      </c>
      <c r="B2628" t="str">
        <f>"1578728087518596"</f>
        <v>1578728087518596</v>
      </c>
      <c r="C2628" t="s">
        <v>37</v>
      </c>
      <c r="D2628">
        <v>5.5308890000000002</v>
      </c>
      <c r="E2628">
        <v>0.51468740000000002</v>
      </c>
      <c r="F2628" t="s">
        <v>40</v>
      </c>
      <c r="G2628">
        <v>-418.798</v>
      </c>
      <c r="H2628">
        <v>1.0158</v>
      </c>
      <c r="I2628">
        <v>211.86080000000001</v>
      </c>
      <c r="J2628">
        <v>-419.22129999999999</v>
      </c>
      <c r="K2628">
        <v>1.1132489999999999</v>
      </c>
      <c r="L2628">
        <v>211.6645</v>
      </c>
      <c r="M2628">
        <v>0.85469309999999998</v>
      </c>
      <c r="N2628">
        <v>0</v>
      </c>
      <c r="O2628">
        <v>0.51889459999999998</v>
      </c>
      <c r="P2628">
        <v>0.86579169999999905</v>
      </c>
      <c r="Q2628">
        <v>1.4318279999999999E-2</v>
      </c>
      <c r="R2628">
        <v>0.50019970000000002</v>
      </c>
      <c r="S2628">
        <v>2.6536559999999998</v>
      </c>
      <c r="T2628">
        <v>-0.3236368</v>
      </c>
      <c r="U2628">
        <v>1.418747</v>
      </c>
      <c r="V2628">
        <v>2.175204E-2</v>
      </c>
      <c r="W2628">
        <v>3.005654E-2</v>
      </c>
      <c r="X2628">
        <v>0.99931150000000002</v>
      </c>
      <c r="Y2628">
        <v>5.1773640000000003E-2</v>
      </c>
      <c r="Z2628">
        <v>-5.798685E-2</v>
      </c>
      <c r="AA2628">
        <v>0.99697389999999997</v>
      </c>
      <c r="AB2628">
        <v>51</v>
      </c>
      <c r="AC2628">
        <v>0.42329999999998302</v>
      </c>
      <c r="AD2628">
        <v>-9.7448999999999897E-2</v>
      </c>
      <c r="AE2628">
        <v>0.196300000000007</v>
      </c>
      <c r="AF2628">
        <v>4.9710025019996801E-2</v>
      </c>
      <c r="AG2628">
        <v>-9.7448999999999897E-2</v>
      </c>
      <c r="AH2628">
        <v>0.44432755673193303</v>
      </c>
      <c r="AI2628">
        <v>102.295781770388</v>
      </c>
      <c r="AJ2628">
        <v>83.616466005595498</v>
      </c>
      <c r="AK2628">
        <v>0.45759629790882</v>
      </c>
    </row>
    <row r="2629" spans="1:37" x14ac:dyDescent="0.2">
      <c r="A2629" t="str">
        <f>"20200111153447552"</f>
        <v>20200111153447552</v>
      </c>
      <c r="B2629" t="str">
        <f>"1578728087548851"</f>
        <v>1578728087548851</v>
      </c>
      <c r="C2629" t="s">
        <v>37</v>
      </c>
      <c r="D2629">
        <v>5.5516620000000003</v>
      </c>
      <c r="E2629">
        <v>0.51357929999999996</v>
      </c>
      <c r="F2629" t="s">
        <v>40</v>
      </c>
      <c r="G2629">
        <v>-418.40750000000003</v>
      </c>
      <c r="H2629">
        <v>1.010899</v>
      </c>
      <c r="I2629">
        <v>212.09049999999999</v>
      </c>
      <c r="J2629">
        <v>-418.78930000000003</v>
      </c>
      <c r="K2629">
        <v>1.109642</v>
      </c>
      <c r="L2629">
        <v>211.9238</v>
      </c>
      <c r="M2629">
        <v>0.85660859999999905</v>
      </c>
      <c r="N2629">
        <v>0</v>
      </c>
      <c r="O2629">
        <v>0.51570640000000001</v>
      </c>
      <c r="P2629">
        <v>0.87118709999999899</v>
      </c>
      <c r="Q2629">
        <v>9.8782569999999997E-3</v>
      </c>
      <c r="R2629">
        <v>0.49085190000000001</v>
      </c>
      <c r="S2629">
        <v>2.6640630000000001</v>
      </c>
      <c r="T2629">
        <v>-0.33479239999999999</v>
      </c>
      <c r="U2629">
        <v>1.395966</v>
      </c>
      <c r="V2629">
        <v>2.891643E-2</v>
      </c>
      <c r="W2629">
        <v>2.6148020000000001E-2</v>
      </c>
      <c r="X2629">
        <v>0.99923969999999995</v>
      </c>
      <c r="Y2629">
        <v>5.6138050000000002E-2</v>
      </c>
      <c r="Z2629">
        <v>-5.9860539999999997E-2</v>
      </c>
      <c r="AA2629">
        <v>0.99662689999999998</v>
      </c>
      <c r="AB2629">
        <v>51</v>
      </c>
      <c r="AC2629">
        <v>0.38179999999999797</v>
      </c>
      <c r="AD2629">
        <v>-9.8742999999999997E-2</v>
      </c>
      <c r="AE2629">
        <v>0.16669999999999099</v>
      </c>
      <c r="AF2629">
        <v>5.1229377346179397E-2</v>
      </c>
      <c r="AG2629">
        <v>-9.8742999999999997E-2</v>
      </c>
      <c r="AH2629">
        <v>0.39110555784671602</v>
      </c>
      <c r="AI2629">
        <v>104.05420406844</v>
      </c>
      <c r="AJ2629">
        <v>82.537536563512404</v>
      </c>
      <c r="AK2629">
        <v>0.40661798599037402</v>
      </c>
    </row>
    <row r="2630" spans="1:37" x14ac:dyDescent="0.2">
      <c r="A2630" t="str">
        <f>"20200111153447574"</f>
        <v>20200111153447574</v>
      </c>
      <c r="B2630" t="str">
        <f>"1578728087568372"</f>
        <v>1578728087568372</v>
      </c>
      <c r="C2630" t="s">
        <v>37</v>
      </c>
      <c r="D2630">
        <v>5.508362</v>
      </c>
      <c r="E2630">
        <v>0.51317749999999995</v>
      </c>
      <c r="F2630" t="s">
        <v>40</v>
      </c>
      <c r="G2630">
        <v>-418.01679999999999</v>
      </c>
      <c r="H2630">
        <v>1.008051</v>
      </c>
      <c r="I2630">
        <v>212.32069999999999</v>
      </c>
      <c r="J2630">
        <v>-418.36309999999997</v>
      </c>
      <c r="K2630">
        <v>1.1068659999999999</v>
      </c>
      <c r="L2630">
        <v>212.17660000000001</v>
      </c>
      <c r="M2630">
        <v>0.85906669999999996</v>
      </c>
      <c r="N2630">
        <v>0</v>
      </c>
      <c r="O2630">
        <v>0.51158760000000003</v>
      </c>
      <c r="P2630">
        <v>0.87610949999999999</v>
      </c>
      <c r="Q2630">
        <v>7.4898019999999899E-3</v>
      </c>
      <c r="R2630">
        <v>0.48205409999999999</v>
      </c>
      <c r="S2630">
        <v>2.6735229999999999</v>
      </c>
      <c r="T2630">
        <v>-0.35158289999999998</v>
      </c>
      <c r="U2630">
        <v>1.373718</v>
      </c>
      <c r="V2630">
        <v>3.425508E-2</v>
      </c>
      <c r="W2630">
        <v>2.406109E-2</v>
      </c>
      <c r="X2630">
        <v>0.99912350000000005</v>
      </c>
      <c r="Y2630">
        <v>5.9027570000000001E-2</v>
      </c>
      <c r="Z2630">
        <v>-6.2550910000000001E-2</v>
      </c>
      <c r="AA2630">
        <v>0.99629469999999998</v>
      </c>
      <c r="AB2630">
        <v>51</v>
      </c>
      <c r="AC2630">
        <v>0.34629999999998501</v>
      </c>
      <c r="AD2630">
        <v>-9.8814999999999806E-2</v>
      </c>
      <c r="AE2630">
        <v>0.14409999999997999</v>
      </c>
      <c r="AF2630">
        <v>4.9914526626189497E-2</v>
      </c>
      <c r="AG2630">
        <v>-9.8814999999999806E-2</v>
      </c>
      <c r="AH2630">
        <v>0.347171766301337</v>
      </c>
      <c r="AI2630">
        <v>105.734205212348</v>
      </c>
      <c r="AJ2630">
        <v>81.818381938903798</v>
      </c>
      <c r="AK2630">
        <v>0.364395526193869</v>
      </c>
    </row>
    <row r="2631" spans="1:37" x14ac:dyDescent="0.2">
      <c r="A2631" t="str">
        <f>"20200111153447596"</f>
        <v>20200111153447596</v>
      </c>
      <c r="B2631" t="str">
        <f>"1578728087588868"</f>
        <v>1578728087588868</v>
      </c>
      <c r="C2631" t="s">
        <v>37</v>
      </c>
      <c r="D2631">
        <v>5.5730319999999898</v>
      </c>
      <c r="E2631">
        <v>0.50807179999999996</v>
      </c>
      <c r="F2631" t="s">
        <v>40</v>
      </c>
      <c r="G2631">
        <v>-417.6232</v>
      </c>
      <c r="H2631">
        <v>1.008237</v>
      </c>
      <c r="I2631">
        <v>212.54769999999999</v>
      </c>
      <c r="J2631">
        <v>-417.91750000000002</v>
      </c>
      <c r="K2631">
        <v>1.1044419999999999</v>
      </c>
      <c r="L2631">
        <v>212.4376</v>
      </c>
      <c r="M2631">
        <v>0.86205499999999902</v>
      </c>
      <c r="N2631">
        <v>0</v>
      </c>
      <c r="O2631">
        <v>0.50652739999999996</v>
      </c>
      <c r="P2631">
        <v>0.88153049999999999</v>
      </c>
      <c r="Q2631">
        <v>6.8117859999999898E-3</v>
      </c>
      <c r="R2631">
        <v>0.4720781</v>
      </c>
      <c r="S2631">
        <v>2.6857599999999899</v>
      </c>
      <c r="T2631">
        <v>-0.35773499999999903</v>
      </c>
      <c r="U2631">
        <v>1.3477170000000001</v>
      </c>
      <c r="V2631">
        <v>3.9784809999999997E-2</v>
      </c>
      <c r="W2631">
        <v>2.3498580000000002E-2</v>
      </c>
      <c r="X2631">
        <v>0.99893189999999998</v>
      </c>
      <c r="Y2631">
        <v>6.2572989999999995E-2</v>
      </c>
      <c r="Z2631">
        <v>-6.3247970000000001E-2</v>
      </c>
      <c r="AA2631">
        <v>0.99603430000000004</v>
      </c>
      <c r="AB2631">
        <v>51</v>
      </c>
      <c r="AC2631">
        <v>0.29430000000002099</v>
      </c>
      <c r="AD2631">
        <v>-9.6204999999999805E-2</v>
      </c>
      <c r="AE2631">
        <v>0.110099999999988</v>
      </c>
      <c r="AF2631">
        <v>4.9524228519189299E-2</v>
      </c>
      <c r="AG2631">
        <v>-9.6204999999999805E-2</v>
      </c>
      <c r="AH2631">
        <v>0.28298903900014899</v>
      </c>
      <c r="AI2631">
        <v>108.514198090408</v>
      </c>
      <c r="AJ2631">
        <v>80.073529225273106</v>
      </c>
      <c r="AK2631">
        <v>0.30297004378262998</v>
      </c>
    </row>
    <row r="2632" spans="1:37" x14ac:dyDescent="0.2">
      <c r="A2632" t="str">
        <f>"20200111153447629"</f>
        <v>20200111153447629</v>
      </c>
      <c r="B2632" t="str">
        <f>"1578728087619126"</f>
        <v>1578728087619126</v>
      </c>
      <c r="C2632" t="s">
        <v>37</v>
      </c>
      <c r="D2632">
        <v>5.7209729999999999</v>
      </c>
      <c r="E2632">
        <v>0.50683270000000002</v>
      </c>
      <c r="F2632" t="s">
        <v>40</v>
      </c>
      <c r="G2632">
        <v>-417.23230000000001</v>
      </c>
      <c r="H2632">
        <v>1.01328</v>
      </c>
      <c r="I2632">
        <v>212.78309999999999</v>
      </c>
      <c r="J2632">
        <v>-417.26710000000003</v>
      </c>
      <c r="K2632">
        <v>1.10151</v>
      </c>
      <c r="L2632">
        <v>212.81120000000001</v>
      </c>
      <c r="M2632">
        <v>0.86696359999999995</v>
      </c>
      <c r="N2632">
        <v>0</v>
      </c>
      <c r="O2632">
        <v>0.49807449999999998</v>
      </c>
      <c r="P2632">
        <v>0.88661880000000004</v>
      </c>
      <c r="Q2632">
        <v>8.9104049999999997E-3</v>
      </c>
      <c r="R2632">
        <v>0.46241499999999902</v>
      </c>
      <c r="S2632">
        <v>2.6817929999999999</v>
      </c>
      <c r="T2632">
        <v>-0.35677389999999998</v>
      </c>
      <c r="U2632">
        <v>1.3521879999999999</v>
      </c>
      <c r="V2632">
        <v>4.1042290000000002E-2</v>
      </c>
      <c r="W2632">
        <v>2.5575540000000001E-2</v>
      </c>
      <c r="X2632">
        <v>0.998829999999999</v>
      </c>
      <c r="Y2632">
        <v>5.1026839999999997E-2</v>
      </c>
      <c r="Z2632">
        <v>-6.153749E-2</v>
      </c>
      <c r="AA2632">
        <v>0.99679959999999901</v>
      </c>
      <c r="AB2632">
        <v>50</v>
      </c>
      <c r="AC2632">
        <v>3.4800000000018302E-2</v>
      </c>
      <c r="AD2632">
        <v>-8.8230000000000003E-2</v>
      </c>
      <c r="AE2632">
        <v>-2.8100000000023301E-2</v>
      </c>
      <c r="AF2632">
        <v>8.5260323158143896E-3</v>
      </c>
      <c r="AG2632">
        <v>-8.8230000000000003E-2</v>
      </c>
      <c r="AH2632">
        <v>3.3074682561226002E-3</v>
      </c>
      <c r="AI2632">
        <v>174.082394548498</v>
      </c>
      <c r="AJ2632">
        <v>21.202559999570202</v>
      </c>
      <c r="AK2632">
        <v>8.87026801924021E-2</v>
      </c>
    </row>
    <row r="2633" spans="1:37" x14ac:dyDescent="0.2">
      <c r="A2633" t="str">
        <f>"20200111153447651"</f>
        <v>20200111153447651</v>
      </c>
      <c r="B2633" t="str">
        <f>"1578728087648404"</f>
        <v>1578728087648404</v>
      </c>
      <c r="C2633" t="s">
        <v>37</v>
      </c>
      <c r="D2633">
        <v>5.7546799999999996</v>
      </c>
      <c r="E2633">
        <v>0.51476480000000002</v>
      </c>
      <c r="F2633" t="s">
        <v>40</v>
      </c>
      <c r="G2633">
        <v>-416.44670000000002</v>
      </c>
      <c r="H2633">
        <v>0.99435899999999999</v>
      </c>
      <c r="I2633">
        <v>213.21639999999999</v>
      </c>
      <c r="J2633">
        <v>-416.84429999999998</v>
      </c>
      <c r="K2633">
        <v>1.099901</v>
      </c>
      <c r="L2633">
        <v>213.04929999999999</v>
      </c>
      <c r="M2633">
        <v>0.87039979999999995</v>
      </c>
      <c r="N2633">
        <v>0</v>
      </c>
      <c r="O2633">
        <v>0.49204490000000001</v>
      </c>
      <c r="P2633">
        <v>0.89017049999999998</v>
      </c>
      <c r="Q2633">
        <v>1.322571E-2</v>
      </c>
      <c r="R2633">
        <v>0.45543599999999901</v>
      </c>
      <c r="S2633">
        <v>2.693085</v>
      </c>
      <c r="T2633">
        <v>-0.3515857</v>
      </c>
      <c r="U2633">
        <v>1.3307799999999901</v>
      </c>
      <c r="V2633">
        <v>4.2051749999999999E-2</v>
      </c>
      <c r="W2633">
        <v>2.9783440000000001E-2</v>
      </c>
      <c r="X2633">
        <v>0.99867139999999999</v>
      </c>
      <c r="Y2633">
        <v>5.2254620000000002E-2</v>
      </c>
      <c r="Z2633">
        <v>-6.001037E-2</v>
      </c>
      <c r="AA2633">
        <v>0.99682909999999902</v>
      </c>
      <c r="AB2633">
        <v>50</v>
      </c>
      <c r="AC2633">
        <v>0.39759999999995399</v>
      </c>
      <c r="AD2633">
        <v>-0.105542</v>
      </c>
      <c r="AE2633">
        <v>0.167100000000004</v>
      </c>
      <c r="AF2633">
        <v>4.7364263416179997E-2</v>
      </c>
      <c r="AG2633">
        <v>-0.105542</v>
      </c>
      <c r="AH2633">
        <v>0.40415236933461002</v>
      </c>
      <c r="AI2633">
        <v>104.540347231165</v>
      </c>
      <c r="AJ2633">
        <v>83.315764229310005</v>
      </c>
      <c r="AK2633">
        <v>0.42038271236069702</v>
      </c>
    </row>
    <row r="2634" spans="1:37" x14ac:dyDescent="0.2">
      <c r="A2634" t="str">
        <f>"20200111153447674"</f>
        <v>20200111153447674</v>
      </c>
      <c r="B2634" t="str">
        <f>"1578728087668900"</f>
        <v>1578728087668900</v>
      </c>
      <c r="C2634" t="s">
        <v>37</v>
      </c>
      <c r="D2634">
        <v>5.5809179999999996</v>
      </c>
      <c r="E2634">
        <v>0.60157910000000003</v>
      </c>
      <c r="F2634" t="s">
        <v>40</v>
      </c>
      <c r="G2634">
        <v>-416.03969999999998</v>
      </c>
      <c r="H2634">
        <v>0.99666290000000002</v>
      </c>
      <c r="I2634">
        <v>213.41800000000001</v>
      </c>
      <c r="J2634">
        <v>-416.37979999999999</v>
      </c>
      <c r="K2634">
        <v>1.0983879999999999</v>
      </c>
      <c r="L2634">
        <v>213.3064</v>
      </c>
      <c r="M2634">
        <v>0.87438479999999996</v>
      </c>
      <c r="N2634">
        <v>0</v>
      </c>
      <c r="O2634">
        <v>0.48492990000000002</v>
      </c>
      <c r="P2634">
        <v>0.89464999999999995</v>
      </c>
      <c r="Q2634">
        <v>1.568437E-2</v>
      </c>
      <c r="R2634">
        <v>0.44649250000000001</v>
      </c>
      <c r="S2634">
        <v>2.73388699999999</v>
      </c>
      <c r="T2634">
        <v>-0.35047339999999999</v>
      </c>
      <c r="U2634">
        <v>1.2538149999999999</v>
      </c>
      <c r="V2634">
        <v>4.4004990000000001E-2</v>
      </c>
      <c r="W2634">
        <v>3.2057820000000001E-2</v>
      </c>
      <c r="X2634">
        <v>0.99851690000000004</v>
      </c>
      <c r="Y2634">
        <v>7.2923950000000001E-2</v>
      </c>
      <c r="Z2634">
        <v>-5.9988989999999999E-2</v>
      </c>
      <c r="AA2634">
        <v>0.99553169999999902</v>
      </c>
      <c r="AB2634">
        <v>50</v>
      </c>
      <c r="AC2634">
        <v>0.34010000000000601</v>
      </c>
      <c r="AD2634">
        <v>-0.101725099999999</v>
      </c>
      <c r="AE2634">
        <v>0.111600000000009</v>
      </c>
      <c r="AF2634">
        <v>6.2319873658968898E-2</v>
      </c>
      <c r="AG2634">
        <v>-0.101725099999999</v>
      </c>
      <c r="AH2634">
        <v>0.32527674183733601</v>
      </c>
      <c r="AI2634">
        <v>107.074214507115</v>
      </c>
      <c r="AJ2634">
        <v>79.154115006965696</v>
      </c>
      <c r="AK2634">
        <v>0.34646316023957402</v>
      </c>
    </row>
    <row r="2635" spans="1:37" x14ac:dyDescent="0.2">
      <c r="A2635" t="str">
        <f>"20200111153447696"</f>
        <v>20200111153447696</v>
      </c>
      <c r="B2635" t="str">
        <f>"1578728087688419"</f>
        <v>1578728087688419</v>
      </c>
      <c r="C2635" t="s">
        <v>37</v>
      </c>
      <c r="D2635">
        <v>5.6364289999999997</v>
      </c>
      <c r="E2635">
        <v>0.60937680000000005</v>
      </c>
      <c r="F2635" t="s">
        <v>56</v>
      </c>
      <c r="G2635">
        <v>-402.50369999999998</v>
      </c>
      <c r="H2635" s="1">
        <v>6.9904309999999998E-6</v>
      </c>
      <c r="I2635">
        <v>216.07560000000001</v>
      </c>
      <c r="J2635">
        <v>-415.94389999999999</v>
      </c>
      <c r="K2635">
        <v>1.097172</v>
      </c>
      <c r="L2635">
        <v>213.54300000000001</v>
      </c>
      <c r="M2635">
        <v>0.87833229999999995</v>
      </c>
      <c r="N2635">
        <v>0</v>
      </c>
      <c r="O2635">
        <v>0.477746</v>
      </c>
      <c r="P2635">
        <v>0.89868349999999897</v>
      </c>
      <c r="Q2635">
        <v>1.8416229999999999E-2</v>
      </c>
      <c r="R2635">
        <v>0.43821080000000001</v>
      </c>
      <c r="S2635">
        <v>3.053375</v>
      </c>
      <c r="T2635">
        <v>-0.24169470000000001</v>
      </c>
      <c r="U2635">
        <v>0.60934449999999996</v>
      </c>
      <c r="V2635">
        <v>4.5130080000000003E-2</v>
      </c>
      <c r="W2635">
        <v>3.4596990000000001E-2</v>
      </c>
      <c r="X2635">
        <v>0.99838189999999905</v>
      </c>
      <c r="Y2635">
        <v>0.29447899999999999</v>
      </c>
      <c r="Z2635">
        <v>-4.7280330000000002E-2</v>
      </c>
      <c r="AA2635">
        <v>0.95448759999999999</v>
      </c>
      <c r="AB2635">
        <v>50</v>
      </c>
      <c r="AC2635">
        <v>13.440200000000001</v>
      </c>
      <c r="AD2635">
        <v>-1.097165009569</v>
      </c>
      <c r="AE2635">
        <v>2.5326</v>
      </c>
      <c r="AF2635">
        <v>4.1703105710605701</v>
      </c>
      <c r="AG2635">
        <v>-1.097165009569</v>
      </c>
      <c r="AH2635">
        <v>12.933562890244399</v>
      </c>
      <c r="AI2635">
        <v>94.615907767603602</v>
      </c>
      <c r="AJ2635">
        <v>72.1285521991026</v>
      </c>
      <c r="AK2635">
        <v>13.6334995636934</v>
      </c>
    </row>
    <row r="2636" spans="1:37" x14ac:dyDescent="0.2">
      <c r="A2636" t="str">
        <f>"20200111153447718"</f>
        <v>20200111153447718</v>
      </c>
      <c r="B2636" t="str">
        <f>"1578728087708915"</f>
        <v>1578728087708915</v>
      </c>
      <c r="C2636" t="s">
        <v>37</v>
      </c>
      <c r="D2636">
        <v>5.8858730000000001</v>
      </c>
      <c r="E2636">
        <v>0.6032149</v>
      </c>
      <c r="F2636" t="s">
        <v>56</v>
      </c>
      <c r="G2636">
        <v>-400.63080000000002</v>
      </c>
      <c r="H2636" s="1">
        <v>7.8059029999999906E-6</v>
      </c>
      <c r="I2636">
        <v>216.14869999999999</v>
      </c>
      <c r="J2636">
        <v>-415.49779999999998</v>
      </c>
      <c r="K2636">
        <v>1.0960889999999901</v>
      </c>
      <c r="L2636">
        <v>213.78039999999999</v>
      </c>
      <c r="M2636">
        <v>0.88256509999999999</v>
      </c>
      <c r="N2636">
        <v>0</v>
      </c>
      <c r="O2636">
        <v>0.46988390000000002</v>
      </c>
      <c r="P2636">
        <v>0.90275609999999995</v>
      </c>
      <c r="Q2636">
        <v>2.129677E-2</v>
      </c>
      <c r="R2636">
        <v>0.42962529999999999</v>
      </c>
      <c r="S2636">
        <v>3.0866389999999999</v>
      </c>
      <c r="T2636">
        <v>-0.22115270000000001</v>
      </c>
      <c r="U2636">
        <v>0.52522279999999999</v>
      </c>
      <c r="V2636">
        <v>4.5823349999999999E-2</v>
      </c>
      <c r="W2636">
        <v>3.7279380000000001E-2</v>
      </c>
      <c r="X2636">
        <v>0.99825370000000002</v>
      </c>
      <c r="Y2636">
        <v>0.3133804</v>
      </c>
      <c r="Z2636">
        <v>-4.3157380000000002E-2</v>
      </c>
      <c r="AA2636">
        <v>0.94864649999999995</v>
      </c>
      <c r="AB2636">
        <v>50</v>
      </c>
      <c r="AC2636">
        <v>14.8669999999999</v>
      </c>
      <c r="AD2636">
        <v>-1.0960811940970001</v>
      </c>
      <c r="AE2636">
        <v>2.3683000000000001</v>
      </c>
      <c r="AF2636">
        <v>4.8704718092223098</v>
      </c>
      <c r="AG2636">
        <v>-1.0960811940970001</v>
      </c>
      <c r="AH2636">
        <v>14.160904695571601</v>
      </c>
      <c r="AI2636">
        <v>94.186226710638806</v>
      </c>
      <c r="AJ2636">
        <v>71.019964624993406</v>
      </c>
      <c r="AK2636">
        <v>15.015129417542299</v>
      </c>
    </row>
    <row r="2637" spans="1:37" x14ac:dyDescent="0.2">
      <c r="A2637" t="str">
        <f>"20200111153447741"</f>
        <v>20200111153447741</v>
      </c>
      <c r="B2637" t="str">
        <f>"1578728087728435"</f>
        <v>1578728087728435</v>
      </c>
      <c r="C2637" t="s">
        <v>37</v>
      </c>
      <c r="D2637">
        <v>6.0365289999999998</v>
      </c>
      <c r="E2637">
        <v>0.60014290000000003</v>
      </c>
      <c r="F2637" t="s">
        <v>56</v>
      </c>
      <c r="G2637">
        <v>-402.59829999999999</v>
      </c>
      <c r="H2637" s="1">
        <v>6.9552160000000004E-6</v>
      </c>
      <c r="I2637">
        <v>216.04300000000001</v>
      </c>
      <c r="J2637">
        <v>-415.05630000000002</v>
      </c>
      <c r="K2637">
        <v>1.095159</v>
      </c>
      <c r="L2637">
        <v>214.01</v>
      </c>
      <c r="M2637">
        <v>0.88693889999999997</v>
      </c>
      <c r="N2637">
        <v>0</v>
      </c>
      <c r="O2637">
        <v>0.46157860000000001</v>
      </c>
      <c r="P2637">
        <v>0.90715999999999997</v>
      </c>
      <c r="Q2637">
        <v>2.313701E-2</v>
      </c>
      <c r="R2637">
        <v>0.42014940000000001</v>
      </c>
      <c r="S2637">
        <v>3.0728149999999999</v>
      </c>
      <c r="T2637">
        <v>-0.26109959999999999</v>
      </c>
      <c r="U2637">
        <v>0.53897090000000003</v>
      </c>
      <c r="V2637">
        <v>4.6987660000000001E-2</v>
      </c>
      <c r="W2637">
        <v>3.8918029999999999E-2</v>
      </c>
      <c r="X2637">
        <v>0.998137099999999</v>
      </c>
      <c r="Y2637">
        <v>0.2989405</v>
      </c>
      <c r="Z2637">
        <v>-4.9898079999999997E-2</v>
      </c>
      <c r="AA2637">
        <v>0.95296630000000004</v>
      </c>
      <c r="AB2637">
        <v>50</v>
      </c>
      <c r="AC2637">
        <v>12.458</v>
      </c>
      <c r="AD2637">
        <v>-1.095152044784</v>
      </c>
      <c r="AE2637">
        <v>2.0330000000000101</v>
      </c>
      <c r="AF2637">
        <v>3.9182672955001498</v>
      </c>
      <c r="AG2637">
        <v>-1.095152044784</v>
      </c>
      <c r="AH2637">
        <v>11.9000055806899</v>
      </c>
      <c r="AI2637">
        <v>94.995695582557104</v>
      </c>
      <c r="AJ2637">
        <v>71.775043149161803</v>
      </c>
      <c r="AK2637">
        <v>12.5762597548171</v>
      </c>
    </row>
    <row r="2638" spans="1:37" x14ac:dyDescent="0.2">
      <c r="A2638" t="str">
        <f>"20200111153447763"</f>
        <v>20200111153447763</v>
      </c>
      <c r="B2638" t="str">
        <f>"1578728087758692"</f>
        <v>1578728087758692</v>
      </c>
      <c r="C2638" t="s">
        <v>37</v>
      </c>
      <c r="D2638">
        <v>5.6941239999999897</v>
      </c>
      <c r="E2638">
        <v>0.59979939999999998</v>
      </c>
      <c r="F2638" t="s">
        <v>56</v>
      </c>
      <c r="G2638">
        <v>-402.366999999999</v>
      </c>
      <c r="H2638" s="1">
        <v>7.0253909999999899E-6</v>
      </c>
      <c r="I2638">
        <v>216.19990000000001</v>
      </c>
      <c r="J2638">
        <v>-414.60120000000001</v>
      </c>
      <c r="K2638">
        <v>1.0942860000000001</v>
      </c>
      <c r="L2638">
        <v>214.2413</v>
      </c>
      <c r="M2638">
        <v>0.89158349999999897</v>
      </c>
      <c r="N2638">
        <v>0</v>
      </c>
      <c r="O2638">
        <v>0.45254529999999898</v>
      </c>
      <c r="P2638">
        <v>0.9114698</v>
      </c>
      <c r="Q2638">
        <v>2.2560440000000001E-2</v>
      </c>
      <c r="R2638">
        <v>0.41074759999999999</v>
      </c>
      <c r="S2638">
        <v>3.0685419999999999</v>
      </c>
      <c r="T2638">
        <v>-0.2648296</v>
      </c>
      <c r="U2638">
        <v>0.52955629999999998</v>
      </c>
      <c r="V2638">
        <v>4.7223719999999997E-2</v>
      </c>
      <c r="W2638">
        <v>3.8169469999999997E-2</v>
      </c>
      <c r="X2638">
        <v>0.99815480000000001</v>
      </c>
      <c r="Y2638">
        <v>0.2918268</v>
      </c>
      <c r="Z2638">
        <v>-4.970786E-2</v>
      </c>
      <c r="AA2638">
        <v>0.95517870000000005</v>
      </c>
      <c r="AB2638">
        <v>50</v>
      </c>
      <c r="AC2638">
        <v>12.2342</v>
      </c>
      <c r="AD2638">
        <v>-1.094278974609</v>
      </c>
      <c r="AE2638">
        <v>1.9586000000000101</v>
      </c>
      <c r="AF2638">
        <v>3.7614672903976198</v>
      </c>
      <c r="AG2638">
        <v>-1.094278974609</v>
      </c>
      <c r="AH2638">
        <v>11.7045276444957</v>
      </c>
      <c r="AI2638">
        <v>95.086410184521796</v>
      </c>
      <c r="AJ2638">
        <v>72.184227138965497</v>
      </c>
      <c r="AK2638">
        <v>12.342692171149899</v>
      </c>
    </row>
    <row r="2639" spans="1:37" x14ac:dyDescent="0.2">
      <c r="A2639" t="str">
        <f>"20200111153447786"</f>
        <v>20200111153447786</v>
      </c>
      <c r="B2639" t="str">
        <f>"1578728087778212"</f>
        <v>1578728087778212</v>
      </c>
      <c r="C2639" t="s">
        <v>37</v>
      </c>
      <c r="D2639">
        <v>5.6590239999999996</v>
      </c>
      <c r="E2639">
        <v>0.60002889999999998</v>
      </c>
      <c r="F2639" t="s">
        <v>56</v>
      </c>
      <c r="G2639">
        <v>-401.63389999999998</v>
      </c>
      <c r="H2639" s="1">
        <v>7.3196709999999901E-6</v>
      </c>
      <c r="I2639">
        <v>216.34889999999999</v>
      </c>
      <c r="J2639">
        <v>-414.14139999999998</v>
      </c>
      <c r="K2639">
        <v>1.0934919999999999</v>
      </c>
      <c r="L2639">
        <v>214.4693</v>
      </c>
      <c r="M2639">
        <v>0.89636319999999903</v>
      </c>
      <c r="N2639">
        <v>0</v>
      </c>
      <c r="O2639">
        <v>0.44300580000000001</v>
      </c>
      <c r="P2639">
        <v>0.91645149999999997</v>
      </c>
      <c r="Q2639">
        <v>2.2303280000000002E-2</v>
      </c>
      <c r="R2639">
        <v>0.39952389999999999</v>
      </c>
      <c r="S2639">
        <v>3.0727540000000002</v>
      </c>
      <c r="T2639">
        <v>-0.25930209999999998</v>
      </c>
      <c r="U2639">
        <v>0.49942019999999998</v>
      </c>
      <c r="V2639">
        <v>4.8884299999999999E-2</v>
      </c>
      <c r="W2639">
        <v>3.771538E-2</v>
      </c>
      <c r="X2639">
        <v>0.99809210000000004</v>
      </c>
      <c r="Y2639">
        <v>0.29109380000000001</v>
      </c>
      <c r="Z2639">
        <v>-4.7924620000000001E-2</v>
      </c>
      <c r="AA2639">
        <v>0.95549340000000005</v>
      </c>
      <c r="AB2639">
        <v>50</v>
      </c>
      <c r="AC2639">
        <v>12.507499999999901</v>
      </c>
      <c r="AD2639">
        <v>-1.0934846803289999</v>
      </c>
      <c r="AE2639">
        <v>1.87959999999998</v>
      </c>
      <c r="AF2639">
        <v>3.8280158345692299</v>
      </c>
      <c r="AG2639">
        <v>-1.0934846803289999</v>
      </c>
      <c r="AH2639">
        <v>11.956248455948399</v>
      </c>
      <c r="AI2639">
        <v>94.977999421016904</v>
      </c>
      <c r="AJ2639">
        <v>72.246563846430206</v>
      </c>
      <c r="AK2639">
        <v>12.6016384298311</v>
      </c>
    </row>
    <row r="2640" spans="1:37" x14ac:dyDescent="0.2">
      <c r="A2640" t="str">
        <f>"20200111153447808"</f>
        <v>20200111153447808</v>
      </c>
      <c r="B2640" t="str">
        <f>"1578728087798710"</f>
        <v>1578728087798710</v>
      </c>
      <c r="C2640" t="s">
        <v>37</v>
      </c>
      <c r="D2640">
        <v>5.6902799999999996</v>
      </c>
      <c r="E2640">
        <v>0.59999049999999998</v>
      </c>
      <c r="F2640" t="s">
        <v>56</v>
      </c>
      <c r="G2640">
        <v>-400.77460000000002</v>
      </c>
      <c r="H2640" s="1">
        <v>7.6765849999999993E-6</v>
      </c>
      <c r="I2640">
        <v>216.4658</v>
      </c>
      <c r="J2640">
        <v>-413.68610000000001</v>
      </c>
      <c r="K2640">
        <v>1.0927830000000001</v>
      </c>
      <c r="L2640">
        <v>214.68940000000001</v>
      </c>
      <c r="M2640">
        <v>0.9011536</v>
      </c>
      <c r="N2640">
        <v>0</v>
      </c>
      <c r="O2640">
        <v>0.43318069999999997</v>
      </c>
      <c r="P2640">
        <v>0.92185839999999997</v>
      </c>
      <c r="Q2640">
        <v>2.1014970000000001E-2</v>
      </c>
      <c r="R2640">
        <v>0.38695689999999999</v>
      </c>
      <c r="S2640">
        <v>3.0791629999999999</v>
      </c>
      <c r="T2640">
        <v>-0.25189410000000001</v>
      </c>
      <c r="U2640">
        <v>0.45989989999999997</v>
      </c>
      <c r="V2640">
        <v>5.1650759999999997E-2</v>
      </c>
      <c r="W2640">
        <v>3.6207690000000001E-2</v>
      </c>
      <c r="X2640">
        <v>0.99800859999999902</v>
      </c>
      <c r="Y2640">
        <v>0.29308790000000001</v>
      </c>
      <c r="Z2640">
        <v>-4.5898849999999998E-2</v>
      </c>
      <c r="AA2640">
        <v>0.95498309999999997</v>
      </c>
      <c r="AB2640">
        <v>50</v>
      </c>
      <c r="AC2640">
        <v>12.911499999999901</v>
      </c>
      <c r="AD2640">
        <v>-1.0927753234149999</v>
      </c>
      <c r="AE2640">
        <v>1.77639999999999</v>
      </c>
      <c r="AF2640">
        <v>3.9648820249096599</v>
      </c>
      <c r="AG2640">
        <v>-1.0927753234149999</v>
      </c>
      <c r="AH2640">
        <v>12.3198528896918</v>
      </c>
      <c r="AI2640">
        <v>94.826345580983201</v>
      </c>
      <c r="AJ2640">
        <v>72.160335532599305</v>
      </c>
      <c r="AK2640">
        <v>12.988195509868399</v>
      </c>
    </row>
    <row r="2641" spans="1:37" x14ac:dyDescent="0.2">
      <c r="A2641" t="str">
        <f>"20200111153447830"</f>
        <v>20200111153447830</v>
      </c>
      <c r="B2641" t="str">
        <f>"1578728087818227"</f>
        <v>1578728087818227</v>
      </c>
      <c r="C2641" t="s">
        <v>37</v>
      </c>
      <c r="D2641">
        <v>5.7008769999999904</v>
      </c>
      <c r="E2641">
        <v>0.5995682</v>
      </c>
      <c r="F2641" t="s">
        <v>56</v>
      </c>
      <c r="G2641">
        <v>-400.36450000000002</v>
      </c>
      <c r="H2641" s="1">
        <v>7.8519550000000006E-6</v>
      </c>
      <c r="I2641">
        <v>216.49719999999999</v>
      </c>
      <c r="J2641">
        <v>-413.24540000000002</v>
      </c>
      <c r="K2641">
        <v>1.092149</v>
      </c>
      <c r="L2641">
        <v>214.89689999999999</v>
      </c>
      <c r="M2641">
        <v>0.90582260000000003</v>
      </c>
      <c r="N2641">
        <v>0</v>
      </c>
      <c r="O2641">
        <v>0.4233326</v>
      </c>
      <c r="P2641">
        <v>0.92646489999999904</v>
      </c>
      <c r="Q2641">
        <v>2.048092E-2</v>
      </c>
      <c r="R2641">
        <v>0.37582369999999998</v>
      </c>
      <c r="S2641">
        <v>3.0843509999999998</v>
      </c>
      <c r="T2641">
        <v>-0.25301079999999998</v>
      </c>
      <c r="U2641">
        <v>0.41854859999999999</v>
      </c>
      <c r="V2641">
        <v>5.2832129999999998E-2</v>
      </c>
      <c r="W2641">
        <v>3.5511010000000003E-2</v>
      </c>
      <c r="X2641">
        <v>0.99797179999999996</v>
      </c>
      <c r="Y2641">
        <v>0.29545559999999998</v>
      </c>
      <c r="Z2641">
        <v>-4.5463280000000002E-2</v>
      </c>
      <c r="AA2641">
        <v>0.95427410000000001</v>
      </c>
      <c r="AB2641">
        <v>50</v>
      </c>
      <c r="AC2641">
        <v>12.880899999999899</v>
      </c>
      <c r="AD2641">
        <v>-1.0921411480450001</v>
      </c>
      <c r="AE2641">
        <v>1.6003000000000001</v>
      </c>
      <c r="AF2641">
        <v>3.9757206192574399</v>
      </c>
      <c r="AG2641">
        <v>-1.0921411480450001</v>
      </c>
      <c r="AH2641">
        <v>12.2601689280529</v>
      </c>
      <c r="AI2641">
        <v>94.843470950365599</v>
      </c>
      <c r="AJ2641">
        <v>72.033187614469796</v>
      </c>
      <c r="AK2641">
        <v>12.934870268929499</v>
      </c>
    </row>
    <row r="2642" spans="1:37" x14ac:dyDescent="0.2">
      <c r="A2642" t="str">
        <f>"20200111153447853"</f>
        <v>20200111153447853</v>
      </c>
      <c r="B2642" t="str">
        <f>"1578728087848484"</f>
        <v>1578728087848484</v>
      </c>
      <c r="C2642" t="s">
        <v>37</v>
      </c>
      <c r="D2642">
        <v>5.7088529999999897</v>
      </c>
      <c r="E2642">
        <v>0.59905149999999996</v>
      </c>
      <c r="F2642" t="s">
        <v>52</v>
      </c>
      <c r="G2642">
        <v>-399.5609</v>
      </c>
      <c r="H2642" s="1">
        <v>3.551039E-6</v>
      </c>
      <c r="I2642">
        <v>216.59520000000001</v>
      </c>
      <c r="J2642">
        <v>-412.79259999999999</v>
      </c>
      <c r="K2642">
        <v>1.0915459999999999</v>
      </c>
      <c r="L2642">
        <v>215.1044</v>
      </c>
      <c r="M2642">
        <v>0.91063449999999901</v>
      </c>
      <c r="N2642">
        <v>0</v>
      </c>
      <c r="O2642">
        <v>0.41288239999999998</v>
      </c>
      <c r="P2642">
        <v>0.93116980000000005</v>
      </c>
      <c r="Q2642">
        <v>1.9672370000000002E-2</v>
      </c>
      <c r="R2642">
        <v>0.36405470000000001</v>
      </c>
      <c r="S2642">
        <v>3.0880740000000002</v>
      </c>
      <c r="T2642">
        <v>-0.24645520000000001</v>
      </c>
      <c r="U2642">
        <v>0.38323970000000002</v>
      </c>
      <c r="V2642">
        <v>5.4022800000000003E-2</v>
      </c>
      <c r="W2642">
        <v>3.4547910000000001E-2</v>
      </c>
      <c r="X2642">
        <v>0.99794189999999905</v>
      </c>
      <c r="Y2642">
        <v>0.29549720000000002</v>
      </c>
      <c r="Z2642">
        <v>-4.3534589999999998E-2</v>
      </c>
      <c r="AA2642">
        <v>0.95435119999999896</v>
      </c>
      <c r="AB2642">
        <v>50</v>
      </c>
      <c r="AC2642">
        <v>13.231699999999901</v>
      </c>
      <c r="AD2642">
        <v>-1.0915424489609999</v>
      </c>
      <c r="AE2642">
        <v>1.4907999999999999</v>
      </c>
      <c r="AF2642">
        <v>4.0787134199436403</v>
      </c>
      <c r="AG2642">
        <v>-1.0915424489609999</v>
      </c>
      <c r="AH2642">
        <v>12.5819451265354</v>
      </c>
      <c r="AI2642">
        <v>94.717741143146199</v>
      </c>
      <c r="AJ2642">
        <v>72.038761199326899</v>
      </c>
      <c r="AK2642">
        <v>13.2714999622145</v>
      </c>
    </row>
    <row r="2643" spans="1:37" x14ac:dyDescent="0.2">
      <c r="A2643" t="str">
        <f>"20200111153447874"</f>
        <v>20200111153447874</v>
      </c>
      <c r="B2643" t="str">
        <f>"1578728087868979"</f>
        <v>1578728087868979</v>
      </c>
      <c r="C2643" t="s">
        <v>37</v>
      </c>
      <c r="D2643">
        <v>5.7383699999999997</v>
      </c>
      <c r="E2643">
        <v>0.59874139999999998</v>
      </c>
      <c r="F2643" t="s">
        <v>52</v>
      </c>
      <c r="G2643">
        <v>-398.82400000000001</v>
      </c>
      <c r="H2643" s="1">
        <v>3.1589299999999999E-6</v>
      </c>
      <c r="I2643">
        <v>216.67160000000001</v>
      </c>
      <c r="J2643">
        <v>-412.3279</v>
      </c>
      <c r="K2643">
        <v>1.0909799999999901</v>
      </c>
      <c r="L2643">
        <v>215.31120000000001</v>
      </c>
      <c r="M2643">
        <v>0.91556510000000002</v>
      </c>
      <c r="N2643">
        <v>0</v>
      </c>
      <c r="O2643">
        <v>0.40183179999999902</v>
      </c>
      <c r="P2643">
        <v>0.9360058</v>
      </c>
      <c r="Q2643">
        <v>1.8838150000000001E-2</v>
      </c>
      <c r="R2643">
        <v>0.35148010000000002</v>
      </c>
      <c r="S2643">
        <v>3.09124799999999</v>
      </c>
      <c r="T2643">
        <v>-0.241559</v>
      </c>
      <c r="U2643">
        <v>0.34683229999999998</v>
      </c>
      <c r="V2643">
        <v>5.5410769999999998E-2</v>
      </c>
      <c r="W2643">
        <v>3.3561430000000003E-2</v>
      </c>
      <c r="X2643">
        <v>0.99789939999999999</v>
      </c>
      <c r="Y2643">
        <v>0.29526009999999903</v>
      </c>
      <c r="Z2643">
        <v>-4.1880149999999998E-2</v>
      </c>
      <c r="AA2643">
        <v>0.95449859999999898</v>
      </c>
      <c r="AB2643">
        <v>50</v>
      </c>
      <c r="AC2643">
        <v>13.5038999999999</v>
      </c>
      <c r="AD2643">
        <v>-1.09097684106999</v>
      </c>
      <c r="AE2643">
        <v>1.3603999999999901</v>
      </c>
      <c r="AF2643">
        <v>4.1544860267623198</v>
      </c>
      <c r="AG2643">
        <v>-1.09097684106999</v>
      </c>
      <c r="AH2643">
        <v>12.829211309104</v>
      </c>
      <c r="AI2643">
        <v>94.625285728219197</v>
      </c>
      <c r="AJ2643">
        <v>72.056480836022899</v>
      </c>
      <c r="AK2643">
        <v>13.529177633099399</v>
      </c>
    </row>
    <row r="2644" spans="1:37" x14ac:dyDescent="0.2">
      <c r="A2644" t="str">
        <f>"20200111153447898"</f>
        <v>20200111153447898</v>
      </c>
      <c r="B2644" t="str">
        <f>"1578728087888499"</f>
        <v>1578728087888499</v>
      </c>
      <c r="C2644" t="s">
        <v>37</v>
      </c>
      <c r="D2644">
        <v>5.7276530000000001</v>
      </c>
      <c r="E2644">
        <v>0.59828870000000001</v>
      </c>
      <c r="F2644" t="s">
        <v>52</v>
      </c>
      <c r="G2644">
        <v>-398.3349</v>
      </c>
      <c r="H2644" s="1">
        <v>2.8986449999999998E-6</v>
      </c>
      <c r="I2644">
        <v>216.7038</v>
      </c>
      <c r="J2644">
        <v>-411.85109999999997</v>
      </c>
      <c r="K2644">
        <v>1.0904499999999999</v>
      </c>
      <c r="L2644">
        <v>215.51669999999999</v>
      </c>
      <c r="M2644">
        <v>0.920593199999999</v>
      </c>
      <c r="N2644">
        <v>0</v>
      </c>
      <c r="O2644">
        <v>0.39017609999999903</v>
      </c>
      <c r="P2644">
        <v>0.94092790000000004</v>
      </c>
      <c r="Q2644">
        <v>1.958445E-2</v>
      </c>
      <c r="R2644">
        <v>0.33804040000000002</v>
      </c>
      <c r="S2644">
        <v>3.0942989999999999</v>
      </c>
      <c r="T2644">
        <v>-0.2412512</v>
      </c>
      <c r="U2644">
        <v>0.30795289999999997</v>
      </c>
      <c r="V2644">
        <v>5.7091410000000002E-2</v>
      </c>
      <c r="W2644">
        <v>3.4155230000000002E-2</v>
      </c>
      <c r="X2644">
        <v>0.99778459999999902</v>
      </c>
      <c r="Y2644">
        <v>0.29513729999999999</v>
      </c>
      <c r="Z2644">
        <v>-4.099274E-2</v>
      </c>
      <c r="AA2644">
        <v>0.95457510000000001</v>
      </c>
      <c r="AB2644">
        <v>50</v>
      </c>
      <c r="AC2644">
        <v>13.5161999999999</v>
      </c>
      <c r="AD2644">
        <v>-1.0904471013549999</v>
      </c>
      <c r="AE2644">
        <v>1.18710000000001</v>
      </c>
      <c r="AF2644">
        <v>4.1545937904370902</v>
      </c>
      <c r="AG2644">
        <v>-1.0904471013549999</v>
      </c>
      <c r="AH2644">
        <v>12.825011238298099</v>
      </c>
      <c r="AI2644">
        <v>94.624402548895802</v>
      </c>
      <c r="AJ2644">
        <v>72.050545718677697</v>
      </c>
      <c r="AK2644">
        <v>13.5251853113687</v>
      </c>
    </row>
    <row r="2645" spans="1:37" x14ac:dyDescent="0.2">
      <c r="A2645" t="str">
        <f>"20200111153447919"</f>
        <v>20200111153447919</v>
      </c>
      <c r="B2645" t="str">
        <f>"1578728087908998"</f>
        <v>1578728087908998</v>
      </c>
      <c r="C2645" t="s">
        <v>37</v>
      </c>
      <c r="D2645">
        <v>5.6972909999999999</v>
      </c>
      <c r="E2645">
        <v>0.59813039999999995</v>
      </c>
      <c r="F2645" t="s">
        <v>52</v>
      </c>
      <c r="G2645">
        <v>-397.5145</v>
      </c>
      <c r="H2645" s="1">
        <v>2.4620490000000002E-6</v>
      </c>
      <c r="I2645">
        <v>216.7508</v>
      </c>
      <c r="J2645">
        <v>-411.41980000000001</v>
      </c>
      <c r="K2645">
        <v>1.0900160000000001</v>
      </c>
      <c r="L2645">
        <v>215.69659999999999</v>
      </c>
      <c r="M2645">
        <v>0.92510590000000004</v>
      </c>
      <c r="N2645">
        <v>0</v>
      </c>
      <c r="O2645">
        <v>0.37935279999999999</v>
      </c>
      <c r="P2645">
        <v>0.94546140000000001</v>
      </c>
      <c r="Q2645">
        <v>2.388728E-2</v>
      </c>
      <c r="R2645">
        <v>0.32485710000000001</v>
      </c>
      <c r="S2645">
        <v>3.0974729999999999</v>
      </c>
      <c r="T2645">
        <v>-0.23559469999999999</v>
      </c>
      <c r="U2645">
        <v>0.26661679999999999</v>
      </c>
      <c r="V2645">
        <v>5.9478669999999997E-2</v>
      </c>
      <c r="W2645">
        <v>3.8302419999999997E-2</v>
      </c>
      <c r="X2645">
        <v>0.99749449999999995</v>
      </c>
      <c r="Y2645">
        <v>0.29677909999999902</v>
      </c>
      <c r="Z2645">
        <v>-3.9337440000000001E-2</v>
      </c>
      <c r="AA2645">
        <v>0.95413559999999997</v>
      </c>
      <c r="AB2645">
        <v>50</v>
      </c>
      <c r="AC2645">
        <v>13.9053</v>
      </c>
      <c r="AD2645">
        <v>-1.0900135379510001</v>
      </c>
      <c r="AE2645">
        <v>1.0542</v>
      </c>
      <c r="AF2645">
        <v>4.2742356224914504</v>
      </c>
      <c r="AG2645">
        <v>-1.0900135379510001</v>
      </c>
      <c r="AH2645">
        <v>13.185027779483599</v>
      </c>
      <c r="AI2645">
        <v>94.496577212096597</v>
      </c>
      <c r="AJ2645">
        <v>72.038683592951401</v>
      </c>
      <c r="AK2645">
        <v>13.903315331792101</v>
      </c>
    </row>
    <row r="2646" spans="1:37" x14ac:dyDescent="0.2">
      <c r="A2646" t="str">
        <f>"20200111153447942"</f>
        <v>20200111153447942</v>
      </c>
      <c r="B2646" t="str">
        <f>"1578728087938275"</f>
        <v>1578728087938275</v>
      </c>
      <c r="C2646" t="s">
        <v>37</v>
      </c>
      <c r="D2646">
        <v>5.9664229999999998</v>
      </c>
      <c r="E2646">
        <v>0.59564600000000001</v>
      </c>
      <c r="F2646" t="s">
        <v>52</v>
      </c>
      <c r="G2646">
        <v>-395.95510000000002</v>
      </c>
      <c r="H2646" s="1">
        <v>1.6322020000000001E-6</v>
      </c>
      <c r="I2646">
        <v>216.81739999999999</v>
      </c>
      <c r="J2646">
        <v>-410.95179999999999</v>
      </c>
      <c r="K2646">
        <v>1.0895809999999999</v>
      </c>
      <c r="L2646">
        <v>215.88509999999999</v>
      </c>
      <c r="M2646">
        <v>0.92994339999999998</v>
      </c>
      <c r="N2646">
        <v>0</v>
      </c>
      <c r="O2646">
        <v>0.36733470000000001</v>
      </c>
      <c r="P2646">
        <v>0.95007059999999999</v>
      </c>
      <c r="Q2646">
        <v>2.7202799999999999E-2</v>
      </c>
      <c r="R2646">
        <v>0.31084729999999999</v>
      </c>
      <c r="S2646">
        <v>3.1013790000000001</v>
      </c>
      <c r="T2646">
        <v>-0.21859770000000001</v>
      </c>
      <c r="U2646">
        <v>0.22477719999999901</v>
      </c>
      <c r="V2646">
        <v>6.1422030000000002E-2</v>
      </c>
      <c r="W2646">
        <v>4.1481820000000003E-2</v>
      </c>
      <c r="X2646">
        <v>0.99724950000000001</v>
      </c>
      <c r="Y2646">
        <v>0.29759400000000003</v>
      </c>
      <c r="Z2646">
        <v>-3.5736539999999997E-2</v>
      </c>
      <c r="AA2646">
        <v>0.95402339999999997</v>
      </c>
      <c r="AB2646">
        <v>50</v>
      </c>
      <c r="AC2646">
        <v>14.996699999999899</v>
      </c>
      <c r="AD2646">
        <v>-1.0895793677979999</v>
      </c>
      <c r="AE2646">
        <v>0.93229999999999702</v>
      </c>
      <c r="AF2646">
        <v>4.6181659515959099</v>
      </c>
      <c r="AG2646">
        <v>-1.0895793677979999</v>
      </c>
      <c r="AH2646">
        <v>14.2157296163216</v>
      </c>
      <c r="AI2646">
        <v>94.169254533867701</v>
      </c>
      <c r="AJ2646">
        <v>72.002933268365695</v>
      </c>
      <c r="AK2646">
        <v>14.9867143990794</v>
      </c>
    </row>
    <row r="2647" spans="1:37" x14ac:dyDescent="0.2">
      <c r="A2647" t="str">
        <f>"20200111153447964"</f>
        <v>20200111153447964</v>
      </c>
      <c r="B2647" t="str">
        <f>"1578728087958772"</f>
        <v>1578728087958772</v>
      </c>
      <c r="C2647" t="s">
        <v>37</v>
      </c>
      <c r="D2647">
        <v>5.9427890000000003</v>
      </c>
      <c r="E2647">
        <v>0.59448259999999997</v>
      </c>
      <c r="F2647" t="s">
        <v>56</v>
      </c>
      <c r="G2647">
        <v>-401.68560000000002</v>
      </c>
      <c r="H2647" s="1">
        <v>7.2727769999999996E-6</v>
      </c>
      <c r="I2647">
        <v>216.4649</v>
      </c>
      <c r="J2647">
        <v>-410.47609999999997</v>
      </c>
      <c r="K2647">
        <v>1.0891679999999999</v>
      </c>
      <c r="L2647">
        <v>216.06989999999999</v>
      </c>
      <c r="M2647">
        <v>0.93477089999999996</v>
      </c>
      <c r="N2647">
        <v>0</v>
      </c>
      <c r="O2647">
        <v>0.35487020000000002</v>
      </c>
      <c r="P2647">
        <v>0.95447459999999995</v>
      </c>
      <c r="Q2647">
        <v>2.896926E-2</v>
      </c>
      <c r="R2647">
        <v>0.29688209999999998</v>
      </c>
      <c r="S2647">
        <v>3.1045229999999999</v>
      </c>
      <c r="T2647">
        <v>-0.36504720000000002</v>
      </c>
      <c r="U2647">
        <v>0.1942596</v>
      </c>
      <c r="V2647">
        <v>6.2801170000000003E-2</v>
      </c>
      <c r="W2647">
        <v>4.3140680000000001E-2</v>
      </c>
      <c r="X2647">
        <v>0.99709319999999901</v>
      </c>
      <c r="Y2647">
        <v>0.29151059999999901</v>
      </c>
      <c r="Z2647">
        <v>-5.7797830000000001E-2</v>
      </c>
      <c r="AA2647">
        <v>0.95481990000000005</v>
      </c>
      <c r="AB2647">
        <v>50</v>
      </c>
      <c r="AC2647">
        <v>8.79049999999995</v>
      </c>
      <c r="AD2647">
        <v>-1.0891607272229999</v>
      </c>
      <c r="AE2647">
        <v>0.39500000000001001</v>
      </c>
      <c r="AF2647">
        <v>2.7091182478095801</v>
      </c>
      <c r="AG2647">
        <v>-1.0891607272229999</v>
      </c>
      <c r="AH2647">
        <v>8.2322829349682394</v>
      </c>
      <c r="AI2647">
        <v>97.163007389522306</v>
      </c>
      <c r="AJ2647">
        <v>71.784416293447805</v>
      </c>
      <c r="AK2647">
        <v>8.7347624519335998</v>
      </c>
    </row>
    <row r="2648" spans="1:37" x14ac:dyDescent="0.2">
      <c r="A2648" t="str">
        <f>"20200111153447988"</f>
        <v>20200111153447988</v>
      </c>
      <c r="B2648" t="str">
        <f>"1578728087978291"</f>
        <v>1578728087978291</v>
      </c>
      <c r="C2648" t="s">
        <v>37</v>
      </c>
      <c r="D2648">
        <v>5.9219910000000002</v>
      </c>
      <c r="E2648">
        <v>0.59249700000000005</v>
      </c>
      <c r="F2648" t="s">
        <v>56</v>
      </c>
      <c r="G2648">
        <v>-400.65379999999999</v>
      </c>
      <c r="H2648" s="1">
        <v>7.709084E-6</v>
      </c>
      <c r="I2648">
        <v>216.56780000000001</v>
      </c>
      <c r="J2648">
        <v>-409.9889</v>
      </c>
      <c r="K2648">
        <v>1.088776</v>
      </c>
      <c r="L2648">
        <v>216.25210000000001</v>
      </c>
      <c r="M2648">
        <v>0.9396021</v>
      </c>
      <c r="N2648">
        <v>0</v>
      </c>
      <c r="O2648">
        <v>0.34187289999999998</v>
      </c>
      <c r="P2648">
        <v>0.95860119999999904</v>
      </c>
      <c r="Q2648">
        <v>3.0615389999999999E-2</v>
      </c>
      <c r="R2648">
        <v>0.2831014</v>
      </c>
      <c r="S2648">
        <v>3.104584</v>
      </c>
      <c r="T2648">
        <v>-0.34425749999999999</v>
      </c>
      <c r="U2648">
        <v>0.1573639</v>
      </c>
      <c r="V2648">
        <v>6.3421610000000003E-2</v>
      </c>
      <c r="W2648">
        <v>4.4714150000000001E-2</v>
      </c>
      <c r="X2648">
        <v>0.9969846</v>
      </c>
      <c r="Y2648">
        <v>0.29012700000000002</v>
      </c>
      <c r="Z2648">
        <v>-5.3131110000000002E-2</v>
      </c>
      <c r="AA2648">
        <v>0.95551209999999898</v>
      </c>
      <c r="AB2648">
        <v>49</v>
      </c>
      <c r="AC2648">
        <v>9.3351000000000095</v>
      </c>
      <c r="AD2648">
        <v>-1.0887682909159999</v>
      </c>
      <c r="AE2648">
        <v>0.31569999999999199</v>
      </c>
      <c r="AF2648">
        <v>2.85636676385649</v>
      </c>
      <c r="AG2648">
        <v>-1.0887682909159999</v>
      </c>
      <c r="AH2648">
        <v>8.7613671344368704</v>
      </c>
      <c r="AI2648">
        <v>96.738192982740003</v>
      </c>
      <c r="AJ2648">
        <v>71.943079379106905</v>
      </c>
      <c r="AK2648">
        <v>9.2793211791250503</v>
      </c>
    </row>
    <row r="2649" spans="1:37" x14ac:dyDescent="0.2">
      <c r="A2649" t="str">
        <f>"20200111153448011"</f>
        <v>20200111153448011</v>
      </c>
      <c r="B2649" t="str">
        <f>"1578728087998790"</f>
        <v>1578728087998790</v>
      </c>
      <c r="C2649" t="s">
        <v>37</v>
      </c>
      <c r="D2649">
        <v>5.9484409999999999</v>
      </c>
      <c r="E2649">
        <v>0.59026499999999904</v>
      </c>
      <c r="F2649" t="s">
        <v>56</v>
      </c>
      <c r="G2649">
        <v>-400.03719999999998</v>
      </c>
      <c r="H2649" s="1">
        <v>7.9629550000000001E-6</v>
      </c>
      <c r="I2649">
        <v>216.66239999999999</v>
      </c>
      <c r="J2649">
        <v>-409.52800000000002</v>
      </c>
      <c r="K2649">
        <v>1.088444</v>
      </c>
      <c r="L2649">
        <v>216.4179</v>
      </c>
      <c r="M2649">
        <v>0.94405349999999999</v>
      </c>
      <c r="N2649">
        <v>0</v>
      </c>
      <c r="O2649">
        <v>0.32938099999999998</v>
      </c>
      <c r="P2649">
        <v>0.962364</v>
      </c>
      <c r="Q2649">
        <v>3.2211259999999999E-2</v>
      </c>
      <c r="R2649">
        <v>0.26984839999999999</v>
      </c>
      <c r="S2649">
        <v>3.1025999999999998</v>
      </c>
      <c r="T2649">
        <v>-0.33944239999999998</v>
      </c>
      <c r="U2649">
        <v>0.12789919999999999</v>
      </c>
      <c r="V2649">
        <v>6.4034279999999999E-2</v>
      </c>
      <c r="W2649">
        <v>4.6246549999999997E-2</v>
      </c>
      <c r="X2649">
        <v>0.99687549999999903</v>
      </c>
      <c r="Y2649">
        <v>0.28665590000000002</v>
      </c>
      <c r="Z2649">
        <v>-5.096883E-2</v>
      </c>
      <c r="AA2649">
        <v>0.95667679999999999</v>
      </c>
      <c r="AB2649">
        <v>49</v>
      </c>
      <c r="AC2649">
        <v>9.4908000000000303</v>
      </c>
      <c r="AD2649">
        <v>-1.0884360370449999</v>
      </c>
      <c r="AE2649">
        <v>0.24449999999998701</v>
      </c>
      <c r="AF2649">
        <v>2.8580952509165898</v>
      </c>
      <c r="AG2649">
        <v>-1.0884360370449999</v>
      </c>
      <c r="AH2649">
        <v>8.9242858631367206</v>
      </c>
      <c r="AI2649">
        <v>96.625335732171195</v>
      </c>
      <c r="AJ2649">
        <v>72.241796089704096</v>
      </c>
      <c r="AK2649">
        <v>9.4337839511530106</v>
      </c>
    </row>
    <row r="2650" spans="1:37" x14ac:dyDescent="0.2">
      <c r="A2650" t="str">
        <f>"20200111153448031"</f>
        <v>20200111153448031</v>
      </c>
      <c r="B2650" t="str">
        <f>"1578728088018892"</f>
        <v>1578728088018892</v>
      </c>
      <c r="C2650" t="s">
        <v>37</v>
      </c>
      <c r="D2650">
        <v>5.6188510000000003</v>
      </c>
      <c r="E2650">
        <v>0.58959719999999904</v>
      </c>
      <c r="F2650" t="s">
        <v>52</v>
      </c>
      <c r="G2650">
        <v>-399.63799999999998</v>
      </c>
      <c r="H2650" s="1">
        <v>3.5920749999999998E-6</v>
      </c>
      <c r="I2650">
        <v>216.74510000000001</v>
      </c>
      <c r="J2650">
        <v>-409.06880000000001</v>
      </c>
      <c r="K2650">
        <v>1.0881379999999901</v>
      </c>
      <c r="L2650">
        <v>216.57669999999999</v>
      </c>
      <c r="M2650">
        <v>0.94836399999999998</v>
      </c>
      <c r="N2650">
        <v>0</v>
      </c>
      <c r="O2650">
        <v>0.31675569999999997</v>
      </c>
      <c r="P2650">
        <v>0.96573290000000001</v>
      </c>
      <c r="Q2650">
        <v>3.4291710000000003E-2</v>
      </c>
      <c r="R2650">
        <v>0.25726279999999901</v>
      </c>
      <c r="S2650">
        <v>3.0999759999999998</v>
      </c>
      <c r="T2650">
        <v>-0.34116599999999903</v>
      </c>
      <c r="U2650">
        <v>0.1025543</v>
      </c>
      <c r="V2650">
        <v>6.3839259999999995E-2</v>
      </c>
      <c r="W2650">
        <v>4.8300360000000001E-2</v>
      </c>
      <c r="X2650">
        <v>0.99679059999999897</v>
      </c>
      <c r="Y2650">
        <v>0.28171479999999999</v>
      </c>
      <c r="Z2650">
        <v>-4.9696009999999999E-2</v>
      </c>
      <c r="AA2650">
        <v>0.95821029999999996</v>
      </c>
      <c r="AB2650">
        <v>49</v>
      </c>
      <c r="AC2650">
        <v>9.4307999999999694</v>
      </c>
      <c r="AD2650">
        <v>-1.0881344079249999</v>
      </c>
      <c r="AE2650">
        <v>0.16840000000001901</v>
      </c>
      <c r="AF2650">
        <v>2.7907977763630698</v>
      </c>
      <c r="AG2650">
        <v>-1.0881344079249999</v>
      </c>
      <c r="AH2650">
        <v>8.8802122821469798</v>
      </c>
      <c r="AI2650">
        <v>96.667491898566198</v>
      </c>
      <c r="AJ2650">
        <v>72.553551950720802</v>
      </c>
      <c r="AK2650">
        <v>9.3718065971432303</v>
      </c>
    </row>
    <row r="2651" spans="1:37" x14ac:dyDescent="0.2">
      <c r="A2651" t="str">
        <f>"20200111153448055"</f>
        <v>20200111153448055</v>
      </c>
      <c r="B2651" t="str">
        <f>"1578728088048172"</f>
        <v>1578728088048172</v>
      </c>
      <c r="C2651" t="s">
        <v>37</v>
      </c>
      <c r="D2651">
        <v>6.0670599999999997</v>
      </c>
      <c r="E2651">
        <v>0.59348100000000004</v>
      </c>
      <c r="F2651" t="s">
        <v>52</v>
      </c>
      <c r="G2651">
        <v>-398.89179999999999</v>
      </c>
      <c r="H2651" s="1">
        <v>3.194974E-6</v>
      </c>
      <c r="I2651">
        <v>216.79689999999999</v>
      </c>
      <c r="J2651">
        <v>-408.58850000000001</v>
      </c>
      <c r="K2651">
        <v>1.087834</v>
      </c>
      <c r="L2651">
        <v>216.73599999999999</v>
      </c>
      <c r="M2651">
        <v>0.95272479999999904</v>
      </c>
      <c r="N2651">
        <v>0</v>
      </c>
      <c r="O2651">
        <v>0.30338670000000001</v>
      </c>
      <c r="P2651">
        <v>0.96933159999999896</v>
      </c>
      <c r="Q2651">
        <v>3.5553309999999998E-2</v>
      </c>
      <c r="R2651">
        <v>0.24317159999999999</v>
      </c>
      <c r="S2651">
        <v>3.100311</v>
      </c>
      <c r="T2651">
        <v>-0.33148889999999998</v>
      </c>
      <c r="U2651">
        <v>6.7077639999999994E-2</v>
      </c>
      <c r="V2651">
        <v>6.4407599999999995E-2</v>
      </c>
      <c r="W2651">
        <v>4.9510560000000002E-2</v>
      </c>
      <c r="X2651">
        <v>0.99669470000000004</v>
      </c>
      <c r="Y2651">
        <v>0.27947259999999902</v>
      </c>
      <c r="Z2651">
        <v>-4.6825569999999997E-2</v>
      </c>
      <c r="AA2651">
        <v>0.95901119999999995</v>
      </c>
      <c r="AB2651">
        <v>49</v>
      </c>
      <c r="AC2651">
        <v>9.6967000000000194</v>
      </c>
      <c r="AD2651">
        <v>-1.0878308050259999</v>
      </c>
      <c r="AE2651">
        <v>6.0900000000003701E-2</v>
      </c>
      <c r="AF2651">
        <v>2.8483739524719498</v>
      </c>
      <c r="AG2651">
        <v>-1.0878308050259999</v>
      </c>
      <c r="AH2651">
        <v>9.1429565523778606</v>
      </c>
      <c r="AI2651">
        <v>96.480751056632201</v>
      </c>
      <c r="AJ2651">
        <v>72.696229258949998</v>
      </c>
      <c r="AK2651">
        <v>9.63795956373305</v>
      </c>
    </row>
    <row r="2652" spans="1:37" x14ac:dyDescent="0.2">
      <c r="A2652" t="str">
        <f>"20200111153448077"</f>
        <v>20200111153448077</v>
      </c>
      <c r="B2652" t="str">
        <f>"1578728088068668"</f>
        <v>1578728088068668</v>
      </c>
      <c r="C2652" t="s">
        <v>37</v>
      </c>
      <c r="D2652">
        <v>5.7049959999999897</v>
      </c>
      <c r="E2652">
        <v>0.59499609999999903</v>
      </c>
      <c r="F2652" t="s">
        <v>52</v>
      </c>
      <c r="G2652">
        <v>-386.82760000000002</v>
      </c>
      <c r="H2652" s="1">
        <v>2.0045730000000001E-6</v>
      </c>
      <c r="I2652">
        <v>216.72040000000001</v>
      </c>
      <c r="J2652">
        <v>-408.10629999999998</v>
      </c>
      <c r="K2652">
        <v>1.0875429999999999</v>
      </c>
      <c r="L2652">
        <v>216.88890000000001</v>
      </c>
      <c r="M2652">
        <v>0.95694199999999996</v>
      </c>
      <c r="N2652">
        <v>0</v>
      </c>
      <c r="O2652">
        <v>0.28980929999999999</v>
      </c>
      <c r="P2652">
        <v>0.97297839999999902</v>
      </c>
      <c r="Q2652">
        <v>3.5151950000000001E-2</v>
      </c>
      <c r="R2652">
        <v>0.22820560000000001</v>
      </c>
      <c r="S2652">
        <v>3.1011660000000001</v>
      </c>
      <c r="T2652">
        <v>-0.15502850000000001</v>
      </c>
      <c r="U2652">
        <v>-2.2277829999999901E-3</v>
      </c>
      <c r="V2652">
        <v>6.5616250000000001E-2</v>
      </c>
      <c r="W2652">
        <v>4.9035250000000002E-2</v>
      </c>
      <c r="X2652">
        <v>0.99663939999999995</v>
      </c>
      <c r="Y2652">
        <v>0.28982029999999998</v>
      </c>
      <c r="Z2652">
        <v>-2.1561670000000002E-2</v>
      </c>
      <c r="AA2652">
        <v>0.95683819999999997</v>
      </c>
      <c r="AB2652">
        <v>49</v>
      </c>
      <c r="AC2652">
        <v>21.278699999999901</v>
      </c>
      <c r="AD2652">
        <v>-1.0875409954269999</v>
      </c>
      <c r="AE2652">
        <v>-0.16849999999999399</v>
      </c>
      <c r="AF2652">
        <v>6.3123845198503803</v>
      </c>
      <c r="AG2652">
        <v>-1.0875409954269999</v>
      </c>
      <c r="AH2652">
        <v>20.263489645552799</v>
      </c>
      <c r="AI2652">
        <v>92.933342598670706</v>
      </c>
      <c r="AJ2652">
        <v>72.697395956510405</v>
      </c>
      <c r="AK2652">
        <v>21.251775369568701</v>
      </c>
    </row>
    <row r="2653" spans="1:37" x14ac:dyDescent="0.2">
      <c r="A2653" t="str">
        <f>"20200111153448099"</f>
        <v>20200111153448099</v>
      </c>
      <c r="B2653" t="str">
        <f>"1578728088089167"</f>
        <v>1578728088089167</v>
      </c>
      <c r="C2653" t="s">
        <v>37</v>
      </c>
      <c r="D2653">
        <v>5.7093299999999996</v>
      </c>
      <c r="E2653">
        <v>0.5953792</v>
      </c>
      <c r="F2653" t="s">
        <v>52</v>
      </c>
      <c r="G2653">
        <v>-385.92590000000001</v>
      </c>
      <c r="H2653" s="1">
        <v>1.5364089999999901E-6</v>
      </c>
      <c r="I2653">
        <v>216.45259999999999</v>
      </c>
      <c r="J2653">
        <v>-407.62759999999997</v>
      </c>
      <c r="K2653">
        <v>1.0872850000000001</v>
      </c>
      <c r="L2653">
        <v>217.0334</v>
      </c>
      <c r="M2653">
        <v>0.96095969999999997</v>
      </c>
      <c r="N2653">
        <v>0</v>
      </c>
      <c r="O2653">
        <v>0.2761942</v>
      </c>
      <c r="P2653">
        <v>0.97632149999999995</v>
      </c>
      <c r="Q2653">
        <v>3.4050419999999998E-2</v>
      </c>
      <c r="R2653">
        <v>0.2136284</v>
      </c>
      <c r="S2653">
        <v>3.1031490000000002</v>
      </c>
      <c r="T2653">
        <v>-0.15215279999999901</v>
      </c>
      <c r="U2653">
        <v>-6.1035159999999998E-2</v>
      </c>
      <c r="V2653">
        <v>6.6368679999999999E-2</v>
      </c>
      <c r="W2653">
        <v>4.7883139999999998E-2</v>
      </c>
      <c r="X2653">
        <v>0.99664560000000002</v>
      </c>
      <c r="Y2653">
        <v>0.29439870000000001</v>
      </c>
      <c r="Z2653">
        <v>-2.062195E-2</v>
      </c>
      <c r="AA2653">
        <v>0.95546019999999898</v>
      </c>
      <c r="AB2653">
        <v>49</v>
      </c>
      <c r="AC2653">
        <v>21.701699999999899</v>
      </c>
      <c r="AD2653">
        <v>-1.087283463591</v>
      </c>
      <c r="AE2653">
        <v>-0.58080000000000997</v>
      </c>
      <c r="AF2653">
        <v>6.5365085014971998</v>
      </c>
      <c r="AG2653">
        <v>-1.087283463591</v>
      </c>
      <c r="AH2653">
        <v>20.645088127754899</v>
      </c>
      <c r="AI2653">
        <v>92.874349893127999</v>
      </c>
      <c r="AJ2653">
        <v>72.431522746524195</v>
      </c>
      <c r="AK2653">
        <v>21.682430503131101</v>
      </c>
    </row>
    <row r="2654" spans="1:37" x14ac:dyDescent="0.2">
      <c r="A2654" t="str">
        <f>"20200111153448122"</f>
        <v>20200111153448122</v>
      </c>
      <c r="B2654" t="str">
        <f>"1578728088108693"</f>
        <v>1578728088108693</v>
      </c>
      <c r="C2654" t="s">
        <v>37</v>
      </c>
      <c r="D2654">
        <v>5.7010170000000002</v>
      </c>
      <c r="E2654">
        <v>0.59515150000000006</v>
      </c>
      <c r="F2654" t="s">
        <v>52</v>
      </c>
      <c r="G2654">
        <v>-385.5847</v>
      </c>
      <c r="H2654" s="1">
        <v>1.3640490000000001E-6</v>
      </c>
      <c r="I2654">
        <v>216.24189999999999</v>
      </c>
      <c r="J2654">
        <v>-407.15449999999998</v>
      </c>
      <c r="K2654">
        <v>1.087053</v>
      </c>
      <c r="L2654">
        <v>217.16909999999999</v>
      </c>
      <c r="M2654">
        <v>0.96475809999999995</v>
      </c>
      <c r="N2654">
        <v>0</v>
      </c>
      <c r="O2654">
        <v>0.26261760000000001</v>
      </c>
      <c r="P2654">
        <v>0.9792476</v>
      </c>
      <c r="Q2654">
        <v>3.4436840000000003E-2</v>
      </c>
      <c r="R2654">
        <v>0.19972119999999999</v>
      </c>
      <c r="S2654">
        <v>3.1025390000000002</v>
      </c>
      <c r="T2654">
        <v>-0.15303539999999999</v>
      </c>
      <c r="U2654">
        <v>-0.111404399999999</v>
      </c>
      <c r="V2654">
        <v>6.6529909999999998E-2</v>
      </c>
      <c r="W2654">
        <v>4.8247499999999999E-2</v>
      </c>
      <c r="X2654">
        <v>0.99661730000000004</v>
      </c>
      <c r="Y2654">
        <v>0.29643419999999998</v>
      </c>
      <c r="Z2654">
        <v>-2.0147290000000002E-2</v>
      </c>
      <c r="AA2654">
        <v>0.95484080000000005</v>
      </c>
      <c r="AB2654">
        <v>49</v>
      </c>
      <c r="AC2654">
        <v>21.569799999999901</v>
      </c>
      <c r="AD2654">
        <v>-1.0870516359510001</v>
      </c>
      <c r="AE2654">
        <v>-0.92719999999999902</v>
      </c>
      <c r="AF2654">
        <v>6.54344225293727</v>
      </c>
      <c r="AG2654">
        <v>-1.0870516359510001</v>
      </c>
      <c r="AH2654">
        <v>20.516942506979198</v>
      </c>
      <c r="AI2654">
        <v>92.889728025586905</v>
      </c>
      <c r="AJ2654">
        <v>72.311023932034999</v>
      </c>
      <c r="AK2654">
        <v>21.562542698193901</v>
      </c>
    </row>
    <row r="2655" spans="1:37" x14ac:dyDescent="0.2">
      <c r="A2655" t="str">
        <f>"20200111153448143"</f>
        <v>20200111153448143</v>
      </c>
      <c r="B2655" t="str">
        <f>"1578728088138937"</f>
        <v>1578728088138937</v>
      </c>
      <c r="C2655" t="s">
        <v>37</v>
      </c>
      <c r="D2655">
        <v>5.7435720000000003</v>
      </c>
      <c r="E2655">
        <v>0.59437790000000001</v>
      </c>
      <c r="F2655" t="s">
        <v>52</v>
      </c>
      <c r="G2655">
        <v>-385.31990000000002</v>
      </c>
      <c r="H2655" s="1">
        <v>1.230096E-6</v>
      </c>
      <c r="I2655">
        <v>216.0822</v>
      </c>
      <c r="J2655">
        <v>-406.70249999999999</v>
      </c>
      <c r="K2655">
        <v>1.086859</v>
      </c>
      <c r="L2655">
        <v>217.29230000000001</v>
      </c>
      <c r="M2655">
        <v>0.96821869999999999</v>
      </c>
      <c r="N2655">
        <v>0</v>
      </c>
      <c r="O2655">
        <v>0.24955549999999899</v>
      </c>
      <c r="P2655">
        <v>0.98189459999999995</v>
      </c>
      <c r="Q2655">
        <v>3.71388E-2</v>
      </c>
      <c r="R2655">
        <v>0.18575169999999999</v>
      </c>
      <c r="S2655">
        <v>3.1004640000000001</v>
      </c>
      <c r="T2655">
        <v>-0.15435869999999999</v>
      </c>
      <c r="U2655">
        <v>-0.154327399999999</v>
      </c>
      <c r="V2655">
        <v>6.7368929999999994E-2</v>
      </c>
      <c r="W2655">
        <v>5.0902599999999999E-2</v>
      </c>
      <c r="X2655">
        <v>0.9964288</v>
      </c>
      <c r="Y2655">
        <v>0.29674970000000001</v>
      </c>
      <c r="Z2655">
        <v>-1.9707929999999999E-2</v>
      </c>
      <c r="AA2655">
        <v>0.95475189999999999</v>
      </c>
      <c r="AB2655">
        <v>49</v>
      </c>
      <c r="AC2655">
        <v>21.382599999999901</v>
      </c>
      <c r="AD2655">
        <v>-1.0868577699040001</v>
      </c>
      <c r="AE2655">
        <v>-1.2101000000000099</v>
      </c>
      <c r="AF2655">
        <v>6.4919615394327304</v>
      </c>
      <c r="AG2655">
        <v>-1.0868577699040001</v>
      </c>
      <c r="AH2655">
        <v>20.351435716902799</v>
      </c>
      <c r="AI2655">
        <v>92.9126156519429</v>
      </c>
      <c r="AJ2655">
        <v>72.307691360803702</v>
      </c>
      <c r="AK2655">
        <v>21.389431039200201</v>
      </c>
    </row>
    <row r="2656" spans="1:37" x14ac:dyDescent="0.2">
      <c r="A2656" t="str">
        <f>"20200111153448167"</f>
        <v>20200111153448167</v>
      </c>
      <c r="B2656" t="str">
        <f>"1578728088158457"</f>
        <v>1578728088158457</v>
      </c>
      <c r="C2656" t="s">
        <v>37</v>
      </c>
      <c r="D2656">
        <v>5.7627449999999998</v>
      </c>
      <c r="E2656">
        <v>0.59316869999999999</v>
      </c>
      <c r="F2656" t="s">
        <v>52</v>
      </c>
      <c r="G2656">
        <v>-384.89859999999999</v>
      </c>
      <c r="H2656" s="1">
        <v>1.0121259999999899E-6</v>
      </c>
      <c r="I2656">
        <v>215.94069999999999</v>
      </c>
      <c r="J2656">
        <v>-406.202</v>
      </c>
      <c r="K2656">
        <v>1.0866610000000001</v>
      </c>
      <c r="L2656">
        <v>217.42150000000001</v>
      </c>
      <c r="M2656">
        <v>0.97185460000000001</v>
      </c>
      <c r="N2656">
        <v>0</v>
      </c>
      <c r="O2656">
        <v>0.23499690000000001</v>
      </c>
      <c r="P2656">
        <v>0.984626</v>
      </c>
      <c r="Q2656">
        <v>3.8803509999999999E-2</v>
      </c>
      <c r="R2656">
        <v>0.170311299999999</v>
      </c>
      <c r="S2656">
        <v>3.0974430000000002</v>
      </c>
      <c r="T2656">
        <v>-0.15439810000000001</v>
      </c>
      <c r="U2656">
        <v>-0.19201660000000001</v>
      </c>
      <c r="V2656">
        <v>6.8140370000000006E-2</v>
      </c>
      <c r="W2656">
        <v>5.2522619999999999E-2</v>
      </c>
      <c r="X2656">
        <v>0.99629219999999896</v>
      </c>
      <c r="Y2656">
        <v>0.2940663</v>
      </c>
      <c r="Z2656">
        <v>-1.895283E-2</v>
      </c>
      <c r="AA2656">
        <v>0.95559709999999998</v>
      </c>
      <c r="AB2656">
        <v>49</v>
      </c>
      <c r="AC2656">
        <v>21.3034</v>
      </c>
      <c r="AD2656">
        <v>-1.086659987874</v>
      </c>
      <c r="AE2656">
        <v>-1.4808000000000101</v>
      </c>
      <c r="AF2656">
        <v>6.4295932953762804</v>
      </c>
      <c r="AG2656">
        <v>-1.086659987874</v>
      </c>
      <c r="AH2656">
        <v>20.306044215733799</v>
      </c>
      <c r="AI2656">
        <v>92.920568958332694</v>
      </c>
      <c r="AJ2656">
        <v>72.430418491902302</v>
      </c>
      <c r="AK2656">
        <v>21.327351724124799</v>
      </c>
    </row>
    <row r="2657" spans="1:37" x14ac:dyDescent="0.2">
      <c r="A2657" t="str">
        <f>"20200111153448188"</f>
        <v>20200111153448188</v>
      </c>
      <c r="B2657" t="str">
        <f>"1578728088178956"</f>
        <v>1578728088178956</v>
      </c>
      <c r="C2657" t="s">
        <v>37</v>
      </c>
      <c r="D2657">
        <v>5.7149999999999999</v>
      </c>
      <c r="E2657">
        <v>0.59182069999999998</v>
      </c>
      <c r="F2657" t="s">
        <v>52</v>
      </c>
      <c r="G2657">
        <v>-384.78489999999999</v>
      </c>
      <c r="H2657" s="1">
        <v>9.5670159999999996E-7</v>
      </c>
      <c r="I2657">
        <v>215.8244</v>
      </c>
      <c r="J2657">
        <v>-405.72390000000001</v>
      </c>
      <c r="K2657">
        <v>1.0864819999999999</v>
      </c>
      <c r="L2657">
        <v>217.53790000000001</v>
      </c>
      <c r="M2657">
        <v>0.97512909999999997</v>
      </c>
      <c r="N2657">
        <v>0</v>
      </c>
      <c r="O2657">
        <v>0.22101469999999901</v>
      </c>
      <c r="P2657">
        <v>0.98677119999999996</v>
      </c>
      <c r="Q2657">
        <v>3.875054E-2</v>
      </c>
      <c r="R2657">
        <v>0.157420899999999</v>
      </c>
      <c r="S2657">
        <v>3.0929570000000002</v>
      </c>
      <c r="T2657">
        <v>-0.15693070000000001</v>
      </c>
      <c r="U2657">
        <v>-0.2306366</v>
      </c>
      <c r="V2657">
        <v>6.6880110000000006E-2</v>
      </c>
      <c r="W2657">
        <v>5.2514529999999997E-2</v>
      </c>
      <c r="X2657">
        <v>0.99637809999999905</v>
      </c>
      <c r="Y2657">
        <v>0.2922997</v>
      </c>
      <c r="Z2657">
        <v>-1.854602E-2</v>
      </c>
      <c r="AA2657">
        <v>0.95614690000000002</v>
      </c>
      <c r="AB2657">
        <v>49</v>
      </c>
      <c r="AC2657">
        <v>20.939</v>
      </c>
      <c r="AD2657">
        <v>-1.0864810432984</v>
      </c>
      <c r="AE2657">
        <v>-1.71350000000001</v>
      </c>
      <c r="AF2657">
        <v>6.28277615631076</v>
      </c>
      <c r="AG2657">
        <v>-1.0864810432984</v>
      </c>
      <c r="AH2657">
        <v>19.988823935424801</v>
      </c>
      <c r="AI2657">
        <v>92.968319883925204</v>
      </c>
      <c r="AJ2657">
        <v>72.551313279447697</v>
      </c>
      <c r="AK2657">
        <v>20.981105776606899</v>
      </c>
    </row>
    <row r="2658" spans="1:37" x14ac:dyDescent="0.2">
      <c r="A2658" t="str">
        <f>"20200111153448210"</f>
        <v>20200111153448210</v>
      </c>
      <c r="B2658" t="str">
        <f>"1578728088198473"</f>
        <v>1578728088198473</v>
      </c>
      <c r="C2658" t="s">
        <v>37</v>
      </c>
      <c r="D2658">
        <v>5.7431900000000002</v>
      </c>
      <c r="E2658">
        <v>0.59042640000000002</v>
      </c>
      <c r="F2658" t="s">
        <v>52</v>
      </c>
      <c r="G2658">
        <v>-384.95960000000002</v>
      </c>
      <c r="H2658" s="1">
        <v>1.0514119999999999E-6</v>
      </c>
      <c r="I2658">
        <v>215.7841</v>
      </c>
      <c r="J2658">
        <v>-405.2636</v>
      </c>
      <c r="K2658">
        <v>1.086314</v>
      </c>
      <c r="L2658">
        <v>217.64340000000001</v>
      </c>
      <c r="M2658">
        <v>0.97809429999999997</v>
      </c>
      <c r="N2658">
        <v>0</v>
      </c>
      <c r="O2658">
        <v>0.2074974</v>
      </c>
      <c r="P2658">
        <v>0.98844609999999899</v>
      </c>
      <c r="Q2658">
        <v>3.7854850000000002E-2</v>
      </c>
      <c r="R2658">
        <v>0.1467695</v>
      </c>
      <c r="S2658">
        <v>3.088165</v>
      </c>
      <c r="T2658">
        <v>-0.1615866</v>
      </c>
      <c r="U2658">
        <v>-0.2608337</v>
      </c>
      <c r="V2658">
        <v>6.3824030000000004E-2</v>
      </c>
      <c r="W2658">
        <v>5.1745010000000001E-2</v>
      </c>
      <c r="X2658">
        <v>0.99661869999999997</v>
      </c>
      <c r="Y2658">
        <v>0.2884466</v>
      </c>
      <c r="Z2658">
        <v>-1.832404E-2</v>
      </c>
      <c r="AA2658">
        <v>0.95732059999999997</v>
      </c>
      <c r="AB2658">
        <v>49</v>
      </c>
      <c r="AC2658">
        <v>20.303999999999899</v>
      </c>
      <c r="AD2658">
        <v>-1.0863129485880001</v>
      </c>
      <c r="AE2658">
        <v>-1.8593000000000099</v>
      </c>
      <c r="AF2658">
        <v>6.0153557763066301</v>
      </c>
      <c r="AG2658">
        <v>-1.0863129485880001</v>
      </c>
      <c r="AH2658">
        <v>19.420987809163801</v>
      </c>
      <c r="AI2658">
        <v>93.058447120083201</v>
      </c>
      <c r="AJ2658">
        <v>72.790427485506996</v>
      </c>
      <c r="AK2658">
        <v>20.360239399906501</v>
      </c>
    </row>
    <row r="2659" spans="1:37" x14ac:dyDescent="0.2">
      <c r="A2659" t="str">
        <f>"20200111153448232"</f>
        <v>20200111153448232</v>
      </c>
      <c r="B2659" t="str">
        <f>"1578728088228729"</f>
        <v>1578728088228729</v>
      </c>
      <c r="C2659" t="s">
        <v>37</v>
      </c>
      <c r="D2659">
        <v>5.7564950000000001</v>
      </c>
      <c r="E2659">
        <v>0.57579799999999903</v>
      </c>
      <c r="F2659" t="s">
        <v>52</v>
      </c>
      <c r="G2659">
        <v>-385.48860000000002</v>
      </c>
      <c r="H2659" s="1">
        <v>1.3312639999999999E-6</v>
      </c>
      <c r="I2659">
        <v>215.82249999999999</v>
      </c>
      <c r="J2659">
        <v>-404.78339999999997</v>
      </c>
      <c r="K2659">
        <v>1.0861689999999999</v>
      </c>
      <c r="L2659">
        <v>217.7467</v>
      </c>
      <c r="M2659">
        <v>0.98099009999999998</v>
      </c>
      <c r="N2659">
        <v>0</v>
      </c>
      <c r="O2659">
        <v>0.19334389999999901</v>
      </c>
      <c r="P2659">
        <v>0.99012659999999997</v>
      </c>
      <c r="Q2659">
        <v>3.7356309999999997E-2</v>
      </c>
      <c r="R2659">
        <v>0.13510749999999999</v>
      </c>
      <c r="S2659">
        <v>3.08371</v>
      </c>
      <c r="T2659">
        <v>-0.16939960000000001</v>
      </c>
      <c r="U2659">
        <v>-0.2839508</v>
      </c>
      <c r="V2659">
        <v>6.1172999999999998E-2</v>
      </c>
      <c r="W2659">
        <v>5.1356899999999997E-2</v>
      </c>
      <c r="X2659">
        <v>0.9968051</v>
      </c>
      <c r="Y2659">
        <v>0.28180749999999999</v>
      </c>
      <c r="Z2659">
        <v>-1.8283580000000001E-2</v>
      </c>
      <c r="AA2659">
        <v>0.959296699999999</v>
      </c>
      <c r="AB2659">
        <v>49</v>
      </c>
      <c r="AC2659">
        <v>19.294799999999899</v>
      </c>
      <c r="AD2659">
        <v>-1.086167668736</v>
      </c>
      <c r="AE2659">
        <v>-1.9242000000000099</v>
      </c>
      <c r="AF2659">
        <v>5.6013545440194896</v>
      </c>
      <c r="AG2659">
        <v>-1.086167668736</v>
      </c>
      <c r="AH2659">
        <v>18.500492387075301</v>
      </c>
      <c r="AI2659">
        <v>93.2161358685415</v>
      </c>
      <c r="AJ2659">
        <v>73.1553742911521</v>
      </c>
      <c r="AK2659">
        <v>19.360349983836699</v>
      </c>
    </row>
    <row r="2660" spans="1:37" x14ac:dyDescent="0.2">
      <c r="A2660" t="str">
        <f>"20200111153448255"</f>
        <v>20200111153448255</v>
      </c>
      <c r="B2660" t="str">
        <f>"1578728088248250"</f>
        <v>1578728088248250</v>
      </c>
      <c r="C2660" t="s">
        <v>37</v>
      </c>
      <c r="D2660">
        <v>5.7421150000000001</v>
      </c>
      <c r="E2660">
        <v>0.57448120000000003</v>
      </c>
      <c r="F2660" t="s">
        <v>52</v>
      </c>
      <c r="G2660">
        <v>-391.48779999999999</v>
      </c>
      <c r="H2660" s="1">
        <v>-7.4507380000000001E-7</v>
      </c>
      <c r="I2660">
        <v>216.8442</v>
      </c>
      <c r="J2660">
        <v>-404.29230000000001</v>
      </c>
      <c r="K2660">
        <v>1.0860459999999901</v>
      </c>
      <c r="L2660">
        <v>217.84520000000001</v>
      </c>
      <c r="M2660">
        <v>0.98373999999999995</v>
      </c>
      <c r="N2660">
        <v>0</v>
      </c>
      <c r="O2660">
        <v>0.1788257</v>
      </c>
      <c r="P2660">
        <v>0.99170040000000004</v>
      </c>
      <c r="Q2660">
        <v>3.8771100000000003E-2</v>
      </c>
      <c r="R2660">
        <v>0.122586899999999</v>
      </c>
      <c r="S2660">
        <v>3.0678099999999899</v>
      </c>
      <c r="T2660">
        <v>-0.25062000000000001</v>
      </c>
      <c r="U2660">
        <v>-0.2082367</v>
      </c>
      <c r="V2660">
        <v>5.9104099999999903E-2</v>
      </c>
      <c r="W2660">
        <v>5.2858330000000002E-2</v>
      </c>
      <c r="X2660">
        <v>0.99685140000000005</v>
      </c>
      <c r="Y2660">
        <v>0.24366950000000001</v>
      </c>
      <c r="Z2660">
        <v>-2.4457940000000001E-2</v>
      </c>
      <c r="AA2660">
        <v>0.96954989999999996</v>
      </c>
      <c r="AB2660">
        <v>49</v>
      </c>
      <c r="AC2660">
        <v>12.804500000000001</v>
      </c>
      <c r="AD2660">
        <v>-1.0860467450737901</v>
      </c>
      <c r="AE2660">
        <v>-1.0009999999999999</v>
      </c>
      <c r="AF2660">
        <v>3.25170028763984</v>
      </c>
      <c r="AG2660">
        <v>-1.0860467450737901</v>
      </c>
      <c r="AH2660">
        <v>12.3308448093509</v>
      </c>
      <c r="AI2660">
        <v>94.867804138570605</v>
      </c>
      <c r="AJ2660">
        <v>75.227146867704604</v>
      </c>
      <c r="AK2660">
        <v>12.7985462457819</v>
      </c>
    </row>
    <row r="2661" spans="1:37" x14ac:dyDescent="0.2">
      <c r="A2661" t="str">
        <f>"20200111153448277"</f>
        <v>20200111153448277</v>
      </c>
      <c r="B2661" t="str">
        <f>"1578728088268748"</f>
        <v>1578728088268748</v>
      </c>
      <c r="C2661" t="s">
        <v>37</v>
      </c>
      <c r="D2661">
        <v>5.7389130000000002</v>
      </c>
      <c r="E2661">
        <v>0.57339200000000001</v>
      </c>
      <c r="F2661" t="s">
        <v>52</v>
      </c>
      <c r="G2661">
        <v>-390.66109999999998</v>
      </c>
      <c r="H2661" s="1">
        <v>-1.1849850000000001E-6</v>
      </c>
      <c r="I2661">
        <v>216.79570000000001</v>
      </c>
      <c r="J2661">
        <v>-403.80430000000001</v>
      </c>
      <c r="K2661">
        <v>1.085931</v>
      </c>
      <c r="L2661">
        <v>217.93599999999901</v>
      </c>
      <c r="M2661">
        <v>0.98625859999999999</v>
      </c>
      <c r="N2661">
        <v>0</v>
      </c>
      <c r="O2661">
        <v>0.16436799999999999</v>
      </c>
      <c r="P2661">
        <v>0.99311479999999996</v>
      </c>
      <c r="Q2661">
        <v>4.0206720000000001E-2</v>
      </c>
      <c r="R2661">
        <v>0.1100305</v>
      </c>
      <c r="S2661">
        <v>3.0638429999999999</v>
      </c>
      <c r="T2661">
        <v>-0.24410709999999999</v>
      </c>
      <c r="U2661">
        <v>-0.2359009</v>
      </c>
      <c r="V2661">
        <v>5.7153280000000001E-2</v>
      </c>
      <c r="W2661">
        <v>5.4376300000000002E-2</v>
      </c>
      <c r="X2661">
        <v>0.99688349999999903</v>
      </c>
      <c r="Y2661">
        <v>0.23835990000000001</v>
      </c>
      <c r="Z2661">
        <v>-2.2500030000000001E-2</v>
      </c>
      <c r="AA2661">
        <v>0.97091620000000001</v>
      </c>
      <c r="AB2661">
        <v>49</v>
      </c>
      <c r="AC2661">
        <v>13.1432</v>
      </c>
      <c r="AD2661">
        <v>-1.0859321849850001</v>
      </c>
      <c r="AE2661">
        <v>-1.1402999999999599</v>
      </c>
      <c r="AF2661">
        <v>3.26329673755219</v>
      </c>
      <c r="AG2661">
        <v>-1.0859321849850001</v>
      </c>
      <c r="AH2661">
        <v>12.690947279759801</v>
      </c>
      <c r="AI2661">
        <v>94.737369260758996</v>
      </c>
      <c r="AJ2661">
        <v>75.5796067493485</v>
      </c>
      <c r="AK2661">
        <v>13.14870705299</v>
      </c>
    </row>
    <row r="2662" spans="1:37" x14ac:dyDescent="0.2">
      <c r="A2662" t="str">
        <f>"20200111153448300"</f>
        <v>20200111153448300</v>
      </c>
      <c r="B2662" t="str">
        <f>"1578728088289245"</f>
        <v>1578728088289245</v>
      </c>
      <c r="C2662" t="s">
        <v>37</v>
      </c>
      <c r="D2662">
        <v>5.7235769999999997</v>
      </c>
      <c r="E2662">
        <v>0.57295160000000001</v>
      </c>
      <c r="F2662" t="s">
        <v>52</v>
      </c>
      <c r="G2662">
        <v>-390.26670000000001</v>
      </c>
      <c r="H2662" s="1">
        <v>-1.3948749999999999E-6</v>
      </c>
      <c r="I2662">
        <v>216.76140000000001</v>
      </c>
      <c r="J2662">
        <v>-403.32420000000002</v>
      </c>
      <c r="K2662">
        <v>1.085828</v>
      </c>
      <c r="L2662">
        <v>218.018</v>
      </c>
      <c r="M2662">
        <v>0.98852640000000003</v>
      </c>
      <c r="N2662">
        <v>0</v>
      </c>
      <c r="O2662">
        <v>0.1501265</v>
      </c>
      <c r="P2662">
        <v>0.99421319999999902</v>
      </c>
      <c r="Q2662">
        <v>4.1190579999999997E-2</v>
      </c>
      <c r="R2662">
        <v>9.9215869999999998E-2</v>
      </c>
      <c r="S2662">
        <v>3.06012</v>
      </c>
      <c r="T2662">
        <v>-0.24547049999999901</v>
      </c>
      <c r="U2662">
        <v>-0.26550289999999999</v>
      </c>
      <c r="V2662">
        <v>5.3674590000000001E-2</v>
      </c>
      <c r="W2662">
        <v>5.5511360000000003E-2</v>
      </c>
      <c r="X2662">
        <v>0.99701430000000002</v>
      </c>
      <c r="Y2662">
        <v>0.23381759999999999</v>
      </c>
      <c r="Z2662">
        <v>-2.1333189999999998E-2</v>
      </c>
      <c r="AA2662">
        <v>0.97204639999999998</v>
      </c>
      <c r="AB2662">
        <v>49</v>
      </c>
      <c r="AC2662">
        <v>13.057499999999999</v>
      </c>
      <c r="AD2662">
        <v>-1.085829394875</v>
      </c>
      <c r="AE2662">
        <v>-1.2565999999999899</v>
      </c>
      <c r="AF2662">
        <v>3.18110757463239</v>
      </c>
      <c r="AG2662">
        <v>-1.085829394875</v>
      </c>
      <c r="AH2662">
        <v>12.6342340087448</v>
      </c>
      <c r="AI2662">
        <v>94.764149430956607</v>
      </c>
      <c r="AJ2662">
        <v>75.867553068048807</v>
      </c>
      <c r="AK2662">
        <v>13.073727083884</v>
      </c>
    </row>
    <row r="2663" spans="1:37" x14ac:dyDescent="0.2">
      <c r="A2663" t="str">
        <f>"20200111153448323"</f>
        <v>20200111153448323</v>
      </c>
      <c r="B2663" t="str">
        <f>"1578728088318521"</f>
        <v>1578728088318521</v>
      </c>
      <c r="C2663" t="s">
        <v>37</v>
      </c>
      <c r="D2663">
        <v>5.7417499999999997</v>
      </c>
      <c r="E2663">
        <v>0.57081340000000003</v>
      </c>
      <c r="F2663" t="s">
        <v>52</v>
      </c>
      <c r="G2663">
        <v>-389.22089999999997</v>
      </c>
      <c r="H2663" s="1">
        <v>3.28098099999999E-6</v>
      </c>
      <c r="I2663">
        <v>216.65620000000001</v>
      </c>
      <c r="J2663">
        <v>-402.82639999999998</v>
      </c>
      <c r="K2663">
        <v>1.085739</v>
      </c>
      <c r="L2663">
        <v>218.09540000000001</v>
      </c>
      <c r="M2663">
        <v>0.99065740000000002</v>
      </c>
      <c r="N2663">
        <v>0</v>
      </c>
      <c r="O2663">
        <v>0.13535220000000001</v>
      </c>
      <c r="P2663">
        <v>0.99513479999999999</v>
      </c>
      <c r="Q2663">
        <v>4.2180299999999997E-2</v>
      </c>
      <c r="R2663">
        <v>8.9039060000000003E-2</v>
      </c>
      <c r="S2663">
        <v>3.0566409999999999</v>
      </c>
      <c r="T2663">
        <v>-0.23533490000000001</v>
      </c>
      <c r="U2663">
        <v>-0.29515079999999999</v>
      </c>
      <c r="V2663">
        <v>4.904041E-2</v>
      </c>
      <c r="W2663">
        <v>5.6704919999999999E-2</v>
      </c>
      <c r="X2663">
        <v>0.99718580000000001</v>
      </c>
      <c r="Y2663">
        <v>0.2289032</v>
      </c>
      <c r="Z2663">
        <v>-1.9154310000000001E-2</v>
      </c>
      <c r="AA2663">
        <v>0.97326069999999998</v>
      </c>
      <c r="AB2663">
        <v>48</v>
      </c>
      <c r="AC2663">
        <v>13.605499999999999</v>
      </c>
      <c r="AD2663">
        <v>-1.085735719019</v>
      </c>
      <c r="AE2663">
        <v>-1.43919999999999</v>
      </c>
      <c r="AF2663">
        <v>3.24729155224346</v>
      </c>
      <c r="AG2663">
        <v>-1.085735719019</v>
      </c>
      <c r="AH2663">
        <v>13.202290204695201</v>
      </c>
      <c r="AI2663">
        <v>94.565851657931105</v>
      </c>
      <c r="AJ2663">
        <v>76.181591341721003</v>
      </c>
      <c r="AK2663">
        <v>13.639068557853101</v>
      </c>
    </row>
    <row r="2664" spans="1:37" x14ac:dyDescent="0.2">
      <c r="A2664" t="str">
        <f>"20200111153448344"</f>
        <v>20200111153448344</v>
      </c>
      <c r="B2664" t="str">
        <f>"1578728088339017"</f>
        <v>1578728088339017</v>
      </c>
      <c r="C2664" t="s">
        <v>37</v>
      </c>
      <c r="D2664">
        <v>5.7239440000000004</v>
      </c>
      <c r="E2664">
        <v>0.569573</v>
      </c>
      <c r="F2664" t="s">
        <v>52</v>
      </c>
      <c r="G2664">
        <v>-388.83179999999999</v>
      </c>
      <c r="H2664" s="1">
        <v>3.0731799999999999E-6</v>
      </c>
      <c r="I2664">
        <v>216.6721</v>
      </c>
      <c r="J2664">
        <v>-402.35719999999998</v>
      </c>
      <c r="K2664">
        <v>1.0856669999999999</v>
      </c>
      <c r="L2664">
        <v>218.1617</v>
      </c>
      <c r="M2664">
        <v>0.99246119999999904</v>
      </c>
      <c r="N2664">
        <v>0</v>
      </c>
      <c r="O2664">
        <v>0.121421</v>
      </c>
      <c r="P2664">
        <v>0.99586559999999902</v>
      </c>
      <c r="Q2664">
        <v>4.2681650000000002E-2</v>
      </c>
      <c r="R2664">
        <v>8.0189759999999999E-2</v>
      </c>
      <c r="S2664">
        <v>3.05246</v>
      </c>
      <c r="T2664">
        <v>-0.23681720000000001</v>
      </c>
      <c r="U2664">
        <v>-0.31045529999999999</v>
      </c>
      <c r="V2664">
        <v>4.3924060000000001E-2</v>
      </c>
      <c r="W2664">
        <v>5.7432329999999997E-2</v>
      </c>
      <c r="X2664">
        <v>0.99738269999999996</v>
      </c>
      <c r="Y2664">
        <v>0.22023239999999999</v>
      </c>
      <c r="Z2664">
        <v>-1.7888660000000001E-2</v>
      </c>
      <c r="AA2664">
        <v>0.97528340000000002</v>
      </c>
      <c r="AB2664">
        <v>48</v>
      </c>
      <c r="AC2664">
        <v>13.5253999999999</v>
      </c>
      <c r="AD2664">
        <v>-1.0856639268199999</v>
      </c>
      <c r="AE2664">
        <v>-1.48959999999999</v>
      </c>
      <c r="AF2664">
        <v>3.1013286903092898</v>
      </c>
      <c r="AG2664">
        <v>-1.0856639268199999</v>
      </c>
      <c r="AH2664">
        <v>13.160626935803799</v>
      </c>
      <c r="AI2664">
        <v>94.590659303625202</v>
      </c>
      <c r="AJ2664">
        <v>76.740049562051993</v>
      </c>
      <c r="AK2664">
        <v>13.5646233692918</v>
      </c>
    </row>
    <row r="2665" spans="1:37" x14ac:dyDescent="0.2">
      <c r="A2665" t="str">
        <f>"20200111153448368"</f>
        <v>20200111153448368</v>
      </c>
      <c r="B2665" t="str">
        <f>"1578728088358537"</f>
        <v>1578728088358537</v>
      </c>
      <c r="C2665" t="s">
        <v>37</v>
      </c>
      <c r="D2665">
        <v>5.7012679999999998</v>
      </c>
      <c r="E2665">
        <v>0.56901630000000003</v>
      </c>
      <c r="F2665" t="s">
        <v>52</v>
      </c>
      <c r="G2665">
        <v>-388.35320000000002</v>
      </c>
      <c r="H2665" s="1">
        <v>2.81946399999999E-6</v>
      </c>
      <c r="I2665">
        <v>216.6508</v>
      </c>
      <c r="J2665">
        <v>-401.85770000000002</v>
      </c>
      <c r="K2665">
        <v>1.085591</v>
      </c>
      <c r="L2665">
        <v>218.2251</v>
      </c>
      <c r="M2665">
        <v>0.99416199999999999</v>
      </c>
      <c r="N2665">
        <v>0</v>
      </c>
      <c r="O2665">
        <v>0.1066016</v>
      </c>
      <c r="P2665">
        <v>0.99658559999999996</v>
      </c>
      <c r="Q2665">
        <v>4.3832400000000001E-2</v>
      </c>
      <c r="R2665">
        <v>6.9970379999999999E-2</v>
      </c>
      <c r="S2665">
        <v>3.0491029999999899</v>
      </c>
      <c r="T2665">
        <v>-0.23638379999999901</v>
      </c>
      <c r="U2665">
        <v>-0.32897949999999998</v>
      </c>
      <c r="V2665">
        <v>3.9329940000000001E-2</v>
      </c>
      <c r="W2665">
        <v>5.8785219999999999E-2</v>
      </c>
      <c r="X2665">
        <v>0.99749560000000004</v>
      </c>
      <c r="Y2665">
        <v>0.21171509999999999</v>
      </c>
      <c r="Z2665">
        <v>-1.640018E-2</v>
      </c>
      <c r="AA2665">
        <v>0.9771938</v>
      </c>
      <c r="AB2665">
        <v>48</v>
      </c>
      <c r="AC2665">
        <v>13.5045</v>
      </c>
      <c r="AD2665">
        <v>-1.0855881805359999</v>
      </c>
      <c r="AE2665">
        <v>-1.57429999999999</v>
      </c>
      <c r="AF2665">
        <v>2.9860906368056099</v>
      </c>
      <c r="AG2665">
        <v>-1.0855881805359999</v>
      </c>
      <c r="AH2665">
        <v>13.175680263277901</v>
      </c>
      <c r="AI2665">
        <v>94.594158487810006</v>
      </c>
      <c r="AJ2665">
        <v>77.230399019672902</v>
      </c>
      <c r="AK2665">
        <v>13.5533681935181</v>
      </c>
    </row>
    <row r="2666" spans="1:37" x14ac:dyDescent="0.2">
      <c r="A2666" t="str">
        <f>"20200111153448391"</f>
        <v>20200111153448391</v>
      </c>
      <c r="B2666" t="str">
        <f>"1578728088379033"</f>
        <v>1578728088379033</v>
      </c>
      <c r="C2666" t="s">
        <v>37</v>
      </c>
      <c r="D2666">
        <v>5.7023979999999996</v>
      </c>
      <c r="E2666">
        <v>0.55886069999999999</v>
      </c>
      <c r="F2666" t="s">
        <v>52</v>
      </c>
      <c r="G2666">
        <v>-387.78100000000001</v>
      </c>
      <c r="H2666" s="1">
        <v>2.518059E-6</v>
      </c>
      <c r="I2666">
        <v>216.57980000000001</v>
      </c>
      <c r="J2666">
        <v>-401.3775</v>
      </c>
      <c r="K2666">
        <v>1.085539</v>
      </c>
      <c r="L2666">
        <v>218.2791</v>
      </c>
      <c r="M2666">
        <v>0.99558489999999999</v>
      </c>
      <c r="N2666">
        <v>0</v>
      </c>
      <c r="O2666">
        <v>9.2373170000000004E-2</v>
      </c>
      <c r="P2666">
        <v>0.99715769999999904</v>
      </c>
      <c r="Q2666">
        <v>4.5161050000000001E-2</v>
      </c>
      <c r="R2666">
        <v>6.030841E-2</v>
      </c>
      <c r="S2666">
        <v>3.0455930000000002</v>
      </c>
      <c r="T2666">
        <v>-0.23487569999999999</v>
      </c>
      <c r="U2666">
        <v>-0.35597230000000002</v>
      </c>
      <c r="V2666">
        <v>3.479256E-2</v>
      </c>
      <c r="W2666">
        <v>6.0313619999999998E-2</v>
      </c>
      <c r="X2666">
        <v>0.99757289999999998</v>
      </c>
      <c r="Y2666">
        <v>0.20647840000000001</v>
      </c>
      <c r="Z2666">
        <v>-1.5015290000000001E-2</v>
      </c>
      <c r="AA2666">
        <v>0.97833590000000004</v>
      </c>
      <c r="AB2666">
        <v>48</v>
      </c>
      <c r="AC2666">
        <v>13.596499999999899</v>
      </c>
      <c r="AD2666">
        <v>-1.0855364819410001</v>
      </c>
      <c r="AE2666">
        <v>-1.69929999999999</v>
      </c>
      <c r="AF2666">
        <v>2.9297708053249099</v>
      </c>
      <c r="AG2666">
        <v>-1.0855364819410001</v>
      </c>
      <c r="AH2666">
        <v>13.297898344727299</v>
      </c>
      <c r="AI2666">
        <v>94.557996710763902</v>
      </c>
      <c r="AJ2666">
        <v>77.575185478771303</v>
      </c>
      <c r="AK2666">
        <v>13.660016354750899</v>
      </c>
    </row>
    <row r="2667" spans="1:37" x14ac:dyDescent="0.2">
      <c r="A2667" t="str">
        <f>"20200111153448411"</f>
        <v>20200111153448411</v>
      </c>
      <c r="B2667" t="str">
        <f>"1578728088408313"</f>
        <v>1578728088408313</v>
      </c>
      <c r="C2667" t="s">
        <v>37</v>
      </c>
      <c r="D2667">
        <v>5.4710609999999997</v>
      </c>
      <c r="E2667">
        <v>0.54554169999999902</v>
      </c>
      <c r="F2667" t="s">
        <v>40</v>
      </c>
      <c r="G2667">
        <v>-400.45690000000002</v>
      </c>
      <c r="H2667">
        <v>1.0036929999999999</v>
      </c>
      <c r="I2667">
        <v>218.18610000000001</v>
      </c>
      <c r="J2667">
        <v>-400.91640000000001</v>
      </c>
      <c r="K2667">
        <v>1.0855059999999901</v>
      </c>
      <c r="L2667">
        <v>218.3244</v>
      </c>
      <c r="M2667">
        <v>0.99675590000000003</v>
      </c>
      <c r="N2667">
        <v>0</v>
      </c>
      <c r="O2667">
        <v>7.8739429999999999E-2</v>
      </c>
      <c r="P2667">
        <v>0.99757589999999996</v>
      </c>
      <c r="Q2667">
        <v>4.6499350000000002E-2</v>
      </c>
      <c r="R2667">
        <v>5.1773479999999997E-2</v>
      </c>
      <c r="S2667">
        <v>3.0392759999999899</v>
      </c>
      <c r="T2667">
        <v>-0.26980219999999999</v>
      </c>
      <c r="U2667">
        <v>-0.30618289999999998</v>
      </c>
      <c r="V2667">
        <v>2.9735569999999999E-2</v>
      </c>
      <c r="W2667">
        <v>6.1874239999999997E-2</v>
      </c>
      <c r="X2667">
        <v>0.99764089999999905</v>
      </c>
      <c r="Y2667">
        <v>0.17727889999999999</v>
      </c>
      <c r="Z2667">
        <v>-1.479459E-2</v>
      </c>
      <c r="AA2667">
        <v>0.98404939999999996</v>
      </c>
      <c r="AB2667">
        <v>48</v>
      </c>
      <c r="AC2667">
        <v>0.45949999999999103</v>
      </c>
      <c r="AD2667">
        <v>-8.18129999999999E-2</v>
      </c>
      <c r="AE2667">
        <v>-0.13829999999998599</v>
      </c>
      <c r="AF2667">
        <v>0.169139758826787</v>
      </c>
      <c r="AG2667">
        <v>-8.18129999999999E-2</v>
      </c>
      <c r="AH2667">
        <v>0.43455034848717999</v>
      </c>
      <c r="AI2667">
        <v>99.951192409323696</v>
      </c>
      <c r="AJ2667">
        <v>68.732550990007397</v>
      </c>
      <c r="AK2667">
        <v>0.47342964667975002</v>
      </c>
    </row>
    <row r="2668" spans="1:37" x14ac:dyDescent="0.2">
      <c r="A2668" t="str">
        <f>"20200111153448433"</f>
        <v>20200111153448433</v>
      </c>
      <c r="B2668" t="str">
        <f>"1578728088429111"</f>
        <v>1578728088429111</v>
      </c>
      <c r="C2668" t="s">
        <v>37</v>
      </c>
      <c r="D2668">
        <v>5.4425059999999998</v>
      </c>
      <c r="E2668">
        <v>0.54315009999999997</v>
      </c>
      <c r="F2668" t="s">
        <v>40</v>
      </c>
      <c r="G2668">
        <v>-400.02269999999999</v>
      </c>
      <c r="H2668">
        <v>1.019898</v>
      </c>
      <c r="I2668">
        <v>218.25790000000001</v>
      </c>
      <c r="J2668">
        <v>-400.43450000000001</v>
      </c>
      <c r="K2668">
        <v>1.085483</v>
      </c>
      <c r="L2668">
        <v>218.36519999999999</v>
      </c>
      <c r="M2668">
        <v>0.99777579999999999</v>
      </c>
      <c r="N2668">
        <v>0</v>
      </c>
      <c r="O2668">
        <v>6.4544710000000005E-2</v>
      </c>
      <c r="P2668">
        <v>0.99799199999999999</v>
      </c>
      <c r="Q2668">
        <v>4.752634E-2</v>
      </c>
      <c r="R2668">
        <v>4.1874660000000001E-2</v>
      </c>
      <c r="S2668">
        <v>3.0292970000000001</v>
      </c>
      <c r="T2668">
        <v>-0.22172220000000001</v>
      </c>
      <c r="U2668">
        <v>-0.22477719999999901</v>
      </c>
      <c r="V2668">
        <v>2.547839E-2</v>
      </c>
      <c r="W2668">
        <v>6.3084470000000004E-2</v>
      </c>
      <c r="X2668">
        <v>0.99768289999999904</v>
      </c>
      <c r="Y2668">
        <v>0.13768159999999999</v>
      </c>
      <c r="Z2668">
        <v>-9.7374769999999996E-3</v>
      </c>
      <c r="AA2668">
        <v>0.99042870000000005</v>
      </c>
      <c r="AB2668">
        <v>48</v>
      </c>
      <c r="AC2668">
        <v>0.41180000000002698</v>
      </c>
      <c r="AD2668">
        <v>-6.5585000000000004E-2</v>
      </c>
      <c r="AE2668">
        <v>-0.10729999999997999</v>
      </c>
      <c r="AF2668">
        <v>0.13055831641551199</v>
      </c>
      <c r="AG2668">
        <v>-6.5585000000000004E-2</v>
      </c>
      <c r="AH2668">
        <v>0.39464078683716403</v>
      </c>
      <c r="AI2668">
        <v>98.966156809993393</v>
      </c>
      <c r="AJ2668">
        <v>71.694326328312897</v>
      </c>
      <c r="AK2668">
        <v>0.42081850820241901</v>
      </c>
    </row>
    <row r="2669" spans="1:37" x14ac:dyDescent="0.2">
      <c r="A2669" t="str">
        <f>"20200111153448457"</f>
        <v>20200111153448457</v>
      </c>
      <c r="B2669" t="str">
        <f>"1578728088448631"</f>
        <v>1578728088448631</v>
      </c>
      <c r="C2669" t="s">
        <v>37</v>
      </c>
      <c r="D2669">
        <v>5.4161070000000002</v>
      </c>
      <c r="E2669">
        <v>0.54176800000000003</v>
      </c>
      <c r="F2669" t="s">
        <v>40</v>
      </c>
      <c r="G2669">
        <v>-399.58659999999998</v>
      </c>
      <c r="H2669">
        <v>1.028383</v>
      </c>
      <c r="I2669">
        <v>218.29929999999999</v>
      </c>
      <c r="J2669">
        <v>-399.93150000000003</v>
      </c>
      <c r="K2669">
        <v>1.0854680000000001</v>
      </c>
      <c r="L2669">
        <v>218.40049999999999</v>
      </c>
      <c r="M2669">
        <v>0.99862009999999901</v>
      </c>
      <c r="N2669">
        <v>0</v>
      </c>
      <c r="O2669">
        <v>4.9806089999999997E-2</v>
      </c>
      <c r="P2669">
        <v>0.99841059999999904</v>
      </c>
      <c r="Q2669">
        <v>4.7580860000000003E-2</v>
      </c>
      <c r="R2669">
        <v>3.0207669999999999E-2</v>
      </c>
      <c r="S2669">
        <v>3.0255740000000002</v>
      </c>
      <c r="T2669">
        <v>-0.2033325</v>
      </c>
      <c r="U2669">
        <v>-0.23457339999999999</v>
      </c>
      <c r="V2669">
        <v>2.2410369999999999E-2</v>
      </c>
      <c r="W2669">
        <v>6.3264829999999994E-2</v>
      </c>
      <c r="X2669">
        <v>0.99774509999999905</v>
      </c>
      <c r="Y2669">
        <v>0.12647059999999999</v>
      </c>
      <c r="Z2669">
        <v>-7.5780500000000002E-3</v>
      </c>
      <c r="AA2669">
        <v>0.99194139999999997</v>
      </c>
      <c r="AB2669">
        <v>48</v>
      </c>
      <c r="AC2669">
        <v>0.344900000000052</v>
      </c>
      <c r="AD2669">
        <v>-5.7084999999999997E-2</v>
      </c>
      <c r="AE2669">
        <v>-0.10120000000000499</v>
      </c>
      <c r="AF2669">
        <v>0.115345552553222</v>
      </c>
      <c r="AG2669">
        <v>-5.7084999999999997E-2</v>
      </c>
      <c r="AH2669">
        <v>0.33108004910428002</v>
      </c>
      <c r="AI2669">
        <v>99.247862560591699</v>
      </c>
      <c r="AJ2669">
        <v>70.792085625782704</v>
      </c>
      <c r="AK2669">
        <v>0.35521443190515301</v>
      </c>
    </row>
    <row r="2670" spans="1:37" x14ac:dyDescent="0.2">
      <c r="A2670" t="str">
        <f>"20200111153448480"</f>
        <v>20200111153448480</v>
      </c>
      <c r="B2670" t="str">
        <f>"1578728088469128"</f>
        <v>1578728088469128</v>
      </c>
      <c r="C2670" t="s">
        <v>37</v>
      </c>
      <c r="D2670">
        <v>5.3522410000000002</v>
      </c>
      <c r="E2670">
        <v>0.54045639999999995</v>
      </c>
      <c r="F2670" t="s">
        <v>40</v>
      </c>
      <c r="G2670">
        <v>-399.15249999999997</v>
      </c>
      <c r="H2670">
        <v>1.033625</v>
      </c>
      <c r="I2670">
        <v>218.3339</v>
      </c>
      <c r="J2670">
        <v>-399.43669999999997</v>
      </c>
      <c r="K2670">
        <v>1.08548</v>
      </c>
      <c r="L2670">
        <v>218.42789999999999</v>
      </c>
      <c r="M2670">
        <v>0.99923410000000001</v>
      </c>
      <c r="N2670">
        <v>0</v>
      </c>
      <c r="O2670">
        <v>3.5421380000000002E-2</v>
      </c>
      <c r="P2670">
        <v>0.99878889999999998</v>
      </c>
      <c r="Q2670">
        <v>4.5131089999999999E-2</v>
      </c>
      <c r="R2670">
        <v>1.9598819999999999E-2</v>
      </c>
      <c r="S2670">
        <v>3.022125</v>
      </c>
      <c r="T2670">
        <v>-0.2007862</v>
      </c>
      <c r="U2670">
        <v>-0.25785829999999998</v>
      </c>
      <c r="V2670">
        <v>1.853399E-2</v>
      </c>
      <c r="W2670">
        <v>6.0970910000000003E-2</v>
      </c>
      <c r="X2670">
        <v>0.99796749999999901</v>
      </c>
      <c r="Y2670">
        <v>0.119919</v>
      </c>
      <c r="Z2670">
        <v>-6.3194089999999998E-3</v>
      </c>
      <c r="AA2670">
        <v>0.99276359999999997</v>
      </c>
      <c r="AB2670">
        <v>48</v>
      </c>
      <c r="AC2670">
        <v>0.28419999999999801</v>
      </c>
      <c r="AD2670">
        <v>-5.1854999999999901E-2</v>
      </c>
      <c r="AE2670">
        <v>-9.3999999999994005E-2</v>
      </c>
      <c r="AF2670">
        <v>0.100978906898523</v>
      </c>
      <c r="AG2670">
        <v>-5.1854999999999901E-2</v>
      </c>
      <c r="AH2670">
        <v>0.27251377473475802</v>
      </c>
      <c r="AI2670">
        <v>100.116726141032</v>
      </c>
      <c r="AJ2670">
        <v>69.668011415560002</v>
      </c>
      <c r="AK2670">
        <v>0.29521083666357401</v>
      </c>
    </row>
    <row r="2671" spans="1:37" x14ac:dyDescent="0.2">
      <c r="A2671" t="str">
        <f>"20200111153448502"</f>
        <v>20200111153448502</v>
      </c>
      <c r="B2671" t="str">
        <f>"1578728088498408"</f>
        <v>1578728088498408</v>
      </c>
      <c r="C2671" t="s">
        <v>37</v>
      </c>
      <c r="D2671">
        <v>5.3547269999999996</v>
      </c>
      <c r="E2671">
        <v>0.53900740000000003</v>
      </c>
      <c r="F2671" t="s">
        <v>40</v>
      </c>
      <c r="G2671">
        <v>-398.30540000000002</v>
      </c>
      <c r="H2671">
        <v>1.0069809999999999</v>
      </c>
      <c r="I2671">
        <v>218.32259999999999</v>
      </c>
      <c r="J2671">
        <v>-398.96120000000002</v>
      </c>
      <c r="K2671">
        <v>1.085518</v>
      </c>
      <c r="L2671">
        <v>218.447</v>
      </c>
      <c r="M2671">
        <v>0.99962569999999995</v>
      </c>
      <c r="N2671">
        <v>0</v>
      </c>
      <c r="O2671">
        <v>2.1743740000000001E-2</v>
      </c>
      <c r="P2671">
        <v>0.99899799999999905</v>
      </c>
      <c r="Q2671">
        <v>4.3369570000000003E-2</v>
      </c>
      <c r="R2671">
        <v>1.104334E-2</v>
      </c>
      <c r="S2671">
        <v>3.0185849999999999</v>
      </c>
      <c r="T2671">
        <v>-0.208973299999999</v>
      </c>
      <c r="U2671">
        <v>-0.28007509999999902</v>
      </c>
      <c r="V2671">
        <v>1.334027E-2</v>
      </c>
      <c r="W2671">
        <v>5.9416389999999999E-2</v>
      </c>
      <c r="X2671">
        <v>0.99814409999999898</v>
      </c>
      <c r="Y2671">
        <v>0.1136971</v>
      </c>
      <c r="Z2671">
        <v>-5.4232430000000003E-3</v>
      </c>
      <c r="AA2671">
        <v>0.99350059999999996</v>
      </c>
      <c r="AB2671">
        <v>48</v>
      </c>
      <c r="AC2671">
        <v>0.65579999999999905</v>
      </c>
      <c r="AD2671">
        <v>-7.8536999999999996E-2</v>
      </c>
      <c r="AE2671">
        <v>-0.124400000000008</v>
      </c>
      <c r="AF2671">
        <v>0.13673911197837099</v>
      </c>
      <c r="AG2671">
        <v>-7.8536999999999996E-2</v>
      </c>
      <c r="AH2671">
        <v>0.64402392307723499</v>
      </c>
      <c r="AI2671">
        <v>96.802567480072994</v>
      </c>
      <c r="AJ2671">
        <v>78.012972739630996</v>
      </c>
      <c r="AK2671">
        <v>0.66304785544440603</v>
      </c>
    </row>
    <row r="2672" spans="1:37" x14ac:dyDescent="0.2">
      <c r="A2672" t="str">
        <f>"20200111153448523"</f>
        <v>20200111153448523</v>
      </c>
      <c r="B2672" t="str">
        <f>"1578728088518904"</f>
        <v>1578728088518904</v>
      </c>
      <c r="C2672" t="s">
        <v>37</v>
      </c>
      <c r="D2672">
        <v>5.389545</v>
      </c>
      <c r="E2672">
        <v>0.53787890000000005</v>
      </c>
      <c r="F2672" t="s">
        <v>40</v>
      </c>
      <c r="G2672">
        <v>-397.87479999999999</v>
      </c>
      <c r="H2672">
        <v>1.008866</v>
      </c>
      <c r="I2672">
        <v>218.34039999999999</v>
      </c>
      <c r="J2672">
        <v>-398.48450000000003</v>
      </c>
      <c r="K2672">
        <v>1.085577</v>
      </c>
      <c r="L2672">
        <v>218.4597</v>
      </c>
      <c r="M2672">
        <v>0.99982929999999903</v>
      </c>
      <c r="N2672">
        <v>0</v>
      </c>
      <c r="O2672">
        <v>8.1788399999999997E-3</v>
      </c>
      <c r="P2672">
        <v>0.99899490000000002</v>
      </c>
      <c r="Q2672">
        <v>4.4824629999999997E-2</v>
      </c>
      <c r="R2672">
        <v>3.4617589999999998E-4</v>
      </c>
      <c r="S2672">
        <v>3.015533</v>
      </c>
      <c r="T2672">
        <v>-0.21264269999999999</v>
      </c>
      <c r="U2672">
        <v>-0.29563899999999999</v>
      </c>
      <c r="V2672">
        <v>1.0537700000000001E-2</v>
      </c>
      <c r="W2672">
        <v>6.0960930000000003E-2</v>
      </c>
      <c r="X2672">
        <v>0.99808449999999904</v>
      </c>
      <c r="Y2672">
        <v>0.1054291</v>
      </c>
      <c r="Z2672">
        <v>-4.278535E-3</v>
      </c>
      <c r="AA2672">
        <v>0.99441759999999901</v>
      </c>
      <c r="AB2672">
        <v>48</v>
      </c>
      <c r="AC2672">
        <v>0.60970000000003199</v>
      </c>
      <c r="AD2672">
        <v>-7.6710999999999904E-2</v>
      </c>
      <c r="AE2672">
        <v>-0.119300000000009</v>
      </c>
      <c r="AF2672">
        <v>0.122416921939277</v>
      </c>
      <c r="AG2672">
        <v>-7.6710999999999904E-2</v>
      </c>
      <c r="AH2672">
        <v>0.59956259713373194</v>
      </c>
      <c r="AI2672">
        <v>97.145247129547997</v>
      </c>
      <c r="AJ2672">
        <v>78.460131066023905</v>
      </c>
      <c r="AK2672">
        <v>0.61672180777059704</v>
      </c>
    </row>
    <row r="2673" spans="1:37" x14ac:dyDescent="0.2">
      <c r="A2673" t="str">
        <f>"20200111153448546"</f>
        <v>20200111153448546</v>
      </c>
      <c r="B2673" t="str">
        <f>"1578728088538424"</f>
        <v>1578728088538424</v>
      </c>
      <c r="C2673" t="s">
        <v>37</v>
      </c>
      <c r="D2673">
        <v>5.3543799999999999</v>
      </c>
      <c r="E2673">
        <v>0.53711450000000005</v>
      </c>
      <c r="F2673" t="s">
        <v>40</v>
      </c>
      <c r="G2673">
        <v>-397.44330000000002</v>
      </c>
      <c r="H2673">
        <v>1.013239</v>
      </c>
      <c r="I2673">
        <v>218.3494</v>
      </c>
      <c r="J2673">
        <v>-398.00310000000002</v>
      </c>
      <c r="K2673">
        <v>1.0856669999999999</v>
      </c>
      <c r="L2673">
        <v>218.4658</v>
      </c>
      <c r="M2673">
        <v>0.9998494</v>
      </c>
      <c r="N2673">
        <v>0</v>
      </c>
      <c r="O2673">
        <v>-5.3275459999999998E-3</v>
      </c>
      <c r="P2673">
        <v>0.99886699999999995</v>
      </c>
      <c r="Q2673">
        <v>4.6132140000000002E-2</v>
      </c>
      <c r="R2673">
        <v>-1.169802E-2</v>
      </c>
      <c r="S2673">
        <v>3.0124819999999999</v>
      </c>
      <c r="T2673">
        <v>-0.20875189999999999</v>
      </c>
      <c r="U2673">
        <v>-0.31796259999999998</v>
      </c>
      <c r="V2673">
        <v>9.1312790000000008E-3</v>
      </c>
      <c r="W2673">
        <v>6.2287820000000001E-2</v>
      </c>
      <c r="X2673">
        <v>0.99801649999999997</v>
      </c>
      <c r="Y2673">
        <v>9.9441849999999998E-2</v>
      </c>
      <c r="Z2673">
        <v>-3.0640820000000001E-3</v>
      </c>
      <c r="AA2673">
        <v>0.9950386</v>
      </c>
      <c r="AB2673">
        <v>48</v>
      </c>
      <c r="AC2673">
        <v>0.55979999999999497</v>
      </c>
      <c r="AD2673">
        <v>-7.2427999999999895E-2</v>
      </c>
      <c r="AE2673">
        <v>-0.11639999999999801</v>
      </c>
      <c r="AF2673">
        <v>0.111624462396213</v>
      </c>
      <c r="AG2673">
        <v>-7.2427999999999895E-2</v>
      </c>
      <c r="AH2673">
        <v>0.55156194091767796</v>
      </c>
      <c r="AI2673">
        <v>97.333940966487503</v>
      </c>
      <c r="AJ2673">
        <v>78.559072738446304</v>
      </c>
      <c r="AK2673">
        <v>0.56738559239561204</v>
      </c>
    </row>
    <row r="2674" spans="1:37" x14ac:dyDescent="0.2">
      <c r="A2674" t="str">
        <f>"20200111153448569"</f>
        <v>20200111153448569</v>
      </c>
      <c r="B2674" t="str">
        <f>"1578728088558922"</f>
        <v>1578728088558922</v>
      </c>
      <c r="C2674" t="s">
        <v>37</v>
      </c>
      <c r="D2674">
        <v>5.316452</v>
      </c>
      <c r="E2674">
        <v>0.53607649999999996</v>
      </c>
      <c r="F2674" t="s">
        <v>40</v>
      </c>
      <c r="G2674">
        <v>-397.01170000000002</v>
      </c>
      <c r="H2674">
        <v>1.0182290000000001</v>
      </c>
      <c r="I2674">
        <v>218.35120000000001</v>
      </c>
      <c r="J2674">
        <v>-397.51330000000002</v>
      </c>
      <c r="K2674">
        <v>1.085791</v>
      </c>
      <c r="L2674">
        <v>218.46539999999999</v>
      </c>
      <c r="M2674">
        <v>0.99968729999999995</v>
      </c>
      <c r="N2674">
        <v>0</v>
      </c>
      <c r="O2674">
        <v>-1.8822229999999999E-2</v>
      </c>
      <c r="P2674">
        <v>0.99877099999999996</v>
      </c>
      <c r="Q2674">
        <v>4.4875409999999998E-2</v>
      </c>
      <c r="R2674">
        <v>-2.104292E-2</v>
      </c>
      <c r="S2674">
        <v>3.0087890000000002</v>
      </c>
      <c r="T2674">
        <v>-0.2042157</v>
      </c>
      <c r="U2674">
        <v>-0.3470917</v>
      </c>
      <c r="V2674">
        <v>4.9204959999999999E-3</v>
      </c>
      <c r="W2674">
        <v>6.1165099999999903E-2</v>
      </c>
      <c r="X2674">
        <v>0.99811550000000004</v>
      </c>
      <c r="Y2674">
        <v>9.5703739999999995E-2</v>
      </c>
      <c r="Z2674">
        <v>-1.9618119999999998E-3</v>
      </c>
      <c r="AA2674">
        <v>0.99540790000000001</v>
      </c>
      <c r="AB2674">
        <v>48</v>
      </c>
      <c r="AC2674">
        <v>0.50159999999999605</v>
      </c>
      <c r="AD2674">
        <v>-6.75619999999999E-2</v>
      </c>
      <c r="AE2674">
        <v>-0.114199999999982</v>
      </c>
      <c r="AF2674">
        <v>0.102961359942723</v>
      </c>
      <c r="AG2674">
        <v>-6.75619999999999E-2</v>
      </c>
      <c r="AH2674">
        <v>0.49512098271803801</v>
      </c>
      <c r="AI2674">
        <v>97.609512138398401</v>
      </c>
      <c r="AJ2674">
        <v>78.252656888412702</v>
      </c>
      <c r="AK2674">
        <v>0.51020628476424201</v>
      </c>
    </row>
    <row r="2675" spans="1:37" x14ac:dyDescent="0.2">
      <c r="A2675" t="str">
        <f>"20200111153448591"</f>
        <v>20200111153448591</v>
      </c>
      <c r="B2675" t="str">
        <f>"1578728088578439"</f>
        <v>1578728088578439</v>
      </c>
      <c r="C2675" t="s">
        <v>37</v>
      </c>
      <c r="D2675">
        <v>5.2422620000000002</v>
      </c>
      <c r="E2675">
        <v>0.5356225</v>
      </c>
      <c r="F2675" t="s">
        <v>40</v>
      </c>
      <c r="G2675">
        <v>-396.58120000000002</v>
      </c>
      <c r="H2675">
        <v>1.021984</v>
      </c>
      <c r="I2675">
        <v>218.35079999999999</v>
      </c>
      <c r="J2675">
        <v>-397.04989999999998</v>
      </c>
      <c r="K2675">
        <v>1.0859540000000001</v>
      </c>
      <c r="L2675">
        <v>218.4588</v>
      </c>
      <c r="M2675">
        <v>0.99937520000000002</v>
      </c>
      <c r="N2675">
        <v>0</v>
      </c>
      <c r="O2675">
        <v>-3.1302259999999998E-2</v>
      </c>
      <c r="P2675">
        <v>0.99858159999999896</v>
      </c>
      <c r="Q2675">
        <v>4.4949830000000003E-2</v>
      </c>
      <c r="R2675">
        <v>-2.8531219999999999E-2</v>
      </c>
      <c r="S2675">
        <v>3.0051570000000001</v>
      </c>
      <c r="T2675">
        <v>-0.20527819999999999</v>
      </c>
      <c r="U2675">
        <v>-0.36833189999999999</v>
      </c>
      <c r="V2675" s="1">
        <v>-8.057219E-5</v>
      </c>
      <c r="W2675">
        <v>6.1399259999999997E-2</v>
      </c>
      <c r="X2675">
        <v>0.99811329999999998</v>
      </c>
      <c r="Y2675">
        <v>9.0387090000000003E-2</v>
      </c>
      <c r="Z2675">
        <v>-9.452582E-4</v>
      </c>
      <c r="AA2675">
        <v>0.99590619999999996</v>
      </c>
      <c r="AB2675">
        <v>48</v>
      </c>
      <c r="AC2675">
        <v>0.46869999999995499</v>
      </c>
      <c r="AD2675">
        <v>-6.3969999999999999E-2</v>
      </c>
      <c r="AE2675">
        <v>-0.108000000000004</v>
      </c>
      <c r="AF2675">
        <v>9.1652505716794994E-2</v>
      </c>
      <c r="AG2675">
        <v>-6.3969999999999999E-2</v>
      </c>
      <c r="AH2675">
        <v>0.46365000841103299</v>
      </c>
      <c r="AI2675">
        <v>97.708215066964101</v>
      </c>
      <c r="AJ2675">
        <v>78.8181554199723</v>
      </c>
      <c r="AK2675">
        <v>0.47693151814879903</v>
      </c>
    </row>
    <row r="2676" spans="1:37" x14ac:dyDescent="0.2">
      <c r="A2676" t="str">
        <f>"20200111153448612"</f>
        <v>20200111153448612</v>
      </c>
      <c r="B2676" t="str">
        <f>"1578728088598939"</f>
        <v>1578728088598939</v>
      </c>
      <c r="C2676" t="s">
        <v>37</v>
      </c>
      <c r="D2676">
        <v>5.2236560000000001</v>
      </c>
      <c r="E2676">
        <v>0.52369120000000002</v>
      </c>
      <c r="F2676" t="s">
        <v>40</v>
      </c>
      <c r="G2676">
        <v>-396.1515</v>
      </c>
      <c r="H2676">
        <v>1.025088</v>
      </c>
      <c r="I2676">
        <v>218.34289999999999</v>
      </c>
      <c r="J2676">
        <v>-396.59120000000001</v>
      </c>
      <c r="K2676">
        <v>1.086165</v>
      </c>
      <c r="L2676">
        <v>218.44649999999999</v>
      </c>
      <c r="M2676">
        <v>0.99892739999999902</v>
      </c>
      <c r="N2676">
        <v>0</v>
      </c>
      <c r="O2676">
        <v>-4.3324849999999998E-2</v>
      </c>
      <c r="P2676">
        <v>0.99812789999999996</v>
      </c>
      <c r="Q2676">
        <v>4.7295959999999998E-2</v>
      </c>
      <c r="R2676">
        <v>-3.8782629999999998E-2</v>
      </c>
      <c r="S2676">
        <v>3.002319</v>
      </c>
      <c r="T2676">
        <v>-0.2032408</v>
      </c>
      <c r="U2676">
        <v>-0.38734439999999998</v>
      </c>
      <c r="V2676">
        <v>-1.7710029999999999E-3</v>
      </c>
      <c r="W2676">
        <v>6.3748319999999997E-2</v>
      </c>
      <c r="X2676">
        <v>0.99796439999999997</v>
      </c>
      <c r="Y2676">
        <v>8.4766690000000006E-2</v>
      </c>
      <c r="Z2676" s="1">
        <v>6.1078230000000003E-5</v>
      </c>
      <c r="AA2676">
        <v>0.99640079999999998</v>
      </c>
      <c r="AB2676">
        <v>48</v>
      </c>
      <c r="AC2676">
        <v>0.43970000000001602</v>
      </c>
      <c r="AD2676">
        <v>-6.1076999999999999E-2</v>
      </c>
      <c r="AE2676">
        <v>-0.1036</v>
      </c>
      <c r="AF2676">
        <v>8.2934173362749594E-2</v>
      </c>
      <c r="AG2676">
        <v>-6.1076999999999999E-2</v>
      </c>
      <c r="AH2676">
        <v>0.435809447346722</v>
      </c>
      <c r="AI2676">
        <v>97.838940008638403</v>
      </c>
      <c r="AJ2676">
        <v>79.225490225935701</v>
      </c>
      <c r="AK2676">
        <v>0.44781508620971899</v>
      </c>
    </row>
    <row r="2677" spans="1:37" x14ac:dyDescent="0.2">
      <c r="A2677" t="str">
        <f>"20200111153448635"</f>
        <v>20200111153448635</v>
      </c>
      <c r="B2677" t="str">
        <f>"1578728088629192"</f>
        <v>1578728088629192</v>
      </c>
      <c r="C2677" t="s">
        <v>37</v>
      </c>
      <c r="D2677">
        <v>5.1969529999999997</v>
      </c>
      <c r="E2677">
        <v>0.52086399999999999</v>
      </c>
      <c r="F2677" t="s">
        <v>40</v>
      </c>
      <c r="G2677">
        <v>-395.71319999999997</v>
      </c>
      <c r="H2677">
        <v>1.0360450000000001</v>
      </c>
      <c r="I2677">
        <v>218.35299999999901</v>
      </c>
      <c r="J2677">
        <v>-396.09410000000003</v>
      </c>
      <c r="K2677">
        <v>1.0864590000000001</v>
      </c>
      <c r="L2677">
        <v>218.42689999999999</v>
      </c>
      <c r="M2677">
        <v>0.99830339999999995</v>
      </c>
      <c r="N2677">
        <v>0</v>
      </c>
      <c r="O2677">
        <v>-5.591148E-2</v>
      </c>
      <c r="P2677">
        <v>0.99765369999999998</v>
      </c>
      <c r="Q2677">
        <v>4.8615510000000001E-2</v>
      </c>
      <c r="R2677">
        <v>-4.82053E-2</v>
      </c>
      <c r="S2677">
        <v>3.0013429999999999</v>
      </c>
      <c r="T2677">
        <v>-0.17114979999999999</v>
      </c>
      <c r="U2677">
        <v>-0.31921389999999999</v>
      </c>
      <c r="V2677">
        <v>-4.9146049999999998E-3</v>
      </c>
      <c r="W2677">
        <v>6.5112580000000003E-2</v>
      </c>
      <c r="X2677">
        <v>0.99786580000000002</v>
      </c>
      <c r="Y2677">
        <v>4.9999219999999997E-2</v>
      </c>
      <c r="Z2677">
        <v>1.753185E-3</v>
      </c>
      <c r="AA2677">
        <v>0.99874769999999902</v>
      </c>
      <c r="AB2677">
        <v>47</v>
      </c>
      <c r="AC2677">
        <v>0.38090000000005297</v>
      </c>
      <c r="AD2677">
        <v>-5.0413999999999903E-2</v>
      </c>
      <c r="AE2677">
        <v>-7.3900000000008903E-2</v>
      </c>
      <c r="AF2677">
        <v>5.16135152692185E-2</v>
      </c>
      <c r="AG2677">
        <v>-5.0413999999999903E-2</v>
      </c>
      <c r="AH2677">
        <v>0.37805397469434898</v>
      </c>
      <c r="AI2677">
        <v>97.526647719208</v>
      </c>
      <c r="AJ2677">
        <v>82.225802677405795</v>
      </c>
      <c r="AK2677">
        <v>0.38487703768429998</v>
      </c>
    </row>
    <row r="2678" spans="1:37" x14ac:dyDescent="0.2">
      <c r="A2678" t="str">
        <f>"20200111153448669"</f>
        <v>20200111153448669</v>
      </c>
      <c r="B2678" t="str">
        <f>"1578728088658471"</f>
        <v>1578728088658471</v>
      </c>
      <c r="C2678" t="s">
        <v>37</v>
      </c>
      <c r="D2678">
        <v>5.1824300000000001</v>
      </c>
      <c r="E2678">
        <v>0.51920929999999998</v>
      </c>
      <c r="F2678" t="s">
        <v>52</v>
      </c>
      <c r="G2678">
        <v>-375.87020000000001</v>
      </c>
      <c r="H2678" s="1">
        <v>1.58706E-6</v>
      </c>
      <c r="I2678">
        <v>216.24979999999999</v>
      </c>
      <c r="J2678">
        <v>-395.37110000000001</v>
      </c>
      <c r="K2678">
        <v>1.0870120000000001</v>
      </c>
      <c r="L2678">
        <v>218.38640000000001</v>
      </c>
      <c r="M2678">
        <v>0.99719080000000004</v>
      </c>
      <c r="N2678">
        <v>0</v>
      </c>
      <c r="O2678">
        <v>-7.315017E-2</v>
      </c>
      <c r="P2678">
        <v>0.9972645</v>
      </c>
      <c r="Q2678">
        <v>4.567471E-2</v>
      </c>
      <c r="R2678">
        <v>-5.811815E-2</v>
      </c>
      <c r="S2678">
        <v>2.9993289999999999</v>
      </c>
      <c r="T2678">
        <v>-0.16112839999999901</v>
      </c>
      <c r="U2678">
        <v>-0.322876</v>
      </c>
      <c r="V2678">
        <v>-1.246216E-2</v>
      </c>
      <c r="W2678">
        <v>6.2323509999999999E-2</v>
      </c>
      <c r="X2678">
        <v>0.99797819999999904</v>
      </c>
      <c r="Y2678">
        <v>3.4060300000000002E-2</v>
      </c>
      <c r="Z2678">
        <v>2.9980659999999902E-3</v>
      </c>
      <c r="AA2678">
        <v>0.99941530000000001</v>
      </c>
      <c r="AB2678">
        <v>47</v>
      </c>
      <c r="AC2678">
        <v>19.500900000000001</v>
      </c>
      <c r="AD2678">
        <v>-1.08701041294</v>
      </c>
      <c r="AE2678">
        <v>-2.1366000000000098</v>
      </c>
      <c r="AF2678">
        <v>0.70203966267509599</v>
      </c>
      <c r="AG2678">
        <v>-1.08701041294</v>
      </c>
      <c r="AH2678">
        <v>19.544947081502499</v>
      </c>
      <c r="AI2678">
        <v>93.181231357650702</v>
      </c>
      <c r="AJ2678">
        <v>87.942863488979697</v>
      </c>
      <c r="AK2678">
        <v>19.587736156701201</v>
      </c>
    </row>
    <row r="2679" spans="1:37" x14ac:dyDescent="0.2">
      <c r="A2679" t="str">
        <f>"20200111153448690"</f>
        <v>20200111153448690</v>
      </c>
      <c r="B2679" t="str">
        <f>"1578728088678970"</f>
        <v>1578728088678970</v>
      </c>
      <c r="C2679" t="s">
        <v>37</v>
      </c>
      <c r="D2679">
        <v>5.1525449999999999</v>
      </c>
      <c r="E2679">
        <v>0.51822299999999999</v>
      </c>
      <c r="F2679" t="s">
        <v>40</v>
      </c>
      <c r="G2679">
        <v>-394.4366</v>
      </c>
      <c r="H2679">
        <v>1.032362</v>
      </c>
      <c r="I2679">
        <v>218.28</v>
      </c>
      <c r="J2679">
        <v>-394.92329999999998</v>
      </c>
      <c r="K2679">
        <v>1.087429</v>
      </c>
      <c r="L2679">
        <v>218.35499999999999</v>
      </c>
      <c r="M2679">
        <v>0.99640759999999995</v>
      </c>
      <c r="N2679">
        <v>0</v>
      </c>
      <c r="O2679">
        <v>-8.3161410000000005E-2</v>
      </c>
      <c r="P2679">
        <v>0.99690659999999898</v>
      </c>
      <c r="Q2679">
        <v>4.4647050000000001E-2</v>
      </c>
      <c r="R2679">
        <v>-6.4687040000000001E-2</v>
      </c>
      <c r="S2679">
        <v>2.9963989999999998</v>
      </c>
      <c r="T2679">
        <v>-0.1750669</v>
      </c>
      <c r="U2679">
        <v>-0.34046939999999998</v>
      </c>
      <c r="V2679">
        <v>-1.6021179999999999E-2</v>
      </c>
      <c r="W2679">
        <v>6.1322160000000001E-2</v>
      </c>
      <c r="X2679">
        <v>0.99798940000000003</v>
      </c>
      <c r="Y2679">
        <v>2.9957359999999999E-2</v>
      </c>
      <c r="Z2679">
        <v>3.9582389999999997E-3</v>
      </c>
      <c r="AA2679">
        <v>0.99954339999999997</v>
      </c>
      <c r="AB2679">
        <v>47</v>
      </c>
      <c r="AC2679">
        <v>0.48669999999998398</v>
      </c>
      <c r="AD2679">
        <v>-5.5066999999999901E-2</v>
      </c>
      <c r="AE2679">
        <v>-7.4999999999988604E-2</v>
      </c>
      <c r="AF2679">
        <v>3.38371802681574E-2</v>
      </c>
      <c r="AG2679">
        <v>-5.5066999999999901E-2</v>
      </c>
      <c r="AH2679">
        <v>0.4851845774447</v>
      </c>
      <c r="AI2679">
        <v>96.459634135396001</v>
      </c>
      <c r="AJ2679">
        <v>86.010603662573004</v>
      </c>
      <c r="AK2679">
        <v>0.48947053378900401</v>
      </c>
    </row>
    <row r="2680" spans="1:37" x14ac:dyDescent="0.2">
      <c r="A2680" t="str">
        <f>"20200111153448713"</f>
        <v>20200111153448713</v>
      </c>
      <c r="B2680" t="str">
        <f>"1578728088708247"</f>
        <v>1578728088708247</v>
      </c>
      <c r="C2680" t="s">
        <v>37</v>
      </c>
      <c r="D2680">
        <v>5.098007</v>
      </c>
      <c r="E2680">
        <v>0.51648769999999999</v>
      </c>
      <c r="F2680" t="s">
        <v>40</v>
      </c>
      <c r="G2680">
        <v>-394.01170000000002</v>
      </c>
      <c r="H2680">
        <v>1.03184599999999</v>
      </c>
      <c r="I2680">
        <v>218.2474</v>
      </c>
      <c r="J2680">
        <v>-394.44830000000002</v>
      </c>
      <c r="K2680">
        <v>1.0879350000000001</v>
      </c>
      <c r="L2680">
        <v>218.31649999999999</v>
      </c>
      <c r="M2680">
        <v>0.99552309999999999</v>
      </c>
      <c r="N2680">
        <v>0</v>
      </c>
      <c r="O2680">
        <v>-9.3171610000000002E-2</v>
      </c>
      <c r="P2680">
        <v>0.99642980000000003</v>
      </c>
      <c r="Q2680">
        <v>4.426414E-2</v>
      </c>
      <c r="R2680">
        <v>-7.1894520000000003E-2</v>
      </c>
      <c r="S2680">
        <v>2.994659</v>
      </c>
      <c r="T2680">
        <v>-0.18230270000000001</v>
      </c>
      <c r="U2680">
        <v>-0.35185240000000001</v>
      </c>
      <c r="V2680">
        <v>-1.8928239999999999E-2</v>
      </c>
      <c r="W2680">
        <v>6.0922379999999998E-2</v>
      </c>
      <c r="X2680">
        <v>0.99796299999999905</v>
      </c>
      <c r="Y2680">
        <v>2.3762160000000001E-2</v>
      </c>
      <c r="Z2680">
        <v>4.9140379999999999E-3</v>
      </c>
      <c r="AA2680">
        <v>0.99970559999999997</v>
      </c>
      <c r="AB2680">
        <v>47</v>
      </c>
      <c r="AC2680">
        <v>0.43659999999999799</v>
      </c>
      <c r="AD2680">
        <v>-5.6089000000000201E-2</v>
      </c>
      <c r="AE2680">
        <v>-6.9099999999991696E-2</v>
      </c>
      <c r="AF2680">
        <v>2.7669970968178002E-2</v>
      </c>
      <c r="AG2680">
        <v>-5.6089000000000201E-2</v>
      </c>
      <c r="AH2680">
        <v>0.43414922536704298</v>
      </c>
      <c r="AI2680">
        <v>97.346690227425398</v>
      </c>
      <c r="AJ2680">
        <v>86.353255774407302</v>
      </c>
      <c r="AK2680">
        <v>0.43863099879190398</v>
      </c>
    </row>
    <row r="2681" spans="1:37" x14ac:dyDescent="0.2">
      <c r="A2681" t="str">
        <f>"20200111153448735"</f>
        <v>20200111153448735</v>
      </c>
      <c r="B2681" t="str">
        <f>"1578728088728743"</f>
        <v>1578728088728743</v>
      </c>
      <c r="C2681" t="s">
        <v>37</v>
      </c>
      <c r="D2681">
        <v>5.0615209999999999</v>
      </c>
      <c r="E2681">
        <v>0.51607579999999997</v>
      </c>
      <c r="F2681" t="s">
        <v>52</v>
      </c>
      <c r="G2681">
        <v>-376.74450000000002</v>
      </c>
      <c r="H2681" s="1">
        <v>2.0523159999999998E-6</v>
      </c>
      <c r="I2681">
        <v>216.19040000000001</v>
      </c>
      <c r="J2681">
        <v>-393.96589999999998</v>
      </c>
      <c r="K2681">
        <v>1.088543</v>
      </c>
      <c r="L2681">
        <v>218.2722</v>
      </c>
      <c r="M2681">
        <v>0.99459500000000001</v>
      </c>
      <c r="N2681">
        <v>0</v>
      </c>
      <c r="O2681">
        <v>-0.1026222</v>
      </c>
      <c r="P2681">
        <v>0.99603299999999995</v>
      </c>
      <c r="Q2681">
        <v>4.4419050000000002E-2</v>
      </c>
      <c r="R2681">
        <v>-7.7107599999999998E-2</v>
      </c>
      <c r="S2681">
        <v>2.9930110000000001</v>
      </c>
      <c r="T2681">
        <v>-0.183926799999999</v>
      </c>
      <c r="U2681">
        <v>-0.35943599999999998</v>
      </c>
      <c r="V2681">
        <v>-2.3266249999999999E-2</v>
      </c>
      <c r="W2681">
        <v>6.1102759999999999E-2</v>
      </c>
      <c r="X2681">
        <v>0.99786030000000003</v>
      </c>
      <c r="Y2681">
        <v>1.6861049999999999E-2</v>
      </c>
      <c r="Z2681">
        <v>5.745043E-3</v>
      </c>
      <c r="AA2681">
        <v>0.99984130000000004</v>
      </c>
      <c r="AB2681">
        <v>47</v>
      </c>
      <c r="AC2681">
        <v>17.2213999999999</v>
      </c>
      <c r="AD2681">
        <v>-1.088540947684</v>
      </c>
      <c r="AE2681">
        <v>-2.0817999999999799</v>
      </c>
      <c r="AF2681">
        <v>0.30209815080934099</v>
      </c>
      <c r="AG2681">
        <v>-1.088540947684</v>
      </c>
      <c r="AH2681">
        <v>17.276091221293999</v>
      </c>
      <c r="AI2681">
        <v>93.604806523274206</v>
      </c>
      <c r="AJ2681">
        <v>88.998200176507595</v>
      </c>
      <c r="AK2681">
        <v>17.312986818396698</v>
      </c>
    </row>
    <row r="2682" spans="1:37" x14ac:dyDescent="0.2">
      <c r="A2682" t="str">
        <f>"20200111153448758"</f>
        <v>20200111153448758</v>
      </c>
      <c r="B2682" t="str">
        <f>"1578728088749239"</f>
        <v>1578728088749239</v>
      </c>
      <c r="C2682" t="s">
        <v>37</v>
      </c>
      <c r="D2682">
        <v>5.0732929999999996</v>
      </c>
      <c r="E2682">
        <v>0.51463059999999905</v>
      </c>
      <c r="F2682" t="s">
        <v>52</v>
      </c>
      <c r="G2682">
        <v>-376.23559999999998</v>
      </c>
      <c r="H2682" s="1">
        <v>1.7814769999999901E-6</v>
      </c>
      <c r="I2682">
        <v>216.0668</v>
      </c>
      <c r="J2682">
        <v>-393.48379999999997</v>
      </c>
      <c r="K2682">
        <v>1.0892219999999999</v>
      </c>
      <c r="L2682">
        <v>218.22309999999999</v>
      </c>
      <c r="M2682">
        <v>0.99366409999999905</v>
      </c>
      <c r="N2682">
        <v>0</v>
      </c>
      <c r="O2682">
        <v>-0.11128929999999999</v>
      </c>
      <c r="P2682">
        <v>0.99554920000000002</v>
      </c>
      <c r="Q2682">
        <v>4.7497369999999997E-2</v>
      </c>
      <c r="R2682">
        <v>-8.1400130000000001E-2</v>
      </c>
      <c r="S2682">
        <v>2.991333</v>
      </c>
      <c r="T2682">
        <v>-0.18365100000000001</v>
      </c>
      <c r="U2682">
        <v>-0.37208559999999902</v>
      </c>
      <c r="V2682">
        <v>-2.7639110000000001E-2</v>
      </c>
      <c r="W2682">
        <v>6.4190869999999997E-2</v>
      </c>
      <c r="X2682">
        <v>0.99755479999999996</v>
      </c>
      <c r="Y2682">
        <v>1.239997E-2</v>
      </c>
      <c r="Z2682">
        <v>6.3997079999999996E-3</v>
      </c>
      <c r="AA2682">
        <v>0.99990270000000003</v>
      </c>
      <c r="AB2682">
        <v>47</v>
      </c>
      <c r="AC2682">
        <v>17.248199999999901</v>
      </c>
      <c r="AD2682">
        <v>-1.089220218523</v>
      </c>
      <c r="AE2682">
        <v>-2.1562999999999799</v>
      </c>
      <c r="AF2682">
        <v>0.222252598365763</v>
      </c>
      <c r="AG2682">
        <v>-1.089220218523</v>
      </c>
      <c r="AH2682">
        <v>17.3130510841698</v>
      </c>
      <c r="AI2682">
        <v>93.599623002780802</v>
      </c>
      <c r="AJ2682">
        <v>89.264518058187093</v>
      </c>
      <c r="AK2682">
        <v>17.348704122930702</v>
      </c>
    </row>
    <row r="2683" spans="1:37" x14ac:dyDescent="0.2">
      <c r="A2683" t="str">
        <f>"20200111153448781"</f>
        <v>20200111153448781</v>
      </c>
      <c r="B2683" t="str">
        <f>"1578728088768762"</f>
        <v>1578728088768762</v>
      </c>
      <c r="C2683" t="s">
        <v>37</v>
      </c>
      <c r="D2683">
        <v>5.1106629999999997</v>
      </c>
      <c r="E2683">
        <v>0.51389289999999999</v>
      </c>
      <c r="F2683" t="s">
        <v>52</v>
      </c>
      <c r="G2683">
        <v>-374.77820000000003</v>
      </c>
      <c r="H2683" s="1">
        <v>1.0059289999999999E-6</v>
      </c>
      <c r="I2683">
        <v>215.89160000000001</v>
      </c>
      <c r="J2683">
        <v>-393.00740000000002</v>
      </c>
      <c r="K2683">
        <v>1.0899840000000001</v>
      </c>
      <c r="L2683">
        <v>218.16990000000001</v>
      </c>
      <c r="M2683">
        <v>0.99277289999999996</v>
      </c>
      <c r="N2683">
        <v>0</v>
      </c>
      <c r="O2683">
        <v>-0.118989899999999</v>
      </c>
      <c r="P2683">
        <v>0.99511859999999996</v>
      </c>
      <c r="Q2683">
        <v>4.9503329999999998E-2</v>
      </c>
      <c r="R2683">
        <v>-8.5372429999999999E-2</v>
      </c>
      <c r="S2683">
        <v>2.991241</v>
      </c>
      <c r="T2683">
        <v>-0.17417869999999999</v>
      </c>
      <c r="U2683">
        <v>-0.37283329999999998</v>
      </c>
      <c r="V2683">
        <v>-3.1429260000000001E-2</v>
      </c>
      <c r="W2683">
        <v>6.6169339999999993E-2</v>
      </c>
      <c r="X2683">
        <v>0.99731329999999996</v>
      </c>
      <c r="Y2683">
        <v>4.9039280000000001E-3</v>
      </c>
      <c r="Z2683">
        <v>6.7299990000000004E-3</v>
      </c>
      <c r="AA2683">
        <v>0.99996529999999995</v>
      </c>
      <c r="AB2683">
        <v>47</v>
      </c>
      <c r="AC2683">
        <v>18.229199999999899</v>
      </c>
      <c r="AD2683">
        <v>-1.089982994071</v>
      </c>
      <c r="AE2683">
        <v>-2.2783000000000002</v>
      </c>
      <c r="AF2683">
        <v>9.2429725425715606E-2</v>
      </c>
      <c r="AG2683">
        <v>-1.089982994071</v>
      </c>
      <c r="AH2683">
        <v>18.306343234150699</v>
      </c>
      <c r="AI2683">
        <v>93.407397518568303</v>
      </c>
      <c r="AJ2683">
        <v>89.710712942543495</v>
      </c>
      <c r="AK2683">
        <v>18.3389969406192</v>
      </c>
    </row>
    <row r="2684" spans="1:37" x14ac:dyDescent="0.2">
      <c r="A2684" t="str">
        <f>"20200111153448801"</f>
        <v>20200111153448801</v>
      </c>
      <c r="B2684" t="str">
        <f>"1578728088799015"</f>
        <v>1578728088799015</v>
      </c>
      <c r="C2684" t="s">
        <v>37</v>
      </c>
      <c r="D2684">
        <v>5.0594669999999997</v>
      </c>
      <c r="E2684">
        <v>0.51320109999999997</v>
      </c>
      <c r="F2684" t="s">
        <v>52</v>
      </c>
      <c r="G2684">
        <v>-373.56630000000001</v>
      </c>
      <c r="H2684" s="1">
        <v>3.6100820000000001E-7</v>
      </c>
      <c r="I2684">
        <v>215.71099999999899</v>
      </c>
      <c r="J2684">
        <v>-392.56369999999998</v>
      </c>
      <c r="K2684">
        <v>1.0907629999999999</v>
      </c>
      <c r="L2684">
        <v>218.11670000000001</v>
      </c>
      <c r="M2684">
        <v>0.99198209999999998</v>
      </c>
      <c r="N2684">
        <v>0</v>
      </c>
      <c r="O2684">
        <v>-0.12542400000000001</v>
      </c>
      <c r="P2684">
        <v>0.99502690000000005</v>
      </c>
      <c r="Q2684">
        <v>4.8898539999999997E-2</v>
      </c>
      <c r="R2684">
        <v>-8.6778469999999996E-2</v>
      </c>
      <c r="S2684">
        <v>2.9906009999999998</v>
      </c>
      <c r="T2684">
        <v>-0.16767079999999901</v>
      </c>
      <c r="U2684">
        <v>-0.37825009999999998</v>
      </c>
      <c r="V2684">
        <v>-3.6631869999999997E-2</v>
      </c>
      <c r="W2684">
        <v>6.558079E-2</v>
      </c>
      <c r="X2684">
        <v>0.99717459999999902</v>
      </c>
      <c r="Y2684">
        <v>2.33174399999999E-4</v>
      </c>
      <c r="Z2684">
        <v>6.9653739999999999E-3</v>
      </c>
      <c r="AA2684">
        <v>0.99997569999999902</v>
      </c>
      <c r="AB2684">
        <v>47</v>
      </c>
      <c r="AC2684">
        <v>18.997399999999899</v>
      </c>
      <c r="AD2684">
        <v>-1.0907626389917999</v>
      </c>
      <c r="AE2684">
        <v>-2.4057000000000199</v>
      </c>
      <c r="AF2684">
        <v>3.6699751819400102E-3</v>
      </c>
      <c r="AG2684">
        <v>-1.0907626389917999</v>
      </c>
      <c r="AH2684">
        <v>19.0871839353388</v>
      </c>
      <c r="AI2684">
        <v>93.270686575401996</v>
      </c>
      <c r="AJ2684">
        <v>89.988983493481001</v>
      </c>
      <c r="AK2684">
        <v>19.1183254283631</v>
      </c>
    </row>
    <row r="2685" spans="1:37" x14ac:dyDescent="0.2">
      <c r="A2685" t="str">
        <f>"20200111153448824"</f>
        <v>20200111153448824</v>
      </c>
      <c r="B2685" t="str">
        <f>"1578728088818535"</f>
        <v>1578728088818535</v>
      </c>
      <c r="C2685" t="s">
        <v>37</v>
      </c>
      <c r="D2685">
        <v>5.0918989999999997</v>
      </c>
      <c r="E2685">
        <v>0.50529190000000002</v>
      </c>
      <c r="F2685" t="s">
        <v>52</v>
      </c>
      <c r="G2685">
        <v>-373.28730000000002</v>
      </c>
      <c r="H2685" s="1">
        <v>2.1255640000000001E-7</v>
      </c>
      <c r="I2685">
        <v>215.6848</v>
      </c>
      <c r="J2685">
        <v>-392.08949999999999</v>
      </c>
      <c r="K2685">
        <v>1.091612</v>
      </c>
      <c r="L2685">
        <v>218.05609999999999</v>
      </c>
      <c r="M2685">
        <v>0.99118490000000004</v>
      </c>
      <c r="N2685">
        <v>0</v>
      </c>
      <c r="O2685">
        <v>-0.13158599999999901</v>
      </c>
      <c r="P2685">
        <v>0.99506569999999905</v>
      </c>
      <c r="Q2685">
        <v>4.7512699999999998E-2</v>
      </c>
      <c r="R2685">
        <v>-8.7102579999999999E-2</v>
      </c>
      <c r="S2685">
        <v>2.9904169999999999</v>
      </c>
      <c r="T2685">
        <v>-0.1692139</v>
      </c>
      <c r="U2685">
        <v>-0.37725829999999999</v>
      </c>
      <c r="V2685">
        <v>-4.2687950000000002E-2</v>
      </c>
      <c r="W2685">
        <v>6.4212749999999999E-2</v>
      </c>
      <c r="X2685">
        <v>0.99702279999999999</v>
      </c>
      <c r="Y2685">
        <v>-6.2764049999999997E-3</v>
      </c>
      <c r="Z2685">
        <v>7.5567689999999996E-3</v>
      </c>
      <c r="AA2685">
        <v>0.9999517</v>
      </c>
      <c r="AB2685">
        <v>47</v>
      </c>
      <c r="AC2685">
        <v>18.8021999999999</v>
      </c>
      <c r="AD2685">
        <v>-1.0916117874436</v>
      </c>
      <c r="AE2685">
        <v>-2.37129999999999</v>
      </c>
      <c r="AF2685">
        <v>-0.12331508694138001</v>
      </c>
      <c r="AG2685">
        <v>-1.0916117874436</v>
      </c>
      <c r="AH2685">
        <v>18.888069200708198</v>
      </c>
      <c r="AI2685">
        <v>93.307586542087805</v>
      </c>
      <c r="AJ2685">
        <v>90.374063308065899</v>
      </c>
      <c r="AK2685">
        <v>18.9199889280066</v>
      </c>
    </row>
    <row r="2686" spans="1:37" x14ac:dyDescent="0.2">
      <c r="A2686" t="str">
        <f>"20200111153448847"</f>
        <v>20200111153448847</v>
      </c>
      <c r="B2686" t="str">
        <f>"1578728088839031"</f>
        <v>1578728088839031</v>
      </c>
      <c r="C2686" t="s">
        <v>37</v>
      </c>
      <c r="D2686">
        <v>5.0245419999999896</v>
      </c>
      <c r="E2686">
        <v>0.50497009999999998</v>
      </c>
      <c r="F2686" t="s">
        <v>52</v>
      </c>
      <c r="G2686">
        <v>-373.78550000000001</v>
      </c>
      <c r="H2686" s="1">
        <v>4.7768150000000001E-7</v>
      </c>
      <c r="I2686">
        <v>216.1293</v>
      </c>
      <c r="J2686">
        <v>-391.59739999999999</v>
      </c>
      <c r="K2686">
        <v>1.0925199999999999</v>
      </c>
      <c r="L2686">
        <v>217.9898</v>
      </c>
      <c r="M2686">
        <v>0.99041800000000002</v>
      </c>
      <c r="N2686">
        <v>0</v>
      </c>
      <c r="O2686">
        <v>-0.13724639999999999</v>
      </c>
      <c r="P2686">
        <v>0.99493549999999997</v>
      </c>
      <c r="Q2686">
        <v>4.8478920000000002E-2</v>
      </c>
      <c r="R2686">
        <v>-8.8052519999999995E-2</v>
      </c>
      <c r="S2686">
        <v>2.9957579999999999</v>
      </c>
      <c r="T2686">
        <v>-0.17866080000000001</v>
      </c>
      <c r="U2686">
        <v>-0.31535340000000001</v>
      </c>
      <c r="V2686">
        <v>-4.753715E-2</v>
      </c>
      <c r="W2686">
        <v>6.5141110000000002E-2</v>
      </c>
      <c r="X2686">
        <v>0.99674309999999999</v>
      </c>
      <c r="Y2686">
        <v>-3.2514889999999998E-2</v>
      </c>
      <c r="Z2686">
        <v>9.0883219999999994E-3</v>
      </c>
      <c r="AA2686">
        <v>0.99942989999999998</v>
      </c>
      <c r="AB2686">
        <v>47</v>
      </c>
      <c r="AC2686">
        <v>17.811899999999898</v>
      </c>
      <c r="AD2686">
        <v>-1.0925195223185</v>
      </c>
      <c r="AE2686">
        <v>-1.8605</v>
      </c>
      <c r="AF2686">
        <v>-0.59978525022705997</v>
      </c>
      <c r="AG2686">
        <v>-1.0925195223185</v>
      </c>
      <c r="AH2686">
        <v>17.832317909863701</v>
      </c>
      <c r="AI2686">
        <v>93.503939773489407</v>
      </c>
      <c r="AJ2686">
        <v>91.9264020171818</v>
      </c>
      <c r="AK2686">
        <v>17.875818954427899</v>
      </c>
    </row>
    <row r="2687" spans="1:37" x14ac:dyDescent="0.2">
      <c r="A2687" t="str">
        <f>"20200111153448869"</f>
        <v>20200111153448869</v>
      </c>
      <c r="B2687" t="str">
        <f>"1578728088858551"</f>
        <v>1578728088858551</v>
      </c>
      <c r="C2687" t="s">
        <v>37</v>
      </c>
      <c r="D2687">
        <v>5.0599800000000004</v>
      </c>
      <c r="E2687">
        <v>0.50486070000000005</v>
      </c>
      <c r="F2687" t="s">
        <v>52</v>
      </c>
      <c r="G2687">
        <v>-373.17759999999998</v>
      </c>
      <c r="H2687" s="1">
        <v>1.54187299999999E-7</v>
      </c>
      <c r="I2687">
        <v>216.05189999999999</v>
      </c>
      <c r="J2687">
        <v>-391.14659999999998</v>
      </c>
      <c r="K2687">
        <v>1.093402</v>
      </c>
      <c r="L2687">
        <v>217.92619999999999</v>
      </c>
      <c r="M2687">
        <v>0.98977809999999899</v>
      </c>
      <c r="N2687">
        <v>0</v>
      </c>
      <c r="O2687">
        <v>-0.14179449999999999</v>
      </c>
      <c r="P2687">
        <v>0.99473829999999996</v>
      </c>
      <c r="Q2687">
        <v>5.0999759999999998E-2</v>
      </c>
      <c r="R2687">
        <v>-8.8851840000000001E-2</v>
      </c>
      <c r="S2687">
        <v>2.9960330000000002</v>
      </c>
      <c r="T2687">
        <v>-0.1777022</v>
      </c>
      <c r="U2687">
        <v>-0.3152008</v>
      </c>
      <c r="V2687">
        <v>-5.1364849999999997E-2</v>
      </c>
      <c r="W2687">
        <v>6.7599039999999999E-2</v>
      </c>
      <c r="X2687">
        <v>0.99638950000000004</v>
      </c>
      <c r="Y2687">
        <v>-3.7152780000000003E-2</v>
      </c>
      <c r="Z2687">
        <v>9.4417289999999994E-3</v>
      </c>
      <c r="AA2687">
        <v>0.99926499999999996</v>
      </c>
      <c r="AB2687">
        <v>47</v>
      </c>
      <c r="AC2687">
        <v>17.968999999999902</v>
      </c>
      <c r="AD2687">
        <v>-1.0934018458126999</v>
      </c>
      <c r="AE2687">
        <v>-1.8743000000000001</v>
      </c>
      <c r="AF2687">
        <v>-0.69031673190511</v>
      </c>
      <c r="AG2687">
        <v>-1.0934018458126999</v>
      </c>
      <c r="AH2687">
        <v>17.987313366545798</v>
      </c>
      <c r="AI2687">
        <v>93.476027930339399</v>
      </c>
      <c r="AJ2687">
        <v>92.197817605021797</v>
      </c>
      <c r="AK2687">
        <v>18.0337324737031</v>
      </c>
    </row>
    <row r="2688" spans="1:37" x14ac:dyDescent="0.2">
      <c r="A2688" t="str">
        <f>"20200111153448891"</f>
        <v>20200111153448891</v>
      </c>
      <c r="B2688" t="str">
        <f>"1578728088888808"</f>
        <v>1578728088888808</v>
      </c>
      <c r="C2688" t="s">
        <v>37</v>
      </c>
      <c r="D2688">
        <v>5.1331379999999998</v>
      </c>
      <c r="E2688">
        <v>0.50472529999999904</v>
      </c>
      <c r="F2688" t="s">
        <v>52</v>
      </c>
      <c r="G2688">
        <v>-371.87110000000001</v>
      </c>
      <c r="H2688" s="1">
        <v>-5.4109199999999999E-7</v>
      </c>
      <c r="I2688">
        <v>215.8931</v>
      </c>
      <c r="J2688">
        <v>-390.68199999999899</v>
      </c>
      <c r="K2688">
        <v>1.094344</v>
      </c>
      <c r="L2688">
        <v>217.85830000000001</v>
      </c>
      <c r="M2688">
        <v>0.98918709999999899</v>
      </c>
      <c r="N2688">
        <v>0</v>
      </c>
      <c r="O2688">
        <v>-0.1458662</v>
      </c>
      <c r="P2688">
        <v>0.99468840000000003</v>
      </c>
      <c r="Q2688">
        <v>5.2632100000000001E-2</v>
      </c>
      <c r="R2688">
        <v>-8.8456789999999993E-2</v>
      </c>
      <c r="S2688">
        <v>2.9963380000000002</v>
      </c>
      <c r="T2688">
        <v>-0.1699668</v>
      </c>
      <c r="U2688">
        <v>-0.31603999999999999</v>
      </c>
      <c r="V2688">
        <v>-5.5958800000000003E-2</v>
      </c>
      <c r="W2688">
        <v>6.9167480000000003E-2</v>
      </c>
      <c r="X2688">
        <v>0.99603439999999999</v>
      </c>
      <c r="Y2688">
        <v>-4.1012149999999997E-2</v>
      </c>
      <c r="Z2688">
        <v>9.3668669999999992E-3</v>
      </c>
      <c r="AA2688">
        <v>0.99911479999999997</v>
      </c>
      <c r="AB2688">
        <v>47</v>
      </c>
      <c r="AC2688">
        <v>18.810899999999901</v>
      </c>
      <c r="AD2688">
        <v>-1.0943445410920001</v>
      </c>
      <c r="AE2688">
        <v>-1.96520000000001</v>
      </c>
      <c r="AF2688">
        <v>-0.797347340450969</v>
      </c>
      <c r="AG2688">
        <v>-1.0943445410920001</v>
      </c>
      <c r="AH2688">
        <v>18.833295036866499</v>
      </c>
      <c r="AI2688">
        <v>93.322571420306502</v>
      </c>
      <c r="AJ2688">
        <v>92.424290126602997</v>
      </c>
      <c r="AK2688">
        <v>18.881905483864699</v>
      </c>
    </row>
    <row r="2689" spans="1:37" x14ac:dyDescent="0.2">
      <c r="A2689" t="str">
        <f>"20200111153448914"</f>
        <v>20200111153448914</v>
      </c>
      <c r="B2689" t="str">
        <f>"1578728088908327"</f>
        <v>1578728088908327</v>
      </c>
      <c r="C2689" t="s">
        <v>37</v>
      </c>
      <c r="D2689">
        <v>5.0942730000000003</v>
      </c>
      <c r="E2689">
        <v>0.5047876</v>
      </c>
      <c r="F2689" t="s">
        <v>52</v>
      </c>
      <c r="G2689">
        <v>-371.04790000000003</v>
      </c>
      <c r="H2689" s="1">
        <v>-9.7914239999999994E-7</v>
      </c>
      <c r="I2689">
        <v>215.8038</v>
      </c>
      <c r="J2689">
        <v>-390.21910000000003</v>
      </c>
      <c r="K2689">
        <v>1.095313</v>
      </c>
      <c r="L2689">
        <v>217.7884</v>
      </c>
      <c r="M2689">
        <v>0.98866989999999999</v>
      </c>
      <c r="N2689">
        <v>0</v>
      </c>
      <c r="O2689">
        <v>-0.14933689999999999</v>
      </c>
      <c r="P2689">
        <v>0.99486830000000004</v>
      </c>
      <c r="Q2689">
        <v>5.2180539999999997E-2</v>
      </c>
      <c r="R2689">
        <v>-8.6684499999999998E-2</v>
      </c>
      <c r="S2689">
        <v>2.9969790000000001</v>
      </c>
      <c r="T2689">
        <v>-0.16704229999999901</v>
      </c>
      <c r="U2689">
        <v>-0.31359860000000001</v>
      </c>
      <c r="V2689">
        <v>-6.1401129999999998E-2</v>
      </c>
      <c r="W2689">
        <v>6.8650870000000003E-2</v>
      </c>
      <c r="X2689">
        <v>0.99574949999999995</v>
      </c>
      <c r="Y2689">
        <v>-4.5343880000000003E-2</v>
      </c>
      <c r="Z2689">
        <v>9.5152469999999992E-3</v>
      </c>
      <c r="AA2689">
        <v>0.99892610000000004</v>
      </c>
      <c r="AB2689">
        <v>47</v>
      </c>
      <c r="AC2689">
        <v>19.171199999999999</v>
      </c>
      <c r="AD2689">
        <v>-1.0953139791424</v>
      </c>
      <c r="AE2689">
        <v>-1.9845999999999999</v>
      </c>
      <c r="AF2689">
        <v>-0.89805668544394801</v>
      </c>
      <c r="AG2689">
        <v>-1.0953139791424</v>
      </c>
      <c r="AH2689">
        <v>19.190601587886299</v>
      </c>
      <c r="AI2689">
        <v>93.263080288386504</v>
      </c>
      <c r="AJ2689">
        <v>92.679298302712994</v>
      </c>
      <c r="AK2689">
        <v>19.242801454782001</v>
      </c>
    </row>
    <row r="2690" spans="1:37" x14ac:dyDescent="0.2">
      <c r="A2690" t="str">
        <f>"20200111153448937"</f>
        <v>20200111153448937</v>
      </c>
      <c r="B2690" t="str">
        <f>"1578728088928824"</f>
        <v>1578728088928824</v>
      </c>
      <c r="C2690" t="s">
        <v>37</v>
      </c>
      <c r="D2690">
        <v>5.1317129999999898</v>
      </c>
      <c r="E2690">
        <v>0.50450499999999998</v>
      </c>
      <c r="F2690" t="s">
        <v>52</v>
      </c>
      <c r="G2690">
        <v>-370.13830000000002</v>
      </c>
      <c r="H2690" s="1">
        <v>-1.463177E-6</v>
      </c>
      <c r="I2690">
        <v>215.72069999999999</v>
      </c>
      <c r="J2690">
        <v>-389.74189999999999</v>
      </c>
      <c r="K2690">
        <v>1.096328</v>
      </c>
      <c r="L2690">
        <v>217.71469999999999</v>
      </c>
      <c r="M2690">
        <v>0.9882109</v>
      </c>
      <c r="N2690">
        <v>0</v>
      </c>
      <c r="O2690">
        <v>-0.1523495</v>
      </c>
      <c r="P2690">
        <v>0.99513200000000002</v>
      </c>
      <c r="Q2690">
        <v>5.0234719999999997E-2</v>
      </c>
      <c r="R2690">
        <v>-8.4786680000000003E-2</v>
      </c>
      <c r="S2690">
        <v>2.997131</v>
      </c>
      <c r="T2690">
        <v>-0.16348019999999999</v>
      </c>
      <c r="U2690">
        <v>-0.30862430000000002</v>
      </c>
      <c r="V2690">
        <v>-6.6555520000000007E-2</v>
      </c>
      <c r="W2690">
        <v>6.6606589999999993E-2</v>
      </c>
      <c r="X2690">
        <v>0.99555709999999997</v>
      </c>
      <c r="Y2690">
        <v>-5.003469E-2</v>
      </c>
      <c r="Z2690">
        <v>9.6024400000000003E-3</v>
      </c>
      <c r="AA2690">
        <v>0.99870130000000001</v>
      </c>
      <c r="AB2690">
        <v>47</v>
      </c>
      <c r="AC2690">
        <v>19.603599999999901</v>
      </c>
      <c r="AD2690">
        <v>-1.096329463177</v>
      </c>
      <c r="AE2690">
        <v>-1.994</v>
      </c>
      <c r="AF2690">
        <v>-1.01308633255956</v>
      </c>
      <c r="AG2690">
        <v>-1.096329463177</v>
      </c>
      <c r="AH2690">
        <v>19.617799688307802</v>
      </c>
      <c r="AI2690">
        <v>93.194366934342895</v>
      </c>
      <c r="AJ2690">
        <v>92.956195679404303</v>
      </c>
      <c r="AK2690">
        <v>19.674510078261601</v>
      </c>
    </row>
    <row r="2691" spans="1:37" x14ac:dyDescent="0.2">
      <c r="A2691" t="str">
        <f>"20200111153448960"</f>
        <v>20200111153448960</v>
      </c>
      <c r="B2691" t="str">
        <f>"1578728088948343"</f>
        <v>1578728088948343</v>
      </c>
      <c r="C2691" t="s">
        <v>37</v>
      </c>
      <c r="D2691">
        <v>5.1045210000000001</v>
      </c>
      <c r="E2691">
        <v>0.50444480000000003</v>
      </c>
      <c r="F2691" t="s">
        <v>52</v>
      </c>
      <c r="G2691">
        <v>-369.85890000000001</v>
      </c>
      <c r="H2691" s="1">
        <v>3.709628E-6</v>
      </c>
      <c r="I2691">
        <v>215.7234</v>
      </c>
      <c r="J2691">
        <v>-389.2878</v>
      </c>
      <c r="K2691">
        <v>1.0973090000000001</v>
      </c>
      <c r="L2691">
        <v>217.64320000000001</v>
      </c>
      <c r="M2691">
        <v>0.98784660000000002</v>
      </c>
      <c r="N2691">
        <v>0</v>
      </c>
      <c r="O2691">
        <v>-0.15469729999999901</v>
      </c>
      <c r="P2691">
        <v>0.99529630000000002</v>
      </c>
      <c r="Q2691">
        <v>4.9209660000000002E-2</v>
      </c>
      <c r="R2691">
        <v>-8.3449049999999997E-2</v>
      </c>
      <c r="S2691">
        <v>2.9974059999999998</v>
      </c>
      <c r="T2691">
        <v>-0.1652737</v>
      </c>
      <c r="U2691">
        <v>-0.30020140000000001</v>
      </c>
      <c r="V2691">
        <v>-7.0440269999999999E-2</v>
      </c>
      <c r="W2691">
        <v>6.5450869999999994E-2</v>
      </c>
      <c r="X2691">
        <v>0.99536650000000004</v>
      </c>
      <c r="Y2691">
        <v>-5.517644E-2</v>
      </c>
      <c r="Z2691">
        <v>9.9772390000000006E-3</v>
      </c>
      <c r="AA2691">
        <v>0.99842679999999995</v>
      </c>
      <c r="AB2691">
        <v>47</v>
      </c>
      <c r="AC2691">
        <v>19.428899999999999</v>
      </c>
      <c r="AD2691">
        <v>-1.097305290372</v>
      </c>
      <c r="AE2691">
        <v>-1.9198</v>
      </c>
      <c r="AF2691">
        <v>-1.1057638226809301</v>
      </c>
      <c r="AG2691">
        <v>-1.097305290372</v>
      </c>
      <c r="AH2691">
        <v>19.430601604585</v>
      </c>
      <c r="AI2691">
        <v>93.227023944729098</v>
      </c>
      <c r="AJ2691">
        <v>93.257096222280197</v>
      </c>
      <c r="AK2691">
        <v>19.4929492701317</v>
      </c>
    </row>
    <row r="2692" spans="1:37" x14ac:dyDescent="0.2">
      <c r="A2692" t="str">
        <f>"20200111153448980"</f>
        <v>20200111153448980</v>
      </c>
      <c r="B2692" t="str">
        <f>"1578728088968842"</f>
        <v>1578728088968842</v>
      </c>
      <c r="C2692" t="s">
        <v>37</v>
      </c>
      <c r="D2692">
        <v>5.1042449999999997</v>
      </c>
      <c r="E2692">
        <v>0.50443400000000005</v>
      </c>
      <c r="F2692" t="s">
        <v>52</v>
      </c>
      <c r="G2692">
        <v>-369.5154</v>
      </c>
      <c r="H2692" s="1">
        <v>3.5268529999999998E-6</v>
      </c>
      <c r="I2692">
        <v>215.69810000000001</v>
      </c>
      <c r="J2692">
        <v>-388.84829999999999</v>
      </c>
      <c r="K2692">
        <v>1.0982540000000001</v>
      </c>
      <c r="L2692">
        <v>217.57299999999901</v>
      </c>
      <c r="M2692">
        <v>0.9875659</v>
      </c>
      <c r="N2692">
        <v>0</v>
      </c>
      <c r="O2692">
        <v>-0.1564836</v>
      </c>
      <c r="P2692">
        <v>0.99536270000000004</v>
      </c>
      <c r="Q2692">
        <v>4.9151970000000003E-2</v>
      </c>
      <c r="R2692">
        <v>-8.2687999999999998E-2</v>
      </c>
      <c r="S2692">
        <v>2.997681</v>
      </c>
      <c r="T2692">
        <v>-0.16636229999999999</v>
      </c>
      <c r="U2692">
        <v>-0.29489140000000003</v>
      </c>
      <c r="V2692">
        <v>-7.3149259999999994E-2</v>
      </c>
      <c r="W2692">
        <v>6.5240560000000003E-2</v>
      </c>
      <c r="X2692">
        <v>0.99518479999999998</v>
      </c>
      <c r="Y2692">
        <v>-5.8729940000000001E-2</v>
      </c>
      <c r="Z2692">
        <v>1.023893E-2</v>
      </c>
      <c r="AA2692">
        <v>0.99822140000000004</v>
      </c>
      <c r="AB2692">
        <v>47</v>
      </c>
      <c r="AC2692">
        <v>19.332899999999899</v>
      </c>
      <c r="AD2692">
        <v>-1.098250473147</v>
      </c>
      <c r="AE2692">
        <v>-1.87489999999996</v>
      </c>
      <c r="AF2692">
        <v>-1.17008664122027</v>
      </c>
      <c r="AG2692">
        <v>-1.098250473147</v>
      </c>
      <c r="AH2692">
        <v>19.326313166121299</v>
      </c>
      <c r="AI2692">
        <v>93.246499814422506</v>
      </c>
      <c r="AJ2692">
        <v>93.464669720047198</v>
      </c>
      <c r="AK2692">
        <v>19.392824380288801</v>
      </c>
    </row>
    <row r="2693" spans="1:37" x14ac:dyDescent="0.2">
      <c r="A2693" t="str">
        <f>"20200111153449003"</f>
        <v>20200111153449003</v>
      </c>
      <c r="B2693" t="str">
        <f>"1578728088999095"</f>
        <v>1578728088999095</v>
      </c>
      <c r="C2693" t="s">
        <v>37</v>
      </c>
      <c r="D2693">
        <v>5.1189960000000001</v>
      </c>
      <c r="E2693">
        <v>0.50435680000000005</v>
      </c>
      <c r="F2693" t="s">
        <v>52</v>
      </c>
      <c r="G2693">
        <v>-368.91669999999999</v>
      </c>
      <c r="H2693" s="1">
        <v>3.2082149999999998E-6</v>
      </c>
      <c r="I2693">
        <v>215.63120000000001</v>
      </c>
      <c r="J2693">
        <v>-388.3768</v>
      </c>
      <c r="K2693">
        <v>1.0992090000000001</v>
      </c>
      <c r="L2693">
        <v>217.49700000000001</v>
      </c>
      <c r="M2693">
        <v>0.98733040000000005</v>
      </c>
      <c r="N2693">
        <v>0</v>
      </c>
      <c r="O2693">
        <v>-0.15796479999999999</v>
      </c>
      <c r="P2693">
        <v>0.99535119999999899</v>
      </c>
      <c r="Q2693">
        <v>4.8995299999999999E-2</v>
      </c>
      <c r="R2693">
        <v>-8.291954E-2</v>
      </c>
      <c r="S2693">
        <v>2.997833</v>
      </c>
      <c r="T2693">
        <v>-0.1651831</v>
      </c>
      <c r="U2693">
        <v>-0.29205320000000001</v>
      </c>
      <c r="V2693">
        <v>-7.4560680000000004E-2</v>
      </c>
      <c r="W2693">
        <v>6.4904149999999994E-2</v>
      </c>
      <c r="X2693">
        <v>0.99510209999999999</v>
      </c>
      <c r="Y2693">
        <v>-6.1166989999999997E-2</v>
      </c>
      <c r="Z2693">
        <v>1.03138E-2</v>
      </c>
      <c r="AA2693">
        <v>0.99807420000000002</v>
      </c>
      <c r="AB2693">
        <v>47</v>
      </c>
      <c r="AC2693">
        <v>19.460100000000001</v>
      </c>
      <c r="AD2693">
        <v>-1.099205791785</v>
      </c>
      <c r="AE2693">
        <v>-1.8657999999999999</v>
      </c>
      <c r="AF2693">
        <v>-1.22810618226681</v>
      </c>
      <c r="AG2693">
        <v>-1.099205791785</v>
      </c>
      <c r="AH2693">
        <v>19.448993847726101</v>
      </c>
      <c r="AI2693">
        <v>93.228348831434204</v>
      </c>
      <c r="AJ2693">
        <v>93.613143305151098</v>
      </c>
      <c r="AK2693">
        <v>19.518705383721102</v>
      </c>
    </row>
    <row r="2694" spans="1:37" x14ac:dyDescent="0.2">
      <c r="A2694" t="str">
        <f>"20200111153449026"</f>
        <v>20200111153449026</v>
      </c>
      <c r="B2694" t="str">
        <f>"1578728089018615"</f>
        <v>1578728089018615</v>
      </c>
      <c r="C2694" t="s">
        <v>37</v>
      </c>
      <c r="D2694">
        <v>5.1374550000000001</v>
      </c>
      <c r="E2694">
        <v>0.50448230000000005</v>
      </c>
      <c r="F2694" t="s">
        <v>52</v>
      </c>
      <c r="G2694">
        <v>-368.46620000000001</v>
      </c>
      <c r="H2694" s="1">
        <v>2.9685169999999999E-6</v>
      </c>
      <c r="I2694">
        <v>215.56360000000001</v>
      </c>
      <c r="J2694">
        <v>-387.90300000000002</v>
      </c>
      <c r="K2694">
        <v>1.100101</v>
      </c>
      <c r="L2694">
        <v>217.42009999999999</v>
      </c>
      <c r="M2694">
        <v>0.98715839999999999</v>
      </c>
      <c r="N2694">
        <v>0</v>
      </c>
      <c r="O2694">
        <v>-0.15903900000000001</v>
      </c>
      <c r="P2694">
        <v>0.99532219999999905</v>
      </c>
      <c r="Q2694">
        <v>4.9650720000000002E-2</v>
      </c>
      <c r="R2694">
        <v>-8.2876000000000005E-2</v>
      </c>
      <c r="S2694">
        <v>2.997925</v>
      </c>
      <c r="T2694">
        <v>-0.1655066</v>
      </c>
      <c r="U2694">
        <v>-0.29110720000000001</v>
      </c>
      <c r="V2694">
        <v>-7.5810429999999998E-2</v>
      </c>
      <c r="W2694">
        <v>6.5385209999999999E-2</v>
      </c>
      <c r="X2694">
        <v>0.99497619999999898</v>
      </c>
      <c r="Y2694">
        <v>-6.2562820000000005E-2</v>
      </c>
      <c r="Z2694">
        <v>1.04306E-2</v>
      </c>
      <c r="AA2694">
        <v>0.9979865</v>
      </c>
      <c r="AB2694">
        <v>47</v>
      </c>
      <c r="AC2694">
        <v>19.436800000000002</v>
      </c>
      <c r="AD2694">
        <v>-1.100098031483</v>
      </c>
      <c r="AE2694">
        <v>-1.8564999999999801</v>
      </c>
      <c r="AF2694">
        <v>-1.2547081928202499</v>
      </c>
      <c r="AG2694">
        <v>-1.100098031483</v>
      </c>
      <c r="AH2694">
        <v>19.422989965961101</v>
      </c>
      <c r="AI2694">
        <v>93.234981648254006</v>
      </c>
      <c r="AJ2694">
        <v>93.696121674843894</v>
      </c>
      <c r="AK2694">
        <v>19.494538915958699</v>
      </c>
    </row>
    <row r="2695" spans="1:37" x14ac:dyDescent="0.2">
      <c r="A2695" t="str">
        <f>"20200111153449049"</f>
        <v>20200111153449049</v>
      </c>
      <c r="B2695" t="str">
        <f>"1578728089039114"</f>
        <v>1578728089039114</v>
      </c>
      <c r="C2695" t="s">
        <v>37</v>
      </c>
      <c r="D2695">
        <v>5.1416879999999896</v>
      </c>
      <c r="E2695">
        <v>0.50450709999999999</v>
      </c>
      <c r="F2695" t="s">
        <v>52</v>
      </c>
      <c r="G2695">
        <v>-367.68729999999999</v>
      </c>
      <c r="H2695" s="1">
        <v>2.5540309999999998E-6</v>
      </c>
      <c r="I2695">
        <v>215.4615</v>
      </c>
      <c r="J2695">
        <v>-387.42989999999998</v>
      </c>
      <c r="K2695">
        <v>1.1009229999999901</v>
      </c>
      <c r="L2695">
        <v>217.34309999999999</v>
      </c>
      <c r="M2695">
        <v>0.98705080000000001</v>
      </c>
      <c r="N2695">
        <v>0</v>
      </c>
      <c r="O2695">
        <v>-0.15970680000000001</v>
      </c>
      <c r="P2695">
        <v>0.99537509999999996</v>
      </c>
      <c r="Q2695">
        <v>4.9843930000000002E-2</v>
      </c>
      <c r="R2695">
        <v>-8.2123089999999996E-2</v>
      </c>
      <c r="S2695">
        <v>2.9980159999999998</v>
      </c>
      <c r="T2695">
        <v>-0.16314690000000001</v>
      </c>
      <c r="U2695">
        <v>-0.29046630000000001</v>
      </c>
      <c r="V2695">
        <v>-7.7359259999999999E-2</v>
      </c>
      <c r="W2695">
        <v>6.5414730000000004E-2</v>
      </c>
      <c r="X2695">
        <v>0.99485499999999905</v>
      </c>
      <c r="Y2695">
        <v>-6.3459409999999994E-2</v>
      </c>
      <c r="Z2695">
        <v>1.0342E-2</v>
      </c>
      <c r="AA2695">
        <v>0.99793080000000001</v>
      </c>
      <c r="AB2695">
        <v>47</v>
      </c>
      <c r="AC2695">
        <v>19.7425999999999</v>
      </c>
      <c r="AD2695">
        <v>-1.1009204459690001</v>
      </c>
      <c r="AE2695">
        <v>-1.8815999999999899</v>
      </c>
      <c r="AF2695">
        <v>-1.2919568401974899</v>
      </c>
      <c r="AG2695">
        <v>-1.1009204459690001</v>
      </c>
      <c r="AH2695">
        <v>19.728878028348198</v>
      </c>
      <c r="AI2695">
        <v>93.187122149154106</v>
      </c>
      <c r="AJ2695">
        <v>93.746697211610794</v>
      </c>
      <c r="AK2695">
        <v>19.8017627135245</v>
      </c>
    </row>
    <row r="2696" spans="1:37" x14ac:dyDescent="0.2">
      <c r="A2696" t="str">
        <f>"20200111153449072"</f>
        <v>20200111153449072</v>
      </c>
      <c r="B2696" t="str">
        <f>"1578728089068392"</f>
        <v>1578728089068392</v>
      </c>
      <c r="C2696" t="s">
        <v>37</v>
      </c>
      <c r="D2696">
        <v>5.119847</v>
      </c>
      <c r="E2696">
        <v>0.50441749999999996</v>
      </c>
      <c r="F2696" t="s">
        <v>52</v>
      </c>
      <c r="G2696">
        <v>-366.97030000000001</v>
      </c>
      <c r="H2696" s="1">
        <v>2.1724670000000001E-6</v>
      </c>
      <c r="I2696">
        <v>215.3784</v>
      </c>
      <c r="J2696">
        <v>-386.98759999999999</v>
      </c>
      <c r="K2696">
        <v>1.10164</v>
      </c>
      <c r="L2696">
        <v>217.27099999999999</v>
      </c>
      <c r="M2696">
        <v>0.98701039999999995</v>
      </c>
      <c r="N2696">
        <v>0</v>
      </c>
      <c r="O2696">
        <v>-0.1599604</v>
      </c>
      <c r="P2696">
        <v>0.99543159999999897</v>
      </c>
      <c r="Q2696">
        <v>5.0073350000000003E-2</v>
      </c>
      <c r="R2696">
        <v>-8.1295469999999995E-2</v>
      </c>
      <c r="S2696">
        <v>2.9982599999999899</v>
      </c>
      <c r="T2696">
        <v>-0.16133520000000001</v>
      </c>
      <c r="U2696">
        <v>-0.28791809999999901</v>
      </c>
      <c r="V2696">
        <v>-7.8548530000000005E-2</v>
      </c>
      <c r="W2696">
        <v>6.5494650000000001E-2</v>
      </c>
      <c r="X2696">
        <v>0.99475650000000004</v>
      </c>
      <c r="Y2696">
        <v>-6.4568990000000007E-2</v>
      </c>
      <c r="Z2696">
        <v>1.027023E-2</v>
      </c>
      <c r="AA2696">
        <v>0.99786039999999998</v>
      </c>
      <c r="AB2696">
        <v>47</v>
      </c>
      <c r="AC2696">
        <v>20.017299999999899</v>
      </c>
      <c r="AD2696">
        <v>-1.1016378275329901</v>
      </c>
      <c r="AE2696">
        <v>-1.8925999999999801</v>
      </c>
      <c r="AF2696">
        <v>-1.3301153642021999</v>
      </c>
      <c r="AG2696">
        <v>-1.1016378275329901</v>
      </c>
      <c r="AH2696">
        <v>20.002217409217501</v>
      </c>
      <c r="AI2696">
        <v>93.145492079804399</v>
      </c>
      <c r="AJ2696">
        <v>93.804476159947797</v>
      </c>
      <c r="AK2696">
        <v>20.076641005674698</v>
      </c>
    </row>
    <row r="2697" spans="1:37" x14ac:dyDescent="0.2">
      <c r="A2697" t="str">
        <f>"20200111153449092"</f>
        <v>20200111153449092</v>
      </c>
      <c r="B2697" t="str">
        <f>"1578728089088887"</f>
        <v>1578728089088887</v>
      </c>
      <c r="C2697" t="s">
        <v>37</v>
      </c>
      <c r="D2697">
        <v>5.1314349999999997</v>
      </c>
      <c r="E2697">
        <v>0.50429309999999905</v>
      </c>
      <c r="F2697" t="s">
        <v>52</v>
      </c>
      <c r="G2697">
        <v>-366.38639999999998</v>
      </c>
      <c r="H2697" s="1">
        <v>1.861726E-6</v>
      </c>
      <c r="I2697">
        <v>215.32089999999999</v>
      </c>
      <c r="J2697">
        <v>-386.53579999999999</v>
      </c>
      <c r="K2697">
        <v>1.102339</v>
      </c>
      <c r="L2697">
        <v>217.19759999999999</v>
      </c>
      <c r="M2697">
        <v>0.98702819999999902</v>
      </c>
      <c r="N2697">
        <v>0</v>
      </c>
      <c r="O2697">
        <v>-0.15985089999999999</v>
      </c>
      <c r="P2697">
        <v>0.99552070000000004</v>
      </c>
      <c r="Q2697">
        <v>5.0569620000000003E-2</v>
      </c>
      <c r="R2697">
        <v>-7.9880160000000006E-2</v>
      </c>
      <c r="S2697">
        <v>2.9986570000000001</v>
      </c>
      <c r="T2697">
        <v>-0.16035139999999901</v>
      </c>
      <c r="U2697">
        <v>-0.28385929999999998</v>
      </c>
      <c r="V2697">
        <v>-7.9953979999999994E-2</v>
      </c>
      <c r="W2697">
        <v>6.5841529999999995E-2</v>
      </c>
      <c r="X2697">
        <v>0.99462159999999999</v>
      </c>
      <c r="Y2697">
        <v>-6.5811590000000003E-2</v>
      </c>
      <c r="Z2697">
        <v>1.02346E-2</v>
      </c>
      <c r="AA2697">
        <v>0.99777959999999999</v>
      </c>
      <c r="AB2697">
        <v>47</v>
      </c>
      <c r="AC2697">
        <v>20.1494</v>
      </c>
      <c r="AD2697">
        <v>-1.1023371382739999</v>
      </c>
      <c r="AE2697">
        <v>-1.8767</v>
      </c>
      <c r="AF2697">
        <v>-1.3646472918991699</v>
      </c>
      <c r="AG2697">
        <v>-1.1023371382739999</v>
      </c>
      <c r="AH2697">
        <v>20.130537523055601</v>
      </c>
      <c r="AI2697">
        <v>93.127191984446995</v>
      </c>
      <c r="AJ2697">
        <v>93.878142268402598</v>
      </c>
      <c r="AK2697">
        <v>20.206829300136501</v>
      </c>
    </row>
    <row r="2698" spans="1:37" x14ac:dyDescent="0.2">
      <c r="A2698" t="str">
        <f>"20200111153449115"</f>
        <v>20200111153449115</v>
      </c>
      <c r="B2698" t="str">
        <f>"1578728089108407"</f>
        <v>1578728089108407</v>
      </c>
      <c r="C2698" t="s">
        <v>37</v>
      </c>
      <c r="D2698">
        <v>5.1751870000000002</v>
      </c>
      <c r="E2698">
        <v>0.50423600000000002</v>
      </c>
      <c r="F2698" t="s">
        <v>52</v>
      </c>
      <c r="G2698">
        <v>-365.78590000000003</v>
      </c>
      <c r="H2698" s="1">
        <v>1.542175E-6</v>
      </c>
      <c r="I2698">
        <v>215.27379999999999</v>
      </c>
      <c r="J2698">
        <v>-386.07839999999999</v>
      </c>
      <c r="K2698">
        <v>1.1030229999999901</v>
      </c>
      <c r="L2698">
        <v>217.12350000000001</v>
      </c>
      <c r="M2698">
        <v>0.98710599999999904</v>
      </c>
      <c r="N2698">
        <v>0</v>
      </c>
      <c r="O2698">
        <v>-0.15937370000000001</v>
      </c>
      <c r="P2698">
        <v>0.99555369999999999</v>
      </c>
      <c r="Q2698">
        <v>5.1500299999999999E-2</v>
      </c>
      <c r="R2698">
        <v>-7.8871739999999996E-2</v>
      </c>
      <c r="S2698">
        <v>2.9992369999999999</v>
      </c>
      <c r="T2698">
        <v>-0.159334</v>
      </c>
      <c r="U2698">
        <v>-0.2780609</v>
      </c>
      <c r="V2698">
        <v>-8.0575359999999999E-2</v>
      </c>
      <c r="W2698">
        <v>6.6621330000000006E-2</v>
      </c>
      <c r="X2698">
        <v>0.99451959999999995</v>
      </c>
      <c r="Y2698">
        <v>-6.7262050000000004E-2</v>
      </c>
      <c r="Z2698">
        <v>1.0182510000000001E-2</v>
      </c>
      <c r="AA2698">
        <v>0.9976834</v>
      </c>
      <c r="AB2698">
        <v>47</v>
      </c>
      <c r="AC2698">
        <v>20.292499999999901</v>
      </c>
      <c r="AD2698">
        <v>-1.1030214578249999</v>
      </c>
      <c r="AE2698">
        <v>-1.8497000000000099</v>
      </c>
      <c r="AF2698">
        <v>-1.40428213196094</v>
      </c>
      <c r="AG2698">
        <v>-1.1030214578249999</v>
      </c>
      <c r="AH2698">
        <v>20.268504607278999</v>
      </c>
      <c r="AI2698">
        <v>93.107555354204493</v>
      </c>
      <c r="AJ2698">
        <v>93.963344521562206</v>
      </c>
      <c r="AK2698">
        <v>20.347013138489402</v>
      </c>
    </row>
    <row r="2699" spans="1:37" x14ac:dyDescent="0.2">
      <c r="A2699" t="str">
        <f>"20200111153449138"</f>
        <v>20200111153449138</v>
      </c>
      <c r="B2699" t="str">
        <f>"1578728089128903"</f>
        <v>1578728089128903</v>
      </c>
      <c r="C2699" t="s">
        <v>37</v>
      </c>
      <c r="D2699">
        <v>5.1711589999999896</v>
      </c>
      <c r="E2699">
        <v>0.50422599999999995</v>
      </c>
      <c r="F2699" t="s">
        <v>52</v>
      </c>
      <c r="G2699">
        <v>-364.90019999999998</v>
      </c>
      <c r="H2699" s="1">
        <v>1.070861E-6</v>
      </c>
      <c r="I2699">
        <v>215.1908</v>
      </c>
      <c r="J2699">
        <v>-385.60399999999998</v>
      </c>
      <c r="K2699">
        <v>1.103702</v>
      </c>
      <c r="L2699">
        <v>217.0472</v>
      </c>
      <c r="M2699">
        <v>0.98724619999999996</v>
      </c>
      <c r="N2699">
        <v>0</v>
      </c>
      <c r="O2699">
        <v>-0.15850500000000001</v>
      </c>
      <c r="P2699">
        <v>0.99556089999999997</v>
      </c>
      <c r="Q2699">
        <v>5.1952180000000001E-2</v>
      </c>
      <c r="R2699">
        <v>-7.8482780000000002E-2</v>
      </c>
      <c r="S2699">
        <v>2.99981699999999</v>
      </c>
      <c r="T2699">
        <v>-0.1562395</v>
      </c>
      <c r="U2699">
        <v>-0.2737579</v>
      </c>
      <c r="V2699">
        <v>-8.0189140000000006E-2</v>
      </c>
      <c r="W2699">
        <v>6.6922510000000004E-2</v>
      </c>
      <c r="X2699">
        <v>0.99453060000000004</v>
      </c>
      <c r="Y2699">
        <v>-6.7833329999999997E-2</v>
      </c>
      <c r="Z2699">
        <v>9.9542989999999998E-3</v>
      </c>
      <c r="AA2699">
        <v>0.99764699999999995</v>
      </c>
      <c r="AB2699">
        <v>47</v>
      </c>
      <c r="AC2699">
        <v>20.703800000000001</v>
      </c>
      <c r="AD2699">
        <v>-1.1037009291390001</v>
      </c>
      <c r="AE2699">
        <v>-1.8564000000000001</v>
      </c>
      <c r="AF2699">
        <v>-1.4450183955462701</v>
      </c>
      <c r="AG2699">
        <v>-1.1037009291390001</v>
      </c>
      <c r="AH2699">
        <v>20.677993853787601</v>
      </c>
      <c r="AI2699">
        <v>93.047879990972007</v>
      </c>
      <c r="AJ2699">
        <v>93.997441721585503</v>
      </c>
      <c r="AK2699">
        <v>20.757785617009599</v>
      </c>
    </row>
    <row r="2700" spans="1:37" x14ac:dyDescent="0.2">
      <c r="A2700" t="str">
        <f>"20200111153449160"</f>
        <v>20200111153449160</v>
      </c>
      <c r="B2700" t="str">
        <f>"1578728089148423"</f>
        <v>1578728089148423</v>
      </c>
      <c r="C2700" t="s">
        <v>37</v>
      </c>
      <c r="D2700">
        <v>5.1817169999999999</v>
      </c>
      <c r="E2700">
        <v>0.50417100000000004</v>
      </c>
      <c r="F2700" t="s">
        <v>52</v>
      </c>
      <c r="G2700">
        <v>-364.20089999999999</v>
      </c>
      <c r="H2700" s="1">
        <v>6.9872019999999903E-7</v>
      </c>
      <c r="I2700">
        <v>215.1052</v>
      </c>
      <c r="J2700">
        <v>-385.15690000000001</v>
      </c>
      <c r="K2700">
        <v>1.1043019999999999</v>
      </c>
      <c r="L2700">
        <v>216.976</v>
      </c>
      <c r="M2700">
        <v>0.98743619999999899</v>
      </c>
      <c r="N2700">
        <v>0</v>
      </c>
      <c r="O2700">
        <v>-0.15731679999999901</v>
      </c>
      <c r="P2700">
        <v>0.99550649999999996</v>
      </c>
      <c r="Q2700">
        <v>5.257916E-2</v>
      </c>
      <c r="R2700">
        <v>-7.8753829999999997E-2</v>
      </c>
      <c r="S2700">
        <v>3</v>
      </c>
      <c r="T2700">
        <v>-0.15470220000000001</v>
      </c>
      <c r="U2700">
        <v>-0.27220149999999999</v>
      </c>
      <c r="V2700">
        <v>-7.8809260000000006E-2</v>
      </c>
      <c r="W2700">
        <v>6.7418249999999999E-2</v>
      </c>
      <c r="X2700">
        <v>0.99460740000000003</v>
      </c>
      <c r="Y2700">
        <v>-6.7159839999999998E-2</v>
      </c>
      <c r="Z2700">
        <v>9.7785679999999996E-3</v>
      </c>
      <c r="AA2700">
        <v>0.99769430000000003</v>
      </c>
      <c r="AB2700">
        <v>46</v>
      </c>
      <c r="AC2700">
        <v>20.956</v>
      </c>
      <c r="AD2700">
        <v>-1.1043013012798</v>
      </c>
      <c r="AE2700">
        <v>-1.8708</v>
      </c>
      <c r="AF2700">
        <v>-1.44561296814782</v>
      </c>
      <c r="AG2700">
        <v>-1.1043013012798</v>
      </c>
      <c r="AH2700">
        <v>20.931677212533501</v>
      </c>
      <c r="AI2700">
        <v>93.012814366226806</v>
      </c>
      <c r="AJ2700">
        <v>93.950768381435196</v>
      </c>
      <c r="AK2700">
        <v>21.0105780298253</v>
      </c>
    </row>
    <row r="2701" spans="1:37" x14ac:dyDescent="0.2">
      <c r="A2701" t="str">
        <f>"20200111153449181"</f>
        <v>20200111153449181</v>
      </c>
      <c r="B2701" t="str">
        <f>"1578728089168919"</f>
        <v>1578728089168919</v>
      </c>
      <c r="C2701" t="s">
        <v>37</v>
      </c>
      <c r="D2701">
        <v>5.1902339999999896</v>
      </c>
      <c r="E2701">
        <v>0.504166</v>
      </c>
      <c r="F2701" t="s">
        <v>52</v>
      </c>
      <c r="G2701">
        <v>-363.51440000000002</v>
      </c>
      <c r="H2701" s="1">
        <v>3.3339790000000001E-7</v>
      </c>
      <c r="I2701">
        <v>215.01159999999999</v>
      </c>
      <c r="J2701">
        <v>-384.71789999999999</v>
      </c>
      <c r="K2701">
        <v>1.1048549999999999</v>
      </c>
      <c r="L2701">
        <v>216.90700000000001</v>
      </c>
      <c r="M2701">
        <v>0.98767320000000003</v>
      </c>
      <c r="N2701">
        <v>0</v>
      </c>
      <c r="O2701">
        <v>-0.1558244</v>
      </c>
      <c r="P2701">
        <v>0.99545399999999995</v>
      </c>
      <c r="Q2701">
        <v>5.3198309999999999E-2</v>
      </c>
      <c r="R2701">
        <v>-7.9001080000000001E-2</v>
      </c>
      <c r="S2701">
        <v>3.0000309999999999</v>
      </c>
      <c r="T2701">
        <v>-0.15307579999999901</v>
      </c>
      <c r="U2701">
        <v>-0.2723083</v>
      </c>
      <c r="V2701">
        <v>-7.7140410000000006E-2</v>
      </c>
      <c r="W2701">
        <v>6.7922549999999998E-2</v>
      </c>
      <c r="X2701">
        <v>0.99470389999999997</v>
      </c>
      <c r="Y2701">
        <v>-6.5627580000000005E-2</v>
      </c>
      <c r="Z2701">
        <v>9.5618189999999992E-3</v>
      </c>
      <c r="AA2701">
        <v>0.99779839999999997</v>
      </c>
      <c r="AB2701">
        <v>46</v>
      </c>
      <c r="AC2701">
        <v>21.203499999999899</v>
      </c>
      <c r="AD2701">
        <v>-1.1048546666021</v>
      </c>
      <c r="AE2701">
        <v>-1.89540000000002</v>
      </c>
      <c r="AF2701">
        <v>-1.42829740660556</v>
      </c>
      <c r="AG2701">
        <v>-1.1048546666021</v>
      </c>
      <c r="AH2701">
        <v>21.1827604749766</v>
      </c>
      <c r="AI2701">
        <v>92.978987167927897</v>
      </c>
      <c r="AJ2701">
        <v>93.857463736254203</v>
      </c>
      <c r="AK2701">
        <v>21.259587923011601</v>
      </c>
    </row>
    <row r="2702" spans="1:37" x14ac:dyDescent="0.2">
      <c r="A2702" t="str">
        <f>"20200111153449205"</f>
        <v>20200111153449205</v>
      </c>
      <c r="B2702" t="str">
        <f>"1578728089199176"</f>
        <v>1578728089199176</v>
      </c>
      <c r="C2702" t="s">
        <v>37</v>
      </c>
      <c r="D2702">
        <v>5.210744</v>
      </c>
      <c r="E2702">
        <v>0.50403240000000005</v>
      </c>
      <c r="F2702" t="s">
        <v>52</v>
      </c>
      <c r="G2702">
        <v>-362.83210000000003</v>
      </c>
      <c r="H2702" s="1">
        <v>-2.9694889999999901E-8</v>
      </c>
      <c r="I2702">
        <v>214.91499999999999</v>
      </c>
      <c r="J2702">
        <v>-384.22859999999997</v>
      </c>
      <c r="K2702">
        <v>1.1054040000000001</v>
      </c>
      <c r="L2702">
        <v>216.8312</v>
      </c>
      <c r="M2702">
        <v>0.98798509999999995</v>
      </c>
      <c r="N2702">
        <v>0</v>
      </c>
      <c r="O2702">
        <v>-0.15383649999999999</v>
      </c>
      <c r="P2702">
        <v>0.99541489999999999</v>
      </c>
      <c r="Q2702">
        <v>5.3606880000000003E-2</v>
      </c>
      <c r="R2702">
        <v>-7.9219579999999998E-2</v>
      </c>
      <c r="S2702">
        <v>3.0001220000000002</v>
      </c>
      <c r="T2702">
        <v>-0.15145429999999999</v>
      </c>
      <c r="U2702">
        <v>-0.27307129999999902</v>
      </c>
      <c r="V2702">
        <v>-7.5005260000000004E-2</v>
      </c>
      <c r="W2702">
        <v>6.8222249999999998E-2</v>
      </c>
      <c r="X2702">
        <v>0.99484669999999897</v>
      </c>
      <c r="Y2702">
        <v>-6.3381729999999997E-2</v>
      </c>
      <c r="Z2702">
        <v>9.3048680000000009E-3</v>
      </c>
      <c r="AA2702">
        <v>0.997945999999999</v>
      </c>
      <c r="AB2702">
        <v>46</v>
      </c>
      <c r="AC2702">
        <v>21.3964999999999</v>
      </c>
      <c r="AD2702">
        <v>-1.1054040296948899</v>
      </c>
      <c r="AE2702">
        <v>-1.9161999999999999</v>
      </c>
      <c r="AF2702">
        <v>-1.39484602173417</v>
      </c>
      <c r="AG2702">
        <v>-1.1054040296948899</v>
      </c>
      <c r="AH2702">
        <v>21.379950308760801</v>
      </c>
      <c r="AI2702">
        <v>92.953451124567096</v>
      </c>
      <c r="AJ2702">
        <v>93.732735096933794</v>
      </c>
      <c r="AK2702">
        <v>21.453899149066</v>
      </c>
    </row>
    <row r="2703" spans="1:37" x14ac:dyDescent="0.2">
      <c r="A2703" t="str">
        <f>"20200111153449227"</f>
        <v>20200111153449227</v>
      </c>
      <c r="B2703" t="str">
        <f>"1578728089218695"</f>
        <v>1578728089218695</v>
      </c>
      <c r="C2703" t="s">
        <v>37</v>
      </c>
      <c r="D2703">
        <v>5.228275</v>
      </c>
      <c r="E2703">
        <v>0.5039747</v>
      </c>
      <c r="F2703" t="s">
        <v>52</v>
      </c>
      <c r="G2703">
        <v>-362.23770000000002</v>
      </c>
      <c r="H2703" s="1">
        <v>-3.4600699999999998E-7</v>
      </c>
      <c r="I2703">
        <v>214.8329</v>
      </c>
      <c r="J2703">
        <v>-383.7869</v>
      </c>
      <c r="K2703">
        <v>1.105855</v>
      </c>
      <c r="L2703">
        <v>216.7638</v>
      </c>
      <c r="M2703">
        <v>0.98830239999999903</v>
      </c>
      <c r="N2703">
        <v>0</v>
      </c>
      <c r="O2703">
        <v>-0.1517858</v>
      </c>
      <c r="P2703">
        <v>0.99541939999999995</v>
      </c>
      <c r="Q2703">
        <v>5.3846030000000003E-2</v>
      </c>
      <c r="R2703">
        <v>-7.8998440000000003E-2</v>
      </c>
      <c r="S2703">
        <v>3.0002140000000002</v>
      </c>
      <c r="T2703">
        <v>-0.1508099</v>
      </c>
      <c r="U2703">
        <v>-0.2726288</v>
      </c>
      <c r="V2703">
        <v>-7.3230649999999994E-2</v>
      </c>
      <c r="W2703">
        <v>6.8377350000000003E-2</v>
      </c>
      <c r="X2703">
        <v>0.99496819999999897</v>
      </c>
      <c r="Y2703">
        <v>-6.1466359999999998E-2</v>
      </c>
      <c r="Z2703">
        <v>9.1155719999999902E-3</v>
      </c>
      <c r="AA2703">
        <v>0.99806759999999906</v>
      </c>
      <c r="AB2703">
        <v>46</v>
      </c>
      <c r="AC2703">
        <v>21.5491999999999</v>
      </c>
      <c r="AD2703">
        <v>-1.105855346007</v>
      </c>
      <c r="AE2703">
        <v>-1.9309000000000001</v>
      </c>
      <c r="AF2703">
        <v>-1.3591481628959901</v>
      </c>
      <c r="AG2703">
        <v>-1.105855346007</v>
      </c>
      <c r="AH2703">
        <v>21.536314240513899</v>
      </c>
      <c r="AI2703">
        <v>92.933639094261494</v>
      </c>
      <c r="AJ2703">
        <v>93.611124614977797</v>
      </c>
      <c r="AK2703">
        <v>21.607476271910102</v>
      </c>
    </row>
    <row r="2704" spans="1:37" x14ac:dyDescent="0.2">
      <c r="A2704" t="str">
        <f>"20200111153449249"</f>
        <v>20200111153449249</v>
      </c>
      <c r="B2704" t="str">
        <f>"1578728089239194"</f>
        <v>1578728089239194</v>
      </c>
      <c r="C2704" t="s">
        <v>37</v>
      </c>
      <c r="D2704">
        <v>5.2786239999999998</v>
      </c>
      <c r="E2704">
        <v>0.50394659999999902</v>
      </c>
      <c r="F2704" t="s">
        <v>52</v>
      </c>
      <c r="G2704">
        <v>-361.76949999999999</v>
      </c>
      <c r="H2704" s="1">
        <v>-5.9516240000000001E-7</v>
      </c>
      <c r="I2704">
        <v>214.77070000000001</v>
      </c>
      <c r="J2704">
        <v>-383.32659999999998</v>
      </c>
      <c r="K2704">
        <v>1.1062730000000001</v>
      </c>
      <c r="L2704">
        <v>216.69479999999999</v>
      </c>
      <c r="M2704">
        <v>0.98866430000000005</v>
      </c>
      <c r="N2704">
        <v>0</v>
      </c>
      <c r="O2704">
        <v>-0.1494115</v>
      </c>
      <c r="P2704">
        <v>0.99552199999999902</v>
      </c>
      <c r="Q2704">
        <v>5.3822380000000003E-2</v>
      </c>
      <c r="R2704">
        <v>-7.7710520000000005E-2</v>
      </c>
      <c r="S2704">
        <v>3.0004270000000002</v>
      </c>
      <c r="T2704">
        <v>-0.1507009</v>
      </c>
      <c r="U2704">
        <v>-0.27160640000000003</v>
      </c>
      <c r="V2704">
        <v>-7.2194460000000002E-2</v>
      </c>
      <c r="W2704">
        <v>6.8275059999999999E-2</v>
      </c>
      <c r="X2704">
        <v>0.99505100000000002</v>
      </c>
      <c r="Y2704">
        <v>-5.9418440000000003E-2</v>
      </c>
      <c r="Z2704">
        <v>8.9397260000000003E-3</v>
      </c>
      <c r="AA2704">
        <v>0.99819310000000006</v>
      </c>
      <c r="AB2704">
        <v>46</v>
      </c>
      <c r="AC2704">
        <v>21.557099999999899</v>
      </c>
      <c r="AD2704">
        <v>-1.1062735951624001</v>
      </c>
      <c r="AE2704">
        <v>-1.9240999999999799</v>
      </c>
      <c r="AF2704">
        <v>-1.31529759888889</v>
      </c>
      <c r="AG2704">
        <v>-1.1062735951624001</v>
      </c>
      <c r="AH2704">
        <v>21.546289480679299</v>
      </c>
      <c r="AI2704">
        <v>92.933764223507197</v>
      </c>
      <c r="AJ2704">
        <v>93.493297474487505</v>
      </c>
      <c r="AK2704">
        <v>21.614727373395802</v>
      </c>
    </row>
    <row r="2705" spans="1:37" x14ac:dyDescent="0.2">
      <c r="A2705" t="str">
        <f>"20200111153449272"</f>
        <v>20200111153449272</v>
      </c>
      <c r="B2705" t="str">
        <f>"1578728089268471"</f>
        <v>1578728089268471</v>
      </c>
      <c r="C2705" t="s">
        <v>37</v>
      </c>
      <c r="D2705">
        <v>5.253933</v>
      </c>
      <c r="E2705">
        <v>0.50243689999999996</v>
      </c>
      <c r="F2705" t="s">
        <v>52</v>
      </c>
      <c r="G2705">
        <v>-361.32369999999997</v>
      </c>
      <c r="H2705" s="1">
        <v>-8.3236640000000005E-7</v>
      </c>
      <c r="I2705">
        <v>214.7329</v>
      </c>
      <c r="J2705">
        <v>-382.88819999999998</v>
      </c>
      <c r="K2705">
        <v>1.106619</v>
      </c>
      <c r="L2705">
        <v>216.6302</v>
      </c>
      <c r="M2705">
        <v>0.98903159999999901</v>
      </c>
      <c r="N2705">
        <v>0</v>
      </c>
      <c r="O2705">
        <v>-0.1469607</v>
      </c>
      <c r="P2705">
        <v>0.99566690000000002</v>
      </c>
      <c r="Q2705">
        <v>5.3494630000000001E-2</v>
      </c>
      <c r="R2705">
        <v>-7.6066809999999999E-2</v>
      </c>
      <c r="S2705">
        <v>3.0007630000000001</v>
      </c>
      <c r="T2705">
        <v>-0.15087400000000001</v>
      </c>
      <c r="U2705">
        <v>-0.26756289999999999</v>
      </c>
      <c r="V2705">
        <v>-7.1429129999999993E-2</v>
      </c>
      <c r="W2705">
        <v>6.7882579999999998E-2</v>
      </c>
      <c r="X2705">
        <v>0.99513309999999999</v>
      </c>
      <c r="Y2705">
        <v>-5.829252E-2</v>
      </c>
      <c r="Z2705">
        <v>8.8000019999999995E-3</v>
      </c>
      <c r="AA2705">
        <v>0.9982607</v>
      </c>
      <c r="AB2705">
        <v>46</v>
      </c>
      <c r="AC2705">
        <v>21.564499999999999</v>
      </c>
      <c r="AD2705">
        <v>-1.1066198323663901</v>
      </c>
      <c r="AE2705">
        <v>-1.8973</v>
      </c>
      <c r="AF2705">
        <v>-1.28941648208035</v>
      </c>
      <c r="AG2705">
        <v>-1.1066198323663901</v>
      </c>
      <c r="AH2705">
        <v>21.552845862776199</v>
      </c>
      <c r="AI2705">
        <v>92.9340046947502</v>
      </c>
      <c r="AJ2705">
        <v>93.423685761933697</v>
      </c>
      <c r="AK2705">
        <v>21.6197217165772</v>
      </c>
    </row>
    <row r="2706" spans="1:37" x14ac:dyDescent="0.2">
      <c r="A2706" t="str">
        <f>"20200111153449294"</f>
        <v>20200111153449294</v>
      </c>
      <c r="B2706" t="str">
        <f>"1578728089288967"</f>
        <v>1578728089288967</v>
      </c>
      <c r="C2706" t="s">
        <v>37</v>
      </c>
      <c r="D2706">
        <v>5.4296509999999998</v>
      </c>
      <c r="E2706">
        <v>0.50163250000000004</v>
      </c>
      <c r="F2706" t="s">
        <v>52</v>
      </c>
      <c r="G2706">
        <v>-360.91079999999999</v>
      </c>
      <c r="H2706" s="1">
        <v>-1.0521240000000001E-6</v>
      </c>
      <c r="I2706">
        <v>214.7963</v>
      </c>
      <c r="J2706">
        <v>-382.41</v>
      </c>
      <c r="K2706">
        <v>1.1069530000000001</v>
      </c>
      <c r="L2706">
        <v>216.56110000000001</v>
      </c>
      <c r="M2706">
        <v>0.98944840000000001</v>
      </c>
      <c r="N2706">
        <v>0</v>
      </c>
      <c r="O2706">
        <v>-0.14412949999999999</v>
      </c>
      <c r="P2706">
        <v>0.99583239999999995</v>
      </c>
      <c r="Q2706">
        <v>5.3591239999999998E-2</v>
      </c>
      <c r="R2706">
        <v>-7.3796120000000007E-2</v>
      </c>
      <c r="S2706">
        <v>3.0020449999999999</v>
      </c>
      <c r="T2706">
        <v>-0.15116099999999999</v>
      </c>
      <c r="U2706">
        <v>-0.25050349999999999</v>
      </c>
      <c r="V2706">
        <v>-7.0903199999999902E-2</v>
      </c>
      <c r="W2706">
        <v>6.791635E-2</v>
      </c>
      <c r="X2706">
        <v>0.99516839999999995</v>
      </c>
      <c r="Y2706">
        <v>-6.1102610000000002E-2</v>
      </c>
      <c r="Z2706">
        <v>8.7458029999999999E-3</v>
      </c>
      <c r="AA2706">
        <v>0.99809319999999901</v>
      </c>
      <c r="AB2706">
        <v>46</v>
      </c>
      <c r="AC2706">
        <v>21.499199999999998</v>
      </c>
      <c r="AD2706">
        <v>-1.106954052124</v>
      </c>
      <c r="AE2706">
        <v>-1.7647999999999999</v>
      </c>
      <c r="AF2706">
        <v>-1.3490856999134799</v>
      </c>
      <c r="AG2706">
        <v>-1.106954052124</v>
      </c>
      <c r="AH2706">
        <v>21.4725182291442</v>
      </c>
      <c r="AI2706">
        <v>92.945309814154598</v>
      </c>
      <c r="AJ2706">
        <v>93.595081324340597</v>
      </c>
      <c r="AK2706">
        <v>21.5433149399101</v>
      </c>
    </row>
    <row r="2707" spans="1:37" x14ac:dyDescent="0.2">
      <c r="A2707" t="str">
        <f>"20200111153449317"</f>
        <v>20200111153449317</v>
      </c>
      <c r="B2707" t="str">
        <f>"1578728089308488"</f>
        <v>1578728089308488</v>
      </c>
      <c r="C2707" t="s">
        <v>37</v>
      </c>
      <c r="D2707">
        <v>5.2529469999999998</v>
      </c>
      <c r="E2707">
        <v>0.50088750000000004</v>
      </c>
      <c r="F2707" t="s">
        <v>52</v>
      </c>
      <c r="G2707">
        <v>-360.40940000000001</v>
      </c>
      <c r="H2707" s="1">
        <v>-1.318907E-6</v>
      </c>
      <c r="I2707">
        <v>214.82320000000001</v>
      </c>
      <c r="J2707">
        <v>-381.95370000000003</v>
      </c>
      <c r="K2707">
        <v>1.1072139999999999</v>
      </c>
      <c r="L2707">
        <v>216.4966</v>
      </c>
      <c r="M2707">
        <v>0.98985440000000002</v>
      </c>
      <c r="N2707">
        <v>0</v>
      </c>
      <c r="O2707">
        <v>-0.14131479999999999</v>
      </c>
      <c r="P2707">
        <v>0.99605949999999999</v>
      </c>
      <c r="Q2707">
        <v>5.3413719999999998E-2</v>
      </c>
      <c r="R2707">
        <v>-7.0799860000000006E-2</v>
      </c>
      <c r="S2707">
        <v>3.0031430000000001</v>
      </c>
      <c r="T2707">
        <v>-0.15110229999999999</v>
      </c>
      <c r="U2707">
        <v>-0.23722840000000001</v>
      </c>
      <c r="V2707">
        <v>-7.1110279999999998E-2</v>
      </c>
      <c r="W2707">
        <v>6.7683709999999994E-2</v>
      </c>
      <c r="X2707">
        <v>0.99516949999999904</v>
      </c>
      <c r="Y2707">
        <v>-6.267884E-2</v>
      </c>
      <c r="Z2707">
        <v>8.6410970000000004E-3</v>
      </c>
      <c r="AA2707">
        <v>0.99799629999999995</v>
      </c>
      <c r="AB2707">
        <v>46</v>
      </c>
      <c r="AC2707">
        <v>21.5443</v>
      </c>
      <c r="AD2707">
        <v>-1.107215318907</v>
      </c>
      <c r="AE2707">
        <v>-1.67339999999998</v>
      </c>
      <c r="AF2707">
        <v>-1.38462257613548</v>
      </c>
      <c r="AG2707">
        <v>-1.107215318907</v>
      </c>
      <c r="AH2707">
        <v>21.508085005650798</v>
      </c>
      <c r="AI2707">
        <v>92.940852706400506</v>
      </c>
      <c r="AJ2707">
        <v>93.683438399197897</v>
      </c>
      <c r="AK2707">
        <v>21.581029309350999</v>
      </c>
    </row>
    <row r="2708" spans="1:37" x14ac:dyDescent="0.2">
      <c r="A2708" t="str">
        <f>"20200111153449339"</f>
        <v>20200111153449339</v>
      </c>
      <c r="B2708" t="str">
        <f>"1578728089328986"</f>
        <v>1578728089328986</v>
      </c>
      <c r="C2708" t="s">
        <v>37</v>
      </c>
      <c r="D2708">
        <v>5.2568630000000001</v>
      </c>
      <c r="E2708">
        <v>0.50022040000000001</v>
      </c>
      <c r="F2708" t="s">
        <v>52</v>
      </c>
      <c r="G2708">
        <v>-359.9776</v>
      </c>
      <c r="H2708" s="1">
        <v>-1.5487309999999899E-6</v>
      </c>
      <c r="I2708">
        <v>214.86799999999999</v>
      </c>
      <c r="J2708">
        <v>-381.5016</v>
      </c>
      <c r="K2708">
        <v>1.107426</v>
      </c>
      <c r="L2708">
        <v>216.43389999999999</v>
      </c>
      <c r="M2708">
        <v>0.99025669999999899</v>
      </c>
      <c r="N2708">
        <v>0</v>
      </c>
      <c r="O2708">
        <v>-0.13846810000000001</v>
      </c>
      <c r="P2708">
        <v>0.99628430000000001</v>
      </c>
      <c r="Q2708">
        <v>5.3238929999999997E-2</v>
      </c>
      <c r="R2708">
        <v>-6.7699419999999996E-2</v>
      </c>
      <c r="S2708">
        <v>3.0041500000000001</v>
      </c>
      <c r="T2708">
        <v>-0.1513572</v>
      </c>
      <c r="U2708">
        <v>-0.22262570000000001</v>
      </c>
      <c r="V2708">
        <v>-7.1381349999999996E-2</v>
      </c>
      <c r="W2708">
        <v>6.7462499999999995E-2</v>
      </c>
      <c r="X2708">
        <v>0.99516510000000002</v>
      </c>
      <c r="Y2708">
        <v>-6.4658430000000003E-2</v>
      </c>
      <c r="Z2708">
        <v>8.5630240000000007E-3</v>
      </c>
      <c r="AA2708">
        <v>0.9978707</v>
      </c>
      <c r="AB2708">
        <v>46</v>
      </c>
      <c r="AC2708">
        <v>21.524000000000001</v>
      </c>
      <c r="AD2708">
        <v>-1.1074275487309999</v>
      </c>
      <c r="AE2708">
        <v>-1.5658999999999901</v>
      </c>
      <c r="AF2708">
        <v>-1.42614506991223</v>
      </c>
      <c r="AG2708">
        <v>-1.1074275487309999</v>
      </c>
      <c r="AH2708">
        <v>21.476908339311699</v>
      </c>
      <c r="AI2708">
        <v>92.945289739726306</v>
      </c>
      <c r="AJ2708">
        <v>93.799071416344503</v>
      </c>
      <c r="AK2708">
        <v>21.5526768024605</v>
      </c>
    </row>
    <row r="2709" spans="1:37" x14ac:dyDescent="0.2">
      <c r="A2709" t="str">
        <f>"20200111153449361"</f>
        <v>20200111153449361</v>
      </c>
      <c r="B2709" t="str">
        <f>"1578728089348503"</f>
        <v>1578728089348503</v>
      </c>
      <c r="C2709" t="s">
        <v>37</v>
      </c>
      <c r="D2709">
        <v>5.23787</v>
      </c>
      <c r="E2709">
        <v>0.499616</v>
      </c>
      <c r="F2709" t="s">
        <v>52</v>
      </c>
      <c r="G2709">
        <v>-359.63490000000002</v>
      </c>
      <c r="H2709" s="1">
        <v>3.577231E-6</v>
      </c>
      <c r="I2709">
        <v>214.9178</v>
      </c>
      <c r="J2709">
        <v>-381.07029999999997</v>
      </c>
      <c r="K2709">
        <v>1.107577</v>
      </c>
      <c r="L2709">
        <v>216.37549999999999</v>
      </c>
      <c r="M2709">
        <v>0.9906334</v>
      </c>
      <c r="N2709">
        <v>0</v>
      </c>
      <c r="O2709">
        <v>-0.13574829999999999</v>
      </c>
      <c r="P2709">
        <v>0.99643680000000001</v>
      </c>
      <c r="Q2709">
        <v>5.3372820000000001E-2</v>
      </c>
      <c r="R2709">
        <v>-6.5308500000000005E-2</v>
      </c>
      <c r="S2709">
        <v>3.0051570000000001</v>
      </c>
      <c r="T2709">
        <v>-0.15219379999999999</v>
      </c>
      <c r="U2709">
        <v>-0.20835879999999901</v>
      </c>
      <c r="V2709">
        <v>-7.1060059999999994E-2</v>
      </c>
      <c r="W2709">
        <v>6.7566210000000002E-2</v>
      </c>
      <c r="X2709">
        <v>0.99518099999999998</v>
      </c>
      <c r="Y2709">
        <v>-6.6653909999999997E-2</v>
      </c>
      <c r="Z2709">
        <v>8.5236989999999992E-3</v>
      </c>
      <c r="AA2709">
        <v>0.99773969999999901</v>
      </c>
      <c r="AB2709">
        <v>46</v>
      </c>
      <c r="AC2709">
        <v>21.435399999999898</v>
      </c>
      <c r="AD2709">
        <v>-1.1075734227689999</v>
      </c>
      <c r="AE2709">
        <v>-1.45769999999998</v>
      </c>
      <c r="AF2709">
        <v>-1.4620470667150101</v>
      </c>
      <c r="AG2709">
        <v>-1.1075734227689999</v>
      </c>
      <c r="AH2709">
        <v>21.3780258357828</v>
      </c>
      <c r="AI2709">
        <v>92.958884184768394</v>
      </c>
      <c r="AJ2709">
        <v>93.912376670427705</v>
      </c>
      <c r="AK2709">
        <v>21.456567506185898</v>
      </c>
    </row>
    <row r="2710" spans="1:37" x14ac:dyDescent="0.2">
      <c r="A2710" t="str">
        <f>"20200111153449383"</f>
        <v>20200111153449383</v>
      </c>
      <c r="B2710" t="str">
        <f>"1578728089378760"</f>
        <v>1578728089378760</v>
      </c>
      <c r="C2710" t="s">
        <v>37</v>
      </c>
      <c r="D2710">
        <v>5.2787110000000004</v>
      </c>
      <c r="E2710">
        <v>0.49882700000000002</v>
      </c>
      <c r="F2710" t="s">
        <v>52</v>
      </c>
      <c r="G2710">
        <v>-359.1746</v>
      </c>
      <c r="H2710" s="1">
        <v>3.33106999999999E-6</v>
      </c>
      <c r="I2710">
        <v>214.94630000000001</v>
      </c>
      <c r="J2710">
        <v>-380.60939999999999</v>
      </c>
      <c r="K2710">
        <v>1.1076889999999999</v>
      </c>
      <c r="L2710">
        <v>216.31440000000001</v>
      </c>
      <c r="M2710">
        <v>0.99102440000000003</v>
      </c>
      <c r="N2710">
        <v>0</v>
      </c>
      <c r="O2710">
        <v>-0.13286410000000001</v>
      </c>
      <c r="P2710">
        <v>0.99653239999999998</v>
      </c>
      <c r="Q2710">
        <v>5.4483940000000002E-2</v>
      </c>
      <c r="R2710">
        <v>-6.2887310000000002E-2</v>
      </c>
      <c r="S2710">
        <v>3.0060419999999999</v>
      </c>
      <c r="T2710">
        <v>-0.15205850000000001</v>
      </c>
      <c r="U2710">
        <v>-0.19621279999999999</v>
      </c>
      <c r="V2710">
        <v>-7.0599239999999994E-2</v>
      </c>
      <c r="W2710">
        <v>6.8653249999999999E-2</v>
      </c>
      <c r="X2710">
        <v>0.99513940000000001</v>
      </c>
      <c r="Y2710">
        <v>-6.7785639999999994E-2</v>
      </c>
      <c r="Z2710">
        <v>8.3994789999999996E-3</v>
      </c>
      <c r="AA2710">
        <v>0.99766460000000001</v>
      </c>
      <c r="AB2710">
        <v>46</v>
      </c>
      <c r="AC2710">
        <v>21.434799999999999</v>
      </c>
      <c r="AD2710">
        <v>-1.1076856689299901</v>
      </c>
      <c r="AE2710">
        <v>-1.3680999999999901</v>
      </c>
      <c r="AF2710">
        <v>-1.4882990301910799</v>
      </c>
      <c r="AG2710">
        <v>-1.1076856689299901</v>
      </c>
      <c r="AH2710">
        <v>21.369677933153501</v>
      </c>
      <c r="AI2710">
        <v>92.960082671220206</v>
      </c>
      <c r="AJ2710">
        <v>93.983952459612595</v>
      </c>
      <c r="AK2710">
        <v>21.450061457047902</v>
      </c>
    </row>
    <row r="2711" spans="1:37" x14ac:dyDescent="0.2">
      <c r="A2711" t="str">
        <f>"20200111153449406"</f>
        <v>20200111153449406</v>
      </c>
      <c r="B2711" t="str">
        <f>"1578728089399258"</f>
        <v>1578728089399258</v>
      </c>
      <c r="C2711" t="s">
        <v>37</v>
      </c>
      <c r="D2711">
        <v>5.2594560000000001</v>
      </c>
      <c r="E2711">
        <v>0.4982454</v>
      </c>
      <c r="F2711" t="s">
        <v>52</v>
      </c>
      <c r="G2711">
        <v>-358.21870000000001</v>
      </c>
      <c r="H2711" s="1">
        <v>2.8218470000000001E-6</v>
      </c>
      <c r="I2711">
        <v>214.9581</v>
      </c>
      <c r="J2711">
        <v>-380.12849999999997</v>
      </c>
      <c r="K2711">
        <v>1.107753</v>
      </c>
      <c r="L2711">
        <v>216.25200000000001</v>
      </c>
      <c r="M2711">
        <v>0.99141499999999905</v>
      </c>
      <c r="N2711">
        <v>0</v>
      </c>
      <c r="O2711">
        <v>-0.1299198</v>
      </c>
      <c r="P2711">
        <v>0.99670630000000005</v>
      </c>
      <c r="Q2711">
        <v>5.49119E-2</v>
      </c>
      <c r="R2711">
        <v>-5.9679339999999997E-2</v>
      </c>
      <c r="S2711">
        <v>3.00707999999999</v>
      </c>
      <c r="T2711">
        <v>-0.14876249999999999</v>
      </c>
      <c r="U2711">
        <v>-0.1821594</v>
      </c>
      <c r="V2711">
        <v>-7.0857760000000006E-2</v>
      </c>
      <c r="W2711">
        <v>6.9058540000000002E-2</v>
      </c>
      <c r="X2711">
        <v>0.99509300000000001</v>
      </c>
      <c r="Y2711">
        <v>-6.9500889999999996E-2</v>
      </c>
      <c r="Z2711">
        <v>8.1146769999999903E-3</v>
      </c>
      <c r="AA2711">
        <v>0.99754889999999996</v>
      </c>
      <c r="AB2711">
        <v>46</v>
      </c>
      <c r="AC2711">
        <v>21.909799999999901</v>
      </c>
      <c r="AD2711">
        <v>-1.1077501781529999</v>
      </c>
      <c r="AE2711">
        <v>-1.2939000000000001</v>
      </c>
      <c r="AF2711">
        <v>-1.55992104774975</v>
      </c>
      <c r="AG2711">
        <v>-1.1077501781529999</v>
      </c>
      <c r="AH2711">
        <v>21.836558444115202</v>
      </c>
      <c r="AI2711">
        <v>92.896707960179199</v>
      </c>
      <c r="AJ2711">
        <v>94.086052406750596</v>
      </c>
      <c r="AK2711">
        <v>21.920213247495301</v>
      </c>
    </row>
    <row r="2712" spans="1:37" x14ac:dyDescent="0.2">
      <c r="A2712" t="str">
        <f>"20200111153449428"</f>
        <v>20200111153449428</v>
      </c>
      <c r="B2712" t="str">
        <f>"1578728089418778"</f>
        <v>1578728089418778</v>
      </c>
      <c r="C2712" t="s">
        <v>37</v>
      </c>
      <c r="D2712">
        <v>5.2992239999999997</v>
      </c>
      <c r="E2712">
        <v>0.49774269999999998</v>
      </c>
      <c r="F2712" t="s">
        <v>52</v>
      </c>
      <c r="G2712">
        <v>-357.84949999999998</v>
      </c>
      <c r="H2712" s="1">
        <v>2.6232059999999999E-6</v>
      </c>
      <c r="I2712">
        <v>215.00819999999999</v>
      </c>
      <c r="J2712">
        <v>-379.6859</v>
      </c>
      <c r="K2712">
        <v>1.107766</v>
      </c>
      <c r="L2712">
        <v>216.19579999999999</v>
      </c>
      <c r="M2712">
        <v>0.99175309999999905</v>
      </c>
      <c r="N2712">
        <v>0</v>
      </c>
      <c r="O2712">
        <v>-0.12731319999999999</v>
      </c>
      <c r="P2712">
        <v>0.99690199999999995</v>
      </c>
      <c r="Q2712">
        <v>5.4857929999999999E-2</v>
      </c>
      <c r="R2712">
        <v>-5.6368590000000003E-2</v>
      </c>
      <c r="S2712">
        <v>3.008057</v>
      </c>
      <c r="T2712">
        <v>-0.14956610000000001</v>
      </c>
      <c r="U2712">
        <v>-0.16793820000000001</v>
      </c>
      <c r="V2712">
        <v>-7.1549909999999994E-2</v>
      </c>
      <c r="W2712">
        <v>6.8988140000000003E-2</v>
      </c>
      <c r="X2712">
        <v>0.9950483</v>
      </c>
      <c r="Y2712">
        <v>-7.1596240000000005E-2</v>
      </c>
      <c r="Z2712">
        <v>8.0810569999999905E-3</v>
      </c>
      <c r="AA2712">
        <v>0.99740090000000003</v>
      </c>
      <c r="AB2712">
        <v>46</v>
      </c>
      <c r="AC2712">
        <v>21.836400000000001</v>
      </c>
      <c r="AD2712">
        <v>-1.1077633767940001</v>
      </c>
      <c r="AE2712">
        <v>-1.1876</v>
      </c>
      <c r="AF2712">
        <v>-1.5983287209194701</v>
      </c>
      <c r="AG2712">
        <v>-1.1077633767940001</v>
      </c>
      <c r="AH2712">
        <v>21.754062580740701</v>
      </c>
      <c r="AI2712">
        <v>92.907282614559193</v>
      </c>
      <c r="AJ2712">
        <v>94.202122515952595</v>
      </c>
      <c r="AK2712">
        <v>21.8408111837877</v>
      </c>
    </row>
    <row r="2713" spans="1:37" x14ac:dyDescent="0.2">
      <c r="A2713" t="str">
        <f>"20200111153449450"</f>
        <v>20200111153449450</v>
      </c>
      <c r="B2713" t="str">
        <f>"1578728089439282"</f>
        <v>1578728089439282</v>
      </c>
      <c r="C2713" t="s">
        <v>37</v>
      </c>
      <c r="D2713">
        <v>5.3115889999999997</v>
      </c>
      <c r="E2713">
        <v>0.49713950000000001</v>
      </c>
      <c r="F2713" t="s">
        <v>52</v>
      </c>
      <c r="G2713">
        <v>-357.73020000000002</v>
      </c>
      <c r="H2713" s="1">
        <v>2.5569710000000001E-6</v>
      </c>
      <c r="I2713">
        <v>215.0712</v>
      </c>
      <c r="J2713">
        <v>-379.2441</v>
      </c>
      <c r="K2713">
        <v>1.1077299999999899</v>
      </c>
      <c r="L2713">
        <v>216.14080000000001</v>
      </c>
      <c r="M2713">
        <v>0.99206629999999996</v>
      </c>
      <c r="N2713">
        <v>0</v>
      </c>
      <c r="O2713">
        <v>-0.12485019999999999</v>
      </c>
      <c r="P2713">
        <v>0.99707139999999905</v>
      </c>
      <c r="Q2713">
        <v>5.4090850000000003E-2</v>
      </c>
      <c r="R2713">
        <v>-5.406383E-2</v>
      </c>
      <c r="S2713">
        <v>3.008972</v>
      </c>
      <c r="T2713">
        <v>-0.15181620000000001</v>
      </c>
      <c r="U2713">
        <v>-0.15412899999999999</v>
      </c>
      <c r="V2713">
        <v>-7.1373389999999995E-2</v>
      </c>
      <c r="W2713">
        <v>6.8220349999999999E-2</v>
      </c>
      <c r="X2713">
        <v>0.99511399999999905</v>
      </c>
      <c r="Y2713">
        <v>-7.3693629999999996E-2</v>
      </c>
      <c r="Z2713">
        <v>8.1311300000000003E-3</v>
      </c>
      <c r="AA2713">
        <v>0.99724780000000002</v>
      </c>
      <c r="AB2713">
        <v>46</v>
      </c>
      <c r="AC2713">
        <v>21.5138999999999</v>
      </c>
      <c r="AD2713">
        <v>-1.1077274430289901</v>
      </c>
      <c r="AE2713">
        <v>-1.0696000000000001</v>
      </c>
      <c r="AF2713">
        <v>-1.6207905421163999</v>
      </c>
      <c r="AG2713">
        <v>-1.1077274430289901</v>
      </c>
      <c r="AH2713">
        <v>21.422431144593101</v>
      </c>
      <c r="AI2713">
        <v>92.951636767955193</v>
      </c>
      <c r="AJ2713">
        <v>94.326673794805203</v>
      </c>
      <c r="AK2713">
        <v>21.512196034210099</v>
      </c>
    </row>
    <row r="2714" spans="1:37" x14ac:dyDescent="0.2">
      <c r="A2714" t="str">
        <f>"20200111153449474"</f>
        <v>20200111153449474</v>
      </c>
      <c r="B2714" t="str">
        <f>"1578728089468552"</f>
        <v>1578728089468552</v>
      </c>
      <c r="C2714" t="s">
        <v>37</v>
      </c>
      <c r="D2714">
        <v>5.3177899999999996</v>
      </c>
      <c r="E2714">
        <v>0.49649989999999999</v>
      </c>
      <c r="F2714" t="s">
        <v>52</v>
      </c>
      <c r="G2714">
        <v>-357.9769</v>
      </c>
      <c r="H2714" s="1">
        <v>2.6854179999999998E-6</v>
      </c>
      <c r="I2714">
        <v>215.136</v>
      </c>
      <c r="J2714">
        <v>-378.7627</v>
      </c>
      <c r="K2714">
        <v>1.1076440000000001</v>
      </c>
      <c r="L2714">
        <v>216.08189999999999</v>
      </c>
      <c r="M2714">
        <v>0.99237719999999896</v>
      </c>
      <c r="N2714">
        <v>0</v>
      </c>
      <c r="O2714">
        <v>-0.1223558</v>
      </c>
      <c r="P2714">
        <v>0.99725399999999997</v>
      </c>
      <c r="Q2714">
        <v>5.276699E-2</v>
      </c>
      <c r="R2714">
        <v>-5.1963660000000002E-2</v>
      </c>
      <c r="S2714">
        <v>3.0096129999999999</v>
      </c>
      <c r="T2714">
        <v>-0.1567597</v>
      </c>
      <c r="U2714">
        <v>-0.14218139999999899</v>
      </c>
      <c r="V2714">
        <v>-7.0952180000000004E-2</v>
      </c>
      <c r="W2714">
        <v>6.6906800000000002E-2</v>
      </c>
      <c r="X2714">
        <v>0.99523329999999999</v>
      </c>
      <c r="Y2714">
        <v>-7.5131519999999993E-2</v>
      </c>
      <c r="Z2714">
        <v>8.3035439999999995E-3</v>
      </c>
      <c r="AA2714">
        <v>0.997138999999999</v>
      </c>
      <c r="AB2714">
        <v>46</v>
      </c>
      <c r="AC2714">
        <v>20.785799999999899</v>
      </c>
      <c r="AD2714">
        <v>-1.1076413145820001</v>
      </c>
      <c r="AE2714">
        <v>-0.94589999999999397</v>
      </c>
      <c r="AF2714">
        <v>-1.600212705356</v>
      </c>
      <c r="AG2714">
        <v>-1.1076413145820001</v>
      </c>
      <c r="AH2714">
        <v>20.6867150595005</v>
      </c>
      <c r="AI2714">
        <v>93.055784440274905</v>
      </c>
      <c r="AJ2714">
        <v>94.423283931687607</v>
      </c>
      <c r="AK2714">
        <v>20.778058858736401</v>
      </c>
    </row>
    <row r="2715" spans="1:37" x14ac:dyDescent="0.2">
      <c r="A2715" t="str">
        <f>"20200111153449495"</f>
        <v>20200111153449495</v>
      </c>
      <c r="B2715" t="str">
        <f>"1578728089489048"</f>
        <v>1578728089489048</v>
      </c>
      <c r="C2715" t="s">
        <v>37</v>
      </c>
      <c r="D2715">
        <v>5.3098839999999896</v>
      </c>
      <c r="E2715">
        <v>0.49606139999999999</v>
      </c>
      <c r="F2715" t="s">
        <v>52</v>
      </c>
      <c r="G2715">
        <v>-358.16449999999998</v>
      </c>
      <c r="H2715" s="1">
        <v>2.782896E-6</v>
      </c>
      <c r="I2715">
        <v>215.18889999999999</v>
      </c>
      <c r="J2715">
        <v>-378.3186</v>
      </c>
      <c r="K2715">
        <v>1.1075219999999999</v>
      </c>
      <c r="L2715">
        <v>216.02850000000001</v>
      </c>
      <c r="M2715">
        <v>0.99263509999999999</v>
      </c>
      <c r="N2715">
        <v>0</v>
      </c>
      <c r="O2715">
        <v>-0.12024600000000001</v>
      </c>
      <c r="P2715">
        <v>0.9974499</v>
      </c>
      <c r="Q2715">
        <v>5.1321619999999998E-2</v>
      </c>
      <c r="R2715">
        <v>-4.9594390000000002E-2</v>
      </c>
      <c r="S2715">
        <v>3.0100709999999999</v>
      </c>
      <c r="T2715">
        <v>-0.16186229999999999</v>
      </c>
      <c r="U2715">
        <v>-0.1304932</v>
      </c>
      <c r="V2715">
        <v>-7.1181060000000004E-2</v>
      </c>
      <c r="W2715">
        <v>6.5471829999999995E-2</v>
      </c>
      <c r="X2715">
        <v>0.99531229999999904</v>
      </c>
      <c r="Y2715">
        <v>-7.6865699999999995E-2</v>
      </c>
      <c r="Z2715">
        <v>8.5073040000000003E-3</v>
      </c>
      <c r="AA2715">
        <v>0.99700519999999904</v>
      </c>
      <c r="AB2715">
        <v>46</v>
      </c>
      <c r="AC2715">
        <v>20.1541</v>
      </c>
      <c r="AD2715">
        <v>-1.10751921710399</v>
      </c>
      <c r="AE2715">
        <v>-0.839600000000018</v>
      </c>
      <c r="AF2715">
        <v>-1.5854262454547201</v>
      </c>
      <c r="AG2715">
        <v>-1.10751921710399</v>
      </c>
      <c r="AH2715">
        <v>20.048365256875499</v>
      </c>
      <c r="AI2715">
        <v>93.152119986286195</v>
      </c>
      <c r="AJ2715">
        <v>94.521544858478094</v>
      </c>
      <c r="AK2715">
        <v>20.141428069258701</v>
      </c>
    </row>
    <row r="2716" spans="1:37" x14ac:dyDescent="0.2">
      <c r="A2716" t="str">
        <f>"20200111153449519"</f>
        <v>20200111153449519</v>
      </c>
      <c r="B2716" t="str">
        <f>"1578728089508567"</f>
        <v>1578728089508567</v>
      </c>
      <c r="C2716" t="s">
        <v>37</v>
      </c>
      <c r="D2716">
        <v>5.2426849999999998</v>
      </c>
      <c r="E2716">
        <v>0.495693099999999</v>
      </c>
      <c r="F2716" t="s">
        <v>52</v>
      </c>
      <c r="G2716">
        <v>-358.33440000000002</v>
      </c>
      <c r="H2716" s="1">
        <v>2.871449E-6</v>
      </c>
      <c r="I2716">
        <v>215.23169999999999</v>
      </c>
      <c r="J2716">
        <v>-377.84879999999998</v>
      </c>
      <c r="K2716">
        <v>1.1073789999999999</v>
      </c>
      <c r="L2716">
        <v>215.97299999999899</v>
      </c>
      <c r="M2716">
        <v>0.9928804</v>
      </c>
      <c r="N2716">
        <v>0</v>
      </c>
      <c r="O2716">
        <v>-0.1182043</v>
      </c>
      <c r="P2716">
        <v>0.99753189999999903</v>
      </c>
      <c r="Q2716">
        <v>5.0839929999999998E-2</v>
      </c>
      <c r="R2716">
        <v>-4.8430620000000001E-2</v>
      </c>
      <c r="S2716">
        <v>3.010284</v>
      </c>
      <c r="T2716">
        <v>-0.16682920000000001</v>
      </c>
      <c r="U2716">
        <v>-0.1200256</v>
      </c>
      <c r="V2716">
        <v>-7.0271899999999998E-2</v>
      </c>
      <c r="W2716">
        <v>6.5014559999999999E-2</v>
      </c>
      <c r="X2716">
        <v>0.99540689999999998</v>
      </c>
      <c r="Y2716">
        <v>-7.8262399999999996E-2</v>
      </c>
      <c r="Z2716">
        <v>8.6946969999999995E-3</v>
      </c>
      <c r="AA2716">
        <v>0.99689490000000003</v>
      </c>
      <c r="AB2716">
        <v>46</v>
      </c>
      <c r="AC2716">
        <v>19.514399999999899</v>
      </c>
      <c r="AD2716">
        <v>-1.107376128551</v>
      </c>
      <c r="AE2716">
        <v>-0.74129999999999496</v>
      </c>
      <c r="AF2716">
        <v>-1.5657987252718</v>
      </c>
      <c r="AG2716">
        <v>-1.107376128551</v>
      </c>
      <c r="AH2716">
        <v>19.402804502847498</v>
      </c>
      <c r="AI2716">
        <v>93.255936090072694</v>
      </c>
      <c r="AJ2716">
        <v>94.613748737220007</v>
      </c>
      <c r="AK2716">
        <v>19.497354438842901</v>
      </c>
    </row>
    <row r="2717" spans="1:37" x14ac:dyDescent="0.2">
      <c r="A2717" t="str">
        <f>"20200111153449540"</f>
        <v>20200111153449540</v>
      </c>
      <c r="B2717" t="str">
        <f>"1578728089529063"</f>
        <v>1578728089529063</v>
      </c>
      <c r="C2717" t="s">
        <v>37</v>
      </c>
      <c r="D2717">
        <v>5.2502839999999997</v>
      </c>
      <c r="E2717">
        <v>0.49539250000000001</v>
      </c>
      <c r="F2717" t="s">
        <v>52</v>
      </c>
      <c r="G2717">
        <v>-358.11900000000003</v>
      </c>
      <c r="H2717" s="1">
        <v>2.7568730000000001E-6</v>
      </c>
      <c r="I2717">
        <v>215.2313</v>
      </c>
      <c r="J2717">
        <v>-377.42020000000002</v>
      </c>
      <c r="K2717">
        <v>1.107248</v>
      </c>
      <c r="L2717">
        <v>215.92320000000001</v>
      </c>
      <c r="M2717">
        <v>0.99308129999999994</v>
      </c>
      <c r="N2717">
        <v>0</v>
      </c>
      <c r="O2717">
        <v>-0.1165056</v>
      </c>
      <c r="P2717">
        <v>0.99755159999999998</v>
      </c>
      <c r="Q2717">
        <v>4.9872899999999998E-2</v>
      </c>
      <c r="R2717">
        <v>-4.9025029999999997E-2</v>
      </c>
      <c r="S2717">
        <v>3.0105590000000002</v>
      </c>
      <c r="T2717">
        <v>-0.1689745</v>
      </c>
      <c r="U2717">
        <v>-0.11317439999999999</v>
      </c>
      <c r="V2717">
        <v>-6.7951949999999997E-2</v>
      </c>
      <c r="W2717">
        <v>6.4081899999999997E-2</v>
      </c>
      <c r="X2717">
        <v>0.99562850000000003</v>
      </c>
      <c r="Y2717">
        <v>-7.8819849999999997E-2</v>
      </c>
      <c r="Z2717">
        <v>8.7271229999999998E-3</v>
      </c>
      <c r="AA2717">
        <v>0.99685069999999998</v>
      </c>
      <c r="AB2717">
        <v>46</v>
      </c>
      <c r="AC2717">
        <v>19.301199999999898</v>
      </c>
      <c r="AD2717">
        <v>-1.1072452431269999</v>
      </c>
      <c r="AE2717">
        <v>-0.69190000000000396</v>
      </c>
      <c r="AF2717">
        <v>-1.5566373810224301</v>
      </c>
      <c r="AG2717">
        <v>-1.1072452431269999</v>
      </c>
      <c r="AH2717">
        <v>19.1872869040224</v>
      </c>
      <c r="AI2717">
        <v>93.291926209381501</v>
      </c>
      <c r="AJ2717">
        <v>94.638167249537901</v>
      </c>
      <c r="AK2717">
        <v>19.282144349156098</v>
      </c>
    </row>
    <row r="2718" spans="1:37" x14ac:dyDescent="0.2">
      <c r="A2718" t="str">
        <f>"20200111153449563"</f>
        <v>20200111153449563</v>
      </c>
      <c r="B2718" t="str">
        <f>"1578728089558343"</f>
        <v>1578728089558343</v>
      </c>
      <c r="C2718" t="s">
        <v>37</v>
      </c>
      <c r="D2718">
        <v>5.2533669999999999</v>
      </c>
      <c r="E2718">
        <v>0.49490699999999999</v>
      </c>
      <c r="F2718" t="s">
        <v>52</v>
      </c>
      <c r="G2718">
        <v>-358.06560000000002</v>
      </c>
      <c r="H2718" s="1">
        <v>2.7295319999999999E-6</v>
      </c>
      <c r="I2718">
        <v>215.2063</v>
      </c>
      <c r="J2718">
        <v>-376.97</v>
      </c>
      <c r="K2718">
        <v>1.1071219999999999</v>
      </c>
      <c r="L2718">
        <v>215.8716</v>
      </c>
      <c r="M2718">
        <v>0.99327489999999996</v>
      </c>
      <c r="N2718">
        <v>0</v>
      </c>
      <c r="O2718">
        <v>-0.11484419999999999</v>
      </c>
      <c r="P2718">
        <v>0.99756889999999998</v>
      </c>
      <c r="Q2718">
        <v>4.9710749999999998E-2</v>
      </c>
      <c r="R2718">
        <v>-4.8841860000000001E-2</v>
      </c>
      <c r="S2718">
        <v>3.0104679999999999</v>
      </c>
      <c r="T2718">
        <v>-0.17222399999999999</v>
      </c>
      <c r="U2718">
        <v>-0.1115112</v>
      </c>
      <c r="V2718">
        <v>-6.644796E-2</v>
      </c>
      <c r="W2718">
        <v>6.3946279999999994E-2</v>
      </c>
      <c r="X2718">
        <v>0.99573869999999898</v>
      </c>
      <c r="Y2718">
        <v>-7.7693579999999998E-2</v>
      </c>
      <c r="Z2718">
        <v>8.7685479999999993E-3</v>
      </c>
      <c r="AA2718">
        <v>0.99693869999999896</v>
      </c>
      <c r="AB2718">
        <v>46</v>
      </c>
      <c r="AC2718">
        <v>18.904399999999999</v>
      </c>
      <c r="AD2718">
        <v>-1.107119270468</v>
      </c>
      <c r="AE2718">
        <v>-0.665300000000002</v>
      </c>
      <c r="AF2718">
        <v>-1.50524164819266</v>
      </c>
      <c r="AG2718">
        <v>-1.107119270468</v>
      </c>
      <c r="AH2718">
        <v>18.791336399279899</v>
      </c>
      <c r="AI2718">
        <v>93.361026621602306</v>
      </c>
      <c r="AJ2718">
        <v>94.579782810927597</v>
      </c>
      <c r="AK2718">
        <v>18.884008821471099</v>
      </c>
    </row>
    <row r="2719" spans="1:37" x14ac:dyDescent="0.2">
      <c r="A2719" t="str">
        <f>"20200111153449585"</f>
        <v>20200111153449585</v>
      </c>
      <c r="B2719" t="str">
        <f>"1578728089578840"</f>
        <v>1578728089578840</v>
      </c>
      <c r="C2719" t="s">
        <v>37</v>
      </c>
      <c r="D2719">
        <v>5.2632490000000001</v>
      </c>
      <c r="E2719">
        <v>0.49464009999999897</v>
      </c>
      <c r="F2719" t="s">
        <v>52</v>
      </c>
      <c r="G2719">
        <v>-357.75380000000001</v>
      </c>
      <c r="H2719" s="1">
        <v>2.5643439999999899E-6</v>
      </c>
      <c r="I2719">
        <v>215.18940000000001</v>
      </c>
      <c r="J2719">
        <v>-376.51209999999998</v>
      </c>
      <c r="K2719">
        <v>1.1070199999999999</v>
      </c>
      <c r="L2719">
        <v>215.81979999999999</v>
      </c>
      <c r="M2719">
        <v>0.99345819999999996</v>
      </c>
      <c r="N2719">
        <v>0</v>
      </c>
      <c r="O2719">
        <v>-0.113249</v>
      </c>
      <c r="P2719">
        <v>0.99758349999999996</v>
      </c>
      <c r="Q2719">
        <v>5.057325E-2</v>
      </c>
      <c r="R2719">
        <v>-4.764202E-2</v>
      </c>
      <c r="S2719">
        <v>3.0107119999999998</v>
      </c>
      <c r="T2719">
        <v>-0.173459</v>
      </c>
      <c r="U2719">
        <v>-0.1068726</v>
      </c>
      <c r="V2719">
        <v>-6.602827E-2</v>
      </c>
      <c r="W2719">
        <v>6.4823740000000005E-2</v>
      </c>
      <c r="X2719">
        <v>0.99570990000000004</v>
      </c>
      <c r="Y2719">
        <v>-7.762782E-2</v>
      </c>
      <c r="Z2719">
        <v>8.7378419999999991E-3</v>
      </c>
      <c r="AA2719">
        <v>0.996944099999999</v>
      </c>
      <c r="AB2719">
        <v>46</v>
      </c>
      <c r="AC2719">
        <v>18.758299999999899</v>
      </c>
      <c r="AD2719">
        <v>-1.1070174356560001</v>
      </c>
      <c r="AE2719">
        <v>-0.63039999999997998</v>
      </c>
      <c r="AF2719">
        <v>-1.4930500386768999</v>
      </c>
      <c r="AG2719">
        <v>-1.1070174356560001</v>
      </c>
      <c r="AH2719">
        <v>18.6441352737343</v>
      </c>
      <c r="AI2719">
        <v>93.387196307617003</v>
      </c>
      <c r="AJ2719">
        <v>94.578560284688095</v>
      </c>
      <c r="AK2719">
        <v>18.736554275697099</v>
      </c>
    </row>
    <row r="2720" spans="1:37" x14ac:dyDescent="0.2">
      <c r="A2720" t="str">
        <f>"20200111153449608"</f>
        <v>20200111153449608</v>
      </c>
      <c r="B2720" t="str">
        <f>"1578728089598359"</f>
        <v>1578728089598359</v>
      </c>
      <c r="C2720" t="s">
        <v>37</v>
      </c>
      <c r="D2720">
        <v>5.2389150000000004</v>
      </c>
      <c r="E2720">
        <v>0.49433660000000001</v>
      </c>
      <c r="F2720" t="s">
        <v>52</v>
      </c>
      <c r="G2720">
        <v>-357.02600000000001</v>
      </c>
      <c r="H2720" s="1">
        <v>2.17812199999999E-6</v>
      </c>
      <c r="I2720">
        <v>215.16489999999999</v>
      </c>
      <c r="J2720">
        <v>-376.05079999999998</v>
      </c>
      <c r="K2720">
        <v>1.1069329999999999</v>
      </c>
      <c r="L2720">
        <v>215.76840000000001</v>
      </c>
      <c r="M2720">
        <v>0.99363279999999998</v>
      </c>
      <c r="N2720">
        <v>0</v>
      </c>
      <c r="O2720">
        <v>-0.1117078</v>
      </c>
      <c r="P2720">
        <v>0.9975155</v>
      </c>
      <c r="Q2720">
        <v>5.2154539999999999E-2</v>
      </c>
      <c r="R2720">
        <v>-4.7360510000000001E-2</v>
      </c>
      <c r="S2720">
        <v>3.0111080000000001</v>
      </c>
      <c r="T2720">
        <v>-0.17106289999999999</v>
      </c>
      <c r="U2720">
        <v>-0.1012115</v>
      </c>
      <c r="V2720">
        <v>-6.4748E-2</v>
      </c>
      <c r="W2720">
        <v>6.6422930000000005E-2</v>
      </c>
      <c r="X2720">
        <v>0.99568860000000003</v>
      </c>
      <c r="Y2720">
        <v>-7.7968629999999997E-2</v>
      </c>
      <c r="Z2720">
        <v>8.5393540000000007E-3</v>
      </c>
      <c r="AA2720">
        <v>0.99691919999999901</v>
      </c>
      <c r="AB2720">
        <v>46</v>
      </c>
      <c r="AC2720">
        <v>19.0247999999999</v>
      </c>
      <c r="AD2720">
        <v>-1.1069308218779901</v>
      </c>
      <c r="AE2720">
        <v>-0.60350000000002502</v>
      </c>
      <c r="AF2720">
        <v>-1.5205828584202601</v>
      </c>
      <c r="AG2720">
        <v>-1.1069308218779901</v>
      </c>
      <c r="AH2720">
        <v>18.9091734120416</v>
      </c>
      <c r="AI2720">
        <v>93.339478964740593</v>
      </c>
      <c r="AJ2720">
        <v>94.597552071062907</v>
      </c>
      <c r="AK2720">
        <v>19.0024816063694</v>
      </c>
    </row>
    <row r="2721" spans="1:37" x14ac:dyDescent="0.2">
      <c r="A2721" t="str">
        <f>"20200111153449629"</f>
        <v>20200111153449629</v>
      </c>
      <c r="B2721" t="str">
        <f>"1578728089618858"</f>
        <v>1578728089618858</v>
      </c>
      <c r="C2721" t="s">
        <v>37</v>
      </c>
      <c r="D2721">
        <v>5.2326739999999896</v>
      </c>
      <c r="E2721">
        <v>0.49411539999999998</v>
      </c>
      <c r="F2721" t="s">
        <v>52</v>
      </c>
      <c r="G2721">
        <v>-356.06819999999999</v>
      </c>
      <c r="H2721" s="1">
        <v>1.670435E-6</v>
      </c>
      <c r="I2721">
        <v>215.11879999999999</v>
      </c>
      <c r="J2721">
        <v>-375.60969999999998</v>
      </c>
      <c r="K2721">
        <v>1.106859</v>
      </c>
      <c r="L2721">
        <v>215.72</v>
      </c>
      <c r="M2721">
        <v>0.99379309999999998</v>
      </c>
      <c r="N2721">
        <v>0</v>
      </c>
      <c r="O2721">
        <v>-0.11027190000000001</v>
      </c>
      <c r="P2721">
        <v>0.99748919999999996</v>
      </c>
      <c r="Q2721">
        <v>5.288723E-2</v>
      </c>
      <c r="R2721">
        <v>-4.7102650000000003E-2</v>
      </c>
      <c r="S2721">
        <v>3.0115660000000002</v>
      </c>
      <c r="T2721">
        <v>-0.1668248</v>
      </c>
      <c r="U2721">
        <v>-9.7900390000000004E-2</v>
      </c>
      <c r="V2721">
        <v>-6.3552600000000001E-2</v>
      </c>
      <c r="W2721">
        <v>6.7171339999999996E-2</v>
      </c>
      <c r="X2721">
        <v>0.99571540000000003</v>
      </c>
      <c r="Y2721">
        <v>-7.7645759999999994E-2</v>
      </c>
      <c r="Z2721">
        <v>8.239148E-3</v>
      </c>
      <c r="AA2721">
        <v>0.99694699999999903</v>
      </c>
      <c r="AB2721">
        <v>46</v>
      </c>
      <c r="AC2721">
        <v>19.5414999999999</v>
      </c>
      <c r="AD2721">
        <v>-1.1068573295649999</v>
      </c>
      <c r="AE2721">
        <v>-0.60120000000000495</v>
      </c>
      <c r="AF2721">
        <v>-1.5526012539413101</v>
      </c>
      <c r="AG2721">
        <v>-1.1068573295649999</v>
      </c>
      <c r="AH2721">
        <v>19.426336685721701</v>
      </c>
      <c r="AI2721">
        <v>93.250681331730803</v>
      </c>
      <c r="AJ2721">
        <v>94.569508638023606</v>
      </c>
      <c r="AK2721">
        <v>19.5196890556374</v>
      </c>
    </row>
    <row r="2722" spans="1:37" x14ac:dyDescent="0.2">
      <c r="A2722" t="str">
        <f>"20200111153449652"</f>
        <v>20200111153449652</v>
      </c>
      <c r="B2722" t="str">
        <f>"1578728089649111"</f>
        <v>1578728089649111</v>
      </c>
      <c r="C2722" t="s">
        <v>37</v>
      </c>
      <c r="D2722">
        <v>5.2700659999999999</v>
      </c>
      <c r="E2722">
        <v>0.49373840000000002</v>
      </c>
      <c r="F2722" t="s">
        <v>52</v>
      </c>
      <c r="G2722">
        <v>-355.3854</v>
      </c>
      <c r="H2722" s="1">
        <v>1.3087399999999999E-6</v>
      </c>
      <c r="I2722">
        <v>215.0813</v>
      </c>
      <c r="J2722">
        <v>-375.16399999999999</v>
      </c>
      <c r="K2722">
        <v>1.106784</v>
      </c>
      <c r="L2722">
        <v>215.67169999999999</v>
      </c>
      <c r="M2722">
        <v>0.99395109999999998</v>
      </c>
      <c r="N2722">
        <v>0</v>
      </c>
      <c r="O2722">
        <v>-0.1088394</v>
      </c>
      <c r="P2722">
        <v>0.99755439999999995</v>
      </c>
      <c r="Q2722">
        <v>5.3158160000000003E-2</v>
      </c>
      <c r="R2722">
        <v>-4.5387709999999998E-2</v>
      </c>
      <c r="S2722">
        <v>3.0117799999999999</v>
      </c>
      <c r="T2722">
        <v>-0.16483210000000001</v>
      </c>
      <c r="U2722">
        <v>-9.5108029999999996E-2</v>
      </c>
      <c r="V2722">
        <v>-6.3817760000000001E-2</v>
      </c>
      <c r="W2722">
        <v>6.7447750000000001E-2</v>
      </c>
      <c r="X2722">
        <v>0.99567969999999895</v>
      </c>
      <c r="Y2722">
        <v>-7.7144119999999997E-2</v>
      </c>
      <c r="Z2722">
        <v>8.0488799999999996E-3</v>
      </c>
      <c r="AA2722">
        <v>0.99698750000000003</v>
      </c>
      <c r="AB2722">
        <v>46</v>
      </c>
      <c r="AC2722">
        <v>19.778599999999901</v>
      </c>
      <c r="AD2722">
        <v>-1.1067826912600001</v>
      </c>
      <c r="AE2722">
        <v>-0.59039999999998805</v>
      </c>
      <c r="AF2722">
        <v>-1.56114657119131</v>
      </c>
      <c r="AG2722">
        <v>-1.1067826912600001</v>
      </c>
      <c r="AH2722">
        <v>19.663822748831599</v>
      </c>
      <c r="AI2722">
        <v>93.211423033039694</v>
      </c>
      <c r="AJ2722">
        <v>94.539294736030897</v>
      </c>
      <c r="AK2722">
        <v>19.756722188659801</v>
      </c>
    </row>
    <row r="2723" spans="1:37" x14ac:dyDescent="0.2">
      <c r="A2723" t="str">
        <f>"20200111153449673"</f>
        <v>20200111153449673</v>
      </c>
      <c r="B2723" t="str">
        <f>"1578728089668631"</f>
        <v>1578728089668631</v>
      </c>
      <c r="C2723" t="s">
        <v>37</v>
      </c>
      <c r="D2723">
        <v>5.2771929999999996</v>
      </c>
      <c r="E2723">
        <v>0.49349110000000002</v>
      </c>
      <c r="F2723" t="s">
        <v>52</v>
      </c>
      <c r="G2723">
        <v>-354.94889999999998</v>
      </c>
      <c r="H2723" s="1">
        <v>1.076255E-6</v>
      </c>
      <c r="I2723">
        <v>215.08619999999999</v>
      </c>
      <c r="J2723">
        <v>-374.73250000000002</v>
      </c>
      <c r="K2723">
        <v>1.106716</v>
      </c>
      <c r="L2723">
        <v>215.62559999999999</v>
      </c>
      <c r="M2723">
        <v>0.99410189999999998</v>
      </c>
      <c r="N2723">
        <v>0</v>
      </c>
      <c r="O2723">
        <v>-0.10745439999999901</v>
      </c>
      <c r="P2723">
        <v>0.99765079999999995</v>
      </c>
      <c r="Q2723">
        <v>5.2945539999999999E-2</v>
      </c>
      <c r="R2723">
        <v>-4.3470950000000001E-2</v>
      </c>
      <c r="S2723">
        <v>3.0121769999999999</v>
      </c>
      <c r="T2723">
        <v>-0.16491789999999901</v>
      </c>
      <c r="U2723">
        <v>-8.7249759999999996E-2</v>
      </c>
      <c r="V2723">
        <v>-6.4333299999999996E-2</v>
      </c>
      <c r="W2723">
        <v>6.7238409999999998E-2</v>
      </c>
      <c r="X2723">
        <v>0.99566069999999995</v>
      </c>
      <c r="Y2723">
        <v>-7.8357640000000006E-2</v>
      </c>
      <c r="Z2723">
        <v>8.0103489999999999E-3</v>
      </c>
      <c r="AA2723">
        <v>0.99689309999999998</v>
      </c>
      <c r="AB2723">
        <v>46</v>
      </c>
      <c r="AC2723">
        <v>19.7836</v>
      </c>
      <c r="AD2723">
        <v>-1.106714923745</v>
      </c>
      <c r="AE2723">
        <v>-0.53939999999999999</v>
      </c>
      <c r="AF2723">
        <v>-1.5848313011503701</v>
      </c>
      <c r="AG2723">
        <v>-1.106714923745</v>
      </c>
      <c r="AH2723">
        <v>19.665500191693901</v>
      </c>
      <c r="AI2723">
        <v>93.210648479750603</v>
      </c>
      <c r="AJ2723">
        <v>94.607476335703893</v>
      </c>
      <c r="AK2723">
        <v>19.7602734283982</v>
      </c>
    </row>
    <row r="2724" spans="1:37" x14ac:dyDescent="0.2">
      <c r="A2724" t="str">
        <f>"20200111153449707"</f>
        <v>20200111153449707</v>
      </c>
      <c r="B2724" t="str">
        <f>"1578728089698889"</f>
        <v>1578728089698889</v>
      </c>
      <c r="C2724" t="s">
        <v>37</v>
      </c>
      <c r="D2724">
        <v>5.261126</v>
      </c>
      <c r="E2724">
        <v>0.4931799</v>
      </c>
      <c r="F2724" t="s">
        <v>52</v>
      </c>
      <c r="G2724">
        <v>-354.68709999999999</v>
      </c>
      <c r="H2724" s="1">
        <v>9.3663779999999996E-7</v>
      </c>
      <c r="I2724">
        <v>215.09270000000001</v>
      </c>
      <c r="J2724">
        <v>-374.03059999999999</v>
      </c>
      <c r="K2724">
        <v>1.106627</v>
      </c>
      <c r="L2724">
        <v>215.55189999999999</v>
      </c>
      <c r="M2724">
        <v>0.99434419999999901</v>
      </c>
      <c r="N2724">
        <v>0</v>
      </c>
      <c r="O2724">
        <v>-0.105188</v>
      </c>
      <c r="P2724">
        <v>0.99770639999999999</v>
      </c>
      <c r="Q2724">
        <v>5.2803199999999897E-2</v>
      </c>
      <c r="R2724">
        <v>-4.2352679999999997E-2</v>
      </c>
      <c r="S2724">
        <v>3.0123899999999999</v>
      </c>
      <c r="T2724">
        <v>-0.16631509999999999</v>
      </c>
      <c r="U2724">
        <v>-8.0078129999999997E-2</v>
      </c>
      <c r="V2724">
        <v>-6.3164940000000003E-2</v>
      </c>
      <c r="W2724">
        <v>6.7110899999999904E-2</v>
      </c>
      <c r="X2724">
        <v>0.99574409999999902</v>
      </c>
      <c r="Y2724">
        <v>-7.8457269999999996E-2</v>
      </c>
      <c r="Z2724">
        <v>7.9563459999999996E-3</v>
      </c>
      <c r="AA2724">
        <v>0.99688569999999999</v>
      </c>
      <c r="AB2724">
        <v>46</v>
      </c>
      <c r="AC2724">
        <v>19.343499999999999</v>
      </c>
      <c r="AD2724">
        <v>-1.1066260633622</v>
      </c>
      <c r="AE2724">
        <v>-0.45919999999998101</v>
      </c>
      <c r="AF2724">
        <v>-1.5731252018652699</v>
      </c>
      <c r="AG2724">
        <v>-1.1066260633622</v>
      </c>
      <c r="AH2724">
        <v>19.221598702726599</v>
      </c>
      <c r="AI2724">
        <v>93.284040110488803</v>
      </c>
      <c r="AJ2724">
        <v>94.678747171900596</v>
      </c>
      <c r="AK2724">
        <v>19.3175878627099</v>
      </c>
    </row>
    <row r="2725" spans="1:37" x14ac:dyDescent="0.2">
      <c r="A2725" t="str">
        <f>"20200111153449730"</f>
        <v>20200111153449730</v>
      </c>
      <c r="B2725" t="str">
        <f>"1578728089718407"</f>
        <v>1578728089718407</v>
      </c>
      <c r="C2725" t="s">
        <v>37</v>
      </c>
      <c r="D2725">
        <v>5.2137149999999997</v>
      </c>
      <c r="E2725">
        <v>0.49302180000000001</v>
      </c>
      <c r="F2725" t="s">
        <v>52</v>
      </c>
      <c r="G2725">
        <v>-354.14389999999997</v>
      </c>
      <c r="H2725" s="1">
        <v>6.4856349999999997E-7</v>
      </c>
      <c r="I2725">
        <v>215.06979999999999</v>
      </c>
      <c r="J2725">
        <v>-373.58879999999999</v>
      </c>
      <c r="K2725">
        <v>1.1065689999999999</v>
      </c>
      <c r="L2725">
        <v>215.50630000000001</v>
      </c>
      <c r="M2725">
        <v>0.99449489999999996</v>
      </c>
      <c r="N2725">
        <v>0</v>
      </c>
      <c r="O2725">
        <v>-0.1037537</v>
      </c>
      <c r="P2725">
        <v>0.99775170000000002</v>
      </c>
      <c r="Q2725">
        <v>5.1863529999999998E-2</v>
      </c>
      <c r="R2725">
        <v>-4.2446619999999997E-2</v>
      </c>
      <c r="S2725">
        <v>3.0126339999999998</v>
      </c>
      <c r="T2725">
        <v>-0.16764279999999901</v>
      </c>
      <c r="U2725">
        <v>-7.3028560000000006E-2</v>
      </c>
      <c r="V2725">
        <v>-6.1627460000000002E-2</v>
      </c>
      <c r="W2725">
        <v>6.6184099999999996E-2</v>
      </c>
      <c r="X2725">
        <v>0.99590249999999902</v>
      </c>
      <c r="Y2725">
        <v>-7.9349039999999996E-2</v>
      </c>
      <c r="Z2725">
        <v>7.9649509999999996E-3</v>
      </c>
      <c r="AA2725">
        <v>0.99681509999999995</v>
      </c>
      <c r="AB2725">
        <v>45</v>
      </c>
      <c r="AC2725">
        <v>19.444900000000001</v>
      </c>
      <c r="AD2725">
        <v>-1.1065683514364999</v>
      </c>
      <c r="AE2725">
        <v>-0.43650000000002298</v>
      </c>
      <c r="AF2725">
        <v>-1.5784443577176199</v>
      </c>
      <c r="AG2725">
        <v>-1.1065683514364999</v>
      </c>
      <c r="AH2725">
        <v>19.322681856626399</v>
      </c>
      <c r="AI2725">
        <v>93.266768017388799</v>
      </c>
      <c r="AJ2725">
        <v>94.670047163193104</v>
      </c>
      <c r="AK2725">
        <v>19.4185996982071</v>
      </c>
    </row>
    <row r="2726" spans="1:37" x14ac:dyDescent="0.2">
      <c r="A2726" t="str">
        <f>"20200111153449750"</f>
        <v>20200111153449750</v>
      </c>
      <c r="B2726" t="str">
        <f>"1578728089738907"</f>
        <v>1578728089738907</v>
      </c>
      <c r="C2726" t="s">
        <v>37</v>
      </c>
      <c r="D2726">
        <v>5.2297529999999997</v>
      </c>
      <c r="E2726">
        <v>0.49289159999999999</v>
      </c>
      <c r="F2726" t="s">
        <v>52</v>
      </c>
      <c r="G2726">
        <v>-354.14400000000001</v>
      </c>
      <c r="H2726" s="1">
        <v>6.4960100000000002E-7</v>
      </c>
      <c r="I2726">
        <v>215.0471</v>
      </c>
      <c r="J2726">
        <v>-373.1617</v>
      </c>
      <c r="K2726">
        <v>1.106519</v>
      </c>
      <c r="L2726">
        <v>215.46289999999999</v>
      </c>
      <c r="M2726">
        <v>0.99463889999999999</v>
      </c>
      <c r="N2726">
        <v>0</v>
      </c>
      <c r="O2726">
        <v>-0.1023659</v>
      </c>
      <c r="P2726">
        <v>0.99785749999999995</v>
      </c>
      <c r="Q2726">
        <v>5.0170970000000002E-2</v>
      </c>
      <c r="R2726">
        <v>-4.1995320000000003E-2</v>
      </c>
      <c r="S2726">
        <v>3.0126650000000001</v>
      </c>
      <c r="T2726">
        <v>-0.17144509999999999</v>
      </c>
      <c r="U2726">
        <v>-7.1151729999999996E-2</v>
      </c>
      <c r="V2726">
        <v>-6.0682939999999998E-2</v>
      </c>
      <c r="W2726">
        <v>6.4500180000000004E-2</v>
      </c>
      <c r="X2726">
        <v>0.99607089999999998</v>
      </c>
      <c r="Y2726">
        <v>-7.85695E-2</v>
      </c>
      <c r="Z2726">
        <v>8.0446340000000002E-3</v>
      </c>
      <c r="AA2726">
        <v>0.99687619999999899</v>
      </c>
      <c r="AB2726">
        <v>45</v>
      </c>
      <c r="AC2726">
        <v>19.017699999999898</v>
      </c>
      <c r="AD2726">
        <v>-1.1065183503989999</v>
      </c>
      <c r="AE2726">
        <v>-0.41579999999999001</v>
      </c>
      <c r="AF2726">
        <v>-1.5281867745049</v>
      </c>
      <c r="AG2726">
        <v>-1.1065183503989999</v>
      </c>
      <c r="AH2726">
        <v>18.896403240836701</v>
      </c>
      <c r="AI2726">
        <v>93.340366304768807</v>
      </c>
      <c r="AJ2726">
        <v>94.623552519240803</v>
      </c>
      <c r="AK2726">
        <v>18.990360531539199</v>
      </c>
    </row>
    <row r="2727" spans="1:37" x14ac:dyDescent="0.2">
      <c r="A2727" t="str">
        <f>"20200111153449773"</f>
        <v>20200111153449773</v>
      </c>
      <c r="B2727" t="str">
        <f>"1578728089769159"</f>
        <v>1578728089769159</v>
      </c>
      <c r="C2727" t="s">
        <v>37</v>
      </c>
      <c r="D2727">
        <v>5.255566</v>
      </c>
      <c r="E2727">
        <v>0.49281170000000002</v>
      </c>
      <c r="F2727" t="s">
        <v>52</v>
      </c>
      <c r="G2727">
        <v>-354.36669999999998</v>
      </c>
      <c r="H2727" s="1">
        <v>7.6850879999999998E-7</v>
      </c>
      <c r="I2727">
        <v>215.0377</v>
      </c>
      <c r="J2727">
        <v>-372.70639999999997</v>
      </c>
      <c r="K2727">
        <v>1.106465</v>
      </c>
      <c r="L2727">
        <v>215.41720000000001</v>
      </c>
      <c r="M2727">
        <v>0.99478989999999901</v>
      </c>
      <c r="N2727">
        <v>0</v>
      </c>
      <c r="O2727">
        <v>-0.100888899999999</v>
      </c>
      <c r="P2727">
        <v>0.99797569999999902</v>
      </c>
      <c r="Q2727">
        <v>4.7749099999999899E-2</v>
      </c>
      <c r="R2727">
        <v>-4.2007410000000002E-2</v>
      </c>
      <c r="S2727">
        <v>3.0124819999999999</v>
      </c>
      <c r="T2727">
        <v>-0.17735339999999999</v>
      </c>
      <c r="U2727">
        <v>-6.8145750000000005E-2</v>
      </c>
      <c r="V2727">
        <v>-5.9185830000000002E-2</v>
      </c>
      <c r="W2727">
        <v>6.208984E-2</v>
      </c>
      <c r="X2727">
        <v>0.99631419999999904</v>
      </c>
      <c r="Y2727">
        <v>-7.8064869999999995E-2</v>
      </c>
      <c r="Z2727">
        <v>8.2207419999999996E-3</v>
      </c>
      <c r="AA2727">
        <v>0.99691439999999998</v>
      </c>
      <c r="AB2727">
        <v>45</v>
      </c>
      <c r="AC2727">
        <v>18.339700000000001</v>
      </c>
      <c r="AD2727">
        <v>-1.1064642314912001</v>
      </c>
      <c r="AE2727">
        <v>-0.379500000000007</v>
      </c>
      <c r="AF2727">
        <v>-1.4675678345187899</v>
      </c>
      <c r="AG2727">
        <v>-1.1064642314912001</v>
      </c>
      <c r="AH2727">
        <v>18.218112777079298</v>
      </c>
      <c r="AI2727">
        <v>93.464354825451807</v>
      </c>
      <c r="AJ2727">
        <v>94.605541047036198</v>
      </c>
      <c r="AK2727">
        <v>18.310588510554901</v>
      </c>
    </row>
    <row r="2728" spans="1:37" x14ac:dyDescent="0.2">
      <c r="A2728" t="str">
        <f>"20200111153449796"</f>
        <v>20200111153449796</v>
      </c>
      <c r="B2728" t="str">
        <f>"1578728089788680"</f>
        <v>1578728089788680</v>
      </c>
      <c r="C2728" t="s">
        <v>37</v>
      </c>
      <c r="D2728">
        <v>5.2465599999999997</v>
      </c>
      <c r="E2728">
        <v>0.49275530000000001</v>
      </c>
      <c r="F2728" t="s">
        <v>52</v>
      </c>
      <c r="G2728">
        <v>-354.767</v>
      </c>
      <c r="H2728" s="1">
        <v>9.8241799999999998E-7</v>
      </c>
      <c r="I2728">
        <v>215.0181</v>
      </c>
      <c r="J2728">
        <v>-372.23360000000002</v>
      </c>
      <c r="K2728">
        <v>1.106409</v>
      </c>
      <c r="L2728">
        <v>215.37049999999999</v>
      </c>
      <c r="M2728">
        <v>0.99494369999999999</v>
      </c>
      <c r="N2728">
        <v>0</v>
      </c>
      <c r="O2728">
        <v>-9.9359920000000004E-2</v>
      </c>
      <c r="P2728">
        <v>0.99812160000000005</v>
      </c>
      <c r="Q2728">
        <v>4.4401469999999998E-2</v>
      </c>
      <c r="R2728">
        <v>-4.2214729999999999E-2</v>
      </c>
      <c r="S2728">
        <v>3.012146</v>
      </c>
      <c r="T2728">
        <v>-0.18578329999999901</v>
      </c>
      <c r="U2728">
        <v>-6.7016599999999996E-2</v>
      </c>
      <c r="V2728">
        <v>-5.7442899999999998E-2</v>
      </c>
      <c r="W2728">
        <v>5.8754750000000001E-2</v>
      </c>
      <c r="X2728">
        <v>0.99661840000000002</v>
      </c>
      <c r="Y2728">
        <v>-7.6878699999999994E-2</v>
      </c>
      <c r="Z2728">
        <v>8.4814399999999998E-3</v>
      </c>
      <c r="AA2728">
        <v>0.99700440000000001</v>
      </c>
      <c r="AB2728">
        <v>45</v>
      </c>
      <c r="AC2728">
        <v>17.4666</v>
      </c>
      <c r="AD2728">
        <v>-1.1064080175819999</v>
      </c>
      <c r="AE2728">
        <v>-0.352399999999988</v>
      </c>
      <c r="AF2728">
        <v>-1.3794775794565699</v>
      </c>
      <c r="AG2728">
        <v>-1.1064080175819999</v>
      </c>
      <c r="AH2728">
        <v>17.345596463702901</v>
      </c>
      <c r="AI2728">
        <v>93.638273411453298</v>
      </c>
      <c r="AJ2728">
        <v>94.547104372514298</v>
      </c>
      <c r="AK2728">
        <v>17.435504402661198</v>
      </c>
    </row>
    <row r="2729" spans="1:37" x14ac:dyDescent="0.2">
      <c r="A2729" t="str">
        <f>"20200111153449819"</f>
        <v>20200111153449819</v>
      </c>
      <c r="B2729" t="str">
        <f>"1578728089809175"</f>
        <v>1578728089809175</v>
      </c>
      <c r="C2729" t="s">
        <v>37</v>
      </c>
      <c r="D2729">
        <v>5.2174379999999996</v>
      </c>
      <c r="E2729">
        <v>0.49270370000000002</v>
      </c>
      <c r="F2729" t="s">
        <v>52</v>
      </c>
      <c r="G2729">
        <v>-355.26749999999998</v>
      </c>
      <c r="H2729" s="1">
        <v>1.2497530000000001E-6</v>
      </c>
      <c r="I2729">
        <v>214.995</v>
      </c>
      <c r="J2729">
        <v>-371.78609999999998</v>
      </c>
      <c r="K2729">
        <v>1.1063559999999999</v>
      </c>
      <c r="L2729">
        <v>215.32689999999999</v>
      </c>
      <c r="M2729">
        <v>0.99508669999999999</v>
      </c>
      <c r="N2729">
        <v>0</v>
      </c>
      <c r="O2729">
        <v>-9.7917450000000003E-2</v>
      </c>
      <c r="P2729">
        <v>0.99836080000000005</v>
      </c>
      <c r="Q2729">
        <v>3.9425219999999997E-2</v>
      </c>
      <c r="R2729">
        <v>-4.1491029999999998E-2</v>
      </c>
      <c r="S2729">
        <v>3.0115050000000001</v>
      </c>
      <c r="T2729">
        <v>-0.19638910000000001</v>
      </c>
      <c r="U2729">
        <v>-6.6650390000000004E-2</v>
      </c>
      <c r="V2729">
        <v>-5.6715519999999998E-2</v>
      </c>
      <c r="W2729">
        <v>5.3785890000000003E-2</v>
      </c>
      <c r="X2729">
        <v>0.99694059999999995</v>
      </c>
      <c r="Y2729">
        <v>-7.5516299999999995E-2</v>
      </c>
      <c r="Z2729">
        <v>8.8286079999999999E-3</v>
      </c>
      <c r="AA2729">
        <v>0.99710549999999998</v>
      </c>
      <c r="AB2729">
        <v>45</v>
      </c>
      <c r="AC2729">
        <v>16.5185999999999</v>
      </c>
      <c r="AD2729">
        <v>-1.1063547502469999</v>
      </c>
      <c r="AE2729">
        <v>-0.33189999999998998</v>
      </c>
      <c r="AF2729">
        <v>-1.28158144222454</v>
      </c>
      <c r="AG2729">
        <v>-1.1063547502469999</v>
      </c>
      <c r="AH2729">
        <v>16.398176075382001</v>
      </c>
      <c r="AI2729">
        <v>93.848092493465799</v>
      </c>
      <c r="AJ2729">
        <v>94.468804961414094</v>
      </c>
      <c r="AK2729">
        <v>16.485346536414699</v>
      </c>
    </row>
    <row r="2730" spans="1:37" x14ac:dyDescent="0.2">
      <c r="A2730" t="str">
        <f>"20200111153449841"</f>
        <v>20200111153449841</v>
      </c>
      <c r="B2730" t="str">
        <f>"1578728089828695"</f>
        <v>1578728089828695</v>
      </c>
      <c r="C2730" t="s">
        <v>37</v>
      </c>
      <c r="D2730">
        <v>5.173457</v>
      </c>
      <c r="E2730">
        <v>0.49264209999999897</v>
      </c>
      <c r="F2730" t="s">
        <v>52</v>
      </c>
      <c r="G2730">
        <v>-356.0881</v>
      </c>
      <c r="H2730" s="1">
        <v>1.6865989999999901E-6</v>
      </c>
      <c r="I2730">
        <v>214.99160000000001</v>
      </c>
      <c r="J2730">
        <v>-371.35120000000001</v>
      </c>
      <c r="K2730">
        <v>1.1063179999999999</v>
      </c>
      <c r="L2730">
        <v>215.2852</v>
      </c>
      <c r="M2730">
        <v>0.99522330000000003</v>
      </c>
      <c r="N2730">
        <v>0</v>
      </c>
      <c r="O2730">
        <v>-9.6519610000000006E-2</v>
      </c>
      <c r="P2730">
        <v>0.99858649999999904</v>
      </c>
      <c r="Q2730">
        <v>3.6136450000000001E-2</v>
      </c>
      <c r="R2730">
        <v>-3.8979630000000001E-2</v>
      </c>
      <c r="S2730">
        <v>3.0106199999999999</v>
      </c>
      <c r="T2730">
        <v>-0.21218089999999901</v>
      </c>
      <c r="U2730">
        <v>-6.4300540000000003E-2</v>
      </c>
      <c r="V2730">
        <v>-5.781882E-2</v>
      </c>
      <c r="W2730">
        <v>5.0492570000000001E-2</v>
      </c>
      <c r="X2730">
        <v>0.99704939999999997</v>
      </c>
      <c r="Y2730">
        <v>-7.4830560000000004E-2</v>
      </c>
      <c r="Z2730">
        <v>9.4176509999999904E-3</v>
      </c>
      <c r="AA2730">
        <v>0.99715180000000003</v>
      </c>
      <c r="AB2730">
        <v>45</v>
      </c>
      <c r="AC2730">
        <v>15.2631</v>
      </c>
      <c r="AD2730">
        <v>-1.1063163134009999</v>
      </c>
      <c r="AE2730">
        <v>-0.29359999999999697</v>
      </c>
      <c r="AF2730">
        <v>-1.1749469611793899</v>
      </c>
      <c r="AG2730">
        <v>-1.1063163134009999</v>
      </c>
      <c r="AH2730">
        <v>15.140647287114399</v>
      </c>
      <c r="AI2730">
        <v>94.166651886850005</v>
      </c>
      <c r="AJ2730">
        <v>94.437383165706606</v>
      </c>
      <c r="AK2730">
        <v>15.226412460579301</v>
      </c>
    </row>
    <row r="2731" spans="1:37" x14ac:dyDescent="0.2">
      <c r="A2731" t="str">
        <f>"20200111153449862"</f>
        <v>20200111153449862</v>
      </c>
      <c r="B2731" t="str">
        <f>"1578728089858951"</f>
        <v>1578728089858951</v>
      </c>
      <c r="C2731" t="s">
        <v>37</v>
      </c>
      <c r="D2731">
        <v>5.1917599999999897</v>
      </c>
      <c r="E2731">
        <v>0.49246640000000003</v>
      </c>
      <c r="F2731" t="s">
        <v>52</v>
      </c>
      <c r="G2731">
        <v>-356.3931</v>
      </c>
      <c r="H2731" s="1">
        <v>1.848447E-6</v>
      </c>
      <c r="I2731">
        <v>215.00210000000001</v>
      </c>
      <c r="J2731">
        <v>-370.91090000000003</v>
      </c>
      <c r="K2731">
        <v>1.106295</v>
      </c>
      <c r="L2731">
        <v>215.24369999999999</v>
      </c>
      <c r="M2731">
        <v>0.99535940000000001</v>
      </c>
      <c r="N2731">
        <v>0</v>
      </c>
      <c r="O2731">
        <v>-9.5107440000000001E-2</v>
      </c>
      <c r="P2731">
        <v>0.99877879999999997</v>
      </c>
      <c r="Q2731">
        <v>3.393852E-2</v>
      </c>
      <c r="R2731">
        <v>-3.5905310000000003E-2</v>
      </c>
      <c r="S2731">
        <v>3.0100709999999999</v>
      </c>
      <c r="T2731">
        <v>-0.22262870000000001</v>
      </c>
      <c r="U2731">
        <v>-5.6976319999999997E-2</v>
      </c>
      <c r="V2731">
        <v>-5.9470229999999999E-2</v>
      </c>
      <c r="W2731">
        <v>4.828607E-2</v>
      </c>
      <c r="X2731">
        <v>0.99706159999999999</v>
      </c>
      <c r="Y2731">
        <v>-7.5795370000000001E-2</v>
      </c>
      <c r="Z2731">
        <v>9.8141189999999996E-3</v>
      </c>
      <c r="AA2731">
        <v>0.99707509999999999</v>
      </c>
      <c r="AB2731">
        <v>45</v>
      </c>
      <c r="AC2731">
        <v>14.517799999999999</v>
      </c>
      <c r="AD2731">
        <v>-1.1062931515529999</v>
      </c>
      <c r="AE2731">
        <v>-0.241599999999976</v>
      </c>
      <c r="AF2731">
        <v>-1.1338120997962899</v>
      </c>
      <c r="AG2731">
        <v>-1.1062931515529999</v>
      </c>
      <c r="AH2731">
        <v>14.3914120018162</v>
      </c>
      <c r="AI2731">
        <v>94.382256371605493</v>
      </c>
      <c r="AJ2731">
        <v>94.504682422110093</v>
      </c>
      <c r="AK2731">
        <v>14.4783339449274</v>
      </c>
    </row>
    <row r="2732" spans="1:37" x14ac:dyDescent="0.2">
      <c r="A2732" t="str">
        <f>"20200111153449886"</f>
        <v>20200111153449886</v>
      </c>
      <c r="B2732" t="str">
        <f>"1578728089878472"</f>
        <v>1578728089878472</v>
      </c>
      <c r="C2732" t="s">
        <v>37</v>
      </c>
      <c r="D2732">
        <v>5.1798250000000001</v>
      </c>
      <c r="E2732">
        <v>0.49234640000000002</v>
      </c>
      <c r="F2732" t="s">
        <v>52</v>
      </c>
      <c r="G2732">
        <v>-356.38409999999999</v>
      </c>
      <c r="H2732" s="1">
        <v>1.843009E-6</v>
      </c>
      <c r="I2732">
        <v>215.0171</v>
      </c>
      <c r="J2732">
        <v>-370.43329999999997</v>
      </c>
      <c r="K2732">
        <v>1.106285</v>
      </c>
      <c r="L2732">
        <v>215.19929999999999</v>
      </c>
      <c r="M2732">
        <v>0.99550430000000001</v>
      </c>
      <c r="N2732">
        <v>0</v>
      </c>
      <c r="O2732">
        <v>-9.3579490000000001E-2</v>
      </c>
      <c r="P2732">
        <v>0.99887329999999996</v>
      </c>
      <c r="Q2732">
        <v>3.3574390000000003E-2</v>
      </c>
      <c r="R2732">
        <v>-3.3545320000000003E-2</v>
      </c>
      <c r="S2732">
        <v>3.0097659999999999</v>
      </c>
      <c r="T2732">
        <v>-0.22921030000000001</v>
      </c>
      <c r="U2732">
        <v>-4.6936039999999998E-2</v>
      </c>
      <c r="V2732">
        <v>-6.0294260000000002E-2</v>
      </c>
      <c r="W2732">
        <v>4.7916479999999997E-2</v>
      </c>
      <c r="X2732">
        <v>0.99702990000000002</v>
      </c>
      <c r="Y2732">
        <v>-7.7559199999999995E-2</v>
      </c>
      <c r="Z2732">
        <v>1.0056320000000001E-2</v>
      </c>
      <c r="AA2732">
        <v>0.99693699999999996</v>
      </c>
      <c r="AB2732">
        <v>45</v>
      </c>
      <c r="AC2732">
        <v>14.0491999999999</v>
      </c>
      <c r="AD2732">
        <v>-1.1062831569910001</v>
      </c>
      <c r="AE2732">
        <v>-0.18219999999999401</v>
      </c>
      <c r="AF2732">
        <v>-1.1264738423543701</v>
      </c>
      <c r="AG2732">
        <v>-1.1062831569910001</v>
      </c>
      <c r="AH2732">
        <v>13.918301785866801</v>
      </c>
      <c r="AI2732">
        <v>94.529797059398504</v>
      </c>
      <c r="AJ2732">
        <v>94.627132162718297</v>
      </c>
      <c r="AK2732">
        <v>14.007566895910699</v>
      </c>
    </row>
    <row r="2733" spans="1:37" x14ac:dyDescent="0.2">
      <c r="A2733" t="str">
        <f>"20200111153449908"</f>
        <v>20200111153449908</v>
      </c>
      <c r="B2733" t="str">
        <f>"1578728089898970"</f>
        <v>1578728089898970</v>
      </c>
      <c r="C2733" t="s">
        <v>37</v>
      </c>
      <c r="D2733">
        <v>5.1690189999999996</v>
      </c>
      <c r="E2733">
        <v>0.49226920000000002</v>
      </c>
      <c r="F2733" t="s">
        <v>52</v>
      </c>
      <c r="G2733">
        <v>-355.971</v>
      </c>
      <c r="H2733" s="1">
        <v>1.6233669999999999E-6</v>
      </c>
      <c r="I2733">
        <v>215.0128</v>
      </c>
      <c r="J2733">
        <v>-369.98719999999997</v>
      </c>
      <c r="K2733">
        <v>1.106287</v>
      </c>
      <c r="L2733">
        <v>215.1585</v>
      </c>
      <c r="M2733">
        <v>0.995637199999999</v>
      </c>
      <c r="N2733">
        <v>0</v>
      </c>
      <c r="O2733">
        <v>-9.2153669999999993E-2</v>
      </c>
      <c r="P2733">
        <v>0.99887300000000001</v>
      </c>
      <c r="Q2733">
        <v>3.5636719999999997E-2</v>
      </c>
      <c r="R2733">
        <v>-3.1350660000000002E-2</v>
      </c>
      <c r="S2733">
        <v>3.009827</v>
      </c>
      <c r="T2733">
        <v>-0.230234299999999</v>
      </c>
      <c r="U2733">
        <v>-3.88031E-2</v>
      </c>
      <c r="V2733">
        <v>-6.1058260000000003E-2</v>
      </c>
      <c r="W2733">
        <v>4.997157E-2</v>
      </c>
      <c r="X2733">
        <v>0.9968825</v>
      </c>
      <c r="Y2733">
        <v>-7.8820970000000004E-2</v>
      </c>
      <c r="Z2733">
        <v>1.004099E-2</v>
      </c>
      <c r="AA2733">
        <v>0.99683820000000001</v>
      </c>
      <c r="AB2733">
        <v>45</v>
      </c>
      <c r="AC2733">
        <v>14.0161999999999</v>
      </c>
      <c r="AD2733">
        <v>-1.1062853766330001</v>
      </c>
      <c r="AE2733">
        <v>-0.14570000000000499</v>
      </c>
      <c r="AF2733">
        <v>-1.1396040535096801</v>
      </c>
      <c r="AG2733">
        <v>-1.1062853766330001</v>
      </c>
      <c r="AH2733">
        <v>13.8834916801802</v>
      </c>
      <c r="AI2733">
        <v>94.540695677711895</v>
      </c>
      <c r="AJ2733">
        <v>94.692511763042205</v>
      </c>
      <c r="AK2733">
        <v>13.9740440090533</v>
      </c>
    </row>
    <row r="2734" spans="1:37" x14ac:dyDescent="0.2">
      <c r="A2734" t="str">
        <f>"20200111153449930"</f>
        <v>20200111153449930</v>
      </c>
      <c r="B2734" t="str">
        <f>"1578728089918487"</f>
        <v>1578728089918487</v>
      </c>
      <c r="C2734" t="s">
        <v>37</v>
      </c>
      <c r="D2734">
        <v>5.1939140000000004</v>
      </c>
      <c r="E2734">
        <v>0.49219289999999999</v>
      </c>
      <c r="F2734" t="s">
        <v>52</v>
      </c>
      <c r="G2734">
        <v>-355.11079999999998</v>
      </c>
      <c r="H2734" s="1">
        <v>1.1659660000000001E-6</v>
      </c>
      <c r="I2734">
        <v>215.00450000000001</v>
      </c>
      <c r="J2734">
        <v>-369.55349999999999</v>
      </c>
      <c r="K2734">
        <v>1.1062989999999999</v>
      </c>
      <c r="L2734">
        <v>215.11940000000001</v>
      </c>
      <c r="M2734">
        <v>0.9957646</v>
      </c>
      <c r="N2734">
        <v>0</v>
      </c>
      <c r="O2734">
        <v>-9.0767879999999995E-2</v>
      </c>
      <c r="P2734">
        <v>0.99884399999999995</v>
      </c>
      <c r="Q2734">
        <v>3.8740999999999998E-2</v>
      </c>
      <c r="R2734">
        <v>-2.845928E-2</v>
      </c>
      <c r="S2734">
        <v>3.0104060000000001</v>
      </c>
      <c r="T2734">
        <v>-0.22386900000000001</v>
      </c>
      <c r="U2734">
        <v>-3.1158450000000001E-2</v>
      </c>
      <c r="V2734">
        <v>-6.2559340000000005E-2</v>
      </c>
      <c r="W2734">
        <v>5.3064029999999998E-2</v>
      </c>
      <c r="X2734">
        <v>0.9966296</v>
      </c>
      <c r="Y2734">
        <v>-7.9994910000000002E-2</v>
      </c>
      <c r="Z2734">
        <v>9.7036499999999994E-3</v>
      </c>
      <c r="AA2734">
        <v>0.99674799999999997</v>
      </c>
      <c r="AB2734">
        <v>45</v>
      </c>
      <c r="AC2734">
        <v>14.4427</v>
      </c>
      <c r="AD2734">
        <v>-1.1062978340339999</v>
      </c>
      <c r="AE2734">
        <v>-0.114900000000005</v>
      </c>
      <c r="AF2734">
        <v>-1.18966814446205</v>
      </c>
      <c r="AG2734">
        <v>-1.1062978340339999</v>
      </c>
      <c r="AH2734">
        <v>14.309544363190501</v>
      </c>
      <c r="AI2734">
        <v>94.405711023088102</v>
      </c>
      <c r="AJ2734">
        <v>94.752531871818604</v>
      </c>
      <c r="AK2734">
        <v>14.401467462507201</v>
      </c>
    </row>
    <row r="2735" spans="1:37" x14ac:dyDescent="0.2">
      <c r="A2735" t="str">
        <f>"20200111153449951"</f>
        <v>20200111153449951</v>
      </c>
      <c r="B2735" t="str">
        <f>"1578728089948743"</f>
        <v>1578728089948743</v>
      </c>
      <c r="C2735" t="s">
        <v>37</v>
      </c>
      <c r="D2735">
        <v>5.2289279999999998</v>
      </c>
      <c r="E2735">
        <v>0.49211629999999901</v>
      </c>
      <c r="F2735" t="s">
        <v>52</v>
      </c>
      <c r="G2735">
        <v>-354.01580000000001</v>
      </c>
      <c r="H2735" s="1">
        <v>5.8303539999999995E-7</v>
      </c>
      <c r="I2735">
        <v>215.00919999999999</v>
      </c>
      <c r="J2735">
        <v>-369.12279999999998</v>
      </c>
      <c r="K2735">
        <v>1.1063069999999999</v>
      </c>
      <c r="L2735">
        <v>215.0813</v>
      </c>
      <c r="M2735">
        <v>0.99588899999999903</v>
      </c>
      <c r="N2735">
        <v>0</v>
      </c>
      <c r="O2735">
        <v>-8.9392340000000001E-2</v>
      </c>
      <c r="P2735">
        <v>0.9987857</v>
      </c>
      <c r="Q2735">
        <v>4.2052350000000002E-2</v>
      </c>
      <c r="R2735">
        <v>-2.566614E-2</v>
      </c>
      <c r="S2735">
        <v>3.0112000000000001</v>
      </c>
      <c r="T2735">
        <v>-0.21440029999999899</v>
      </c>
      <c r="U2735">
        <v>-2.1362300000000001E-2</v>
      </c>
      <c r="V2735">
        <v>-6.3971479999999997E-2</v>
      </c>
      <c r="W2735">
        <v>5.636356E-2</v>
      </c>
      <c r="X2735">
        <v>0.99635879999999999</v>
      </c>
      <c r="Y2735">
        <v>-8.1900849999999997E-2</v>
      </c>
      <c r="Z2735">
        <v>9.2624719999999904E-3</v>
      </c>
      <c r="AA2735">
        <v>0.99659750000000003</v>
      </c>
      <c r="AB2735">
        <v>45</v>
      </c>
      <c r="AC2735">
        <v>15.1069999999999</v>
      </c>
      <c r="AD2735">
        <v>-1.1063064169646</v>
      </c>
      <c r="AE2735">
        <v>-7.2100000000006007E-2</v>
      </c>
      <c r="AF2735">
        <v>-1.2719622227966201</v>
      </c>
      <c r="AG2735">
        <v>-1.1063064169646</v>
      </c>
      <c r="AH2735">
        <v>14.972657826093901</v>
      </c>
      <c r="AI2735">
        <v>94.210705022833594</v>
      </c>
      <c r="AJ2735">
        <v>94.855751416168701</v>
      </c>
      <c r="AK2735">
        <v>15.067258681051801</v>
      </c>
    </row>
    <row r="2736" spans="1:37" x14ac:dyDescent="0.2">
      <c r="A2736" t="str">
        <f>"20200111153449975"</f>
        <v>20200111153449975</v>
      </c>
      <c r="B2736" t="str">
        <f>"1578728089969241"</f>
        <v>1578728089969241</v>
      </c>
      <c r="C2736" t="s">
        <v>37</v>
      </c>
      <c r="D2736">
        <v>6.1070820000000001</v>
      </c>
      <c r="E2736">
        <v>0.49207609999999902</v>
      </c>
      <c r="F2736" t="s">
        <v>52</v>
      </c>
      <c r="G2736">
        <v>-352.8655</v>
      </c>
      <c r="H2736" s="1">
        <v>-2.9297909999999901E-8</v>
      </c>
      <c r="I2736">
        <v>215.0137</v>
      </c>
      <c r="J2736">
        <v>-368.66309999999999</v>
      </c>
      <c r="K2736">
        <v>1.106314</v>
      </c>
      <c r="L2736">
        <v>215.0412</v>
      </c>
      <c r="M2736">
        <v>0.99601989999999996</v>
      </c>
      <c r="N2736">
        <v>0</v>
      </c>
      <c r="O2736">
        <v>-8.792345E-2</v>
      </c>
      <c r="P2736">
        <v>0.99874810000000003</v>
      </c>
      <c r="Q2736">
        <v>4.3902679999999999E-2</v>
      </c>
      <c r="R2736">
        <v>-2.3974539999999999E-2</v>
      </c>
      <c r="S2736">
        <v>3.0119630000000002</v>
      </c>
      <c r="T2736">
        <v>-0.204962799999999</v>
      </c>
      <c r="U2736">
        <v>-1.2512209999999999E-2</v>
      </c>
      <c r="V2736">
        <v>-6.4189869999999996E-2</v>
      </c>
      <c r="W2736">
        <v>5.8208740000000002E-2</v>
      </c>
      <c r="X2736">
        <v>0.99623859999999997</v>
      </c>
      <c r="Y2736">
        <v>-8.3398249999999993E-2</v>
      </c>
      <c r="Z2736">
        <v>8.8050960000000001E-3</v>
      </c>
      <c r="AA2736">
        <v>0.99647739999999996</v>
      </c>
      <c r="AB2736">
        <v>45</v>
      </c>
      <c r="AC2736">
        <v>15.7975999999999</v>
      </c>
      <c r="AD2736">
        <v>-1.1063140292979099</v>
      </c>
      <c r="AE2736">
        <v>-2.75000000000034E-2</v>
      </c>
      <c r="AF2736">
        <v>-1.35508883612276</v>
      </c>
      <c r="AG2736">
        <v>-1.1063140292979099</v>
      </c>
      <c r="AH2736">
        <v>15.662014084276001</v>
      </c>
      <c r="AI2736">
        <v>94.025488186978194</v>
      </c>
      <c r="AJ2736">
        <v>94.944957952671302</v>
      </c>
      <c r="AK2736">
        <v>15.759406132886699</v>
      </c>
    </row>
    <row r="2737" spans="1:37" x14ac:dyDescent="0.2">
      <c r="A2737" t="str">
        <f>"20200111153449997"</f>
        <v>20200111153449997</v>
      </c>
      <c r="B2737" t="str">
        <f>"1578728089988763"</f>
        <v>1578728089988763</v>
      </c>
      <c r="C2737" t="s">
        <v>37</v>
      </c>
      <c r="D2737">
        <v>5.2000500000000001</v>
      </c>
      <c r="E2737">
        <v>0.492036799999999</v>
      </c>
      <c r="F2737" t="s">
        <v>52</v>
      </c>
      <c r="G2737">
        <v>-351.93180000000001</v>
      </c>
      <c r="H2737" s="1">
        <v>-5.2578179999999995E-7</v>
      </c>
      <c r="I2737">
        <v>215.00550000000001</v>
      </c>
      <c r="J2737">
        <v>-368.20240000000001</v>
      </c>
      <c r="K2737">
        <v>1.106312</v>
      </c>
      <c r="L2737">
        <v>215.0016</v>
      </c>
      <c r="M2737">
        <v>0.99614879999999995</v>
      </c>
      <c r="N2737">
        <v>0</v>
      </c>
      <c r="O2737">
        <v>-8.6450630000000001E-2</v>
      </c>
      <c r="P2737">
        <v>0.99873940000000005</v>
      </c>
      <c r="Q2737">
        <v>4.4795349999999998E-2</v>
      </c>
      <c r="R2737">
        <v>-2.2651620000000001E-2</v>
      </c>
      <c r="S2737">
        <v>3.0123599999999899</v>
      </c>
      <c r="T2737">
        <v>-0.19918420000000001</v>
      </c>
      <c r="U2737">
        <v>-6.4239500000000003E-3</v>
      </c>
      <c r="V2737">
        <v>-6.4035449999999994E-2</v>
      </c>
      <c r="W2737">
        <v>5.909938E-2</v>
      </c>
      <c r="X2737">
        <v>0.99619619999999998</v>
      </c>
      <c r="Y2737">
        <v>-8.3963360000000001E-2</v>
      </c>
      <c r="Z2737">
        <v>8.4780859999999993E-3</v>
      </c>
      <c r="AA2737">
        <v>0.99643280000000001</v>
      </c>
      <c r="AB2737">
        <v>45</v>
      </c>
      <c r="AC2737">
        <v>16.270600000000002</v>
      </c>
      <c r="AD2737">
        <v>-1.1063125257818001</v>
      </c>
      <c r="AE2737">
        <v>3.9000000000157702E-3</v>
      </c>
      <c r="AF2737">
        <v>-1.40414770370703</v>
      </c>
      <c r="AG2737">
        <v>-1.1063125257818001</v>
      </c>
      <c r="AH2737">
        <v>16.134739711425201</v>
      </c>
      <c r="AI2737">
        <v>93.907742915198298</v>
      </c>
      <c r="AJ2737">
        <v>94.973712242877099</v>
      </c>
      <c r="AK2737">
        <v>16.233464933093298</v>
      </c>
    </row>
    <row r="2738" spans="1:37" x14ac:dyDescent="0.2">
      <c r="A2738" t="str">
        <f>"20200111153450020"</f>
        <v>20200111153450020</v>
      </c>
      <c r="B2738" t="str">
        <f>"1578728090009255"</f>
        <v>1578728090009255</v>
      </c>
      <c r="C2738" t="s">
        <v>37</v>
      </c>
      <c r="D2738">
        <v>5.2674669999999999</v>
      </c>
      <c r="E2738">
        <v>0.49208489999999999</v>
      </c>
      <c r="F2738" t="s">
        <v>52</v>
      </c>
      <c r="G2738">
        <v>-351.19580000000002</v>
      </c>
      <c r="H2738" s="1">
        <v>-9.1687969999999895E-7</v>
      </c>
      <c r="I2738">
        <v>214.99279999999999</v>
      </c>
      <c r="J2738">
        <v>-367.75699999999898</v>
      </c>
      <c r="K2738">
        <v>1.1063080000000001</v>
      </c>
      <c r="L2738">
        <v>214.9641</v>
      </c>
      <c r="M2738">
        <v>0.99627140000000003</v>
      </c>
      <c r="N2738">
        <v>0</v>
      </c>
      <c r="O2738">
        <v>-8.5027140000000001E-2</v>
      </c>
      <c r="P2738">
        <v>0.99873009999999995</v>
      </c>
      <c r="Q2738">
        <v>4.524247E-2</v>
      </c>
      <c r="R2738">
        <v>-2.2169540000000001E-2</v>
      </c>
      <c r="S2738">
        <v>3.012543</v>
      </c>
      <c r="T2738">
        <v>-0.1959727</v>
      </c>
      <c r="U2738">
        <v>-1.556396E-3</v>
      </c>
      <c r="V2738">
        <v>-6.3091759999999997E-2</v>
      </c>
      <c r="W2738">
        <v>5.9548719999999999E-2</v>
      </c>
      <c r="X2738">
        <v>0.99622960000000005</v>
      </c>
      <c r="Y2738">
        <v>-8.4164139999999998E-2</v>
      </c>
      <c r="Z2738">
        <v>8.2555509999999999E-3</v>
      </c>
      <c r="AA2738">
        <v>0.99641769999999996</v>
      </c>
      <c r="AB2738">
        <v>45</v>
      </c>
      <c r="AC2738">
        <v>16.5611999999999</v>
      </c>
      <c r="AD2738">
        <v>-1.1063089168797</v>
      </c>
      <c r="AE2738">
        <v>2.86999999999864E-2</v>
      </c>
      <c r="AF2738">
        <v>-1.43051446943786</v>
      </c>
      <c r="AG2738">
        <v>-1.1063089168797</v>
      </c>
      <c r="AH2738">
        <v>16.425475534341</v>
      </c>
      <c r="AI2738">
        <v>93.838749432358796</v>
      </c>
      <c r="AJ2738">
        <v>94.977399552512594</v>
      </c>
      <c r="AK2738">
        <v>16.524725038440899</v>
      </c>
    </row>
    <row r="2739" spans="1:37" x14ac:dyDescent="0.2">
      <c r="A2739" t="str">
        <f>"20200111153450043"</f>
        <v>20200111153450043</v>
      </c>
      <c r="B2739" t="str">
        <f>"1578728090039196"</f>
        <v>1578728090039196</v>
      </c>
      <c r="C2739" t="s">
        <v>37</v>
      </c>
      <c r="D2739">
        <v>5.1304550000000004</v>
      </c>
      <c r="E2739">
        <v>0.49219659999999898</v>
      </c>
      <c r="F2739" t="s">
        <v>52</v>
      </c>
      <c r="G2739">
        <v>-350.52859999999998</v>
      </c>
      <c r="H2739" s="1">
        <v>-1.2706890000000001E-6</v>
      </c>
      <c r="I2739">
        <v>214.9639</v>
      </c>
      <c r="J2739">
        <v>-367.31229999999999</v>
      </c>
      <c r="K2739">
        <v>1.1063000000000001</v>
      </c>
      <c r="L2739">
        <v>214.9273</v>
      </c>
      <c r="M2739">
        <v>0.9963919</v>
      </c>
      <c r="N2739">
        <v>0</v>
      </c>
      <c r="O2739">
        <v>-8.3605310000000002E-2</v>
      </c>
      <c r="P2739">
        <v>0.99875100000000006</v>
      </c>
      <c r="Q2739">
        <v>4.5188930000000002E-2</v>
      </c>
      <c r="R2739">
        <v>-2.131982E-2</v>
      </c>
      <c r="S2739">
        <v>3.0125730000000002</v>
      </c>
      <c r="T2739">
        <v>-0.1934507</v>
      </c>
      <c r="U2739" s="1">
        <v>-3.0517579999999999E-5</v>
      </c>
      <c r="V2739">
        <v>-6.2516680000000005E-2</v>
      </c>
      <c r="W2739">
        <v>5.9495409999999999E-2</v>
      </c>
      <c r="X2739">
        <v>0.99626899999999996</v>
      </c>
      <c r="Y2739">
        <v>-8.326074E-2</v>
      </c>
      <c r="Z2739">
        <v>8.02953E-3</v>
      </c>
      <c r="AA2739">
        <v>0.99649539999999903</v>
      </c>
      <c r="AB2739">
        <v>45</v>
      </c>
      <c r="AC2739">
        <v>16.7837</v>
      </c>
      <c r="AD2739">
        <v>-1.1063012706890001</v>
      </c>
      <c r="AE2739">
        <v>3.6599999999992798E-2</v>
      </c>
      <c r="AF2739">
        <v>-1.43359927942068</v>
      </c>
      <c r="AG2739">
        <v>-1.1063012706890001</v>
      </c>
      <c r="AH2739">
        <v>16.6495277487059</v>
      </c>
      <c r="AI2739">
        <v>93.787537025312702</v>
      </c>
      <c r="AJ2739">
        <v>94.921286344686607</v>
      </c>
      <c r="AK2739">
        <v>16.747712788629102</v>
      </c>
    </row>
    <row r="2740" spans="1:37" x14ac:dyDescent="0.2">
      <c r="A2740" t="str">
        <f>"20200111153450064"</f>
        <v>20200111153450064</v>
      </c>
      <c r="B2740" t="str">
        <f>"1578728090058716"</f>
        <v>1578728090058716</v>
      </c>
      <c r="C2740" t="s">
        <v>37</v>
      </c>
      <c r="D2740">
        <v>5.172866</v>
      </c>
      <c r="E2740">
        <v>0.49225340000000001</v>
      </c>
      <c r="F2740" t="s">
        <v>52</v>
      </c>
      <c r="G2740">
        <v>-349.87389999999999</v>
      </c>
      <c r="H2740" s="1">
        <v>3.7176249999999998E-6</v>
      </c>
      <c r="I2740">
        <v>214.93870000000001</v>
      </c>
      <c r="J2740">
        <v>-366.87860000000001</v>
      </c>
      <c r="K2740">
        <v>1.1062879999999999</v>
      </c>
      <c r="L2740">
        <v>214.892</v>
      </c>
      <c r="M2740">
        <v>0.99650720000000004</v>
      </c>
      <c r="N2740">
        <v>0</v>
      </c>
      <c r="O2740">
        <v>-8.2217819999999997E-2</v>
      </c>
      <c r="P2740">
        <v>0.99884300000000004</v>
      </c>
      <c r="Q2740">
        <v>4.3514650000000002E-2</v>
      </c>
      <c r="R2740">
        <v>-2.0477740000000001E-2</v>
      </c>
      <c r="S2740">
        <v>3.0124209999999998</v>
      </c>
      <c r="T2740">
        <v>-0.1911089</v>
      </c>
      <c r="U2740">
        <v>1.9683840000000001E-3</v>
      </c>
      <c r="V2740">
        <v>-6.1967429999999997E-2</v>
      </c>
      <c r="W2740">
        <v>5.7822680000000001E-2</v>
      </c>
      <c r="X2740">
        <v>0.9964018</v>
      </c>
      <c r="Y2740">
        <v>-8.2546830000000002E-2</v>
      </c>
      <c r="Z2740">
        <v>7.8226219999999996E-3</v>
      </c>
      <c r="AA2740">
        <v>0.99655649999999996</v>
      </c>
      <c r="AB2740">
        <v>45</v>
      </c>
      <c r="AC2740">
        <v>17.0047</v>
      </c>
      <c r="AD2740">
        <v>-1.1062842823749901</v>
      </c>
      <c r="AE2740">
        <v>4.67000000000155E-2</v>
      </c>
      <c r="AF2740">
        <v>-1.4386913874771099</v>
      </c>
      <c r="AG2740">
        <v>-1.1062842823749901</v>
      </c>
      <c r="AH2740">
        <v>16.871866905207401</v>
      </c>
      <c r="AI2740">
        <v>93.737973746482496</v>
      </c>
      <c r="AJ2740">
        <v>94.873913489105703</v>
      </c>
      <c r="AK2740">
        <v>16.9691953459456</v>
      </c>
    </row>
    <row r="2741" spans="1:37" x14ac:dyDescent="0.2">
      <c r="A2741" t="str">
        <f>"20200111153450087"</f>
        <v>20200111153450087</v>
      </c>
      <c r="B2741" t="str">
        <f>"1578728090079213"</f>
        <v>1578728090079213</v>
      </c>
      <c r="C2741" t="s">
        <v>37</v>
      </c>
      <c r="D2741">
        <v>5.0833469999999998</v>
      </c>
      <c r="E2741">
        <v>0.49231789999999997</v>
      </c>
      <c r="F2741" t="s">
        <v>52</v>
      </c>
      <c r="G2741">
        <v>-349.75380000000001</v>
      </c>
      <c r="H2741" s="1">
        <v>3.6537009999999899E-6</v>
      </c>
      <c r="I2741">
        <v>214.91579999999999</v>
      </c>
      <c r="J2741">
        <v>-366.40870000000001</v>
      </c>
      <c r="K2741">
        <v>1.1062780000000001</v>
      </c>
      <c r="L2741">
        <v>214.8544</v>
      </c>
      <c r="M2741">
        <v>0.99663040000000003</v>
      </c>
      <c r="N2741">
        <v>0</v>
      </c>
      <c r="O2741">
        <v>-8.0711099999999994E-2</v>
      </c>
      <c r="P2741">
        <v>0.99892320000000001</v>
      </c>
      <c r="Q2741">
        <v>4.2040939999999999E-2</v>
      </c>
      <c r="R2741">
        <v>-1.9617539999999999E-2</v>
      </c>
      <c r="S2741">
        <v>3.0120239999999998</v>
      </c>
      <c r="T2741">
        <v>-0.1945808</v>
      </c>
      <c r="U2741">
        <v>4.1809079999999997E-3</v>
      </c>
      <c r="V2741">
        <v>-6.1316910000000002E-2</v>
      </c>
      <c r="W2741">
        <v>5.6350240000000003E-2</v>
      </c>
      <c r="X2741">
        <v>0.99652640000000003</v>
      </c>
      <c r="Y2741">
        <v>-8.1764770000000001E-2</v>
      </c>
      <c r="Z2741">
        <v>7.8432899999999993E-3</v>
      </c>
      <c r="AA2741">
        <v>0.99662079999999997</v>
      </c>
      <c r="AB2741">
        <v>45</v>
      </c>
      <c r="AC2741">
        <v>16.654899999999898</v>
      </c>
      <c r="AD2741">
        <v>-1.1062743462989999</v>
      </c>
      <c r="AE2741">
        <v>6.1399999999991899E-2</v>
      </c>
      <c r="AF2741">
        <v>-1.3994043295406799</v>
      </c>
      <c r="AG2741">
        <v>-1.1062743462989999</v>
      </c>
      <c r="AH2741">
        <v>16.522698013873701</v>
      </c>
      <c r="AI2741">
        <v>93.816886758840099</v>
      </c>
      <c r="AJ2741">
        <v>94.841162265404193</v>
      </c>
      <c r="AK2741">
        <v>16.618716107584302</v>
      </c>
    </row>
    <row r="2742" spans="1:37" x14ac:dyDescent="0.2">
      <c r="A2742" t="str">
        <f>"20200111153450108"</f>
        <v>20200111153450108</v>
      </c>
      <c r="B2742" t="str">
        <f>"1578728090098732"</f>
        <v>1578728090098732</v>
      </c>
      <c r="C2742" t="s">
        <v>37</v>
      </c>
      <c r="D2742">
        <v>5.1252379999999897</v>
      </c>
      <c r="E2742">
        <v>0.49238759999999998</v>
      </c>
      <c r="F2742" t="s">
        <v>52</v>
      </c>
      <c r="G2742">
        <v>-349.55329999999998</v>
      </c>
      <c r="H2742" s="1">
        <v>3.5470239999999999E-6</v>
      </c>
      <c r="I2742">
        <v>214.89070000000001</v>
      </c>
      <c r="J2742">
        <v>-365.98320000000001</v>
      </c>
      <c r="K2742">
        <v>1.106271</v>
      </c>
      <c r="L2742">
        <v>214.8211</v>
      </c>
      <c r="M2742">
        <v>0.99674119999999999</v>
      </c>
      <c r="N2742">
        <v>0</v>
      </c>
      <c r="O2742">
        <v>-7.9334840000000004E-2</v>
      </c>
      <c r="P2742">
        <v>0.99897159999999996</v>
      </c>
      <c r="Q2742">
        <v>4.1333740000000001E-2</v>
      </c>
      <c r="R2742">
        <v>-1.863921E-2</v>
      </c>
      <c r="S2742">
        <v>3.0116879999999999</v>
      </c>
      <c r="T2742">
        <v>-0.1976675</v>
      </c>
      <c r="U2742">
        <v>6.4849850000000004E-3</v>
      </c>
      <c r="V2742">
        <v>-6.0916379999999999E-2</v>
      </c>
      <c r="W2742">
        <v>5.564181E-2</v>
      </c>
      <c r="X2742">
        <v>0.9965908</v>
      </c>
      <c r="Y2742">
        <v>-8.1144549999999996E-2</v>
      </c>
      <c r="Z2742">
        <v>7.8580049999999995E-3</v>
      </c>
      <c r="AA2742">
        <v>0.99667139999999999</v>
      </c>
      <c r="AB2742">
        <v>45</v>
      </c>
      <c r="AC2742">
        <v>16.4299</v>
      </c>
      <c r="AD2742">
        <v>-1.1062674529759999</v>
      </c>
      <c r="AE2742">
        <v>6.9600000000008294E-2</v>
      </c>
      <c r="AF2742">
        <v>-1.36678642564829</v>
      </c>
      <c r="AG2742">
        <v>-1.1062674529759999</v>
      </c>
      <c r="AH2742">
        <v>16.298688371982699</v>
      </c>
      <c r="AI2742">
        <v>93.869434113096503</v>
      </c>
      <c r="AJ2742">
        <v>94.793532714258902</v>
      </c>
      <c r="AK2742">
        <v>16.393266161990201</v>
      </c>
    </row>
    <row r="2743" spans="1:37" x14ac:dyDescent="0.2">
      <c r="A2743" t="str">
        <f>"20200111153450130"</f>
        <v>20200111153450130</v>
      </c>
      <c r="B2743" t="str">
        <f>"1578728090118251"</f>
        <v>1578728090118251</v>
      </c>
      <c r="C2743" t="s">
        <v>37</v>
      </c>
      <c r="D2743">
        <v>5.176939</v>
      </c>
      <c r="E2743">
        <v>0.49245240000000001</v>
      </c>
      <c r="F2743" t="s">
        <v>52</v>
      </c>
      <c r="G2743">
        <v>-349.20420000000001</v>
      </c>
      <c r="H2743" s="1">
        <v>3.3612439999999899E-6</v>
      </c>
      <c r="I2743">
        <v>214.87090000000001</v>
      </c>
      <c r="J2743">
        <v>-365.54770000000002</v>
      </c>
      <c r="K2743">
        <v>1.106284</v>
      </c>
      <c r="L2743">
        <v>214.78749999999999</v>
      </c>
      <c r="M2743">
        <v>0.99685409999999997</v>
      </c>
      <c r="N2743">
        <v>0</v>
      </c>
      <c r="O2743">
        <v>-7.7901369999999998E-2</v>
      </c>
      <c r="P2743">
        <v>0.99900929999999999</v>
      </c>
      <c r="Q2743">
        <v>4.0903460000000003E-2</v>
      </c>
      <c r="R2743">
        <v>-1.753998E-2</v>
      </c>
      <c r="S2743">
        <v>3.011444</v>
      </c>
      <c r="T2743">
        <v>-0.1985497</v>
      </c>
      <c r="U2743">
        <v>8.9416500000000006E-3</v>
      </c>
      <c r="V2743">
        <v>-6.0580910000000002E-2</v>
      </c>
      <c r="W2743">
        <v>5.5209510000000003E-2</v>
      </c>
      <c r="X2743">
        <v>0.9966353</v>
      </c>
      <c r="Y2743">
        <v>-8.052579E-2</v>
      </c>
      <c r="Z2743">
        <v>7.7790969999999996E-3</v>
      </c>
      <c r="AA2743">
        <v>0.9967222</v>
      </c>
      <c r="AB2743">
        <v>45</v>
      </c>
      <c r="AC2743">
        <v>16.343499999999999</v>
      </c>
      <c r="AD2743">
        <v>-1.106280638756</v>
      </c>
      <c r="AE2743">
        <v>8.3400000000011604E-2</v>
      </c>
      <c r="AF2743">
        <v>-1.3502767344412701</v>
      </c>
      <c r="AG2743">
        <v>-1.106280638756</v>
      </c>
      <c r="AH2743">
        <v>16.213041256943299</v>
      </c>
      <c r="AI2743">
        <v>93.890043601893098</v>
      </c>
      <c r="AJ2743">
        <v>94.760798805866202</v>
      </c>
      <c r="AK2743">
        <v>16.306741271958799</v>
      </c>
    </row>
    <row r="2744" spans="1:37" x14ac:dyDescent="0.2">
      <c r="A2744" t="str">
        <f>"20200111153450153"</f>
        <v>20200111153450153</v>
      </c>
      <c r="B2744" t="str">
        <f>"1578728090148508"</f>
        <v>1578728090148508</v>
      </c>
      <c r="C2744" t="s">
        <v>37</v>
      </c>
      <c r="D2744">
        <v>5.1250089999999897</v>
      </c>
      <c r="E2744">
        <v>0.49255129999999903</v>
      </c>
      <c r="F2744" t="s">
        <v>52</v>
      </c>
      <c r="G2744">
        <v>-348.77780000000001</v>
      </c>
      <c r="H2744" s="1">
        <v>3.1343429999999999E-6</v>
      </c>
      <c r="I2744">
        <v>214.85470000000001</v>
      </c>
      <c r="J2744">
        <v>-365.11070000000001</v>
      </c>
      <c r="K2744">
        <v>1.1063080000000001</v>
      </c>
      <c r="L2744">
        <v>214.75450000000001</v>
      </c>
      <c r="M2744">
        <v>0.99696849999999904</v>
      </c>
      <c r="N2744">
        <v>0</v>
      </c>
      <c r="O2744">
        <v>-7.6424259999999994E-2</v>
      </c>
      <c r="P2744">
        <v>0.99899989999999905</v>
      </c>
      <c r="Q2744">
        <v>4.1576309999999998E-2</v>
      </c>
      <c r="R2744">
        <v>-1.6460659999999998E-2</v>
      </c>
      <c r="S2744">
        <v>3.0113219999999998</v>
      </c>
      <c r="T2744">
        <v>-0.19865179999999999</v>
      </c>
      <c r="U2744">
        <v>1.205444E-2</v>
      </c>
      <c r="V2744">
        <v>-6.0184700000000001E-2</v>
      </c>
      <c r="W2744">
        <v>5.587748E-2</v>
      </c>
      <c r="X2744">
        <v>0.99662199999999901</v>
      </c>
      <c r="Y2744">
        <v>-8.0083119999999994E-2</v>
      </c>
      <c r="Z2744">
        <v>7.6717169999999998E-3</v>
      </c>
      <c r="AA2744">
        <v>0.99675859999999905</v>
      </c>
      <c r="AB2744">
        <v>45</v>
      </c>
      <c r="AC2744">
        <v>16.332899999999899</v>
      </c>
      <c r="AD2744">
        <v>-1.106304865657</v>
      </c>
      <c r="AE2744">
        <v>0.1002</v>
      </c>
      <c r="AF2744">
        <v>-1.34211235978303</v>
      </c>
      <c r="AG2744">
        <v>-1.106304865657</v>
      </c>
      <c r="AH2744">
        <v>16.203126820183101</v>
      </c>
      <c r="AI2744">
        <v>93.892646502973903</v>
      </c>
      <c r="AJ2744">
        <v>94.735026379977299</v>
      </c>
      <c r="AK2744">
        <v>16.296211056346699</v>
      </c>
    </row>
    <row r="2745" spans="1:37" x14ac:dyDescent="0.2">
      <c r="A2745" t="str">
        <f>"20200111153450175"</f>
        <v>20200111153450175</v>
      </c>
      <c r="B2745" t="str">
        <f>"1578728090169005"</f>
        <v>1578728090169005</v>
      </c>
      <c r="C2745" t="s">
        <v>37</v>
      </c>
      <c r="D2745">
        <v>5.1099449999999997</v>
      </c>
      <c r="E2745">
        <v>0.49258739999999901</v>
      </c>
      <c r="F2745" t="s">
        <v>52</v>
      </c>
      <c r="G2745">
        <v>-348.00310000000002</v>
      </c>
      <c r="H2745" s="1">
        <v>2.72207699999999E-6</v>
      </c>
      <c r="I2745">
        <v>214.8374</v>
      </c>
      <c r="J2745">
        <v>-364.64780000000002</v>
      </c>
      <c r="K2745">
        <v>1.1063510000000001</v>
      </c>
      <c r="L2745">
        <v>214.72030000000001</v>
      </c>
      <c r="M2745">
        <v>0.99709139999999996</v>
      </c>
      <c r="N2745">
        <v>0</v>
      </c>
      <c r="O2745">
        <v>-7.4804869999999996E-2</v>
      </c>
      <c r="P2745">
        <v>0.99901130000000005</v>
      </c>
      <c r="Q2745">
        <v>4.1946959999999998E-2</v>
      </c>
      <c r="R2745">
        <v>-1.472263E-2</v>
      </c>
      <c r="S2745">
        <v>3.01135299999999</v>
      </c>
      <c r="T2745">
        <v>-0.1947374</v>
      </c>
      <c r="U2745">
        <v>1.45874E-2</v>
      </c>
      <c r="V2745">
        <v>-6.0305600000000001E-2</v>
      </c>
      <c r="W2745">
        <v>5.6239780000000003E-2</v>
      </c>
      <c r="X2745">
        <v>0.99659439999999999</v>
      </c>
      <c r="Y2745">
        <v>-7.9320730000000006E-2</v>
      </c>
      <c r="Z2745">
        <v>7.3917829999999999E-3</v>
      </c>
      <c r="AA2745">
        <v>0.99682179999999998</v>
      </c>
      <c r="AB2745">
        <v>45</v>
      </c>
      <c r="AC2745">
        <v>16.6447</v>
      </c>
      <c r="AD2745">
        <v>-1.1063482779230001</v>
      </c>
      <c r="AE2745">
        <v>0.117099999999993</v>
      </c>
      <c r="AF2745">
        <v>-1.35601838838323</v>
      </c>
      <c r="AG2745">
        <v>-1.1063482779230001</v>
      </c>
      <c r="AH2745">
        <v>16.516327648118299</v>
      </c>
      <c r="AI2745">
        <v>93.819427120108202</v>
      </c>
      <c r="AJ2745">
        <v>94.693553209272906</v>
      </c>
      <c r="AK2745">
        <v>16.608788979383501</v>
      </c>
    </row>
    <row r="2746" spans="1:37" x14ac:dyDescent="0.2">
      <c r="A2746" t="str">
        <f>"20200111153450201"</f>
        <v>20200111153450201</v>
      </c>
      <c r="B2746" t="str">
        <f>"1578728090188524"</f>
        <v>1578728090188524</v>
      </c>
      <c r="C2746" t="s">
        <v>37</v>
      </c>
      <c r="D2746">
        <v>5.1184519999999996</v>
      </c>
      <c r="E2746">
        <v>0.49263659999999998</v>
      </c>
      <c r="F2746" t="s">
        <v>52</v>
      </c>
      <c r="G2746">
        <v>-347.3519</v>
      </c>
      <c r="H2746" s="1">
        <v>2.3755399999999998E-6</v>
      </c>
      <c r="I2746">
        <v>214.834</v>
      </c>
      <c r="J2746">
        <v>-364.17059999999998</v>
      </c>
      <c r="K2746">
        <v>1.106406</v>
      </c>
      <c r="L2746">
        <v>214.6859</v>
      </c>
      <c r="M2746">
        <v>0.99722099999999902</v>
      </c>
      <c r="N2746">
        <v>0</v>
      </c>
      <c r="O2746">
        <v>-7.3057280000000002E-2</v>
      </c>
      <c r="P2746">
        <v>0.99899300000000002</v>
      </c>
      <c r="Q2746">
        <v>4.3149649999999998E-2</v>
      </c>
      <c r="R2746">
        <v>-1.2307790000000001E-2</v>
      </c>
      <c r="S2746">
        <v>3.0112919999999899</v>
      </c>
      <c r="T2746">
        <v>-0.1926204</v>
      </c>
      <c r="U2746">
        <v>1.979065E-2</v>
      </c>
      <c r="V2746">
        <v>-6.0977690000000001E-2</v>
      </c>
      <c r="W2746">
        <v>5.7427569999999997E-2</v>
      </c>
      <c r="X2746">
        <v>0.99648570000000003</v>
      </c>
      <c r="Y2746">
        <v>-7.9306699999999994E-2</v>
      </c>
      <c r="Z2746">
        <v>7.1998660000000001E-3</v>
      </c>
      <c r="AA2746">
        <v>0.9968243</v>
      </c>
      <c r="AB2746">
        <v>45</v>
      </c>
      <c r="AC2746">
        <v>16.8186999999999</v>
      </c>
      <c r="AD2746">
        <v>-1.10640362446</v>
      </c>
      <c r="AE2746">
        <v>0.14809999999999901</v>
      </c>
      <c r="AF2746">
        <v>-1.3706324320560599</v>
      </c>
      <c r="AG2746">
        <v>-1.10640362446</v>
      </c>
      <c r="AH2746">
        <v>16.690701366251901</v>
      </c>
      <c r="AI2746">
        <v>93.779823522014794</v>
      </c>
      <c r="AJ2746">
        <v>94.694568196203804</v>
      </c>
      <c r="AK2746">
        <v>16.783392813773499</v>
      </c>
    </row>
    <row r="2747" spans="1:37" x14ac:dyDescent="0.2">
      <c r="A2747" t="str">
        <f>"20200111153450222"</f>
        <v>20200111153450222</v>
      </c>
      <c r="B2747" t="str">
        <f>"1578728090209020"</f>
        <v>1578728090209020</v>
      </c>
      <c r="C2747" t="s">
        <v>37</v>
      </c>
      <c r="D2747">
        <v>5.125051</v>
      </c>
      <c r="E2747">
        <v>0.492674</v>
      </c>
      <c r="F2747" t="s">
        <v>52</v>
      </c>
      <c r="G2747">
        <v>-346.45510000000002</v>
      </c>
      <c r="H2747" s="1">
        <v>1.8982939999999999E-6</v>
      </c>
      <c r="I2747">
        <v>214.84110000000001</v>
      </c>
      <c r="J2747">
        <v>-363.73860000000002</v>
      </c>
      <c r="K2747">
        <v>1.1064719999999999</v>
      </c>
      <c r="L2747">
        <v>214.6557</v>
      </c>
      <c r="M2747">
        <v>0.99734179999999995</v>
      </c>
      <c r="N2747">
        <v>0</v>
      </c>
      <c r="O2747">
        <v>-7.1390560000000006E-2</v>
      </c>
      <c r="P2747">
        <v>0.99897060000000004</v>
      </c>
      <c r="Q2747">
        <v>4.4156479999999998E-2</v>
      </c>
      <c r="R2747">
        <v>-1.039825E-2</v>
      </c>
      <c r="S2747">
        <v>3.0114749999999999</v>
      </c>
      <c r="T2747">
        <v>-0.18807839999999901</v>
      </c>
      <c r="U2747">
        <v>2.6382450000000002E-2</v>
      </c>
      <c r="V2747">
        <v>-6.1227400000000001E-2</v>
      </c>
      <c r="W2747">
        <v>5.8422010000000003E-2</v>
      </c>
      <c r="X2747">
        <v>0.99641259999999998</v>
      </c>
      <c r="Y2747">
        <v>-7.9838880000000001E-2</v>
      </c>
      <c r="Z2747">
        <v>6.94282199999999E-3</v>
      </c>
      <c r="AA2747">
        <v>0.99678359999999899</v>
      </c>
      <c r="AB2747">
        <v>45</v>
      </c>
      <c r="AC2747">
        <v>17.2835</v>
      </c>
      <c r="AD2747">
        <v>-1.1064701017059999</v>
      </c>
      <c r="AE2747">
        <v>0.185400000000015</v>
      </c>
      <c r="AF2747">
        <v>-1.41314584859076</v>
      </c>
      <c r="AG2747">
        <v>-1.1064701017059999</v>
      </c>
      <c r="AH2747">
        <v>17.1558497683504</v>
      </c>
      <c r="AI2747">
        <v>93.677770898370696</v>
      </c>
      <c r="AJ2747">
        <v>94.708884436548701</v>
      </c>
      <c r="AK2747">
        <v>17.249476471753201</v>
      </c>
    </row>
    <row r="2748" spans="1:37" x14ac:dyDescent="0.2">
      <c r="A2748" t="str">
        <f>"20200111153450242"</f>
        <v>20200111153450242</v>
      </c>
      <c r="B2748" t="str">
        <f>"1578728090228541"</f>
        <v>1578728090228541</v>
      </c>
      <c r="C2748" t="s">
        <v>37</v>
      </c>
      <c r="D2748">
        <v>5.1115379999999897</v>
      </c>
      <c r="E2748">
        <v>0.49272189999999999</v>
      </c>
      <c r="F2748" t="s">
        <v>52</v>
      </c>
      <c r="G2748">
        <v>-345.64830000000001</v>
      </c>
      <c r="H2748" s="1">
        <v>1.468967E-6</v>
      </c>
      <c r="I2748">
        <v>214.8486</v>
      </c>
      <c r="J2748">
        <v>-363.33479999999997</v>
      </c>
      <c r="K2748">
        <v>1.106533</v>
      </c>
      <c r="L2748">
        <v>214.62799999999999</v>
      </c>
      <c r="M2748">
        <v>0.99745640000000002</v>
      </c>
      <c r="N2748">
        <v>0</v>
      </c>
      <c r="O2748">
        <v>-6.9770369999999998E-2</v>
      </c>
      <c r="P2748">
        <v>0.99894769999999899</v>
      </c>
      <c r="Q2748">
        <v>4.5075629999999998E-2</v>
      </c>
      <c r="R2748">
        <v>-8.4827740000000002E-3</v>
      </c>
      <c r="S2748">
        <v>3.0115970000000001</v>
      </c>
      <c r="T2748">
        <v>-0.18420029999999901</v>
      </c>
      <c r="U2748">
        <v>3.2119750000000002E-2</v>
      </c>
      <c r="V2748">
        <v>-6.1529609999999998E-2</v>
      </c>
      <c r="W2748">
        <v>5.9329279999999998E-2</v>
      </c>
      <c r="X2748">
        <v>0.99634040000000001</v>
      </c>
      <c r="Y2748">
        <v>-8.0132579999999995E-2</v>
      </c>
      <c r="Z2748">
        <v>6.7097989999999998E-3</v>
      </c>
      <c r="AA2748">
        <v>0.99676160000000003</v>
      </c>
      <c r="AB2748">
        <v>45</v>
      </c>
      <c r="AC2748">
        <v>17.686499999999899</v>
      </c>
      <c r="AD2748">
        <v>-1.1065315310329999</v>
      </c>
      <c r="AE2748">
        <v>0.220600000000018</v>
      </c>
      <c r="AF2748">
        <v>-1.44851836437243</v>
      </c>
      <c r="AG2748">
        <v>-1.1065315310329999</v>
      </c>
      <c r="AH2748">
        <v>17.559277263641</v>
      </c>
      <c r="AI2748">
        <v>93.593660653546493</v>
      </c>
      <c r="AJ2748">
        <v>94.715825808236801</v>
      </c>
      <c r="AK2748">
        <v>17.6536351922915</v>
      </c>
    </row>
    <row r="2749" spans="1:37" x14ac:dyDescent="0.2">
      <c r="A2749" t="str">
        <f>"20200111153450265"</f>
        <v>20200111153450265</v>
      </c>
      <c r="B2749" t="str">
        <f>"1578728090258796"</f>
        <v>1578728090258796</v>
      </c>
      <c r="C2749" t="s">
        <v>37</v>
      </c>
      <c r="D2749">
        <v>5.1024409999999998</v>
      </c>
      <c r="E2749">
        <v>0.4928034</v>
      </c>
      <c r="F2749" t="s">
        <v>52</v>
      </c>
      <c r="G2749">
        <v>-344.87150000000003</v>
      </c>
      <c r="H2749" s="1">
        <v>1.0555549999999999E-6</v>
      </c>
      <c r="I2749">
        <v>214.85990000000001</v>
      </c>
      <c r="J2749">
        <v>-362.87630000000001</v>
      </c>
      <c r="K2749">
        <v>1.106606</v>
      </c>
      <c r="L2749">
        <v>214.5975</v>
      </c>
      <c r="M2749">
        <v>0.99758860000000005</v>
      </c>
      <c r="N2749">
        <v>0</v>
      </c>
      <c r="O2749">
        <v>-6.7854700000000004E-2</v>
      </c>
      <c r="P2749">
        <v>0.9989384</v>
      </c>
      <c r="Q2749">
        <v>4.5657490000000002E-2</v>
      </c>
      <c r="R2749">
        <v>-6.1299800000000002E-3</v>
      </c>
      <c r="S2749">
        <v>3.0116269999999998</v>
      </c>
      <c r="T2749">
        <v>-0.1804906</v>
      </c>
      <c r="U2749">
        <v>3.7826539999999999E-2</v>
      </c>
      <c r="V2749">
        <v>-6.1973609999999998E-2</v>
      </c>
      <c r="W2749">
        <v>5.9896659999999997E-2</v>
      </c>
      <c r="X2749">
        <v>0.99627889999999997</v>
      </c>
      <c r="Y2749">
        <v>-8.0121390000000001E-2</v>
      </c>
      <c r="Z2749">
        <v>6.4599729999999999E-3</v>
      </c>
      <c r="AA2749">
        <v>0.99676419999999999</v>
      </c>
      <c r="AB2749">
        <v>45</v>
      </c>
      <c r="AC2749">
        <v>18.0047999999999</v>
      </c>
      <c r="AD2749">
        <v>-1.1066049444449999</v>
      </c>
      <c r="AE2749">
        <v>0.26240000000001301</v>
      </c>
      <c r="AF2749">
        <v>-1.4780531493384399</v>
      </c>
      <c r="AG2749">
        <v>-1.1066049444449999</v>
      </c>
      <c r="AH2749">
        <v>17.877966657810401</v>
      </c>
      <c r="AI2749">
        <v>93.529945303255701</v>
      </c>
      <c r="AJ2749">
        <v>94.726155419551503</v>
      </c>
      <c r="AK2749">
        <v>17.9730606028333</v>
      </c>
    </row>
    <row r="2750" spans="1:37" x14ac:dyDescent="0.2">
      <c r="A2750" t="str">
        <f>"20200111153450288"</f>
        <v>20200111153450288</v>
      </c>
      <c r="B2750" t="str">
        <f>"1578728090279292"</f>
        <v>1578728090279292</v>
      </c>
      <c r="C2750" t="s">
        <v>37</v>
      </c>
      <c r="D2750">
        <v>5.0659839999999896</v>
      </c>
      <c r="E2750">
        <v>0.49287209999999998</v>
      </c>
      <c r="F2750" t="s">
        <v>52</v>
      </c>
      <c r="G2750">
        <v>-344.10169999999999</v>
      </c>
      <c r="H2750" s="1">
        <v>6.4590680000000003E-7</v>
      </c>
      <c r="I2750">
        <v>214.87280000000001</v>
      </c>
      <c r="J2750">
        <v>-362.41930000000002</v>
      </c>
      <c r="K2750">
        <v>1.1066750000000001</v>
      </c>
      <c r="L2750">
        <v>214.56809999999999</v>
      </c>
      <c r="M2750">
        <v>0.99772150000000004</v>
      </c>
      <c r="N2750">
        <v>0</v>
      </c>
      <c r="O2750">
        <v>-6.5870869999999998E-2</v>
      </c>
      <c r="P2750">
        <v>0.99893739999999998</v>
      </c>
      <c r="Q2750">
        <v>4.595014E-2</v>
      </c>
      <c r="R2750">
        <v>-3.5449639999999998E-3</v>
      </c>
      <c r="S2750">
        <v>3.0115970000000001</v>
      </c>
      <c r="T2750">
        <v>-0.1775079</v>
      </c>
      <c r="U2750">
        <v>4.4158940000000001E-2</v>
      </c>
      <c r="V2750">
        <v>-6.2581590000000006E-2</v>
      </c>
      <c r="W2750">
        <v>6.0173690000000002E-2</v>
      </c>
      <c r="X2750">
        <v>0.9962242</v>
      </c>
      <c r="Y2750">
        <v>-8.0246860000000003E-2</v>
      </c>
      <c r="Z2750">
        <v>6.2404769999999899E-3</v>
      </c>
      <c r="AA2750">
        <v>0.99675550000000002</v>
      </c>
      <c r="AB2750">
        <v>45</v>
      </c>
      <c r="AC2750">
        <v>18.317599999999999</v>
      </c>
      <c r="AD2750">
        <v>-1.1066743540932</v>
      </c>
      <c r="AE2750">
        <v>0.30470000000002501</v>
      </c>
      <c r="AF2750">
        <v>-1.50526993305127</v>
      </c>
      <c r="AG2750">
        <v>-1.1066743540932</v>
      </c>
      <c r="AH2750">
        <v>18.191354002727799</v>
      </c>
      <c r="AI2750">
        <v>93.469480447027706</v>
      </c>
      <c r="AJ2750">
        <v>94.730245939322501</v>
      </c>
      <c r="AK2750">
        <v>18.2870425752748</v>
      </c>
    </row>
    <row r="2751" spans="1:37" x14ac:dyDescent="0.2">
      <c r="A2751" t="str">
        <f>"20200111153450309"</f>
        <v>20200111153450309</v>
      </c>
      <c r="B2751" t="str">
        <f>"1578728090298815"</f>
        <v>1578728090298815</v>
      </c>
      <c r="C2751" t="s">
        <v>37</v>
      </c>
      <c r="D2751">
        <v>5.0687150000000001</v>
      </c>
      <c r="E2751">
        <v>0.49295800000000001</v>
      </c>
      <c r="F2751" t="s">
        <v>52</v>
      </c>
      <c r="G2751">
        <v>-343.48419999999999</v>
      </c>
      <c r="H2751" s="1">
        <v>3.1730680000000001E-7</v>
      </c>
      <c r="I2751">
        <v>214.89019999999999</v>
      </c>
      <c r="J2751">
        <v>-362.0025</v>
      </c>
      <c r="K2751">
        <v>1.1067279999999999</v>
      </c>
      <c r="L2751">
        <v>214.542</v>
      </c>
      <c r="M2751">
        <v>0.99784300000000004</v>
      </c>
      <c r="N2751">
        <v>0</v>
      </c>
      <c r="O2751">
        <v>-6.400409E-2</v>
      </c>
      <c r="P2751">
        <v>0.9989365</v>
      </c>
      <c r="Q2751">
        <v>4.6097819999999998E-2</v>
      </c>
      <c r="R2751">
        <v>-8.6454509999999904E-4</v>
      </c>
      <c r="S2751">
        <v>3.0114749999999999</v>
      </c>
      <c r="T2751">
        <v>-0.17600689999999999</v>
      </c>
      <c r="U2751">
        <v>5.1239010000000001E-2</v>
      </c>
      <c r="V2751">
        <v>-6.3400029999999996E-2</v>
      </c>
      <c r="W2751">
        <v>6.0305999999999901E-2</v>
      </c>
      <c r="X2751">
        <v>0.99616439999999995</v>
      </c>
      <c r="Y2751">
        <v>-8.0732010000000007E-2</v>
      </c>
      <c r="Z2751">
        <v>6.0933000000000003E-3</v>
      </c>
      <c r="AA2751">
        <v>0.99671719999999897</v>
      </c>
      <c r="AB2751">
        <v>44</v>
      </c>
      <c r="AC2751">
        <v>18.5183</v>
      </c>
      <c r="AD2751">
        <v>-1.1067276826932</v>
      </c>
      <c r="AE2751">
        <v>0.34819999999999102</v>
      </c>
      <c r="AF2751">
        <v>-1.5274054351719599</v>
      </c>
      <c r="AG2751">
        <v>-1.1067276826932</v>
      </c>
      <c r="AH2751">
        <v>18.392364614152601</v>
      </c>
      <c r="AI2751">
        <v>93.431734165803903</v>
      </c>
      <c r="AJ2751">
        <v>94.747270577774998</v>
      </c>
      <c r="AK2751">
        <v>18.4888314835461</v>
      </c>
    </row>
    <row r="2752" spans="1:37" x14ac:dyDescent="0.2">
      <c r="A2752" t="str">
        <f>"20200111153450332"</f>
        <v>20200111153450332</v>
      </c>
      <c r="B2752" t="str">
        <f>"1578728090329182"</f>
        <v>1578728090329182</v>
      </c>
      <c r="C2752" t="s">
        <v>37</v>
      </c>
      <c r="D2752">
        <v>5.0488799999999996</v>
      </c>
      <c r="E2752">
        <v>0.49312479999999997</v>
      </c>
      <c r="F2752" t="s">
        <v>52</v>
      </c>
      <c r="G2752">
        <v>-342.98289999999997</v>
      </c>
      <c r="H2752" s="1">
        <v>5.055955E-8</v>
      </c>
      <c r="I2752">
        <v>214.9119</v>
      </c>
      <c r="J2752">
        <v>-361.56110000000001</v>
      </c>
      <c r="K2752">
        <v>1.106779</v>
      </c>
      <c r="L2752">
        <v>214.5153</v>
      </c>
      <c r="M2752">
        <v>0.99797089999999999</v>
      </c>
      <c r="N2752">
        <v>0</v>
      </c>
      <c r="O2752">
        <v>-6.1977230000000001E-2</v>
      </c>
      <c r="P2752">
        <v>0.99893369999999904</v>
      </c>
      <c r="Q2752">
        <v>4.6139340000000001E-2</v>
      </c>
      <c r="R2752">
        <v>1.6722849999999999E-3</v>
      </c>
      <c r="S2752">
        <v>3.01135299999999</v>
      </c>
      <c r="T2752">
        <v>-0.17522670000000001</v>
      </c>
      <c r="U2752">
        <v>5.8563230000000001E-2</v>
      </c>
      <c r="V2752">
        <v>-6.3915760000000002E-2</v>
      </c>
      <c r="W2752">
        <v>6.0334079999999998E-2</v>
      </c>
      <c r="X2752">
        <v>0.99612979999999995</v>
      </c>
      <c r="Y2752">
        <v>-8.1136559999999996E-2</v>
      </c>
      <c r="Z2752">
        <v>5.9605769999999999E-3</v>
      </c>
      <c r="AA2752">
        <v>0.99668509999999999</v>
      </c>
      <c r="AB2752">
        <v>44</v>
      </c>
      <c r="AC2752">
        <v>18.578199999999999</v>
      </c>
      <c r="AD2752">
        <v>-1.1067789494404501</v>
      </c>
      <c r="AE2752">
        <v>0.396600000000006</v>
      </c>
      <c r="AF2752">
        <v>-1.5419154930572501</v>
      </c>
      <c r="AG2752">
        <v>-1.1067789494404501</v>
      </c>
      <c r="AH2752">
        <v>18.4524350479027</v>
      </c>
      <c r="AI2752">
        <v>93.420601396146097</v>
      </c>
      <c r="AJ2752">
        <v>94.776631494848402</v>
      </c>
      <c r="AK2752">
        <v>18.5497930508058</v>
      </c>
    </row>
    <row r="2753" spans="1:37" x14ac:dyDescent="0.2">
      <c r="A2753" t="str">
        <f>"20200111153450354"</f>
        <v>20200111153450354</v>
      </c>
      <c r="B2753" t="str">
        <f>"1578728090348701"</f>
        <v>1578728090348701</v>
      </c>
      <c r="C2753" t="s">
        <v>37</v>
      </c>
      <c r="D2753">
        <v>5.0775259999999998</v>
      </c>
      <c r="E2753">
        <v>0.4932164</v>
      </c>
      <c r="F2753" t="s">
        <v>52</v>
      </c>
      <c r="G2753">
        <v>-342.48779999999999</v>
      </c>
      <c r="H2753" s="1">
        <v>-2.1288850000000001E-7</v>
      </c>
      <c r="I2753">
        <v>214.92660000000001</v>
      </c>
      <c r="J2753">
        <v>-361.11579999999998</v>
      </c>
      <c r="K2753">
        <v>1.106827</v>
      </c>
      <c r="L2753">
        <v>214.48929999999999</v>
      </c>
      <c r="M2753">
        <v>0.99809799999999904</v>
      </c>
      <c r="N2753">
        <v>0</v>
      </c>
      <c r="O2753">
        <v>-5.9895490000000003E-2</v>
      </c>
      <c r="P2753">
        <v>0.99894179999999999</v>
      </c>
      <c r="Q2753">
        <v>4.581168E-2</v>
      </c>
      <c r="R2753">
        <v>4.0770959999999997E-3</v>
      </c>
      <c r="S2753">
        <v>3.011139</v>
      </c>
      <c r="T2753">
        <v>-0.17472989999999999</v>
      </c>
      <c r="U2753">
        <v>6.4941410000000005E-2</v>
      </c>
      <c r="V2753">
        <v>-6.4242930000000004E-2</v>
      </c>
      <c r="W2753">
        <v>5.9994720000000001E-2</v>
      </c>
      <c r="X2753">
        <v>0.9961293</v>
      </c>
      <c r="Y2753">
        <v>-8.1174060000000006E-2</v>
      </c>
      <c r="Z2753">
        <v>5.8245780000000004E-3</v>
      </c>
      <c r="AA2753">
        <v>0.99668289999999904</v>
      </c>
      <c r="AB2753">
        <v>44</v>
      </c>
      <c r="AC2753">
        <v>18.627999999999901</v>
      </c>
      <c r="AD2753">
        <v>-1.1068272128884999</v>
      </c>
      <c r="AE2753">
        <v>0.43730000000002101</v>
      </c>
      <c r="AF2753">
        <v>-1.5469084722364399</v>
      </c>
      <c r="AG2753">
        <v>-1.1068272128884999</v>
      </c>
      <c r="AH2753">
        <v>18.503066330868901</v>
      </c>
      <c r="AI2753">
        <v>93.4114002586021</v>
      </c>
      <c r="AJ2753">
        <v>94.778975152274398</v>
      </c>
      <c r="AK2753">
        <v>18.600576763778101</v>
      </c>
    </row>
    <row r="2754" spans="1:37" x14ac:dyDescent="0.2">
      <c r="A2754" t="str">
        <f>"20200111153450377"</f>
        <v>20200111153450377</v>
      </c>
      <c r="B2754" t="str">
        <f>"1578728090369197"</f>
        <v>1578728090369197</v>
      </c>
      <c r="C2754" t="s">
        <v>37</v>
      </c>
      <c r="D2754">
        <v>5.0883289999999999</v>
      </c>
      <c r="E2754">
        <v>0.49333389999999999</v>
      </c>
      <c r="F2754" t="s">
        <v>52</v>
      </c>
      <c r="G2754">
        <v>-342.11680000000001</v>
      </c>
      <c r="H2754" s="1">
        <v>-4.1032300000000001E-7</v>
      </c>
      <c r="I2754">
        <v>214.9391</v>
      </c>
      <c r="J2754">
        <v>-360.66210000000001</v>
      </c>
      <c r="K2754">
        <v>1.1068629999999999</v>
      </c>
      <c r="L2754">
        <v>214.46369999999999</v>
      </c>
      <c r="M2754">
        <v>0.99822459999999902</v>
      </c>
      <c r="N2754">
        <v>0</v>
      </c>
      <c r="O2754">
        <v>-5.7747420000000001E-2</v>
      </c>
      <c r="P2754">
        <v>0.99896169999999995</v>
      </c>
      <c r="Q2754">
        <v>4.518722E-2</v>
      </c>
      <c r="R2754">
        <v>5.8016609999999996E-3</v>
      </c>
      <c r="S2754">
        <v>3.0109560000000002</v>
      </c>
      <c r="T2754">
        <v>-0.17540939999999999</v>
      </c>
      <c r="U2754">
        <v>7.1289060000000001E-2</v>
      </c>
      <c r="V2754">
        <v>-6.3823530000000003E-2</v>
      </c>
      <c r="W2754">
        <v>5.9364979999999998E-2</v>
      </c>
      <c r="X2754">
        <v>0.99619389999999997</v>
      </c>
      <c r="Y2754">
        <v>-8.1132460000000003E-2</v>
      </c>
      <c r="Z2754">
        <v>5.7213409999999996E-3</v>
      </c>
      <c r="AA2754">
        <v>0.99668690000000004</v>
      </c>
      <c r="AB2754">
        <v>44</v>
      </c>
      <c r="AC2754">
        <v>18.545300000000001</v>
      </c>
      <c r="AD2754">
        <v>-1.106863410323</v>
      </c>
      <c r="AE2754">
        <v>0.47540000000000698</v>
      </c>
      <c r="AF2754">
        <v>-1.5401808797108301</v>
      </c>
      <c r="AG2754">
        <v>-1.106863410323</v>
      </c>
      <c r="AH2754">
        <v>18.421311820175401</v>
      </c>
      <c r="AI2754">
        <v>93.426614333791903</v>
      </c>
      <c r="AJ2754">
        <v>94.779306616705398</v>
      </c>
      <c r="AK2754">
        <v>18.518694147468199</v>
      </c>
    </row>
    <row r="2755" spans="1:37" x14ac:dyDescent="0.2">
      <c r="A2755" t="str">
        <f>"20200111153450398"</f>
        <v>20200111153450398</v>
      </c>
      <c r="B2755" t="str">
        <f>"1578728090388717"</f>
        <v>1578728090388717</v>
      </c>
      <c r="C2755" t="s">
        <v>37</v>
      </c>
      <c r="D2755">
        <v>5.0849010000000003</v>
      </c>
      <c r="E2755">
        <v>0.4934519</v>
      </c>
      <c r="F2755" t="s">
        <v>52</v>
      </c>
      <c r="G2755">
        <v>-341.82499999999999</v>
      </c>
      <c r="H2755" s="1">
        <v>-5.6560599999999999E-7</v>
      </c>
      <c r="I2755">
        <v>214.9376</v>
      </c>
      <c r="J2755">
        <v>-360.23099999999999</v>
      </c>
      <c r="K2755">
        <v>1.1068959999999901</v>
      </c>
      <c r="L2755">
        <v>214.44030000000001</v>
      </c>
      <c r="M2755">
        <v>0.99834159999999905</v>
      </c>
      <c r="N2755">
        <v>0</v>
      </c>
      <c r="O2755">
        <v>-5.5688870000000001E-2</v>
      </c>
      <c r="P2755">
        <v>0.99898679999999995</v>
      </c>
      <c r="Q2755">
        <v>4.4483580000000002E-2</v>
      </c>
      <c r="R2755">
        <v>6.8268919999999898E-3</v>
      </c>
      <c r="S2755">
        <v>3.0106199999999999</v>
      </c>
      <c r="T2755">
        <v>-0.17690310000000001</v>
      </c>
      <c r="U2755">
        <v>7.5744629999999993E-2</v>
      </c>
      <c r="V2755">
        <v>-6.2793409999999994E-2</v>
      </c>
      <c r="W2755">
        <v>5.866097E-2</v>
      </c>
      <c r="X2755">
        <v>0.99630110000000005</v>
      </c>
      <c r="Y2755">
        <v>-8.0554459999999994E-2</v>
      </c>
      <c r="Z2755">
        <v>5.63284099999999E-3</v>
      </c>
      <c r="AA2755">
        <v>0.99673429999999996</v>
      </c>
      <c r="AB2755">
        <v>44</v>
      </c>
      <c r="AC2755">
        <v>18.405999999999999</v>
      </c>
      <c r="AD2755">
        <v>-1.1068965656059999</v>
      </c>
      <c r="AE2755">
        <v>0.49729999999999502</v>
      </c>
      <c r="AF2755">
        <v>-1.5161672258357699</v>
      </c>
      <c r="AG2755">
        <v>-1.1068965656059999</v>
      </c>
      <c r="AH2755">
        <v>18.283658278221701</v>
      </c>
      <c r="AI2755">
        <v>93.452648327848706</v>
      </c>
      <c r="AJ2755">
        <v>94.740390492760895</v>
      </c>
      <c r="AK2755">
        <v>18.379775382154001</v>
      </c>
    </row>
    <row r="2756" spans="1:37" x14ac:dyDescent="0.2">
      <c r="A2756" t="str">
        <f>"20200111153450421"</f>
        <v>20200111153450421</v>
      </c>
      <c r="B2756" t="str">
        <f>"1578728090409216"</f>
        <v>1578728090409216</v>
      </c>
      <c r="C2756" t="s">
        <v>37</v>
      </c>
      <c r="D2756">
        <v>5.1179309999999996</v>
      </c>
      <c r="E2756">
        <v>0.49356869999999903</v>
      </c>
      <c r="F2756" t="s">
        <v>52</v>
      </c>
      <c r="G2756">
        <v>-341.58659999999998</v>
      </c>
      <c r="H2756" s="1">
        <v>-6.9247779999999998E-7</v>
      </c>
      <c r="I2756">
        <v>214.9238</v>
      </c>
      <c r="J2756">
        <v>-359.7946</v>
      </c>
      <c r="K2756">
        <v>1.106924</v>
      </c>
      <c r="L2756">
        <v>214.41759999999999</v>
      </c>
      <c r="M2756">
        <v>0.99845649999999997</v>
      </c>
      <c r="N2756">
        <v>0</v>
      </c>
      <c r="O2756">
        <v>-5.3593179999999997E-2</v>
      </c>
      <c r="P2756">
        <v>0.99900789999999995</v>
      </c>
      <c r="Q2756">
        <v>4.3819919999999998E-2</v>
      </c>
      <c r="R2756">
        <v>7.9359500000000006E-3</v>
      </c>
      <c r="S2756">
        <v>3.0104679999999999</v>
      </c>
      <c r="T2756">
        <v>-0.17872759999999999</v>
      </c>
      <c r="U2756">
        <v>7.8063960000000002E-2</v>
      </c>
      <c r="V2756">
        <v>-6.1809530000000001E-2</v>
      </c>
      <c r="W2756">
        <v>5.799787E-2</v>
      </c>
      <c r="X2756">
        <v>0.99640139999999999</v>
      </c>
      <c r="Y2756">
        <v>-7.9231990000000002E-2</v>
      </c>
      <c r="Z2756">
        <v>5.5276600000000002E-3</v>
      </c>
      <c r="AA2756">
        <v>0.99684089999999903</v>
      </c>
      <c r="AB2756">
        <v>44</v>
      </c>
      <c r="AC2756">
        <v>18.207999999999998</v>
      </c>
      <c r="AD2756">
        <v>-1.1069246924778</v>
      </c>
      <c r="AE2756">
        <v>0.50620000000000598</v>
      </c>
      <c r="AF2756">
        <v>-1.4759499830677401</v>
      </c>
      <c r="AG2756">
        <v>-1.1069246924778</v>
      </c>
      <c r="AH2756">
        <v>18.087896997885899</v>
      </c>
      <c r="AI2756">
        <v>93.490389372177205</v>
      </c>
      <c r="AJ2756">
        <v>94.664929345509194</v>
      </c>
      <c r="AK2756">
        <v>18.181741622668099</v>
      </c>
    </row>
    <row r="2757" spans="1:37" x14ac:dyDescent="0.2">
      <c r="A2757" t="str">
        <f>"20200111153450443"</f>
        <v>20200111153450443</v>
      </c>
      <c r="B2757" t="str">
        <f>"1578728090438788"</f>
        <v>1578728090438788</v>
      </c>
      <c r="C2757" t="s">
        <v>37</v>
      </c>
      <c r="D2757">
        <v>5.0471789999999999</v>
      </c>
      <c r="E2757">
        <v>0.4937047</v>
      </c>
      <c r="F2757" t="s">
        <v>52</v>
      </c>
      <c r="G2757">
        <v>-341.33620000000002</v>
      </c>
      <c r="H2757" s="1">
        <v>-8.2571079999999999E-7</v>
      </c>
      <c r="I2757">
        <v>214.91079999999999</v>
      </c>
      <c r="J2757">
        <v>-359.35379999999998</v>
      </c>
      <c r="K2757">
        <v>1.1069560000000001</v>
      </c>
      <c r="L2757">
        <v>214.3956</v>
      </c>
      <c r="M2757">
        <v>0.99856819999999902</v>
      </c>
      <c r="N2757">
        <v>0</v>
      </c>
      <c r="O2757">
        <v>-5.1470729999999999E-2</v>
      </c>
      <c r="P2757">
        <v>0.99900080000000002</v>
      </c>
      <c r="Q2757">
        <v>4.3692120000000001E-2</v>
      </c>
      <c r="R2757">
        <v>9.4296729999999995E-3</v>
      </c>
      <c r="S2757">
        <v>3.010284</v>
      </c>
      <c r="T2757">
        <v>-0.18052319999999999</v>
      </c>
      <c r="U2757">
        <v>8.042908E-2</v>
      </c>
      <c r="V2757">
        <v>-6.1183300000000003E-2</v>
      </c>
      <c r="W2757">
        <v>5.7867910000000002E-2</v>
      </c>
      <c r="X2757">
        <v>0.99644759999999999</v>
      </c>
      <c r="Y2757">
        <v>-7.7898709999999996E-2</v>
      </c>
      <c r="Z2757">
        <v>5.4163880000000003E-3</v>
      </c>
      <c r="AA2757">
        <v>0.99694660000000002</v>
      </c>
      <c r="AB2757">
        <v>44</v>
      </c>
      <c r="AC2757">
        <v>18.017599999999899</v>
      </c>
      <c r="AD2757">
        <v>-1.1069568257108</v>
      </c>
      <c r="AE2757">
        <v>0.515199999999993</v>
      </c>
      <c r="AF2757">
        <v>-1.4365764190588399</v>
      </c>
      <c r="AG2757">
        <v>-1.1069568257108</v>
      </c>
      <c r="AH2757">
        <v>17.899683711843501</v>
      </c>
      <c r="AI2757">
        <v>93.527479948000703</v>
      </c>
      <c r="AJ2757">
        <v>94.588557116702304</v>
      </c>
      <c r="AK2757">
        <v>17.991325193154001</v>
      </c>
    </row>
    <row r="2758" spans="1:37" x14ac:dyDescent="0.2">
      <c r="A2758" t="str">
        <f>"20200111153450467"</f>
        <v>20200111153450467</v>
      </c>
      <c r="B2758" t="str">
        <f>"1578728090459284"</f>
        <v>1578728090459284</v>
      </c>
      <c r="C2758" t="s">
        <v>37</v>
      </c>
      <c r="D2758">
        <v>5.1199810000000001</v>
      </c>
      <c r="E2758">
        <v>0.4937204</v>
      </c>
      <c r="F2758" t="s">
        <v>52</v>
      </c>
      <c r="G2758">
        <v>-340.90309999999999</v>
      </c>
      <c r="H2758" s="1">
        <v>-1.0561900000000001E-6</v>
      </c>
      <c r="I2758">
        <v>214.90969999999999</v>
      </c>
      <c r="J2758">
        <v>-358.9024</v>
      </c>
      <c r="K2758">
        <v>1.1069799999999901</v>
      </c>
      <c r="L2758">
        <v>214.3741</v>
      </c>
      <c r="M2758">
        <v>0.99867790000000001</v>
      </c>
      <c r="N2758">
        <v>0</v>
      </c>
      <c r="O2758">
        <v>-4.9293360000000001E-2</v>
      </c>
      <c r="P2758">
        <v>0.99897289999999905</v>
      </c>
      <c r="Q2758">
        <v>4.3911899999999997E-2</v>
      </c>
      <c r="R2758">
        <v>1.1181429999999999E-2</v>
      </c>
      <c r="S2758">
        <v>3.0101009999999899</v>
      </c>
      <c r="T2758">
        <v>-0.18059249999999999</v>
      </c>
      <c r="U2758">
        <v>8.3862300000000001E-2</v>
      </c>
      <c r="V2758">
        <v>-6.076202E-2</v>
      </c>
      <c r="W2758">
        <v>5.8084509999999999E-2</v>
      </c>
      <c r="X2758">
        <v>0.99646080000000004</v>
      </c>
      <c r="Y2758">
        <v>-7.6868389999999995E-2</v>
      </c>
      <c r="Z2758">
        <v>5.2574340000000001E-3</v>
      </c>
      <c r="AA2758">
        <v>0.99702739999999901</v>
      </c>
      <c r="AB2758">
        <v>44</v>
      </c>
      <c r="AC2758">
        <v>17.999300000000002</v>
      </c>
      <c r="AD2758">
        <v>-1.10698105618999</v>
      </c>
      <c r="AE2758">
        <v>0.53559999999998797</v>
      </c>
      <c r="AF2758">
        <v>-1.4169343750569701</v>
      </c>
      <c r="AG2758">
        <v>-1.10698105618999</v>
      </c>
      <c r="AH2758">
        <v>17.883427348476001</v>
      </c>
      <c r="AI2758">
        <v>93.531041638912797</v>
      </c>
      <c r="AJ2758">
        <v>94.530178265809496</v>
      </c>
      <c r="AK2758">
        <v>17.973594070474601</v>
      </c>
    </row>
    <row r="2759" spans="1:37" x14ac:dyDescent="0.2">
      <c r="A2759" t="str">
        <f>"20200111153450489"</f>
        <v>20200111153450489</v>
      </c>
      <c r="B2759" t="str">
        <f>"1578728090478804"</f>
        <v>1578728090478804</v>
      </c>
      <c r="C2759" t="s">
        <v>37</v>
      </c>
      <c r="D2759">
        <v>5.0835749999999997</v>
      </c>
      <c r="E2759">
        <v>0.4937144</v>
      </c>
      <c r="F2759" t="s">
        <v>52</v>
      </c>
      <c r="G2759">
        <v>-340.36489999999998</v>
      </c>
      <c r="H2759" s="1">
        <v>-1.3426179999999999E-6</v>
      </c>
      <c r="I2759">
        <v>214.923</v>
      </c>
      <c r="J2759">
        <v>-358.45679999999999</v>
      </c>
      <c r="K2759">
        <v>1.106997</v>
      </c>
      <c r="L2759">
        <v>214.35380000000001</v>
      </c>
      <c r="M2759">
        <v>0.99878180000000005</v>
      </c>
      <c r="N2759">
        <v>0</v>
      </c>
      <c r="O2759">
        <v>-4.7142259999999998E-2</v>
      </c>
      <c r="P2759">
        <v>0.99895270000000003</v>
      </c>
      <c r="Q2759">
        <v>4.3844460000000002E-2</v>
      </c>
      <c r="R2759">
        <v>1.3077119999999999E-2</v>
      </c>
      <c r="S2759">
        <v>3.0099490000000002</v>
      </c>
      <c r="T2759">
        <v>-0.17974100000000001</v>
      </c>
      <c r="U2759">
        <v>8.9126590000000006E-2</v>
      </c>
      <c r="V2759">
        <v>-6.0508529999999998E-2</v>
      </c>
      <c r="W2759">
        <v>5.8014049999999998E-2</v>
      </c>
      <c r="X2759">
        <v>0.99648029999999999</v>
      </c>
      <c r="Y2759">
        <v>-7.6471339999999999E-2</v>
      </c>
      <c r="Z2759">
        <v>5.0927530000000002E-3</v>
      </c>
      <c r="AA2759">
        <v>0.99705869999999996</v>
      </c>
      <c r="AB2759">
        <v>44</v>
      </c>
      <c r="AC2759">
        <v>18.091899999999999</v>
      </c>
      <c r="AD2759">
        <v>-1.1069983426179999</v>
      </c>
      <c r="AE2759">
        <v>0.56919999999999504</v>
      </c>
      <c r="AF2759">
        <v>-1.4162536334499201</v>
      </c>
      <c r="AG2759">
        <v>-1.1069983426179999</v>
      </c>
      <c r="AH2759">
        <v>17.977704281926702</v>
      </c>
      <c r="AI2759">
        <v>93.512750415085193</v>
      </c>
      <c r="AJ2759">
        <v>94.504363490729503</v>
      </c>
      <c r="AK2759">
        <v>18.067348198704298</v>
      </c>
    </row>
    <row r="2760" spans="1:37" x14ac:dyDescent="0.2">
      <c r="A2760" t="str">
        <f>"20200111153450511"</f>
        <v>20200111153450511</v>
      </c>
      <c r="B2760" t="str">
        <f>"1578728090509063"</f>
        <v>1578728090509063</v>
      </c>
      <c r="C2760" t="s">
        <v>37</v>
      </c>
      <c r="D2760">
        <v>5.0349219999999999</v>
      </c>
      <c r="E2760">
        <v>0.49370909999999901</v>
      </c>
      <c r="F2760" t="s">
        <v>52</v>
      </c>
      <c r="G2760">
        <v>-339.93209999999999</v>
      </c>
      <c r="H2760" s="1">
        <v>3.7345099999999998E-6</v>
      </c>
      <c r="I2760">
        <v>214.93790000000001</v>
      </c>
      <c r="J2760">
        <v>-358.01069999999999</v>
      </c>
      <c r="K2760">
        <v>1.1070089999999999</v>
      </c>
      <c r="L2760">
        <v>214.33449999999999</v>
      </c>
      <c r="M2760">
        <v>0.99888129999999997</v>
      </c>
      <c r="N2760">
        <v>0</v>
      </c>
      <c r="O2760">
        <v>-4.4987979999999997E-2</v>
      </c>
      <c r="P2760">
        <v>0.99895909999999999</v>
      </c>
      <c r="Q2760">
        <v>4.3092619999999998E-2</v>
      </c>
      <c r="R2760">
        <v>1.495671E-2</v>
      </c>
      <c r="S2760">
        <v>3.009827</v>
      </c>
      <c r="T2760">
        <v>-0.17986050000000001</v>
      </c>
      <c r="U2760">
        <v>9.4909670000000002E-2</v>
      </c>
      <c r="V2760">
        <v>-6.0232719999999997E-2</v>
      </c>
      <c r="W2760">
        <v>5.7259999999999998E-2</v>
      </c>
      <c r="X2760">
        <v>0.99654069999999995</v>
      </c>
      <c r="Y2760">
        <v>-7.6240000000000002E-2</v>
      </c>
      <c r="Z2760">
        <v>4.9607710000000001E-3</v>
      </c>
      <c r="AA2760">
        <v>0.997077199999999</v>
      </c>
      <c r="AB2760">
        <v>44</v>
      </c>
      <c r="AC2760">
        <v>18.078599999999899</v>
      </c>
      <c r="AD2760">
        <v>-1.10700526549</v>
      </c>
      <c r="AE2760">
        <v>0.60340000000002103</v>
      </c>
      <c r="AF2760">
        <v>-1.41091067986879</v>
      </c>
      <c r="AG2760">
        <v>-1.10700526549</v>
      </c>
      <c r="AH2760">
        <v>17.965855948462401</v>
      </c>
      <c r="AI2760">
        <v>93.515150439687304</v>
      </c>
      <c r="AJ2760">
        <v>94.490387211960595</v>
      </c>
      <c r="AK2760">
        <v>18.055140807130002</v>
      </c>
    </row>
    <row r="2761" spans="1:37" x14ac:dyDescent="0.2">
      <c r="A2761" t="str">
        <f>"20200111153450533"</f>
        <v>20200111153450533</v>
      </c>
      <c r="B2761" t="str">
        <f>"1578728090528580"</f>
        <v>1578728090528580</v>
      </c>
      <c r="C2761" t="s">
        <v>37</v>
      </c>
      <c r="D2761">
        <v>5.045757</v>
      </c>
      <c r="E2761">
        <v>0.49371029999999999</v>
      </c>
      <c r="F2761" t="s">
        <v>52</v>
      </c>
      <c r="G2761">
        <v>-339.69889999999998</v>
      </c>
      <c r="H2761" s="1">
        <v>3.6100119999999899E-6</v>
      </c>
      <c r="I2761">
        <v>214.9478</v>
      </c>
      <c r="J2761">
        <v>-357.58980000000003</v>
      </c>
      <c r="K2761">
        <v>1.107016</v>
      </c>
      <c r="L2761">
        <v>214.31700000000001</v>
      </c>
      <c r="M2761">
        <v>0.99897089999999999</v>
      </c>
      <c r="N2761">
        <v>0</v>
      </c>
      <c r="O2761">
        <v>-4.2954010000000001E-2</v>
      </c>
      <c r="P2761">
        <v>0.99895069999999997</v>
      </c>
      <c r="Q2761">
        <v>4.2713939999999999E-2</v>
      </c>
      <c r="R2761">
        <v>1.653104E-2</v>
      </c>
      <c r="S2761">
        <v>3.0094599999999998</v>
      </c>
      <c r="T2761">
        <v>-0.18193190000000001</v>
      </c>
      <c r="U2761">
        <v>0.1007996</v>
      </c>
      <c r="V2761">
        <v>-5.9773560000000003E-2</v>
      </c>
      <c r="W2761">
        <v>5.688153E-2</v>
      </c>
      <c r="X2761">
        <v>0.99658999999999998</v>
      </c>
      <c r="Y2761">
        <v>-7.6161789999999993E-2</v>
      </c>
      <c r="Z2761">
        <v>4.8931340000000004E-3</v>
      </c>
      <c r="AA2761">
        <v>0.99708349999999901</v>
      </c>
      <c r="AB2761">
        <v>44</v>
      </c>
      <c r="AC2761">
        <v>17.890899999999998</v>
      </c>
      <c r="AD2761">
        <v>-1.107012389988</v>
      </c>
      <c r="AE2761">
        <v>0.63079999999999303</v>
      </c>
      <c r="AF2761">
        <v>-1.39345671429208</v>
      </c>
      <c r="AG2761">
        <v>-1.107012389988</v>
      </c>
      <c r="AH2761">
        <v>17.7793004293917</v>
      </c>
      <c r="AI2761">
        <v>93.552006801584596</v>
      </c>
      <c r="AJ2761">
        <v>94.481408783467501</v>
      </c>
      <c r="AK2761">
        <v>17.868148247783299</v>
      </c>
    </row>
    <row r="2762" spans="1:37" x14ac:dyDescent="0.2">
      <c r="A2762" t="str">
        <f>"20200111153450556"</f>
        <v>20200111153450556</v>
      </c>
      <c r="B2762" t="str">
        <f>"1578728090549076"</f>
        <v>1578728090549076</v>
      </c>
      <c r="C2762" t="s">
        <v>37</v>
      </c>
      <c r="D2762">
        <v>5.0194960000000002</v>
      </c>
      <c r="E2762">
        <v>0.49369289999999999</v>
      </c>
      <c r="F2762" t="s">
        <v>52</v>
      </c>
      <c r="G2762">
        <v>-339.39879999999999</v>
      </c>
      <c r="H2762" s="1">
        <v>3.4499519999999999E-6</v>
      </c>
      <c r="I2762">
        <v>214.95590000000001</v>
      </c>
      <c r="J2762">
        <v>-357.12909999999999</v>
      </c>
      <c r="K2762">
        <v>1.10702099999999</v>
      </c>
      <c r="L2762">
        <v>214.29900000000001</v>
      </c>
      <c r="M2762">
        <v>0.99906410000000001</v>
      </c>
      <c r="N2762">
        <v>0</v>
      </c>
      <c r="O2762">
        <v>-4.0726470000000001E-2</v>
      </c>
      <c r="P2762">
        <v>0.99893430000000005</v>
      </c>
      <c r="Q2762">
        <v>4.236003E-2</v>
      </c>
      <c r="R2762">
        <v>1.8326789999999999E-2</v>
      </c>
      <c r="S2762">
        <v>3.009277</v>
      </c>
      <c r="T2762">
        <v>-0.18312979999999901</v>
      </c>
      <c r="U2762">
        <v>0.105682399999999</v>
      </c>
      <c r="V2762">
        <v>-5.9342300000000001E-2</v>
      </c>
      <c r="W2762">
        <v>5.6526859999999998E-2</v>
      </c>
      <c r="X2762">
        <v>0.99663599999999997</v>
      </c>
      <c r="Y2762">
        <v>-7.5558890000000004E-2</v>
      </c>
      <c r="Z2762">
        <v>4.7717910000000001E-3</v>
      </c>
      <c r="AA2762">
        <v>0.99712990000000001</v>
      </c>
      <c r="AB2762">
        <v>44</v>
      </c>
      <c r="AC2762">
        <v>17.7303</v>
      </c>
      <c r="AD2762">
        <v>-1.10701755004799</v>
      </c>
      <c r="AE2762">
        <v>0.65690000000000703</v>
      </c>
      <c r="AF2762">
        <v>-1.3731783191199201</v>
      </c>
      <c r="AG2762">
        <v>-1.10701755004799</v>
      </c>
      <c r="AH2762">
        <v>17.620235518444701</v>
      </c>
      <c r="AI2762">
        <v>93.5841287490762</v>
      </c>
      <c r="AJ2762">
        <v>94.456161833988602</v>
      </c>
      <c r="AK2762">
        <v>17.7082976674122</v>
      </c>
    </row>
    <row r="2763" spans="1:37" x14ac:dyDescent="0.2">
      <c r="A2763" t="str">
        <f>"20200111153450578"</f>
        <v>20200111153450578</v>
      </c>
      <c r="B2763" t="str">
        <f>"1578728090568596"</f>
        <v>1578728090568596</v>
      </c>
      <c r="C2763" t="s">
        <v>37</v>
      </c>
      <c r="D2763">
        <v>5.0290669999999897</v>
      </c>
      <c r="E2763">
        <v>0.49369160000000001</v>
      </c>
      <c r="F2763" t="s">
        <v>52</v>
      </c>
      <c r="G2763">
        <v>-339.07400000000001</v>
      </c>
      <c r="H2763" s="1">
        <v>3.2765849999999999E-6</v>
      </c>
      <c r="I2763">
        <v>214.96719999999999</v>
      </c>
      <c r="J2763">
        <v>-356.69839999999999</v>
      </c>
      <c r="K2763">
        <v>1.1070180000000001</v>
      </c>
      <c r="L2763">
        <v>214.28309999999999</v>
      </c>
      <c r="M2763">
        <v>0.99914699999999901</v>
      </c>
      <c r="N2763">
        <v>0</v>
      </c>
      <c r="O2763">
        <v>-3.8643070000000002E-2</v>
      </c>
      <c r="P2763">
        <v>0.99894139999999998</v>
      </c>
      <c r="Q2763">
        <v>4.1528299999999997E-2</v>
      </c>
      <c r="R2763">
        <v>1.979092E-2</v>
      </c>
      <c r="S2763">
        <v>3.0089419999999998</v>
      </c>
      <c r="T2763">
        <v>-0.1844875</v>
      </c>
      <c r="U2763">
        <v>0.1113586</v>
      </c>
      <c r="V2763">
        <v>-5.8721519999999999E-2</v>
      </c>
      <c r="W2763">
        <v>5.569752E-2</v>
      </c>
      <c r="X2763">
        <v>0.99671939999999903</v>
      </c>
      <c r="Y2763">
        <v>-7.5363180000000002E-2</v>
      </c>
      <c r="Z2763">
        <v>4.673946E-3</v>
      </c>
      <c r="AA2763">
        <v>0.99714519999999995</v>
      </c>
      <c r="AB2763">
        <v>44</v>
      </c>
      <c r="AC2763">
        <v>17.624399999999898</v>
      </c>
      <c r="AD2763">
        <v>-1.1070147234150001</v>
      </c>
      <c r="AE2763">
        <v>0.68410000000000004</v>
      </c>
      <c r="AF2763">
        <v>-1.3593670250315899</v>
      </c>
      <c r="AG2763">
        <v>-1.1070147234150001</v>
      </c>
      <c r="AH2763">
        <v>17.5157938261768</v>
      </c>
      <c r="AI2763">
        <v>93.6055245153605</v>
      </c>
      <c r="AJ2763">
        <v>94.437719884690395</v>
      </c>
      <c r="AK2763">
        <v>17.603306327725299</v>
      </c>
    </row>
    <row r="2764" spans="1:37" x14ac:dyDescent="0.2">
      <c r="A2764" t="str">
        <f>"20200111153450600"</f>
        <v>20200111153450600</v>
      </c>
      <c r="B2764" t="str">
        <f>"1578728090589092"</f>
        <v>1578728090589092</v>
      </c>
      <c r="C2764" t="s">
        <v>37</v>
      </c>
      <c r="D2764">
        <v>5.0359610000000004</v>
      </c>
      <c r="E2764">
        <v>0.49368459999999997</v>
      </c>
      <c r="F2764" t="s">
        <v>52</v>
      </c>
      <c r="G2764">
        <v>-338.90159999999997</v>
      </c>
      <c r="H2764" s="1">
        <v>3.1847670000000001E-6</v>
      </c>
      <c r="I2764">
        <v>214.9692</v>
      </c>
      <c r="J2764">
        <v>-356.26650000000001</v>
      </c>
      <c r="K2764">
        <v>1.1070139999999999</v>
      </c>
      <c r="L2764">
        <v>214.268</v>
      </c>
      <c r="M2764">
        <v>0.99922559999999905</v>
      </c>
      <c r="N2764">
        <v>0</v>
      </c>
      <c r="O2764">
        <v>-3.6554830000000003E-2</v>
      </c>
      <c r="P2764">
        <v>0.99894380000000005</v>
      </c>
      <c r="Q2764">
        <v>4.0631149999999998E-2</v>
      </c>
      <c r="R2764">
        <v>2.1462789999999999E-2</v>
      </c>
      <c r="S2764">
        <v>3.008667</v>
      </c>
      <c r="T2764">
        <v>-0.1871485</v>
      </c>
      <c r="U2764">
        <v>0.1159973</v>
      </c>
      <c r="V2764">
        <v>-5.8302369999999999E-2</v>
      </c>
      <c r="W2764">
        <v>5.4801000000000002E-2</v>
      </c>
      <c r="X2764">
        <v>0.9967937</v>
      </c>
      <c r="Y2764">
        <v>-7.4816579999999994E-2</v>
      </c>
      <c r="Z2764">
        <v>4.5948530000000003E-3</v>
      </c>
      <c r="AA2764">
        <v>0.99718669999999998</v>
      </c>
      <c r="AB2764">
        <v>44</v>
      </c>
      <c r="AC2764">
        <v>17.364899999999999</v>
      </c>
      <c r="AD2764">
        <v>-1.107010815233</v>
      </c>
      <c r="AE2764">
        <v>0.70120000000000005</v>
      </c>
      <c r="AF2764">
        <v>-1.3301724108772</v>
      </c>
      <c r="AG2764">
        <v>-1.107010815233</v>
      </c>
      <c r="AH2764">
        <v>17.257634990249599</v>
      </c>
      <c r="AI2764">
        <v>93.659450506511604</v>
      </c>
      <c r="AJ2764">
        <v>94.407491259292499</v>
      </c>
      <c r="AK2764">
        <v>17.3441862606577</v>
      </c>
    </row>
    <row r="2765" spans="1:37" x14ac:dyDescent="0.2">
      <c r="A2765" t="str">
        <f>"20200111153450622"</f>
        <v>20200111153450622</v>
      </c>
      <c r="B2765" t="str">
        <f>"1578728090618373"</f>
        <v>1578728090618373</v>
      </c>
      <c r="C2765" t="s">
        <v>37</v>
      </c>
      <c r="D2765">
        <v>5.0138319999999998</v>
      </c>
      <c r="E2765">
        <v>0.493722099999999</v>
      </c>
      <c r="F2765" t="s">
        <v>52</v>
      </c>
      <c r="G2765">
        <v>-338.74380000000002</v>
      </c>
      <c r="H2765" s="1">
        <v>3.1006969999999999E-6</v>
      </c>
      <c r="I2765">
        <v>214.97110000000001</v>
      </c>
      <c r="J2765">
        <v>-355.846</v>
      </c>
      <c r="K2765">
        <v>1.107008</v>
      </c>
      <c r="L2765">
        <v>214.2542</v>
      </c>
      <c r="M2765">
        <v>0.99929780000000001</v>
      </c>
      <c r="N2765">
        <v>0</v>
      </c>
      <c r="O2765">
        <v>-3.4526090000000002E-2</v>
      </c>
      <c r="P2765">
        <v>0.99894590000000005</v>
      </c>
      <c r="Q2765">
        <v>3.9830650000000002E-2</v>
      </c>
      <c r="R2765">
        <v>2.281818E-2</v>
      </c>
      <c r="S2765">
        <v>3.0083009999999999</v>
      </c>
      <c r="T2765">
        <v>-0.19005169999999999</v>
      </c>
      <c r="U2765">
        <v>0.12071229999999999</v>
      </c>
      <c r="V2765">
        <v>-5.7626599999999903E-2</v>
      </c>
      <c r="W2765">
        <v>5.400348E-2</v>
      </c>
      <c r="X2765">
        <v>0.99687649999999906</v>
      </c>
      <c r="Y2765">
        <v>-7.4355439999999995E-2</v>
      </c>
      <c r="Z2765">
        <v>4.5238989999999996E-3</v>
      </c>
      <c r="AA2765">
        <v>0.99722149999999998</v>
      </c>
      <c r="AB2765">
        <v>44</v>
      </c>
      <c r="AC2765">
        <v>17.1021999999999</v>
      </c>
      <c r="AD2765">
        <v>-1.1070048993029999</v>
      </c>
      <c r="AE2765">
        <v>0.71690000000000897</v>
      </c>
      <c r="AF2765">
        <v>-1.3015633974763401</v>
      </c>
      <c r="AG2765">
        <v>-1.1070048993029999</v>
      </c>
      <c r="AH2765">
        <v>16.996161170020699</v>
      </c>
      <c r="AI2765">
        <v>93.715713012675195</v>
      </c>
      <c r="AJ2765">
        <v>94.379154814623504</v>
      </c>
      <c r="AK2765">
        <v>17.0818330878758</v>
      </c>
    </row>
    <row r="2766" spans="1:37" x14ac:dyDescent="0.2">
      <c r="A2766" t="str">
        <f>"20200111153450643"</f>
        <v>20200111153450643</v>
      </c>
      <c r="B2766" t="str">
        <f>"1578728090638868"</f>
        <v>1578728090638868</v>
      </c>
      <c r="C2766" t="s">
        <v>37</v>
      </c>
      <c r="D2766">
        <v>5.0594529999999898</v>
      </c>
      <c r="E2766">
        <v>0.49374089999999998</v>
      </c>
      <c r="F2766" t="s">
        <v>52</v>
      </c>
      <c r="G2766">
        <v>-338.4957</v>
      </c>
      <c r="H2766" s="1">
        <v>2.9686100000000001E-6</v>
      </c>
      <c r="I2766">
        <v>214.97319999999999</v>
      </c>
      <c r="J2766">
        <v>-355.41559999999998</v>
      </c>
      <c r="K2766">
        <v>1.106992</v>
      </c>
      <c r="L2766">
        <v>214.24109999999999</v>
      </c>
      <c r="M2766">
        <v>0.99936719999999901</v>
      </c>
      <c r="N2766">
        <v>0</v>
      </c>
      <c r="O2766">
        <v>-3.24546E-2</v>
      </c>
      <c r="P2766">
        <v>0.9989384</v>
      </c>
      <c r="Q2766">
        <v>3.9604790000000001E-2</v>
      </c>
      <c r="R2766">
        <v>2.3531989999999999E-2</v>
      </c>
      <c r="S2766">
        <v>3.0079349999999998</v>
      </c>
      <c r="T2766">
        <v>-0.19191629999999901</v>
      </c>
      <c r="U2766">
        <v>0.124649</v>
      </c>
      <c r="V2766">
        <v>-5.6270100000000003E-2</v>
      </c>
      <c r="W2766">
        <v>5.3785409999999999E-2</v>
      </c>
      <c r="X2766">
        <v>0.99696580000000001</v>
      </c>
      <c r="Y2766">
        <v>-7.3597599999999999E-2</v>
      </c>
      <c r="Z2766">
        <v>4.4125179999999998E-3</v>
      </c>
      <c r="AA2766">
        <v>0.99727829999999995</v>
      </c>
      <c r="AB2766">
        <v>44</v>
      </c>
      <c r="AC2766">
        <v>16.919899999999899</v>
      </c>
      <c r="AD2766">
        <v>-1.1069890313899999</v>
      </c>
      <c r="AE2766">
        <v>0.73210000000000197</v>
      </c>
      <c r="AF2766">
        <v>-1.2754517057605399</v>
      </c>
      <c r="AG2766">
        <v>-1.1069890313899999</v>
      </c>
      <c r="AH2766">
        <v>16.8153792016628</v>
      </c>
      <c r="AI2766">
        <v>93.755700227957803</v>
      </c>
      <c r="AJ2766">
        <v>94.337596841051706</v>
      </c>
      <c r="AK2766">
        <v>16.8999757238009</v>
      </c>
    </row>
    <row r="2767" spans="1:37" x14ac:dyDescent="0.2">
      <c r="A2767" t="str">
        <f>"20200111153450667"</f>
        <v>20200111153450667</v>
      </c>
      <c r="B2767" t="str">
        <f>"1578728090659364"</f>
        <v>1578728090659364</v>
      </c>
      <c r="C2767" t="s">
        <v>37</v>
      </c>
      <c r="D2767">
        <v>5.0372680000000001</v>
      </c>
      <c r="E2767">
        <v>0.49375920000000001</v>
      </c>
      <c r="F2767" t="s">
        <v>52</v>
      </c>
      <c r="G2767">
        <v>-338.1019</v>
      </c>
      <c r="H2767" s="1">
        <v>2.759155E-6</v>
      </c>
      <c r="I2767">
        <v>214.97099999999901</v>
      </c>
      <c r="J2767">
        <v>-354.95650000000001</v>
      </c>
      <c r="K2767">
        <v>1.106978</v>
      </c>
      <c r="L2767">
        <v>214.22790000000001</v>
      </c>
      <c r="M2767">
        <v>0.99943630000000006</v>
      </c>
      <c r="N2767">
        <v>0</v>
      </c>
      <c r="O2767">
        <v>-3.0255239999999999E-2</v>
      </c>
      <c r="P2767">
        <v>0.9989384</v>
      </c>
      <c r="Q2767">
        <v>3.8987229999999998E-2</v>
      </c>
      <c r="R2767">
        <v>2.4530880000000001E-2</v>
      </c>
      <c r="S2767">
        <v>3.0078130000000001</v>
      </c>
      <c r="T2767">
        <v>-0.1923116</v>
      </c>
      <c r="U2767">
        <v>0.12681580000000001</v>
      </c>
      <c r="V2767">
        <v>-5.5067690000000002E-2</v>
      </c>
      <c r="W2767">
        <v>5.3174979999999997E-2</v>
      </c>
      <c r="X2767">
        <v>0.99706569999999894</v>
      </c>
      <c r="Y2767">
        <v>-7.212826E-2</v>
      </c>
      <c r="Z2767">
        <v>4.2343759999999998E-3</v>
      </c>
      <c r="AA2767">
        <v>0.99738640000000001</v>
      </c>
      <c r="AB2767">
        <v>44</v>
      </c>
      <c r="AC2767">
        <v>16.854600000000001</v>
      </c>
      <c r="AD2767">
        <v>-1.106975240845</v>
      </c>
      <c r="AE2767">
        <v>0.74309999999996901</v>
      </c>
      <c r="AF2767">
        <v>-1.2473834328507301</v>
      </c>
      <c r="AG2767">
        <v>-1.106975240845</v>
      </c>
      <c r="AH2767">
        <v>16.752275110902701</v>
      </c>
      <c r="AI2767">
        <v>93.770150443173506</v>
      </c>
      <c r="AJ2767">
        <v>94.258416141605196</v>
      </c>
      <c r="AK2767">
        <v>16.8350848231829</v>
      </c>
    </row>
    <row r="2768" spans="1:37" x14ac:dyDescent="0.2">
      <c r="A2768" t="str">
        <f>"20200111153450689"</f>
        <v>20200111153450689</v>
      </c>
      <c r="B2768" t="str">
        <f>"1578728090678887"</f>
        <v>1578728090678887</v>
      </c>
      <c r="C2768" t="s">
        <v>37</v>
      </c>
      <c r="D2768">
        <v>5.0609039999999998</v>
      </c>
      <c r="E2768">
        <v>0.49376429999999999</v>
      </c>
      <c r="F2768" t="s">
        <v>52</v>
      </c>
      <c r="G2768">
        <v>-337.78179999999998</v>
      </c>
      <c r="H2768" s="1">
        <v>2.5888169999999999E-6</v>
      </c>
      <c r="I2768">
        <v>214.97059999999999</v>
      </c>
      <c r="J2768">
        <v>-354.52569999999997</v>
      </c>
      <c r="K2768">
        <v>1.1069599999999999</v>
      </c>
      <c r="L2768">
        <v>214.2165</v>
      </c>
      <c r="M2768">
        <v>0.999496099999999</v>
      </c>
      <c r="N2768">
        <v>0</v>
      </c>
      <c r="O2768">
        <v>-2.8210780000000001E-2</v>
      </c>
      <c r="P2768">
        <v>0.99894369999999999</v>
      </c>
      <c r="Q2768">
        <v>3.7817249999999997E-2</v>
      </c>
      <c r="R2768">
        <v>2.6103089999999999E-2</v>
      </c>
      <c r="S2768">
        <v>3.0075989999999999</v>
      </c>
      <c r="T2768">
        <v>-0.19385160000000001</v>
      </c>
      <c r="U2768">
        <v>0.13005069999999999</v>
      </c>
      <c r="V2768">
        <v>-5.4589899999999997E-2</v>
      </c>
      <c r="W2768">
        <v>5.2008350000000002E-2</v>
      </c>
      <c r="X2768">
        <v>0.99715350000000003</v>
      </c>
      <c r="Y2768">
        <v>-7.1164679999999994E-2</v>
      </c>
      <c r="Z2768">
        <v>4.105834E-3</v>
      </c>
      <c r="AA2768">
        <v>0.99745609999999996</v>
      </c>
      <c r="AB2768">
        <v>44</v>
      </c>
      <c r="AC2768">
        <v>16.743899999999901</v>
      </c>
      <c r="AD2768">
        <v>-1.1069574111829901</v>
      </c>
      <c r="AE2768">
        <v>0.754099999999994</v>
      </c>
      <c r="AF2768">
        <v>-1.22088300594722</v>
      </c>
      <c r="AG2768">
        <v>-1.1069574111829901</v>
      </c>
      <c r="AH2768">
        <v>16.6433629684545</v>
      </c>
      <c r="AI2768">
        <v>93.794996387283206</v>
      </c>
      <c r="AJ2768">
        <v>94.195448767033199</v>
      </c>
      <c r="AK2768">
        <v>16.724755332264401</v>
      </c>
    </row>
    <row r="2769" spans="1:37" x14ac:dyDescent="0.2">
      <c r="A2769" t="str">
        <f>"20200111153450711"</f>
        <v>20200111153450711</v>
      </c>
      <c r="B2769" t="str">
        <f>"1578728090709141"</f>
        <v>1578728090709141</v>
      </c>
      <c r="C2769" t="s">
        <v>37</v>
      </c>
      <c r="D2769">
        <v>5.0636330000000003</v>
      </c>
      <c r="E2769">
        <v>0.49377569999999998</v>
      </c>
      <c r="F2769" t="s">
        <v>52</v>
      </c>
      <c r="G2769">
        <v>-337.661</v>
      </c>
      <c r="H2769" s="1">
        <v>2.524625E-6</v>
      </c>
      <c r="I2769">
        <v>214.96879999999999</v>
      </c>
      <c r="J2769">
        <v>-354.10719999999998</v>
      </c>
      <c r="K2769">
        <v>1.1069370000000001</v>
      </c>
      <c r="L2769">
        <v>214.2063</v>
      </c>
      <c r="M2769">
        <v>0.99954940000000003</v>
      </c>
      <c r="N2769">
        <v>0</v>
      </c>
      <c r="O2769">
        <v>-2.6256290000000002E-2</v>
      </c>
      <c r="P2769">
        <v>0.99892409999999998</v>
      </c>
      <c r="Q2769">
        <v>3.7254229999999999E-2</v>
      </c>
      <c r="R2769">
        <v>2.761916E-2</v>
      </c>
      <c r="S2769">
        <v>3.0071409999999998</v>
      </c>
      <c r="T2769">
        <v>-0.1973819</v>
      </c>
      <c r="U2769">
        <v>0.13414000000000001</v>
      </c>
      <c r="V2769">
        <v>-5.4146890000000003E-2</v>
      </c>
      <c r="W2769">
        <v>5.1448809999999998E-2</v>
      </c>
      <c r="X2769">
        <v>0.997206699999999</v>
      </c>
      <c r="Y2769">
        <v>-7.0572449999999995E-2</v>
      </c>
      <c r="Z2769">
        <v>4.0334539999999997E-3</v>
      </c>
      <c r="AA2769">
        <v>0.99749849999999995</v>
      </c>
      <c r="AB2769">
        <v>44</v>
      </c>
      <c r="AC2769">
        <v>16.446199999999902</v>
      </c>
      <c r="AD2769">
        <v>-1.1069344753749999</v>
      </c>
      <c r="AE2769">
        <v>0.76249999999998797</v>
      </c>
      <c r="AF2769">
        <v>-1.1887254039516499</v>
      </c>
      <c r="AG2769">
        <v>-1.1069344753749999</v>
      </c>
      <c r="AH2769">
        <v>16.346612550182801</v>
      </c>
      <c r="AI2769">
        <v>93.863780599249196</v>
      </c>
      <c r="AJ2769">
        <v>94.159226880381993</v>
      </c>
      <c r="AK2769">
        <v>16.4271152027545</v>
      </c>
    </row>
    <row r="2770" spans="1:37" x14ac:dyDescent="0.2">
      <c r="A2770" t="str">
        <f>"20200111153450746"</f>
        <v>20200111153450746</v>
      </c>
      <c r="B2770" t="str">
        <f>"1578728090738420"</f>
        <v>1578728090738420</v>
      </c>
      <c r="C2770" t="s">
        <v>37</v>
      </c>
      <c r="D2770">
        <v>5.0908709999999999</v>
      </c>
      <c r="E2770">
        <v>0.49375950000000002</v>
      </c>
      <c r="F2770" t="s">
        <v>52</v>
      </c>
      <c r="G2770">
        <v>-337.38760000000002</v>
      </c>
      <c r="H2770" s="1">
        <v>2.378779E-6</v>
      </c>
      <c r="I2770">
        <v>214.9761</v>
      </c>
      <c r="J2770">
        <v>-353.43299999999999</v>
      </c>
      <c r="K2770">
        <v>1.1068849999999999</v>
      </c>
      <c r="L2770">
        <v>214.19139999999999</v>
      </c>
      <c r="M2770">
        <v>0.99962489999999904</v>
      </c>
      <c r="N2770">
        <v>0</v>
      </c>
      <c r="O2770">
        <v>-2.3212E-2</v>
      </c>
      <c r="P2770">
        <v>0.998789699999999</v>
      </c>
      <c r="Q2770">
        <v>3.8006459999999999E-2</v>
      </c>
      <c r="R2770">
        <v>3.1223839999999999E-2</v>
      </c>
      <c r="S2770">
        <v>3.0068359999999998</v>
      </c>
      <c r="T2770">
        <v>-0.1990691</v>
      </c>
      <c r="U2770">
        <v>0.13844300000000001</v>
      </c>
      <c r="V2770">
        <v>-5.4704900000000001E-2</v>
      </c>
      <c r="W2770">
        <v>5.219977E-2</v>
      </c>
      <c r="X2770">
        <v>0.99713719999999995</v>
      </c>
      <c r="Y2770">
        <v>-6.8970080000000003E-2</v>
      </c>
      <c r="Z2770">
        <v>3.8139340000000002E-3</v>
      </c>
      <c r="AA2770">
        <v>0.99761149999999998</v>
      </c>
      <c r="AB2770">
        <v>44</v>
      </c>
      <c r="AC2770">
        <v>16.045400000000001</v>
      </c>
      <c r="AD2770">
        <v>-1.1068826212209999</v>
      </c>
      <c r="AE2770">
        <v>0.78470000000001505</v>
      </c>
      <c r="AF2770">
        <v>-1.1515069285842701</v>
      </c>
      <c r="AG2770">
        <v>-1.1068826212209999</v>
      </c>
      <c r="AH2770">
        <v>15.947150488554801</v>
      </c>
      <c r="AI2770">
        <v>93.960221527187798</v>
      </c>
      <c r="AJ2770">
        <v>94.130028024178202</v>
      </c>
      <c r="AK2770">
        <v>16.026938760984699</v>
      </c>
    </row>
    <row r="2771" spans="1:37" x14ac:dyDescent="0.2">
      <c r="A2771" t="str">
        <f>"20200111153450767"</f>
        <v>20200111153450767</v>
      </c>
      <c r="B2771" t="str">
        <f>"1578728090758917"</f>
        <v>1578728090758917</v>
      </c>
      <c r="C2771" t="s">
        <v>37</v>
      </c>
      <c r="D2771">
        <v>5.0938610000000004</v>
      </c>
      <c r="E2771">
        <v>0.49376149999999902</v>
      </c>
      <c r="F2771" t="s">
        <v>52</v>
      </c>
      <c r="G2771">
        <v>-336.54950000000002</v>
      </c>
      <c r="H2771" s="1">
        <v>1.9305579999999999E-6</v>
      </c>
      <c r="I2771">
        <v>215.02760000000001</v>
      </c>
      <c r="J2771">
        <v>-352.9975</v>
      </c>
      <c r="K2771">
        <v>1.106827</v>
      </c>
      <c r="L2771">
        <v>214.18279999999999</v>
      </c>
      <c r="M2771">
        <v>0.99966659999999996</v>
      </c>
      <c r="N2771">
        <v>0</v>
      </c>
      <c r="O2771">
        <v>-2.133635E-2</v>
      </c>
      <c r="P2771">
        <v>0.99861499999999903</v>
      </c>
      <c r="Q2771">
        <v>3.9133590000000003E-2</v>
      </c>
      <c r="R2771">
        <v>3.5171510000000003E-2</v>
      </c>
      <c r="S2771">
        <v>3.0064700000000002</v>
      </c>
      <c r="T2771">
        <v>-0.197105</v>
      </c>
      <c r="U2771">
        <v>0.1489105</v>
      </c>
      <c r="V2771">
        <v>-5.6773999999999998E-2</v>
      </c>
      <c r="W2771">
        <v>5.3317349999999999E-2</v>
      </c>
      <c r="X2771">
        <v>0.99696240000000003</v>
      </c>
      <c r="Y2771">
        <v>-7.0573720000000006E-2</v>
      </c>
      <c r="Z2771">
        <v>3.7062409999999999E-3</v>
      </c>
      <c r="AA2771">
        <v>0.99749969999999999</v>
      </c>
      <c r="AB2771">
        <v>44</v>
      </c>
      <c r="AC2771">
        <v>16.447999999999901</v>
      </c>
      <c r="AD2771">
        <v>-1.1068250694420001</v>
      </c>
      <c r="AE2771">
        <v>0.84480000000001998</v>
      </c>
      <c r="AF2771">
        <v>-1.19020963438355</v>
      </c>
      <c r="AG2771">
        <v>-1.1068250694420001</v>
      </c>
      <c r="AH2771">
        <v>16.352374984371</v>
      </c>
      <c r="AI2771">
        <v>93.862024413187299</v>
      </c>
      <c r="AJ2771">
        <v>94.162939451148603</v>
      </c>
      <c r="AK2771">
        <v>16.4329494716441</v>
      </c>
    </row>
    <row r="2772" spans="1:37" x14ac:dyDescent="0.2">
      <c r="A2772" t="str">
        <f>"20200111153450789"</f>
        <v>20200111153450789</v>
      </c>
      <c r="B2772" t="str">
        <f>"1578728090778436"</f>
        <v>1578728090778436</v>
      </c>
      <c r="C2772" t="s">
        <v>37</v>
      </c>
      <c r="D2772">
        <v>5.1224589999999903</v>
      </c>
      <c r="E2772">
        <v>0.50733019999999995</v>
      </c>
      <c r="F2772" t="s">
        <v>52</v>
      </c>
      <c r="G2772">
        <v>-335.83690000000001</v>
      </c>
      <c r="H2772" s="1">
        <v>1.5482470000000001E-6</v>
      </c>
      <c r="I2772">
        <v>215.09799999999899</v>
      </c>
      <c r="J2772">
        <v>-352.58080000000001</v>
      </c>
      <c r="K2772">
        <v>1.106768</v>
      </c>
      <c r="L2772">
        <v>214.17529999999999</v>
      </c>
      <c r="M2772">
        <v>0.99970190000000003</v>
      </c>
      <c r="N2772">
        <v>0</v>
      </c>
      <c r="O2772">
        <v>-1.9615520000000001E-2</v>
      </c>
      <c r="P2772">
        <v>0.99845910000000004</v>
      </c>
      <c r="Q2772">
        <v>3.954655E-2</v>
      </c>
      <c r="R2772">
        <v>3.8928400000000002E-2</v>
      </c>
      <c r="S2772">
        <v>3.0061040000000001</v>
      </c>
      <c r="T2772">
        <v>-0.19388729999999901</v>
      </c>
      <c r="U2772">
        <v>0.1603241</v>
      </c>
      <c r="V2772">
        <v>-5.8803469999999997E-2</v>
      </c>
      <c r="W2772">
        <v>5.3722560000000003E-2</v>
      </c>
      <c r="X2772">
        <v>0.99682299999999902</v>
      </c>
      <c r="Y2772">
        <v>-7.2645459999999995E-2</v>
      </c>
      <c r="Z2772">
        <v>3.6018399999999998E-3</v>
      </c>
      <c r="AA2772">
        <v>0.99735130000000005</v>
      </c>
      <c r="AB2772">
        <v>44</v>
      </c>
      <c r="AC2772">
        <v>16.743899999999901</v>
      </c>
      <c r="AD2772">
        <v>-1.106766451753</v>
      </c>
      <c r="AE2772">
        <v>0.92269999999999197</v>
      </c>
      <c r="AF2772">
        <v>-1.2455718138410701</v>
      </c>
      <c r="AG2772">
        <v>-1.106766451753</v>
      </c>
      <c r="AH2772">
        <v>16.650049973641998</v>
      </c>
      <c r="AI2772">
        <v>93.792419266727407</v>
      </c>
      <c r="AJ2772">
        <v>94.278264820019302</v>
      </c>
      <c r="AK2772">
        <v>16.733216823042</v>
      </c>
    </row>
    <row r="2773" spans="1:37" x14ac:dyDescent="0.2">
      <c r="A2773" t="str">
        <f>"20200111153450811"</f>
        <v>20200111153450811</v>
      </c>
      <c r="B2773" t="str">
        <f>"1578728090808693"</f>
        <v>1578728090808693</v>
      </c>
      <c r="C2773" t="s">
        <v>37</v>
      </c>
      <c r="D2773">
        <v>5.0719769999999897</v>
      </c>
      <c r="E2773">
        <v>0.51177680000000003</v>
      </c>
      <c r="F2773" t="s">
        <v>52</v>
      </c>
      <c r="G2773">
        <v>-335.81259999999997</v>
      </c>
      <c r="H2773" s="1">
        <v>1.560033E-6</v>
      </c>
      <c r="I2773">
        <v>214.53270000000001</v>
      </c>
      <c r="J2773">
        <v>-352.15440000000001</v>
      </c>
      <c r="K2773">
        <v>1.106692</v>
      </c>
      <c r="L2773">
        <v>214.16820000000001</v>
      </c>
      <c r="M2773">
        <v>0.99973330000000005</v>
      </c>
      <c r="N2773">
        <v>0</v>
      </c>
      <c r="O2773">
        <v>-1.7955209999999999E-2</v>
      </c>
      <c r="P2773">
        <v>0.99832019999999899</v>
      </c>
      <c r="Q2773">
        <v>3.9714090000000001E-2</v>
      </c>
      <c r="R2773">
        <v>4.2188580000000003E-2</v>
      </c>
      <c r="S2773">
        <v>3.0100099999999999</v>
      </c>
      <c r="T2773">
        <v>-0.1986723</v>
      </c>
      <c r="U2773">
        <v>6.4147949999999995E-2</v>
      </c>
      <c r="V2773">
        <v>-6.0393269999999999E-2</v>
      </c>
      <c r="W2773">
        <v>5.388826E-2</v>
      </c>
      <c r="X2773">
        <v>0.99671889999999996</v>
      </c>
      <c r="Y2773">
        <v>-3.9132119999999999E-2</v>
      </c>
      <c r="Z2773">
        <v>2.473711E-3</v>
      </c>
      <c r="AA2773">
        <v>0.99923099999999998</v>
      </c>
      <c r="AB2773">
        <v>44</v>
      </c>
      <c r="AC2773">
        <v>16.341799999999999</v>
      </c>
      <c r="AD2773">
        <v>-1.1066904399669999</v>
      </c>
      <c r="AE2773">
        <v>0.364499999999992</v>
      </c>
      <c r="AF2773">
        <v>-0.65489066705091903</v>
      </c>
      <c r="AG2773">
        <v>-1.1066904399669999</v>
      </c>
      <c r="AH2773">
        <v>16.2580939389596</v>
      </c>
      <c r="AI2773">
        <v>93.890977923213995</v>
      </c>
      <c r="AJ2773">
        <v>92.306678574914699</v>
      </c>
      <c r="AK2773">
        <v>16.308870716384401</v>
      </c>
    </row>
    <row r="2774" spans="1:37" x14ac:dyDescent="0.2">
      <c r="A2774" t="str">
        <f>"20200111153450836"</f>
        <v>20200111153450836</v>
      </c>
      <c r="B2774" t="str">
        <f>"1578728090829190"</f>
        <v>1578728090829190</v>
      </c>
      <c r="C2774" t="s">
        <v>37</v>
      </c>
      <c r="D2774">
        <v>5.1588129999999897</v>
      </c>
      <c r="E2774">
        <v>0.51244679999999998</v>
      </c>
      <c r="F2774" t="s">
        <v>52</v>
      </c>
      <c r="G2774">
        <v>-332.21719999999999</v>
      </c>
      <c r="H2774" s="1">
        <v>-3.4842549999999999E-7</v>
      </c>
      <c r="I2774">
        <v>214.42189999999999</v>
      </c>
      <c r="J2774">
        <v>-351.68939999999998</v>
      </c>
      <c r="K2774">
        <v>1.106587</v>
      </c>
      <c r="L2774">
        <v>214.16130000000001</v>
      </c>
      <c r="M2774">
        <v>0.99976209999999899</v>
      </c>
      <c r="N2774">
        <v>0</v>
      </c>
      <c r="O2774">
        <v>-1.6273260000000001E-2</v>
      </c>
      <c r="P2774">
        <v>0.99816439999999995</v>
      </c>
      <c r="Q2774">
        <v>4.0367279999999998E-2</v>
      </c>
      <c r="R2774">
        <v>4.5151400000000001E-2</v>
      </c>
      <c r="S2774">
        <v>3.0100709999999999</v>
      </c>
      <c r="T2774">
        <v>-0.16708509999999999</v>
      </c>
      <c r="U2774">
        <v>3.8299560000000003E-2</v>
      </c>
      <c r="V2774">
        <v>-6.1664280000000002E-2</v>
      </c>
      <c r="W2774">
        <v>5.4544849999999999E-2</v>
      </c>
      <c r="X2774">
        <v>0.99660550000000003</v>
      </c>
      <c r="Y2774">
        <v>-2.892519E-2</v>
      </c>
      <c r="Z2774">
        <v>1.7048149999999999E-3</v>
      </c>
      <c r="AA2774">
        <v>0.99958009999999997</v>
      </c>
      <c r="AB2774">
        <v>44</v>
      </c>
      <c r="AC2774">
        <v>19.472199999999901</v>
      </c>
      <c r="AD2774">
        <v>-1.1065873484255</v>
      </c>
      <c r="AE2774">
        <v>0.26059999999998201</v>
      </c>
      <c r="AF2774">
        <v>-0.57561643528454298</v>
      </c>
      <c r="AG2774">
        <v>-1.1065873484255</v>
      </c>
      <c r="AH2774">
        <v>19.4027289547168</v>
      </c>
      <c r="AI2774">
        <v>93.262756638196805</v>
      </c>
      <c r="AJ2774">
        <v>91.699282714370398</v>
      </c>
      <c r="AK2774">
        <v>19.4427817127712</v>
      </c>
    </row>
    <row r="2775" spans="1:37" x14ac:dyDescent="0.2">
      <c r="A2775" t="str">
        <f>"20200111153450857"</f>
        <v>20200111153450857</v>
      </c>
      <c r="B2775" t="str">
        <f>"1578728090848708"</f>
        <v>1578728090848708</v>
      </c>
      <c r="C2775" t="s">
        <v>37</v>
      </c>
      <c r="D2775">
        <v>5.1284089999999898</v>
      </c>
      <c r="E2775">
        <v>0.5127022</v>
      </c>
      <c r="F2775" t="s">
        <v>52</v>
      </c>
      <c r="G2775">
        <v>-331.02260000000001</v>
      </c>
      <c r="H2775" s="1">
        <v>-9.8539369999999993E-7</v>
      </c>
      <c r="I2775">
        <v>214.45079999999999</v>
      </c>
      <c r="J2775">
        <v>-351.24599999999998</v>
      </c>
      <c r="K2775">
        <v>1.106473</v>
      </c>
      <c r="L2775">
        <v>214.15530000000001</v>
      </c>
      <c r="M2775">
        <v>0.99978489999999998</v>
      </c>
      <c r="N2775">
        <v>0</v>
      </c>
      <c r="O2775">
        <v>-1.4801480000000001E-2</v>
      </c>
      <c r="P2775">
        <v>0.99808149999999995</v>
      </c>
      <c r="Q2775">
        <v>4.0219650000000003E-2</v>
      </c>
      <c r="R2775">
        <v>4.7073549999999999E-2</v>
      </c>
      <c r="S2775">
        <v>3.0101009999999899</v>
      </c>
      <c r="T2775">
        <v>-0.16117319999999999</v>
      </c>
      <c r="U2775">
        <v>4.2175289999999997E-2</v>
      </c>
      <c r="V2775">
        <v>-6.2100519999999999E-2</v>
      </c>
      <c r="W2775">
        <v>5.4407249999999997E-2</v>
      </c>
      <c r="X2775">
        <v>0.99658579999999997</v>
      </c>
      <c r="Y2775">
        <v>-2.874755E-2</v>
      </c>
      <c r="Z2775">
        <v>1.5610509999999999E-3</v>
      </c>
      <c r="AA2775">
        <v>0.99958549999999902</v>
      </c>
      <c r="AB2775">
        <v>44</v>
      </c>
      <c r="AC2775">
        <v>20.223399999999899</v>
      </c>
      <c r="AD2775">
        <v>-1.1064739853937</v>
      </c>
      <c r="AE2775">
        <v>0.295499999999975</v>
      </c>
      <c r="AF2775">
        <v>-0.59306054127713503</v>
      </c>
      <c r="AG2775">
        <v>-1.1064739853937</v>
      </c>
      <c r="AH2775">
        <v>20.1564849652354</v>
      </c>
      <c r="AI2775">
        <v>93.140695643516494</v>
      </c>
      <c r="AJ2775">
        <v>91.685316942874906</v>
      </c>
      <c r="AK2775">
        <v>20.195541380209001</v>
      </c>
    </row>
    <row r="2776" spans="1:37" x14ac:dyDescent="0.2">
      <c r="A2776" t="str">
        <f>"20200111153450879"</f>
        <v>20200111153450879</v>
      </c>
      <c r="B2776" t="str">
        <f>"1578728090869207"</f>
        <v>1578728090869207</v>
      </c>
      <c r="C2776" t="s">
        <v>37</v>
      </c>
      <c r="D2776">
        <v>5.1140429999999997</v>
      </c>
      <c r="E2776">
        <v>0.5129534</v>
      </c>
      <c r="F2776" t="s">
        <v>52</v>
      </c>
      <c r="G2776">
        <v>-330.73129999999998</v>
      </c>
      <c r="H2776" s="1">
        <v>-1.1411529999999999E-6</v>
      </c>
      <c r="I2776">
        <v>214.46860000000001</v>
      </c>
      <c r="J2776">
        <v>-350.83519999999999</v>
      </c>
      <c r="K2776">
        <v>1.1063540000000001</v>
      </c>
      <c r="L2776">
        <v>214.15020000000001</v>
      </c>
      <c r="M2776">
        <v>0.99980270000000004</v>
      </c>
      <c r="N2776">
        <v>0</v>
      </c>
      <c r="O2776">
        <v>-1.355308E-2</v>
      </c>
      <c r="P2776">
        <v>0.99806600000000001</v>
      </c>
      <c r="Q2776">
        <v>3.9666449999999999E-2</v>
      </c>
      <c r="R2776">
        <v>4.7861239999999999E-2</v>
      </c>
      <c r="S2776">
        <v>3.010132</v>
      </c>
      <c r="T2776">
        <v>-0.16235369999999999</v>
      </c>
      <c r="U2776">
        <v>4.5974729999999998E-2</v>
      </c>
      <c r="V2776">
        <v>-6.1625199999999998E-2</v>
      </c>
      <c r="W2776">
        <v>5.387016E-2</v>
      </c>
      <c r="X2776">
        <v>0.99664459999999999</v>
      </c>
      <c r="Y2776">
        <v>-2.8761579999999998E-2</v>
      </c>
      <c r="Z2776">
        <v>1.505532E-3</v>
      </c>
      <c r="AA2776">
        <v>0.99958519999999895</v>
      </c>
      <c r="AB2776">
        <v>44</v>
      </c>
      <c r="AC2776">
        <v>20.103899999999999</v>
      </c>
      <c r="AD2776">
        <v>-1.1063551411529999</v>
      </c>
      <c r="AE2776">
        <v>0.31839999999999602</v>
      </c>
      <c r="AF2776">
        <v>-0.58908564556079901</v>
      </c>
      <c r="AG2776">
        <v>-1.1063551411529999</v>
      </c>
      <c r="AH2776">
        <v>20.037070191140302</v>
      </c>
      <c r="AI2776">
        <v>93.159038894890003</v>
      </c>
      <c r="AJ2776">
        <v>91.683998781193296</v>
      </c>
      <c r="AK2776">
        <v>20.076235340343199</v>
      </c>
    </row>
    <row r="2777" spans="1:37" x14ac:dyDescent="0.2">
      <c r="A2777" t="str">
        <f>"20200111153450900"</f>
        <v>20200111153450900</v>
      </c>
      <c r="B2777" t="str">
        <f>"1578728090888724"</f>
        <v>1578728090888724</v>
      </c>
      <c r="C2777" t="s">
        <v>37</v>
      </c>
      <c r="D2777">
        <v>5.2107589999999897</v>
      </c>
      <c r="E2777">
        <v>0.51236130000000002</v>
      </c>
      <c r="F2777" t="s">
        <v>52</v>
      </c>
      <c r="G2777">
        <v>-330.29860000000002</v>
      </c>
      <c r="H2777" s="1">
        <v>-1.371356E-6</v>
      </c>
      <c r="I2777">
        <v>214.46719999999999</v>
      </c>
      <c r="J2777">
        <v>-350.41849999999999</v>
      </c>
      <c r="K2777">
        <v>1.106236</v>
      </c>
      <c r="L2777">
        <v>214.1454</v>
      </c>
      <c r="M2777">
        <v>0.99981779999999998</v>
      </c>
      <c r="N2777">
        <v>0</v>
      </c>
      <c r="O2777">
        <v>-1.2396519999999999E-2</v>
      </c>
      <c r="P2777">
        <v>0.99810270000000001</v>
      </c>
      <c r="Q2777">
        <v>3.8626340000000002E-2</v>
      </c>
      <c r="R2777">
        <v>4.7953580000000003E-2</v>
      </c>
      <c r="S2777">
        <v>3.0100099999999999</v>
      </c>
      <c r="T2777">
        <v>-0.16215679999999999</v>
      </c>
      <c r="U2777">
        <v>4.6463009999999999E-2</v>
      </c>
      <c r="V2777">
        <v>-6.0544939999999998E-2</v>
      </c>
      <c r="W2777">
        <v>5.2848810000000003E-2</v>
      </c>
      <c r="X2777">
        <v>0.99676540000000002</v>
      </c>
      <c r="Y2777">
        <v>-2.7771259999999999E-2</v>
      </c>
      <c r="Z2777">
        <v>1.4148489999999999E-3</v>
      </c>
      <c r="AA2777">
        <v>0.99961329999999904</v>
      </c>
      <c r="AB2777">
        <v>44</v>
      </c>
      <c r="AC2777">
        <v>20.119899999999902</v>
      </c>
      <c r="AD2777">
        <v>-1.1062373713560001</v>
      </c>
      <c r="AE2777">
        <v>0.32179999999999598</v>
      </c>
      <c r="AF2777">
        <v>-0.56949711312766504</v>
      </c>
      <c r="AG2777">
        <v>-1.1062373713560001</v>
      </c>
      <c r="AH2777">
        <v>20.053756085272099</v>
      </c>
      <c r="AI2777">
        <v>93.156171455124294</v>
      </c>
      <c r="AJ2777">
        <v>91.626678484353306</v>
      </c>
      <c r="AK2777">
        <v>20.0923174674111</v>
      </c>
    </row>
    <row r="2778" spans="1:37" x14ac:dyDescent="0.2">
      <c r="A2778" t="str">
        <f>"20200111153450923"</f>
        <v>20200111153450923</v>
      </c>
      <c r="B2778" t="str">
        <f>"1578728090918979"</f>
        <v>1578728090918979</v>
      </c>
      <c r="C2778" t="s">
        <v>37</v>
      </c>
      <c r="D2778">
        <v>5.1470440000000002</v>
      </c>
      <c r="E2778">
        <v>0.51263270000000005</v>
      </c>
      <c r="F2778" t="s">
        <v>52</v>
      </c>
      <c r="G2778">
        <v>-330.74329999999998</v>
      </c>
      <c r="H2778" s="1">
        <v>-1.135392E-6</v>
      </c>
      <c r="I2778">
        <v>214.4821</v>
      </c>
      <c r="J2778">
        <v>-349.976</v>
      </c>
      <c r="K2778">
        <v>1.1061209999999999</v>
      </c>
      <c r="L2778">
        <v>214.14099999999999</v>
      </c>
      <c r="M2778">
        <v>0.99983140000000004</v>
      </c>
      <c r="N2778">
        <v>0</v>
      </c>
      <c r="O2778">
        <v>-1.126214E-2</v>
      </c>
      <c r="P2778">
        <v>0.99816539999999998</v>
      </c>
      <c r="Q2778">
        <v>3.7635660000000001E-2</v>
      </c>
      <c r="R2778">
        <v>4.742917E-2</v>
      </c>
      <c r="S2778">
        <v>3.0097659999999999</v>
      </c>
      <c r="T2778">
        <v>-0.16922319999999999</v>
      </c>
      <c r="U2778">
        <v>5.1498410000000001E-2</v>
      </c>
      <c r="V2778">
        <v>-5.8871010000000001E-2</v>
      </c>
      <c r="W2778">
        <v>5.1878340000000002E-2</v>
      </c>
      <c r="X2778">
        <v>0.99691669999999999</v>
      </c>
      <c r="Y2778">
        <v>-2.8306049999999999E-2</v>
      </c>
      <c r="Z2778">
        <v>1.427801E-3</v>
      </c>
      <c r="AA2778">
        <v>0.99959830000000005</v>
      </c>
      <c r="AB2778">
        <v>43</v>
      </c>
      <c r="AC2778">
        <v>19.232700000000001</v>
      </c>
      <c r="AD2778">
        <v>-1.1061221353919899</v>
      </c>
      <c r="AE2778">
        <v>0.34110000000001101</v>
      </c>
      <c r="AF2778">
        <v>-0.55586445324827205</v>
      </c>
      <c r="AG2778">
        <v>-1.1061221353919899</v>
      </c>
      <c r="AH2778">
        <v>19.1642684364822</v>
      </c>
      <c r="AI2778">
        <v>93.301943937613103</v>
      </c>
      <c r="AJ2778">
        <v>91.661412763048205</v>
      </c>
      <c r="AK2778">
        <v>19.204209855506601</v>
      </c>
    </row>
    <row r="2779" spans="1:37" x14ac:dyDescent="0.2">
      <c r="A2779" t="str">
        <f>"20200111153450947"</f>
        <v>20200111153450947</v>
      </c>
      <c r="B2779" t="str">
        <f>"1578728090938500"</f>
        <v>1578728090938500</v>
      </c>
      <c r="C2779" t="s">
        <v>37</v>
      </c>
      <c r="D2779">
        <v>5.1142649999999996</v>
      </c>
      <c r="E2779">
        <v>0.51285839999999905</v>
      </c>
      <c r="F2779" t="s">
        <v>52</v>
      </c>
      <c r="G2779">
        <v>-330.90050000000002</v>
      </c>
      <c r="H2779" s="1">
        <v>-1.0500539999999999E-6</v>
      </c>
      <c r="I2779">
        <v>214.4442</v>
      </c>
      <c r="J2779">
        <v>-349.51769999999999</v>
      </c>
      <c r="K2779">
        <v>1.106006</v>
      </c>
      <c r="L2779">
        <v>214.13679999999999</v>
      </c>
      <c r="M2779">
        <v>0.99984309999999998</v>
      </c>
      <c r="N2779">
        <v>0</v>
      </c>
      <c r="O2779">
        <v>-1.0166400000000001E-2</v>
      </c>
      <c r="P2779">
        <v>0.9982027</v>
      </c>
      <c r="Q2779">
        <v>3.656264E-2</v>
      </c>
      <c r="R2779">
        <v>4.748604E-2</v>
      </c>
      <c r="S2779">
        <v>3.0098569999999998</v>
      </c>
      <c r="T2779">
        <v>-0.1745312</v>
      </c>
      <c r="U2779">
        <v>4.7851560000000001E-2</v>
      </c>
      <c r="V2779">
        <v>-5.7819280000000001E-2</v>
      </c>
      <c r="W2779">
        <v>5.0821169999999999E-2</v>
      </c>
      <c r="X2779">
        <v>0.99703259999999905</v>
      </c>
      <c r="Y2779">
        <v>-2.6000889999999999E-2</v>
      </c>
      <c r="Z2779">
        <v>1.3422200000000001E-3</v>
      </c>
      <c r="AA2779">
        <v>0.99966100000000002</v>
      </c>
      <c r="AB2779">
        <v>43</v>
      </c>
      <c r="AC2779">
        <v>18.617199999999901</v>
      </c>
      <c r="AD2779">
        <v>-1.106007050054</v>
      </c>
      <c r="AE2779">
        <v>0.30740000000000101</v>
      </c>
      <c r="AF2779">
        <v>-0.49492766273705602</v>
      </c>
      <c r="AG2779">
        <v>-1.106007050054</v>
      </c>
      <c r="AH2779">
        <v>18.547669973975701</v>
      </c>
      <c r="AI2779">
        <v>93.411324296818705</v>
      </c>
      <c r="AJ2779">
        <v>91.528522916618996</v>
      </c>
      <c r="AK2779">
        <v>18.587207064258799</v>
      </c>
    </row>
    <row r="2780" spans="1:37" x14ac:dyDescent="0.2">
      <c r="A2780" t="str">
        <f>"20200111153450967"</f>
        <v>20200111153450967</v>
      </c>
      <c r="B2780" t="str">
        <f>"1578728090958999"</f>
        <v>1578728090958999</v>
      </c>
      <c r="C2780" t="s">
        <v>37</v>
      </c>
      <c r="D2780">
        <v>5.0976900000000001</v>
      </c>
      <c r="E2780">
        <v>0.5132101</v>
      </c>
      <c r="F2780" t="s">
        <v>52</v>
      </c>
      <c r="G2780">
        <v>-330.85559999999998</v>
      </c>
      <c r="H2780" s="1">
        <v>-1.0731369999999999E-6</v>
      </c>
      <c r="I2780">
        <v>214.42490000000001</v>
      </c>
      <c r="J2780">
        <v>-349.10840000000002</v>
      </c>
      <c r="K2780">
        <v>1.105928</v>
      </c>
      <c r="L2780">
        <v>214.13339999999999</v>
      </c>
      <c r="M2780">
        <v>0.99985219999999897</v>
      </c>
      <c r="N2780">
        <v>0</v>
      </c>
      <c r="O2780">
        <v>-9.2380940000000005E-3</v>
      </c>
      <c r="P2780">
        <v>0.99826039999999905</v>
      </c>
      <c r="Q2780">
        <v>3.5452039999999997E-2</v>
      </c>
      <c r="R2780">
        <v>4.7108990000000003E-2</v>
      </c>
      <c r="S2780">
        <v>3.0097659999999999</v>
      </c>
      <c r="T2780">
        <v>-0.1783729</v>
      </c>
      <c r="U2780">
        <v>4.6463009999999999E-2</v>
      </c>
      <c r="V2780">
        <v>-5.6502589999999998E-2</v>
      </c>
      <c r="W2780">
        <v>4.9723450000000002E-2</v>
      </c>
      <c r="X2780">
        <v>0.99716349999999998</v>
      </c>
      <c r="Y2780">
        <v>-2.46135E-2</v>
      </c>
      <c r="Z2780">
        <v>1.2757160000000001E-3</v>
      </c>
      <c r="AA2780">
        <v>0.99969629999999998</v>
      </c>
      <c r="AB2780">
        <v>43</v>
      </c>
      <c r="AC2780">
        <v>18.252800000000001</v>
      </c>
      <c r="AD2780">
        <v>-1.105929073137</v>
      </c>
      <c r="AE2780">
        <v>0.29150000000001303</v>
      </c>
      <c r="AF2780">
        <v>-0.45844380712475402</v>
      </c>
      <c r="AG2780">
        <v>-1.105929073137</v>
      </c>
      <c r="AH2780">
        <v>18.182594760362601</v>
      </c>
      <c r="AI2780">
        <v>93.479538828492196</v>
      </c>
      <c r="AJ2780">
        <v>91.444311535234107</v>
      </c>
      <c r="AK2780">
        <v>18.221964824317599</v>
      </c>
    </row>
    <row r="2781" spans="1:37" x14ac:dyDescent="0.2">
      <c r="A2781" t="str">
        <f>"20200111153450990"</f>
        <v>20200111153450990</v>
      </c>
      <c r="B2781" t="str">
        <f>"1578728090978516"</f>
        <v>1578728090978516</v>
      </c>
      <c r="C2781" t="s">
        <v>37</v>
      </c>
      <c r="D2781">
        <v>5.1291289999999998</v>
      </c>
      <c r="E2781">
        <v>0.51337770000000005</v>
      </c>
      <c r="F2781" t="s">
        <v>52</v>
      </c>
      <c r="G2781">
        <v>-330.8913</v>
      </c>
      <c r="H2781" s="1">
        <v>-1.052658E-6</v>
      </c>
      <c r="I2781">
        <v>214.3914</v>
      </c>
      <c r="J2781">
        <v>-348.68329999999997</v>
      </c>
      <c r="K2781">
        <v>1.105856</v>
      </c>
      <c r="L2781">
        <v>214.13030000000001</v>
      </c>
      <c r="M2781">
        <v>0.99986039999999998</v>
      </c>
      <c r="N2781">
        <v>0</v>
      </c>
      <c r="O2781">
        <v>-8.3087390000000007E-3</v>
      </c>
      <c r="P2781">
        <v>0.99829609999999902</v>
      </c>
      <c r="Q2781">
        <v>3.4823670000000001E-2</v>
      </c>
      <c r="R2781">
        <v>4.6822139999999998E-2</v>
      </c>
      <c r="S2781">
        <v>3.0097049999999999</v>
      </c>
      <c r="T2781">
        <v>-0.18271389999999901</v>
      </c>
      <c r="U2781">
        <v>4.263306E-2</v>
      </c>
      <c r="V2781">
        <v>-5.5278420000000002E-2</v>
      </c>
      <c r="W2781">
        <v>4.9106690000000001E-2</v>
      </c>
      <c r="X2781">
        <v>0.99726269999999995</v>
      </c>
      <c r="Y2781">
        <v>-2.241551E-2</v>
      </c>
      <c r="Z2781">
        <v>1.183719E-3</v>
      </c>
      <c r="AA2781">
        <v>0.99974810000000003</v>
      </c>
      <c r="AB2781">
        <v>43</v>
      </c>
      <c r="AC2781">
        <v>17.791999999999899</v>
      </c>
      <c r="AD2781">
        <v>-1.1058570526580001</v>
      </c>
      <c r="AE2781">
        <v>0.261099999999999</v>
      </c>
      <c r="AF2781">
        <v>-0.40736221753627899</v>
      </c>
      <c r="AG2781">
        <v>-1.1058570526580001</v>
      </c>
      <c r="AH2781">
        <v>17.720771741359801</v>
      </c>
      <c r="AI2781">
        <v>93.569946910493499</v>
      </c>
      <c r="AJ2781">
        <v>91.316874126549607</v>
      </c>
      <c r="AK2781">
        <v>17.759915960008499</v>
      </c>
    </row>
    <row r="2782" spans="1:37" x14ac:dyDescent="0.2">
      <c r="A2782" t="str">
        <f>"20200111153451012"</f>
        <v>20200111153451012</v>
      </c>
      <c r="B2782" t="str">
        <f>"1578728091008773"</f>
        <v>1578728091008773</v>
      </c>
      <c r="C2782" t="s">
        <v>37</v>
      </c>
      <c r="D2782">
        <v>5.1024560000000001</v>
      </c>
      <c r="E2782">
        <v>0.51354379999999999</v>
      </c>
      <c r="F2782" t="s">
        <v>52</v>
      </c>
      <c r="G2782">
        <v>-330.59550000000002</v>
      </c>
      <c r="H2782" s="1">
        <v>-1.2093179999999899E-6</v>
      </c>
      <c r="I2782">
        <v>214.37459999999999</v>
      </c>
      <c r="J2782">
        <v>-348.26130000000001</v>
      </c>
      <c r="K2782">
        <v>1.105802</v>
      </c>
      <c r="L2782">
        <v>214.1276</v>
      </c>
      <c r="M2782">
        <v>0.99986769999999903</v>
      </c>
      <c r="N2782">
        <v>0</v>
      </c>
      <c r="O2782">
        <v>-7.4070300000000002E-3</v>
      </c>
      <c r="P2782">
        <v>0.99830680000000005</v>
      </c>
      <c r="Q2782">
        <v>3.4806650000000001E-2</v>
      </c>
      <c r="R2782">
        <v>4.6605430000000003E-2</v>
      </c>
      <c r="S2782">
        <v>3.0096129999999999</v>
      </c>
      <c r="T2782">
        <v>-0.18400229999999901</v>
      </c>
      <c r="U2782">
        <v>4.0649409999999997E-2</v>
      </c>
      <c r="V2782">
        <v>-5.415474E-2</v>
      </c>
      <c r="W2782">
        <v>4.9098120000000002E-2</v>
      </c>
      <c r="X2782">
        <v>0.99732480000000001</v>
      </c>
      <c r="Y2782">
        <v>-2.0859280000000001E-2</v>
      </c>
      <c r="Z2782">
        <v>1.0894850000000001E-3</v>
      </c>
      <c r="AA2782">
        <v>0.99978180000000005</v>
      </c>
      <c r="AB2782">
        <v>43</v>
      </c>
      <c r="AC2782">
        <v>17.665799999999901</v>
      </c>
      <c r="AD2782">
        <v>-1.1058032093179999</v>
      </c>
      <c r="AE2782">
        <v>0.24699999999998501</v>
      </c>
      <c r="AF2782">
        <v>-0.37638359011019001</v>
      </c>
      <c r="AG2782">
        <v>-1.1058032093179999</v>
      </c>
      <c r="AH2782">
        <v>17.594559632648501</v>
      </c>
      <c r="AI2782">
        <v>93.595440801016906</v>
      </c>
      <c r="AJ2782">
        <v>91.225486911492098</v>
      </c>
      <c r="AK2782">
        <v>17.6332922056962</v>
      </c>
    </row>
    <row r="2783" spans="1:37" x14ac:dyDescent="0.2">
      <c r="A2783" t="str">
        <f>"20200111153451035"</f>
        <v>20200111153451035</v>
      </c>
      <c r="B2783" t="str">
        <f>"1578728091029271"</f>
        <v>1578728091029271</v>
      </c>
      <c r="C2783" t="s">
        <v>37</v>
      </c>
      <c r="D2783">
        <v>4.8917539999999997</v>
      </c>
      <c r="E2783">
        <v>0.51367810000000003</v>
      </c>
      <c r="F2783" t="s">
        <v>52</v>
      </c>
      <c r="G2783">
        <v>-329.96190000000001</v>
      </c>
      <c r="H2783" s="1">
        <v>-1.5460089999999999E-6</v>
      </c>
      <c r="I2783">
        <v>214.3629</v>
      </c>
      <c r="J2783">
        <v>-347.80689999999998</v>
      </c>
      <c r="K2783">
        <v>1.10575</v>
      </c>
      <c r="L2783">
        <v>214.1251</v>
      </c>
      <c r="M2783">
        <v>0.99987420000000005</v>
      </c>
      <c r="N2783">
        <v>0</v>
      </c>
      <c r="O2783">
        <v>-6.4470930000000001E-3</v>
      </c>
      <c r="P2783">
        <v>0.99827630000000001</v>
      </c>
      <c r="Q2783">
        <v>3.493388E-2</v>
      </c>
      <c r="R2783">
        <v>4.7161179999999997E-2</v>
      </c>
      <c r="S2783">
        <v>3.0096129999999999</v>
      </c>
      <c r="T2783">
        <v>-0.18186559999999999</v>
      </c>
      <c r="U2783">
        <v>3.8711549999999997E-2</v>
      </c>
      <c r="V2783">
        <v>-5.3746349999999998E-2</v>
      </c>
      <c r="W2783">
        <v>4.923052E-2</v>
      </c>
      <c r="X2783">
        <v>0.99734029999999996</v>
      </c>
      <c r="Y2783">
        <v>-1.9261650000000002E-2</v>
      </c>
      <c r="Z2783">
        <v>9.7067750000000004E-4</v>
      </c>
      <c r="AA2783">
        <v>0.99981399999999998</v>
      </c>
      <c r="AB2783">
        <v>43</v>
      </c>
      <c r="AC2783">
        <v>17.844999999999899</v>
      </c>
      <c r="AD2783">
        <v>-1.1057515460089999</v>
      </c>
      <c r="AE2783">
        <v>0.23779999999999199</v>
      </c>
      <c r="AF2783">
        <v>-0.35150612357140498</v>
      </c>
      <c r="AG2783">
        <v>-1.1057515460089999</v>
      </c>
      <c r="AH2783">
        <v>17.7748601638061</v>
      </c>
      <c r="AI2783">
        <v>93.559016637295898</v>
      </c>
      <c r="AJ2783">
        <v>91.132903011955307</v>
      </c>
      <c r="AK2783">
        <v>17.812689209641299</v>
      </c>
    </row>
    <row r="2784" spans="1:37" x14ac:dyDescent="0.2">
      <c r="A2784" t="str">
        <f>"20200111153451057"</f>
        <v>20200111153451057</v>
      </c>
      <c r="B2784" t="str">
        <f>"1578728091048788"</f>
        <v>1578728091048788</v>
      </c>
      <c r="C2784" t="s">
        <v>37</v>
      </c>
      <c r="D2784">
        <v>5.0928969999999998</v>
      </c>
      <c r="E2784">
        <v>0.51375839999999995</v>
      </c>
      <c r="F2784" t="s">
        <v>52</v>
      </c>
      <c r="G2784">
        <v>-329.1456</v>
      </c>
      <c r="H2784" s="1">
        <v>3.3300580000000002E-6</v>
      </c>
      <c r="I2784">
        <v>214.36660000000001</v>
      </c>
      <c r="J2784">
        <v>-347.37040000000002</v>
      </c>
      <c r="K2784">
        <v>1.105707</v>
      </c>
      <c r="L2784">
        <v>214.12309999999999</v>
      </c>
      <c r="M2784">
        <v>0.99987979999999999</v>
      </c>
      <c r="N2784">
        <v>0</v>
      </c>
      <c r="O2784">
        <v>-5.5300569999999997E-3</v>
      </c>
      <c r="P2784">
        <v>0.99824099999999905</v>
      </c>
      <c r="Q2784">
        <v>3.5064919999999999E-2</v>
      </c>
      <c r="R2784">
        <v>4.7807919999999997E-2</v>
      </c>
      <c r="S2784">
        <v>3.0096129999999999</v>
      </c>
      <c r="T2784">
        <v>-0.178330399999999</v>
      </c>
      <c r="U2784">
        <v>3.8955690000000001E-2</v>
      </c>
      <c r="V2784">
        <v>-5.3472069999999997E-2</v>
      </c>
      <c r="W2784">
        <v>4.9364350000000001E-2</v>
      </c>
      <c r="X2784">
        <v>0.99734840000000002</v>
      </c>
      <c r="Y2784">
        <v>-1.843063E-2</v>
      </c>
      <c r="Z2784">
        <v>8.7295039999999997E-4</v>
      </c>
      <c r="AA2784">
        <v>0.99982979999999999</v>
      </c>
      <c r="AB2784">
        <v>43</v>
      </c>
      <c r="AC2784">
        <v>18.224799999999998</v>
      </c>
      <c r="AD2784">
        <v>-1.105703669942</v>
      </c>
      <c r="AE2784">
        <v>0.24350000000001101</v>
      </c>
      <c r="AF2784">
        <v>-0.34302861016501002</v>
      </c>
      <c r="AG2784">
        <v>-1.105703669942</v>
      </c>
      <c r="AH2784">
        <v>18.156355075756402</v>
      </c>
      <c r="AI2784">
        <v>93.484330834959707</v>
      </c>
      <c r="AJ2784">
        <v>91.082362266313098</v>
      </c>
      <c r="AK2784">
        <v>18.193226180918501</v>
      </c>
    </row>
    <row r="2785" spans="1:37" x14ac:dyDescent="0.2">
      <c r="A2785" t="str">
        <f>"20200111153451079"</f>
        <v>20200111153451079</v>
      </c>
      <c r="B2785" t="str">
        <f>"1578728091069294"</f>
        <v>1578728091069294</v>
      </c>
      <c r="C2785" t="s">
        <v>37</v>
      </c>
      <c r="D2785">
        <v>5.0654440000000003</v>
      </c>
      <c r="E2785">
        <v>0.51378509999999999</v>
      </c>
      <c r="F2785" t="s">
        <v>52</v>
      </c>
      <c r="G2785">
        <v>-328.2407</v>
      </c>
      <c r="H2785" s="1">
        <v>2.8484959999999998E-6</v>
      </c>
      <c r="I2785">
        <v>214.3768</v>
      </c>
      <c r="J2785">
        <v>-346.9667</v>
      </c>
      <c r="K2785">
        <v>1.1056809999999999</v>
      </c>
      <c r="L2785">
        <v>214.1216</v>
      </c>
      <c r="M2785">
        <v>0.999884199999999</v>
      </c>
      <c r="N2785">
        <v>0</v>
      </c>
      <c r="O2785">
        <v>-4.6827459999999998E-3</v>
      </c>
      <c r="P2785">
        <v>0.99820069999999905</v>
      </c>
      <c r="Q2785">
        <v>3.527537E-2</v>
      </c>
      <c r="R2785">
        <v>4.8488580000000003E-2</v>
      </c>
      <c r="S2785">
        <v>3.0094599999999998</v>
      </c>
      <c r="T2785">
        <v>-0.17394770000000001</v>
      </c>
      <c r="U2785">
        <v>3.9916989999999999E-2</v>
      </c>
      <c r="V2785">
        <v>-5.3303160000000002E-2</v>
      </c>
      <c r="W2785">
        <v>4.9576769999999999E-2</v>
      </c>
      <c r="X2785">
        <v>0.99734690000000004</v>
      </c>
      <c r="Y2785">
        <v>-1.7907650000000001E-2</v>
      </c>
      <c r="Z2785">
        <v>7.8753579999999996E-4</v>
      </c>
      <c r="AA2785">
        <v>0.99983929999999999</v>
      </c>
      <c r="AB2785">
        <v>43</v>
      </c>
      <c r="AC2785">
        <v>18.725999999999999</v>
      </c>
      <c r="AD2785">
        <v>-1.105678151504</v>
      </c>
      <c r="AE2785">
        <v>0.25520000000000198</v>
      </c>
      <c r="AF2785">
        <v>-0.34170442656288003</v>
      </c>
      <c r="AG2785">
        <v>-1.105678151504</v>
      </c>
      <c r="AH2785">
        <v>18.659558343676999</v>
      </c>
      <c r="AI2785">
        <v>93.390547525916006</v>
      </c>
      <c r="AJ2785">
        <v>91.049115581565303</v>
      </c>
      <c r="AK2785">
        <v>18.695411299860002</v>
      </c>
    </row>
    <row r="2786" spans="1:37" x14ac:dyDescent="0.2">
      <c r="A2786" t="str">
        <f>"20200111153451102"</f>
        <v>20200111153451102</v>
      </c>
      <c r="B2786" t="str">
        <f>"1578728091098566"</f>
        <v>1578728091098566</v>
      </c>
      <c r="C2786" t="s">
        <v>37</v>
      </c>
      <c r="D2786">
        <v>5.103281</v>
      </c>
      <c r="E2786">
        <v>0.51389149999999995</v>
      </c>
      <c r="F2786" t="s">
        <v>52</v>
      </c>
      <c r="G2786">
        <v>-327.35449999999997</v>
      </c>
      <c r="H2786" s="1">
        <v>2.376882E-6</v>
      </c>
      <c r="I2786">
        <v>214.39320000000001</v>
      </c>
      <c r="J2786">
        <v>-346.524</v>
      </c>
      <c r="K2786">
        <v>1.1056539999999999</v>
      </c>
      <c r="L2786">
        <v>214.12039999999999</v>
      </c>
      <c r="M2786">
        <v>0.9998882</v>
      </c>
      <c r="N2786">
        <v>0</v>
      </c>
      <c r="O2786">
        <v>-3.7540939999999999E-3</v>
      </c>
      <c r="P2786">
        <v>0.99814689999999995</v>
      </c>
      <c r="Q2786">
        <v>3.5479690000000001E-2</v>
      </c>
      <c r="R2786">
        <v>4.9440079999999997E-2</v>
      </c>
      <c r="S2786">
        <v>3.009369</v>
      </c>
      <c r="T2786">
        <v>-0.16965910000000001</v>
      </c>
      <c r="U2786">
        <v>4.167175E-2</v>
      </c>
      <c r="V2786">
        <v>-5.3324959999999998E-2</v>
      </c>
      <c r="W2786">
        <v>4.9781550000000001E-2</v>
      </c>
      <c r="X2786">
        <v>0.99733559999999999</v>
      </c>
      <c r="Y2786">
        <v>-1.7566200000000001E-2</v>
      </c>
      <c r="Z2786">
        <v>7.0623789999999995E-4</v>
      </c>
      <c r="AA2786">
        <v>0.9998454</v>
      </c>
      <c r="AB2786">
        <v>43</v>
      </c>
      <c r="AC2786">
        <v>19.169499999999999</v>
      </c>
      <c r="AD2786">
        <v>-1.105651623118</v>
      </c>
      <c r="AE2786">
        <v>0.27280000000001697</v>
      </c>
      <c r="AF2786">
        <v>-0.34362680589127897</v>
      </c>
      <c r="AG2786">
        <v>-1.105651623118</v>
      </c>
      <c r="AH2786">
        <v>19.104797400441601</v>
      </c>
      <c r="AI2786">
        <v>93.311648740552997</v>
      </c>
      <c r="AJ2786">
        <v>91.030434532725906</v>
      </c>
      <c r="AK2786">
        <v>19.139849231520799</v>
      </c>
    </row>
    <row r="2787" spans="1:37" x14ac:dyDescent="0.2">
      <c r="A2787" t="str">
        <f>"20200111153451124"</f>
        <v>20200111153451124</v>
      </c>
      <c r="B2787" t="str">
        <f>"1578728091119060"</f>
        <v>1578728091119060</v>
      </c>
      <c r="C2787" t="s">
        <v>37</v>
      </c>
      <c r="D2787">
        <v>5.0918000000000001</v>
      </c>
      <c r="E2787">
        <v>0.51396049999999904</v>
      </c>
      <c r="F2787" t="s">
        <v>52</v>
      </c>
      <c r="G2787">
        <v>-326.30700000000002</v>
      </c>
      <c r="H2787" s="1">
        <v>1.8194849999999999E-6</v>
      </c>
      <c r="I2787">
        <v>214.41419999999999</v>
      </c>
      <c r="J2787">
        <v>-346.0813</v>
      </c>
      <c r="K2787">
        <v>1.1056299999999999</v>
      </c>
      <c r="L2787">
        <v>214.11959999999999</v>
      </c>
      <c r="M2787">
        <v>0.99989130000000004</v>
      </c>
      <c r="N2787">
        <v>0</v>
      </c>
      <c r="O2787">
        <v>-2.825363E-3</v>
      </c>
      <c r="P2787">
        <v>0.99808319999999995</v>
      </c>
      <c r="Q2787">
        <v>3.555937E-2</v>
      </c>
      <c r="R2787">
        <v>5.0650019999999997E-2</v>
      </c>
      <c r="S2787">
        <v>3.009277</v>
      </c>
      <c r="T2787">
        <v>-0.16457459999999999</v>
      </c>
      <c r="U2787">
        <v>4.3731689999999997E-2</v>
      </c>
      <c r="V2787">
        <v>-5.3604859999999997E-2</v>
      </c>
      <c r="W2787">
        <v>4.9859649999999998E-2</v>
      </c>
      <c r="X2787">
        <v>0.99731669999999994</v>
      </c>
      <c r="Y2787">
        <v>-1.732595E-2</v>
      </c>
      <c r="Z2787">
        <v>6.2780140000000002E-4</v>
      </c>
      <c r="AA2787">
        <v>0.99984969999999995</v>
      </c>
      <c r="AB2787">
        <v>43</v>
      </c>
      <c r="AC2787">
        <v>19.774299999999901</v>
      </c>
      <c r="AD2787">
        <v>-1.1056281805149999</v>
      </c>
      <c r="AE2787">
        <v>0.29460000000000203</v>
      </c>
      <c r="AF2787">
        <v>-0.34938225566058601</v>
      </c>
      <c r="AG2787">
        <v>-1.1056281805149999</v>
      </c>
      <c r="AH2787">
        <v>19.7117794408883</v>
      </c>
      <c r="AI2787">
        <v>93.209837279872403</v>
      </c>
      <c r="AJ2787">
        <v>91.015435103000897</v>
      </c>
      <c r="AK2787">
        <v>19.7458534978954</v>
      </c>
    </row>
    <row r="2788" spans="1:37" x14ac:dyDescent="0.2">
      <c r="A2788" t="str">
        <f>"20200111153451147"</f>
        <v>20200111153451147</v>
      </c>
      <c r="B2788" t="str">
        <f>"1578728091138580"</f>
        <v>1578728091138580</v>
      </c>
      <c r="C2788" t="s">
        <v>37</v>
      </c>
      <c r="D2788">
        <v>5.0237339999999904</v>
      </c>
      <c r="E2788">
        <v>0.49969520000000001</v>
      </c>
      <c r="F2788" t="s">
        <v>52</v>
      </c>
      <c r="G2788">
        <v>-325.53989999999999</v>
      </c>
      <c r="H2788" s="1">
        <v>1.4112970000000001E-6</v>
      </c>
      <c r="I2788">
        <v>214.43879999999999</v>
      </c>
      <c r="J2788">
        <v>-345.64789999999999</v>
      </c>
      <c r="K2788">
        <v>1.105607</v>
      </c>
      <c r="L2788">
        <v>214.11920000000001</v>
      </c>
      <c r="M2788">
        <v>0.99989340000000004</v>
      </c>
      <c r="N2788">
        <v>0</v>
      </c>
      <c r="O2788">
        <v>-1.916938E-3</v>
      </c>
      <c r="P2788">
        <v>0.99804289999999996</v>
      </c>
      <c r="Q2788">
        <v>3.5076070000000001E-2</v>
      </c>
      <c r="R2788">
        <v>5.1770549999999999E-2</v>
      </c>
      <c r="S2788">
        <v>3.0091549999999998</v>
      </c>
      <c r="T2788">
        <v>-0.1619661</v>
      </c>
      <c r="U2788">
        <v>4.6768190000000001E-2</v>
      </c>
      <c r="V2788">
        <v>-5.3815399999999999E-2</v>
      </c>
      <c r="W2788">
        <v>4.9375309999999999E-2</v>
      </c>
      <c r="X2788">
        <v>0.99732940000000003</v>
      </c>
      <c r="Y2788">
        <v>-1.742898E-2</v>
      </c>
      <c r="Z2788">
        <v>5.7179339999999896E-4</v>
      </c>
      <c r="AA2788">
        <v>0.99984789999999901</v>
      </c>
      <c r="AB2788">
        <v>43</v>
      </c>
      <c r="AC2788">
        <v>20.108000000000001</v>
      </c>
      <c r="AD2788">
        <v>-1.1056055887030001</v>
      </c>
      <c r="AE2788">
        <v>0.31959999999997901</v>
      </c>
      <c r="AF2788">
        <v>-0.35707002946217398</v>
      </c>
      <c r="AG2788">
        <v>-1.1056055887030001</v>
      </c>
      <c r="AH2788">
        <v>20.046760852193302</v>
      </c>
      <c r="AI2788">
        <v>93.1562410094824</v>
      </c>
      <c r="AJ2788">
        <v>91.020436301923894</v>
      </c>
      <c r="AK2788">
        <v>20.080400478793699</v>
      </c>
    </row>
    <row r="2789" spans="1:37" x14ac:dyDescent="0.2">
      <c r="A2789" t="str">
        <f>"20200111153451168"</f>
        <v>20200111153451168</v>
      </c>
      <c r="B2789" t="str">
        <f>"1578728091159079"</f>
        <v>1578728091159079</v>
      </c>
      <c r="C2789" t="s">
        <v>37</v>
      </c>
      <c r="D2789">
        <v>5.0501180000000003</v>
      </c>
      <c r="E2789">
        <v>0.49506819999999901</v>
      </c>
      <c r="F2789" t="s">
        <v>56</v>
      </c>
      <c r="G2789">
        <v>-318.81290000000001</v>
      </c>
      <c r="H2789" s="1">
        <v>4.8138029999999901E-6</v>
      </c>
      <c r="I2789">
        <v>215.5752</v>
      </c>
      <c r="J2789">
        <v>-345.24020000000002</v>
      </c>
      <c r="K2789">
        <v>1.105588</v>
      </c>
      <c r="L2789">
        <v>214.1191</v>
      </c>
      <c r="M2789">
        <v>0.99989470000000003</v>
      </c>
      <c r="N2789">
        <v>0</v>
      </c>
      <c r="O2789">
        <v>-1.063516E-3</v>
      </c>
      <c r="P2789">
        <v>0.99797800000000003</v>
      </c>
      <c r="Q2789">
        <v>3.4546029999999998E-2</v>
      </c>
      <c r="R2789">
        <v>5.3352780000000002E-2</v>
      </c>
      <c r="S2789">
        <v>3.0017399999999999</v>
      </c>
      <c r="T2789">
        <v>-0.123671699999999</v>
      </c>
      <c r="U2789">
        <v>0.1628723</v>
      </c>
      <c r="V2789">
        <v>-5.4542519999999997E-2</v>
      </c>
      <c r="W2789">
        <v>4.8842370000000003E-2</v>
      </c>
      <c r="X2789">
        <v>0.99731619999999999</v>
      </c>
      <c r="Y2789">
        <v>-5.5194060000000003E-2</v>
      </c>
      <c r="Z2789">
        <v>1.179453E-3</v>
      </c>
      <c r="AA2789">
        <v>0.998475</v>
      </c>
      <c r="AB2789">
        <v>43</v>
      </c>
      <c r="AC2789">
        <v>26.427299999999999</v>
      </c>
      <c r="AD2789">
        <v>-1.105583186197</v>
      </c>
      <c r="AE2789">
        <v>1.45609999999999</v>
      </c>
      <c r="AF2789">
        <v>-1.4816227510623201</v>
      </c>
      <c r="AG2789">
        <v>-1.105583186197</v>
      </c>
      <c r="AH2789">
        <v>26.379707382985401</v>
      </c>
      <c r="AI2789">
        <v>92.396110701910104</v>
      </c>
      <c r="AJ2789">
        <v>93.214654136133106</v>
      </c>
      <c r="AK2789">
        <v>26.444403600194899</v>
      </c>
    </row>
    <row r="2790" spans="1:37" x14ac:dyDescent="0.2">
      <c r="A2790" t="str">
        <f>"20200111153451191"</f>
        <v>20200111153451191</v>
      </c>
      <c r="B2790" t="str">
        <f>"1578728091178596"</f>
        <v>1578728091178596</v>
      </c>
      <c r="C2790" t="s">
        <v>37</v>
      </c>
      <c r="D2790">
        <v>5.0279369999999997</v>
      </c>
      <c r="E2790">
        <v>0.49393749999999997</v>
      </c>
      <c r="F2790" t="s">
        <v>52</v>
      </c>
      <c r="G2790">
        <v>-321.0181</v>
      </c>
      <c r="H2790" s="1">
        <v>-9.9500520000000002E-7</v>
      </c>
      <c r="I2790">
        <v>215.77119999999999</v>
      </c>
      <c r="J2790">
        <v>-344.8175</v>
      </c>
      <c r="K2790">
        <v>1.1055790000000001</v>
      </c>
      <c r="L2790">
        <v>214.11940000000001</v>
      </c>
      <c r="M2790">
        <v>0.99989550000000005</v>
      </c>
      <c r="N2790">
        <v>0</v>
      </c>
      <c r="O2790">
        <v>-1.7977889999999999E-4</v>
      </c>
      <c r="P2790">
        <v>0.99795219999999996</v>
      </c>
      <c r="Q2790">
        <v>3.4311439999999999E-2</v>
      </c>
      <c r="R2790">
        <v>5.3989530000000001E-2</v>
      </c>
      <c r="S2790">
        <v>2.9998469999999999</v>
      </c>
      <c r="T2790">
        <v>-0.13692449999999901</v>
      </c>
      <c r="U2790">
        <v>0.20460510000000001</v>
      </c>
      <c r="V2790">
        <v>-5.4294910000000002E-2</v>
      </c>
      <c r="W2790">
        <v>4.8607089999999999E-2</v>
      </c>
      <c r="X2790">
        <v>0.99734120000000004</v>
      </c>
      <c r="Y2790">
        <v>-6.8155640000000003E-2</v>
      </c>
      <c r="Z2790">
        <v>1.561024E-3</v>
      </c>
      <c r="AA2790">
        <v>0.99767349999999999</v>
      </c>
      <c r="AB2790">
        <v>43</v>
      </c>
      <c r="AC2790">
        <v>23.799399999999899</v>
      </c>
      <c r="AD2790">
        <v>-1.1055799950052001</v>
      </c>
      <c r="AE2790">
        <v>1.65179999999998</v>
      </c>
      <c r="AF2790">
        <v>-1.6525300121117401</v>
      </c>
      <c r="AG2790">
        <v>-1.1055799950052001</v>
      </c>
      <c r="AH2790">
        <v>23.7481002743795</v>
      </c>
      <c r="AI2790">
        <v>92.659028875175196</v>
      </c>
      <c r="AJ2790">
        <v>93.980554762045202</v>
      </c>
      <c r="AK2790">
        <v>23.8311860638171</v>
      </c>
    </row>
    <row r="2791" spans="1:37" x14ac:dyDescent="0.2">
      <c r="A2791" t="str">
        <f>"20200111153451213"</f>
        <v>20200111153451213</v>
      </c>
      <c r="B2791" t="str">
        <f>"1578728091208852"</f>
        <v>1578728091208852</v>
      </c>
      <c r="C2791" t="s">
        <v>37</v>
      </c>
      <c r="D2791">
        <v>5.0374749999999997</v>
      </c>
      <c r="E2791">
        <v>0.49306430000000001</v>
      </c>
      <c r="F2791" t="s">
        <v>52</v>
      </c>
      <c r="G2791">
        <v>-321.66120000000001</v>
      </c>
      <c r="H2791" s="1">
        <v>-6.5276830000000002E-7</v>
      </c>
      <c r="I2791">
        <v>215.7834</v>
      </c>
      <c r="J2791">
        <v>-344.37819999999999</v>
      </c>
      <c r="K2791">
        <v>1.105569</v>
      </c>
      <c r="L2791">
        <v>214.12020000000001</v>
      </c>
      <c r="M2791">
        <v>0.99989519999999998</v>
      </c>
      <c r="N2791">
        <v>0</v>
      </c>
      <c r="O2791">
        <v>7.3825880000000005E-4</v>
      </c>
      <c r="P2791">
        <v>0.99794280000000002</v>
      </c>
      <c r="Q2791">
        <v>3.4505899999999999E-2</v>
      </c>
      <c r="R2791">
        <v>5.4033190000000002E-2</v>
      </c>
      <c r="S2791">
        <v>2.99939</v>
      </c>
      <c r="T2791">
        <v>-0.14320379999999999</v>
      </c>
      <c r="U2791">
        <v>0.21553040000000001</v>
      </c>
      <c r="V2791">
        <v>-5.3421699999999898E-2</v>
      </c>
      <c r="W2791">
        <v>4.8802360000000003E-2</v>
      </c>
      <c r="X2791">
        <v>0.99737880000000001</v>
      </c>
      <c r="Y2791">
        <v>-7.0857359999999994E-2</v>
      </c>
      <c r="Z2791">
        <v>1.653196E-3</v>
      </c>
      <c r="AA2791">
        <v>0.99748510000000001</v>
      </c>
      <c r="AB2791">
        <v>43</v>
      </c>
      <c r="AC2791">
        <v>22.716999999999899</v>
      </c>
      <c r="AD2791">
        <v>-1.1055696527683001</v>
      </c>
      <c r="AE2791">
        <v>1.66319999999998</v>
      </c>
      <c r="AF2791">
        <v>-1.6425571419642999</v>
      </c>
      <c r="AG2791">
        <v>-1.1055696527683001</v>
      </c>
      <c r="AH2791">
        <v>22.6648267648131</v>
      </c>
      <c r="AI2791">
        <v>92.7853291988488</v>
      </c>
      <c r="AJ2791">
        <v>94.145072350271107</v>
      </c>
      <c r="AK2791">
        <v>22.7511461359802</v>
      </c>
    </row>
    <row r="2792" spans="1:37" x14ac:dyDescent="0.2">
      <c r="A2792" t="str">
        <f>"20200111153451237"</f>
        <v>20200111153451237</v>
      </c>
      <c r="B2792" t="str">
        <f>"1578728091228372"</f>
        <v>1578728091228372</v>
      </c>
      <c r="C2792" t="s">
        <v>37</v>
      </c>
      <c r="D2792">
        <v>5.0273729999999999</v>
      </c>
      <c r="E2792">
        <v>0.49270779999999997</v>
      </c>
      <c r="F2792" t="s">
        <v>52</v>
      </c>
      <c r="G2792">
        <v>-321.45179999999999</v>
      </c>
      <c r="H2792" s="1">
        <v>-7.6423479999999995E-7</v>
      </c>
      <c r="I2792">
        <v>215.82380000000001</v>
      </c>
      <c r="J2792">
        <v>-343.92860000000002</v>
      </c>
      <c r="K2792">
        <v>1.1055629999999901</v>
      </c>
      <c r="L2792">
        <v>214.12129999999999</v>
      </c>
      <c r="M2792">
        <v>0.99989399999999995</v>
      </c>
      <c r="N2792">
        <v>0</v>
      </c>
      <c r="O2792">
        <v>1.6770629999999999E-3</v>
      </c>
      <c r="P2792">
        <v>0.99794479999999997</v>
      </c>
      <c r="Q2792">
        <v>3.3492040000000001E-2</v>
      </c>
      <c r="R2792">
        <v>5.4631069999999997E-2</v>
      </c>
      <c r="S2792">
        <v>2.9991150000000002</v>
      </c>
      <c r="T2792">
        <v>-0.14462459999999999</v>
      </c>
      <c r="U2792">
        <v>0.22285460000000001</v>
      </c>
      <c r="V2792">
        <v>-5.3079029999999999E-2</v>
      </c>
      <c r="W2792">
        <v>4.7788360000000002E-2</v>
      </c>
      <c r="X2792">
        <v>0.99744619999999995</v>
      </c>
      <c r="Y2792">
        <v>-7.2348090000000004E-2</v>
      </c>
      <c r="Z2792">
        <v>1.6602699999999999E-3</v>
      </c>
      <c r="AA2792">
        <v>0.99737809999999905</v>
      </c>
      <c r="AB2792">
        <v>43</v>
      </c>
      <c r="AC2792">
        <v>22.476800000000001</v>
      </c>
      <c r="AD2792">
        <v>-1.1055637642348</v>
      </c>
      <c r="AE2792">
        <v>1.7025000000000099</v>
      </c>
      <c r="AF2792">
        <v>-1.66080350952134</v>
      </c>
      <c r="AG2792">
        <v>-1.1055637642348</v>
      </c>
      <c r="AH2792">
        <v>22.425677831675198</v>
      </c>
      <c r="AI2792">
        <v>92.814644739257901</v>
      </c>
      <c r="AJ2792">
        <v>94.235485607861193</v>
      </c>
      <c r="AK2792">
        <v>22.514252502450901</v>
      </c>
    </row>
    <row r="2793" spans="1:37" x14ac:dyDescent="0.2">
      <c r="A2793" t="str">
        <f>"20200111153451259"</f>
        <v>20200111153451259</v>
      </c>
      <c r="B2793" t="str">
        <f>"1578728091248868"</f>
        <v>1578728091248868</v>
      </c>
      <c r="C2793" t="s">
        <v>37</v>
      </c>
      <c r="D2793">
        <v>4.9980320000000003</v>
      </c>
      <c r="E2793">
        <v>0.49231759999999902</v>
      </c>
      <c r="F2793" t="s">
        <v>52</v>
      </c>
      <c r="G2793">
        <v>-321.4289</v>
      </c>
      <c r="H2793" s="1">
        <v>-7.7639049999999899E-7</v>
      </c>
      <c r="I2793">
        <v>215.82570000000001</v>
      </c>
      <c r="J2793">
        <v>-343.5068</v>
      </c>
      <c r="K2793">
        <v>1.1055569999999999</v>
      </c>
      <c r="L2793">
        <v>214.12280000000001</v>
      </c>
      <c r="M2793">
        <v>0.99989240000000001</v>
      </c>
      <c r="N2793">
        <v>0</v>
      </c>
      <c r="O2793">
        <v>2.5573689999999999E-3</v>
      </c>
      <c r="P2793">
        <v>0.99792369999999997</v>
      </c>
      <c r="Q2793">
        <v>3.2656879999999999E-2</v>
      </c>
      <c r="R2793">
        <v>5.5517660000000003E-2</v>
      </c>
      <c r="S2793">
        <v>2.998688</v>
      </c>
      <c r="T2793">
        <v>-0.14734610000000001</v>
      </c>
      <c r="U2793">
        <v>0.22715759999999999</v>
      </c>
      <c r="V2793">
        <v>-5.3084480000000003E-2</v>
      </c>
      <c r="W2793">
        <v>4.69515E-2</v>
      </c>
      <c r="X2793">
        <v>0.99748559999999997</v>
      </c>
      <c r="Y2793">
        <v>-7.2900960000000001E-2</v>
      </c>
      <c r="Z2793">
        <v>1.6620109999999999E-3</v>
      </c>
      <c r="AA2793">
        <v>0.99733780000000005</v>
      </c>
      <c r="AB2793">
        <v>43</v>
      </c>
      <c r="AC2793">
        <v>22.0779</v>
      </c>
      <c r="AD2793">
        <v>-1.10555777639049</v>
      </c>
      <c r="AE2793">
        <v>1.7028999999999901</v>
      </c>
      <c r="AF2793">
        <v>-1.6423333456281</v>
      </c>
      <c r="AG2793">
        <v>-1.10555777639049</v>
      </c>
      <c r="AH2793">
        <v>22.0272756354086</v>
      </c>
      <c r="AI2793">
        <v>92.865347072312602</v>
      </c>
      <c r="AJ2793">
        <v>94.264030801002093</v>
      </c>
      <c r="AK2793">
        <v>22.116066303331699</v>
      </c>
    </row>
    <row r="2794" spans="1:37" x14ac:dyDescent="0.2">
      <c r="A2794" t="str">
        <f>"20200111153451280"</f>
        <v>20200111153451280</v>
      </c>
      <c r="B2794" t="str">
        <f>"1578728091268388"</f>
        <v>1578728091268388</v>
      </c>
      <c r="C2794" t="s">
        <v>37</v>
      </c>
      <c r="D2794">
        <v>5.0815140000000003</v>
      </c>
      <c r="E2794">
        <v>0.49194070000000001</v>
      </c>
      <c r="F2794" t="s">
        <v>52</v>
      </c>
      <c r="G2794">
        <v>-321.90679999999998</v>
      </c>
      <c r="H2794" s="1">
        <v>-5.2207779999999999E-7</v>
      </c>
      <c r="I2794">
        <v>215.8006</v>
      </c>
      <c r="J2794">
        <v>-343.0992</v>
      </c>
      <c r="K2794">
        <v>1.1055489999999999</v>
      </c>
      <c r="L2794">
        <v>214.12459999999999</v>
      </c>
      <c r="M2794">
        <v>0.99988980000000005</v>
      </c>
      <c r="N2794">
        <v>0</v>
      </c>
      <c r="O2794">
        <v>3.408009E-3</v>
      </c>
      <c r="P2794">
        <v>0.99789119999999998</v>
      </c>
      <c r="Q2794">
        <v>3.2451920000000002E-2</v>
      </c>
      <c r="R2794">
        <v>5.6215849999999998E-2</v>
      </c>
      <c r="S2794">
        <v>2.998291</v>
      </c>
      <c r="T2794">
        <v>-0.15346199999999999</v>
      </c>
      <c r="U2794">
        <v>0.23289489999999999</v>
      </c>
      <c r="V2794">
        <v>-5.2932310000000003E-2</v>
      </c>
      <c r="W2794">
        <v>4.674478E-2</v>
      </c>
      <c r="X2794">
        <v>0.99750349999999999</v>
      </c>
      <c r="Y2794">
        <v>-7.3952249999999997E-2</v>
      </c>
      <c r="Z2794">
        <v>1.7144089999999901E-3</v>
      </c>
      <c r="AA2794">
        <v>0.99726029999999999</v>
      </c>
      <c r="AB2794">
        <v>43</v>
      </c>
      <c r="AC2794">
        <v>21.192399999999999</v>
      </c>
      <c r="AD2794">
        <v>-1.1055495220778</v>
      </c>
      <c r="AE2794">
        <v>1.6760000000000099</v>
      </c>
      <c r="AF2794">
        <v>-1.5994331544692799</v>
      </c>
      <c r="AG2794">
        <v>-1.1055495220778</v>
      </c>
      <c r="AH2794">
        <v>21.1408138179725</v>
      </c>
      <c r="AI2794">
        <v>92.985015432131505</v>
      </c>
      <c r="AJ2794">
        <v>94.326537377454102</v>
      </c>
      <c r="AK2794">
        <v>21.2300361527615</v>
      </c>
    </row>
    <row r="2795" spans="1:37" x14ac:dyDescent="0.2">
      <c r="A2795" t="str">
        <f>"20200111153451303"</f>
        <v>20200111153451303</v>
      </c>
      <c r="B2795" t="str">
        <f>"1578728091298644"</f>
        <v>1578728091298644</v>
      </c>
      <c r="C2795" t="s">
        <v>37</v>
      </c>
      <c r="D2795">
        <v>5.0348499999999996</v>
      </c>
      <c r="E2795">
        <v>0.4915389</v>
      </c>
      <c r="F2795" t="s">
        <v>52</v>
      </c>
      <c r="G2795">
        <v>-321.86110000000002</v>
      </c>
      <c r="H2795" s="1">
        <v>-5.4639449999999897E-7</v>
      </c>
      <c r="I2795">
        <v>215.81010000000001</v>
      </c>
      <c r="J2795">
        <v>-342.6567</v>
      </c>
      <c r="K2795">
        <v>1.105548</v>
      </c>
      <c r="L2795">
        <v>214.12690000000001</v>
      </c>
      <c r="M2795">
        <v>0.99988630000000001</v>
      </c>
      <c r="N2795">
        <v>0</v>
      </c>
      <c r="O2795">
        <v>4.3313099999999997E-3</v>
      </c>
      <c r="P2795">
        <v>0.99784740000000005</v>
      </c>
      <c r="Q2795">
        <v>3.2518539999999999E-2</v>
      </c>
      <c r="R2795">
        <v>5.6952129999999997E-2</v>
      </c>
      <c r="S2795">
        <v>2.9980159999999998</v>
      </c>
      <c r="T2795">
        <v>-0.15606159999999999</v>
      </c>
      <c r="U2795">
        <v>0.23793029999999901</v>
      </c>
      <c r="V2795">
        <v>-5.2746639999999997E-2</v>
      </c>
      <c r="W2795">
        <v>4.6810030000000002E-2</v>
      </c>
      <c r="X2795">
        <v>0.99751019999999901</v>
      </c>
      <c r="Y2795">
        <v>-7.4700230000000006E-2</v>
      </c>
      <c r="Z2795">
        <v>1.7149260000000001E-3</v>
      </c>
      <c r="AA2795">
        <v>0.99720450000000005</v>
      </c>
      <c r="AB2795">
        <v>43</v>
      </c>
      <c r="AC2795">
        <v>20.795599999999901</v>
      </c>
      <c r="AD2795">
        <v>-1.1055485463945001</v>
      </c>
      <c r="AE2795">
        <v>1.68319999999999</v>
      </c>
      <c r="AF2795">
        <v>-1.5886419225450701</v>
      </c>
      <c r="AG2795">
        <v>-1.1055485463945001</v>
      </c>
      <c r="AH2795">
        <v>20.744448426097001</v>
      </c>
      <c r="AI2795">
        <v>93.041728874428898</v>
      </c>
      <c r="AJ2795">
        <v>94.379251650455501</v>
      </c>
      <c r="AK2795">
        <v>20.834542501564599</v>
      </c>
    </row>
    <row r="2796" spans="1:37" x14ac:dyDescent="0.2">
      <c r="A2796" t="str">
        <f>"20200111153451326"</f>
        <v>20200111153451326</v>
      </c>
      <c r="B2796" t="str">
        <f>"1578728091319141"</f>
        <v>1578728091319141</v>
      </c>
      <c r="C2796" t="s">
        <v>37</v>
      </c>
      <c r="D2796">
        <v>5.0543199999999997</v>
      </c>
      <c r="E2796">
        <v>0.4911316</v>
      </c>
      <c r="F2796" t="s">
        <v>52</v>
      </c>
      <c r="G2796">
        <v>-321.71379999999999</v>
      </c>
      <c r="H2796" s="1">
        <v>-6.248011E-7</v>
      </c>
      <c r="I2796">
        <v>215.828</v>
      </c>
      <c r="J2796">
        <v>-342.21800000000002</v>
      </c>
      <c r="K2796">
        <v>1.1055459999999999</v>
      </c>
      <c r="L2796">
        <v>214.12960000000001</v>
      </c>
      <c r="M2796">
        <v>0.99988199999999905</v>
      </c>
      <c r="N2796">
        <v>0</v>
      </c>
      <c r="O2796">
        <v>5.2429140000000004E-3</v>
      </c>
      <c r="P2796">
        <v>0.9978011</v>
      </c>
      <c r="Q2796">
        <v>3.200749E-2</v>
      </c>
      <c r="R2796">
        <v>5.8041189999999999E-2</v>
      </c>
      <c r="S2796">
        <v>2.9977419999999899</v>
      </c>
      <c r="T2796">
        <v>-0.15824669999999999</v>
      </c>
      <c r="U2796">
        <v>0.24349979999999999</v>
      </c>
      <c r="V2796">
        <v>-5.2923900000000003E-2</v>
      </c>
      <c r="W2796">
        <v>4.6296080000000003E-2</v>
      </c>
      <c r="X2796">
        <v>0.99752479999999999</v>
      </c>
      <c r="Y2796">
        <v>-7.5636369999999994E-2</v>
      </c>
      <c r="Z2796">
        <v>1.715575E-3</v>
      </c>
      <c r="AA2796">
        <v>0.99713399999999996</v>
      </c>
      <c r="AB2796">
        <v>43</v>
      </c>
      <c r="AC2796">
        <v>20.504200000000001</v>
      </c>
      <c r="AD2796">
        <v>-1.1055466248011001</v>
      </c>
      <c r="AE2796">
        <v>1.6983999999999899</v>
      </c>
      <c r="AF2796">
        <v>-1.58628353592286</v>
      </c>
      <c r="AG2796">
        <v>-1.1055466248011001</v>
      </c>
      <c r="AH2796">
        <v>20.453766510999799</v>
      </c>
      <c r="AI2796">
        <v>93.084639101967397</v>
      </c>
      <c r="AJ2796">
        <v>94.434673973558205</v>
      </c>
      <c r="AK2796">
        <v>20.544952988080698</v>
      </c>
    </row>
    <row r="2797" spans="1:37" x14ac:dyDescent="0.2">
      <c r="A2797" t="str">
        <f>"20200111153451349"</f>
        <v>20200111153451349</v>
      </c>
      <c r="B2797" t="str">
        <f>"1578728091338660"</f>
        <v>1578728091338660</v>
      </c>
      <c r="C2797" t="s">
        <v>37</v>
      </c>
      <c r="D2797">
        <v>5.04704</v>
      </c>
      <c r="E2797">
        <v>0.49112600000000001</v>
      </c>
      <c r="F2797" t="s">
        <v>52</v>
      </c>
      <c r="G2797">
        <v>-321.83179999999999</v>
      </c>
      <c r="H2797" s="1">
        <v>-5.6200219999999896E-7</v>
      </c>
      <c r="I2797">
        <v>215.8297</v>
      </c>
      <c r="J2797">
        <v>-341.78570000000002</v>
      </c>
      <c r="K2797">
        <v>1.105539</v>
      </c>
      <c r="L2797">
        <v>214.1326</v>
      </c>
      <c r="M2797">
        <v>0.99987689999999996</v>
      </c>
      <c r="N2797">
        <v>0</v>
      </c>
      <c r="O2797">
        <v>6.1325449999999997E-3</v>
      </c>
      <c r="P2797">
        <v>0.99774319999999905</v>
      </c>
      <c r="Q2797">
        <v>3.1846439999999997E-2</v>
      </c>
      <c r="R2797">
        <v>5.9112129999999999E-2</v>
      </c>
      <c r="S2797">
        <v>2.997223</v>
      </c>
      <c r="T2797">
        <v>-0.1625394</v>
      </c>
      <c r="U2797">
        <v>0.24995419999999999</v>
      </c>
      <c r="V2797">
        <v>-5.3106010000000002E-2</v>
      </c>
      <c r="W2797">
        <v>4.613271E-2</v>
      </c>
      <c r="X2797">
        <v>0.99752269999999899</v>
      </c>
      <c r="Y2797">
        <v>-7.6890009999999995E-2</v>
      </c>
      <c r="Z2797">
        <v>1.747979E-3</v>
      </c>
      <c r="AA2797">
        <v>0.99703809999999904</v>
      </c>
      <c r="AB2797">
        <v>43</v>
      </c>
      <c r="AC2797">
        <v>19.953900000000001</v>
      </c>
      <c r="AD2797">
        <v>-1.1055395620021999</v>
      </c>
      <c r="AE2797">
        <v>1.6971000000000001</v>
      </c>
      <c r="AF2797">
        <v>-1.56990263937662</v>
      </c>
      <c r="AG2797">
        <v>-1.1055395620021999</v>
      </c>
      <c r="AH2797">
        <v>19.9032754403942</v>
      </c>
      <c r="AI2797">
        <v>93.169438089288704</v>
      </c>
      <c r="AJ2797">
        <v>94.509958658267806</v>
      </c>
      <c r="AK2797">
        <v>19.995679165171499</v>
      </c>
    </row>
    <row r="2798" spans="1:37" x14ac:dyDescent="0.2">
      <c r="A2798" t="str">
        <f>"20200111153451369"</f>
        <v>20200111153451369</v>
      </c>
      <c r="B2798" t="str">
        <f>"1578728091359160"</f>
        <v>1578728091359160</v>
      </c>
      <c r="C2798" t="s">
        <v>37</v>
      </c>
      <c r="D2798">
        <v>5.0121149999999997</v>
      </c>
      <c r="E2798">
        <v>0.49097299999999899</v>
      </c>
      <c r="F2798" t="s">
        <v>52</v>
      </c>
      <c r="G2798">
        <v>-321.54610000000002</v>
      </c>
      <c r="H2798" s="1">
        <v>-7.1402199999999898E-7</v>
      </c>
      <c r="I2798">
        <v>215.8425</v>
      </c>
      <c r="J2798">
        <v>-341.39109999999999</v>
      </c>
      <c r="K2798">
        <v>1.1055250000000001</v>
      </c>
      <c r="L2798">
        <v>214.13579999999999</v>
      </c>
      <c r="M2798">
        <v>0.99987169999999903</v>
      </c>
      <c r="N2798">
        <v>0</v>
      </c>
      <c r="O2798">
        <v>6.9316509999999996E-3</v>
      </c>
      <c r="P2798">
        <v>0.99769110000000005</v>
      </c>
      <c r="Q2798">
        <v>3.1460389999999998E-2</v>
      </c>
      <c r="R2798">
        <v>6.019269E-2</v>
      </c>
      <c r="S2798">
        <v>2.9970089999999998</v>
      </c>
      <c r="T2798">
        <v>-0.1637043</v>
      </c>
      <c r="U2798">
        <v>0.2531891</v>
      </c>
      <c r="V2798">
        <v>-5.3387110000000002E-2</v>
      </c>
      <c r="W2798">
        <v>4.5744489999999999E-2</v>
      </c>
      <c r="X2798">
        <v>0.99752559999999901</v>
      </c>
      <c r="Y2798">
        <v>-7.7166979999999996E-2</v>
      </c>
      <c r="Z2798">
        <v>1.7245429999999901E-3</v>
      </c>
      <c r="AA2798">
        <v>0.99701669999999998</v>
      </c>
      <c r="AB2798">
        <v>43</v>
      </c>
      <c r="AC2798">
        <v>19.844999999999899</v>
      </c>
      <c r="AD2798">
        <v>-1.1055257140220001</v>
      </c>
      <c r="AE2798">
        <v>1.7067000000000101</v>
      </c>
      <c r="AF2798">
        <v>-1.5642671504272301</v>
      </c>
      <c r="AG2798">
        <v>-1.1055257140220001</v>
      </c>
      <c r="AH2798">
        <v>19.795373018749999</v>
      </c>
      <c r="AI2798">
        <v>93.186602763710397</v>
      </c>
      <c r="AJ2798">
        <v>94.518229920443304</v>
      </c>
      <c r="AK2798">
        <v>19.887833259903601</v>
      </c>
    </row>
    <row r="2799" spans="1:37" x14ac:dyDescent="0.2">
      <c r="A2799" t="str">
        <f>"20200111153451392"</f>
        <v>20200111153451392</v>
      </c>
      <c r="B2799" t="str">
        <f>"1578728091388436"</f>
        <v>1578728091388436</v>
      </c>
      <c r="C2799" t="s">
        <v>37</v>
      </c>
      <c r="D2799">
        <v>4.9957370000000001</v>
      </c>
      <c r="E2799">
        <v>0.49077870000000001</v>
      </c>
      <c r="F2799" t="s">
        <v>52</v>
      </c>
      <c r="G2799">
        <v>-321.6293</v>
      </c>
      <c r="H2799" s="1">
        <v>-6.6974580000000004E-7</v>
      </c>
      <c r="I2799">
        <v>215.833</v>
      </c>
      <c r="J2799">
        <v>-340.97140000000002</v>
      </c>
      <c r="K2799">
        <v>1.1055010000000001</v>
      </c>
      <c r="L2799">
        <v>214.13939999999999</v>
      </c>
      <c r="M2799">
        <v>0.99986569999999997</v>
      </c>
      <c r="N2799">
        <v>0</v>
      </c>
      <c r="O2799">
        <v>7.7614869999999897E-3</v>
      </c>
      <c r="P2799">
        <v>0.997598599999999</v>
      </c>
      <c r="Q2799">
        <v>3.1211030000000001E-2</v>
      </c>
      <c r="R2799">
        <v>6.1830910000000003E-2</v>
      </c>
      <c r="S2799">
        <v>2.9967039999999998</v>
      </c>
      <c r="T2799">
        <v>-0.1676435</v>
      </c>
      <c r="U2799">
        <v>0.25736999999999999</v>
      </c>
      <c r="V2799">
        <v>-5.4194909999999999E-2</v>
      </c>
      <c r="W2799">
        <v>4.5492499999999998E-2</v>
      </c>
      <c r="X2799">
        <v>0.99749349999999903</v>
      </c>
      <c r="Y2799">
        <v>-7.7724370000000001E-2</v>
      </c>
      <c r="Z2799">
        <v>1.735304E-3</v>
      </c>
      <c r="AA2799">
        <v>0.99697340000000001</v>
      </c>
      <c r="AB2799">
        <v>43</v>
      </c>
      <c r="AC2799">
        <v>19.342099999999999</v>
      </c>
      <c r="AD2799">
        <v>-1.1055016697458</v>
      </c>
      <c r="AE2799">
        <v>1.6936</v>
      </c>
      <c r="AF2799">
        <v>-1.53842252373855</v>
      </c>
      <c r="AG2799">
        <v>-1.1055016697458</v>
      </c>
      <c r="AH2799">
        <v>19.292121097128799</v>
      </c>
      <c r="AI2799">
        <v>93.269293354978501</v>
      </c>
      <c r="AJ2799">
        <v>94.559321786915007</v>
      </c>
      <c r="AK2799">
        <v>19.384912025326202</v>
      </c>
    </row>
    <row r="2800" spans="1:37" x14ac:dyDescent="0.2">
      <c r="A2800" t="str">
        <f>"20200111153451415"</f>
        <v>20200111153451415</v>
      </c>
      <c r="B2800" t="str">
        <f>"1578728091408933"</f>
        <v>1578728091408933</v>
      </c>
      <c r="C2800" t="s">
        <v>37</v>
      </c>
      <c r="D2800">
        <v>5.035615</v>
      </c>
      <c r="E2800">
        <v>0.49065629999999999</v>
      </c>
      <c r="F2800" t="s">
        <v>52</v>
      </c>
      <c r="G2800">
        <v>-321.60120000000001</v>
      </c>
      <c r="H2800" s="1">
        <v>-6.8470080000000003E-7</v>
      </c>
      <c r="I2800">
        <v>215.8441</v>
      </c>
      <c r="J2800">
        <v>-340.52679999999998</v>
      </c>
      <c r="K2800">
        <v>1.1054759999999999</v>
      </c>
      <c r="L2800">
        <v>214.14359999999999</v>
      </c>
      <c r="M2800">
        <v>0.99985859999999904</v>
      </c>
      <c r="N2800">
        <v>0</v>
      </c>
      <c r="O2800">
        <v>8.6107579999999996E-3</v>
      </c>
      <c r="P2800">
        <v>0.99749789999999905</v>
      </c>
      <c r="Q2800">
        <v>3.1255169999999999E-2</v>
      </c>
      <c r="R2800">
        <v>6.3411049999999997E-2</v>
      </c>
      <c r="S2800">
        <v>2.9961849999999899</v>
      </c>
      <c r="T2800">
        <v>-0.17099909999999999</v>
      </c>
      <c r="U2800">
        <v>0.26368709999999901</v>
      </c>
      <c r="V2800">
        <v>-5.4925370000000001E-2</v>
      </c>
      <c r="W2800">
        <v>4.5534419999999999E-2</v>
      </c>
      <c r="X2800">
        <v>0.99745169999999905</v>
      </c>
      <c r="Y2800">
        <v>-7.8973409999999994E-2</v>
      </c>
      <c r="Z2800">
        <v>1.7573389999999999E-3</v>
      </c>
      <c r="AA2800">
        <v>0.99687519999999996</v>
      </c>
      <c r="AB2800">
        <v>43</v>
      </c>
      <c r="AC2800">
        <v>18.9255999999999</v>
      </c>
      <c r="AD2800">
        <v>-1.1054766847008</v>
      </c>
      <c r="AE2800">
        <v>1.7004999999999999</v>
      </c>
      <c r="AF2800">
        <v>-1.53227005381972</v>
      </c>
      <c r="AG2800">
        <v>-1.1054766847008</v>
      </c>
      <c r="AH2800">
        <v>18.875655741787199</v>
      </c>
      <c r="AI2800">
        <v>93.3408068000101</v>
      </c>
      <c r="AJ2800">
        <v>94.640926097820397</v>
      </c>
      <c r="AK2800">
        <v>18.969984446506899</v>
      </c>
    </row>
    <row r="2801" spans="1:37" x14ac:dyDescent="0.2">
      <c r="A2801" t="str">
        <f>"20200111153451429"</f>
        <v>20200111153451429</v>
      </c>
      <c r="B2801" t="str">
        <f>"1578728091418693"</f>
        <v>1578728091418693</v>
      </c>
      <c r="C2801" t="s">
        <v>37</v>
      </c>
      <c r="D2801">
        <v>5.1331629999999997</v>
      </c>
      <c r="E2801">
        <v>0.49078469999999902</v>
      </c>
      <c r="F2801" t="s">
        <v>52</v>
      </c>
      <c r="G2801">
        <v>-321.26240000000001</v>
      </c>
      <c r="H2801" s="1">
        <v>-8.6500150000000002E-7</v>
      </c>
      <c r="I2801">
        <v>215.8759</v>
      </c>
      <c r="J2801">
        <v>-340.2586</v>
      </c>
      <c r="K2801">
        <v>1.1054580000000001</v>
      </c>
      <c r="L2801">
        <v>214.1463</v>
      </c>
      <c r="M2801">
        <v>0.99985440000000003</v>
      </c>
      <c r="N2801">
        <v>0</v>
      </c>
      <c r="O2801">
        <v>9.1002280000000001E-3</v>
      </c>
      <c r="P2801">
        <v>0.99741179999999996</v>
      </c>
      <c r="Q2801">
        <v>3.1360260000000001E-2</v>
      </c>
      <c r="R2801">
        <v>6.4701250000000002E-2</v>
      </c>
      <c r="S2801">
        <v>2.9957579999999999</v>
      </c>
      <c r="T2801">
        <v>-0.17191029999999999</v>
      </c>
      <c r="U2801">
        <v>0.26937870000000003</v>
      </c>
      <c r="V2801">
        <v>-5.5726039999999998E-2</v>
      </c>
      <c r="W2801">
        <v>4.5637789999999998E-2</v>
      </c>
      <c r="X2801">
        <v>0.99740249999999997</v>
      </c>
      <c r="Y2801">
        <v>-8.0374089999999995E-2</v>
      </c>
      <c r="Z2801">
        <v>1.778862E-3</v>
      </c>
      <c r="AA2801">
        <v>0.99676319999999996</v>
      </c>
      <c r="AB2801">
        <v>43</v>
      </c>
      <c r="AC2801">
        <v>18.996199999999899</v>
      </c>
      <c r="AD2801">
        <v>-1.1054588650015</v>
      </c>
      <c r="AE2801">
        <v>1.7296</v>
      </c>
      <c r="AF2801">
        <v>-1.5514298744052399</v>
      </c>
      <c r="AG2801">
        <v>-1.1054588650015</v>
      </c>
      <c r="AH2801">
        <v>18.9475163459005</v>
      </c>
      <c r="AI2801">
        <v>93.327922271723907</v>
      </c>
      <c r="AJ2801">
        <v>94.680957944777205</v>
      </c>
      <c r="AK2801">
        <v>19.043039401197898</v>
      </c>
    </row>
    <row r="2802" spans="1:37" x14ac:dyDescent="0.2">
      <c r="A2802" t="str">
        <f>"20200111153451448"</f>
        <v>20200111153451448</v>
      </c>
      <c r="B2802" t="str">
        <f>"1578728091439192"</f>
        <v>1578728091439192</v>
      </c>
      <c r="C2802" t="s">
        <v>37</v>
      </c>
      <c r="D2802">
        <v>5.0987589999999896</v>
      </c>
      <c r="E2802">
        <v>0.51250209999999996</v>
      </c>
      <c r="F2802" t="s">
        <v>52</v>
      </c>
      <c r="G2802">
        <v>-320.80200000000002</v>
      </c>
      <c r="H2802" s="1">
        <v>-1.1099839999999999E-6</v>
      </c>
      <c r="I2802">
        <v>215.91489999999999</v>
      </c>
      <c r="J2802">
        <v>-339.88330000000002</v>
      </c>
      <c r="K2802">
        <v>1.105423</v>
      </c>
      <c r="L2802">
        <v>214.15029999999999</v>
      </c>
      <c r="M2802">
        <v>0.99984819999999996</v>
      </c>
      <c r="N2802">
        <v>0</v>
      </c>
      <c r="O2802">
        <v>9.7578319999999993E-3</v>
      </c>
      <c r="P2802">
        <v>0.99729080000000003</v>
      </c>
      <c r="Q2802">
        <v>3.1393259999999999E-2</v>
      </c>
      <c r="R2802">
        <v>6.6526130000000003E-2</v>
      </c>
      <c r="S2802">
        <v>2.995514</v>
      </c>
      <c r="T2802">
        <v>-0.1701956</v>
      </c>
      <c r="U2802">
        <v>0.27229309999999901</v>
      </c>
      <c r="V2802">
        <v>-5.6892089999999999E-2</v>
      </c>
      <c r="W2802">
        <v>4.5668750000000001E-2</v>
      </c>
      <c r="X2802">
        <v>0.99733530000000004</v>
      </c>
      <c r="Y2802">
        <v>-8.0690529999999996E-2</v>
      </c>
      <c r="Z2802">
        <v>1.732927E-3</v>
      </c>
      <c r="AA2802">
        <v>0.99673769999999995</v>
      </c>
      <c r="AB2802">
        <v>43</v>
      </c>
      <c r="AC2802">
        <v>19.081299999999999</v>
      </c>
      <c r="AD2802">
        <v>-1.1054241099840001</v>
      </c>
      <c r="AE2802">
        <v>1.7645999999999999</v>
      </c>
      <c r="AF2802">
        <v>-1.57306975452983</v>
      </c>
      <c r="AG2802">
        <v>-1.1054241099840001</v>
      </c>
      <c r="AH2802">
        <v>19.034271578569101</v>
      </c>
      <c r="AI2802">
        <v>93.312477814679895</v>
      </c>
      <c r="AJ2802">
        <v>94.724420181899603</v>
      </c>
      <c r="AK2802">
        <v>19.131126611945099</v>
      </c>
    </row>
    <row r="2803" spans="1:37" x14ac:dyDescent="0.2">
      <c r="A2803" t="str">
        <f>"20200111153451471"</f>
        <v>20200111153451471</v>
      </c>
      <c r="B2803" t="str">
        <f>"1578728091458708"</f>
        <v>1578728091458708</v>
      </c>
      <c r="C2803" t="s">
        <v>37</v>
      </c>
      <c r="D2803">
        <v>4.9802489999999997</v>
      </c>
      <c r="E2803">
        <v>0.51372029999999902</v>
      </c>
      <c r="F2803" t="s">
        <v>52</v>
      </c>
      <c r="G2803">
        <v>-321.18090000000001</v>
      </c>
      <c r="H2803" s="1">
        <v>-9.0839209999999999E-7</v>
      </c>
      <c r="I2803">
        <v>214.80289999999999</v>
      </c>
      <c r="J2803">
        <v>-339.45670000000001</v>
      </c>
      <c r="K2803">
        <v>1.105383</v>
      </c>
      <c r="L2803">
        <v>214.1551</v>
      </c>
      <c r="M2803">
        <v>0.99984130000000004</v>
      </c>
      <c r="N2803">
        <v>0</v>
      </c>
      <c r="O2803">
        <v>1.0460469999999999E-2</v>
      </c>
      <c r="P2803">
        <v>0.99719799999999903</v>
      </c>
      <c r="Q2803">
        <v>3.1064970000000001E-2</v>
      </c>
      <c r="R2803">
        <v>6.8053230000000006E-2</v>
      </c>
      <c r="S2803">
        <v>3.0067439999999999</v>
      </c>
      <c r="T2803">
        <v>-0.17771629999999899</v>
      </c>
      <c r="U2803">
        <v>0.1049194</v>
      </c>
      <c r="V2803">
        <v>-5.771329E-2</v>
      </c>
      <c r="W2803">
        <v>4.5340079999999998E-2</v>
      </c>
      <c r="X2803">
        <v>0.997303099999999</v>
      </c>
      <c r="Y2803">
        <v>-2.4392090000000002E-2</v>
      </c>
      <c r="Z2803">
        <v>1.02434599999999E-4</v>
      </c>
      <c r="AA2803">
        <v>0.99970249999999905</v>
      </c>
      <c r="AB2803">
        <v>43</v>
      </c>
      <c r="AC2803">
        <v>18.2758</v>
      </c>
      <c r="AD2803">
        <v>-1.1053839083921</v>
      </c>
      <c r="AE2803">
        <v>0.64779999999998905</v>
      </c>
      <c r="AF2803">
        <v>-0.454909128286277</v>
      </c>
      <c r="AG2803">
        <v>-1.1053839083921</v>
      </c>
      <c r="AH2803">
        <v>18.215025363167499</v>
      </c>
      <c r="AI2803">
        <v>93.4716716864272</v>
      </c>
      <c r="AJ2803">
        <v>91.430629695124196</v>
      </c>
      <c r="AK2803">
        <v>18.254204033064902</v>
      </c>
    </row>
    <row r="2804" spans="1:37" x14ac:dyDescent="0.2">
      <c r="A2804" t="str">
        <f>"20200111153451493"</f>
        <v>20200111153451493</v>
      </c>
      <c r="B2804" t="str">
        <f>"1578728091488965"</f>
        <v>1578728091488965</v>
      </c>
      <c r="C2804" t="s">
        <v>37</v>
      </c>
      <c r="D2804">
        <v>5.0309210000000002</v>
      </c>
      <c r="E2804">
        <v>0.51316620000000002</v>
      </c>
      <c r="F2804" t="s">
        <v>56</v>
      </c>
      <c r="G2804">
        <v>-319.20400000000001</v>
      </c>
      <c r="H2804" s="1">
        <v>4.9872289999999996E-6</v>
      </c>
      <c r="I2804">
        <v>214.8252</v>
      </c>
      <c r="J2804">
        <v>-339.04050000000001</v>
      </c>
      <c r="K2804">
        <v>1.10534</v>
      </c>
      <c r="L2804">
        <v>214.16</v>
      </c>
      <c r="M2804">
        <v>0.99983440000000001</v>
      </c>
      <c r="N2804">
        <v>0</v>
      </c>
      <c r="O2804">
        <v>1.1099120000000001E-2</v>
      </c>
      <c r="P2804">
        <v>0.9971584</v>
      </c>
      <c r="Q2804">
        <v>3.081089E-2</v>
      </c>
      <c r="R2804">
        <v>6.8746559999999998E-2</v>
      </c>
      <c r="S2804">
        <v>3.0067439999999999</v>
      </c>
      <c r="T2804">
        <v>-0.16410549999999999</v>
      </c>
      <c r="U2804">
        <v>9.9487300000000001E-2</v>
      </c>
      <c r="V2804">
        <v>-5.7763879999999997E-2</v>
      </c>
      <c r="W2804">
        <v>4.5089039999999997E-2</v>
      </c>
      <c r="X2804">
        <v>0.99731150000000002</v>
      </c>
      <c r="Y2804">
        <v>-2.1957569999999999E-2</v>
      </c>
      <c r="Z2804" s="1">
        <v>-6.5866039999999999E-6</v>
      </c>
      <c r="AA2804">
        <v>0.99975890000000001</v>
      </c>
      <c r="AB2804">
        <v>43</v>
      </c>
      <c r="AC2804">
        <v>19.836500000000001</v>
      </c>
      <c r="AD2804">
        <v>-1.105335012771</v>
      </c>
      <c r="AE2804">
        <v>0.66519999999999802</v>
      </c>
      <c r="AF2804">
        <v>-0.443592628357108</v>
      </c>
      <c r="AG2804">
        <v>-1.105335012771</v>
      </c>
      <c r="AH2804">
        <v>19.781310343914999</v>
      </c>
      <c r="AI2804">
        <v>93.197430897365805</v>
      </c>
      <c r="AJ2804">
        <v>91.284633117396695</v>
      </c>
      <c r="AK2804">
        <v>19.8171334665907</v>
      </c>
    </row>
    <row r="2805" spans="1:37" x14ac:dyDescent="0.2">
      <c r="A2805" t="str">
        <f>"20200111153451516"</f>
        <v>20200111153451516</v>
      </c>
      <c r="B2805" t="str">
        <f>"1578728091508484"</f>
        <v>1578728091508484</v>
      </c>
      <c r="C2805" t="s">
        <v>37</v>
      </c>
      <c r="D2805">
        <v>5.0270640000000002</v>
      </c>
      <c r="E2805">
        <v>0.51327559999999905</v>
      </c>
      <c r="F2805" t="s">
        <v>56</v>
      </c>
      <c r="G2805">
        <v>-317.3818</v>
      </c>
      <c r="H2805" s="1">
        <v>4.1791819999999997E-6</v>
      </c>
      <c r="I2805">
        <v>214.92320000000001</v>
      </c>
      <c r="J2805">
        <v>-338.61009999999999</v>
      </c>
      <c r="K2805">
        <v>1.1052919999999999</v>
      </c>
      <c r="L2805">
        <v>214.1653</v>
      </c>
      <c r="M2805">
        <v>0.99982749999999998</v>
      </c>
      <c r="N2805">
        <v>0</v>
      </c>
      <c r="O2805">
        <v>1.171005E-2</v>
      </c>
      <c r="P2805">
        <v>0.99716199999999999</v>
      </c>
      <c r="Q2805">
        <v>3.0996389999999999E-2</v>
      </c>
      <c r="R2805">
        <v>6.8609069999999994E-2</v>
      </c>
      <c r="S2805">
        <v>3.0059809999999998</v>
      </c>
      <c r="T2805">
        <v>-0.1534083</v>
      </c>
      <c r="U2805">
        <v>0.10592650000000001</v>
      </c>
      <c r="V2805">
        <v>-5.7012460000000001E-2</v>
      </c>
      <c r="W2805">
        <v>4.5280059999999997E-2</v>
      </c>
      <c r="X2805">
        <v>0.99734609999999901</v>
      </c>
      <c r="Y2805">
        <v>-2.349499E-2</v>
      </c>
      <c r="Z2805" s="1">
        <v>1.8877909999999999E-6</v>
      </c>
      <c r="AA2805">
        <v>0.99972399999999995</v>
      </c>
      <c r="AB2805">
        <v>43</v>
      </c>
      <c r="AC2805">
        <v>21.228299999999901</v>
      </c>
      <c r="AD2805">
        <v>-1.1052878208179999</v>
      </c>
      <c r="AE2805">
        <v>0.75790000000000601</v>
      </c>
      <c r="AF2805">
        <v>-0.50786269786637395</v>
      </c>
      <c r="AG2805">
        <v>-1.1052878208179999</v>
      </c>
      <c r="AH2805">
        <v>21.1783798638509</v>
      </c>
      <c r="AI2805">
        <v>92.986667233889406</v>
      </c>
      <c r="AJ2805">
        <v>91.3737034454184</v>
      </c>
      <c r="AK2805">
        <v>21.213282615953101</v>
      </c>
    </row>
    <row r="2806" spans="1:37" x14ac:dyDescent="0.2">
      <c r="A2806" t="str">
        <f>"20200111153451538"</f>
        <v>20200111153451538</v>
      </c>
      <c r="B2806" t="str">
        <f>"1578728091528983"</f>
        <v>1578728091528983</v>
      </c>
      <c r="C2806" t="s">
        <v>37</v>
      </c>
      <c r="D2806">
        <v>5.0180639999999999</v>
      </c>
      <c r="E2806">
        <v>0.51317020000000002</v>
      </c>
      <c r="F2806" t="s">
        <v>56</v>
      </c>
      <c r="G2806">
        <v>-316.4862</v>
      </c>
      <c r="H2806" s="1">
        <v>3.7820259999999998E-6</v>
      </c>
      <c r="I2806">
        <v>214.93690000000001</v>
      </c>
      <c r="J2806">
        <v>-338.176999999999</v>
      </c>
      <c r="K2806">
        <v>1.105248</v>
      </c>
      <c r="L2806">
        <v>214.17089999999999</v>
      </c>
      <c r="M2806">
        <v>0.99982070000000001</v>
      </c>
      <c r="N2806">
        <v>0</v>
      </c>
      <c r="O2806">
        <v>1.227718E-2</v>
      </c>
      <c r="P2806">
        <v>0.997224</v>
      </c>
      <c r="Q2806">
        <v>3.1132460000000001E-2</v>
      </c>
      <c r="R2806">
        <v>6.7638110000000001E-2</v>
      </c>
      <c r="S2806">
        <v>3.0060119999999899</v>
      </c>
      <c r="T2806">
        <v>-0.15017749999999999</v>
      </c>
      <c r="U2806">
        <v>0.10484309999999999</v>
      </c>
      <c r="V2806">
        <v>-5.5469280000000003E-2</v>
      </c>
      <c r="W2806">
        <v>4.5423440000000002E-2</v>
      </c>
      <c r="X2806">
        <v>0.99742659999999905</v>
      </c>
      <c r="Y2806">
        <v>-2.257019E-2</v>
      </c>
      <c r="Z2806" s="1">
        <v>-4.9537280000000003E-5</v>
      </c>
      <c r="AA2806">
        <v>0.999745199999999</v>
      </c>
      <c r="AB2806">
        <v>42</v>
      </c>
      <c r="AC2806">
        <v>21.6907999999999</v>
      </c>
      <c r="AD2806">
        <v>-1.1052442179740001</v>
      </c>
      <c r="AE2806">
        <v>0.766000000000019</v>
      </c>
      <c r="AF2806">
        <v>-0.498320513118505</v>
      </c>
      <c r="AG2806">
        <v>-1.1052442179740001</v>
      </c>
      <c r="AH2806">
        <v>21.642448521765601</v>
      </c>
      <c r="AI2806">
        <v>92.922688168051195</v>
      </c>
      <c r="AJ2806">
        <v>91.319010563805605</v>
      </c>
      <c r="AK2806">
        <v>21.676380374325198</v>
      </c>
    </row>
    <row r="2807" spans="1:37" x14ac:dyDescent="0.2">
      <c r="A2807" t="str">
        <f>"20200111153451560"</f>
        <v>20200111153451560</v>
      </c>
      <c r="B2807" t="str">
        <f>"1578728091548500"</f>
        <v>1578728091548500</v>
      </c>
      <c r="C2807" t="s">
        <v>37</v>
      </c>
      <c r="D2807">
        <v>5.0561419999999897</v>
      </c>
      <c r="E2807">
        <v>0.51334489999999999</v>
      </c>
      <c r="F2807" t="s">
        <v>56</v>
      </c>
      <c r="G2807">
        <v>-316.26069999999999</v>
      </c>
      <c r="H2807" s="1">
        <v>3.6820149999999998E-6</v>
      </c>
      <c r="I2807">
        <v>214.9203</v>
      </c>
      <c r="J2807">
        <v>-337.78489999999999</v>
      </c>
      <c r="K2807">
        <v>1.105208</v>
      </c>
      <c r="L2807">
        <v>214.17609999999999</v>
      </c>
      <c r="M2807">
        <v>0.9998148</v>
      </c>
      <c r="N2807">
        <v>0</v>
      </c>
      <c r="O2807">
        <v>1.275303E-2</v>
      </c>
      <c r="P2807">
        <v>0.99726599999999999</v>
      </c>
      <c r="Q2807">
        <v>3.1317190000000002E-2</v>
      </c>
      <c r="R2807">
        <v>6.693325E-2</v>
      </c>
      <c r="S2807">
        <v>3.0061040000000001</v>
      </c>
      <c r="T2807">
        <v>-0.15159839999999999</v>
      </c>
      <c r="U2807">
        <v>0.102798499999999</v>
      </c>
      <c r="V2807">
        <v>-5.4284979999999997E-2</v>
      </c>
      <c r="W2807">
        <v>4.5613969999999997E-2</v>
      </c>
      <c r="X2807">
        <v>0.99748309999999996</v>
      </c>
      <c r="Y2807">
        <v>-2.141593E-2</v>
      </c>
      <c r="Z2807">
        <v>-1.03056299999999E-4</v>
      </c>
      <c r="AA2807">
        <v>0.99977059999999995</v>
      </c>
      <c r="AB2807">
        <v>42</v>
      </c>
      <c r="AC2807">
        <v>21.5242</v>
      </c>
      <c r="AD2807">
        <v>-1.105204317985</v>
      </c>
      <c r="AE2807">
        <v>0.74420000000000597</v>
      </c>
      <c r="AF2807">
        <v>-0.46837876804777001</v>
      </c>
      <c r="AG2807">
        <v>-1.105204317985</v>
      </c>
      <c r="AH2807">
        <v>21.475388319592099</v>
      </c>
      <c r="AI2807">
        <v>92.945358214777102</v>
      </c>
      <c r="AJ2807">
        <v>91.249424332918593</v>
      </c>
      <c r="AK2807">
        <v>21.508908822441999</v>
      </c>
    </row>
    <row r="2808" spans="1:37" x14ac:dyDescent="0.2">
      <c r="A2808" t="str">
        <f>"20200111153451582"</f>
        <v>20200111153451582</v>
      </c>
      <c r="B2808" t="str">
        <f>"1578728091578756"</f>
        <v>1578728091578756</v>
      </c>
      <c r="C2808" t="s">
        <v>37</v>
      </c>
      <c r="D2808">
        <v>5.0209010000000003</v>
      </c>
      <c r="E2808">
        <v>0.51338930000000005</v>
      </c>
      <c r="F2808" t="s">
        <v>56</v>
      </c>
      <c r="G2808">
        <v>-315.8005</v>
      </c>
      <c r="H2808" s="1">
        <v>3.4779429999999999E-6</v>
      </c>
      <c r="I2808">
        <v>214.9032</v>
      </c>
      <c r="J2808">
        <v>-337.36219999999997</v>
      </c>
      <c r="K2808">
        <v>1.1051690000000001</v>
      </c>
      <c r="L2808">
        <v>214.18190000000001</v>
      </c>
      <c r="M2808">
        <v>0.99980869999999999</v>
      </c>
      <c r="N2808">
        <v>0</v>
      </c>
      <c r="O2808">
        <v>1.323527E-2</v>
      </c>
      <c r="P2808">
        <v>0.99729999999999996</v>
      </c>
      <c r="Q2808">
        <v>3.1154810000000002E-2</v>
      </c>
      <c r="R2808">
        <v>6.6502339999999993E-2</v>
      </c>
      <c r="S2808">
        <v>3.0062869999999999</v>
      </c>
      <c r="T2808">
        <v>-0.15113279999999901</v>
      </c>
      <c r="U2808">
        <v>9.9426269999999997E-2</v>
      </c>
      <c r="V2808">
        <v>-5.3367829999999998E-2</v>
      </c>
      <c r="W2808">
        <v>4.5455830000000003E-2</v>
      </c>
      <c r="X2808">
        <v>0.99753979999999998</v>
      </c>
      <c r="Y2808">
        <v>-1.9814120000000001E-2</v>
      </c>
      <c r="Z2808">
        <v>-1.6718359999999999E-4</v>
      </c>
      <c r="AA2808">
        <v>0.99980369999999996</v>
      </c>
      <c r="AB2808">
        <v>42</v>
      </c>
      <c r="AC2808">
        <v>21.561699999999899</v>
      </c>
      <c r="AD2808">
        <v>-1.105165522057</v>
      </c>
      <c r="AE2808">
        <v>0.72129999999998495</v>
      </c>
      <c r="AF2808">
        <v>-0.43469155705186302</v>
      </c>
      <c r="AG2808">
        <v>-1.105165522057</v>
      </c>
      <c r="AH2808">
        <v>21.512903669353101</v>
      </c>
      <c r="AI2808">
        <v>92.940226786319002</v>
      </c>
      <c r="AJ2808">
        <v>91.157565860647495</v>
      </c>
      <c r="AK2808">
        <v>21.545657842539502</v>
      </c>
    </row>
    <row r="2809" spans="1:37" x14ac:dyDescent="0.2">
      <c r="A2809" t="str">
        <f>"20200111153451605"</f>
        <v>20200111153451605</v>
      </c>
      <c r="B2809" t="str">
        <f>"1578728091599252"</f>
        <v>1578728091599252</v>
      </c>
      <c r="C2809" t="s">
        <v>37</v>
      </c>
      <c r="D2809">
        <v>5.0300320000000003</v>
      </c>
      <c r="E2809">
        <v>0.51338200000000001</v>
      </c>
      <c r="F2809" t="s">
        <v>56</v>
      </c>
      <c r="G2809">
        <v>-315.71480000000003</v>
      </c>
      <c r="H2809" s="1">
        <v>3.43990999999999E-6</v>
      </c>
      <c r="I2809">
        <v>214.88560000000001</v>
      </c>
      <c r="J2809">
        <v>-336.923</v>
      </c>
      <c r="K2809">
        <v>1.1051299999999999</v>
      </c>
      <c r="L2809">
        <v>214.18819999999999</v>
      </c>
      <c r="M2809">
        <v>0.99980210000000003</v>
      </c>
      <c r="N2809">
        <v>0</v>
      </c>
      <c r="O2809">
        <v>1.371375E-2</v>
      </c>
      <c r="P2809">
        <v>0.99731829999999999</v>
      </c>
      <c r="Q2809">
        <v>3.0900150000000001E-2</v>
      </c>
      <c r="R2809">
        <v>6.6341860000000002E-2</v>
      </c>
      <c r="S2809">
        <v>3.0064090000000001</v>
      </c>
      <c r="T2809">
        <v>-0.1534864</v>
      </c>
      <c r="U2809">
        <v>9.7732540000000007E-2</v>
      </c>
      <c r="V2809">
        <v>-5.2725330000000001E-2</v>
      </c>
      <c r="W2809">
        <v>4.5203840000000002E-2</v>
      </c>
      <c r="X2809">
        <v>0.99758539999999996</v>
      </c>
      <c r="Y2809">
        <v>-1.8773339999999999E-2</v>
      </c>
      <c r="Z2809">
        <v>-2.2072619999999999E-4</v>
      </c>
      <c r="AA2809">
        <v>0.99982369999999898</v>
      </c>
      <c r="AB2809">
        <v>42</v>
      </c>
      <c r="AC2809">
        <v>21.208199999999898</v>
      </c>
      <c r="AD2809">
        <v>-1.10512656009</v>
      </c>
      <c r="AE2809">
        <v>0.69740000000001501</v>
      </c>
      <c r="AF2809">
        <v>-0.40536076003075799</v>
      </c>
      <c r="AG2809">
        <v>-1.10512656009</v>
      </c>
      <c r="AH2809">
        <v>21.158381064151399</v>
      </c>
      <c r="AI2809">
        <v>92.989359905157002</v>
      </c>
      <c r="AJ2809">
        <v>91.097561278144397</v>
      </c>
      <c r="AK2809">
        <v>21.1910998137291</v>
      </c>
    </row>
    <row r="2810" spans="1:37" x14ac:dyDescent="0.2">
      <c r="A2810" t="str">
        <f>"20200111153451628"</f>
        <v>20200111153451628</v>
      </c>
      <c r="B2810" t="str">
        <f>"1578728091618775"</f>
        <v>1578728091618775</v>
      </c>
      <c r="C2810" t="s">
        <v>37</v>
      </c>
      <c r="D2810">
        <v>5.0536529999999997</v>
      </c>
      <c r="E2810">
        <v>0.51331939999999998</v>
      </c>
      <c r="F2810" t="s">
        <v>56</v>
      </c>
      <c r="G2810">
        <v>-315.49770000000001</v>
      </c>
      <c r="H2810" s="1">
        <v>3.3436360000000002E-6</v>
      </c>
      <c r="I2810">
        <v>214.88460000000001</v>
      </c>
      <c r="J2810">
        <v>-336.48770000000002</v>
      </c>
      <c r="K2810">
        <v>1.105102</v>
      </c>
      <c r="L2810">
        <v>214.19460000000001</v>
      </c>
      <c r="M2810">
        <v>0.99979589999999996</v>
      </c>
      <c r="N2810">
        <v>0</v>
      </c>
      <c r="O2810">
        <v>1.4173140000000001E-2</v>
      </c>
      <c r="P2810">
        <v>0.99730459999999999</v>
      </c>
      <c r="Q2810">
        <v>3.0708829999999999E-2</v>
      </c>
      <c r="R2810">
        <v>6.6639240000000002E-2</v>
      </c>
      <c r="S2810">
        <v>3.00637799999999</v>
      </c>
      <c r="T2810">
        <v>-0.15506989999999901</v>
      </c>
      <c r="U2810">
        <v>9.7717289999999998E-2</v>
      </c>
      <c r="V2810">
        <v>-5.2560240000000001E-2</v>
      </c>
      <c r="W2810">
        <v>4.5013770000000002E-2</v>
      </c>
      <c r="X2810">
        <v>0.99760269999999995</v>
      </c>
      <c r="Y2810">
        <v>-1.831029E-2</v>
      </c>
      <c r="Z2810">
        <v>-2.586051E-4</v>
      </c>
      <c r="AA2810">
        <v>0.99983230000000001</v>
      </c>
      <c r="AB2810">
        <v>42</v>
      </c>
      <c r="AC2810">
        <v>20.99</v>
      </c>
      <c r="AD2810">
        <v>-1.105098656364</v>
      </c>
      <c r="AE2810">
        <v>0.68999999999999695</v>
      </c>
      <c r="AF2810">
        <v>-0.39132209951062102</v>
      </c>
      <c r="AG2810">
        <v>-1.105098656364</v>
      </c>
      <c r="AH2810">
        <v>20.939691691410001</v>
      </c>
      <c r="AI2810">
        <v>93.020473283969295</v>
      </c>
      <c r="AJ2810">
        <v>91.070622025793895</v>
      </c>
      <c r="AK2810">
        <v>20.9724834999856</v>
      </c>
    </row>
    <row r="2811" spans="1:37" x14ac:dyDescent="0.2">
      <c r="A2811" t="str">
        <f>"20200111153451650"</f>
        <v>20200111153451650</v>
      </c>
      <c r="B2811" t="str">
        <f>"1578728091639271"</f>
        <v>1578728091639271</v>
      </c>
      <c r="C2811" t="s">
        <v>37</v>
      </c>
      <c r="D2811">
        <v>5.0312169999999998</v>
      </c>
      <c r="E2811">
        <v>0.51315489999999997</v>
      </c>
      <c r="F2811" t="s">
        <v>56</v>
      </c>
      <c r="G2811">
        <v>-315.35079999999999</v>
      </c>
      <c r="H2811" s="1">
        <v>3.27850599999999E-6</v>
      </c>
      <c r="I2811">
        <v>214.8914</v>
      </c>
      <c r="J2811">
        <v>-336.08330000000001</v>
      </c>
      <c r="K2811">
        <v>1.105073</v>
      </c>
      <c r="L2811">
        <v>214.20070000000001</v>
      </c>
      <c r="M2811">
        <v>0.99978999999999996</v>
      </c>
      <c r="N2811">
        <v>0</v>
      </c>
      <c r="O2811">
        <v>1.459248E-2</v>
      </c>
      <c r="P2811">
        <v>0.99727099999999902</v>
      </c>
      <c r="Q2811">
        <v>3.0500389999999999E-2</v>
      </c>
      <c r="R2811">
        <v>6.7235379999999997E-2</v>
      </c>
      <c r="S2811">
        <v>3.0063169999999899</v>
      </c>
      <c r="T2811">
        <v>-0.15717909999999999</v>
      </c>
      <c r="U2811">
        <v>9.9105830000000006E-2</v>
      </c>
      <c r="V2811">
        <v>-5.2735820000000003E-2</v>
      </c>
      <c r="W2811">
        <v>4.4793699999999999E-2</v>
      </c>
      <c r="X2811">
        <v>0.99760339999999903</v>
      </c>
      <c r="Y2811">
        <v>-1.8353270000000001E-2</v>
      </c>
      <c r="Z2811">
        <v>-2.8289910000000001E-4</v>
      </c>
      <c r="AA2811">
        <v>0.99983149999999998</v>
      </c>
      <c r="AB2811">
        <v>42</v>
      </c>
      <c r="AC2811">
        <v>20.732500000000002</v>
      </c>
      <c r="AD2811">
        <v>-1.105069721494</v>
      </c>
      <c r="AE2811">
        <v>0.69069999999999199</v>
      </c>
      <c r="AF2811">
        <v>-0.38695838825379397</v>
      </c>
      <c r="AG2811">
        <v>-1.105069721494</v>
      </c>
      <c r="AH2811">
        <v>20.681679942681299</v>
      </c>
      <c r="AI2811">
        <v>93.058002561219993</v>
      </c>
      <c r="AJ2811">
        <v>91.071890481974904</v>
      </c>
      <c r="AK2811">
        <v>20.714796671343599</v>
      </c>
    </row>
    <row r="2812" spans="1:37" x14ac:dyDescent="0.2">
      <c r="A2812" t="str">
        <f>"20200111153451672"</f>
        <v>20200111153451672</v>
      </c>
      <c r="B2812" t="str">
        <f>"1578728091668549"</f>
        <v>1578728091668549</v>
      </c>
      <c r="C2812" t="s">
        <v>37</v>
      </c>
      <c r="D2812">
        <v>5.0146280000000001</v>
      </c>
      <c r="E2812">
        <v>0.51313359999999997</v>
      </c>
      <c r="F2812" t="s">
        <v>56</v>
      </c>
      <c r="G2812">
        <v>-315.21809999999999</v>
      </c>
      <c r="H2812" s="1">
        <v>3.21964299999999E-6</v>
      </c>
      <c r="I2812">
        <v>214.9102</v>
      </c>
      <c r="J2812">
        <v>-335.66050000000001</v>
      </c>
      <c r="K2812">
        <v>1.1050469999999999</v>
      </c>
      <c r="L2812">
        <v>214.2073</v>
      </c>
      <c r="M2812">
        <v>0.99978419999999901</v>
      </c>
      <c r="N2812">
        <v>0</v>
      </c>
      <c r="O2812">
        <v>1.502886E-2</v>
      </c>
      <c r="P2812">
        <v>0.99720719999999996</v>
      </c>
      <c r="Q2812">
        <v>3.030447E-2</v>
      </c>
      <c r="R2812">
        <v>6.826074E-2</v>
      </c>
      <c r="S2812">
        <v>3.0062259999999998</v>
      </c>
      <c r="T2812">
        <v>-0.15921660000000001</v>
      </c>
      <c r="U2812">
        <v>0.10221860000000001</v>
      </c>
      <c r="V2812">
        <v>-5.3323879999999997E-2</v>
      </c>
      <c r="W2812">
        <v>4.4550279999999998E-2</v>
      </c>
      <c r="X2812">
        <v>0.997583</v>
      </c>
      <c r="Y2812">
        <v>-1.8951619999999999E-2</v>
      </c>
      <c r="Z2812">
        <v>-2.9382049999999998E-4</v>
      </c>
      <c r="AA2812">
        <v>0.99982039999999905</v>
      </c>
      <c r="AB2812">
        <v>42</v>
      </c>
      <c r="AC2812">
        <v>20.442399999999999</v>
      </c>
      <c r="AD2812">
        <v>-1.1050437803569999</v>
      </c>
      <c r="AE2812">
        <v>0.70289999999999897</v>
      </c>
      <c r="AF2812">
        <v>-0.39441187934581301</v>
      </c>
      <c r="AG2812">
        <v>-1.1050437803569999</v>
      </c>
      <c r="AH2812">
        <v>20.391141031115801</v>
      </c>
      <c r="AI2812">
        <v>93.101379524655798</v>
      </c>
      <c r="AJ2812">
        <v>91.108094858311105</v>
      </c>
      <c r="AK2812">
        <v>20.424870012754798</v>
      </c>
    </row>
    <row r="2813" spans="1:37" x14ac:dyDescent="0.2">
      <c r="A2813" t="str">
        <f>"20200111153451693"</f>
        <v>20200111153451693</v>
      </c>
      <c r="B2813" t="str">
        <f>"1578728091689044"</f>
        <v>1578728091689044</v>
      </c>
      <c r="C2813" t="s">
        <v>37</v>
      </c>
      <c r="D2813">
        <v>5.0307459999999997</v>
      </c>
      <c r="E2813">
        <v>0.51303120000000002</v>
      </c>
      <c r="F2813" t="s">
        <v>56</v>
      </c>
      <c r="G2813">
        <v>-315.01260000000002</v>
      </c>
      <c r="H2813" s="1">
        <v>3.1285389999999998E-6</v>
      </c>
      <c r="I2813">
        <v>214.9314</v>
      </c>
      <c r="J2813">
        <v>-335.24919999999997</v>
      </c>
      <c r="K2813">
        <v>1.1050139999999999</v>
      </c>
      <c r="L2813">
        <v>214.2139</v>
      </c>
      <c r="M2813">
        <v>0.99977909999999903</v>
      </c>
      <c r="N2813">
        <v>0</v>
      </c>
      <c r="O2813">
        <v>1.5454280000000001E-2</v>
      </c>
      <c r="P2813">
        <v>0.99718859999999998</v>
      </c>
      <c r="Q2813">
        <v>3.028482E-2</v>
      </c>
      <c r="R2813">
        <v>6.8539249999999996E-2</v>
      </c>
      <c r="S2813">
        <v>3.0060419999999999</v>
      </c>
      <c r="T2813">
        <v>-0.16087879999999999</v>
      </c>
      <c r="U2813">
        <v>0.10540769999999999</v>
      </c>
      <c r="V2813">
        <v>-5.3177170000000003E-2</v>
      </c>
      <c r="W2813">
        <v>4.4429749999999997E-2</v>
      </c>
      <c r="X2813">
        <v>0.99759619999999904</v>
      </c>
      <c r="Y2813">
        <v>-1.958729E-2</v>
      </c>
      <c r="Z2813">
        <v>-3.0264220000000001E-4</v>
      </c>
      <c r="AA2813">
        <v>0.99980809999999998</v>
      </c>
      <c r="AB2813">
        <v>42</v>
      </c>
      <c r="AC2813">
        <v>20.2365999999999</v>
      </c>
      <c r="AD2813">
        <v>-1.1050108714610001</v>
      </c>
      <c r="AE2813">
        <v>0.71750000000000103</v>
      </c>
      <c r="AF2813">
        <v>-0.40343907024490899</v>
      </c>
      <c r="AG2813">
        <v>-1.1050108714610001</v>
      </c>
      <c r="AH2813">
        <v>20.185162621722601</v>
      </c>
      <c r="AI2813">
        <v>93.1328319242768</v>
      </c>
      <c r="AJ2813">
        <v>91.145013254109998</v>
      </c>
      <c r="AK2813">
        <v>20.219411519004101</v>
      </c>
    </row>
    <row r="2814" spans="1:37" x14ac:dyDescent="0.2">
      <c r="A2814" t="str">
        <f>"20200111153451716"</f>
        <v>20200111153451716</v>
      </c>
      <c r="B2814" t="str">
        <f>"1578728091708564"</f>
        <v>1578728091708564</v>
      </c>
      <c r="C2814" t="s">
        <v>37</v>
      </c>
      <c r="D2814">
        <v>5.0563289999999999</v>
      </c>
      <c r="E2814">
        <v>0.51302349999999997</v>
      </c>
      <c r="F2814" t="s">
        <v>56</v>
      </c>
      <c r="G2814">
        <v>-314.73180000000002</v>
      </c>
      <c r="H2814" s="1">
        <v>3.003977E-6</v>
      </c>
      <c r="I2814">
        <v>214.9453</v>
      </c>
      <c r="J2814">
        <v>-334.81459999999998</v>
      </c>
      <c r="K2814">
        <v>1.10497</v>
      </c>
      <c r="L2814">
        <v>214.22099999999901</v>
      </c>
      <c r="M2814">
        <v>0.99977459999999996</v>
      </c>
      <c r="N2814">
        <v>0</v>
      </c>
      <c r="O2814">
        <v>1.5899130000000001E-2</v>
      </c>
      <c r="P2814">
        <v>0.99715569999999898</v>
      </c>
      <c r="Q2814">
        <v>3.08082999999999E-2</v>
      </c>
      <c r="R2814">
        <v>6.8784269999999995E-2</v>
      </c>
      <c r="S2814">
        <v>3.0059809999999998</v>
      </c>
      <c r="T2814">
        <v>-0.16189310000000001</v>
      </c>
      <c r="U2814">
        <v>0.1071472</v>
      </c>
      <c r="V2814">
        <v>-5.2977950000000003E-2</v>
      </c>
      <c r="W2814">
        <v>4.4793699999999999E-2</v>
      </c>
      <c r="X2814">
        <v>0.99759050000000005</v>
      </c>
      <c r="Y2814">
        <v>-1.97214E-2</v>
      </c>
      <c r="Z2814">
        <v>-3.2487050000000001E-4</v>
      </c>
      <c r="AA2814">
        <v>0.99980550000000001</v>
      </c>
      <c r="AB2814">
        <v>42</v>
      </c>
      <c r="AC2814">
        <v>20.082799999999899</v>
      </c>
      <c r="AD2814">
        <v>-1.104966996023</v>
      </c>
      <c r="AE2814">
        <v>0.72430000000002703</v>
      </c>
      <c r="AF2814">
        <v>-0.40365738351782798</v>
      </c>
      <c r="AG2814">
        <v>-1.104966996023</v>
      </c>
      <c r="AH2814">
        <v>20.031216949367</v>
      </c>
      <c r="AI2814">
        <v>93.156724638571106</v>
      </c>
      <c r="AJ2814">
        <v>91.154434834463501</v>
      </c>
      <c r="AK2814">
        <v>20.0657305827168</v>
      </c>
    </row>
    <row r="2815" spans="1:37" x14ac:dyDescent="0.2">
      <c r="A2815" t="str">
        <f>"20200111153451739"</f>
        <v>20200111153451739</v>
      </c>
      <c r="B2815" t="str">
        <f>"1578728091729063"</f>
        <v>1578728091729063</v>
      </c>
      <c r="C2815" t="s">
        <v>37</v>
      </c>
      <c r="D2815">
        <v>5.0217849999999897</v>
      </c>
      <c r="E2815">
        <v>0.5130458</v>
      </c>
      <c r="F2815" t="s">
        <v>56</v>
      </c>
      <c r="G2815">
        <v>-314.19330000000002</v>
      </c>
      <c r="H2815" s="1">
        <v>2.7652129999999999E-6</v>
      </c>
      <c r="I2815">
        <v>214.9624</v>
      </c>
      <c r="J2815">
        <v>-334.39330000000001</v>
      </c>
      <c r="K2815">
        <v>1.104919</v>
      </c>
      <c r="L2815">
        <v>214.22819999999999</v>
      </c>
      <c r="M2815">
        <v>0.9997703</v>
      </c>
      <c r="N2815">
        <v>0</v>
      </c>
      <c r="O2815">
        <v>1.6329469999999999E-2</v>
      </c>
      <c r="P2815">
        <v>0.99712459999999903</v>
      </c>
      <c r="Q2815">
        <v>3.1143219999999999E-2</v>
      </c>
      <c r="R2815">
        <v>6.9087179999999998E-2</v>
      </c>
      <c r="S2815">
        <v>3.0060419999999999</v>
      </c>
      <c r="T2815">
        <v>-0.16107550000000001</v>
      </c>
      <c r="U2815">
        <v>0.10807799999999999</v>
      </c>
      <c r="V2815">
        <v>-5.2850599999999998E-2</v>
      </c>
      <c r="W2815">
        <v>4.4936610000000002E-2</v>
      </c>
      <c r="X2815">
        <v>0.9975908</v>
      </c>
      <c r="Y2815">
        <v>-1.9600389999999999E-2</v>
      </c>
      <c r="Z2815">
        <v>-3.49491699999999E-4</v>
      </c>
      <c r="AA2815">
        <v>0.99980780000000002</v>
      </c>
      <c r="AB2815">
        <v>42</v>
      </c>
      <c r="AC2815">
        <v>20.1999999999999</v>
      </c>
      <c r="AD2815">
        <v>-1.1049162347870001</v>
      </c>
      <c r="AE2815">
        <v>0.73420000000001495</v>
      </c>
      <c r="AF2815">
        <v>-0.40301080547775903</v>
      </c>
      <c r="AG2815">
        <v>-1.1049162347870001</v>
      </c>
      <c r="AH2815">
        <v>20.149090609283</v>
      </c>
      <c r="AI2815">
        <v>93.138160133518298</v>
      </c>
      <c r="AJ2815">
        <v>91.145845250282093</v>
      </c>
      <c r="AK2815">
        <v>20.183386979799099</v>
      </c>
    </row>
    <row r="2816" spans="1:37" x14ac:dyDescent="0.2">
      <c r="A2816" t="str">
        <f>"20200111153451772"</f>
        <v>20200111153451772</v>
      </c>
      <c r="B2816" t="str">
        <f>"1578728091759316"</f>
        <v>1578728091759316</v>
      </c>
      <c r="C2816" t="s">
        <v>37</v>
      </c>
      <c r="D2816">
        <v>4.9757550000000004</v>
      </c>
      <c r="E2816">
        <v>0.5131291</v>
      </c>
      <c r="F2816" t="s">
        <v>56</v>
      </c>
      <c r="G2816">
        <v>-313.67469999999997</v>
      </c>
      <c r="H2816" s="1">
        <v>2.5352060000000001E-6</v>
      </c>
      <c r="I2816">
        <v>214.97819999999999</v>
      </c>
      <c r="J2816">
        <v>-333.77890000000002</v>
      </c>
      <c r="K2816">
        <v>1.104843</v>
      </c>
      <c r="L2816">
        <v>214.2389</v>
      </c>
      <c r="M2816">
        <v>0.99976430000000005</v>
      </c>
      <c r="N2816">
        <v>0</v>
      </c>
      <c r="O2816">
        <v>1.6966769999999999E-2</v>
      </c>
      <c r="P2816">
        <v>0.99707780000000001</v>
      </c>
      <c r="Q2816">
        <v>3.1633080000000001E-2</v>
      </c>
      <c r="R2816">
        <v>6.9539379999999998E-2</v>
      </c>
      <c r="S2816">
        <v>3.0061339999999999</v>
      </c>
      <c r="T2816">
        <v>-0.16031609999999999</v>
      </c>
      <c r="U2816">
        <v>0.1088257</v>
      </c>
      <c r="V2816">
        <v>-5.2665190000000001E-2</v>
      </c>
      <c r="W2816">
        <v>4.5096659999999997E-2</v>
      </c>
      <c r="X2816">
        <v>0.99759349999999902</v>
      </c>
      <c r="Y2816">
        <v>-1.9211900000000001E-2</v>
      </c>
      <c r="Z2816">
        <v>-3.921242E-4</v>
      </c>
      <c r="AA2816">
        <v>0.99981529999999996</v>
      </c>
      <c r="AB2816">
        <v>42</v>
      </c>
      <c r="AC2816">
        <v>20.104199999999999</v>
      </c>
      <c r="AD2816">
        <v>-1.104840464794</v>
      </c>
      <c r="AE2816">
        <v>0.73929999999998497</v>
      </c>
      <c r="AF2816">
        <v>-0.39686197190908101</v>
      </c>
      <c r="AG2816">
        <v>-1.104840464794</v>
      </c>
      <c r="AH2816">
        <v>20.053368255275</v>
      </c>
      <c r="AI2816">
        <v>93.152907035160297</v>
      </c>
      <c r="AJ2816">
        <v>91.133752090525505</v>
      </c>
      <c r="AK2816">
        <v>20.0877014677903</v>
      </c>
    </row>
    <row r="2817" spans="1:37" x14ac:dyDescent="0.2">
      <c r="A2817" t="str">
        <f>"20200111153451795"</f>
        <v>20200111153451795</v>
      </c>
      <c r="B2817" t="str">
        <f>"1578728091788596"</f>
        <v>1578728091788596</v>
      </c>
      <c r="C2817" t="s">
        <v>37</v>
      </c>
      <c r="D2817">
        <v>4.9466589999999897</v>
      </c>
      <c r="E2817">
        <v>0.5131445</v>
      </c>
      <c r="F2817" t="s">
        <v>56</v>
      </c>
      <c r="G2817">
        <v>-313.015999999999</v>
      </c>
      <c r="H2817" s="1">
        <v>2.2431160000000002E-6</v>
      </c>
      <c r="I2817">
        <v>214.99459999999999</v>
      </c>
      <c r="J2817">
        <v>-333.3372</v>
      </c>
      <c r="K2817">
        <v>1.104786</v>
      </c>
      <c r="L2817">
        <v>214.24680000000001</v>
      </c>
      <c r="M2817">
        <v>0.99975979999999998</v>
      </c>
      <c r="N2817">
        <v>0</v>
      </c>
      <c r="O2817">
        <v>1.7426199999999999E-2</v>
      </c>
      <c r="P2817">
        <v>0.99703539999999902</v>
      </c>
      <c r="Q2817">
        <v>3.1634669999999997E-2</v>
      </c>
      <c r="R2817">
        <v>7.0141809999999999E-2</v>
      </c>
      <c r="S2817">
        <v>3.0062259999999998</v>
      </c>
      <c r="T2817">
        <v>-0.159968</v>
      </c>
      <c r="U2817">
        <v>0.1094208</v>
      </c>
      <c r="V2817">
        <v>-5.280704E-2</v>
      </c>
      <c r="W2817">
        <v>4.484991E-2</v>
      </c>
      <c r="X2817">
        <v>0.99759699999999996</v>
      </c>
      <c r="Y2817">
        <v>-1.8950089999999999E-2</v>
      </c>
      <c r="Z2817">
        <v>-4.22633E-4</v>
      </c>
      <c r="AA2817">
        <v>0.99982039999999905</v>
      </c>
      <c r="AB2817">
        <v>42</v>
      </c>
      <c r="AC2817">
        <v>20.321200000000001</v>
      </c>
      <c r="AD2817">
        <v>-1.104783756884</v>
      </c>
      <c r="AE2817">
        <v>0.74779999999998303</v>
      </c>
      <c r="AF2817">
        <v>-0.39237568285527602</v>
      </c>
      <c r="AG2817">
        <v>-1.104783756884</v>
      </c>
      <c r="AH2817">
        <v>20.271311918359501</v>
      </c>
      <c r="AI2817">
        <v>93.118943031228397</v>
      </c>
      <c r="AJ2817">
        <v>91.108890419946206</v>
      </c>
      <c r="AK2817">
        <v>20.305186350225799</v>
      </c>
    </row>
    <row r="2818" spans="1:37" x14ac:dyDescent="0.2">
      <c r="A2818" t="str">
        <f>"20200111153451817"</f>
        <v>20200111153451817</v>
      </c>
      <c r="B2818" t="str">
        <f>"1578728091809093"</f>
        <v>1578728091809093</v>
      </c>
      <c r="C2818" t="s">
        <v>37</v>
      </c>
      <c r="D2818">
        <v>4.9841199999999999</v>
      </c>
      <c r="E2818">
        <v>0.49540119999999999</v>
      </c>
      <c r="F2818" t="s">
        <v>56</v>
      </c>
      <c r="G2818">
        <v>-312.71539999999999</v>
      </c>
      <c r="H2818" s="1">
        <v>2.109812E-6</v>
      </c>
      <c r="I2818">
        <v>215.00880000000001</v>
      </c>
      <c r="J2818">
        <v>-332.899</v>
      </c>
      <c r="K2818">
        <v>1.104725</v>
      </c>
      <c r="L2818">
        <v>214.25479999999999</v>
      </c>
      <c r="M2818">
        <v>0.99975569999999903</v>
      </c>
      <c r="N2818">
        <v>0</v>
      </c>
      <c r="O2818">
        <v>1.7871660000000001E-2</v>
      </c>
      <c r="P2818">
        <v>0.99698330000000002</v>
      </c>
      <c r="Q2818">
        <v>3.1409230000000003E-2</v>
      </c>
      <c r="R2818">
        <v>7.097987E-2</v>
      </c>
      <c r="S2818">
        <v>3.0062259999999998</v>
      </c>
      <c r="T2818">
        <v>-0.1610539</v>
      </c>
      <c r="U2818">
        <v>0.111083999999999</v>
      </c>
      <c r="V2818">
        <v>-5.3199749999999997E-2</v>
      </c>
      <c r="W2818">
        <v>4.433877E-2</v>
      </c>
      <c r="X2818">
        <v>0.99759909999999996</v>
      </c>
      <c r="Y2818">
        <v>-1.9057540000000001E-2</v>
      </c>
      <c r="Z2818">
        <v>-4.4644869999999997E-4</v>
      </c>
      <c r="AA2818">
        <v>0.99981830000000005</v>
      </c>
      <c r="AB2818">
        <v>42</v>
      </c>
      <c r="AC2818">
        <v>20.183599999999998</v>
      </c>
      <c r="AD2818">
        <v>-1.104722890188</v>
      </c>
      <c r="AE2818">
        <v>0.75400000000001899</v>
      </c>
      <c r="AF2818">
        <v>-0.39196201635060401</v>
      </c>
      <c r="AG2818">
        <v>-1.104722890188</v>
      </c>
      <c r="AH2818">
        <v>20.133620510213699</v>
      </c>
      <c r="AI2818">
        <v>93.140051101429506</v>
      </c>
      <c r="AJ2818">
        <v>91.115295319211796</v>
      </c>
      <c r="AK2818">
        <v>20.167714836730099</v>
      </c>
    </row>
    <row r="2819" spans="1:37" x14ac:dyDescent="0.2">
      <c r="A2819" t="str">
        <f>"20200111153451840"</f>
        <v>20200111153451840</v>
      </c>
      <c r="B2819" t="str">
        <f>"1578728091828761"</f>
        <v>1578728091828761</v>
      </c>
      <c r="C2819" t="s">
        <v>37</v>
      </c>
      <c r="D2819">
        <v>5.0784750000000001</v>
      </c>
      <c r="E2819">
        <v>0.48719780000000001</v>
      </c>
      <c r="F2819" t="s">
        <v>56</v>
      </c>
      <c r="G2819">
        <v>-312.64670000000001</v>
      </c>
      <c r="H2819" s="1">
        <v>2.0793599999999899E-6</v>
      </c>
      <c r="I2819">
        <v>215.97730000000001</v>
      </c>
      <c r="J2819">
        <v>-332.49560000000002</v>
      </c>
      <c r="K2819">
        <v>1.104668</v>
      </c>
      <c r="L2819">
        <v>214.26230000000001</v>
      </c>
      <c r="M2819">
        <v>0.99975239999999999</v>
      </c>
      <c r="N2819">
        <v>0</v>
      </c>
      <c r="O2819">
        <v>1.8261980000000001E-2</v>
      </c>
      <c r="P2819">
        <v>0.99693969999999899</v>
      </c>
      <c r="Q2819">
        <v>3.0877419999999999E-2</v>
      </c>
      <c r="R2819">
        <v>7.1816939999999996E-2</v>
      </c>
      <c r="S2819">
        <v>2.9960939999999998</v>
      </c>
      <c r="T2819">
        <v>-0.16343150000000001</v>
      </c>
      <c r="U2819">
        <v>0.25482179999999999</v>
      </c>
      <c r="V2819">
        <v>-5.3645039999999998E-2</v>
      </c>
      <c r="W2819">
        <v>4.350892E-2</v>
      </c>
      <c r="X2819">
        <v>0.99761180000000005</v>
      </c>
      <c r="Y2819">
        <v>-6.6462380000000001E-2</v>
      </c>
      <c r="Z2819">
        <v>8.1462349999999995E-4</v>
      </c>
      <c r="AA2819">
        <v>0.99778860000000003</v>
      </c>
      <c r="AB2819">
        <v>42</v>
      </c>
      <c r="AC2819">
        <v>19.8489</v>
      </c>
      <c r="AD2819">
        <v>-1.10466592064</v>
      </c>
      <c r="AE2819">
        <v>1.7150000000000001</v>
      </c>
      <c r="AF2819">
        <v>-1.3480599786824901</v>
      </c>
      <c r="AG2819">
        <v>-1.10466592064</v>
      </c>
      <c r="AH2819">
        <v>19.815989146704801</v>
      </c>
      <c r="AI2819">
        <v>93.183376480855003</v>
      </c>
      <c r="AJ2819">
        <v>93.891772727104694</v>
      </c>
      <c r="AK2819">
        <v>19.892485474788501</v>
      </c>
    </row>
    <row r="2820" spans="1:37" x14ac:dyDescent="0.2">
      <c r="A2820" t="str">
        <f>"20200111153451860"</f>
        <v>20200111153451860</v>
      </c>
      <c r="B2820" t="str">
        <f>"1578728091849248"</f>
        <v>1578728091849248</v>
      </c>
      <c r="C2820" t="s">
        <v>37</v>
      </c>
      <c r="D2820">
        <v>4.9647410000000001</v>
      </c>
      <c r="E2820">
        <v>0.48317299999999902</v>
      </c>
      <c r="F2820" t="s">
        <v>56</v>
      </c>
      <c r="G2820">
        <v>-313.11869999999999</v>
      </c>
      <c r="H2820" s="1">
        <v>2.2886419999999999E-6</v>
      </c>
      <c r="I2820">
        <v>216.35</v>
      </c>
      <c r="J2820">
        <v>-332.0915</v>
      </c>
      <c r="K2820">
        <v>1.1046049999999901</v>
      </c>
      <c r="L2820">
        <v>214.27</v>
      </c>
      <c r="M2820">
        <v>0.99974969999999996</v>
      </c>
      <c r="N2820">
        <v>0</v>
      </c>
      <c r="O2820">
        <v>1.8626360000000002E-2</v>
      </c>
      <c r="P2820">
        <v>0.99689019999999995</v>
      </c>
      <c r="Q2820">
        <v>3.1465739999999999E-2</v>
      </c>
      <c r="R2820">
        <v>7.2247969999999995E-2</v>
      </c>
      <c r="S2820">
        <v>2.9912719999999999</v>
      </c>
      <c r="T2820">
        <v>-0.1705306</v>
      </c>
      <c r="U2820">
        <v>0.32228089999999998</v>
      </c>
      <c r="V2820">
        <v>-5.3711490000000001E-2</v>
      </c>
      <c r="W2820">
        <v>4.3777120000000003E-2</v>
      </c>
      <c r="X2820">
        <v>0.99759639999999905</v>
      </c>
      <c r="Y2820">
        <v>-8.8469240000000005E-2</v>
      </c>
      <c r="Z2820">
        <v>1.4547570000000001E-3</v>
      </c>
      <c r="AA2820">
        <v>0.99607780000000001</v>
      </c>
      <c r="AB2820">
        <v>42</v>
      </c>
      <c r="AC2820">
        <v>18.972799999999999</v>
      </c>
      <c r="AD2820">
        <v>-1.1046027113579999</v>
      </c>
      <c r="AE2820">
        <v>2.0799999999999801</v>
      </c>
      <c r="AF2820">
        <v>-1.7204553383704899</v>
      </c>
      <c r="AG2820">
        <v>-1.1046027113579999</v>
      </c>
      <c r="AH2820">
        <v>18.944800990016098</v>
      </c>
      <c r="AI2820">
        <v>93.323286373142096</v>
      </c>
      <c r="AJ2820">
        <v>95.189031754870499</v>
      </c>
      <c r="AK2820">
        <v>19.054805122923302</v>
      </c>
    </row>
    <row r="2821" spans="1:37" x14ac:dyDescent="0.2">
      <c r="A2821" t="str">
        <f>"20200111153451884"</f>
        <v>20200111153451884</v>
      </c>
      <c r="B2821" t="str">
        <f>"1578728091878528"</f>
        <v>1578728091878528</v>
      </c>
      <c r="C2821" t="s">
        <v>37</v>
      </c>
      <c r="D2821">
        <v>4.950933</v>
      </c>
      <c r="E2821">
        <v>0.48158040000000002</v>
      </c>
      <c r="F2821" t="s">
        <v>56</v>
      </c>
      <c r="G2821">
        <v>-313.43020000000001</v>
      </c>
      <c r="H2821" s="1">
        <v>2.4267809999999999E-6</v>
      </c>
      <c r="I2821">
        <v>216.49189999999999</v>
      </c>
      <c r="J2821">
        <v>-331.65359999999998</v>
      </c>
      <c r="K2821">
        <v>1.1045419999999999</v>
      </c>
      <c r="L2821">
        <v>214.2784</v>
      </c>
      <c r="M2821">
        <v>0.99974689999999999</v>
      </c>
      <c r="N2821">
        <v>0</v>
      </c>
      <c r="O2821">
        <v>1.899526E-2</v>
      </c>
      <c r="P2821">
        <v>0.99688120000000002</v>
      </c>
      <c r="Q2821">
        <v>3.2150720000000001E-2</v>
      </c>
      <c r="R2821">
        <v>7.2071830000000003E-2</v>
      </c>
      <c r="S2821">
        <v>2.9891359999999998</v>
      </c>
      <c r="T2821">
        <v>-0.1769328</v>
      </c>
      <c r="U2821">
        <v>0.35589599999999999</v>
      </c>
      <c r="V2821">
        <v>-5.316601E-2</v>
      </c>
      <c r="W2821">
        <v>4.4121540000000001E-2</v>
      </c>
      <c r="X2821">
        <v>0.99761039999999901</v>
      </c>
      <c r="Y2821">
        <v>-9.9205020000000005E-2</v>
      </c>
      <c r="Z2821">
        <v>1.8040489999999901E-3</v>
      </c>
      <c r="AA2821">
        <v>0.99506539999999999</v>
      </c>
      <c r="AB2821">
        <v>42</v>
      </c>
      <c r="AC2821">
        <v>18.223399999999899</v>
      </c>
      <c r="AD2821">
        <v>-1.104539573219</v>
      </c>
      <c r="AE2821">
        <v>2.2134999999999798</v>
      </c>
      <c r="AF2821">
        <v>-1.8601827961875901</v>
      </c>
      <c r="AG2821">
        <v>-1.104539573219</v>
      </c>
      <c r="AH2821">
        <v>18.196284815928301</v>
      </c>
      <c r="AI2821">
        <v>93.4557041966453</v>
      </c>
      <c r="AJ2821">
        <v>95.836996629244197</v>
      </c>
      <c r="AK2821">
        <v>18.3244391130103</v>
      </c>
    </row>
    <row r="2822" spans="1:37" x14ac:dyDescent="0.2">
      <c r="A2822" t="str">
        <f>"20200111153451906"</f>
        <v>20200111153451906</v>
      </c>
      <c r="B2822" t="str">
        <f>"1578728091899027"</f>
        <v>1578728091899027</v>
      </c>
      <c r="C2822" t="s">
        <v>37</v>
      </c>
      <c r="D2822">
        <v>4.9254639999999998</v>
      </c>
      <c r="E2822">
        <v>0.48111660000000001</v>
      </c>
      <c r="F2822" t="s">
        <v>56</v>
      </c>
      <c r="G2822">
        <v>-312.9699</v>
      </c>
      <c r="H2822" s="1">
        <v>2.2226600000000001E-6</v>
      </c>
      <c r="I2822">
        <v>216.58019999999999</v>
      </c>
      <c r="J2822">
        <v>-331.20740000000001</v>
      </c>
      <c r="K2822">
        <v>1.1044799999999999</v>
      </c>
      <c r="L2822">
        <v>214.28720000000001</v>
      </c>
      <c r="M2822">
        <v>0.99974459999999998</v>
      </c>
      <c r="N2822">
        <v>0</v>
      </c>
      <c r="O2822">
        <v>1.934052E-2</v>
      </c>
      <c r="P2822">
        <v>0.99686469999999905</v>
      </c>
      <c r="Q2822">
        <v>3.2339489999999999E-2</v>
      </c>
      <c r="R2822">
        <v>7.2216219999999998E-2</v>
      </c>
      <c r="S2822">
        <v>2.9884339999999998</v>
      </c>
      <c r="T2822">
        <v>-0.17666970000000001</v>
      </c>
      <c r="U2822">
        <v>0.36816409999999899</v>
      </c>
      <c r="V2822">
        <v>-5.2963250000000003E-2</v>
      </c>
      <c r="W2822">
        <v>4.3964349999999999E-2</v>
      </c>
      <c r="X2822">
        <v>0.99762819999999997</v>
      </c>
      <c r="Y2822">
        <v>-0.10290870000000001</v>
      </c>
      <c r="Z2822">
        <v>1.8900329999999999E-3</v>
      </c>
      <c r="AA2822">
        <v>0.99468899999999905</v>
      </c>
      <c r="AB2822">
        <v>43</v>
      </c>
      <c r="AC2822">
        <v>18.237500000000001</v>
      </c>
      <c r="AD2822">
        <v>-1.1044777773400001</v>
      </c>
      <c r="AE2822">
        <v>2.29299999999997</v>
      </c>
      <c r="AF2822">
        <v>-1.93284559629908</v>
      </c>
      <c r="AG2822">
        <v>-1.1044777773400001</v>
      </c>
      <c r="AH2822">
        <v>18.2126815893198</v>
      </c>
      <c r="AI2822">
        <v>93.451024724860702</v>
      </c>
      <c r="AJ2822">
        <v>96.057917363281703</v>
      </c>
      <c r="AK2822">
        <v>18.348229722066399</v>
      </c>
    </row>
    <row r="2823" spans="1:37" x14ac:dyDescent="0.2">
      <c r="A2823" t="str">
        <f>"20200111153451928"</f>
        <v>20200111153451928</v>
      </c>
      <c r="B2823" t="str">
        <f>"1578728091918544"</f>
        <v>1578728091918544</v>
      </c>
      <c r="C2823" t="s">
        <v>37</v>
      </c>
      <c r="D2823">
        <v>4.9904900000000003</v>
      </c>
      <c r="E2823">
        <v>0.48077929999999902</v>
      </c>
      <c r="F2823" t="s">
        <v>56</v>
      </c>
      <c r="G2823">
        <v>-312.74299999999999</v>
      </c>
      <c r="H2823" s="1">
        <v>2.1220740000000001E-6</v>
      </c>
      <c r="I2823">
        <v>216.5874</v>
      </c>
      <c r="J2823">
        <v>-330.80799999999999</v>
      </c>
      <c r="K2823">
        <v>1.104419</v>
      </c>
      <c r="L2823">
        <v>214.29509999999999</v>
      </c>
      <c r="M2823">
        <v>0.99974280000000004</v>
      </c>
      <c r="N2823">
        <v>0</v>
      </c>
      <c r="O2823">
        <v>1.962094E-2</v>
      </c>
      <c r="P2823">
        <v>0.99687309999999996</v>
      </c>
      <c r="Q2823">
        <v>3.2340809999999998E-2</v>
      </c>
      <c r="R2823">
        <v>7.2098280000000001E-2</v>
      </c>
      <c r="S2823">
        <v>2.9882810000000002</v>
      </c>
      <c r="T2823">
        <v>-0.17874960000000001</v>
      </c>
      <c r="U2823">
        <v>0.37226870000000001</v>
      </c>
      <c r="V2823">
        <v>-5.2562499999999998E-2</v>
      </c>
      <c r="W2823">
        <v>4.3643260000000003E-2</v>
      </c>
      <c r="X2823">
        <v>0.99766350000000004</v>
      </c>
      <c r="Y2823">
        <v>-0.10397670000000001</v>
      </c>
      <c r="Z2823">
        <v>1.9272969999999999E-3</v>
      </c>
      <c r="AA2823">
        <v>0.99457790000000001</v>
      </c>
      <c r="AB2823">
        <v>43</v>
      </c>
      <c r="AC2823">
        <v>18.065000000000001</v>
      </c>
      <c r="AD2823">
        <v>-1.104416877926</v>
      </c>
      <c r="AE2823">
        <v>2.2923000000000102</v>
      </c>
      <c r="AF2823">
        <v>-1.93028318922482</v>
      </c>
      <c r="AG2823">
        <v>-1.104416877926</v>
      </c>
      <c r="AH2823">
        <v>18.040143900812801</v>
      </c>
      <c r="AI2823">
        <v>93.483438483625406</v>
      </c>
      <c r="AJ2823">
        <v>96.107372893434501</v>
      </c>
      <c r="AK2823">
        <v>18.176702720594999</v>
      </c>
    </row>
    <row r="2824" spans="1:37" x14ac:dyDescent="0.2">
      <c r="A2824" t="str">
        <f>"20200111153451950"</f>
        <v>20200111153451950</v>
      </c>
      <c r="B2824" t="str">
        <f>"1578728091939044"</f>
        <v>1578728091939044</v>
      </c>
      <c r="C2824" t="s">
        <v>37</v>
      </c>
      <c r="D2824">
        <v>4.929119</v>
      </c>
      <c r="E2824">
        <v>0.48054330000000001</v>
      </c>
      <c r="F2824" t="s">
        <v>56</v>
      </c>
      <c r="G2824">
        <v>-312.44189999999998</v>
      </c>
      <c r="H2824" s="1">
        <v>1.9885379999999999E-6</v>
      </c>
      <c r="I2824">
        <v>216.5968</v>
      </c>
      <c r="J2824">
        <v>-330.3904</v>
      </c>
      <c r="K2824">
        <v>1.104344</v>
      </c>
      <c r="L2824">
        <v>214.30350000000001</v>
      </c>
      <c r="M2824">
        <v>0.99974169999999996</v>
      </c>
      <c r="N2824">
        <v>0</v>
      </c>
      <c r="O2824">
        <v>1.9882400000000001E-2</v>
      </c>
      <c r="P2824">
        <v>0.99689229999999995</v>
      </c>
      <c r="Q2824">
        <v>3.2207529999999998E-2</v>
      </c>
      <c r="R2824">
        <v>7.1892869999999998E-2</v>
      </c>
      <c r="S2824">
        <v>2.988159</v>
      </c>
      <c r="T2824">
        <v>-0.17968889999999901</v>
      </c>
      <c r="U2824">
        <v>0.37448120000000001</v>
      </c>
      <c r="V2824">
        <v>-5.2092640000000003E-2</v>
      </c>
      <c r="W2824">
        <v>4.3152120000000002E-2</v>
      </c>
      <c r="X2824">
        <v>0.99770949999999903</v>
      </c>
      <c r="Y2824">
        <v>-0.10444489999999899</v>
      </c>
      <c r="Z2824">
        <v>1.935775E-3</v>
      </c>
      <c r="AA2824">
        <v>0.99452879999999999</v>
      </c>
      <c r="AB2824">
        <v>43</v>
      </c>
      <c r="AC2824">
        <v>17.948499999999999</v>
      </c>
      <c r="AD2824">
        <v>-1.104342011462</v>
      </c>
      <c r="AE2824">
        <v>2.2932999999999799</v>
      </c>
      <c r="AF2824">
        <v>-1.92878115605571</v>
      </c>
      <c r="AG2824">
        <v>-1.104342011462</v>
      </c>
      <c r="AH2824">
        <v>17.9237858421106</v>
      </c>
      <c r="AI2824">
        <v>93.505532462236204</v>
      </c>
      <c r="AJ2824">
        <v>96.141971896181701</v>
      </c>
      <c r="AK2824">
        <v>18.061059408021499</v>
      </c>
    </row>
    <row r="2825" spans="1:37" x14ac:dyDescent="0.2">
      <c r="A2825" t="str">
        <f>"20200111153451973"</f>
        <v>20200111153451973</v>
      </c>
      <c r="B2825" t="str">
        <f>"1578728091969296"</f>
        <v>1578728091969296</v>
      </c>
      <c r="C2825" t="s">
        <v>37</v>
      </c>
      <c r="D2825">
        <v>4.9323090000000001</v>
      </c>
      <c r="E2825">
        <v>0.48023660000000001</v>
      </c>
      <c r="F2825" t="s">
        <v>56</v>
      </c>
      <c r="G2825">
        <v>-312.18779999999998</v>
      </c>
      <c r="H2825" s="1">
        <v>1.875834E-6</v>
      </c>
      <c r="I2825">
        <v>216.59309999999999</v>
      </c>
      <c r="J2825">
        <v>-329.95839999999998</v>
      </c>
      <c r="K2825">
        <v>1.104263</v>
      </c>
      <c r="L2825">
        <v>214.31219999999999</v>
      </c>
      <c r="M2825">
        <v>0.99974110000000005</v>
      </c>
      <c r="N2825">
        <v>0</v>
      </c>
      <c r="O2825">
        <v>2.0119689999999999E-2</v>
      </c>
      <c r="P2825">
        <v>0.99688920000000003</v>
      </c>
      <c r="Q2825">
        <v>3.3089180000000003E-2</v>
      </c>
      <c r="R2825">
        <v>7.1535109999999999E-2</v>
      </c>
      <c r="S2825">
        <v>2.9880979999999999</v>
      </c>
      <c r="T2825">
        <v>-0.18128659999999999</v>
      </c>
      <c r="U2825">
        <v>0.37585449999999998</v>
      </c>
      <c r="V2825">
        <v>-5.1495869999999999E-2</v>
      </c>
      <c r="W2825">
        <v>4.3656130000000001E-2</v>
      </c>
      <c r="X2825">
        <v>0.99771860000000001</v>
      </c>
      <c r="Y2825">
        <v>-0.1046588</v>
      </c>
      <c r="Z2825">
        <v>1.9450870000000001E-3</v>
      </c>
      <c r="AA2825">
        <v>0.99450629999999995</v>
      </c>
      <c r="AB2825">
        <v>43</v>
      </c>
      <c r="AC2825">
        <v>17.770600000000002</v>
      </c>
      <c r="AD2825">
        <v>-1.1042611241660001</v>
      </c>
      <c r="AE2825">
        <v>2.2808999999999999</v>
      </c>
      <c r="AF2825">
        <v>-1.91560215998044</v>
      </c>
      <c r="AG2825">
        <v>-1.1042611241660001</v>
      </c>
      <c r="AH2825">
        <v>17.745485025642498</v>
      </c>
      <c r="AI2825">
        <v>93.540279689175193</v>
      </c>
      <c r="AJ2825">
        <v>96.161147426721797</v>
      </c>
      <c r="AK2825">
        <v>17.882705697432101</v>
      </c>
    </row>
    <row r="2826" spans="1:37" x14ac:dyDescent="0.2">
      <c r="A2826" t="str">
        <f>"20200111153451995"</f>
        <v>20200111153451995</v>
      </c>
      <c r="B2826" t="str">
        <f>"1578728091988816"</f>
        <v>1578728091988816</v>
      </c>
      <c r="C2826" t="s">
        <v>37</v>
      </c>
      <c r="D2826">
        <v>4.9220259999999998</v>
      </c>
      <c r="E2826">
        <v>0.48000730000000003</v>
      </c>
      <c r="F2826" t="s">
        <v>56</v>
      </c>
      <c r="G2826">
        <v>-311.74970000000002</v>
      </c>
      <c r="H2826" s="1">
        <v>1.6815450000000001E-6</v>
      </c>
      <c r="I2826">
        <v>216.61269999999999</v>
      </c>
      <c r="J2826">
        <v>-329.51220000000001</v>
      </c>
      <c r="K2826">
        <v>1.104198</v>
      </c>
      <c r="L2826">
        <v>214.32130000000001</v>
      </c>
      <c r="M2826">
        <v>0.99974089999999904</v>
      </c>
      <c r="N2826">
        <v>0</v>
      </c>
      <c r="O2826">
        <v>2.033517E-2</v>
      </c>
      <c r="P2826">
        <v>0.99684669999999898</v>
      </c>
      <c r="Q2826">
        <v>3.4185010000000002E-2</v>
      </c>
      <c r="R2826">
        <v>7.16112E-2</v>
      </c>
      <c r="S2826">
        <v>2.9883419999999998</v>
      </c>
      <c r="T2826">
        <v>-0.18122639999999901</v>
      </c>
      <c r="U2826">
        <v>0.3775482</v>
      </c>
      <c r="V2826">
        <v>-5.1354839999999999E-2</v>
      </c>
      <c r="W2826">
        <v>4.437402E-2</v>
      </c>
      <c r="X2826">
        <v>0.99769409999999903</v>
      </c>
      <c r="Y2826">
        <v>-0.1049892</v>
      </c>
      <c r="Z2826">
        <v>1.9411999999999999E-3</v>
      </c>
      <c r="AA2826">
        <v>0.99447149999999995</v>
      </c>
      <c r="AB2826">
        <v>43</v>
      </c>
      <c r="AC2826">
        <v>17.7624999999999</v>
      </c>
      <c r="AD2826">
        <v>-1.1041963184550001</v>
      </c>
      <c r="AE2826">
        <v>2.2913999999999799</v>
      </c>
      <c r="AF2826">
        <v>-1.92239643728527</v>
      </c>
      <c r="AG2826">
        <v>-1.1041963184550001</v>
      </c>
      <c r="AH2826">
        <v>17.738000075972099</v>
      </c>
      <c r="AI2826">
        <v>93.541400599930398</v>
      </c>
      <c r="AJ2826">
        <v>96.185419659280896</v>
      </c>
      <c r="AK2826">
        <v>17.876003587686</v>
      </c>
    </row>
    <row r="2827" spans="1:37" x14ac:dyDescent="0.2">
      <c r="A2827" t="str">
        <f>"20200111153452018"</f>
        <v>20200111153452018</v>
      </c>
      <c r="B2827" t="str">
        <f>"1578728092009312"</f>
        <v>1578728092009312</v>
      </c>
      <c r="C2827" t="s">
        <v>37</v>
      </c>
      <c r="D2827">
        <v>4.9295549999999997</v>
      </c>
      <c r="E2827">
        <v>0.47980479999999998</v>
      </c>
      <c r="F2827" t="s">
        <v>56</v>
      </c>
      <c r="G2827">
        <v>-310.9855</v>
      </c>
      <c r="H2827" s="1">
        <v>1.3426849999999899E-6</v>
      </c>
      <c r="I2827">
        <v>216.67660000000001</v>
      </c>
      <c r="J2827">
        <v>-329.09480000000002</v>
      </c>
      <c r="K2827">
        <v>1.1041449999999999</v>
      </c>
      <c r="L2827">
        <v>214.32990000000001</v>
      </c>
      <c r="M2827">
        <v>0.99974050000000003</v>
      </c>
      <c r="N2827">
        <v>0</v>
      </c>
      <c r="O2827">
        <v>2.051501E-2</v>
      </c>
      <c r="P2827">
        <v>0.99683929999999998</v>
      </c>
      <c r="Q2827">
        <v>3.4431789999999997E-2</v>
      </c>
      <c r="R2827">
        <v>7.1596149999999997E-2</v>
      </c>
      <c r="S2827">
        <v>2.9883120000000001</v>
      </c>
      <c r="T2827">
        <v>-0.17810419999999999</v>
      </c>
      <c r="U2827">
        <v>0.37989809999999902</v>
      </c>
      <c r="V2827">
        <v>-5.1158549999999997E-2</v>
      </c>
      <c r="W2827">
        <v>4.4294470000000002E-2</v>
      </c>
      <c r="X2827">
        <v>0.99770780000000003</v>
      </c>
      <c r="Y2827">
        <v>-0.10558579999999999</v>
      </c>
      <c r="Z2827">
        <v>1.9147789999999999E-3</v>
      </c>
      <c r="AA2827">
        <v>0.99440839999999997</v>
      </c>
      <c r="AB2827">
        <v>43</v>
      </c>
      <c r="AC2827">
        <v>18.109300000000001</v>
      </c>
      <c r="AD2827">
        <v>-1.1041436573150001</v>
      </c>
      <c r="AE2827">
        <v>2.34669999999999</v>
      </c>
      <c r="AF2827">
        <v>-1.9674821185053599</v>
      </c>
      <c r="AG2827">
        <v>-1.1041436573150001</v>
      </c>
      <c r="AH2827">
        <v>18.087504026690301</v>
      </c>
      <c r="AI2827">
        <v>93.472826067356294</v>
      </c>
      <c r="AJ2827">
        <v>96.2079844887718</v>
      </c>
      <c r="AK2827">
        <v>18.227669105460599</v>
      </c>
    </row>
    <row r="2828" spans="1:37" x14ac:dyDescent="0.2">
      <c r="A2828" t="str">
        <f>"20200111153452039"</f>
        <v>20200111153452039</v>
      </c>
      <c r="B2828" t="str">
        <f>"1578728092028835"</f>
        <v>1578728092028835</v>
      </c>
      <c r="C2828" t="s">
        <v>37</v>
      </c>
      <c r="D2828">
        <v>4.8953139999999999</v>
      </c>
      <c r="E2828">
        <v>0.47958820000000002</v>
      </c>
      <c r="F2828" t="s">
        <v>56</v>
      </c>
      <c r="G2828">
        <v>-310.49160000000001</v>
      </c>
      <c r="H2828" s="1">
        <v>1.123656E-6</v>
      </c>
      <c r="I2828">
        <v>216.7047</v>
      </c>
      <c r="J2828">
        <v>-328.67520000000002</v>
      </c>
      <c r="K2828">
        <v>1.104093</v>
      </c>
      <c r="L2828">
        <v>214.33869999999999</v>
      </c>
      <c r="M2828">
        <v>0.99973999999999996</v>
      </c>
      <c r="N2828">
        <v>0</v>
      </c>
      <c r="O2828">
        <v>2.0681189999999999E-2</v>
      </c>
      <c r="P2828">
        <v>0.99682739999999903</v>
      </c>
      <c r="Q2828">
        <v>3.457586E-2</v>
      </c>
      <c r="R2828">
        <v>7.1693030000000005E-2</v>
      </c>
      <c r="S2828">
        <v>2.988251</v>
      </c>
      <c r="T2828">
        <v>-0.17735989999999999</v>
      </c>
      <c r="U2828">
        <v>0.38145449999999997</v>
      </c>
      <c r="V2828">
        <v>-5.1087050000000002E-2</v>
      </c>
      <c r="W2828">
        <v>4.4141560000000003E-2</v>
      </c>
      <c r="X2828">
        <v>0.997718199999999</v>
      </c>
      <c r="Y2828">
        <v>-0.10593370000000001</v>
      </c>
      <c r="Z2828">
        <v>1.9072399999999999E-3</v>
      </c>
      <c r="AA2828">
        <v>0.99437140000000002</v>
      </c>
      <c r="AB2828">
        <v>43</v>
      </c>
      <c r="AC2828">
        <v>18.183599999999998</v>
      </c>
      <c r="AD2828">
        <v>-1.104091876344</v>
      </c>
      <c r="AE2828">
        <v>2.3660000000000099</v>
      </c>
      <c r="AF2828">
        <v>-1.9822316481466999</v>
      </c>
      <c r="AG2828">
        <v>-1.104091876344</v>
      </c>
      <c r="AH2828">
        <v>18.1627965773204</v>
      </c>
      <c r="AI2828">
        <v>93.458168780031997</v>
      </c>
      <c r="AJ2828">
        <v>96.2284341879962</v>
      </c>
      <c r="AK2828">
        <v>18.30397335792</v>
      </c>
    </row>
    <row r="2829" spans="1:37" x14ac:dyDescent="0.2">
      <c r="A2829" t="str">
        <f>"20200111153452062"</f>
        <v>20200111153452062</v>
      </c>
      <c r="B2829" t="str">
        <f>"1578728092049329"</f>
        <v>1578728092049329</v>
      </c>
      <c r="C2829" t="s">
        <v>37</v>
      </c>
      <c r="D2829">
        <v>4.8782019999999999</v>
      </c>
      <c r="E2829">
        <v>0.46096690000000001</v>
      </c>
      <c r="F2829" t="s">
        <v>56</v>
      </c>
      <c r="G2829">
        <v>-310.06889999999999</v>
      </c>
      <c r="H2829" s="1">
        <v>9.3620949999999998E-7</v>
      </c>
      <c r="I2829">
        <v>216.7253</v>
      </c>
      <c r="J2829">
        <v>-328.24400000000003</v>
      </c>
      <c r="K2829">
        <v>1.1040570000000001</v>
      </c>
      <c r="L2829">
        <v>214.3477</v>
      </c>
      <c r="M2829">
        <v>0.99973919999999905</v>
      </c>
      <c r="N2829">
        <v>0</v>
      </c>
      <c r="O2829">
        <v>2.08400999999999E-2</v>
      </c>
      <c r="P2829">
        <v>0.99680820000000003</v>
      </c>
      <c r="Q2829">
        <v>3.4597780000000002E-2</v>
      </c>
      <c r="R2829">
        <v>7.1948739999999997E-2</v>
      </c>
      <c r="S2829">
        <v>2.9880979999999999</v>
      </c>
      <c r="T2829">
        <v>-0.177313</v>
      </c>
      <c r="U2829">
        <v>0.3832855</v>
      </c>
      <c r="V2829">
        <v>-5.118325E-2</v>
      </c>
      <c r="W2829">
        <v>4.3890980000000003E-2</v>
      </c>
      <c r="X2829">
        <v>0.99772439999999996</v>
      </c>
      <c r="Y2829">
        <v>-0.10638110000000001</v>
      </c>
      <c r="Z2829">
        <v>1.9105979999999999E-3</v>
      </c>
      <c r="AA2829">
        <v>0.99432359999999897</v>
      </c>
      <c r="AB2829">
        <v>43</v>
      </c>
      <c r="AC2829">
        <v>18.1751</v>
      </c>
      <c r="AD2829">
        <v>-1.1040560637904999</v>
      </c>
      <c r="AE2829">
        <v>2.3776000000000002</v>
      </c>
      <c r="AF2829">
        <v>-1.99107268841181</v>
      </c>
      <c r="AG2829">
        <v>-1.1040560637904999</v>
      </c>
      <c r="AH2829">
        <v>18.1548394251517</v>
      </c>
      <c r="AI2829">
        <v>93.459369309716394</v>
      </c>
      <c r="AJ2829">
        <v>96.258714330685194</v>
      </c>
      <c r="AK2829">
        <v>18.297035410021401</v>
      </c>
    </row>
    <row r="2830" spans="1:37" x14ac:dyDescent="0.2">
      <c r="A2830" t="str">
        <f>"20200111153452086"</f>
        <v>20200111153452086</v>
      </c>
      <c r="B2830" t="str">
        <f>"1578728092078609"</f>
        <v>1578728092078609</v>
      </c>
      <c r="C2830" t="s">
        <v>37</v>
      </c>
      <c r="D2830">
        <v>4.8464769999999904</v>
      </c>
      <c r="E2830">
        <v>0.44590079999999999</v>
      </c>
      <c r="F2830" t="s">
        <v>56</v>
      </c>
      <c r="G2830">
        <v>-309.91039999999998</v>
      </c>
      <c r="H2830" s="1">
        <v>8.9531450000000001E-7</v>
      </c>
      <c r="I2830">
        <v>217.62549999999999</v>
      </c>
      <c r="J2830">
        <v>-327.78039999999999</v>
      </c>
      <c r="K2830">
        <v>1.1040219999999901</v>
      </c>
      <c r="L2830">
        <v>214.35749999999999</v>
      </c>
      <c r="M2830">
        <v>0.99973829999999997</v>
      </c>
      <c r="N2830">
        <v>0</v>
      </c>
      <c r="O2830">
        <v>2.100312E-2</v>
      </c>
      <c r="P2830">
        <v>0.99677939999999998</v>
      </c>
      <c r="Q2830">
        <v>3.4594300000000001E-2</v>
      </c>
      <c r="R2830">
        <v>7.2349090000000005E-2</v>
      </c>
      <c r="S2830">
        <v>2.977417</v>
      </c>
      <c r="T2830">
        <v>-0.1793014</v>
      </c>
      <c r="U2830">
        <v>0.53231809999999902</v>
      </c>
      <c r="V2830">
        <v>-5.1419810000000003E-2</v>
      </c>
      <c r="W2830">
        <v>4.3627550000000001E-2</v>
      </c>
      <c r="X2830">
        <v>0.99772380000000005</v>
      </c>
      <c r="Y2830">
        <v>-0.1550445</v>
      </c>
      <c r="Z2830">
        <v>3.374452E-3</v>
      </c>
      <c r="AA2830">
        <v>0.98790169999999999</v>
      </c>
      <c r="AB2830">
        <v>43</v>
      </c>
      <c r="AC2830">
        <v>17.87</v>
      </c>
      <c r="AD2830">
        <v>-1.10402110468549</v>
      </c>
      <c r="AE2830">
        <v>3.2679999999999998</v>
      </c>
      <c r="AF2830">
        <v>-2.8812962769100299</v>
      </c>
      <c r="AG2830">
        <v>-1.10402110468549</v>
      </c>
      <c r="AH2830">
        <v>17.8687036287829</v>
      </c>
      <c r="AI2830">
        <v>93.490561697182798</v>
      </c>
      <c r="AJ2830">
        <v>99.159994715761897</v>
      </c>
      <c r="AK2830">
        <v>18.133154722998601</v>
      </c>
    </row>
    <row r="2831" spans="1:37" x14ac:dyDescent="0.2">
      <c r="A2831" t="str">
        <f>"20200111153452108"</f>
        <v>20200111153452108</v>
      </c>
      <c r="B2831" t="str">
        <f>"1578728092099104"</f>
        <v>1578728092099104</v>
      </c>
      <c r="C2831" t="s">
        <v>37</v>
      </c>
      <c r="D2831">
        <v>4.7844049999999996</v>
      </c>
      <c r="E2831">
        <v>0.44267679999999998</v>
      </c>
      <c r="F2831" t="s">
        <v>56</v>
      </c>
      <c r="G2831">
        <v>-309.387</v>
      </c>
      <c r="H2831" s="1">
        <v>9.8816469999999998E-7</v>
      </c>
      <c r="I2831">
        <v>218.40549999999999</v>
      </c>
      <c r="J2831">
        <v>-327.34589999999997</v>
      </c>
      <c r="K2831">
        <v>1.104001</v>
      </c>
      <c r="L2831">
        <v>214.36670000000001</v>
      </c>
      <c r="M2831">
        <v>0.99973709999999905</v>
      </c>
      <c r="N2831">
        <v>0</v>
      </c>
      <c r="O2831">
        <v>2.115218E-2</v>
      </c>
      <c r="P2831">
        <v>0.99676500000000001</v>
      </c>
      <c r="Q2831">
        <v>3.4617450000000001E-2</v>
      </c>
      <c r="R2831">
        <v>7.2537450000000003E-2</v>
      </c>
      <c r="S2831">
        <v>2.9684140000000001</v>
      </c>
      <c r="T2831">
        <v>-0.17817179999999999</v>
      </c>
      <c r="U2831">
        <v>0.65328980000000003</v>
      </c>
      <c r="V2831">
        <v>-5.1458780000000003E-2</v>
      </c>
      <c r="W2831">
        <v>4.3437469999999999E-2</v>
      </c>
      <c r="X2831">
        <v>0.99772999999999901</v>
      </c>
      <c r="Y2831">
        <v>-0.19393369999999999</v>
      </c>
      <c r="Z2831">
        <v>4.4936209999999997E-3</v>
      </c>
      <c r="AA2831">
        <v>0.9810044</v>
      </c>
      <c r="AB2831">
        <v>43</v>
      </c>
      <c r="AC2831">
        <v>17.9588999999999</v>
      </c>
      <c r="AD2831">
        <v>-1.1040000118352999</v>
      </c>
      <c r="AE2831">
        <v>4.0387999999999797</v>
      </c>
      <c r="AF2831">
        <v>-3.6449005261073002</v>
      </c>
      <c r="AG2831">
        <v>-1.1040000118352999</v>
      </c>
      <c r="AH2831">
        <v>17.9756544393443</v>
      </c>
      <c r="AI2831">
        <v>93.4445615710586</v>
      </c>
      <c r="AJ2831">
        <v>101.46238578619101</v>
      </c>
      <c r="AK2831">
        <v>18.3746637627486</v>
      </c>
    </row>
    <row r="2832" spans="1:37" x14ac:dyDescent="0.2">
      <c r="A2832" t="str">
        <f>"20200111153452129"</f>
        <v>20200111153452129</v>
      </c>
      <c r="B2832" t="str">
        <f>"1578728092118624"</f>
        <v>1578728092118624</v>
      </c>
      <c r="C2832" t="s">
        <v>37</v>
      </c>
      <c r="D2832">
        <v>4.8153569999999997</v>
      </c>
      <c r="E2832">
        <v>0.44131039999999999</v>
      </c>
      <c r="F2832" t="s">
        <v>56</v>
      </c>
      <c r="G2832">
        <v>-309.32479999999998</v>
      </c>
      <c r="H2832" s="1">
        <v>9.9919569999999997E-7</v>
      </c>
      <c r="I2832">
        <v>218.49459999999999</v>
      </c>
      <c r="J2832">
        <v>-326.93130000000002</v>
      </c>
      <c r="K2832">
        <v>1.103982</v>
      </c>
      <c r="L2832">
        <v>214.37559999999999</v>
      </c>
      <c r="M2832">
        <v>0.9997355</v>
      </c>
      <c r="N2832">
        <v>0</v>
      </c>
      <c r="O2832">
        <v>2.1293139999999999E-2</v>
      </c>
      <c r="P2832">
        <v>0.99674769999999902</v>
      </c>
      <c r="Q2832">
        <v>3.4965299999999998E-2</v>
      </c>
      <c r="R2832">
        <v>7.2604569999999993E-2</v>
      </c>
      <c r="S2832">
        <v>2.9666139999999999</v>
      </c>
      <c r="T2832">
        <v>-0.18173909999999999</v>
      </c>
      <c r="U2832">
        <v>0.67951969999999995</v>
      </c>
      <c r="V2832">
        <v>-5.1384630000000001E-2</v>
      </c>
      <c r="W2832">
        <v>4.3614199999999999E-2</v>
      </c>
      <c r="X2832">
        <v>0.99772609999999995</v>
      </c>
      <c r="Y2832">
        <v>-0.20214460000000001</v>
      </c>
      <c r="Z2832">
        <v>4.82135799999999E-3</v>
      </c>
      <c r="AA2832">
        <v>0.97934379999999999</v>
      </c>
      <c r="AB2832">
        <v>43</v>
      </c>
      <c r="AC2832">
        <v>17.6065</v>
      </c>
      <c r="AD2832">
        <v>-1.1039810008043001</v>
      </c>
      <c r="AE2832">
        <v>4.1189999999999998</v>
      </c>
      <c r="AF2832">
        <v>-3.72925287003955</v>
      </c>
      <c r="AG2832">
        <v>-1.1039810008043001</v>
      </c>
      <c r="AH2832">
        <v>17.6245195748938</v>
      </c>
      <c r="AI2832">
        <v>93.506818957573302</v>
      </c>
      <c r="AJ2832">
        <v>101.94725494958</v>
      </c>
      <c r="AK2832">
        <v>18.0485398651705</v>
      </c>
    </row>
    <row r="2833" spans="1:37" x14ac:dyDescent="0.2">
      <c r="A2833" t="str">
        <f>"20200111153452151"</f>
        <v>20200111153452151</v>
      </c>
      <c r="B2833" t="str">
        <f>"1578728092138690"</f>
        <v>1578728092138690</v>
      </c>
      <c r="C2833" t="s">
        <v>37</v>
      </c>
      <c r="D2833">
        <v>4.7595400000000003</v>
      </c>
      <c r="E2833">
        <v>0.44016289999999902</v>
      </c>
      <c r="F2833" t="s">
        <v>56</v>
      </c>
      <c r="G2833">
        <v>-308.98439999999999</v>
      </c>
      <c r="H2833" s="1">
        <v>1.059578E-6</v>
      </c>
      <c r="I2833">
        <v>218.55359999999999</v>
      </c>
      <c r="J2833">
        <v>-326.50790000000001</v>
      </c>
      <c r="K2833">
        <v>1.103972</v>
      </c>
      <c r="L2833">
        <v>214.38470000000001</v>
      </c>
      <c r="M2833">
        <v>0.99973369999999995</v>
      </c>
      <c r="N2833">
        <v>0</v>
      </c>
      <c r="O2833">
        <v>2.1436210000000001E-2</v>
      </c>
      <c r="P2833">
        <v>0.99673929999999999</v>
      </c>
      <c r="Q2833">
        <v>3.5437730000000001E-2</v>
      </c>
      <c r="R2833">
        <v>7.2493499999999905E-2</v>
      </c>
      <c r="S2833">
        <v>2.965881</v>
      </c>
      <c r="T2833">
        <v>-0.18244189999999999</v>
      </c>
      <c r="U2833">
        <v>0.69044490000000003</v>
      </c>
      <c r="V2833">
        <v>-5.1130299999999997E-2</v>
      </c>
      <c r="W2833">
        <v>4.3950049999999997E-2</v>
      </c>
      <c r="X2833">
        <v>0.99772450000000001</v>
      </c>
      <c r="Y2833">
        <v>-0.20547280000000001</v>
      </c>
      <c r="Z2833">
        <v>4.9314320000000003E-3</v>
      </c>
      <c r="AA2833">
        <v>0.97865040000000003</v>
      </c>
      <c r="AB2833">
        <v>43</v>
      </c>
      <c r="AC2833">
        <v>17.523499999999999</v>
      </c>
      <c r="AD2833">
        <v>-1.1039709404219999</v>
      </c>
      <c r="AE2833">
        <v>4.1688999999999696</v>
      </c>
      <c r="AF2833">
        <v>-3.7780990628949001</v>
      </c>
      <c r="AG2833">
        <v>-1.1039709404219999</v>
      </c>
      <c r="AH2833">
        <v>17.542944704215401</v>
      </c>
      <c r="AI2833">
        <v>93.520349974568703</v>
      </c>
      <c r="AJ2833">
        <v>102.153751456309</v>
      </c>
      <c r="AK2833">
        <v>17.9790904458903</v>
      </c>
    </row>
    <row r="2834" spans="1:37" x14ac:dyDescent="0.2">
      <c r="A2834" t="str">
        <f>"20200111153452174"</f>
        <v>20200111153452174</v>
      </c>
      <c r="B2834" t="str">
        <f>"1578728092168943"</f>
        <v>1578728092168943</v>
      </c>
      <c r="C2834" t="s">
        <v>37</v>
      </c>
      <c r="D2834">
        <v>4.817005</v>
      </c>
      <c r="E2834">
        <v>0.4391274</v>
      </c>
      <c r="F2834" t="s">
        <v>56</v>
      </c>
      <c r="G2834">
        <v>-308.654</v>
      </c>
      <c r="H2834" s="1">
        <v>1.1181769999999999E-6</v>
      </c>
      <c r="I2834">
        <v>218.59599999999901</v>
      </c>
      <c r="J2834">
        <v>-326.05619999999999</v>
      </c>
      <c r="K2834">
        <v>1.103969</v>
      </c>
      <c r="L2834">
        <v>214.39449999999999</v>
      </c>
      <c r="M2834">
        <v>0.99973120000000004</v>
      </c>
      <c r="N2834">
        <v>0</v>
      </c>
      <c r="O2834">
        <v>2.1589500000000001E-2</v>
      </c>
      <c r="P2834">
        <v>0.99671350000000003</v>
      </c>
      <c r="Q2834">
        <v>3.5705720000000003E-2</v>
      </c>
      <c r="R2834">
        <v>7.2715580000000002E-2</v>
      </c>
      <c r="S2834">
        <v>2.9654849999999899</v>
      </c>
      <c r="T2834">
        <v>-0.18336669999999999</v>
      </c>
      <c r="U2834">
        <v>0.69947809999999999</v>
      </c>
      <c r="V2834">
        <v>-5.119891E-2</v>
      </c>
      <c r="W2834">
        <v>4.4118209999999998E-2</v>
      </c>
      <c r="X2834">
        <v>0.99771350000000003</v>
      </c>
      <c r="Y2834">
        <v>-0.20816899999999999</v>
      </c>
      <c r="Z2834">
        <v>5.02816799999999E-3</v>
      </c>
      <c r="AA2834">
        <v>0.97807999999999995</v>
      </c>
      <c r="AB2834">
        <v>44</v>
      </c>
      <c r="AC2834">
        <v>17.402199999999901</v>
      </c>
      <c r="AD2834">
        <v>-1.1039678818230001</v>
      </c>
      <c r="AE2834">
        <v>4.2014999999999798</v>
      </c>
      <c r="AF2834">
        <v>-3.8103127034615398</v>
      </c>
      <c r="AG2834">
        <v>-1.1039678818230001</v>
      </c>
      <c r="AH2834">
        <v>17.422601059100501</v>
      </c>
      <c r="AI2834">
        <v>93.542150411049505</v>
      </c>
      <c r="AJ2834">
        <v>102.33632143550599</v>
      </c>
      <c r="AK2834">
        <v>17.868526957945601</v>
      </c>
    </row>
    <row r="2835" spans="1:37" x14ac:dyDescent="0.2">
      <c r="A2835" t="str">
        <f>"20200111153452197"</f>
        <v>20200111153452197</v>
      </c>
      <c r="B2835" t="str">
        <f>"1578728092188462"</f>
        <v>1578728092188462</v>
      </c>
      <c r="C2835" t="s">
        <v>37</v>
      </c>
      <c r="D2835">
        <v>4.956429</v>
      </c>
      <c r="E2835">
        <v>0.43896170000000001</v>
      </c>
      <c r="F2835" t="s">
        <v>56</v>
      </c>
      <c r="G2835">
        <v>-308.18650000000002</v>
      </c>
      <c r="H2835" s="1">
        <v>1.2011109999999999E-6</v>
      </c>
      <c r="I2835">
        <v>218.66470000000001</v>
      </c>
      <c r="J2835">
        <v>-325.61579999999998</v>
      </c>
      <c r="K2835">
        <v>1.103972</v>
      </c>
      <c r="L2835">
        <v>214.4041</v>
      </c>
      <c r="M2835">
        <v>0.99972839999999996</v>
      </c>
      <c r="N2835">
        <v>0</v>
      </c>
      <c r="O2835">
        <v>2.1738710000000001E-2</v>
      </c>
      <c r="P2835">
        <v>0.99671909999999897</v>
      </c>
      <c r="Q2835">
        <v>3.5535160000000003E-2</v>
      </c>
      <c r="R2835">
        <v>7.2721620000000001E-2</v>
      </c>
      <c r="S2835">
        <v>2.9647220000000001</v>
      </c>
      <c r="T2835">
        <v>-0.18315699999999999</v>
      </c>
      <c r="U2835">
        <v>0.70846560000000003</v>
      </c>
      <c r="V2835">
        <v>-5.1055250000000003E-2</v>
      </c>
      <c r="W2835">
        <v>4.3899559999999997E-2</v>
      </c>
      <c r="X2835">
        <v>0.99773049999999996</v>
      </c>
      <c r="Y2835">
        <v>-0.2108815</v>
      </c>
      <c r="Z2835">
        <v>5.095446E-3</v>
      </c>
      <c r="AA2835">
        <v>0.97749839999999999</v>
      </c>
      <c r="AB2835">
        <v>44</v>
      </c>
      <c r="AC2835">
        <v>17.429299999999898</v>
      </c>
      <c r="AD2835">
        <v>-1.103970798889</v>
      </c>
      <c r="AE2835">
        <v>4.2606000000000099</v>
      </c>
      <c r="AF2835">
        <v>-3.8660533996681199</v>
      </c>
      <c r="AG2835">
        <v>-1.103970798889</v>
      </c>
      <c r="AH2835">
        <v>17.451736617252202</v>
      </c>
      <c r="AI2835">
        <v>93.534166918791797</v>
      </c>
      <c r="AJ2835">
        <v>102.49091388030401</v>
      </c>
      <c r="AK2835">
        <v>17.9088869383842</v>
      </c>
    </row>
    <row r="2836" spans="1:37" x14ac:dyDescent="0.2">
      <c r="A2836" t="str">
        <f>"20200111153452218"</f>
        <v>20200111153452218</v>
      </c>
      <c r="B2836" t="str">
        <f>"1578728092208962"</f>
        <v>1578728092208962</v>
      </c>
      <c r="C2836" t="s">
        <v>37</v>
      </c>
      <c r="D2836">
        <v>5.0439949999999998</v>
      </c>
      <c r="E2836">
        <v>0.47823209999999999</v>
      </c>
      <c r="F2836" t="s">
        <v>56</v>
      </c>
      <c r="G2836">
        <v>-307.83370000000002</v>
      </c>
      <c r="H2836" s="1">
        <v>1.263691E-6</v>
      </c>
      <c r="I2836">
        <v>218.66099999999901</v>
      </c>
      <c r="J2836">
        <v>-325.1936</v>
      </c>
      <c r="K2836">
        <v>1.103985</v>
      </c>
      <c r="L2836">
        <v>214.4134</v>
      </c>
      <c r="M2836">
        <v>0.99972510000000003</v>
      </c>
      <c r="N2836">
        <v>0</v>
      </c>
      <c r="O2836">
        <v>2.1881930000000001E-2</v>
      </c>
      <c r="P2836">
        <v>0.996683599999999</v>
      </c>
      <c r="Q2836">
        <v>3.5711689999999997E-2</v>
      </c>
      <c r="R2836">
        <v>7.31208E-2</v>
      </c>
      <c r="S2836">
        <v>2.964661</v>
      </c>
      <c r="T2836">
        <v>-0.18405589999999999</v>
      </c>
      <c r="U2836">
        <v>0.70971680000000004</v>
      </c>
      <c r="V2836">
        <v>-5.1311710000000003E-2</v>
      </c>
      <c r="W2836">
        <v>4.4097249999999998E-2</v>
      </c>
      <c r="X2836">
        <v>0.99770859999999995</v>
      </c>
      <c r="Y2836">
        <v>-0.21113270000000001</v>
      </c>
      <c r="Z2836">
        <v>5.1191989999999996E-3</v>
      </c>
      <c r="AA2836">
        <v>0.97744399999999998</v>
      </c>
      <c r="AB2836">
        <v>44</v>
      </c>
      <c r="AC2836">
        <v>17.3598999999999</v>
      </c>
      <c r="AD2836">
        <v>-1.1039837363089999</v>
      </c>
      <c r="AE2836">
        <v>4.2475999999999701</v>
      </c>
      <c r="AF2836">
        <v>-3.8520030479299701</v>
      </c>
      <c r="AG2836">
        <v>-1.1039837363089999</v>
      </c>
      <c r="AH2836">
        <v>17.382365406448201</v>
      </c>
      <c r="AI2836">
        <v>93.548220276424502</v>
      </c>
      <c r="AJ2836">
        <v>102.4950528885</v>
      </c>
      <c r="AK2836">
        <v>17.8382548107875</v>
      </c>
    </row>
    <row r="2837" spans="1:37" x14ac:dyDescent="0.2">
      <c r="A2837" t="str">
        <f>"20200111153452241"</f>
        <v>20200111153452241</v>
      </c>
      <c r="B2837" t="str">
        <f>"1578728092229364"</f>
        <v>1578728092229364</v>
      </c>
      <c r="C2837" t="s">
        <v>37</v>
      </c>
      <c r="D2837">
        <v>5.0772180000000002</v>
      </c>
      <c r="E2837">
        <v>0.52261970000000002</v>
      </c>
      <c r="F2837" t="s">
        <v>56</v>
      </c>
      <c r="G2837">
        <v>-307.12150000000003</v>
      </c>
      <c r="H2837" s="1">
        <v>1.3900269999999999E-6</v>
      </c>
      <c r="I2837">
        <v>216.82550000000001</v>
      </c>
      <c r="J2837">
        <v>-324.7595</v>
      </c>
      <c r="K2837">
        <v>1.1040239999999999</v>
      </c>
      <c r="L2837">
        <v>214.423</v>
      </c>
      <c r="M2837">
        <v>0.99972090000000002</v>
      </c>
      <c r="N2837">
        <v>0</v>
      </c>
      <c r="O2837">
        <v>2.2028499999999999E-2</v>
      </c>
      <c r="P2837">
        <v>0.99670720000000002</v>
      </c>
      <c r="Q2837">
        <v>3.530353E-2</v>
      </c>
      <c r="R2837">
        <v>7.2997759999999995E-2</v>
      </c>
      <c r="S2837">
        <v>2.987244</v>
      </c>
      <c r="T2837">
        <v>-0.1824837</v>
      </c>
      <c r="U2837">
        <v>0.39871220000000002</v>
      </c>
      <c r="V2837">
        <v>-5.1041660000000003E-2</v>
      </c>
      <c r="W2837">
        <v>4.3810469999999997E-2</v>
      </c>
      <c r="X2837">
        <v>0.99773509999999999</v>
      </c>
      <c r="Y2837">
        <v>-0.11026909999999999</v>
      </c>
      <c r="Z2837">
        <v>2.0121139999999902E-3</v>
      </c>
      <c r="AA2837">
        <v>0.99389969999999905</v>
      </c>
      <c r="AB2837">
        <v>44</v>
      </c>
      <c r="AC2837">
        <v>17.637999999999899</v>
      </c>
      <c r="AD2837">
        <v>-1.1040226099729999</v>
      </c>
      <c r="AE2837">
        <v>2.4024999999999999</v>
      </c>
      <c r="AF2837">
        <v>-2.0056492692343899</v>
      </c>
      <c r="AG2837">
        <v>-1.1040226099729999</v>
      </c>
      <c r="AH2837">
        <v>17.618872919975701</v>
      </c>
      <c r="AI2837">
        <v>93.562595026545196</v>
      </c>
      <c r="AJ2837">
        <v>96.494325011224007</v>
      </c>
      <c r="AK2837">
        <v>17.766996872987999</v>
      </c>
    </row>
    <row r="2838" spans="1:37" x14ac:dyDescent="0.2">
      <c r="A2838" t="str">
        <f>"20200111153452264"</f>
        <v>20200111153452264</v>
      </c>
      <c r="B2838" t="str">
        <f>"1578728092258638"</f>
        <v>1578728092258638</v>
      </c>
      <c r="C2838" t="s">
        <v>37</v>
      </c>
      <c r="D2838">
        <v>4.9784839999999999</v>
      </c>
      <c r="E2838">
        <v>0.52235209999999999</v>
      </c>
      <c r="F2838" t="s">
        <v>56</v>
      </c>
      <c r="G2838">
        <v>-285.3141</v>
      </c>
      <c r="H2838" s="1">
        <v>4.6902270000000001E-6</v>
      </c>
      <c r="I2838">
        <v>214.9862</v>
      </c>
      <c r="J2838">
        <v>-324.30470000000003</v>
      </c>
      <c r="K2838">
        <v>1.1040700000000001</v>
      </c>
      <c r="L2838">
        <v>214.4332</v>
      </c>
      <c r="M2838">
        <v>0.99971559999999904</v>
      </c>
      <c r="N2838">
        <v>0</v>
      </c>
      <c r="O2838">
        <v>2.2181240000000001E-2</v>
      </c>
      <c r="P2838">
        <v>0.99670639999999999</v>
      </c>
      <c r="Q2838">
        <v>3.5228860000000001E-2</v>
      </c>
      <c r="R2838">
        <v>7.3042999999999997E-2</v>
      </c>
      <c r="S2838">
        <v>3.009735</v>
      </c>
      <c r="T2838">
        <v>-8.4238170000000001E-2</v>
      </c>
      <c r="U2838">
        <v>4.296875E-2</v>
      </c>
      <c r="V2838">
        <v>-5.0934300000000002E-2</v>
      </c>
      <c r="W2838">
        <v>4.3950530000000002E-2</v>
      </c>
      <c r="X2838">
        <v>0.99773449999999997</v>
      </c>
      <c r="Y2838">
        <v>7.8964340000000008E-3</v>
      </c>
      <c r="Z2838">
        <v>-7.3110669999999897E-4</v>
      </c>
      <c r="AA2838">
        <v>0.99996849999999904</v>
      </c>
      <c r="AB2838">
        <v>44</v>
      </c>
      <c r="AC2838">
        <v>38.990600000000001</v>
      </c>
      <c r="AD2838">
        <v>-1.104065309773</v>
      </c>
      <c r="AE2838">
        <v>0.55299999999999705</v>
      </c>
      <c r="AF2838">
        <v>0.31177916156497298</v>
      </c>
      <c r="AG2838">
        <v>-1.104065309773</v>
      </c>
      <c r="AH2838">
        <v>38.962039205994401</v>
      </c>
      <c r="AI2838">
        <v>91.623101270137496</v>
      </c>
      <c r="AJ2838">
        <v>89.541521717469195</v>
      </c>
      <c r="AK2838">
        <v>38.978925915721099</v>
      </c>
    </row>
    <row r="2839" spans="1:37" x14ac:dyDescent="0.2">
      <c r="A2839" t="str">
        <f>"20200111153452286"</f>
        <v>20200111153452286</v>
      </c>
      <c r="B2839" t="str">
        <f>"1578728092279133"</f>
        <v>1578728092279133</v>
      </c>
      <c r="C2839" t="s">
        <v>37</v>
      </c>
      <c r="D2839">
        <v>4.991574</v>
      </c>
      <c r="E2839">
        <v>0.5193624</v>
      </c>
      <c r="F2839" t="s">
        <v>56</v>
      </c>
      <c r="G2839">
        <v>-282.68329999999997</v>
      </c>
      <c r="H2839" s="1">
        <v>5.8484659999999902E-6</v>
      </c>
      <c r="I2839">
        <v>215.05680000000001</v>
      </c>
      <c r="J2839">
        <v>-323.84339999999997</v>
      </c>
      <c r="K2839">
        <v>1.1041179999999999</v>
      </c>
      <c r="L2839">
        <v>214.4435</v>
      </c>
      <c r="M2839">
        <v>0.99970999999999999</v>
      </c>
      <c r="N2839">
        <v>0</v>
      </c>
      <c r="O2839">
        <v>2.2334219999999998E-2</v>
      </c>
      <c r="P2839">
        <v>0.99671399999999999</v>
      </c>
      <c r="Q2839">
        <v>3.4985000000000002E-2</v>
      </c>
      <c r="R2839">
        <v>7.3056469999999998E-2</v>
      </c>
      <c r="S2839">
        <v>3.0093990000000002</v>
      </c>
      <c r="T2839">
        <v>-7.9828499999999997E-2</v>
      </c>
      <c r="U2839">
        <v>4.508972E-2</v>
      </c>
      <c r="V2839">
        <v>-5.0794880000000001E-2</v>
      </c>
      <c r="W2839">
        <v>4.3955769999999998E-2</v>
      </c>
      <c r="X2839">
        <v>0.99774130000000005</v>
      </c>
      <c r="Y2839">
        <v>7.3446419999999898E-3</v>
      </c>
      <c r="Z2839">
        <v>-6.8966209999999999E-4</v>
      </c>
      <c r="AA2839">
        <v>0.9999728</v>
      </c>
      <c r="AB2839">
        <v>44</v>
      </c>
      <c r="AC2839">
        <v>41.1601</v>
      </c>
      <c r="AD2839">
        <v>-1.104112151534</v>
      </c>
      <c r="AE2839">
        <v>0.61330000000000895</v>
      </c>
      <c r="AF2839">
        <v>0.30594889777122403</v>
      </c>
      <c r="AG2839">
        <v>-1.104112151534</v>
      </c>
      <c r="AH2839">
        <v>41.133938121554401</v>
      </c>
      <c r="AI2839">
        <v>91.537514627311396</v>
      </c>
      <c r="AJ2839">
        <v>89.573849280094606</v>
      </c>
      <c r="AK2839">
        <v>41.149891054036502</v>
      </c>
    </row>
    <row r="2840" spans="1:37" x14ac:dyDescent="0.2">
      <c r="A2840" t="str">
        <f>"20200111153452308"</f>
        <v>20200111153452308</v>
      </c>
      <c r="B2840" t="str">
        <f>"1578728092298656"</f>
        <v>1578728092298656</v>
      </c>
      <c r="C2840" t="s">
        <v>37</v>
      </c>
      <c r="D2840">
        <v>4.9912589999999897</v>
      </c>
      <c r="E2840">
        <v>0.51754389999999995</v>
      </c>
      <c r="F2840" t="s">
        <v>56</v>
      </c>
      <c r="G2840">
        <v>-281.88679999999999</v>
      </c>
      <c r="H2840" s="1">
        <v>6.1601809999999996E-6</v>
      </c>
      <c r="I2840">
        <v>215.405</v>
      </c>
      <c r="J2840">
        <v>-323.43720000000002</v>
      </c>
      <c r="K2840">
        <v>1.104152</v>
      </c>
      <c r="L2840">
        <v>214.45269999999999</v>
      </c>
      <c r="M2840">
        <v>0.99970490000000001</v>
      </c>
      <c r="N2840">
        <v>0</v>
      </c>
      <c r="O2840">
        <v>2.2467640000000001E-2</v>
      </c>
      <c r="P2840">
        <v>0.99669430000000003</v>
      </c>
      <c r="Q2840">
        <v>3.4470019999999997E-2</v>
      </c>
      <c r="R2840">
        <v>7.3570529999999995E-2</v>
      </c>
      <c r="S2840">
        <v>3.0076290000000001</v>
      </c>
      <c r="T2840">
        <v>-7.9147460000000003E-2</v>
      </c>
      <c r="U2840">
        <v>6.8923949999999998E-2</v>
      </c>
      <c r="V2840">
        <v>-5.1175650000000003E-2</v>
      </c>
      <c r="W2840">
        <v>4.3674230000000001E-2</v>
      </c>
      <c r="X2840">
        <v>0.99773419999999902</v>
      </c>
      <c r="Y2840">
        <v>-4.4948120000000002E-4</v>
      </c>
      <c r="Z2840">
        <v>-5.8510639999999998E-4</v>
      </c>
      <c r="AA2840">
        <v>0.99999969999999905</v>
      </c>
      <c r="AB2840">
        <v>44</v>
      </c>
      <c r="AC2840">
        <v>41.550400000000003</v>
      </c>
      <c r="AD2840">
        <v>-1.1041458398190001</v>
      </c>
      <c r="AE2840">
        <v>0.95230000000000703</v>
      </c>
      <c r="AF2840">
        <v>-1.84673015805508E-2</v>
      </c>
      <c r="AG2840">
        <v>-1.1041458398190001</v>
      </c>
      <c r="AH2840">
        <v>41.531994621860697</v>
      </c>
      <c r="AI2840">
        <v>91.522873938772904</v>
      </c>
      <c r="AJ2840">
        <v>90.025476704874393</v>
      </c>
      <c r="AK2840">
        <v>41.546673228395598</v>
      </c>
    </row>
    <row r="2841" spans="1:37" x14ac:dyDescent="0.2">
      <c r="A2841" t="str">
        <f>"20200111153452330"</f>
        <v>20200111153452330</v>
      </c>
      <c r="B2841" t="str">
        <f>"1578728092319149"</f>
        <v>1578728092319149</v>
      </c>
      <c r="C2841" t="s">
        <v>37</v>
      </c>
      <c r="D2841">
        <v>5.0385759999999999</v>
      </c>
      <c r="E2841">
        <v>0.51630750000000003</v>
      </c>
      <c r="F2841" t="s">
        <v>56</v>
      </c>
      <c r="G2841">
        <v>-280.7758</v>
      </c>
      <c r="H2841" s="1">
        <v>6.6228579999999998E-6</v>
      </c>
      <c r="I2841">
        <v>215.6566</v>
      </c>
      <c r="J2841">
        <v>-323.0095</v>
      </c>
      <c r="K2841">
        <v>1.104182</v>
      </c>
      <c r="L2841">
        <v>214.4624</v>
      </c>
      <c r="M2841">
        <v>0.99969940000000002</v>
      </c>
      <c r="N2841">
        <v>0</v>
      </c>
      <c r="O2841">
        <v>2.2607349999999998E-2</v>
      </c>
      <c r="P2841">
        <v>0.99669269999999999</v>
      </c>
      <c r="Q2841">
        <v>3.3942029999999998E-2</v>
      </c>
      <c r="R2841">
        <v>7.3836289999999999E-2</v>
      </c>
      <c r="S2841">
        <v>3.00637799999999</v>
      </c>
      <c r="T2841">
        <v>-7.7809929999999999E-2</v>
      </c>
      <c r="U2841">
        <v>8.4838869999999997E-2</v>
      </c>
      <c r="V2841">
        <v>-5.1301869999999999E-2</v>
      </c>
      <c r="W2841">
        <v>4.3393649999999999E-2</v>
      </c>
      <c r="X2841">
        <v>0.99773999999999996</v>
      </c>
      <c r="Y2841">
        <v>-5.6075019999999899E-3</v>
      </c>
      <c r="Z2841">
        <v>-5.1230379999999895E-4</v>
      </c>
      <c r="AA2841">
        <v>0.99998410000000004</v>
      </c>
      <c r="AB2841">
        <v>44</v>
      </c>
      <c r="AC2841">
        <v>42.233699999999999</v>
      </c>
      <c r="AD2841">
        <v>-1.104175377142</v>
      </c>
      <c r="AE2841">
        <v>1.1941999999999899</v>
      </c>
      <c r="AF2841">
        <v>-0.23889658316037801</v>
      </c>
      <c r="AG2841">
        <v>-1.104175377142</v>
      </c>
      <c r="AH2841">
        <v>42.221067573463102</v>
      </c>
      <c r="AI2841">
        <v>91.498047383513494</v>
      </c>
      <c r="AJ2841">
        <v>90.324189336525507</v>
      </c>
      <c r="AK2841">
        <v>42.236179063498099</v>
      </c>
    </row>
    <row r="2842" spans="1:37" x14ac:dyDescent="0.2">
      <c r="A2842" t="str">
        <f>"20200111153452352"</f>
        <v>20200111153452352</v>
      </c>
      <c r="B2842" t="str">
        <f>"1578728092339289"</f>
        <v>1578728092339289</v>
      </c>
      <c r="C2842" t="s">
        <v>37</v>
      </c>
      <c r="D2842">
        <v>4.9959749999999996</v>
      </c>
      <c r="E2842">
        <v>0.51539979999999996</v>
      </c>
      <c r="F2842" t="s">
        <v>56</v>
      </c>
      <c r="G2842">
        <v>-281.94400000000002</v>
      </c>
      <c r="H2842" s="1">
        <v>6.0914520000000004E-6</v>
      </c>
      <c r="I2842">
        <v>215.7688</v>
      </c>
      <c r="J2842">
        <v>-322.56380000000001</v>
      </c>
      <c r="K2842">
        <v>1.1042069999999999</v>
      </c>
      <c r="L2842">
        <v>214.4727</v>
      </c>
      <c r="M2842">
        <v>0.99969359999999996</v>
      </c>
      <c r="N2842">
        <v>0</v>
      </c>
      <c r="O2842">
        <v>2.2753160000000001E-2</v>
      </c>
      <c r="P2842">
        <v>0.99664489999999994</v>
      </c>
      <c r="Q2842">
        <v>3.3802980000000003E-2</v>
      </c>
      <c r="R2842">
        <v>7.4540780000000001E-2</v>
      </c>
      <c r="S2842">
        <v>3.0056150000000001</v>
      </c>
      <c r="T2842">
        <v>-8.0815429999999994E-2</v>
      </c>
      <c r="U2842">
        <v>9.5611570000000007E-2</v>
      </c>
      <c r="V2842">
        <v>-5.1861119999999997E-2</v>
      </c>
      <c r="W2842">
        <v>4.3499400000000001E-2</v>
      </c>
      <c r="X2842">
        <v>0.99770650000000005</v>
      </c>
      <c r="Y2842">
        <v>-9.0488749999999996E-3</v>
      </c>
      <c r="Z2842">
        <v>-4.8985860000000001E-4</v>
      </c>
      <c r="AA2842">
        <v>0.99995889999999998</v>
      </c>
      <c r="AB2842">
        <v>44</v>
      </c>
      <c r="AC2842">
        <v>40.619799999999998</v>
      </c>
      <c r="AD2842">
        <v>-1.104200908548</v>
      </c>
      <c r="AE2842">
        <v>1.29609999999999</v>
      </c>
      <c r="AF2842">
        <v>-0.37121767680850798</v>
      </c>
      <c r="AG2842">
        <v>-1.104200908548</v>
      </c>
      <c r="AH2842">
        <v>40.608797112689899</v>
      </c>
      <c r="AI2842">
        <v>91.557490736606397</v>
      </c>
      <c r="AJ2842">
        <v>90.523743997852904</v>
      </c>
      <c r="AK2842">
        <v>40.625502644885799</v>
      </c>
    </row>
    <row r="2843" spans="1:37" x14ac:dyDescent="0.2">
      <c r="A2843" t="str">
        <f>"20200111153452375"</f>
        <v>20200111153452375</v>
      </c>
      <c r="B2843" t="str">
        <f>"1578728092368569"</f>
        <v>1578728092368569</v>
      </c>
      <c r="C2843" t="s">
        <v>37</v>
      </c>
      <c r="D2843">
        <v>5.0457710000000002</v>
      </c>
      <c r="E2843">
        <v>0.51450529999999906</v>
      </c>
      <c r="F2843" t="s">
        <v>56</v>
      </c>
      <c r="G2843">
        <v>-281.74680000000001</v>
      </c>
      <c r="H2843" s="1">
        <v>6.163601E-6</v>
      </c>
      <c r="I2843">
        <v>215.89699999999999</v>
      </c>
      <c r="J2843">
        <v>-322.11779999999999</v>
      </c>
      <c r="K2843">
        <v>1.10422</v>
      </c>
      <c r="L2843">
        <v>214.4829</v>
      </c>
      <c r="M2843">
        <v>0.99968829999999997</v>
      </c>
      <c r="N2843">
        <v>0</v>
      </c>
      <c r="O2843">
        <v>2.2899880000000001E-2</v>
      </c>
      <c r="P2843">
        <v>0.99663440000000003</v>
      </c>
      <c r="Q2843">
        <v>3.3684510000000001E-2</v>
      </c>
      <c r="R2843">
        <v>7.4736490000000003E-2</v>
      </c>
      <c r="S2843">
        <v>3.0050050000000001</v>
      </c>
      <c r="T2843">
        <v>-8.1292989999999996E-2</v>
      </c>
      <c r="U2843">
        <v>0.10485839999999901</v>
      </c>
      <c r="V2843">
        <v>-5.1910360000000003E-2</v>
      </c>
      <c r="W2843">
        <v>4.3604669999999998E-2</v>
      </c>
      <c r="X2843">
        <v>0.99769929999999996</v>
      </c>
      <c r="Y2843">
        <v>-1.198112E-2</v>
      </c>
      <c r="Z2843">
        <v>-4.571453E-4</v>
      </c>
      <c r="AA2843">
        <v>0.99992809999999899</v>
      </c>
      <c r="AB2843">
        <v>44</v>
      </c>
      <c r="AC2843">
        <v>40.370999999999903</v>
      </c>
      <c r="AD2843">
        <v>-1.1042138363989999</v>
      </c>
      <c r="AE2843">
        <v>1.4141000000000099</v>
      </c>
      <c r="AF2843">
        <v>-0.488827110396168</v>
      </c>
      <c r="AG2843">
        <v>-1.1042138363989999</v>
      </c>
      <c r="AH2843">
        <v>40.362637697459697</v>
      </c>
      <c r="AI2843">
        <v>91.566953597460497</v>
      </c>
      <c r="AJ2843">
        <v>90.693868456705104</v>
      </c>
      <c r="AK2843">
        <v>40.380697889421697</v>
      </c>
    </row>
    <row r="2844" spans="1:37" x14ac:dyDescent="0.2">
      <c r="A2844" t="str">
        <f>"20200111153452397"</f>
        <v>20200111153452397</v>
      </c>
      <c r="B2844" t="str">
        <f>"1578728092389068"</f>
        <v>1578728092389068</v>
      </c>
      <c r="C2844" t="s">
        <v>37</v>
      </c>
      <c r="D2844">
        <v>5.0469119999999998</v>
      </c>
      <c r="E2844">
        <v>0.51420239999999995</v>
      </c>
      <c r="F2844" t="s">
        <v>56</v>
      </c>
      <c r="G2844">
        <v>-282.25569999999999</v>
      </c>
      <c r="H2844" s="1">
        <v>5.92824899999999E-6</v>
      </c>
      <c r="I2844">
        <v>215.97839999999999</v>
      </c>
      <c r="J2844">
        <v>-321.68060000000003</v>
      </c>
      <c r="K2844">
        <v>1.104225</v>
      </c>
      <c r="L2844">
        <v>214.4931</v>
      </c>
      <c r="M2844">
        <v>0.99968299999999999</v>
      </c>
      <c r="N2844">
        <v>0</v>
      </c>
      <c r="O2844">
        <v>2.3044749999999999E-2</v>
      </c>
      <c r="P2844">
        <v>0.99664010000000003</v>
      </c>
      <c r="Q2844">
        <v>3.3478929999999997E-2</v>
      </c>
      <c r="R2844">
        <v>7.4750990000000003E-2</v>
      </c>
      <c r="S2844">
        <v>3.0045169999999999</v>
      </c>
      <c r="T2844">
        <v>-8.3227629999999997E-2</v>
      </c>
      <c r="U2844">
        <v>0.112716699999999</v>
      </c>
      <c r="V2844">
        <v>-5.1780029999999998E-2</v>
      </c>
      <c r="W2844">
        <v>4.3591339999999999E-2</v>
      </c>
      <c r="X2844">
        <v>0.99770669999999995</v>
      </c>
      <c r="Y2844">
        <v>-1.4452970000000001E-2</v>
      </c>
      <c r="Z2844">
        <v>-4.378629E-4</v>
      </c>
      <c r="AA2844">
        <v>0.99989550000000005</v>
      </c>
      <c r="AB2844">
        <v>44</v>
      </c>
      <c r="AC2844">
        <v>39.424900000000001</v>
      </c>
      <c r="AD2844">
        <v>-1.1042190717510001</v>
      </c>
      <c r="AE2844">
        <v>1.4852999999999901</v>
      </c>
      <c r="AF2844">
        <v>-0.57587072487195801</v>
      </c>
      <c r="AG2844">
        <v>-1.1042190717510001</v>
      </c>
      <c r="AH2844">
        <v>39.4177814177839</v>
      </c>
      <c r="AI2844">
        <v>91.604448632834703</v>
      </c>
      <c r="AJ2844">
        <v>90.836998272544903</v>
      </c>
      <c r="AK2844">
        <v>39.437449445297197</v>
      </c>
    </row>
    <row r="2845" spans="1:37" x14ac:dyDescent="0.2">
      <c r="A2845" t="str">
        <f>"20200111153452420"</f>
        <v>20200111153452420</v>
      </c>
      <c r="B2845" t="str">
        <f>"1578728092408585"</f>
        <v>1578728092408585</v>
      </c>
      <c r="C2845" t="s">
        <v>37</v>
      </c>
      <c r="D2845">
        <v>5.0814649999999997</v>
      </c>
      <c r="E2845">
        <v>0.51381279999999996</v>
      </c>
      <c r="F2845" t="s">
        <v>56</v>
      </c>
      <c r="G2845">
        <v>-282.61939999999998</v>
      </c>
      <c r="H2845" s="1">
        <v>5.7656189999999998E-6</v>
      </c>
      <c r="I2845">
        <v>215.9897</v>
      </c>
      <c r="J2845">
        <v>-321.2491</v>
      </c>
      <c r="K2845">
        <v>1.1042239999999901</v>
      </c>
      <c r="L2845">
        <v>214.50309999999999</v>
      </c>
      <c r="M2845">
        <v>0.99967790000000001</v>
      </c>
      <c r="N2845">
        <v>0</v>
      </c>
      <c r="O2845">
        <v>2.318866E-2</v>
      </c>
      <c r="P2845">
        <v>0.99663429999999997</v>
      </c>
      <c r="Q2845">
        <v>3.3384759999999999E-2</v>
      </c>
      <c r="R2845">
        <v>7.4871140000000003E-2</v>
      </c>
      <c r="S2845">
        <v>3.0043639999999998</v>
      </c>
      <c r="T2845">
        <v>-8.4930179999999994E-2</v>
      </c>
      <c r="U2845">
        <v>0.1151123</v>
      </c>
      <c r="V2845">
        <v>-5.1756089999999998E-2</v>
      </c>
      <c r="W2845">
        <v>4.3663269999999997E-2</v>
      </c>
      <c r="X2845">
        <v>0.99770479999999995</v>
      </c>
      <c r="Y2845">
        <v>-1.5106980000000001E-2</v>
      </c>
      <c r="Z2845">
        <v>-4.4165779999999998E-4</v>
      </c>
      <c r="AA2845">
        <v>0.99988580000000005</v>
      </c>
      <c r="AB2845">
        <v>44</v>
      </c>
      <c r="AC2845">
        <v>38.6297</v>
      </c>
      <c r="AD2845">
        <v>-1.1042182343809901</v>
      </c>
      <c r="AE2845">
        <v>1.4866000000000099</v>
      </c>
      <c r="AF2845">
        <v>-0.58990030501504798</v>
      </c>
      <c r="AG2845">
        <v>-1.1042182343809901</v>
      </c>
      <c r="AH2845">
        <v>38.622274720793001</v>
      </c>
      <c r="AI2845">
        <v>91.637460326629693</v>
      </c>
      <c r="AJ2845">
        <v>90.8750434873144</v>
      </c>
      <c r="AK2845">
        <v>38.642559243500003</v>
      </c>
    </row>
    <row r="2846" spans="1:37" x14ac:dyDescent="0.2">
      <c r="A2846" t="str">
        <f>"20200111153452442"</f>
        <v>20200111153452442</v>
      </c>
      <c r="B2846" t="str">
        <f>"1578728092429081"</f>
        <v>1578728092429081</v>
      </c>
      <c r="C2846" t="s">
        <v>37</v>
      </c>
      <c r="D2846">
        <v>5.0585420000000001</v>
      </c>
      <c r="E2846">
        <v>0.51357839999999999</v>
      </c>
      <c r="F2846" t="s">
        <v>56</v>
      </c>
      <c r="G2846">
        <v>-282.77910000000003</v>
      </c>
      <c r="H2846" s="1">
        <v>5.6911119999999999E-6</v>
      </c>
      <c r="I2846">
        <v>216.0206</v>
      </c>
      <c r="J2846">
        <v>-320.80439999999999</v>
      </c>
      <c r="K2846">
        <v>1.1042179999999999</v>
      </c>
      <c r="L2846">
        <v>214.51349999999999</v>
      </c>
      <c r="M2846">
        <v>0.99967299999999903</v>
      </c>
      <c r="N2846">
        <v>0</v>
      </c>
      <c r="O2846">
        <v>2.3337199999999999E-2</v>
      </c>
      <c r="P2846">
        <v>0.99665439999999905</v>
      </c>
      <c r="Q2846">
        <v>3.3338899999999998E-2</v>
      </c>
      <c r="R2846">
        <v>7.4623839999999997E-2</v>
      </c>
      <c r="S2846">
        <v>3.0041199999999999</v>
      </c>
      <c r="T2846">
        <v>-8.6228369999999999E-2</v>
      </c>
      <c r="U2846">
        <v>0.1184998</v>
      </c>
      <c r="V2846">
        <v>-5.1360030000000001E-2</v>
      </c>
      <c r="W2846">
        <v>4.3763789999999997E-2</v>
      </c>
      <c r="X2846">
        <v>0.99772079999999996</v>
      </c>
      <c r="Y2846">
        <v>-1.6087009999999999E-2</v>
      </c>
      <c r="Z2846">
        <v>-4.3863379999999899E-4</v>
      </c>
      <c r="AA2846">
        <v>0.9998705</v>
      </c>
      <c r="AB2846">
        <v>44</v>
      </c>
      <c r="AC2846">
        <v>38.025299999999902</v>
      </c>
      <c r="AD2846">
        <v>-1.10421230888799</v>
      </c>
      <c r="AE2846">
        <v>1.5071000000000001</v>
      </c>
      <c r="AF2846">
        <v>-0.61871606125404</v>
      </c>
      <c r="AG2846">
        <v>-1.10421230888799</v>
      </c>
      <c r="AH2846">
        <v>38.018107363581798</v>
      </c>
      <c r="AI2846">
        <v>91.6634324766502</v>
      </c>
      <c r="AJ2846">
        <v>90.932363348437505</v>
      </c>
      <c r="AK2846">
        <v>38.039171677316801</v>
      </c>
    </row>
    <row r="2847" spans="1:37" x14ac:dyDescent="0.2">
      <c r="A2847" t="str">
        <f>"20200111153452464"</f>
        <v>20200111153452464</v>
      </c>
      <c r="B2847" t="str">
        <f>"1578728092458868"</f>
        <v>1578728092458868</v>
      </c>
      <c r="C2847" t="s">
        <v>37</v>
      </c>
      <c r="D2847">
        <v>5.0548279999999997</v>
      </c>
      <c r="E2847">
        <v>0.51312550000000001</v>
      </c>
      <c r="F2847" t="s">
        <v>56</v>
      </c>
      <c r="G2847">
        <v>-282.62889999999999</v>
      </c>
      <c r="H2847" s="1">
        <v>5.756154E-6</v>
      </c>
      <c r="I2847">
        <v>216.0334</v>
      </c>
      <c r="J2847">
        <v>-320.36470000000003</v>
      </c>
      <c r="K2847">
        <v>1.104217</v>
      </c>
      <c r="L2847">
        <v>214.524</v>
      </c>
      <c r="M2847">
        <v>0.99966819999999901</v>
      </c>
      <c r="N2847">
        <v>0</v>
      </c>
      <c r="O2847">
        <v>2.348364E-2</v>
      </c>
      <c r="P2847">
        <v>0.99669560000000001</v>
      </c>
      <c r="Q2847">
        <v>3.3562410000000001E-2</v>
      </c>
      <c r="R2847">
        <v>7.3967249999999998E-2</v>
      </c>
      <c r="S2847">
        <v>3.0040589999999998</v>
      </c>
      <c r="T2847">
        <v>-8.6891410000000002E-2</v>
      </c>
      <c r="U2847">
        <v>0.11959839999999999</v>
      </c>
      <c r="V2847">
        <v>-5.0556179999999999E-2</v>
      </c>
      <c r="W2847">
        <v>4.4112020000000002E-2</v>
      </c>
      <c r="X2847">
        <v>0.99774660000000004</v>
      </c>
      <c r="Y2847">
        <v>-1.630641E-2</v>
      </c>
      <c r="Z2847">
        <v>-4.4307139999999999E-4</v>
      </c>
      <c r="AA2847">
        <v>0.99986699999999995</v>
      </c>
      <c r="AB2847">
        <v>44</v>
      </c>
      <c r="AC2847">
        <v>37.735799999999998</v>
      </c>
      <c r="AD2847">
        <v>-1.1042112438459999</v>
      </c>
      <c r="AE2847">
        <v>1.5093999999999901</v>
      </c>
      <c r="AF2847">
        <v>-0.62222818928125101</v>
      </c>
      <c r="AG2847">
        <v>-1.1042112438459999</v>
      </c>
      <c r="AH2847">
        <v>37.728587047256703</v>
      </c>
      <c r="AI2847">
        <v>91.676182415892498</v>
      </c>
      <c r="AJ2847">
        <v>90.9448489904985</v>
      </c>
      <c r="AK2847">
        <v>37.749870608692099</v>
      </c>
    </row>
    <row r="2848" spans="1:37" x14ac:dyDescent="0.2">
      <c r="A2848" t="str">
        <f>"20200111153452488"</f>
        <v>20200111153452488</v>
      </c>
      <c r="B2848" t="str">
        <f>"1578728092478388"</f>
        <v>1578728092478388</v>
      </c>
      <c r="C2848" t="s">
        <v>37</v>
      </c>
      <c r="D2848">
        <v>5.0636359999999998</v>
      </c>
      <c r="E2848">
        <v>0.51286350000000003</v>
      </c>
      <c r="F2848" t="s">
        <v>56</v>
      </c>
      <c r="G2848">
        <v>-282.2672</v>
      </c>
      <c r="H2848" s="1">
        <v>5.9131579999999997E-6</v>
      </c>
      <c r="I2848">
        <v>216.06209999999999</v>
      </c>
      <c r="J2848">
        <v>-319.89760000000001</v>
      </c>
      <c r="K2848">
        <v>1.104212</v>
      </c>
      <c r="L2848">
        <v>214.535</v>
      </c>
      <c r="M2848">
        <v>0.99966339999999998</v>
      </c>
      <c r="N2848">
        <v>0</v>
      </c>
      <c r="O2848">
        <v>2.3638780000000002E-2</v>
      </c>
      <c r="P2848">
        <v>0.99669490000000005</v>
      </c>
      <c r="Q2848">
        <v>3.3752589999999999E-2</v>
      </c>
      <c r="R2848">
        <v>7.3894520000000005E-2</v>
      </c>
      <c r="S2848">
        <v>3.003876</v>
      </c>
      <c r="T2848">
        <v>-8.7063790000000002E-2</v>
      </c>
      <c r="U2848">
        <v>0.12127690000000001</v>
      </c>
      <c r="V2848">
        <v>-5.0328560000000001E-2</v>
      </c>
      <c r="W2848">
        <v>4.4414990000000001E-2</v>
      </c>
      <c r="X2848">
        <v>0.99774459999999998</v>
      </c>
      <c r="Y2848">
        <v>-1.6711340000000002E-2</v>
      </c>
      <c r="Z2848">
        <v>-4.4259939999999998E-4</v>
      </c>
      <c r="AA2848">
        <v>0.99986030000000004</v>
      </c>
      <c r="AB2848">
        <v>44</v>
      </c>
      <c r="AC2848">
        <v>37.630400000000002</v>
      </c>
      <c r="AD2848">
        <v>-1.1042060868420001</v>
      </c>
      <c r="AE2848">
        <v>1.5270999999999899</v>
      </c>
      <c r="AF2848">
        <v>-0.63653845702474798</v>
      </c>
      <c r="AG2848">
        <v>-1.1042060868420001</v>
      </c>
      <c r="AH2848">
        <v>37.623642247105799</v>
      </c>
      <c r="AI2848">
        <v>91.680835358416203</v>
      </c>
      <c r="AJ2848">
        <v>90.969270536020602</v>
      </c>
      <c r="AK2848">
        <v>37.645224241963199</v>
      </c>
    </row>
    <row r="2849" spans="1:37" x14ac:dyDescent="0.2">
      <c r="A2849" t="str">
        <f>"20200111153452509"</f>
        <v>20200111153452509</v>
      </c>
      <c r="B2849" t="str">
        <f>"1578728092498884"</f>
        <v>1578728092498884</v>
      </c>
      <c r="C2849" t="s">
        <v>37</v>
      </c>
      <c r="D2849">
        <v>5.071078</v>
      </c>
      <c r="E2849">
        <v>0.51264359999999998</v>
      </c>
      <c r="F2849" t="s">
        <v>56</v>
      </c>
      <c r="G2849">
        <v>-281.68049999999999</v>
      </c>
      <c r="H2849" s="1">
        <v>6.168909E-6</v>
      </c>
      <c r="I2849">
        <v>216.0992</v>
      </c>
      <c r="J2849">
        <v>-319.47449999999998</v>
      </c>
      <c r="K2849">
        <v>1.1042000000000001</v>
      </c>
      <c r="L2849">
        <v>214.54519999999999</v>
      </c>
      <c r="M2849">
        <v>0.99965899999999996</v>
      </c>
      <c r="N2849">
        <v>0</v>
      </c>
      <c r="O2849">
        <v>2.3779060000000001E-2</v>
      </c>
      <c r="P2849">
        <v>0.99668899999999905</v>
      </c>
      <c r="Q2849">
        <v>3.3734779999999999E-2</v>
      </c>
      <c r="R2849">
        <v>7.3979069999999994E-2</v>
      </c>
      <c r="S2849">
        <v>3.0038149999999999</v>
      </c>
      <c r="T2849">
        <v>-8.678901E-2</v>
      </c>
      <c r="U2849">
        <v>0.1229401</v>
      </c>
      <c r="V2849">
        <v>-5.0273230000000002E-2</v>
      </c>
      <c r="W2849">
        <v>4.4479299999999999E-2</v>
      </c>
      <c r="X2849">
        <v>0.99774459999999998</v>
      </c>
      <c r="Y2849">
        <v>-1.712441E-2</v>
      </c>
      <c r="Z2849">
        <v>-4.3929210000000002E-4</v>
      </c>
      <c r="AA2849">
        <v>0.99985329999999994</v>
      </c>
      <c r="AB2849">
        <v>44</v>
      </c>
      <c r="AC2849">
        <v>37.793999999999897</v>
      </c>
      <c r="AD2849">
        <v>-1.104193831091</v>
      </c>
      <c r="AE2849">
        <v>1.554</v>
      </c>
      <c r="AF2849">
        <v>-0.65424490738357799</v>
      </c>
      <c r="AG2849">
        <v>-1.104193831091</v>
      </c>
      <c r="AH2849">
        <v>37.788066117923101</v>
      </c>
      <c r="AI2849">
        <v>91.673495988793505</v>
      </c>
      <c r="AJ2849">
        <v>90.991893233941198</v>
      </c>
      <c r="AK2849">
        <v>37.809856140270902</v>
      </c>
    </row>
    <row r="2850" spans="1:37" x14ac:dyDescent="0.2">
      <c r="A2850" t="str">
        <f>"20200111153452531"</f>
        <v>20200111153452531</v>
      </c>
      <c r="B2850" t="str">
        <f>"1578728092518404"</f>
        <v>1578728092518404</v>
      </c>
      <c r="C2850" t="s">
        <v>37</v>
      </c>
      <c r="D2850">
        <v>5.0750440000000001</v>
      </c>
      <c r="E2850">
        <v>0.51245959999999902</v>
      </c>
      <c r="F2850" t="s">
        <v>56</v>
      </c>
      <c r="G2850">
        <v>-281.43740000000003</v>
      </c>
      <c r="H2850" s="1">
        <v>6.2730120000000002E-6</v>
      </c>
      <c r="I2850">
        <v>216.1302</v>
      </c>
      <c r="J2850">
        <v>-319.0489</v>
      </c>
      <c r="K2850">
        <v>1.104195</v>
      </c>
      <c r="L2850">
        <v>214.55539999999999</v>
      </c>
      <c r="M2850">
        <v>0.99965499999999996</v>
      </c>
      <c r="N2850">
        <v>0</v>
      </c>
      <c r="O2850">
        <v>2.3919599999999999E-2</v>
      </c>
      <c r="P2850">
        <v>0.99672530000000004</v>
      </c>
      <c r="Q2850">
        <v>3.336948E-2</v>
      </c>
      <c r="R2850">
        <v>7.3655289999999998E-2</v>
      </c>
      <c r="S2850">
        <v>3.00360099999999</v>
      </c>
      <c r="T2850">
        <v>-8.7192649999999997E-2</v>
      </c>
      <c r="U2850">
        <v>0.1251678</v>
      </c>
      <c r="V2850">
        <v>-4.980859E-2</v>
      </c>
      <c r="W2850">
        <v>4.4180619999999997E-2</v>
      </c>
      <c r="X2850">
        <v>0.99778109999999998</v>
      </c>
      <c r="Y2850">
        <v>-1.772688E-2</v>
      </c>
      <c r="Z2850">
        <v>-4.3669419999999899E-4</v>
      </c>
      <c r="AA2850">
        <v>0.99984280000000003</v>
      </c>
      <c r="AB2850">
        <v>44</v>
      </c>
      <c r="AC2850">
        <v>37.6114999999999</v>
      </c>
      <c r="AD2850">
        <v>-1.104188726988</v>
      </c>
      <c r="AE2850">
        <v>1.57480000000001</v>
      </c>
      <c r="AF2850">
        <v>-0.67406443001458705</v>
      </c>
      <c r="AG2850">
        <v>-1.104188726988</v>
      </c>
      <c r="AH2850">
        <v>37.606053266827999</v>
      </c>
      <c r="AI2850">
        <v>91.6815652002375</v>
      </c>
      <c r="AJ2850">
        <v>91.026880204411896</v>
      </c>
      <c r="AK2850">
        <v>37.628298365832599</v>
      </c>
    </row>
    <row r="2851" spans="1:37" x14ac:dyDescent="0.2">
      <c r="A2851" t="str">
        <f>"20200111153452554"</f>
        <v>20200111153452554</v>
      </c>
      <c r="B2851" t="str">
        <f>"1578728092548660"</f>
        <v>1578728092548660</v>
      </c>
      <c r="C2851" t="s">
        <v>37</v>
      </c>
      <c r="D2851">
        <v>5.0590459999999897</v>
      </c>
      <c r="E2851">
        <v>0.51228030000000002</v>
      </c>
      <c r="F2851" t="s">
        <v>56</v>
      </c>
      <c r="G2851">
        <v>-281.67110000000002</v>
      </c>
      <c r="H2851" s="1">
        <v>6.1706679999999899E-6</v>
      </c>
      <c r="I2851">
        <v>216.11930000000001</v>
      </c>
      <c r="J2851">
        <v>-318.59570000000002</v>
      </c>
      <c r="K2851">
        <v>1.1041859999999999</v>
      </c>
      <c r="L2851">
        <v>214.56630000000001</v>
      </c>
      <c r="M2851">
        <v>0.99965079999999995</v>
      </c>
      <c r="N2851">
        <v>0</v>
      </c>
      <c r="O2851">
        <v>2.406937E-2</v>
      </c>
      <c r="P2851">
        <v>0.99672819999999995</v>
      </c>
      <c r="Q2851">
        <v>3.351109E-2</v>
      </c>
      <c r="R2851">
        <v>7.3550779999999996E-2</v>
      </c>
      <c r="S2851">
        <v>3.003571</v>
      </c>
      <c r="T2851">
        <v>-8.8729379999999997E-2</v>
      </c>
      <c r="U2851">
        <v>0.12567139999999999</v>
      </c>
      <c r="V2851">
        <v>-4.9554550000000003E-2</v>
      </c>
      <c r="W2851">
        <v>4.4380210000000003E-2</v>
      </c>
      <c r="X2851">
        <v>0.99778489999999997</v>
      </c>
      <c r="Y2851">
        <v>-1.7744969999999999E-2</v>
      </c>
      <c r="Z2851">
        <v>-4.4854319999999999E-4</v>
      </c>
      <c r="AA2851">
        <v>0.99984249999999997</v>
      </c>
      <c r="AB2851">
        <v>44</v>
      </c>
      <c r="AC2851">
        <v>36.924599999999998</v>
      </c>
      <c r="AD2851">
        <v>-1.104179829332</v>
      </c>
      <c r="AE2851">
        <v>1.5529999999999899</v>
      </c>
      <c r="AF2851">
        <v>-0.66315334534886705</v>
      </c>
      <c r="AG2851">
        <v>-1.104179829332</v>
      </c>
      <c r="AH2851">
        <v>36.918328195003298</v>
      </c>
      <c r="AI2851">
        <v>91.712856411027602</v>
      </c>
      <c r="AJ2851">
        <v>91.029076990598</v>
      </c>
      <c r="AK2851">
        <v>36.940789679823197</v>
      </c>
    </row>
    <row r="2852" spans="1:37" x14ac:dyDescent="0.2">
      <c r="A2852" t="str">
        <f>"20200111153452576"</f>
        <v>20200111153452576</v>
      </c>
      <c r="B2852" t="str">
        <f>"1578728092569158"</f>
        <v>1578728092569158</v>
      </c>
      <c r="C2852" t="s">
        <v>37</v>
      </c>
      <c r="D2852">
        <v>5.0363249999999997</v>
      </c>
      <c r="E2852">
        <v>0.51222460000000003</v>
      </c>
      <c r="F2852" t="s">
        <v>56</v>
      </c>
      <c r="G2852">
        <v>-281.47070000000002</v>
      </c>
      <c r="H2852" s="1">
        <v>6.2579959999999999E-6</v>
      </c>
      <c r="I2852">
        <v>216.13239999999999</v>
      </c>
      <c r="J2852">
        <v>-318.14599999999899</v>
      </c>
      <c r="K2852">
        <v>1.1041809999999901</v>
      </c>
      <c r="L2852">
        <v>214.57730000000001</v>
      </c>
      <c r="M2852">
        <v>0.999646699999999</v>
      </c>
      <c r="N2852">
        <v>0</v>
      </c>
      <c r="O2852">
        <v>2.4218190000000001E-2</v>
      </c>
      <c r="P2852">
        <v>0.99672629999999995</v>
      </c>
      <c r="Q2852">
        <v>3.3482350000000001E-2</v>
      </c>
      <c r="R2852">
        <v>7.3590169999999996E-2</v>
      </c>
      <c r="S2852">
        <v>3.003479</v>
      </c>
      <c r="T2852">
        <v>-8.9330199999999998E-2</v>
      </c>
      <c r="U2852">
        <v>0.12669369999999999</v>
      </c>
      <c r="V2852">
        <v>-4.9445089999999997E-2</v>
      </c>
      <c r="W2852">
        <v>4.4396409999999997E-2</v>
      </c>
      <c r="X2852">
        <v>0.99778960000000005</v>
      </c>
      <c r="Y2852">
        <v>-1.7937129999999999E-2</v>
      </c>
      <c r="Z2852">
        <v>-4.5315500000000001E-4</v>
      </c>
      <c r="AA2852">
        <v>0.99983899999999903</v>
      </c>
      <c r="AB2852">
        <v>44</v>
      </c>
      <c r="AC2852">
        <v>36.675299999999901</v>
      </c>
      <c r="AD2852">
        <v>-1.10417474200399</v>
      </c>
      <c r="AE2852">
        <v>1.5550999999999799</v>
      </c>
      <c r="AF2852">
        <v>-0.66577877788817297</v>
      </c>
      <c r="AG2852">
        <v>-1.10417474200399</v>
      </c>
      <c r="AH2852">
        <v>36.669027889717903</v>
      </c>
      <c r="AI2852">
        <v>91.724480565927806</v>
      </c>
      <c r="AJ2852">
        <v>91.040172738814206</v>
      </c>
      <c r="AK2852">
        <v>36.691689380824002</v>
      </c>
    </row>
    <row r="2853" spans="1:37" x14ac:dyDescent="0.2">
      <c r="A2853" t="str">
        <f>"20200111153452598"</f>
        <v>20200111153452598</v>
      </c>
      <c r="B2853" t="str">
        <f>"1578728092588678"</f>
        <v>1578728092588678</v>
      </c>
      <c r="C2853" t="s">
        <v>37</v>
      </c>
      <c r="D2853">
        <v>5.0941580000000002</v>
      </c>
      <c r="E2853">
        <v>0.51222690000000004</v>
      </c>
      <c r="F2853" t="s">
        <v>56</v>
      </c>
      <c r="G2853">
        <v>-281.26639999999998</v>
      </c>
      <c r="H2853" s="1">
        <v>6.3473880000000001E-6</v>
      </c>
      <c r="I2853">
        <v>216.14230000000001</v>
      </c>
      <c r="J2853">
        <v>-317.71859999999998</v>
      </c>
      <c r="K2853">
        <v>1.104176</v>
      </c>
      <c r="L2853">
        <v>214.58770000000001</v>
      </c>
      <c r="M2853">
        <v>0.99964279999999905</v>
      </c>
      <c r="N2853">
        <v>0</v>
      </c>
      <c r="O2853">
        <v>2.4359510000000001E-2</v>
      </c>
      <c r="P2853">
        <v>0.99672899999999998</v>
      </c>
      <c r="Q2853">
        <v>3.3116649999999997E-2</v>
      </c>
      <c r="R2853">
        <v>7.3719670000000001E-2</v>
      </c>
      <c r="S2853">
        <v>3.003479</v>
      </c>
      <c r="T2853">
        <v>-8.9924219999999999E-2</v>
      </c>
      <c r="U2853">
        <v>0.12745670000000001</v>
      </c>
      <c r="V2853">
        <v>-4.9433449999999997E-2</v>
      </c>
      <c r="W2853">
        <v>4.4063430000000001E-2</v>
      </c>
      <c r="X2853">
        <v>0.99780489999999999</v>
      </c>
      <c r="Y2853">
        <v>-1.8049340000000001E-2</v>
      </c>
      <c r="Z2853">
        <v>-4.5871209999999999E-4</v>
      </c>
      <c r="AA2853">
        <v>0.99983699999999998</v>
      </c>
      <c r="AB2853">
        <v>44</v>
      </c>
      <c r="AC2853">
        <v>36.452199999999998</v>
      </c>
      <c r="AD2853">
        <v>-1.104169652612</v>
      </c>
      <c r="AE2853">
        <v>1.55459999999999</v>
      </c>
      <c r="AF2853">
        <v>-0.66551770138228294</v>
      </c>
      <c r="AG2853">
        <v>-1.104169652612</v>
      </c>
      <c r="AH2853">
        <v>36.445873795650101</v>
      </c>
      <c r="AI2853">
        <v>91.735021662470999</v>
      </c>
      <c r="AJ2853">
        <v>91.046129894487805</v>
      </c>
      <c r="AK2853">
        <v>36.468669034680403</v>
      </c>
    </row>
    <row r="2854" spans="1:37" x14ac:dyDescent="0.2">
      <c r="A2854" t="str">
        <f>"20200111153452620"</f>
        <v>20200111153452620</v>
      </c>
      <c r="B2854" t="str">
        <f>"1578728092609171"</f>
        <v>1578728092609171</v>
      </c>
      <c r="C2854" t="s">
        <v>37</v>
      </c>
      <c r="D2854">
        <v>5.040108</v>
      </c>
      <c r="E2854">
        <v>0.5121831</v>
      </c>
      <c r="F2854" t="s">
        <v>56</v>
      </c>
      <c r="G2854">
        <v>-281.52339999999998</v>
      </c>
      <c r="H2854" s="1">
        <v>6.2351499999999999E-6</v>
      </c>
      <c r="I2854">
        <v>216.12780000000001</v>
      </c>
      <c r="J2854">
        <v>-317.29309999999998</v>
      </c>
      <c r="K2854">
        <v>1.104171</v>
      </c>
      <c r="L2854">
        <v>214.59819999999999</v>
      </c>
      <c r="M2854">
        <v>0.99963919999999995</v>
      </c>
      <c r="N2854">
        <v>0</v>
      </c>
      <c r="O2854">
        <v>2.4500279999999999E-2</v>
      </c>
      <c r="P2854">
        <v>0.99672700000000003</v>
      </c>
      <c r="Q2854">
        <v>3.2810010000000001E-2</v>
      </c>
      <c r="R2854">
        <v>7.3883649999999995E-2</v>
      </c>
      <c r="S2854">
        <v>3.0034480000000001</v>
      </c>
      <c r="T2854">
        <v>-9.1623189999999993E-2</v>
      </c>
      <c r="U2854">
        <v>0.1277924</v>
      </c>
      <c r="V2854">
        <v>-4.9456430000000003E-2</v>
      </c>
      <c r="W2854">
        <v>4.3781889999999997E-2</v>
      </c>
      <c r="X2854">
        <v>0.99781620000000004</v>
      </c>
      <c r="Y2854">
        <v>-1.8020709999999999E-2</v>
      </c>
      <c r="Z2854">
        <v>-4.7210420000000001E-4</v>
      </c>
      <c r="AA2854">
        <v>0.99983750000000005</v>
      </c>
      <c r="AB2854">
        <v>44</v>
      </c>
      <c r="AC2854">
        <v>35.7697</v>
      </c>
      <c r="AD2854">
        <v>-1.1041647648499999</v>
      </c>
      <c r="AE2854">
        <v>1.5296000000000101</v>
      </c>
      <c r="AF2854">
        <v>-0.65209977566180299</v>
      </c>
      <c r="AG2854">
        <v>-1.1041647648499999</v>
      </c>
      <c r="AH2854">
        <v>35.762424343108499</v>
      </c>
      <c r="AI2854">
        <v>91.768151531330204</v>
      </c>
      <c r="AJ2854">
        <v>91.0446278636785</v>
      </c>
      <c r="AK2854">
        <v>35.785407764086102</v>
      </c>
    </row>
    <row r="2855" spans="1:37" x14ac:dyDescent="0.2">
      <c r="A2855" t="str">
        <f>"20200111153452642"</f>
        <v>20200111153452642</v>
      </c>
      <c r="B2855" t="str">
        <f>"1578728092628691"</f>
        <v>1578728092628691</v>
      </c>
      <c r="C2855" t="s">
        <v>37</v>
      </c>
      <c r="D2855">
        <v>5.0767519999999999</v>
      </c>
      <c r="E2855">
        <v>0.51214839999999995</v>
      </c>
      <c r="F2855" t="s">
        <v>56</v>
      </c>
      <c r="G2855">
        <v>-281.62580000000003</v>
      </c>
      <c r="H2855" s="1">
        <v>6.1898999999999998E-6</v>
      </c>
      <c r="I2855">
        <v>216.12649999999999</v>
      </c>
      <c r="J2855">
        <v>-316.85039999999998</v>
      </c>
      <c r="K2855">
        <v>1.104169</v>
      </c>
      <c r="L2855">
        <v>214.60919999999999</v>
      </c>
      <c r="M2855">
        <v>0.99963550000000001</v>
      </c>
      <c r="N2855">
        <v>0</v>
      </c>
      <c r="O2855">
        <v>2.4646660000000001E-2</v>
      </c>
      <c r="P2855">
        <v>0.99675069999999999</v>
      </c>
      <c r="Q2855">
        <v>3.2546039999999998E-2</v>
      </c>
      <c r="R2855">
        <v>7.3683369999999998E-2</v>
      </c>
      <c r="S2855">
        <v>3.0034179999999999</v>
      </c>
      <c r="T2855">
        <v>-9.2977879999999999E-2</v>
      </c>
      <c r="U2855">
        <v>0.12869259999999999</v>
      </c>
      <c r="V2855">
        <v>-4.9109609999999998E-2</v>
      </c>
      <c r="W2855">
        <v>4.354036E-2</v>
      </c>
      <c r="X2855">
        <v>0.99784390000000001</v>
      </c>
      <c r="Y2855">
        <v>-1.8173970000000001E-2</v>
      </c>
      <c r="Z2855">
        <v>-4.812385E-4</v>
      </c>
      <c r="AA2855">
        <v>0.99983469999999997</v>
      </c>
      <c r="AB2855">
        <v>44</v>
      </c>
      <c r="AC2855">
        <v>35.224599999999903</v>
      </c>
      <c r="AD2855">
        <v>-1.1041628101000001</v>
      </c>
      <c r="AE2855">
        <v>1.5173000000000001</v>
      </c>
      <c r="AF2855">
        <v>-0.64798205554212296</v>
      </c>
      <c r="AG2855">
        <v>-1.1041628101000001</v>
      </c>
      <c r="AH2855">
        <v>35.216757306793703</v>
      </c>
      <c r="AI2855">
        <v>91.795521790491307</v>
      </c>
      <c r="AJ2855">
        <v>91.0541131804587</v>
      </c>
      <c r="AK2855">
        <v>35.240020593937203</v>
      </c>
    </row>
    <row r="2856" spans="1:37" x14ac:dyDescent="0.2">
      <c r="A2856" t="str">
        <f>"20200111153452666"</f>
        <v>20200111153452666</v>
      </c>
      <c r="B2856" t="str">
        <f>"1578728092658947"</f>
        <v>1578728092658947</v>
      </c>
      <c r="C2856" t="s">
        <v>37</v>
      </c>
      <c r="D2856">
        <v>5.0515049999999997</v>
      </c>
      <c r="E2856">
        <v>0.51215679999999997</v>
      </c>
      <c r="F2856" t="s">
        <v>56</v>
      </c>
      <c r="G2856">
        <v>-281.63189999999997</v>
      </c>
      <c r="H2856" s="1">
        <v>6.1885059999999999E-6</v>
      </c>
      <c r="I2856">
        <v>216.1156</v>
      </c>
      <c r="J2856">
        <v>-316.38760000000002</v>
      </c>
      <c r="K2856">
        <v>1.1041639999999999</v>
      </c>
      <c r="L2856">
        <v>214.6207</v>
      </c>
      <c r="M2856">
        <v>0.9996313</v>
      </c>
      <c r="N2856">
        <v>0</v>
      </c>
      <c r="O2856">
        <v>2.4799749999999999E-2</v>
      </c>
      <c r="P2856">
        <v>0.99677099999999996</v>
      </c>
      <c r="Q2856">
        <v>3.2214409999999999E-2</v>
      </c>
      <c r="R2856">
        <v>7.3553259999999995E-2</v>
      </c>
      <c r="S2856">
        <v>3.0033569999999998</v>
      </c>
      <c r="T2856">
        <v>-9.4160679999999997E-2</v>
      </c>
      <c r="U2856">
        <v>0.12846369999999999</v>
      </c>
      <c r="V2856">
        <v>-4.8826210000000002E-2</v>
      </c>
      <c r="W2856">
        <v>4.322786E-2</v>
      </c>
      <c r="X2856">
        <v>0.99787139999999996</v>
      </c>
      <c r="Y2856">
        <v>-1.7945920000000001E-2</v>
      </c>
      <c r="Z2856">
        <v>-4.9573459999999897E-4</v>
      </c>
      <c r="AA2856">
        <v>0.99983880000000003</v>
      </c>
      <c r="AB2856">
        <v>44</v>
      </c>
      <c r="AC2856">
        <v>34.755699999999997</v>
      </c>
      <c r="AD2856">
        <v>-1.1041578114939901</v>
      </c>
      <c r="AE2856">
        <v>1.4948999999999999</v>
      </c>
      <c r="AF2856">
        <v>-0.63181831306500102</v>
      </c>
      <c r="AG2856">
        <v>-1.1041578114939901</v>
      </c>
      <c r="AH2856">
        <v>34.747079946911001</v>
      </c>
      <c r="AI2856">
        <v>91.819774670080506</v>
      </c>
      <c r="AJ2856">
        <v>91.041714408630398</v>
      </c>
      <c r="AK2856">
        <v>34.770359844132102</v>
      </c>
    </row>
    <row r="2857" spans="1:37" x14ac:dyDescent="0.2">
      <c r="A2857" t="str">
        <f>"20200111153452688"</f>
        <v>20200111153452688</v>
      </c>
      <c r="B2857" t="str">
        <f>"1578728092678467"</f>
        <v>1578728092678467</v>
      </c>
      <c r="C2857" t="s">
        <v>37</v>
      </c>
      <c r="D2857">
        <v>5.029058</v>
      </c>
      <c r="E2857">
        <v>0.51213319999999996</v>
      </c>
      <c r="F2857" t="s">
        <v>56</v>
      </c>
      <c r="G2857">
        <v>-281.80790000000002</v>
      </c>
      <c r="H2857" s="1">
        <v>6.11304E-6</v>
      </c>
      <c r="I2857">
        <v>216.09379999999999</v>
      </c>
      <c r="J2857">
        <v>-315.94709999999998</v>
      </c>
      <c r="K2857">
        <v>1.104163</v>
      </c>
      <c r="L2857">
        <v>214.6318</v>
      </c>
      <c r="M2857">
        <v>0.99962759999999995</v>
      </c>
      <c r="N2857">
        <v>0</v>
      </c>
      <c r="O2857">
        <v>2.494534E-2</v>
      </c>
      <c r="P2857">
        <v>0.99677150000000003</v>
      </c>
      <c r="Q2857">
        <v>3.2127499999999899E-2</v>
      </c>
      <c r="R2857">
        <v>7.3585380000000006E-2</v>
      </c>
      <c r="S2857">
        <v>3.0033569999999998</v>
      </c>
      <c r="T2857">
        <v>-9.5899579999999998E-2</v>
      </c>
      <c r="U2857">
        <v>0.127944899999999</v>
      </c>
      <c r="V2857">
        <v>-4.8712640000000001E-2</v>
      </c>
      <c r="W2857">
        <v>4.315592E-2</v>
      </c>
      <c r="X2857">
        <v>0.99788009999999905</v>
      </c>
      <c r="Y2857">
        <v>-1.762826E-2</v>
      </c>
      <c r="Z2857">
        <v>-5.1459889999999999E-4</v>
      </c>
      <c r="AA2857">
        <v>0.99984450000000002</v>
      </c>
      <c r="AB2857">
        <v>44</v>
      </c>
      <c r="AC2857">
        <v>34.139199999999903</v>
      </c>
      <c r="AD2857">
        <v>-1.10415688696</v>
      </c>
      <c r="AE2857">
        <v>1.46199999999998</v>
      </c>
      <c r="AF2857">
        <v>-0.60924278759265105</v>
      </c>
      <c r="AG2857">
        <v>-1.10415688696</v>
      </c>
      <c r="AH2857">
        <v>34.129411548199599</v>
      </c>
      <c r="AI2857">
        <v>91.852695434044406</v>
      </c>
      <c r="AJ2857">
        <v>91.022676095621506</v>
      </c>
      <c r="AK2857">
        <v>34.152702262509699</v>
      </c>
    </row>
    <row r="2858" spans="1:37" x14ac:dyDescent="0.2">
      <c r="A2858" t="str">
        <f>"20200111153452709"</f>
        <v>20200111153452709</v>
      </c>
      <c r="B2858" t="str">
        <f>"1578728092698967"</f>
        <v>1578728092698967</v>
      </c>
      <c r="C2858" t="s">
        <v>37</v>
      </c>
      <c r="D2858">
        <v>5.0360399999999998</v>
      </c>
      <c r="E2858">
        <v>0.51208849999999995</v>
      </c>
      <c r="F2858" t="s">
        <v>56</v>
      </c>
      <c r="G2858">
        <v>-281.66309999999999</v>
      </c>
      <c r="H2858" s="1">
        <v>6.1772489999999998E-6</v>
      </c>
      <c r="I2858">
        <v>216.09379999999999</v>
      </c>
      <c r="J2858">
        <v>-315.5231</v>
      </c>
      <c r="K2858">
        <v>1.1041639999999999</v>
      </c>
      <c r="L2858">
        <v>214.64250000000001</v>
      </c>
      <c r="M2858">
        <v>0.99962399999999996</v>
      </c>
      <c r="N2858">
        <v>0</v>
      </c>
      <c r="O2858">
        <v>2.508492E-2</v>
      </c>
      <c r="P2858">
        <v>0.99681450000000005</v>
      </c>
      <c r="Q2858">
        <v>3.1607080000000003E-2</v>
      </c>
      <c r="R2858">
        <v>7.3225819999999997E-2</v>
      </c>
      <c r="S2858">
        <v>3.003387</v>
      </c>
      <c r="T2858">
        <v>-9.6727729999999998E-2</v>
      </c>
      <c r="U2858">
        <v>0.12808230000000001</v>
      </c>
      <c r="V2858">
        <v>-4.8212640000000001E-2</v>
      </c>
      <c r="W2858">
        <v>4.2648079999999998E-2</v>
      </c>
      <c r="X2858">
        <v>0.99792619999999899</v>
      </c>
      <c r="Y2858">
        <v>-1.7534029999999999E-2</v>
      </c>
      <c r="Z2858">
        <v>-5.250411E-4</v>
      </c>
      <c r="AA2858">
        <v>0.99984609999999996</v>
      </c>
      <c r="AB2858">
        <v>44</v>
      </c>
      <c r="AC2858">
        <v>33.86</v>
      </c>
      <c r="AD2858">
        <v>-1.1041578227509901</v>
      </c>
      <c r="AE2858">
        <v>1.4512999999999701</v>
      </c>
      <c r="AF2858">
        <v>-0.60077810576261004</v>
      </c>
      <c r="AG2858">
        <v>-1.1041578227509901</v>
      </c>
      <c r="AH2858">
        <v>33.849822526096098</v>
      </c>
      <c r="AI2858">
        <v>91.867992316584207</v>
      </c>
      <c r="AJ2858">
        <v>91.016798128997706</v>
      </c>
      <c r="AK2858">
        <v>33.873154324303897</v>
      </c>
    </row>
    <row r="2859" spans="1:37" x14ac:dyDescent="0.2">
      <c r="A2859" t="str">
        <f>"20200111153452732"</f>
        <v>20200111153452732</v>
      </c>
      <c r="B2859" t="str">
        <f>"1578728092718483"</f>
        <v>1578728092718483</v>
      </c>
      <c r="C2859" t="s">
        <v>37</v>
      </c>
      <c r="D2859">
        <v>5.1704610000000004</v>
      </c>
      <c r="E2859">
        <v>0.51209709999999997</v>
      </c>
      <c r="F2859" t="s">
        <v>56</v>
      </c>
      <c r="G2859">
        <v>-281.96839999999997</v>
      </c>
      <c r="H2859" s="1">
        <v>6.045263E-6</v>
      </c>
      <c r="I2859">
        <v>216.06540000000001</v>
      </c>
      <c r="J2859">
        <v>-315.07990000000001</v>
      </c>
      <c r="K2859">
        <v>1.104166</v>
      </c>
      <c r="L2859">
        <v>214.65369999999999</v>
      </c>
      <c r="M2859">
        <v>0.99962030000000002</v>
      </c>
      <c r="N2859">
        <v>0</v>
      </c>
      <c r="O2859">
        <v>2.522897E-2</v>
      </c>
      <c r="P2859">
        <v>0.99680809999999997</v>
      </c>
      <c r="Q2859">
        <v>3.1134180000000001E-2</v>
      </c>
      <c r="R2859">
        <v>7.3517579999999999E-2</v>
      </c>
      <c r="S2859">
        <v>3.0033259999999999</v>
      </c>
      <c r="T2859">
        <v>-9.8828079999999999E-2</v>
      </c>
      <c r="U2859">
        <v>0.12736510000000001</v>
      </c>
      <c r="V2859">
        <v>-4.8360149999999998E-2</v>
      </c>
      <c r="W2859">
        <v>4.2186439999999999E-2</v>
      </c>
      <c r="X2859">
        <v>0.99793869999999896</v>
      </c>
      <c r="Y2859">
        <v>-1.715295E-2</v>
      </c>
      <c r="Z2859">
        <v>-5.4745029999999999E-4</v>
      </c>
      <c r="AA2859">
        <v>0.99985270000000004</v>
      </c>
      <c r="AB2859">
        <v>44</v>
      </c>
      <c r="AC2859">
        <v>33.111499999999999</v>
      </c>
      <c r="AD2859">
        <v>-1.104159954737</v>
      </c>
      <c r="AE2859">
        <v>1.4117000000000199</v>
      </c>
      <c r="AF2859">
        <v>-0.57519182646662204</v>
      </c>
      <c r="AG2859">
        <v>-1.104159954737</v>
      </c>
      <c r="AH2859">
        <v>33.0998368405984</v>
      </c>
      <c r="AI2859">
        <v>91.910302930073499</v>
      </c>
      <c r="AJ2859">
        <v>90.995556186676794</v>
      </c>
      <c r="AK2859">
        <v>33.123242801952799</v>
      </c>
    </row>
    <row r="2860" spans="1:37" x14ac:dyDescent="0.2">
      <c r="A2860" t="str">
        <f>"20200111153452755"</f>
        <v>20200111153452755</v>
      </c>
      <c r="B2860" t="str">
        <f>"1578728092748740"</f>
        <v>1578728092748740</v>
      </c>
      <c r="C2860" t="s">
        <v>37</v>
      </c>
      <c r="D2860">
        <v>5.0807449999999896</v>
      </c>
      <c r="E2860">
        <v>0.53128180000000003</v>
      </c>
      <c r="F2860" t="s">
        <v>56</v>
      </c>
      <c r="G2860">
        <v>-282.0736</v>
      </c>
      <c r="H2860" s="1">
        <v>5.998991E-6</v>
      </c>
      <c r="I2860">
        <v>216.06229999999999</v>
      </c>
      <c r="J2860">
        <v>-314.61160000000001</v>
      </c>
      <c r="K2860">
        <v>1.1041669999999999</v>
      </c>
      <c r="L2860">
        <v>214.66560000000001</v>
      </c>
      <c r="M2860">
        <v>0.99961639999999996</v>
      </c>
      <c r="N2860">
        <v>0</v>
      </c>
      <c r="O2860">
        <v>2.5378029999999999E-2</v>
      </c>
      <c r="P2860">
        <v>0.99678419999999901</v>
      </c>
      <c r="Q2860">
        <v>3.132915E-2</v>
      </c>
      <c r="R2860">
        <v>7.3756150000000006E-2</v>
      </c>
      <c r="S2860">
        <v>3.0032649999999999</v>
      </c>
      <c r="T2860">
        <v>-0.100468</v>
      </c>
      <c r="U2860">
        <v>0.1281738</v>
      </c>
      <c r="V2860">
        <v>-4.8450630000000001E-2</v>
      </c>
      <c r="W2860">
        <v>4.2388439999999999E-2</v>
      </c>
      <c r="X2860">
        <v>0.99792569999999903</v>
      </c>
      <c r="Y2860">
        <v>-1.727362E-2</v>
      </c>
      <c r="Z2860">
        <v>-5.5950100000000001E-4</v>
      </c>
      <c r="AA2860">
        <v>0.99985059999999903</v>
      </c>
      <c r="AB2860">
        <v>44</v>
      </c>
      <c r="AC2860">
        <v>32.537999999999997</v>
      </c>
      <c r="AD2860">
        <v>-1.1041610010089999</v>
      </c>
      <c r="AE2860">
        <v>1.3966999999999801</v>
      </c>
      <c r="AF2860">
        <v>-0.56979403184562905</v>
      </c>
      <c r="AG2860">
        <v>-1.1041610010089999</v>
      </c>
      <c r="AH2860">
        <v>32.525580767338099</v>
      </c>
      <c r="AI2860">
        <v>91.944001737343598</v>
      </c>
      <c r="AJ2860">
        <v>91.003624020863001</v>
      </c>
      <c r="AK2860">
        <v>32.5493047699564</v>
      </c>
    </row>
    <row r="2861" spans="1:37" x14ac:dyDescent="0.2">
      <c r="A2861" t="str">
        <f>"20200111153452777"</f>
        <v>20200111153452777</v>
      </c>
      <c r="B2861" t="str">
        <f>"1578728092769239"</f>
        <v>1578728092769239</v>
      </c>
      <c r="C2861" t="s">
        <v>37</v>
      </c>
      <c r="D2861">
        <v>5.0709299999999997</v>
      </c>
      <c r="E2861">
        <v>0.53064639999999996</v>
      </c>
      <c r="F2861" t="s">
        <v>52</v>
      </c>
      <c r="G2861">
        <v>-274.13459999999998</v>
      </c>
      <c r="H2861" s="1">
        <v>6.7552280000000005E-7</v>
      </c>
      <c r="I2861">
        <v>214.33920000000001</v>
      </c>
      <c r="J2861">
        <v>-314.18369999999999</v>
      </c>
      <c r="K2861">
        <v>1.104169</v>
      </c>
      <c r="L2861">
        <v>214.67660000000001</v>
      </c>
      <c r="M2861">
        <v>0.99961309999999903</v>
      </c>
      <c r="N2861">
        <v>0</v>
      </c>
      <c r="O2861">
        <v>2.5508449999999998E-2</v>
      </c>
      <c r="P2861">
        <v>0.99674229999999997</v>
      </c>
      <c r="Q2861">
        <v>3.111237E-2</v>
      </c>
      <c r="R2861">
        <v>7.4409069999999994E-2</v>
      </c>
      <c r="S2861">
        <v>3.0140380000000002</v>
      </c>
      <c r="T2861">
        <v>-8.2219360000000005E-2</v>
      </c>
      <c r="U2861">
        <v>-2.4307249999999999E-2</v>
      </c>
      <c r="V2861">
        <v>-4.8973059999999999E-2</v>
      </c>
      <c r="W2861">
        <v>4.2173099999999998E-2</v>
      </c>
      <c r="X2861">
        <v>0.99790939999999995</v>
      </c>
      <c r="Y2861">
        <v>3.3549009999999997E-2</v>
      </c>
      <c r="Z2861">
        <v>-1.1531989999999999E-3</v>
      </c>
      <c r="AA2861">
        <v>0.9994364</v>
      </c>
      <c r="AB2861">
        <v>44</v>
      </c>
      <c r="AC2861">
        <v>40.049100000000003</v>
      </c>
      <c r="AD2861">
        <v>-1.10416832447719</v>
      </c>
      <c r="AE2861">
        <v>-0.33740000000000198</v>
      </c>
      <c r="AF2861">
        <v>1.3579113723590199</v>
      </c>
      <c r="AG2861">
        <v>-1.10416832447719</v>
      </c>
      <c r="AH2861">
        <v>39.997058993013503</v>
      </c>
      <c r="AI2861">
        <v>91.580409207046202</v>
      </c>
      <c r="AJ2861">
        <v>88.055539059904703</v>
      </c>
      <c r="AK2861">
        <v>40.0353323837153</v>
      </c>
    </row>
    <row r="2862" spans="1:37" x14ac:dyDescent="0.2">
      <c r="A2862" t="str">
        <f>"20200111153452810"</f>
        <v>20200111153452810</v>
      </c>
      <c r="B2862" t="str">
        <f>"1578728092798515"</f>
        <v>1578728092798515</v>
      </c>
      <c r="C2862" t="s">
        <v>37</v>
      </c>
      <c r="D2862">
        <v>5.0815149999999996</v>
      </c>
      <c r="E2862">
        <v>0.53053430000000001</v>
      </c>
      <c r="F2862" t="s">
        <v>52</v>
      </c>
      <c r="G2862">
        <v>-261.93799999999999</v>
      </c>
      <c r="H2862" s="1">
        <v>-4.9466130000000001E-7</v>
      </c>
      <c r="I2862">
        <v>214.3681</v>
      </c>
      <c r="J2862">
        <v>-313.53089999999997</v>
      </c>
      <c r="K2862">
        <v>1.1041570000000001</v>
      </c>
      <c r="L2862">
        <v>214.6935</v>
      </c>
      <c r="M2862">
        <v>0.99960849999999901</v>
      </c>
      <c r="N2862">
        <v>0</v>
      </c>
      <c r="O2862">
        <v>2.5688200000000001E-2</v>
      </c>
      <c r="P2862">
        <v>0.99668289999999904</v>
      </c>
      <c r="Q2862">
        <v>3.1663320000000002E-2</v>
      </c>
      <c r="R2862">
        <v>7.4971709999999997E-2</v>
      </c>
      <c r="S2862">
        <v>3.01312299999999</v>
      </c>
      <c r="T2862">
        <v>-6.3679700000000006E-2</v>
      </c>
      <c r="U2862">
        <v>-1.7791749999999999E-2</v>
      </c>
      <c r="V2862">
        <v>-4.9357350000000001E-2</v>
      </c>
      <c r="W2862">
        <v>4.272335E-2</v>
      </c>
      <c r="X2862">
        <v>0.99786699999999995</v>
      </c>
      <c r="Y2862">
        <v>3.1579240000000001E-2</v>
      </c>
      <c r="Z2862">
        <v>-8.7649050000000001E-4</v>
      </c>
      <c r="AA2862">
        <v>0.99950090000000003</v>
      </c>
      <c r="AB2862">
        <v>44</v>
      </c>
      <c r="AC2862">
        <v>51.592899999999901</v>
      </c>
      <c r="AD2862">
        <v>-1.1041574946613</v>
      </c>
      <c r="AE2862">
        <v>-0.32540000000000102</v>
      </c>
      <c r="AF2862">
        <v>1.6499471557946299</v>
      </c>
      <c r="AG2862">
        <v>-1.1041574946613</v>
      </c>
      <c r="AH2862">
        <v>51.543905910528899</v>
      </c>
      <c r="AI2862">
        <v>91.226556591364997</v>
      </c>
      <c r="AJ2862">
        <v>88.1665584427884</v>
      </c>
      <c r="AK2862">
        <v>51.582126031246403</v>
      </c>
    </row>
    <row r="2863" spans="1:37" x14ac:dyDescent="0.2">
      <c r="A2863" t="str">
        <f>"20200111153452832"</f>
        <v>20200111153452832</v>
      </c>
      <c r="B2863" t="str">
        <f>"1578728092819011"</f>
        <v>1578728092819011</v>
      </c>
      <c r="C2863" t="s">
        <v>37</v>
      </c>
      <c r="D2863">
        <v>5.0849349999999998</v>
      </c>
      <c r="E2863">
        <v>0.53030949999999999</v>
      </c>
      <c r="F2863" t="s">
        <v>52</v>
      </c>
      <c r="G2863">
        <v>-258.15980000000002</v>
      </c>
      <c r="H2863" s="1">
        <v>2.814327E-6</v>
      </c>
      <c r="I2863">
        <v>214.41299999999899</v>
      </c>
      <c r="J2863">
        <v>-313.08980000000003</v>
      </c>
      <c r="K2863">
        <v>1.10415</v>
      </c>
      <c r="L2863">
        <v>214.70490000000001</v>
      </c>
      <c r="M2863">
        <v>0.99960569999999904</v>
      </c>
      <c r="N2863">
        <v>0</v>
      </c>
      <c r="O2863">
        <v>2.5792909999999999E-2</v>
      </c>
      <c r="P2863">
        <v>0.99665550000000003</v>
      </c>
      <c r="Q2863">
        <v>3.1651150000000003E-2</v>
      </c>
      <c r="R2863">
        <v>7.534035E-2</v>
      </c>
      <c r="S2863">
        <v>3.0129999999999999</v>
      </c>
      <c r="T2863">
        <v>-6.0082200000000002E-2</v>
      </c>
      <c r="U2863">
        <v>-1.525879E-2</v>
      </c>
      <c r="V2863">
        <v>-4.962097E-2</v>
      </c>
      <c r="W2863">
        <v>4.2711440000000003E-2</v>
      </c>
      <c r="X2863">
        <v>0.99785449999999998</v>
      </c>
      <c r="Y2863">
        <v>3.084547E-2</v>
      </c>
      <c r="Z2863">
        <v>-8.2179080000000003E-4</v>
      </c>
      <c r="AA2863">
        <v>0.99952379999999996</v>
      </c>
      <c r="AB2863">
        <v>44</v>
      </c>
      <c r="AC2863">
        <v>54.93</v>
      </c>
      <c r="AD2863">
        <v>-1.1041471856730001</v>
      </c>
      <c r="AE2863">
        <v>-0.29190000000002603</v>
      </c>
      <c r="AF2863">
        <v>1.7080045844295699</v>
      </c>
      <c r="AG2863">
        <v>-1.1041471856730001</v>
      </c>
      <c r="AH2863">
        <v>54.882019103504298</v>
      </c>
      <c r="AI2863">
        <v>91.151995492734599</v>
      </c>
      <c r="AJ2863">
        <v>88.2174511843169</v>
      </c>
      <c r="AK2863">
        <v>54.919690836215302</v>
      </c>
    </row>
    <row r="2864" spans="1:37" x14ac:dyDescent="0.2">
      <c r="A2864" t="str">
        <f>"20200111153452855"</f>
        <v>20200111153452855</v>
      </c>
      <c r="B2864" t="str">
        <f>"1578728092849268"</f>
        <v>1578728092849268</v>
      </c>
      <c r="C2864" t="s">
        <v>37</v>
      </c>
      <c r="D2864">
        <v>5.0513629999999896</v>
      </c>
      <c r="E2864">
        <v>0.53040269999999901</v>
      </c>
      <c r="F2864" t="s">
        <v>52</v>
      </c>
      <c r="G2864">
        <v>-249.8297</v>
      </c>
      <c r="H2864" s="1">
        <v>3.7018249999999999E-6</v>
      </c>
      <c r="I2864">
        <v>214.4393</v>
      </c>
      <c r="J2864">
        <v>-312.63490000000002</v>
      </c>
      <c r="K2864">
        <v>1.104133</v>
      </c>
      <c r="L2864">
        <v>214.7167</v>
      </c>
      <c r="M2864">
        <v>0.99960349999999998</v>
      </c>
      <c r="N2864">
        <v>0</v>
      </c>
      <c r="O2864">
        <v>2.5881410000000001E-2</v>
      </c>
      <c r="P2864">
        <v>0.99666710000000003</v>
      </c>
      <c r="Q2864">
        <v>3.1315229999999999E-2</v>
      </c>
      <c r="R2864">
        <v>7.5327489999999997E-2</v>
      </c>
      <c r="S2864">
        <v>3.0126650000000001</v>
      </c>
      <c r="T2864">
        <v>-5.258322E-2</v>
      </c>
      <c r="U2864">
        <v>-1.2649540000000001E-2</v>
      </c>
      <c r="V2864">
        <v>-4.9517480000000003E-2</v>
      </c>
      <c r="W2864">
        <v>4.2376999999999998E-2</v>
      </c>
      <c r="X2864">
        <v>0.99787380000000003</v>
      </c>
      <c r="Y2864">
        <v>3.0071589999999999E-2</v>
      </c>
      <c r="Z2864">
        <v>-7.1410970000000001E-4</v>
      </c>
      <c r="AA2864">
        <v>0.99954750000000003</v>
      </c>
      <c r="AB2864">
        <v>44</v>
      </c>
      <c r="AC2864">
        <v>62.805199999999999</v>
      </c>
      <c r="AD2864">
        <v>-1.1041292981749999</v>
      </c>
      <c r="AE2864">
        <v>-0.27739999999999998</v>
      </c>
      <c r="AF2864">
        <v>1.9023062462145099</v>
      </c>
      <c r="AG2864">
        <v>-1.1041292981749999</v>
      </c>
      <c r="AH2864">
        <v>62.757583251632397</v>
      </c>
      <c r="AI2864">
        <v>91.007470101417994</v>
      </c>
      <c r="AJ2864">
        <v>88.2637834321215</v>
      </c>
      <c r="AK2864">
        <v>62.796115533901002</v>
      </c>
    </row>
    <row r="2865" spans="1:37" x14ac:dyDescent="0.2">
      <c r="A2865" t="str">
        <f>"20200111153452877"</f>
        <v>20200111153452877</v>
      </c>
      <c r="B2865" t="str">
        <f>"1578728092868790"</f>
        <v>1578728092868790</v>
      </c>
      <c r="C2865" t="s">
        <v>37</v>
      </c>
      <c r="D2865">
        <v>5.0661129999999996</v>
      </c>
      <c r="E2865">
        <v>0.53038439999999998</v>
      </c>
      <c r="F2865" t="s">
        <v>52</v>
      </c>
      <c r="G2865">
        <v>-239.0728</v>
      </c>
      <c r="H2865" s="1">
        <v>3.3013469999999999E-6</v>
      </c>
      <c r="I2865">
        <v>214.38659999999999</v>
      </c>
      <c r="J2865">
        <v>-312.18470000000002</v>
      </c>
      <c r="K2865">
        <v>1.104115</v>
      </c>
      <c r="L2865">
        <v>214.72839999999999</v>
      </c>
      <c r="M2865">
        <v>0.99960170000000004</v>
      </c>
      <c r="N2865">
        <v>0</v>
      </c>
      <c r="O2865">
        <v>2.5946739999999999E-2</v>
      </c>
      <c r="P2865">
        <v>0.99668380000000001</v>
      </c>
      <c r="Q2865">
        <v>3.0888559999999999E-2</v>
      </c>
      <c r="R2865">
        <v>7.5280669999999994E-2</v>
      </c>
      <c r="S2865">
        <v>3.0124819999999999</v>
      </c>
      <c r="T2865">
        <v>-4.5215850000000002E-2</v>
      </c>
      <c r="U2865">
        <v>-1.351929E-2</v>
      </c>
      <c r="V2865">
        <v>-4.9402729999999999E-2</v>
      </c>
      <c r="W2865">
        <v>4.1951570000000001E-2</v>
      </c>
      <c r="X2865">
        <v>0.99789749999999999</v>
      </c>
      <c r="Y2865">
        <v>3.0427929999999999E-2</v>
      </c>
      <c r="Z2865">
        <v>-6.1776050000000003E-4</v>
      </c>
      <c r="AA2865">
        <v>0.9995368</v>
      </c>
      <c r="AB2865">
        <v>44</v>
      </c>
      <c r="AC2865">
        <v>73.111900000000006</v>
      </c>
      <c r="AD2865">
        <v>-1.104111698653</v>
      </c>
      <c r="AE2865">
        <v>-0.34180000000000599</v>
      </c>
      <c r="AF2865">
        <v>2.2383067876718101</v>
      </c>
      <c r="AG2865">
        <v>-1.104111698653</v>
      </c>
      <c r="AH2865">
        <v>73.061750869220404</v>
      </c>
      <c r="AI2865">
        <v>90.865383944428601</v>
      </c>
      <c r="AJ2865">
        <v>88.245245542645904</v>
      </c>
      <c r="AK2865">
        <v>73.1043673113643</v>
      </c>
    </row>
    <row r="2866" spans="1:37" x14ac:dyDescent="0.2">
      <c r="A2866" t="str">
        <f>"20200111153452900"</f>
        <v>20200111153452900</v>
      </c>
      <c r="B2866" t="str">
        <f>"1578728092889284"</f>
        <v>1578728092889284</v>
      </c>
      <c r="C2866" t="s">
        <v>37</v>
      </c>
      <c r="D2866">
        <v>5.0559570000000003</v>
      </c>
      <c r="E2866">
        <v>0.53052349999999904</v>
      </c>
      <c r="F2866" t="s">
        <v>52</v>
      </c>
      <c r="G2866">
        <v>-240.19130000000001</v>
      </c>
      <c r="H2866" s="1">
        <v>-1.425616E-6</v>
      </c>
      <c r="I2866">
        <v>214.40199999999999</v>
      </c>
      <c r="J2866">
        <v>-311.75029999999998</v>
      </c>
      <c r="K2866">
        <v>1.1040889999999901</v>
      </c>
      <c r="L2866">
        <v>214.7397</v>
      </c>
      <c r="M2866">
        <v>0.99960079999999996</v>
      </c>
      <c r="N2866">
        <v>0</v>
      </c>
      <c r="O2866">
        <v>2.5990249999999999E-2</v>
      </c>
      <c r="P2866">
        <v>0.99669619999999903</v>
      </c>
      <c r="Q2866">
        <v>3.0484310000000001E-2</v>
      </c>
      <c r="R2866">
        <v>7.528406E-2</v>
      </c>
      <c r="S2866">
        <v>3.012451</v>
      </c>
      <c r="T2866">
        <v>-4.6200039999999998E-2</v>
      </c>
      <c r="U2866">
        <v>-1.365662E-2</v>
      </c>
      <c r="V2866">
        <v>-4.936074E-2</v>
      </c>
      <c r="W2866">
        <v>4.1548990000000001E-2</v>
      </c>
      <c r="X2866">
        <v>0.99791640000000004</v>
      </c>
      <c r="Y2866">
        <v>3.0516749999999999E-2</v>
      </c>
      <c r="Z2866">
        <v>-6.3255989999999997E-4</v>
      </c>
      <c r="AA2866">
        <v>0.99953409999999998</v>
      </c>
      <c r="AB2866">
        <v>44</v>
      </c>
      <c r="AC2866">
        <v>71.558999999999898</v>
      </c>
      <c r="AD2866">
        <v>-1.10409042561599</v>
      </c>
      <c r="AE2866">
        <v>-0.33769999999998301</v>
      </c>
      <c r="AF2866">
        <v>2.1970133626169499</v>
      </c>
      <c r="AG2866">
        <v>-1.10409042561599</v>
      </c>
      <c r="AH2866">
        <v>71.509023860826304</v>
      </c>
      <c r="AI2866">
        <v>90.884152288137898</v>
      </c>
      <c r="AJ2866">
        <v>88.240221984534401</v>
      </c>
      <c r="AK2866">
        <v>71.5512849424221</v>
      </c>
    </row>
    <row r="2867" spans="1:37" x14ac:dyDescent="0.2">
      <c r="A2867" t="str">
        <f>"20200111153452922"</f>
        <v>20200111153452922</v>
      </c>
      <c r="B2867" t="str">
        <f>"1578728092918564"</f>
        <v>1578728092918564</v>
      </c>
      <c r="C2867" t="s">
        <v>37</v>
      </c>
      <c r="D2867">
        <v>5.0433300000000001</v>
      </c>
      <c r="E2867">
        <v>0.53052460000000001</v>
      </c>
      <c r="F2867" t="s">
        <v>52</v>
      </c>
      <c r="G2867">
        <v>-242.8527</v>
      </c>
      <c r="H2867" s="1">
        <v>-9.1220499999999999E-9</v>
      </c>
      <c r="I2867">
        <v>214.3963</v>
      </c>
      <c r="J2867">
        <v>-311.30700000000002</v>
      </c>
      <c r="K2867">
        <v>1.1040650000000001</v>
      </c>
      <c r="L2867">
        <v>214.75129999999999</v>
      </c>
      <c r="M2867">
        <v>0.99960000000000004</v>
      </c>
      <c r="N2867">
        <v>0</v>
      </c>
      <c r="O2867">
        <v>2.6019649999999998E-2</v>
      </c>
      <c r="P2867">
        <v>0.99669830000000004</v>
      </c>
      <c r="Q2867">
        <v>3.058843E-2</v>
      </c>
      <c r="R2867">
        <v>7.5212979999999999E-2</v>
      </c>
      <c r="S2867">
        <v>3.0125120000000001</v>
      </c>
      <c r="T2867">
        <v>-4.8275709999999999E-2</v>
      </c>
      <c r="U2867">
        <v>-1.5014649999999999E-2</v>
      </c>
      <c r="V2867">
        <v>-4.9258690000000001E-2</v>
      </c>
      <c r="W2867">
        <v>4.165427E-2</v>
      </c>
      <c r="X2867">
        <v>0.9979171</v>
      </c>
      <c r="Y2867">
        <v>3.0995959999999999E-2</v>
      </c>
      <c r="Z2867">
        <v>-6.6527320000000004E-4</v>
      </c>
      <c r="AA2867">
        <v>0.9995193</v>
      </c>
      <c r="AB2867">
        <v>45</v>
      </c>
      <c r="AC2867">
        <v>68.454300000000003</v>
      </c>
      <c r="AD2867">
        <v>-1.1040650091220501</v>
      </c>
      <c r="AE2867">
        <v>-0.35499999999998899</v>
      </c>
      <c r="AF2867">
        <v>2.1355905965254398</v>
      </c>
      <c r="AG2867">
        <v>-1.1040650091220501</v>
      </c>
      <c r="AH2867">
        <v>68.404089776182303</v>
      </c>
      <c r="AI2867">
        <v>90.924242611929103</v>
      </c>
      <c r="AJ2867">
        <v>88.211794110123193</v>
      </c>
      <c r="AK2867">
        <v>68.446323530547204</v>
      </c>
    </row>
    <row r="2868" spans="1:37" x14ac:dyDescent="0.2">
      <c r="A2868" t="str">
        <f>"20200111153452944"</f>
        <v>20200111153452944</v>
      </c>
      <c r="B2868" t="str">
        <f>"1578728092939060"</f>
        <v>1578728092939060</v>
      </c>
      <c r="C2868" t="s">
        <v>37</v>
      </c>
      <c r="D2868">
        <v>5.0543379999999898</v>
      </c>
      <c r="E2868">
        <v>0.53055319999999995</v>
      </c>
      <c r="F2868" t="s">
        <v>52</v>
      </c>
      <c r="G2868">
        <v>-242.1113</v>
      </c>
      <c r="H2868" s="1">
        <v>-4.0387739999999998E-7</v>
      </c>
      <c r="I2868">
        <v>214.40180000000001</v>
      </c>
      <c r="J2868">
        <v>-310.85180000000003</v>
      </c>
      <c r="K2868">
        <v>1.104052</v>
      </c>
      <c r="L2868">
        <v>214.76310000000001</v>
      </c>
      <c r="M2868">
        <v>0.99959949999999997</v>
      </c>
      <c r="N2868">
        <v>0</v>
      </c>
      <c r="O2868">
        <v>2.6035249999999999E-2</v>
      </c>
      <c r="P2868">
        <v>0.996706599999999</v>
      </c>
      <c r="Q2868">
        <v>3.0282130000000001E-2</v>
      </c>
      <c r="R2868">
        <v>7.5225799999999995E-2</v>
      </c>
      <c r="S2868">
        <v>3.0125730000000002</v>
      </c>
      <c r="T2868">
        <v>-4.8067690000000003E-2</v>
      </c>
      <c r="U2868">
        <v>-1.5213010000000001E-2</v>
      </c>
      <c r="V2868">
        <v>-4.9253610000000003E-2</v>
      </c>
      <c r="W2868">
        <v>4.1349839999999999E-2</v>
      </c>
      <c r="X2868">
        <v>0.99792999999999898</v>
      </c>
      <c r="Y2868">
        <v>3.107731E-2</v>
      </c>
      <c r="Z2868">
        <v>-6.6329119999999995E-4</v>
      </c>
      <c r="AA2868">
        <v>0.99951679999999998</v>
      </c>
      <c r="AB2868">
        <v>45</v>
      </c>
      <c r="AC2868">
        <v>68.740499999999997</v>
      </c>
      <c r="AD2868">
        <v>-1.10405240387739</v>
      </c>
      <c r="AE2868">
        <v>-0.36130000000000001</v>
      </c>
      <c r="AF2868">
        <v>2.1504089898066798</v>
      </c>
      <c r="AG2868">
        <v>-1.10405240387739</v>
      </c>
      <c r="AH2868">
        <v>68.690069869345507</v>
      </c>
      <c r="AI2868">
        <v>90.920382368376096</v>
      </c>
      <c r="AJ2868">
        <v>88.206885911880804</v>
      </c>
      <c r="AK2868">
        <v>68.732589716884107</v>
      </c>
    </row>
    <row r="2869" spans="1:37" x14ac:dyDescent="0.2">
      <c r="A2869" t="str">
        <f>"20200111153452967"</f>
        <v>20200111153452967</v>
      </c>
      <c r="B2869" t="str">
        <f>"1578728092958579"</f>
        <v>1578728092958579</v>
      </c>
      <c r="C2869" t="s">
        <v>37</v>
      </c>
      <c r="D2869">
        <v>5.0285950000000001</v>
      </c>
      <c r="E2869">
        <v>0.53059319999999999</v>
      </c>
      <c r="F2869" t="s">
        <v>52</v>
      </c>
      <c r="G2869">
        <v>-241.1772</v>
      </c>
      <c r="H2869" s="1">
        <v>-9.0121789999999997E-7</v>
      </c>
      <c r="I2869">
        <v>214.40770000000001</v>
      </c>
      <c r="J2869">
        <v>-310.40820000000002</v>
      </c>
      <c r="K2869">
        <v>1.104031</v>
      </c>
      <c r="L2869">
        <v>214.7747</v>
      </c>
      <c r="M2869">
        <v>0.99959979999999904</v>
      </c>
      <c r="N2869">
        <v>0</v>
      </c>
      <c r="O2869">
        <v>2.6025710000000001E-2</v>
      </c>
      <c r="P2869">
        <v>0.99671080000000001</v>
      </c>
      <c r="Q2869">
        <v>3.0010869999999999E-2</v>
      </c>
      <c r="R2869">
        <v>7.5280730000000004E-2</v>
      </c>
      <c r="S2869">
        <v>3.0125120000000001</v>
      </c>
      <c r="T2869">
        <v>-4.7735809999999997E-2</v>
      </c>
      <c r="U2869">
        <v>-1.53656E-2</v>
      </c>
      <c r="V2869">
        <v>-4.9316499999999999E-2</v>
      </c>
      <c r="W2869">
        <v>4.1078749999999997E-2</v>
      </c>
      <c r="X2869">
        <v>0.99793809999999905</v>
      </c>
      <c r="Y2869">
        <v>3.1118599999999899E-2</v>
      </c>
      <c r="Z2869">
        <v>-6.5890139999999996E-4</v>
      </c>
      <c r="AA2869">
        <v>0.9995155</v>
      </c>
      <c r="AB2869">
        <v>45</v>
      </c>
      <c r="AC2869">
        <v>69.230999999999995</v>
      </c>
      <c r="AD2869">
        <v>-1.1040319012178901</v>
      </c>
      <c r="AE2869">
        <v>-0.36699999999999</v>
      </c>
      <c r="AF2869">
        <v>2.1682209502198302</v>
      </c>
      <c r="AG2869">
        <v>-1.1040319012178901</v>
      </c>
      <c r="AH2869">
        <v>69.180402026975102</v>
      </c>
      <c r="AI2869">
        <v>90.913842069727707</v>
      </c>
      <c r="AJ2869">
        <v>88.204849160928205</v>
      </c>
      <c r="AK2869">
        <v>69.223175982771707</v>
      </c>
    </row>
    <row r="2870" spans="1:37" x14ac:dyDescent="0.2">
      <c r="A2870" t="str">
        <f>"20200111153452988"</f>
        <v>20200111153452988</v>
      </c>
      <c r="B2870" t="str">
        <f>"1578728092979078"</f>
        <v>1578728092979078</v>
      </c>
      <c r="C2870" t="s">
        <v>37</v>
      </c>
      <c r="D2870">
        <v>5.0351400000000002</v>
      </c>
      <c r="E2870">
        <v>0.53066550000000001</v>
      </c>
      <c r="F2870" t="s">
        <v>52</v>
      </c>
      <c r="G2870">
        <v>-240.34139999999999</v>
      </c>
      <c r="H2870" s="1">
        <v>-1.346028E-6</v>
      </c>
      <c r="I2870">
        <v>214.4084</v>
      </c>
      <c r="J2870">
        <v>-309.9753</v>
      </c>
      <c r="K2870">
        <v>1.104004</v>
      </c>
      <c r="L2870">
        <v>214.7859</v>
      </c>
      <c r="M2870">
        <v>0.99960090000000001</v>
      </c>
      <c r="N2870">
        <v>0</v>
      </c>
      <c r="O2870">
        <v>2.5982769999999999E-2</v>
      </c>
      <c r="P2870">
        <v>0.99668489999999998</v>
      </c>
      <c r="Q2870">
        <v>3.009003E-2</v>
      </c>
      <c r="R2870">
        <v>7.5589589999999998E-2</v>
      </c>
      <c r="S2870">
        <v>3.0125120000000001</v>
      </c>
      <c r="T2870">
        <v>-4.7467710000000003E-2</v>
      </c>
      <c r="U2870">
        <v>-1.5747069999999998E-2</v>
      </c>
      <c r="V2870">
        <v>-4.9666099999999998E-2</v>
      </c>
      <c r="W2870">
        <v>4.1155459999999998E-2</v>
      </c>
      <c r="X2870">
        <v>0.99791759999999996</v>
      </c>
      <c r="Y2870">
        <v>3.1202299999999902E-2</v>
      </c>
      <c r="Z2870">
        <v>-6.5518420000000002E-4</v>
      </c>
      <c r="AA2870">
        <v>0.99951290000000004</v>
      </c>
      <c r="AB2870">
        <v>45</v>
      </c>
      <c r="AC2870">
        <v>69.633899999999997</v>
      </c>
      <c r="AD2870">
        <v>-1.1040053460279999</v>
      </c>
      <c r="AE2870">
        <v>-0.377499999999997</v>
      </c>
      <c r="AF2870">
        <v>2.1862158512242198</v>
      </c>
      <c r="AG2870">
        <v>-1.1040053460279999</v>
      </c>
      <c r="AH2870">
        <v>69.583088885680496</v>
      </c>
      <c r="AI2870">
        <v>90.908530380603494</v>
      </c>
      <c r="AJ2870">
        <v>88.200428421729896</v>
      </c>
      <c r="AK2870">
        <v>69.626177738151895</v>
      </c>
    </row>
    <row r="2871" spans="1:37" x14ac:dyDescent="0.2">
      <c r="A2871" t="str">
        <f>"20200111153453011"</f>
        <v>20200111153453011</v>
      </c>
      <c r="B2871" t="str">
        <f>"1578728092998596"</f>
        <v>1578728092998596</v>
      </c>
      <c r="C2871" t="s">
        <v>37</v>
      </c>
      <c r="D2871">
        <v>5.0366479999999996</v>
      </c>
      <c r="E2871">
        <v>0.53074089999999996</v>
      </c>
      <c r="F2871" t="s">
        <v>52</v>
      </c>
      <c r="G2871">
        <v>-236.38640000000001</v>
      </c>
      <c r="H2871" s="1">
        <v>1.8705309999999999E-6</v>
      </c>
      <c r="I2871">
        <v>214.41470000000001</v>
      </c>
      <c r="J2871">
        <v>-309.53840000000002</v>
      </c>
      <c r="K2871">
        <v>1.1039639999999999</v>
      </c>
      <c r="L2871">
        <v>214.7972</v>
      </c>
      <c r="M2871">
        <v>0.99960329999999997</v>
      </c>
      <c r="N2871">
        <v>0</v>
      </c>
      <c r="O2871">
        <v>2.5898350000000001E-2</v>
      </c>
      <c r="P2871">
        <v>0.99664850000000005</v>
      </c>
      <c r="Q2871">
        <v>3.004426E-2</v>
      </c>
      <c r="R2871">
        <v>7.6089390000000007E-2</v>
      </c>
      <c r="S2871">
        <v>3.012451</v>
      </c>
      <c r="T2871">
        <v>-4.5193669999999998E-2</v>
      </c>
      <c r="U2871">
        <v>-1.5197749999999999E-2</v>
      </c>
      <c r="V2871">
        <v>-5.024766E-2</v>
      </c>
      <c r="W2871">
        <v>4.1106400000000001E-2</v>
      </c>
      <c r="X2871">
        <v>0.99789050000000001</v>
      </c>
      <c r="Y2871">
        <v>3.0936430000000001E-2</v>
      </c>
      <c r="Z2871">
        <v>-6.2055189999999998E-4</v>
      </c>
      <c r="AA2871">
        <v>0.99952109999999905</v>
      </c>
      <c r="AB2871">
        <v>45</v>
      </c>
      <c r="AC2871">
        <v>73.152000000000001</v>
      </c>
      <c r="AD2871">
        <v>-1.1039621294689901</v>
      </c>
      <c r="AE2871">
        <v>-0.38249999999999301</v>
      </c>
      <c r="AF2871">
        <v>2.2764854003532902</v>
      </c>
      <c r="AG2871">
        <v>-1.1039621294689901</v>
      </c>
      <c r="AH2871">
        <v>73.100905549275197</v>
      </c>
      <c r="AI2871">
        <v>90.864789846356203</v>
      </c>
      <c r="AJ2871">
        <v>88.216289329657997</v>
      </c>
      <c r="AK2871">
        <v>73.144675201174906</v>
      </c>
    </row>
    <row r="2872" spans="1:37" x14ac:dyDescent="0.2">
      <c r="A2872" t="str">
        <f>"20200111153453033"</f>
        <v>20200111153453033</v>
      </c>
      <c r="B2872" t="str">
        <f>"1578728093028852"</f>
        <v>1578728093028852</v>
      </c>
      <c r="C2872" t="s">
        <v>37</v>
      </c>
      <c r="D2872">
        <v>5.0505550000000001</v>
      </c>
      <c r="E2872">
        <v>0.53088669999999905</v>
      </c>
      <c r="F2872" t="s">
        <v>52</v>
      </c>
      <c r="G2872">
        <v>-233.3185</v>
      </c>
      <c r="H2872" s="1">
        <v>2.3722219999999999E-7</v>
      </c>
      <c r="I2872">
        <v>214.43119999999999</v>
      </c>
      <c r="J2872">
        <v>-309.08330000000001</v>
      </c>
      <c r="K2872">
        <v>1.103917</v>
      </c>
      <c r="L2872">
        <v>214.80889999999999</v>
      </c>
      <c r="M2872">
        <v>0.99960680000000002</v>
      </c>
      <c r="N2872">
        <v>0</v>
      </c>
      <c r="O2872">
        <v>2.5762819999999999E-2</v>
      </c>
      <c r="P2872">
        <v>0.99663289999999904</v>
      </c>
      <c r="Q2872">
        <v>3.0486470000000002E-2</v>
      </c>
      <c r="R2872">
        <v>7.6116009999999998E-2</v>
      </c>
      <c r="S2872">
        <v>3.0125120000000001</v>
      </c>
      <c r="T2872">
        <v>-4.3632980000000002E-2</v>
      </c>
      <c r="U2872">
        <v>-1.446533E-2</v>
      </c>
      <c r="V2872">
        <v>-5.0405199999999997E-2</v>
      </c>
      <c r="W2872">
        <v>4.154708E-2</v>
      </c>
      <c r="X2872">
        <v>0.99786430000000004</v>
      </c>
      <c r="Y2872">
        <v>3.0558299999999899E-2</v>
      </c>
      <c r="Z2872">
        <v>-5.9441170000000001E-4</v>
      </c>
      <c r="AA2872">
        <v>0.9995328</v>
      </c>
      <c r="AB2872">
        <v>45</v>
      </c>
      <c r="AC2872">
        <v>75.764799999999994</v>
      </c>
      <c r="AD2872">
        <v>-1.1039167627777999</v>
      </c>
      <c r="AE2872">
        <v>-0.37770000000000398</v>
      </c>
      <c r="AF2872">
        <v>2.3291146674816599</v>
      </c>
      <c r="AG2872">
        <v>-1.1039167627777999</v>
      </c>
      <c r="AH2872">
        <v>75.713844920485997</v>
      </c>
      <c r="AI2872">
        <v>90.834925118280196</v>
      </c>
      <c r="AJ2872">
        <v>88.238018817245901</v>
      </c>
      <c r="AK2872">
        <v>75.757704030658303</v>
      </c>
    </row>
    <row r="2873" spans="1:37" x14ac:dyDescent="0.2">
      <c r="A2873" t="str">
        <f>"20200111153453058"</f>
        <v>20200111153453058</v>
      </c>
      <c r="B2873" t="str">
        <f>"1578728093049348"</f>
        <v>1578728093049348</v>
      </c>
      <c r="C2873" t="s">
        <v>37</v>
      </c>
      <c r="D2873">
        <v>5.0255140000000003</v>
      </c>
      <c r="E2873">
        <v>0.53099779999999996</v>
      </c>
      <c r="F2873" t="s">
        <v>52</v>
      </c>
      <c r="G2873">
        <v>-231.2088</v>
      </c>
      <c r="H2873" s="1">
        <v>-8.8447629999999996E-7</v>
      </c>
      <c r="I2873">
        <v>214.40969999999999</v>
      </c>
      <c r="J2873">
        <v>-308.601</v>
      </c>
      <c r="K2873">
        <v>1.1038619999999999</v>
      </c>
      <c r="L2873">
        <v>214.8212</v>
      </c>
      <c r="M2873">
        <v>0.999612099999999</v>
      </c>
      <c r="N2873">
        <v>0</v>
      </c>
      <c r="O2873">
        <v>2.5561540000000001E-2</v>
      </c>
      <c r="P2873">
        <v>0.99663349999999995</v>
      </c>
      <c r="Q2873">
        <v>3.0715340000000001E-2</v>
      </c>
      <c r="R2873">
        <v>7.6016040000000007E-2</v>
      </c>
      <c r="S2873">
        <v>3.0126339999999998</v>
      </c>
      <c r="T2873">
        <v>-4.2705890000000003E-2</v>
      </c>
      <c r="U2873">
        <v>-1.544189E-2</v>
      </c>
      <c r="V2873">
        <v>-5.0500349999999999E-2</v>
      </c>
      <c r="W2873">
        <v>4.1776239999999999E-2</v>
      </c>
      <c r="X2873">
        <v>0.99784989999999996</v>
      </c>
      <c r="Y2873">
        <v>3.0681090000000001E-2</v>
      </c>
      <c r="Z2873">
        <v>-5.797771E-4</v>
      </c>
      <c r="AA2873">
        <v>0.99952909999999995</v>
      </c>
      <c r="AB2873">
        <v>45</v>
      </c>
      <c r="AC2873">
        <v>77.392200000000003</v>
      </c>
      <c r="AD2873">
        <v>-1.1038628844763001</v>
      </c>
      <c r="AE2873">
        <v>-0.41150000000001702</v>
      </c>
      <c r="AF2873">
        <v>2.3892642240531901</v>
      </c>
      <c r="AG2873">
        <v>-1.1038628844763001</v>
      </c>
      <c r="AH2873">
        <v>77.340656103253593</v>
      </c>
      <c r="AI2873">
        <v>90.817322235296501</v>
      </c>
      <c r="AJ2873">
        <v>88.230539550708002</v>
      </c>
      <c r="AK2873">
        <v>77.385426168509198</v>
      </c>
    </row>
    <row r="2874" spans="1:37" x14ac:dyDescent="0.2">
      <c r="A2874" t="str">
        <f>"20200111153453078"</f>
        <v>20200111153453078</v>
      </c>
      <c r="B2874" t="str">
        <f>"1578728093068867"</f>
        <v>1578728093068867</v>
      </c>
      <c r="C2874" t="s">
        <v>37</v>
      </c>
      <c r="D2874">
        <v>5.0636580000000002</v>
      </c>
      <c r="E2874">
        <v>0.53102550000000004</v>
      </c>
      <c r="F2874" t="s">
        <v>52</v>
      </c>
      <c r="G2874">
        <v>-227.64230000000001</v>
      </c>
      <c r="H2874" s="1">
        <v>2.54073399999999E-6</v>
      </c>
      <c r="I2874">
        <v>214.37260000000001</v>
      </c>
      <c r="J2874">
        <v>-308.1825</v>
      </c>
      <c r="K2874">
        <v>1.1038250000000001</v>
      </c>
      <c r="L2874">
        <v>214.83170000000001</v>
      </c>
      <c r="M2874">
        <v>0.99961789999999995</v>
      </c>
      <c r="N2874">
        <v>0</v>
      </c>
      <c r="O2874">
        <v>2.5333899999999999E-2</v>
      </c>
      <c r="P2874">
        <v>0.99663849999999998</v>
      </c>
      <c r="Q2874">
        <v>3.117961E-2</v>
      </c>
      <c r="R2874">
        <v>7.5760939999999999E-2</v>
      </c>
      <c r="S2874">
        <v>3.0126650000000001</v>
      </c>
      <c r="T2874">
        <v>-4.1077259999999997E-2</v>
      </c>
      <c r="U2874">
        <v>-1.6693119999999999E-2</v>
      </c>
      <c r="V2874">
        <v>-5.0467480000000002E-2</v>
      </c>
      <c r="W2874">
        <v>4.2241220000000003E-2</v>
      </c>
      <c r="X2874">
        <v>0.99783199999999905</v>
      </c>
      <c r="Y2874">
        <v>3.0868960000000001E-2</v>
      </c>
      <c r="Z2874">
        <v>-5.5584039999999996E-4</v>
      </c>
      <c r="AA2874">
        <v>0.9995233</v>
      </c>
      <c r="AB2874">
        <v>45</v>
      </c>
      <c r="AC2874">
        <v>80.540199999999999</v>
      </c>
      <c r="AD2874">
        <v>-1.103822459266</v>
      </c>
      <c r="AE2874">
        <v>-0.459100000000006</v>
      </c>
      <c r="AF2874">
        <v>2.4990053509574</v>
      </c>
      <c r="AG2874">
        <v>-1.103822459266</v>
      </c>
      <c r="AH2874">
        <v>80.487597798984197</v>
      </c>
      <c r="AI2874">
        <v>90.785337734583194</v>
      </c>
      <c r="AJ2874">
        <v>88.221633135241603</v>
      </c>
      <c r="AK2874">
        <v>80.533948439255994</v>
      </c>
    </row>
    <row r="2875" spans="1:37" x14ac:dyDescent="0.2">
      <c r="A2875" t="str">
        <f>"20200111153453101"</f>
        <v>20200111153453101</v>
      </c>
      <c r="B2875" t="str">
        <f>"1578728093089364"</f>
        <v>1578728093089364</v>
      </c>
      <c r="C2875" t="s">
        <v>37</v>
      </c>
      <c r="D2875">
        <v>5.0437089999999998</v>
      </c>
      <c r="E2875">
        <v>0.53098990000000001</v>
      </c>
      <c r="F2875" t="s">
        <v>52</v>
      </c>
      <c r="G2875">
        <v>-225.11170000000001</v>
      </c>
      <c r="H2875" s="1">
        <v>1.1954479999999899E-6</v>
      </c>
      <c r="I2875">
        <v>214.34030000000001</v>
      </c>
      <c r="J2875">
        <v>-307.74090000000001</v>
      </c>
      <c r="K2875">
        <v>1.103782</v>
      </c>
      <c r="L2875">
        <v>214.84270000000001</v>
      </c>
      <c r="M2875">
        <v>0.99962519999999999</v>
      </c>
      <c r="N2875">
        <v>0</v>
      </c>
      <c r="O2875">
        <v>2.5040659999999999E-2</v>
      </c>
      <c r="P2875">
        <v>0.99664039999999998</v>
      </c>
      <c r="Q2875">
        <v>3.2242359999999998E-2</v>
      </c>
      <c r="R2875">
        <v>7.5289869999999995E-2</v>
      </c>
      <c r="S2875">
        <v>3.0126949999999999</v>
      </c>
      <c r="T2875">
        <v>-4.0031909999999997E-2</v>
      </c>
      <c r="U2875">
        <v>-1.7822270000000001E-2</v>
      </c>
      <c r="V2875">
        <v>-5.0283420000000002E-2</v>
      </c>
      <c r="W2875">
        <v>4.3314560000000002E-2</v>
      </c>
      <c r="X2875">
        <v>0.99779530000000005</v>
      </c>
      <c r="Y2875">
        <v>3.095057E-2</v>
      </c>
      <c r="Z2875">
        <v>-5.3833720000000002E-4</v>
      </c>
      <c r="AA2875">
        <v>0.99952079999999999</v>
      </c>
      <c r="AB2875">
        <v>45</v>
      </c>
      <c r="AC2875">
        <v>82.629199999999997</v>
      </c>
      <c r="AD2875">
        <v>-1.1037808045519999</v>
      </c>
      <c r="AE2875">
        <v>-0.50239999999999396</v>
      </c>
      <c r="AF2875">
        <v>2.5710000548151002</v>
      </c>
      <c r="AG2875">
        <v>-1.1037808045519999</v>
      </c>
      <c r="AH2875">
        <v>82.575971353759897</v>
      </c>
      <c r="AI2875">
        <v>90.765447735275103</v>
      </c>
      <c r="AJ2875">
        <v>88.216673951817</v>
      </c>
      <c r="AK2875">
        <v>82.623358793765703</v>
      </c>
    </row>
    <row r="2876" spans="1:37" x14ac:dyDescent="0.2">
      <c r="A2876" t="str">
        <f>"20200111153453124"</f>
        <v>20200111153453124</v>
      </c>
      <c r="B2876" t="str">
        <f>"1578728093118644"</f>
        <v>1578728093118644</v>
      </c>
      <c r="C2876" t="s">
        <v>37</v>
      </c>
      <c r="D2876">
        <v>5.0615839999999999</v>
      </c>
      <c r="E2876">
        <v>0.53093619999999997</v>
      </c>
      <c r="F2876" t="s">
        <v>52</v>
      </c>
      <c r="G2876">
        <v>-216.1377</v>
      </c>
      <c r="H2876" s="1">
        <v>1.744692E-6</v>
      </c>
      <c r="I2876">
        <v>214.26650000000001</v>
      </c>
      <c r="J2876">
        <v>-307.28250000000003</v>
      </c>
      <c r="K2876">
        <v>1.103737</v>
      </c>
      <c r="L2876">
        <v>214.85390000000001</v>
      </c>
      <c r="M2876">
        <v>0.99963389999999996</v>
      </c>
      <c r="N2876">
        <v>0</v>
      </c>
      <c r="O2876">
        <v>2.4684609999999999E-2</v>
      </c>
      <c r="P2876">
        <v>0.99667499999999998</v>
      </c>
      <c r="Q2876">
        <v>3.2495719999999999E-2</v>
      </c>
      <c r="R2876">
        <v>7.4720960000000003E-2</v>
      </c>
      <c r="S2876">
        <v>3.0127259999999998</v>
      </c>
      <c r="T2876">
        <v>-3.6302090000000002E-2</v>
      </c>
      <c r="U2876">
        <v>-1.895142E-2</v>
      </c>
      <c r="V2876">
        <v>-5.006348E-2</v>
      </c>
      <c r="W2876">
        <v>4.3585140000000001E-2</v>
      </c>
      <c r="X2876">
        <v>0.99779459999999998</v>
      </c>
      <c r="Y2876">
        <v>3.0970009999999999E-2</v>
      </c>
      <c r="Z2876">
        <v>-4.8400610000000002E-4</v>
      </c>
      <c r="AA2876">
        <v>0.99952019999999997</v>
      </c>
      <c r="AB2876">
        <v>45</v>
      </c>
      <c r="AC2876">
        <v>91.144800000000004</v>
      </c>
      <c r="AD2876">
        <v>-1.103735255308</v>
      </c>
      <c r="AE2876">
        <v>-0.58740000000000203</v>
      </c>
      <c r="AF2876">
        <v>2.8368169284705802</v>
      </c>
      <c r="AG2876">
        <v>-1.103735255308</v>
      </c>
      <c r="AH2876">
        <v>91.089165921644494</v>
      </c>
      <c r="AI2876">
        <v>90.693887523788106</v>
      </c>
      <c r="AJ2876">
        <v>88.216197091253605</v>
      </c>
      <c r="AK2876">
        <v>91.140012673360701</v>
      </c>
    </row>
    <row r="2877" spans="1:37" x14ac:dyDescent="0.2">
      <c r="A2877" t="str">
        <f>"20200111153453146"</f>
        <v>20200111153453146</v>
      </c>
      <c r="B2877" t="str">
        <f>"1578728093139142"</f>
        <v>1578728093139142</v>
      </c>
      <c r="C2877" t="s">
        <v>37</v>
      </c>
      <c r="D2877">
        <v>5.0436870000000003</v>
      </c>
      <c r="E2877">
        <v>0.53102069999999901</v>
      </c>
      <c r="F2877" t="s">
        <v>52</v>
      </c>
      <c r="G2877">
        <v>-215.36009999999999</v>
      </c>
      <c r="H2877" s="1">
        <v>1.332012E-6</v>
      </c>
      <c r="I2877">
        <v>214.24029999999999</v>
      </c>
      <c r="J2877">
        <v>-306.82530000000003</v>
      </c>
      <c r="K2877">
        <v>1.1036840000000001</v>
      </c>
      <c r="L2877">
        <v>214.86490000000001</v>
      </c>
      <c r="M2877">
        <v>0.99964349999999902</v>
      </c>
      <c r="N2877">
        <v>0</v>
      </c>
      <c r="O2877">
        <v>2.428957E-2</v>
      </c>
      <c r="P2877">
        <v>0.99673519999999904</v>
      </c>
      <c r="Q2877">
        <v>3.2337949999999997E-2</v>
      </c>
      <c r="R2877">
        <v>7.3982480000000003E-2</v>
      </c>
      <c r="S2877">
        <v>3.0126949999999999</v>
      </c>
      <c r="T2877">
        <v>-3.617418E-2</v>
      </c>
      <c r="U2877">
        <v>-2.011108E-2</v>
      </c>
      <c r="V2877">
        <v>-4.9713609999999998E-2</v>
      </c>
      <c r="W2877">
        <v>4.3446510000000001E-2</v>
      </c>
      <c r="X2877">
        <v>0.99781810000000004</v>
      </c>
      <c r="Y2877">
        <v>3.0959859999999999E-2</v>
      </c>
      <c r="Z2877">
        <v>-4.7750199999999998E-4</v>
      </c>
      <c r="AA2877">
        <v>0.99952050000000003</v>
      </c>
      <c r="AB2877">
        <v>45</v>
      </c>
      <c r="AC2877">
        <v>91.465199999999996</v>
      </c>
      <c r="AD2877">
        <v>-1.1036826679880001</v>
      </c>
      <c r="AE2877">
        <v>-0.62460000000001503</v>
      </c>
      <c r="AF2877">
        <v>2.84578825588531</v>
      </c>
      <c r="AG2877">
        <v>-1.1036826679880001</v>
      </c>
      <c r="AH2877">
        <v>91.409729933431606</v>
      </c>
      <c r="AI2877">
        <v>90.691421669218101</v>
      </c>
      <c r="AJ2877">
        <v>88.216830858290507</v>
      </c>
      <c r="AK2877">
        <v>91.460676537689494</v>
      </c>
    </row>
    <row r="2878" spans="1:37" x14ac:dyDescent="0.2">
      <c r="A2878" t="str">
        <f>"20200111153453168"</f>
        <v>20200111153453168</v>
      </c>
      <c r="B2878" t="str">
        <f>"1578728093158662"</f>
        <v>1578728093158662</v>
      </c>
      <c r="C2878" t="s">
        <v>37</v>
      </c>
      <c r="D2878">
        <v>5.0257300000000003</v>
      </c>
      <c r="E2878">
        <v>0.53102869999999902</v>
      </c>
      <c r="F2878" t="s">
        <v>50</v>
      </c>
      <c r="G2878">
        <v>-209.89529999999999</v>
      </c>
      <c r="H2878" s="1">
        <v>6.6477739999999998E-6</v>
      </c>
      <c r="I2878">
        <v>214.1285</v>
      </c>
      <c r="J2878">
        <v>-306.38920000000002</v>
      </c>
      <c r="K2878">
        <v>1.103642</v>
      </c>
      <c r="L2878">
        <v>214.87520000000001</v>
      </c>
      <c r="M2878">
        <v>0.99965329999999997</v>
      </c>
      <c r="N2878">
        <v>0</v>
      </c>
      <c r="O2878">
        <v>2.3881670000000001E-2</v>
      </c>
      <c r="P2878">
        <v>0.99675539999999996</v>
      </c>
      <c r="Q2878">
        <v>3.2066749999999998E-2</v>
      </c>
      <c r="R2878">
        <v>7.3829809999999996E-2</v>
      </c>
      <c r="S2878">
        <v>3.0126040000000001</v>
      </c>
      <c r="T2878">
        <v>-3.4302470000000002E-2</v>
      </c>
      <c r="U2878">
        <v>-2.2888180000000001E-2</v>
      </c>
      <c r="V2878">
        <v>-4.9962989999999999E-2</v>
      </c>
      <c r="W2878">
        <v>4.3193559999999999E-2</v>
      </c>
      <c r="X2878">
        <v>0.99781659999999905</v>
      </c>
      <c r="Y2878">
        <v>3.1473950000000001E-2</v>
      </c>
      <c r="Z2878">
        <v>-4.5109300000000001E-4</v>
      </c>
      <c r="AA2878">
        <v>0.99950439999999996</v>
      </c>
      <c r="AB2878">
        <v>45</v>
      </c>
      <c r="AC2878">
        <v>96.493899999999996</v>
      </c>
      <c r="AD2878">
        <v>-1.1036353522260001</v>
      </c>
      <c r="AE2878">
        <v>-0.74670000000000403</v>
      </c>
      <c r="AF2878">
        <v>3.0506651159062401</v>
      </c>
      <c r="AG2878">
        <v>-1.1036353522260001</v>
      </c>
      <c r="AH2878">
        <v>96.435927933280695</v>
      </c>
      <c r="AI2878">
        <v>90.655349900825001</v>
      </c>
      <c r="AJ2878">
        <v>88.188103029842594</v>
      </c>
      <c r="AK2878">
        <v>96.4904801780621</v>
      </c>
    </row>
    <row r="2879" spans="1:37" x14ac:dyDescent="0.2">
      <c r="A2879" t="str">
        <f>"20200111153453189"</f>
        <v>20200111153453189</v>
      </c>
      <c r="B2879" t="str">
        <f>"1578728093179159"</f>
        <v>1578728093179159</v>
      </c>
      <c r="C2879" t="s">
        <v>37</v>
      </c>
      <c r="D2879">
        <v>5.1054690000000003</v>
      </c>
      <c r="E2879">
        <v>0.53106049999999905</v>
      </c>
      <c r="F2879" t="s">
        <v>52</v>
      </c>
      <c r="G2879">
        <v>-210.91890000000001</v>
      </c>
      <c r="H2879" s="1">
        <v>-1.026408E-6</v>
      </c>
      <c r="I2879">
        <v>214.1276</v>
      </c>
      <c r="J2879">
        <v>-305.95670000000001</v>
      </c>
      <c r="K2879">
        <v>1.1036049999999999</v>
      </c>
      <c r="L2879">
        <v>214.8852</v>
      </c>
      <c r="M2879">
        <v>0.99966309999999903</v>
      </c>
      <c r="N2879">
        <v>0</v>
      </c>
      <c r="O2879">
        <v>2.3451929999999999E-2</v>
      </c>
      <c r="P2879">
        <v>0.99680990000000003</v>
      </c>
      <c r="Q2879">
        <v>3.1771029999999999E-2</v>
      </c>
      <c r="R2879">
        <v>7.321685E-2</v>
      </c>
      <c r="S2879">
        <v>3.0126040000000001</v>
      </c>
      <c r="T2879">
        <v>-3.4825920000000003E-2</v>
      </c>
      <c r="U2879">
        <v>-2.3590090000000001E-2</v>
      </c>
      <c r="V2879">
        <v>-4.9774690000000003E-2</v>
      </c>
      <c r="W2879">
        <v>4.2919150000000003E-2</v>
      </c>
      <c r="X2879">
        <v>0.99783790000000006</v>
      </c>
      <c r="Y2879">
        <v>3.1277079999999999E-2</v>
      </c>
      <c r="Z2879">
        <v>-4.5187109999999999E-4</v>
      </c>
      <c r="AA2879">
        <v>0.99951060000000003</v>
      </c>
      <c r="AB2879">
        <v>45</v>
      </c>
      <c r="AC2879">
        <v>95.037800000000004</v>
      </c>
      <c r="AD2879">
        <v>-1.1036060264080001</v>
      </c>
      <c r="AE2879">
        <v>-0.75759999999999605</v>
      </c>
      <c r="AF2879">
        <v>2.9859466843031899</v>
      </c>
      <c r="AG2879">
        <v>-1.1036060264080001</v>
      </c>
      <c r="AH2879">
        <v>94.981082901060205</v>
      </c>
      <c r="AI2879">
        <v>90.665373582702799</v>
      </c>
      <c r="AJ2879">
        <v>88.199369698305702</v>
      </c>
      <c r="AK2879">
        <v>95.034414466134805</v>
      </c>
    </row>
    <row r="2880" spans="1:37" x14ac:dyDescent="0.2">
      <c r="A2880" t="str">
        <f>"20200111153453212"</f>
        <v>20200111153453212</v>
      </c>
      <c r="B2880" t="str">
        <f>"1578728093198676"</f>
        <v>1578728093198676</v>
      </c>
      <c r="C2880" t="s">
        <v>37</v>
      </c>
      <c r="D2880">
        <v>5.1211630000000001</v>
      </c>
      <c r="E2880">
        <v>0.53099269999999998</v>
      </c>
      <c r="F2880" t="s">
        <v>52</v>
      </c>
      <c r="G2880">
        <v>-211.345</v>
      </c>
      <c r="H2880" s="1">
        <v>-7.9708019999999897E-7</v>
      </c>
      <c r="I2880">
        <v>214.0677</v>
      </c>
      <c r="J2880">
        <v>-305.50310000000002</v>
      </c>
      <c r="K2880">
        <v>1.1035759999999999</v>
      </c>
      <c r="L2880">
        <v>214.8955</v>
      </c>
      <c r="M2880">
        <v>0.99967379999999995</v>
      </c>
      <c r="N2880">
        <v>0</v>
      </c>
      <c r="O2880">
        <v>2.2977589999999999E-2</v>
      </c>
      <c r="P2880">
        <v>0.99686739999999996</v>
      </c>
      <c r="Q2880">
        <v>3.1223569999999999E-2</v>
      </c>
      <c r="R2880">
        <v>7.2666919999999996E-2</v>
      </c>
      <c r="S2880">
        <v>3.0126650000000001</v>
      </c>
      <c r="T2880">
        <v>-3.5141470000000001E-2</v>
      </c>
      <c r="U2880">
        <v>-2.6031490000000001E-2</v>
      </c>
      <c r="V2880">
        <v>-4.9693960000000002E-2</v>
      </c>
      <c r="W2880">
        <v>4.2395580000000002E-2</v>
      </c>
      <c r="X2880">
        <v>0.99786430000000004</v>
      </c>
      <c r="Y2880">
        <v>3.1612519999999998E-2</v>
      </c>
      <c r="Z2880">
        <v>-4.5237910000000002E-4</v>
      </c>
      <c r="AA2880">
        <v>0.9995001</v>
      </c>
      <c r="AB2880">
        <v>45</v>
      </c>
      <c r="AC2880">
        <v>94.158100000000005</v>
      </c>
      <c r="AD2880">
        <v>-1.1035767970802</v>
      </c>
      <c r="AE2880">
        <v>-0.82779999999999598</v>
      </c>
      <c r="AF2880">
        <v>2.9908313192074898</v>
      </c>
      <c r="AG2880">
        <v>-1.1035767970802</v>
      </c>
      <c r="AH2880">
        <v>94.101289655052099</v>
      </c>
      <c r="AI2880">
        <v>90.671568758882003</v>
      </c>
      <c r="AJ2880">
        <v>88.179574944721395</v>
      </c>
      <c r="AK2880">
        <v>94.155274246698596</v>
      </c>
    </row>
    <row r="2881" spans="1:37" x14ac:dyDescent="0.2">
      <c r="A2881" t="str">
        <f>"20200111153453235"</f>
        <v>20200111153453235</v>
      </c>
      <c r="B2881" t="str">
        <f>"1578728093228932"</f>
        <v>1578728093228932</v>
      </c>
      <c r="C2881" t="s">
        <v>37</v>
      </c>
      <c r="D2881">
        <v>5.1285020000000001</v>
      </c>
      <c r="E2881">
        <v>0.50765559999999998</v>
      </c>
      <c r="F2881" t="s">
        <v>52</v>
      </c>
      <c r="G2881">
        <v>-211.88229999999999</v>
      </c>
      <c r="H2881" s="1">
        <v>-5.1070169999999996E-7</v>
      </c>
      <c r="I2881">
        <v>214.05709999999999</v>
      </c>
      <c r="J2881">
        <v>-305.04239999999999</v>
      </c>
      <c r="K2881">
        <v>1.1035349999999999</v>
      </c>
      <c r="L2881">
        <v>214.9058</v>
      </c>
      <c r="M2881">
        <v>0.99968519999999905</v>
      </c>
      <c r="N2881">
        <v>0</v>
      </c>
      <c r="O2881">
        <v>2.2474290000000001E-2</v>
      </c>
      <c r="P2881">
        <v>0.99692769999999997</v>
      </c>
      <c r="Q2881">
        <v>3.093131E-2</v>
      </c>
      <c r="R2881">
        <v>7.1960170000000004E-2</v>
      </c>
      <c r="S2881">
        <v>3.0125120000000001</v>
      </c>
      <c r="T2881">
        <v>-3.5510659999999999E-2</v>
      </c>
      <c r="U2881">
        <v>-2.6977540000000001E-2</v>
      </c>
      <c r="V2881">
        <v>-4.9485170000000002E-2</v>
      </c>
      <c r="W2881">
        <v>4.2125929999999999E-2</v>
      </c>
      <c r="X2881">
        <v>0.997886099999999</v>
      </c>
      <c r="Y2881">
        <v>3.1423590000000001E-2</v>
      </c>
      <c r="Z2881">
        <v>-4.5010879999999898E-4</v>
      </c>
      <c r="AA2881">
        <v>0.99950609999999995</v>
      </c>
      <c r="AB2881">
        <v>45</v>
      </c>
      <c r="AC2881">
        <v>93.1601</v>
      </c>
      <c r="AD2881">
        <v>-1.1035355107017</v>
      </c>
      <c r="AE2881">
        <v>-0.848700000000007</v>
      </c>
      <c r="AF2881">
        <v>2.9419101937502998</v>
      </c>
      <c r="AG2881">
        <v>-1.1035355107017</v>
      </c>
      <c r="AH2881">
        <v>93.104428570072798</v>
      </c>
      <c r="AI2881">
        <v>90.678737105539</v>
      </c>
      <c r="AJ2881">
        <v>88.190172306756494</v>
      </c>
      <c r="AK2881">
        <v>93.157432583617606</v>
      </c>
    </row>
    <row r="2882" spans="1:37" x14ac:dyDescent="0.2">
      <c r="A2882" t="str">
        <f>"20200111153453258"</f>
        <v>20200111153453258</v>
      </c>
      <c r="B2882" t="str">
        <f>"1578728093248451"</f>
        <v>1578728093248451</v>
      </c>
      <c r="C2882" t="s">
        <v>37</v>
      </c>
      <c r="D2882">
        <v>5.099685</v>
      </c>
      <c r="E2882">
        <v>0.5032295</v>
      </c>
      <c r="F2882" t="s">
        <v>52</v>
      </c>
      <c r="G2882">
        <v>-247.04820000000001</v>
      </c>
      <c r="H2882" s="1">
        <v>2.0687779999999998E-6</v>
      </c>
      <c r="I2882">
        <v>217.93599999999901</v>
      </c>
      <c r="J2882">
        <v>-304.59620000000001</v>
      </c>
      <c r="K2882">
        <v>1.1034979999999901</v>
      </c>
      <c r="L2882">
        <v>214.91540000000001</v>
      </c>
      <c r="M2882">
        <v>0.99969619999999904</v>
      </c>
      <c r="N2882">
        <v>0</v>
      </c>
      <c r="O2882">
        <v>2.196741E-2</v>
      </c>
      <c r="P2882">
        <v>0.99695299999999998</v>
      </c>
      <c r="Q2882">
        <v>3.0491420000000002E-2</v>
      </c>
      <c r="R2882">
        <v>7.179642E-2</v>
      </c>
      <c r="S2882">
        <v>2.999695</v>
      </c>
      <c r="T2882">
        <v>-5.7079199999999899E-2</v>
      </c>
      <c r="U2882">
        <v>0.156738299999999</v>
      </c>
      <c r="V2882">
        <v>-4.9823880000000001E-2</v>
      </c>
      <c r="W2882">
        <v>4.1706680000000003E-2</v>
      </c>
      <c r="X2882">
        <v>0.99788679999999996</v>
      </c>
      <c r="Y2882">
        <v>-3.0227299999999901E-2</v>
      </c>
      <c r="Z2882">
        <v>-1.3025600000000001E-4</v>
      </c>
      <c r="AA2882">
        <v>0.99954310000000002</v>
      </c>
      <c r="AB2882">
        <v>45</v>
      </c>
      <c r="AC2882">
        <v>57.548000000000002</v>
      </c>
      <c r="AD2882">
        <v>-1.1034959312219901</v>
      </c>
      <c r="AE2882">
        <v>3.0205999999999702</v>
      </c>
      <c r="AF2882">
        <v>-1.7549679979639701</v>
      </c>
      <c r="AG2882">
        <v>-1.1034959312219901</v>
      </c>
      <c r="AH2882">
        <v>57.579356960720602</v>
      </c>
      <c r="AI2882">
        <v>91.097417330624495</v>
      </c>
      <c r="AJ2882">
        <v>91.7457843438049</v>
      </c>
      <c r="AK2882">
        <v>57.616663943291499</v>
      </c>
    </row>
    <row r="2883" spans="1:37" x14ac:dyDescent="0.2">
      <c r="A2883" t="str">
        <f>"20200111153453278"</f>
        <v>20200111153453278</v>
      </c>
      <c r="B2883" t="str">
        <f>"1578728093268951"</f>
        <v>1578728093268951</v>
      </c>
      <c r="C2883" t="s">
        <v>37</v>
      </c>
      <c r="D2883">
        <v>5.0450160000000004</v>
      </c>
      <c r="E2883">
        <v>0.50157370000000001</v>
      </c>
      <c r="F2883" t="s">
        <v>52</v>
      </c>
      <c r="G2883">
        <v>-264.96690000000001</v>
      </c>
      <c r="H2883" s="1">
        <v>9.8252690000000008E-7</v>
      </c>
      <c r="I2883">
        <v>217.44880000000001</v>
      </c>
      <c r="J2883">
        <v>-304.16609999999997</v>
      </c>
      <c r="K2883">
        <v>1.1034660000000001</v>
      </c>
      <c r="L2883">
        <v>214.9246</v>
      </c>
      <c r="M2883">
        <v>0.99970720000000002</v>
      </c>
      <c r="N2883">
        <v>0</v>
      </c>
      <c r="O2883">
        <v>2.145828E-2</v>
      </c>
      <c r="P2883">
        <v>0.99697569999999902</v>
      </c>
      <c r="Q2883">
        <v>3.0553219999999999E-2</v>
      </c>
      <c r="R2883">
        <v>7.1456249999999999E-2</v>
      </c>
      <c r="S2883">
        <v>2.997925</v>
      </c>
      <c r="T2883">
        <v>-8.3478689999999994E-2</v>
      </c>
      <c r="U2883">
        <v>0.1916504</v>
      </c>
      <c r="V2883">
        <v>-4.9988350000000001E-2</v>
      </c>
      <c r="W2883">
        <v>4.1787669999999999E-2</v>
      </c>
      <c r="X2883">
        <v>0.99787519999999996</v>
      </c>
      <c r="Y2883">
        <v>-4.235879E-2</v>
      </c>
      <c r="Z2883" s="1">
        <v>-7.6571600000000007E-6</v>
      </c>
      <c r="AA2883">
        <v>0.9991025</v>
      </c>
      <c r="AB2883">
        <v>45</v>
      </c>
      <c r="AC2883">
        <v>39.199199999999898</v>
      </c>
      <c r="AD2883">
        <v>-1.1034650174731</v>
      </c>
      <c r="AE2883">
        <v>2.5242</v>
      </c>
      <c r="AF2883">
        <v>-1.6810920545810999</v>
      </c>
      <c r="AG2883">
        <v>-1.1034650174731</v>
      </c>
      <c r="AH2883">
        <v>39.213395739139798</v>
      </c>
      <c r="AI2883">
        <v>91.610399563743599</v>
      </c>
      <c r="AJ2883">
        <v>92.454787079878102</v>
      </c>
      <c r="AK2883">
        <v>39.264922143500499</v>
      </c>
    </row>
    <row r="2884" spans="1:37" x14ac:dyDescent="0.2">
      <c r="A2884" t="str">
        <f>"20200111153453302"</f>
        <v>20200111153453302</v>
      </c>
      <c r="B2884" t="str">
        <f>"1578728093299204"</f>
        <v>1578728093299204</v>
      </c>
      <c r="C2884" t="s">
        <v>37</v>
      </c>
      <c r="D2884">
        <v>5.0391069999999996</v>
      </c>
      <c r="E2884">
        <v>0.50066460000000002</v>
      </c>
      <c r="F2884" t="s">
        <v>52</v>
      </c>
      <c r="G2884">
        <v>-268.16730000000001</v>
      </c>
      <c r="H2884" s="1">
        <v>2.6889819999999999E-6</v>
      </c>
      <c r="I2884">
        <v>217.3724</v>
      </c>
      <c r="J2884">
        <v>-303.7115</v>
      </c>
      <c r="K2884">
        <v>1.103432</v>
      </c>
      <c r="L2884">
        <v>214.93389999999999</v>
      </c>
      <c r="M2884">
        <v>0.99971889999999997</v>
      </c>
      <c r="N2884">
        <v>0</v>
      </c>
      <c r="O2884">
        <v>2.0892910000000001E-2</v>
      </c>
      <c r="P2884">
        <v>0.99700959999999905</v>
      </c>
      <c r="Q2884">
        <v>3.0649329999999999E-2</v>
      </c>
      <c r="R2884">
        <v>7.0936990000000005E-2</v>
      </c>
      <c r="S2884">
        <v>2.9973450000000001</v>
      </c>
      <c r="T2884">
        <v>-9.1876979999999997E-2</v>
      </c>
      <c r="U2884">
        <v>0.20381160000000001</v>
      </c>
      <c r="V2884">
        <v>-5.002856E-2</v>
      </c>
      <c r="W2884">
        <v>4.1902019999999998E-2</v>
      </c>
      <c r="X2884">
        <v>0.99786839999999999</v>
      </c>
      <c r="Y2884">
        <v>-4.6967660000000001E-2</v>
      </c>
      <c r="Z2884" s="1">
        <v>7.9416899999999995E-5</v>
      </c>
      <c r="AA2884">
        <v>0.99889640000000002</v>
      </c>
      <c r="AB2884">
        <v>45</v>
      </c>
      <c r="AC2884">
        <v>35.544199999999897</v>
      </c>
      <c r="AD2884">
        <v>-1.103429311018</v>
      </c>
      <c r="AE2884">
        <v>2.4384999999999999</v>
      </c>
      <c r="AF2884">
        <v>-1.6936746559618401</v>
      </c>
      <c r="AG2884">
        <v>-1.103429311018</v>
      </c>
      <c r="AH2884">
        <v>35.553288016022996</v>
      </c>
      <c r="AI2884">
        <v>91.775644767453798</v>
      </c>
      <c r="AJ2884">
        <v>92.727373720219603</v>
      </c>
      <c r="AK2884">
        <v>35.610705958109698</v>
      </c>
    </row>
    <row r="2885" spans="1:37" x14ac:dyDescent="0.2">
      <c r="A2885" t="str">
        <f>"20200111153453325"</f>
        <v>20200111153453325</v>
      </c>
      <c r="B2885" t="str">
        <f>"1578728093318724"</f>
        <v>1578728093318724</v>
      </c>
      <c r="C2885" t="s">
        <v>37</v>
      </c>
      <c r="D2885">
        <v>5.0398509999999996</v>
      </c>
      <c r="E2885">
        <v>0.50055209999999895</v>
      </c>
      <c r="F2885" t="s">
        <v>52</v>
      </c>
      <c r="G2885">
        <v>-270.99709999999999</v>
      </c>
      <c r="H2885" s="1">
        <v>-1.1199469999999899E-6</v>
      </c>
      <c r="I2885">
        <v>217.2184</v>
      </c>
      <c r="J2885">
        <v>-303.2294</v>
      </c>
      <c r="K2885">
        <v>1.1033899999999901</v>
      </c>
      <c r="L2885">
        <v>214.9435</v>
      </c>
      <c r="M2885">
        <v>0.99973179999999995</v>
      </c>
      <c r="N2885">
        <v>0</v>
      </c>
      <c r="O2885">
        <v>2.0261560000000001E-2</v>
      </c>
      <c r="P2885">
        <v>0.99704859999999995</v>
      </c>
      <c r="Q2885">
        <v>3.0622699999999999E-2</v>
      </c>
      <c r="R2885">
        <v>7.0402499999999896E-2</v>
      </c>
      <c r="S2885">
        <v>2.997223</v>
      </c>
      <c r="T2885">
        <v>-0.101094</v>
      </c>
      <c r="U2885">
        <v>0.20930479999999901</v>
      </c>
      <c r="V2885">
        <v>-5.0120400000000002E-2</v>
      </c>
      <c r="W2885">
        <v>4.1894880000000002E-2</v>
      </c>
      <c r="X2885">
        <v>0.99786409999999903</v>
      </c>
      <c r="Y2885">
        <v>-4.941885E-2</v>
      </c>
      <c r="Z2885">
        <v>1.499107E-4</v>
      </c>
      <c r="AA2885">
        <v>0.998778099999999</v>
      </c>
      <c r="AB2885">
        <v>45</v>
      </c>
      <c r="AC2885">
        <v>32.232300000000002</v>
      </c>
      <c r="AD2885">
        <v>-1.1033911199469999</v>
      </c>
      <c r="AE2885">
        <v>2.2749000000000001</v>
      </c>
      <c r="AF2885">
        <v>-1.6194268351510099</v>
      </c>
      <c r="AG2885">
        <v>-1.1033911199469999</v>
      </c>
      <c r="AH2885">
        <v>32.234191449424401</v>
      </c>
      <c r="AI2885">
        <v>91.958027717380503</v>
      </c>
      <c r="AJ2885">
        <v>92.876088170412402</v>
      </c>
      <c r="AK2885">
        <v>32.293700835242298</v>
      </c>
    </row>
    <row r="2886" spans="1:37" x14ac:dyDescent="0.2">
      <c r="A2886" t="str">
        <f>"20200111153453348"</f>
        <v>20200111153453348</v>
      </c>
      <c r="B2886" t="str">
        <f>"1578728093339220"</f>
        <v>1578728093339220</v>
      </c>
      <c r="C2886" t="s">
        <v>37</v>
      </c>
      <c r="D2886">
        <v>5.068009</v>
      </c>
      <c r="E2886">
        <v>0.50070630000000005</v>
      </c>
      <c r="F2886" t="s">
        <v>52</v>
      </c>
      <c r="G2886">
        <v>-271.02710000000002</v>
      </c>
      <c r="H2886" s="1">
        <v>-1.102606E-6</v>
      </c>
      <c r="I2886">
        <v>217.18729999999999</v>
      </c>
      <c r="J2886">
        <v>-302.78179999999998</v>
      </c>
      <c r="K2886">
        <v>1.103359</v>
      </c>
      <c r="L2886">
        <v>214.9521</v>
      </c>
      <c r="M2886">
        <v>0.99974399999999997</v>
      </c>
      <c r="N2886">
        <v>0</v>
      </c>
      <c r="O2886">
        <v>1.964846E-2</v>
      </c>
      <c r="P2886">
        <v>0.99707659999999998</v>
      </c>
      <c r="Q2886">
        <v>3.0941199999999999E-2</v>
      </c>
      <c r="R2886">
        <v>6.9865990000000003E-2</v>
      </c>
      <c r="S2886">
        <v>2.9972840000000001</v>
      </c>
      <c r="T2886">
        <v>-0.1027</v>
      </c>
      <c r="U2886">
        <v>0.20884699999999901</v>
      </c>
      <c r="V2886">
        <v>-5.019154E-2</v>
      </c>
      <c r="W2886">
        <v>4.2228839999999997E-2</v>
      </c>
      <c r="X2886">
        <v>0.99784640000000002</v>
      </c>
      <c r="Y2886">
        <v>-4.9876990000000003E-2</v>
      </c>
      <c r="Z2886">
        <v>1.8109229999999999E-4</v>
      </c>
      <c r="AA2886">
        <v>0.99875530000000001</v>
      </c>
      <c r="AB2886">
        <v>45</v>
      </c>
      <c r="AC2886">
        <v>31.7546999999999</v>
      </c>
      <c r="AD2886">
        <v>-1.103360102606</v>
      </c>
      <c r="AE2886">
        <v>2.2351999999999901</v>
      </c>
      <c r="AF2886">
        <v>-1.6088653952985199</v>
      </c>
      <c r="AG2886">
        <v>-1.103360102606</v>
      </c>
      <c r="AH2886">
        <v>31.754341700442598</v>
      </c>
      <c r="AI2886">
        <v>91.987494067087198</v>
      </c>
      <c r="AJ2886">
        <v>92.900467639460999</v>
      </c>
      <c r="AK2886">
        <v>31.8142117331968</v>
      </c>
    </row>
    <row r="2887" spans="1:37" x14ac:dyDescent="0.2">
      <c r="A2887" t="str">
        <f>"20200111153453369"</f>
        <v>20200111153453369</v>
      </c>
      <c r="B2887" t="str">
        <f>"1578728093358739"</f>
        <v>1578728093358739</v>
      </c>
      <c r="C2887" t="s">
        <v>37</v>
      </c>
      <c r="D2887">
        <v>5.0633339999999896</v>
      </c>
      <c r="E2887">
        <v>0.50077740000000004</v>
      </c>
      <c r="F2887" t="s">
        <v>52</v>
      </c>
      <c r="G2887">
        <v>-270.82639999999998</v>
      </c>
      <c r="H2887" s="1">
        <v>-1.207665E-6</v>
      </c>
      <c r="I2887">
        <v>217.14789999999999</v>
      </c>
      <c r="J2887">
        <v>-302.34359999999998</v>
      </c>
      <c r="K2887">
        <v>1.1033230000000001</v>
      </c>
      <c r="L2887">
        <v>214.96019999999999</v>
      </c>
      <c r="M2887">
        <v>0.99975599999999998</v>
      </c>
      <c r="N2887">
        <v>0</v>
      </c>
      <c r="O2887">
        <v>1.9017650000000001E-2</v>
      </c>
      <c r="P2887">
        <v>0.99709040000000004</v>
      </c>
      <c r="Q2887">
        <v>3.1374050000000001E-2</v>
      </c>
      <c r="R2887">
        <v>6.9472989999999998E-2</v>
      </c>
      <c r="S2887">
        <v>2.9975589999999999</v>
      </c>
      <c r="T2887">
        <v>-0.1035001</v>
      </c>
      <c r="U2887">
        <v>0.20597840000000001</v>
      </c>
      <c r="V2887">
        <v>-5.0424209999999997E-2</v>
      </c>
      <c r="W2887">
        <v>4.2677140000000002E-2</v>
      </c>
      <c r="X2887">
        <v>0.99781569999999997</v>
      </c>
      <c r="Y2887">
        <v>-4.9549129999999997E-2</v>
      </c>
      <c r="Z2887">
        <v>1.98577599999999E-4</v>
      </c>
      <c r="AA2887">
        <v>0.99877169999999904</v>
      </c>
      <c r="AB2887">
        <v>45</v>
      </c>
      <c r="AC2887">
        <v>31.517199999999999</v>
      </c>
      <c r="AD2887">
        <v>-1.1033242076650001</v>
      </c>
      <c r="AE2887">
        <v>2.1877</v>
      </c>
      <c r="AF2887">
        <v>-1.5859491254139899</v>
      </c>
      <c r="AG2887">
        <v>-1.1033242076650001</v>
      </c>
      <c r="AH2887">
        <v>31.514671038494701</v>
      </c>
      <c r="AI2887">
        <v>92.002566153762899</v>
      </c>
      <c r="AJ2887">
        <v>92.880931206029004</v>
      </c>
      <c r="AK2887">
        <v>31.573834889036799</v>
      </c>
    </row>
    <row r="2888" spans="1:37" x14ac:dyDescent="0.2">
      <c r="A2888" t="str">
        <f>"20200111153453391"</f>
        <v>20200111153453391</v>
      </c>
      <c r="B2888" t="str">
        <f>"1578728093379235"</f>
        <v>1578728093379235</v>
      </c>
      <c r="C2888" t="s">
        <v>37</v>
      </c>
      <c r="D2888">
        <v>5.0446429999999998</v>
      </c>
      <c r="E2888">
        <v>0.50063440000000003</v>
      </c>
      <c r="F2888" t="s">
        <v>52</v>
      </c>
      <c r="G2888">
        <v>-270.08390000000003</v>
      </c>
      <c r="H2888" s="1">
        <v>-1.6031369999999999E-6</v>
      </c>
      <c r="I2888">
        <v>217.1558</v>
      </c>
      <c r="J2888">
        <v>-301.90390000000002</v>
      </c>
      <c r="K2888">
        <v>1.1032869999999999</v>
      </c>
      <c r="L2888">
        <v>214.96809999999999</v>
      </c>
      <c r="M2888">
        <v>0.9997684</v>
      </c>
      <c r="N2888">
        <v>0</v>
      </c>
      <c r="O2888">
        <v>1.8349020000000001E-2</v>
      </c>
      <c r="P2888">
        <v>0.99713529999999995</v>
      </c>
      <c r="Q2888">
        <v>3.1455200000000003E-2</v>
      </c>
      <c r="R2888">
        <v>6.8787829999999994E-2</v>
      </c>
      <c r="S2888">
        <v>2.9977719999999999</v>
      </c>
      <c r="T2888">
        <v>-0.10252799999999999</v>
      </c>
      <c r="U2888">
        <v>0.20402529999999999</v>
      </c>
      <c r="V2888">
        <v>-5.0401639999999998E-2</v>
      </c>
      <c r="W2888">
        <v>4.2772419999999998E-2</v>
      </c>
      <c r="X2888">
        <v>0.9978127</v>
      </c>
      <c r="Y2888">
        <v>-4.9564459999999998E-2</v>
      </c>
      <c r="Z2888">
        <v>2.19791E-4</v>
      </c>
      <c r="AA2888">
        <v>0.99877090000000002</v>
      </c>
      <c r="AB2888">
        <v>45</v>
      </c>
      <c r="AC2888">
        <v>31.82</v>
      </c>
      <c r="AD2888">
        <v>-1.1032886031369999</v>
      </c>
      <c r="AE2888">
        <v>2.1877</v>
      </c>
      <c r="AF2888">
        <v>-1.6015126144813501</v>
      </c>
      <c r="AG2888">
        <v>-1.1032886031369999</v>
      </c>
      <c r="AH2888">
        <v>31.816716670138899</v>
      </c>
      <c r="AI2888">
        <v>91.983505356748907</v>
      </c>
      <c r="AJ2888">
        <v>92.881583783629395</v>
      </c>
      <c r="AK2888">
        <v>31.876096813506599</v>
      </c>
    </row>
    <row r="2889" spans="1:37" x14ac:dyDescent="0.2">
      <c r="A2889" t="str">
        <f>"20200111153453414"</f>
        <v>20200111153453414</v>
      </c>
      <c r="B2889" t="str">
        <f>"1578728093408516"</f>
        <v>1578728093408516</v>
      </c>
      <c r="C2889" t="s">
        <v>37</v>
      </c>
      <c r="D2889">
        <v>4.999949</v>
      </c>
      <c r="E2889">
        <v>0.50039940000000005</v>
      </c>
      <c r="F2889" t="s">
        <v>52</v>
      </c>
      <c r="G2889">
        <v>-269.84769999999997</v>
      </c>
      <c r="H2889" s="1">
        <v>3.59323199999999E-6</v>
      </c>
      <c r="I2889">
        <v>217.1421</v>
      </c>
      <c r="J2889">
        <v>-301.45069999999998</v>
      </c>
      <c r="K2889">
        <v>1.1032469999999901</v>
      </c>
      <c r="L2889">
        <v>214.9759</v>
      </c>
      <c r="M2889">
        <v>0.99978140000000004</v>
      </c>
      <c r="N2889">
        <v>0</v>
      </c>
      <c r="O2889">
        <v>1.7619409999999999E-2</v>
      </c>
      <c r="P2889">
        <v>0.99716099999999996</v>
      </c>
      <c r="Q2889">
        <v>3.1665869999999999E-2</v>
      </c>
      <c r="R2889">
        <v>6.831922E-2</v>
      </c>
      <c r="S2889">
        <v>2.9978639999999999</v>
      </c>
      <c r="T2889">
        <v>-0.1031778</v>
      </c>
      <c r="U2889">
        <v>0.20330809999999999</v>
      </c>
      <c r="V2889">
        <v>-5.0656180000000002E-2</v>
      </c>
      <c r="W2889">
        <v>4.2994900000000003E-2</v>
      </c>
      <c r="X2889">
        <v>0.99779030000000002</v>
      </c>
      <c r="Y2889">
        <v>-5.0052480000000003E-2</v>
      </c>
      <c r="Z2889">
        <v>2.5462959999999899E-4</v>
      </c>
      <c r="AA2889">
        <v>0.99874660000000004</v>
      </c>
      <c r="AB2889">
        <v>45</v>
      </c>
      <c r="AC2889">
        <v>31.603000000000002</v>
      </c>
      <c r="AD2889">
        <v>-1.1032434067679999</v>
      </c>
      <c r="AE2889">
        <v>2.1661999999999999</v>
      </c>
      <c r="AF2889">
        <v>-1.6070528864562501</v>
      </c>
      <c r="AG2889">
        <v>-1.1032434067679999</v>
      </c>
      <c r="AH2889">
        <v>31.597935729520099</v>
      </c>
      <c r="AI2889">
        <v>91.997093357214794</v>
      </c>
      <c r="AJ2889">
        <v>92.911521817178894</v>
      </c>
      <c r="AK2889">
        <v>31.658005422978398</v>
      </c>
    </row>
    <row r="2890" spans="1:37" x14ac:dyDescent="0.2">
      <c r="A2890" t="str">
        <f>"20200111153453436"</f>
        <v>20200111153453436</v>
      </c>
      <c r="B2890" t="str">
        <f>"1578728093429014"</f>
        <v>1578728093429014</v>
      </c>
      <c r="C2890" t="s">
        <v>37</v>
      </c>
      <c r="D2890">
        <v>5.0497680000000003</v>
      </c>
      <c r="E2890">
        <v>0.50023909999999905</v>
      </c>
      <c r="F2890" t="s">
        <v>52</v>
      </c>
      <c r="G2890">
        <v>-269.06310000000002</v>
      </c>
      <c r="H2890" s="1">
        <v>3.1741959999999999E-6</v>
      </c>
      <c r="I2890">
        <v>217.1771</v>
      </c>
      <c r="J2890">
        <v>-300.98930000000001</v>
      </c>
      <c r="K2890">
        <v>1.103202</v>
      </c>
      <c r="L2890">
        <v>214.98339999999999</v>
      </c>
      <c r="M2890">
        <v>0.99979499999999999</v>
      </c>
      <c r="N2890">
        <v>0</v>
      </c>
      <c r="O2890">
        <v>1.683436E-2</v>
      </c>
      <c r="P2890">
        <v>0.99720390000000003</v>
      </c>
      <c r="Q2890">
        <v>3.1697780000000002E-2</v>
      </c>
      <c r="R2890">
        <v>6.7674319999999996E-2</v>
      </c>
      <c r="S2890">
        <v>2.9978639999999999</v>
      </c>
      <c r="T2890">
        <v>-0.1021186</v>
      </c>
      <c r="U2890">
        <v>0.2037506</v>
      </c>
      <c r="V2890">
        <v>-5.0789309999999997E-2</v>
      </c>
      <c r="W2890">
        <v>4.3033490000000001E-2</v>
      </c>
      <c r="X2890">
        <v>0.99778180000000005</v>
      </c>
      <c r="Y2890">
        <v>-5.0982850000000003E-2</v>
      </c>
      <c r="Z2890">
        <v>2.9453360000000002E-4</v>
      </c>
      <c r="AA2890">
        <v>0.99869949999999996</v>
      </c>
      <c r="AB2890">
        <v>45</v>
      </c>
      <c r="AC2890">
        <v>31.926199999999898</v>
      </c>
      <c r="AD2890">
        <v>-1.103198825804</v>
      </c>
      <c r="AE2890">
        <v>2.1937000000000002</v>
      </c>
      <c r="AF2890">
        <v>-1.6539323823926999</v>
      </c>
      <c r="AG2890">
        <v>-1.103198825804</v>
      </c>
      <c r="AH2890">
        <v>31.920672153131299</v>
      </c>
      <c r="AI2890">
        <v>91.976741348478896</v>
      </c>
      <c r="AJ2890">
        <v>92.966061557909995</v>
      </c>
      <c r="AK2890">
        <v>31.9825241449525</v>
      </c>
    </row>
    <row r="2891" spans="1:37" x14ac:dyDescent="0.2">
      <c r="A2891" t="str">
        <f>"20200111153453458"</f>
        <v>20200111153453458</v>
      </c>
      <c r="B2891" t="str">
        <f>"1578728093448531"</f>
        <v>1578728093448531</v>
      </c>
      <c r="C2891" t="s">
        <v>37</v>
      </c>
      <c r="D2891">
        <v>5.0267039999999996</v>
      </c>
      <c r="E2891">
        <v>0.50020140000000002</v>
      </c>
      <c r="F2891" t="s">
        <v>52</v>
      </c>
      <c r="G2891">
        <v>-268.42770000000002</v>
      </c>
      <c r="H2891" s="1">
        <v>2.8354899999999999E-6</v>
      </c>
      <c r="I2891">
        <v>217.19040000000001</v>
      </c>
      <c r="J2891">
        <v>-300.5609</v>
      </c>
      <c r="K2891">
        <v>1.1031530000000001</v>
      </c>
      <c r="L2891">
        <v>214.99010000000001</v>
      </c>
      <c r="M2891">
        <v>0.99980749999999996</v>
      </c>
      <c r="N2891">
        <v>0</v>
      </c>
      <c r="O2891">
        <v>1.6068849999999999E-2</v>
      </c>
      <c r="P2891">
        <v>0.99723980000000001</v>
      </c>
      <c r="Q2891">
        <v>3.2156169999999998E-2</v>
      </c>
      <c r="R2891">
        <v>6.6920789999999994E-2</v>
      </c>
      <c r="S2891">
        <v>2.9978940000000001</v>
      </c>
      <c r="T2891">
        <v>-0.1015697</v>
      </c>
      <c r="U2891">
        <v>0.20318599999999901</v>
      </c>
      <c r="V2891">
        <v>-5.0794470000000001E-2</v>
      </c>
      <c r="W2891">
        <v>4.3497010000000003E-2</v>
      </c>
      <c r="X2891">
        <v>0.99776149999999997</v>
      </c>
      <c r="Y2891">
        <v>-5.1559029999999999E-2</v>
      </c>
      <c r="Z2891">
        <v>3.285866E-4</v>
      </c>
      <c r="AA2891">
        <v>0.9986699</v>
      </c>
      <c r="AB2891">
        <v>45</v>
      </c>
      <c r="AC2891">
        <v>32.133199999999903</v>
      </c>
      <c r="AD2891">
        <v>-1.1031501645099999</v>
      </c>
      <c r="AE2891">
        <v>2.2002999999999902</v>
      </c>
      <c r="AF2891">
        <v>-1.68166684017934</v>
      </c>
      <c r="AG2891">
        <v>-1.1031501645099999</v>
      </c>
      <c r="AH2891">
        <v>32.126721812768103</v>
      </c>
      <c r="AI2891">
        <v>91.963932491280204</v>
      </c>
      <c r="AJ2891">
        <v>92.996401446529703</v>
      </c>
      <c r="AK2891">
        <v>32.189613201804796</v>
      </c>
    </row>
    <row r="2892" spans="1:37" x14ac:dyDescent="0.2">
      <c r="A2892" t="str">
        <f>"20200111153453480"</f>
        <v>20200111153453480</v>
      </c>
      <c r="B2892" t="str">
        <f>"1578728093469028"</f>
        <v>1578728093469028</v>
      </c>
      <c r="C2892" t="s">
        <v>37</v>
      </c>
      <c r="D2892">
        <v>5.0321009999999999</v>
      </c>
      <c r="E2892">
        <v>0.50020779999999998</v>
      </c>
      <c r="F2892" t="s">
        <v>52</v>
      </c>
      <c r="G2892">
        <v>-267.3827</v>
      </c>
      <c r="H2892" s="1">
        <v>2.2781790000000001E-6</v>
      </c>
      <c r="I2892">
        <v>217.21789999999999</v>
      </c>
      <c r="J2892">
        <v>-300.1053</v>
      </c>
      <c r="K2892">
        <v>1.103108</v>
      </c>
      <c r="L2892">
        <v>214.99680000000001</v>
      </c>
      <c r="M2892">
        <v>0.99982079999999995</v>
      </c>
      <c r="N2892">
        <v>0</v>
      </c>
      <c r="O2892">
        <v>1.5220849999999999E-2</v>
      </c>
      <c r="P2892">
        <v>0.99729040000000002</v>
      </c>
      <c r="Q2892">
        <v>3.2384570000000001E-2</v>
      </c>
      <c r="R2892">
        <v>6.6054929999999998E-2</v>
      </c>
      <c r="S2892">
        <v>2.9980470000000001</v>
      </c>
      <c r="T2892">
        <v>-9.9682809999999997E-2</v>
      </c>
      <c r="U2892">
        <v>0.20130919999999999</v>
      </c>
      <c r="V2892">
        <v>-5.0769219999999997E-2</v>
      </c>
      <c r="W2892">
        <v>4.3729490000000003E-2</v>
      </c>
      <c r="X2892">
        <v>0.99775259999999999</v>
      </c>
      <c r="Y2892">
        <v>-5.1780430000000002E-2</v>
      </c>
      <c r="Z2892">
        <v>3.542989E-4</v>
      </c>
      <c r="AA2892">
        <v>0.99865839999999995</v>
      </c>
      <c r="AB2892">
        <v>45</v>
      </c>
      <c r="AC2892">
        <v>32.7226</v>
      </c>
      <c r="AD2892">
        <v>-1.1031057218210001</v>
      </c>
      <c r="AE2892">
        <v>2.2210999999999701</v>
      </c>
      <c r="AF2892">
        <v>-1.7207987456959699</v>
      </c>
      <c r="AG2892">
        <v>-1.1031057218210001</v>
      </c>
      <c r="AH2892">
        <v>32.715609828706597</v>
      </c>
      <c r="AI2892">
        <v>91.928504982129198</v>
      </c>
      <c r="AJ2892">
        <v>93.010909227509998</v>
      </c>
      <c r="AK2892">
        <v>32.779400803261602</v>
      </c>
    </row>
    <row r="2893" spans="1:37" x14ac:dyDescent="0.2">
      <c r="A2893" t="str">
        <f>"20200111153453504"</f>
        <v>20200111153453504</v>
      </c>
      <c r="B2893" t="str">
        <f>"1578728093499285"</f>
        <v>1578728093499285</v>
      </c>
      <c r="C2893" t="s">
        <v>37</v>
      </c>
      <c r="D2893">
        <v>4.9783929999999996</v>
      </c>
      <c r="E2893">
        <v>0.50028629999999996</v>
      </c>
      <c r="F2893" t="s">
        <v>52</v>
      </c>
      <c r="G2893">
        <v>-266.78710000000001</v>
      </c>
      <c r="H2893" s="1">
        <v>1.961745E-6</v>
      </c>
      <c r="I2893">
        <v>217.2063</v>
      </c>
      <c r="J2893">
        <v>-299.63799999999998</v>
      </c>
      <c r="K2893">
        <v>1.1030690000000001</v>
      </c>
      <c r="L2893">
        <v>215.00319999999999</v>
      </c>
      <c r="M2893">
        <v>0.99983429999999995</v>
      </c>
      <c r="N2893">
        <v>0</v>
      </c>
      <c r="O2893">
        <v>1.432166E-2</v>
      </c>
      <c r="P2893">
        <v>0.99736270000000005</v>
      </c>
      <c r="Q2893">
        <v>3.2036309999999998E-2</v>
      </c>
      <c r="R2893">
        <v>6.5128549999999993E-2</v>
      </c>
      <c r="S2893">
        <v>2.9981990000000001</v>
      </c>
      <c r="T2893">
        <v>-9.9264859999999996E-2</v>
      </c>
      <c r="U2893">
        <v>0.198822</v>
      </c>
      <c r="V2893">
        <v>-5.0736679999999999E-2</v>
      </c>
      <c r="W2893">
        <v>4.3386019999999997E-2</v>
      </c>
      <c r="X2893">
        <v>0.99776919999999902</v>
      </c>
      <c r="Y2893">
        <v>-5.1850050000000002E-2</v>
      </c>
      <c r="Z2893">
        <v>3.8367839999999898E-4</v>
      </c>
      <c r="AA2893">
        <v>0.99865479999999995</v>
      </c>
      <c r="AB2893">
        <v>45</v>
      </c>
      <c r="AC2893">
        <v>32.850899999999903</v>
      </c>
      <c r="AD2893">
        <v>-1.1030670382550001</v>
      </c>
      <c r="AE2893">
        <v>2.2031000000000001</v>
      </c>
      <c r="AF2893">
        <v>-1.73042261242017</v>
      </c>
      <c r="AG2893">
        <v>-1.1030670382550001</v>
      </c>
      <c r="AH2893">
        <v>32.842221229409503</v>
      </c>
      <c r="AI2893">
        <v>91.920999491422094</v>
      </c>
      <c r="AJ2893">
        <v>93.016066333639202</v>
      </c>
      <c r="AK2893">
        <v>32.906270140961603</v>
      </c>
    </row>
    <row r="2894" spans="1:37" x14ac:dyDescent="0.2">
      <c r="A2894" t="str">
        <f>"20200111153453526"</f>
        <v>20200111153453526</v>
      </c>
      <c r="B2894" t="str">
        <f>"1578728093518803"</f>
        <v>1578728093518803</v>
      </c>
      <c r="C2894" t="s">
        <v>37</v>
      </c>
      <c r="D2894">
        <v>5.0137700000000001</v>
      </c>
      <c r="E2894">
        <v>0.50025909999999996</v>
      </c>
      <c r="F2894" t="s">
        <v>52</v>
      </c>
      <c r="G2894">
        <v>-266.70280000000002</v>
      </c>
      <c r="H2894" s="1">
        <v>1.9193719999999999E-6</v>
      </c>
      <c r="I2894">
        <v>217.14959999999999</v>
      </c>
      <c r="J2894">
        <v>-299.17439999999999</v>
      </c>
      <c r="K2894">
        <v>1.103032</v>
      </c>
      <c r="L2894">
        <v>215.00919999999999</v>
      </c>
      <c r="M2894">
        <v>0.99984680000000004</v>
      </c>
      <c r="N2894">
        <v>0</v>
      </c>
      <c r="O2894">
        <v>1.3410099999999999E-2</v>
      </c>
      <c r="P2894">
        <v>0.99742240000000004</v>
      </c>
      <c r="Q2894">
        <v>3.1866949999999998E-2</v>
      </c>
      <c r="R2894">
        <v>6.4289390000000002E-2</v>
      </c>
      <c r="S2894">
        <v>2.9984130000000002</v>
      </c>
      <c r="T2894">
        <v>-0.100423</v>
      </c>
      <c r="U2894">
        <v>0.1954041</v>
      </c>
      <c r="V2894">
        <v>-5.0803180000000003E-2</v>
      </c>
      <c r="W2894">
        <v>4.3219750000000001E-2</v>
      </c>
      <c r="X2894">
        <v>0.99777309999999997</v>
      </c>
      <c r="Y2894">
        <v>-5.1621470000000003E-2</v>
      </c>
      <c r="Z2894">
        <v>4.147973E-4</v>
      </c>
      <c r="AA2894">
        <v>0.99866659999999996</v>
      </c>
      <c r="AB2894">
        <v>45</v>
      </c>
      <c r="AC2894">
        <v>32.471599999999903</v>
      </c>
      <c r="AD2894">
        <v>-1.103030080628</v>
      </c>
      <c r="AE2894">
        <v>2.1404000000000001</v>
      </c>
      <c r="AF2894">
        <v>-1.70277622471556</v>
      </c>
      <c r="AG2894">
        <v>-1.103030080628</v>
      </c>
      <c r="AH2894">
        <v>32.460091008076198</v>
      </c>
      <c r="AI2894">
        <v>91.943555342227498</v>
      </c>
      <c r="AJ2894">
        <v>93.002842738305304</v>
      </c>
      <c r="AK2894">
        <v>32.523432021894898</v>
      </c>
    </row>
    <row r="2895" spans="1:37" x14ac:dyDescent="0.2">
      <c r="A2895" t="str">
        <f>"20200111153453548"</f>
        <v>20200111153453548</v>
      </c>
      <c r="B2895" t="str">
        <f>"1578728093539302"</f>
        <v>1578728093539302</v>
      </c>
      <c r="C2895" t="s">
        <v>37</v>
      </c>
      <c r="D2895">
        <v>5.0005069999999998</v>
      </c>
      <c r="E2895">
        <v>0.50023660000000003</v>
      </c>
      <c r="F2895" t="s">
        <v>52</v>
      </c>
      <c r="G2895">
        <v>-266.53140000000002</v>
      </c>
      <c r="H2895" s="1">
        <v>1.829767E-6</v>
      </c>
      <c r="I2895">
        <v>217.11349999999999</v>
      </c>
      <c r="J2895">
        <v>-298.74250000000001</v>
      </c>
      <c r="K2895">
        <v>1.1030059999999999</v>
      </c>
      <c r="L2895">
        <v>215.01429999999999</v>
      </c>
      <c r="M2895">
        <v>0.99985800000000002</v>
      </c>
      <c r="N2895">
        <v>0</v>
      </c>
      <c r="O2895">
        <v>1.2548200000000001E-2</v>
      </c>
      <c r="P2895">
        <v>0.99744699999999997</v>
      </c>
      <c r="Q2895">
        <v>3.2311319999999998E-2</v>
      </c>
      <c r="R2895">
        <v>6.3682429999999998E-2</v>
      </c>
      <c r="S2895">
        <v>2.998535</v>
      </c>
      <c r="T2895">
        <v>-0.1013227</v>
      </c>
      <c r="U2895">
        <v>0.19329830000000001</v>
      </c>
      <c r="V2895">
        <v>-5.1053389999999997E-2</v>
      </c>
      <c r="W2895">
        <v>4.366565E-2</v>
      </c>
      <c r="X2895">
        <v>0.99774089999999904</v>
      </c>
      <c r="Y2895">
        <v>-5.1780369999999999E-2</v>
      </c>
      <c r="Z2895">
        <v>4.5026419999999998E-4</v>
      </c>
      <c r="AA2895">
        <v>0.99865839999999995</v>
      </c>
      <c r="AB2895">
        <v>45</v>
      </c>
      <c r="AC2895">
        <v>32.211099999999902</v>
      </c>
      <c r="AD2895">
        <v>-1.103004170233</v>
      </c>
      <c r="AE2895">
        <v>2.09919999999999</v>
      </c>
      <c r="AF2895">
        <v>-1.69284120816348</v>
      </c>
      <c r="AG2895">
        <v>-1.103004170233</v>
      </c>
      <c r="AH2895">
        <v>32.197312172346599</v>
      </c>
      <c r="AI2895">
        <v>91.959347132206204</v>
      </c>
      <c r="AJ2895">
        <v>93.009674538020704</v>
      </c>
      <c r="AK2895">
        <v>32.260645385347601</v>
      </c>
    </row>
    <row r="2896" spans="1:37" x14ac:dyDescent="0.2">
      <c r="A2896" t="str">
        <f>"20200111153453569"</f>
        <v>20200111153453569</v>
      </c>
      <c r="B2896" t="str">
        <f>"1578728093558819"</f>
        <v>1578728093558819</v>
      </c>
      <c r="C2896" t="s">
        <v>37</v>
      </c>
      <c r="D2896">
        <v>5.0414279999999998</v>
      </c>
      <c r="E2896">
        <v>0.50027159999999904</v>
      </c>
      <c r="F2896" t="s">
        <v>52</v>
      </c>
      <c r="G2896">
        <v>-266.0421</v>
      </c>
      <c r="H2896" s="1">
        <v>1.569868E-6</v>
      </c>
      <c r="I2896">
        <v>217.10169999999999</v>
      </c>
      <c r="J2896">
        <v>-298.30009999999999</v>
      </c>
      <c r="K2896">
        <v>1.1029869999999999</v>
      </c>
      <c r="L2896">
        <v>215.01929999999999</v>
      </c>
      <c r="M2896">
        <v>0.99986889999999995</v>
      </c>
      <c r="N2896">
        <v>0</v>
      </c>
      <c r="O2896">
        <v>1.165747E-2</v>
      </c>
      <c r="P2896">
        <v>0.99747090000000005</v>
      </c>
      <c r="Q2896">
        <v>3.2879140000000001E-2</v>
      </c>
      <c r="R2896">
        <v>6.3015829999999995E-2</v>
      </c>
      <c r="S2896">
        <v>2.9987490000000001</v>
      </c>
      <c r="T2896">
        <v>-0.1011497</v>
      </c>
      <c r="U2896">
        <v>0.19142149999999999</v>
      </c>
      <c r="V2896">
        <v>-5.1271909999999997E-2</v>
      </c>
      <c r="W2896">
        <v>4.422968E-2</v>
      </c>
      <c r="X2896">
        <v>0.99770479999999995</v>
      </c>
      <c r="Y2896">
        <v>-5.2042409999999997E-2</v>
      </c>
      <c r="Z2896">
        <v>4.8388629999999999E-4</v>
      </c>
      <c r="AA2896">
        <v>0.9986448</v>
      </c>
      <c r="AB2896">
        <v>45</v>
      </c>
      <c r="AC2896">
        <v>32.257999999999903</v>
      </c>
      <c r="AD2896">
        <v>-1.1029854301319999</v>
      </c>
      <c r="AE2896">
        <v>2.0823999999999998</v>
      </c>
      <c r="AF2896">
        <v>-1.7042038916592801</v>
      </c>
      <c r="AG2896">
        <v>-1.1029854301319999</v>
      </c>
      <c r="AH2896">
        <v>32.242545368972998</v>
      </c>
      <c r="AI2896">
        <v>91.956538638391706</v>
      </c>
      <c r="AJ2896">
        <v>93.025595882066995</v>
      </c>
      <c r="AK2896">
        <v>32.306386669414302</v>
      </c>
    </row>
    <row r="2897" spans="1:37" x14ac:dyDescent="0.2">
      <c r="A2897" t="str">
        <f>"20200111153453592"</f>
        <v>20200111153453592</v>
      </c>
      <c r="B2897" t="str">
        <f>"1578728093589076"</f>
        <v>1578728093589076</v>
      </c>
      <c r="C2897" t="s">
        <v>37</v>
      </c>
      <c r="D2897">
        <v>5.0046039999999996</v>
      </c>
      <c r="E2897">
        <v>0.50035580000000002</v>
      </c>
      <c r="F2897" t="s">
        <v>52</v>
      </c>
      <c r="G2897">
        <v>-265.28269999999998</v>
      </c>
      <c r="H2897" s="1">
        <v>1.1657760000000001E-6</v>
      </c>
      <c r="I2897">
        <v>217.101</v>
      </c>
      <c r="J2897">
        <v>-297.85219999999998</v>
      </c>
      <c r="K2897">
        <v>1.1029659999999999</v>
      </c>
      <c r="L2897">
        <v>215.02379999999999</v>
      </c>
      <c r="M2897">
        <v>0.99987909999999902</v>
      </c>
      <c r="N2897">
        <v>0</v>
      </c>
      <c r="O2897">
        <v>1.075102E-2</v>
      </c>
      <c r="P2897">
        <v>0.99749519999999903</v>
      </c>
      <c r="Q2897">
        <v>3.3496100000000001E-2</v>
      </c>
      <c r="R2897">
        <v>6.2302650000000001E-2</v>
      </c>
      <c r="S2897">
        <v>2.9989619999999899</v>
      </c>
      <c r="T2897">
        <v>-0.1001838</v>
      </c>
      <c r="U2897">
        <v>0.1890869</v>
      </c>
      <c r="V2897">
        <v>-5.1459860000000003E-2</v>
      </c>
      <c r="W2897">
        <v>4.4841810000000003E-2</v>
      </c>
      <c r="X2897">
        <v>0.99766779999999999</v>
      </c>
      <c r="Y2897">
        <v>-5.216879E-2</v>
      </c>
      <c r="Z2897">
        <v>5.1159199999999995E-4</v>
      </c>
      <c r="AA2897">
        <v>0.99863819999999903</v>
      </c>
      <c r="AB2897">
        <v>45</v>
      </c>
      <c r="AC2897">
        <v>32.569499999999998</v>
      </c>
      <c r="AD2897">
        <v>-1.1029648342239999</v>
      </c>
      <c r="AE2897">
        <v>2.0771999999999999</v>
      </c>
      <c r="AF2897">
        <v>-1.7249322926666399</v>
      </c>
      <c r="AG2897">
        <v>-1.1029648342239999</v>
      </c>
      <c r="AH2897">
        <v>32.5527694369325</v>
      </c>
      <c r="AI2897">
        <v>91.937857584567595</v>
      </c>
      <c r="AJ2897">
        <v>93.0331980216299</v>
      </c>
      <c r="AK2897">
        <v>32.617092464747699</v>
      </c>
    </row>
    <row r="2898" spans="1:37" x14ac:dyDescent="0.2">
      <c r="A2898" t="str">
        <f>"20200111153453614"</f>
        <v>20200111153453614</v>
      </c>
      <c r="B2898" t="str">
        <f>"1578728093608595"</f>
        <v>1578728093608595</v>
      </c>
      <c r="C2898" t="s">
        <v>37</v>
      </c>
      <c r="D2898">
        <v>5.067374</v>
      </c>
      <c r="E2898">
        <v>0.50039630000000002</v>
      </c>
      <c r="F2898" t="s">
        <v>52</v>
      </c>
      <c r="G2898">
        <v>-264.49549999999999</v>
      </c>
      <c r="H2898" s="1">
        <v>7.4706530000000003E-7</v>
      </c>
      <c r="I2898">
        <v>217.09649999999999</v>
      </c>
      <c r="J2898">
        <v>-297.39179999999999</v>
      </c>
      <c r="K2898">
        <v>1.1029500000000001</v>
      </c>
      <c r="L2898">
        <v>215.02809999999999</v>
      </c>
      <c r="M2898">
        <v>0.99988869999999896</v>
      </c>
      <c r="N2898">
        <v>0</v>
      </c>
      <c r="O2898">
        <v>9.817292E-3</v>
      </c>
      <c r="P2898">
        <v>0.99755309999999897</v>
      </c>
      <c r="Q2898">
        <v>3.3454539999999998E-2</v>
      </c>
      <c r="R2898">
        <v>6.1387539999999997E-2</v>
      </c>
      <c r="S2898">
        <v>2.9992369999999999</v>
      </c>
      <c r="T2898">
        <v>-9.9171999999999996E-2</v>
      </c>
      <c r="U2898">
        <v>0.18635560000000001</v>
      </c>
      <c r="V2898">
        <v>-5.1474239999999997E-2</v>
      </c>
      <c r="W2898">
        <v>4.4794180000000003E-2</v>
      </c>
      <c r="X2898">
        <v>0.99766919999999903</v>
      </c>
      <c r="Y2898">
        <v>-5.2189680000000002E-2</v>
      </c>
      <c r="Z2898">
        <v>5.3757239999999997E-4</v>
      </c>
      <c r="AA2898">
        <v>0.998637</v>
      </c>
      <c r="AB2898">
        <v>45</v>
      </c>
      <c r="AC2898">
        <v>32.896299999999997</v>
      </c>
      <c r="AD2898">
        <v>-1.1029492529347</v>
      </c>
      <c r="AE2898">
        <v>2.0683999999999898</v>
      </c>
      <c r="AF2898">
        <v>-1.7433752802479401</v>
      </c>
      <c r="AG2898">
        <v>-1.1029492529347</v>
      </c>
      <c r="AH2898">
        <v>32.878207996061299</v>
      </c>
      <c r="AI2898">
        <v>91.918659707651699</v>
      </c>
      <c r="AJ2898">
        <v>93.035280561554401</v>
      </c>
      <c r="AK2898">
        <v>32.942865926549203</v>
      </c>
    </row>
    <row r="2899" spans="1:37" x14ac:dyDescent="0.2">
      <c r="A2899" t="str">
        <f>"20200111153453636"</f>
        <v>20200111153453636</v>
      </c>
      <c r="B2899" t="str">
        <f>"1578728093629091"</f>
        <v>1578728093629091</v>
      </c>
      <c r="C2899" t="s">
        <v>37</v>
      </c>
      <c r="D2899">
        <v>5.0002649999999997</v>
      </c>
      <c r="E2899">
        <v>0.50037339999999997</v>
      </c>
      <c r="F2899" t="s">
        <v>52</v>
      </c>
      <c r="G2899">
        <v>-264.01350000000002</v>
      </c>
      <c r="H2899" s="1">
        <v>4.9180730000000001E-7</v>
      </c>
      <c r="I2899">
        <v>217.06899999999999</v>
      </c>
      <c r="J2899">
        <v>-296.93450000000001</v>
      </c>
      <c r="K2899">
        <v>1.10293</v>
      </c>
      <c r="L2899">
        <v>215.03200000000001</v>
      </c>
      <c r="M2899">
        <v>0.99989760000000005</v>
      </c>
      <c r="N2899">
        <v>0</v>
      </c>
      <c r="O2899">
        <v>8.8889030000000001E-3</v>
      </c>
      <c r="P2899">
        <v>0.99761569999999899</v>
      </c>
      <c r="Q2899">
        <v>3.3692689999999997E-2</v>
      </c>
      <c r="R2899">
        <v>6.0232630000000002E-2</v>
      </c>
      <c r="S2899">
        <v>2.9994200000000002</v>
      </c>
      <c r="T2899">
        <v>-9.9112510000000001E-2</v>
      </c>
      <c r="U2899">
        <v>0.18339539999999999</v>
      </c>
      <c r="V2899">
        <v>-5.1243450000000003E-2</v>
      </c>
      <c r="W2899">
        <v>4.5026629999999998E-2</v>
      </c>
      <c r="X2899">
        <v>0.99767070000000002</v>
      </c>
      <c r="Y2899">
        <v>-5.2130830000000003E-2</v>
      </c>
      <c r="Z2899">
        <v>5.6689930000000004E-4</v>
      </c>
      <c r="AA2899">
        <v>0.99864010000000003</v>
      </c>
      <c r="AB2899">
        <v>45</v>
      </c>
      <c r="AC2899">
        <v>32.9209999999999</v>
      </c>
      <c r="AD2899">
        <v>-1.1029295081927</v>
      </c>
      <c r="AE2899">
        <v>2.0369999999999999</v>
      </c>
      <c r="AF2899">
        <v>-1.7423214022333999</v>
      </c>
      <c r="AG2899">
        <v>-1.1029295081927</v>
      </c>
      <c r="AH2899">
        <v>32.901019642157301</v>
      </c>
      <c r="AI2899">
        <v>91.917303081181203</v>
      </c>
      <c r="AJ2899">
        <v>93.031349856426104</v>
      </c>
      <c r="AK2899">
        <v>32.965576452753602</v>
      </c>
    </row>
    <row r="2900" spans="1:37" x14ac:dyDescent="0.2">
      <c r="A2900" t="str">
        <f>"20200111153453658"</f>
        <v>20200111153453658</v>
      </c>
      <c r="B2900" t="str">
        <f>"1578728093648611"</f>
        <v>1578728093648611</v>
      </c>
      <c r="C2900" t="s">
        <v>37</v>
      </c>
      <c r="D2900">
        <v>5.0508730000000002</v>
      </c>
      <c r="E2900">
        <v>0.50033430000000001</v>
      </c>
      <c r="F2900" t="s">
        <v>52</v>
      </c>
      <c r="G2900">
        <v>-263.69420000000002</v>
      </c>
      <c r="H2900" s="1">
        <v>3.235718E-7</v>
      </c>
      <c r="I2900">
        <v>217.0308</v>
      </c>
      <c r="J2900">
        <v>-296.50080000000003</v>
      </c>
      <c r="K2900">
        <v>1.1029149999999901</v>
      </c>
      <c r="L2900">
        <v>215.0352</v>
      </c>
      <c r="M2900">
        <v>0.99990499999999904</v>
      </c>
      <c r="N2900">
        <v>0</v>
      </c>
      <c r="O2900">
        <v>8.0086489999999996E-3</v>
      </c>
      <c r="P2900">
        <v>0.99767850000000002</v>
      </c>
      <c r="Q2900">
        <v>3.393376E-2</v>
      </c>
      <c r="R2900">
        <v>5.9043890000000002E-2</v>
      </c>
      <c r="S2900">
        <v>2.9996339999999999</v>
      </c>
      <c r="T2900">
        <v>-9.9529619999999999E-2</v>
      </c>
      <c r="U2900">
        <v>0.18037410000000001</v>
      </c>
      <c r="V2900">
        <v>-5.0931299999999999E-2</v>
      </c>
      <c r="W2900">
        <v>4.5262910000000003E-2</v>
      </c>
      <c r="X2900">
        <v>0.99767600000000001</v>
      </c>
      <c r="Y2900">
        <v>-5.2002880000000001E-2</v>
      </c>
      <c r="Z2900">
        <v>5.9631050000000002E-4</v>
      </c>
      <c r="AA2900">
        <v>0.998646699999999</v>
      </c>
      <c r="AB2900">
        <v>45</v>
      </c>
      <c r="AC2900">
        <v>32.806600000000003</v>
      </c>
      <c r="AD2900">
        <v>-1.1029146764281901</v>
      </c>
      <c r="AE2900">
        <v>1.99559999999999</v>
      </c>
      <c r="AF2900">
        <v>-1.7308339105061299</v>
      </c>
      <c r="AG2900">
        <v>-1.1029146764281901</v>
      </c>
      <c r="AH2900">
        <v>32.784613745099598</v>
      </c>
      <c r="AI2900">
        <v>91.924096203853395</v>
      </c>
      <c r="AJ2900">
        <v>93.022073008561605</v>
      </c>
      <c r="AK2900">
        <v>32.848791533701998</v>
      </c>
    </row>
    <row r="2901" spans="1:37" x14ac:dyDescent="0.2">
      <c r="A2901" t="str">
        <f>"20200111153453681"</f>
        <v>20200111153453681</v>
      </c>
      <c r="B2901" t="str">
        <f>"1578728093669108"</f>
        <v>1578728093669108</v>
      </c>
      <c r="C2901" t="s">
        <v>37</v>
      </c>
      <c r="D2901">
        <v>5.0692259999999996</v>
      </c>
      <c r="E2901">
        <v>0.50029319999999999</v>
      </c>
      <c r="F2901" t="s">
        <v>52</v>
      </c>
      <c r="G2901">
        <v>-263.33839999999998</v>
      </c>
      <c r="H2901" s="1">
        <v>1.3583620000000001E-7</v>
      </c>
      <c r="I2901">
        <v>216.99369999999999</v>
      </c>
      <c r="J2901">
        <v>-296.03980000000001</v>
      </c>
      <c r="K2901">
        <v>1.1028990000000001</v>
      </c>
      <c r="L2901">
        <v>215.03829999999999</v>
      </c>
      <c r="M2901">
        <v>0.99991219999999903</v>
      </c>
      <c r="N2901">
        <v>0</v>
      </c>
      <c r="O2901">
        <v>7.0737500000000002E-3</v>
      </c>
      <c r="P2901">
        <v>0.99774409999999902</v>
      </c>
      <c r="Q2901">
        <v>3.3642610000000003E-2</v>
      </c>
      <c r="R2901">
        <v>5.809578E-2</v>
      </c>
      <c r="S2901">
        <v>2.999908</v>
      </c>
      <c r="T2901">
        <v>-9.9771020000000002E-2</v>
      </c>
      <c r="U2901">
        <v>0.17716979999999999</v>
      </c>
      <c r="V2901">
        <v>-5.0915330000000002E-2</v>
      </c>
      <c r="W2901">
        <v>4.4967569999999998E-2</v>
      </c>
      <c r="X2901">
        <v>0.99769010000000002</v>
      </c>
      <c r="Y2901">
        <v>-5.186764E-2</v>
      </c>
      <c r="Z2901">
        <v>6.2652910000000005E-4</v>
      </c>
      <c r="AA2901">
        <v>0.99865380000000004</v>
      </c>
      <c r="AB2901">
        <v>45</v>
      </c>
      <c r="AC2901">
        <v>32.7014</v>
      </c>
      <c r="AD2901">
        <v>-1.1028988641638</v>
      </c>
      <c r="AE2901">
        <v>1.95539999999999</v>
      </c>
      <c r="AF2901">
        <v>-1.7220632090127701</v>
      </c>
      <c r="AG2901">
        <v>-1.1028988641638</v>
      </c>
      <c r="AH2901">
        <v>32.677377608682697</v>
      </c>
      <c r="AI2901">
        <v>91.930387668627603</v>
      </c>
      <c r="AJ2901">
        <v>93.016636415253402</v>
      </c>
      <c r="AK2901">
        <v>32.741302585279698</v>
      </c>
    </row>
    <row r="2902" spans="1:37" x14ac:dyDescent="0.2">
      <c r="A2902" t="str">
        <f>"20200111153453703"</f>
        <v>20200111153453703</v>
      </c>
      <c r="B2902" t="str">
        <f>"1578728093699364"</f>
        <v>1578728093699364</v>
      </c>
      <c r="C2902" t="s">
        <v>37</v>
      </c>
      <c r="D2902">
        <v>5.0591080000000002</v>
      </c>
      <c r="E2902">
        <v>0.50017009999999995</v>
      </c>
      <c r="F2902" t="s">
        <v>52</v>
      </c>
      <c r="G2902">
        <v>-263.46269999999998</v>
      </c>
      <c r="H2902" s="1">
        <v>2.0453229999999899E-7</v>
      </c>
      <c r="I2902">
        <v>216.93510000000001</v>
      </c>
      <c r="J2902">
        <v>-295.58850000000001</v>
      </c>
      <c r="K2902">
        <v>1.1028910000000001</v>
      </c>
      <c r="L2902">
        <v>215.04079999999999</v>
      </c>
      <c r="M2902">
        <v>0.99991830000000004</v>
      </c>
      <c r="N2902">
        <v>0</v>
      </c>
      <c r="O2902">
        <v>6.158073E-3</v>
      </c>
      <c r="P2902">
        <v>0.99780419999999903</v>
      </c>
      <c r="Q2902">
        <v>3.352815E-2</v>
      </c>
      <c r="R2902">
        <v>5.7119499999999997E-2</v>
      </c>
      <c r="S2902">
        <v>3.0000309999999999</v>
      </c>
      <c r="T2902">
        <v>-0.10156610000000001</v>
      </c>
      <c r="U2902">
        <v>0.17468259999999999</v>
      </c>
      <c r="V2902">
        <v>-5.0851849999999997E-2</v>
      </c>
      <c r="W2902">
        <v>4.484991E-2</v>
      </c>
      <c r="X2902">
        <v>0.99769869999999905</v>
      </c>
      <c r="Y2902">
        <v>-5.1953199999999901E-2</v>
      </c>
      <c r="Z2902">
        <v>6.7019439999999996E-4</v>
      </c>
      <c r="AA2902">
        <v>0.99864929999999996</v>
      </c>
      <c r="AB2902">
        <v>45</v>
      </c>
      <c r="AC2902">
        <v>32.125799999999998</v>
      </c>
      <c r="AD2902">
        <v>-1.1028907954677001</v>
      </c>
      <c r="AE2902">
        <v>1.8943000000000101</v>
      </c>
      <c r="AF2902">
        <v>-1.69442855215834</v>
      </c>
      <c r="AG2902">
        <v>-1.1028907954677001</v>
      </c>
      <c r="AH2902">
        <v>32.099156576726301</v>
      </c>
      <c r="AI2902">
        <v>91.965110363345104</v>
      </c>
      <c r="AJ2902">
        <v>93.021686268309907</v>
      </c>
      <c r="AK2902">
        <v>32.162762772533902</v>
      </c>
    </row>
    <row r="2903" spans="1:37" x14ac:dyDescent="0.2">
      <c r="A2903" t="str">
        <f>"20200111153453725"</f>
        <v>20200111153453725</v>
      </c>
      <c r="B2903" t="str">
        <f>"1578728093718886"</f>
        <v>1578728093718886</v>
      </c>
      <c r="C2903" t="s">
        <v>37</v>
      </c>
      <c r="D2903">
        <v>5.0567779999999898</v>
      </c>
      <c r="E2903">
        <v>0.500042599999999</v>
      </c>
      <c r="F2903" t="s">
        <v>52</v>
      </c>
      <c r="G2903">
        <v>-263.49459999999999</v>
      </c>
      <c r="H2903" s="1">
        <v>2.2356430000000001E-7</v>
      </c>
      <c r="I2903">
        <v>216.88800000000001</v>
      </c>
      <c r="J2903">
        <v>-295.12259999999998</v>
      </c>
      <c r="K2903">
        <v>1.1028799999999901</v>
      </c>
      <c r="L2903">
        <v>215.04300000000001</v>
      </c>
      <c r="M2903">
        <v>0.99992369999999997</v>
      </c>
      <c r="N2903">
        <v>0</v>
      </c>
      <c r="O2903">
        <v>5.2126129999999996E-3</v>
      </c>
      <c r="P2903">
        <v>0.99787029999999999</v>
      </c>
      <c r="Q2903">
        <v>3.3252160000000003E-2</v>
      </c>
      <c r="R2903">
        <v>5.6115400000000003E-2</v>
      </c>
      <c r="S2903">
        <v>3.0001829999999998</v>
      </c>
      <c r="T2903">
        <v>-0.10309980000000001</v>
      </c>
      <c r="U2903">
        <v>0.1726837</v>
      </c>
      <c r="V2903">
        <v>-5.079111E-2</v>
      </c>
      <c r="W2903">
        <v>4.4570289999999999E-2</v>
      </c>
      <c r="X2903">
        <v>0.99771430000000005</v>
      </c>
      <c r="Y2903">
        <v>-5.2229860000000003E-2</v>
      </c>
      <c r="Z2903">
        <v>7.1748859999999995E-4</v>
      </c>
      <c r="AA2903">
        <v>0.99863480000000004</v>
      </c>
      <c r="AB2903">
        <v>45</v>
      </c>
      <c r="AC2903">
        <v>31.627999999999901</v>
      </c>
      <c r="AD2903">
        <v>-1.1028797764356999</v>
      </c>
      <c r="AE2903">
        <v>1.84499999999999</v>
      </c>
      <c r="AF2903">
        <v>-1.6780665554165199</v>
      </c>
      <c r="AG2903">
        <v>-1.1028797764356999</v>
      </c>
      <c r="AH2903">
        <v>31.598896007017998</v>
      </c>
      <c r="AI2903">
        <v>91.996142793067307</v>
      </c>
      <c r="AJ2903">
        <v>93.0398499149521</v>
      </c>
      <c r="AK2903">
        <v>31.6626353929678</v>
      </c>
    </row>
    <row r="2904" spans="1:37" x14ac:dyDescent="0.2">
      <c r="A2904" t="str">
        <f>"20200111153453748"</f>
        <v>20200111153453748</v>
      </c>
      <c r="B2904" t="str">
        <f>"1578728093738403"</f>
        <v>1578728093738403</v>
      </c>
      <c r="C2904" t="s">
        <v>37</v>
      </c>
      <c r="D2904">
        <v>5.0705660000000004</v>
      </c>
      <c r="E2904">
        <v>0.49996199999999902</v>
      </c>
      <c r="F2904" t="s">
        <v>52</v>
      </c>
      <c r="G2904">
        <v>-263.6146</v>
      </c>
      <c r="H2904" s="1">
        <v>2.8976849999999999E-7</v>
      </c>
      <c r="I2904">
        <v>216.83420000000001</v>
      </c>
      <c r="J2904">
        <v>-294.67610000000002</v>
      </c>
      <c r="K2904">
        <v>1.1028719999999901</v>
      </c>
      <c r="L2904">
        <v>215.0446</v>
      </c>
      <c r="M2904">
        <v>0.99992819999999905</v>
      </c>
      <c r="N2904">
        <v>0</v>
      </c>
      <c r="O2904">
        <v>4.3060360000000001E-3</v>
      </c>
      <c r="P2904">
        <v>0.99794289999999997</v>
      </c>
      <c r="Q2904">
        <v>3.2766950000000003E-2</v>
      </c>
      <c r="R2904">
        <v>5.5103119999999998E-2</v>
      </c>
      <c r="S2904">
        <v>3.0002749999999998</v>
      </c>
      <c r="T2904">
        <v>-0.105019</v>
      </c>
      <c r="U2904">
        <v>0.17056270000000001</v>
      </c>
      <c r="V2904">
        <v>-5.0684220000000002E-2</v>
      </c>
      <c r="W2904">
        <v>4.4082959999999997E-2</v>
      </c>
      <c r="X2904">
        <v>0.99774130000000005</v>
      </c>
      <c r="Y2904">
        <v>-5.242815E-2</v>
      </c>
      <c r="Z2904">
        <v>7.6599280000000001E-4</v>
      </c>
      <c r="AA2904">
        <v>0.99862439999999997</v>
      </c>
      <c r="AB2904">
        <v>45</v>
      </c>
      <c r="AC2904">
        <v>31.061499999999999</v>
      </c>
      <c r="AD2904">
        <v>-1.10287171023149</v>
      </c>
      <c r="AE2904">
        <v>1.7896000000000001</v>
      </c>
      <c r="AF2904">
        <v>-1.65374515834224</v>
      </c>
      <c r="AG2904">
        <v>-1.10287171023149</v>
      </c>
      <c r="AH2904">
        <v>31.029929143496101</v>
      </c>
      <c r="AI2904">
        <v>92.032678453902506</v>
      </c>
      <c r="AJ2904">
        <v>93.050701763790201</v>
      </c>
      <c r="AK2904">
        <v>31.0935315091155</v>
      </c>
    </row>
    <row r="2905" spans="1:37" x14ac:dyDescent="0.2">
      <c r="A2905" t="str">
        <f>"20200111153453770"</f>
        <v>20200111153453770</v>
      </c>
      <c r="B2905" t="str">
        <f>"1578728093758899"</f>
        <v>1578728093758899</v>
      </c>
      <c r="C2905" t="s">
        <v>37</v>
      </c>
      <c r="D2905">
        <v>5.1019839999999999</v>
      </c>
      <c r="E2905">
        <v>0.49997009999999997</v>
      </c>
      <c r="F2905" t="s">
        <v>52</v>
      </c>
      <c r="G2905">
        <v>-263.89690000000002</v>
      </c>
      <c r="H2905" s="1">
        <v>4.4283929999999901E-7</v>
      </c>
      <c r="I2905">
        <v>216.76910000000001</v>
      </c>
      <c r="J2905">
        <v>-294.22000000000003</v>
      </c>
      <c r="K2905">
        <v>1.1028629999999999</v>
      </c>
      <c r="L2905">
        <v>215.04589999999999</v>
      </c>
      <c r="M2905">
        <v>0.99993159999999903</v>
      </c>
      <c r="N2905">
        <v>0</v>
      </c>
      <c r="O2905">
        <v>3.3807640000000001E-3</v>
      </c>
      <c r="P2905">
        <v>0.99798519999999902</v>
      </c>
      <c r="Q2905">
        <v>3.2376509999999997E-2</v>
      </c>
      <c r="R2905">
        <v>5.4564979999999999E-2</v>
      </c>
      <c r="S2905">
        <v>3.0004270000000002</v>
      </c>
      <c r="T2905">
        <v>-0.10751040000000001</v>
      </c>
      <c r="U2905">
        <v>0.16810610000000001</v>
      </c>
      <c r="V2905">
        <v>-5.1069980000000001E-2</v>
      </c>
      <c r="W2905">
        <v>4.3691859999999999E-2</v>
      </c>
      <c r="X2905">
        <v>0.99773889999999998</v>
      </c>
      <c r="Y2905">
        <v>-5.2532219999999998E-2</v>
      </c>
      <c r="Z2905">
        <v>8.1911149999999895E-4</v>
      </c>
      <c r="AA2905">
        <v>0.99861889999999998</v>
      </c>
      <c r="AB2905">
        <v>45</v>
      </c>
      <c r="AC2905">
        <v>30.3231</v>
      </c>
      <c r="AD2905">
        <v>-1.1028625571607</v>
      </c>
      <c r="AE2905">
        <v>1.7232000000000101</v>
      </c>
      <c r="AF2905">
        <v>-1.6185343673853501</v>
      </c>
      <c r="AG2905">
        <v>-1.1028625571607</v>
      </c>
      <c r="AH2905">
        <v>30.2888155848499</v>
      </c>
      <c r="AI2905">
        <v>92.082338287005996</v>
      </c>
      <c r="AJ2905">
        <v>93.058788187151407</v>
      </c>
      <c r="AK2905">
        <v>30.352072562700599</v>
      </c>
    </row>
    <row r="2906" spans="1:37" x14ac:dyDescent="0.2">
      <c r="A2906" t="str">
        <f>"20200111153453793"</f>
        <v>20200111153453793</v>
      </c>
      <c r="B2906" t="str">
        <f>"1578728093789155"</f>
        <v>1578728093789155</v>
      </c>
      <c r="C2906" t="s">
        <v>37</v>
      </c>
      <c r="D2906">
        <v>5.0999939999999997</v>
      </c>
      <c r="E2906">
        <v>0.49989600000000001</v>
      </c>
      <c r="F2906" t="s">
        <v>52</v>
      </c>
      <c r="G2906">
        <v>-263.79820000000001</v>
      </c>
      <c r="H2906" s="1">
        <v>3.9185849999999997E-7</v>
      </c>
      <c r="I2906">
        <v>216.73410000000001</v>
      </c>
      <c r="J2906">
        <v>-293.77179999999998</v>
      </c>
      <c r="K2906">
        <v>1.10286</v>
      </c>
      <c r="L2906">
        <v>215.04679999999999</v>
      </c>
      <c r="M2906">
        <v>0.9999344</v>
      </c>
      <c r="N2906">
        <v>0</v>
      </c>
      <c r="O2906">
        <v>2.4746019999999998E-3</v>
      </c>
      <c r="P2906">
        <v>0.9979981</v>
      </c>
      <c r="Q2906">
        <v>3.2687929999999997E-2</v>
      </c>
      <c r="R2906">
        <v>5.4141380000000003E-2</v>
      </c>
      <c r="S2906">
        <v>3.0004879999999998</v>
      </c>
      <c r="T2906">
        <v>-0.1087748</v>
      </c>
      <c r="U2906">
        <v>0.16650390000000001</v>
      </c>
      <c r="V2906">
        <v>-5.1550270000000002E-2</v>
      </c>
      <c r="W2906">
        <v>4.400246E-2</v>
      </c>
      <c r="X2906">
        <v>0.99770049999999899</v>
      </c>
      <c r="Y2906">
        <v>-5.2902879999999999E-2</v>
      </c>
      <c r="Z2906">
        <v>8.6826030000000003E-4</v>
      </c>
      <c r="AA2906">
        <v>0.99859929999999997</v>
      </c>
      <c r="AB2906">
        <v>45</v>
      </c>
      <c r="AC2906">
        <v>29.973599999999902</v>
      </c>
      <c r="AD2906">
        <v>-1.1028596081415001</v>
      </c>
      <c r="AE2906">
        <v>1.68730000000002</v>
      </c>
      <c r="AF2906">
        <v>-1.6109434169596399</v>
      </c>
      <c r="AG2906">
        <v>-1.1028596081415001</v>
      </c>
      <c r="AH2906">
        <v>29.937282048420499</v>
      </c>
      <c r="AI2906">
        <v>92.106720180489006</v>
      </c>
      <c r="AJ2906">
        <v>93.080150211524995</v>
      </c>
      <c r="AK2906">
        <v>30.000871561582901</v>
      </c>
    </row>
    <row r="2907" spans="1:37" x14ac:dyDescent="0.2">
      <c r="A2907" t="str">
        <f>"20200111153453816"</f>
        <v>20200111153453816</v>
      </c>
      <c r="B2907" t="str">
        <f>"1578728093808678"</f>
        <v>1578728093808678</v>
      </c>
      <c r="C2907" t="s">
        <v>37</v>
      </c>
      <c r="D2907">
        <v>5.0468929999999999</v>
      </c>
      <c r="E2907">
        <v>0.49981690000000001</v>
      </c>
      <c r="F2907" t="s">
        <v>52</v>
      </c>
      <c r="G2907">
        <v>-263.20519999999999</v>
      </c>
      <c r="H2907" s="1">
        <v>7.6297229999999999E-8</v>
      </c>
      <c r="I2907">
        <v>216.73410000000001</v>
      </c>
      <c r="J2907">
        <v>-293.29880000000003</v>
      </c>
      <c r="K2907">
        <v>1.1028610000000001</v>
      </c>
      <c r="L2907">
        <v>215.04730000000001</v>
      </c>
      <c r="M2907">
        <v>0.9999363</v>
      </c>
      <c r="N2907">
        <v>0</v>
      </c>
      <c r="O2907">
        <v>1.524613E-3</v>
      </c>
      <c r="P2907">
        <v>0.99800299999999997</v>
      </c>
      <c r="Q2907">
        <v>3.3412900000000002E-2</v>
      </c>
      <c r="R2907">
        <v>5.3606269999999998E-2</v>
      </c>
      <c r="S2907">
        <v>3.0005799999999998</v>
      </c>
      <c r="T2907">
        <v>-0.10826279999999899</v>
      </c>
      <c r="U2907">
        <v>0.16563420000000001</v>
      </c>
      <c r="V2907">
        <v>-5.1961060000000003E-2</v>
      </c>
      <c r="W2907">
        <v>4.4726059999999998E-2</v>
      </c>
      <c r="X2907">
        <v>0.99764699999999995</v>
      </c>
      <c r="Y2907">
        <v>-5.35606E-2</v>
      </c>
      <c r="Z2907">
        <v>9.1024940000000005E-4</v>
      </c>
      <c r="AA2907">
        <v>0.99856420000000001</v>
      </c>
      <c r="AB2907">
        <v>45</v>
      </c>
      <c r="AC2907">
        <v>30.093599999999999</v>
      </c>
      <c r="AD2907">
        <v>-1.10286092370277</v>
      </c>
      <c r="AE2907">
        <v>1.6868000000000001</v>
      </c>
      <c r="AF2907">
        <v>-1.6387200809426199</v>
      </c>
      <c r="AG2907">
        <v>-1.10286092370277</v>
      </c>
      <c r="AH2907">
        <v>30.055896657442201</v>
      </c>
      <c r="AI2907">
        <v>92.098335430573499</v>
      </c>
      <c r="AJ2907">
        <v>93.120814326941897</v>
      </c>
      <c r="AK2907">
        <v>30.120734214217901</v>
      </c>
    </row>
    <row r="2908" spans="1:37" x14ac:dyDescent="0.2">
      <c r="A2908" t="str">
        <f>"20200111153453849"</f>
        <v>20200111153453849</v>
      </c>
      <c r="B2908" t="str">
        <f>"1578728093839114"</f>
        <v>1578728093839114</v>
      </c>
      <c r="C2908" t="s">
        <v>37</v>
      </c>
      <c r="D2908">
        <v>5.1006419999999997</v>
      </c>
      <c r="E2908">
        <v>0.49972420000000001</v>
      </c>
      <c r="F2908" t="s">
        <v>52</v>
      </c>
      <c r="G2908">
        <v>-262.10610000000003</v>
      </c>
      <c r="H2908" s="1">
        <v>-5.0977779999999896E-7</v>
      </c>
      <c r="I2908">
        <v>216.76130000000001</v>
      </c>
      <c r="J2908">
        <v>-292.61579999999998</v>
      </c>
      <c r="K2908">
        <v>1.1028770000000001</v>
      </c>
      <c r="L2908">
        <v>215.0472</v>
      </c>
      <c r="M2908">
        <v>0.99993739999999998</v>
      </c>
      <c r="N2908">
        <v>0</v>
      </c>
      <c r="O2908">
        <v>1.6959399999999999E-4</v>
      </c>
      <c r="P2908">
        <v>0.99804619999999999</v>
      </c>
      <c r="Q2908">
        <v>3.366475E-2</v>
      </c>
      <c r="R2908">
        <v>5.2636799999999997E-2</v>
      </c>
      <c r="S2908">
        <v>3.000702</v>
      </c>
      <c r="T2908">
        <v>-0.10609389999999901</v>
      </c>
      <c r="U2908">
        <v>0.16488649999999999</v>
      </c>
      <c r="V2908">
        <v>-5.2344839999999997E-2</v>
      </c>
      <c r="W2908">
        <v>4.4976620000000002E-2</v>
      </c>
      <c r="X2908">
        <v>0.99761569999999899</v>
      </c>
      <c r="Y2908">
        <v>-5.466323E-2</v>
      </c>
      <c r="Z2908">
        <v>9.5932739999999997E-4</v>
      </c>
      <c r="AA2908">
        <v>0.99850439999999996</v>
      </c>
      <c r="AB2908">
        <v>46</v>
      </c>
      <c r="AC2908">
        <v>30.509699999999899</v>
      </c>
      <c r="AD2908">
        <v>-1.1028775097778001</v>
      </c>
      <c r="AE2908">
        <v>1.7141</v>
      </c>
      <c r="AF2908">
        <v>-1.706702244458</v>
      </c>
      <c r="AG2908">
        <v>-1.1028775097778001</v>
      </c>
      <c r="AH2908">
        <v>30.470299763884501</v>
      </c>
      <c r="AI2908">
        <v>92.069683952135406</v>
      </c>
      <c r="AJ2908">
        <v>93.205900981993295</v>
      </c>
      <c r="AK2908">
        <v>30.537981908662399</v>
      </c>
    </row>
    <row r="2909" spans="1:37" x14ac:dyDescent="0.2">
      <c r="A2909" t="str">
        <f>"20200111153453871"</f>
        <v>20200111153453871</v>
      </c>
      <c r="B2909" t="str">
        <f>"1578728093858634"</f>
        <v>1578728093858634</v>
      </c>
      <c r="C2909" t="s">
        <v>37</v>
      </c>
      <c r="D2909">
        <v>5.0659199999999904</v>
      </c>
      <c r="E2909">
        <v>0.49966650000000001</v>
      </c>
      <c r="F2909" t="s">
        <v>52</v>
      </c>
      <c r="G2909">
        <v>-261.2835</v>
      </c>
      <c r="H2909" s="1">
        <v>-9.4675729999999999E-7</v>
      </c>
      <c r="I2909">
        <v>216.74350000000001</v>
      </c>
      <c r="J2909">
        <v>-292.17669999999998</v>
      </c>
      <c r="K2909">
        <v>1.1028819999999999</v>
      </c>
      <c r="L2909">
        <v>215.04669999999999</v>
      </c>
      <c r="M2909">
        <v>0.99993729999999903</v>
      </c>
      <c r="N2909">
        <v>0</v>
      </c>
      <c r="O2909">
        <v>-6.9060829999999999E-4</v>
      </c>
      <c r="P2909">
        <v>0.998065599999999</v>
      </c>
      <c r="Q2909">
        <v>3.428469E-2</v>
      </c>
      <c r="R2909">
        <v>5.1863239999999998E-2</v>
      </c>
      <c r="S2909">
        <v>3.0008539999999999</v>
      </c>
      <c r="T2909">
        <v>-0.10562829999999999</v>
      </c>
      <c r="U2909">
        <v>0.162460299999999</v>
      </c>
      <c r="V2909">
        <v>-5.2428040000000002E-2</v>
      </c>
      <c r="W2909">
        <v>4.5595869999999997E-2</v>
      </c>
      <c r="X2909">
        <v>0.9975832</v>
      </c>
      <c r="Y2909">
        <v>-5.4714279999999997E-2</v>
      </c>
      <c r="Z2909">
        <v>9.8623820000000003E-4</v>
      </c>
      <c r="AA2909">
        <v>0.99850149999999904</v>
      </c>
      <c r="AB2909">
        <v>46</v>
      </c>
      <c r="AC2909">
        <v>30.893199999999901</v>
      </c>
      <c r="AD2909">
        <v>-1.10288294675729</v>
      </c>
      <c r="AE2909">
        <v>1.6968000000000201</v>
      </c>
      <c r="AF2909">
        <v>-1.7159556546422099</v>
      </c>
      <c r="AG2909">
        <v>-1.10288294675729</v>
      </c>
      <c r="AH2909">
        <v>30.852817697852199</v>
      </c>
      <c r="AI2909">
        <v>92.044100499956897</v>
      </c>
      <c r="AJ2909">
        <v>93.183366613936002</v>
      </c>
      <c r="AK2909">
        <v>30.920174878222301</v>
      </c>
    </row>
    <row r="2910" spans="1:37" x14ac:dyDescent="0.2">
      <c r="A2910" t="str">
        <f>"20200111153453893"</f>
        <v>20200111153453893</v>
      </c>
      <c r="B2910" t="str">
        <f>"1578728093888891"</f>
        <v>1578728093888891</v>
      </c>
      <c r="C2910" t="s">
        <v>37</v>
      </c>
      <c r="D2910">
        <v>5.1017839999999897</v>
      </c>
      <c r="E2910">
        <v>0.49951449999999997</v>
      </c>
      <c r="F2910" t="s">
        <v>52</v>
      </c>
      <c r="G2910">
        <v>-260.37779999999998</v>
      </c>
      <c r="H2910" s="1">
        <v>-1.428976E-6</v>
      </c>
      <c r="I2910">
        <v>216.74959999999999</v>
      </c>
      <c r="J2910">
        <v>-291.70979999999997</v>
      </c>
      <c r="K2910">
        <v>1.102894</v>
      </c>
      <c r="L2910">
        <v>215.04570000000001</v>
      </c>
      <c r="M2910">
        <v>0.99993619999999905</v>
      </c>
      <c r="N2910">
        <v>0</v>
      </c>
      <c r="O2910">
        <v>-1.5934569999999999E-3</v>
      </c>
      <c r="P2910">
        <v>0.99810239999999995</v>
      </c>
      <c r="Q2910">
        <v>3.4849480000000002E-2</v>
      </c>
      <c r="R2910">
        <v>5.0766699999999998E-2</v>
      </c>
      <c r="S2910">
        <v>3.0010379999999999</v>
      </c>
      <c r="T2910">
        <v>-0.10408539999999999</v>
      </c>
      <c r="U2910">
        <v>0.1607208</v>
      </c>
      <c r="V2910">
        <v>-5.2232609999999999E-2</v>
      </c>
      <c r="W2910">
        <v>4.6158419999999999E-2</v>
      </c>
      <c r="X2910">
        <v>0.9975676</v>
      </c>
      <c r="Y2910">
        <v>-5.50357E-2</v>
      </c>
      <c r="Z2910">
        <v>1.00865E-3</v>
      </c>
      <c r="AA2910">
        <v>0.99848389999999998</v>
      </c>
      <c r="AB2910">
        <v>46</v>
      </c>
      <c r="AC2910">
        <v>31.331999999999901</v>
      </c>
      <c r="AD2910">
        <v>-1.102895428976</v>
      </c>
      <c r="AE2910">
        <v>1.70389999999997</v>
      </c>
      <c r="AF2910">
        <v>-1.75166313701996</v>
      </c>
      <c r="AG2910">
        <v>-1.102895428976</v>
      </c>
      <c r="AH2910">
        <v>31.290588354346799</v>
      </c>
      <c r="AI2910">
        <v>92.015508410213499</v>
      </c>
      <c r="AJ2910">
        <v>93.204102804089302</v>
      </c>
      <c r="AK2910">
        <v>31.358979920176498</v>
      </c>
    </row>
    <row r="2911" spans="1:37" x14ac:dyDescent="0.2">
      <c r="A2911" t="str">
        <f>"20200111153453917"</f>
        <v>20200111153453917</v>
      </c>
      <c r="B2911" t="str">
        <f>"1578728093909386"</f>
        <v>1578728093909386</v>
      </c>
      <c r="C2911" t="s">
        <v>37</v>
      </c>
      <c r="D2911">
        <v>5.1485399999999997</v>
      </c>
      <c r="E2911">
        <v>0.49946199999999902</v>
      </c>
      <c r="F2911" t="s">
        <v>52</v>
      </c>
      <c r="G2911">
        <v>-259.43770000000001</v>
      </c>
      <c r="H2911" s="1">
        <v>3.3921960000000002E-6</v>
      </c>
      <c r="I2911">
        <v>216.75</v>
      </c>
      <c r="J2911">
        <v>-291.24790000000002</v>
      </c>
      <c r="K2911">
        <v>1.1029009999999999</v>
      </c>
      <c r="L2911">
        <v>215.04429999999999</v>
      </c>
      <c r="M2911">
        <v>0.99993430000000005</v>
      </c>
      <c r="N2911">
        <v>0</v>
      </c>
      <c r="O2911">
        <v>-2.471118E-3</v>
      </c>
      <c r="P2911">
        <v>0.99814179999999997</v>
      </c>
      <c r="Q2911">
        <v>3.5362039999999997E-2</v>
      </c>
      <c r="R2911">
        <v>4.9624170000000002E-2</v>
      </c>
      <c r="S2911">
        <v>3.0012209999999899</v>
      </c>
      <c r="T2911">
        <v>-0.10256559999999899</v>
      </c>
      <c r="U2911">
        <v>0.15849299999999999</v>
      </c>
      <c r="V2911">
        <v>-5.196547E-2</v>
      </c>
      <c r="W2911">
        <v>4.6669519999999999E-2</v>
      </c>
      <c r="X2911">
        <v>0.99755780000000005</v>
      </c>
      <c r="Y2911">
        <v>-5.5170160000000003E-2</v>
      </c>
      <c r="Z2911">
        <v>1.026152E-3</v>
      </c>
      <c r="AA2911">
        <v>0.99847640000000004</v>
      </c>
      <c r="AB2911">
        <v>46</v>
      </c>
      <c r="AC2911">
        <v>31.810199999999998</v>
      </c>
      <c r="AD2911">
        <v>-1.102897607804</v>
      </c>
      <c r="AE2911">
        <v>1.7057</v>
      </c>
      <c r="AF2911">
        <v>-1.78217028400441</v>
      </c>
      <c r="AG2911">
        <v>-1.102897607804</v>
      </c>
      <c r="AH2911">
        <v>31.7678092791725</v>
      </c>
      <c r="AI2911">
        <v>91.985246235200606</v>
      </c>
      <c r="AJ2911">
        <v>93.210920703405804</v>
      </c>
      <c r="AK2911">
        <v>31.8368688858117</v>
      </c>
    </row>
    <row r="2912" spans="1:37" x14ac:dyDescent="0.2">
      <c r="A2912" t="str">
        <f>"20200111153453937"</f>
        <v>20200111153453937</v>
      </c>
      <c r="B2912" t="str">
        <f>"1578728093928909"</f>
        <v>1578728093928909</v>
      </c>
      <c r="C2912" t="s">
        <v>37</v>
      </c>
      <c r="D2912">
        <v>5.1097799999999998</v>
      </c>
      <c r="E2912">
        <v>0.4993573</v>
      </c>
      <c r="F2912" t="s">
        <v>52</v>
      </c>
      <c r="G2912">
        <v>-258.55799999999999</v>
      </c>
      <c r="H2912" s="1">
        <v>2.9246049999999998E-6</v>
      </c>
      <c r="I2912">
        <v>216.73830000000001</v>
      </c>
      <c r="J2912">
        <v>-290.80009999999999</v>
      </c>
      <c r="K2912">
        <v>1.1029070000000001</v>
      </c>
      <c r="L2912">
        <v>215.0427</v>
      </c>
      <c r="M2912">
        <v>0.99993189999999998</v>
      </c>
      <c r="N2912">
        <v>0</v>
      </c>
      <c r="O2912">
        <v>-3.3037969999999998E-3</v>
      </c>
      <c r="P2912">
        <v>0.99820330000000002</v>
      </c>
      <c r="Q2912">
        <v>3.506248E-2</v>
      </c>
      <c r="R2912">
        <v>4.858821E-2</v>
      </c>
      <c r="S2912">
        <v>3.0014340000000002</v>
      </c>
      <c r="T2912">
        <v>-0.101262899999999</v>
      </c>
      <c r="U2912">
        <v>0.1555328</v>
      </c>
      <c r="V2912">
        <v>-5.1763080000000003E-2</v>
      </c>
      <c r="W2912">
        <v>4.6368960000000001E-2</v>
      </c>
      <c r="X2912">
        <v>0.99758230000000003</v>
      </c>
      <c r="Y2912">
        <v>-5.5016269999999999E-2</v>
      </c>
      <c r="Z2912">
        <v>1.0385559999999999E-3</v>
      </c>
      <c r="AA2912">
        <v>0.99848490000000001</v>
      </c>
      <c r="AB2912">
        <v>46</v>
      </c>
      <c r="AC2912">
        <v>32.242099999999901</v>
      </c>
      <c r="AD2912">
        <v>-1.1029040753949999</v>
      </c>
      <c r="AE2912">
        <v>1.69560000000001</v>
      </c>
      <c r="AF2912">
        <v>-1.8000183505738301</v>
      </c>
      <c r="AG2912">
        <v>-1.1029040753949999</v>
      </c>
      <c r="AH2912">
        <v>32.198749393318501</v>
      </c>
      <c r="AI2912">
        <v>91.958729975304195</v>
      </c>
      <c r="AJ2912">
        <v>93.199696274238306</v>
      </c>
      <c r="AK2912">
        <v>32.267877617774197</v>
      </c>
    </row>
    <row r="2913" spans="1:37" x14ac:dyDescent="0.2">
      <c r="A2913" t="str">
        <f>"20200111153453960"</f>
        <v>20200111153453960</v>
      </c>
      <c r="B2913" t="str">
        <f>"1578728093949402"</f>
        <v>1578728093949402</v>
      </c>
      <c r="C2913" t="s">
        <v>37</v>
      </c>
      <c r="D2913">
        <v>5.0885790000000002</v>
      </c>
      <c r="E2913">
        <v>0.4992666</v>
      </c>
      <c r="F2913" t="s">
        <v>52</v>
      </c>
      <c r="G2913">
        <v>-258.57069999999999</v>
      </c>
      <c r="H2913" s="1">
        <v>2.9335980000000001E-6</v>
      </c>
      <c r="I2913">
        <v>216.68680000000001</v>
      </c>
      <c r="J2913">
        <v>-290.35719999999998</v>
      </c>
      <c r="K2913">
        <v>1.102916</v>
      </c>
      <c r="L2913">
        <v>215.04060000000001</v>
      </c>
      <c r="M2913">
        <v>0.99992909999999902</v>
      </c>
      <c r="N2913">
        <v>0</v>
      </c>
      <c r="O2913">
        <v>-4.1061149999999996E-3</v>
      </c>
      <c r="P2913">
        <v>0.99824489999999999</v>
      </c>
      <c r="Q2913">
        <v>3.4701339999999997E-2</v>
      </c>
      <c r="R2913">
        <v>4.7991560000000003E-2</v>
      </c>
      <c r="S2913">
        <v>3.0015259999999899</v>
      </c>
      <c r="T2913">
        <v>-0.1027136</v>
      </c>
      <c r="U2913">
        <v>0.15312190000000001</v>
      </c>
      <c r="V2913">
        <v>-5.1970410000000002E-2</v>
      </c>
      <c r="W2913">
        <v>4.6002660000000001E-2</v>
      </c>
      <c r="X2913">
        <v>0.99758849999999999</v>
      </c>
      <c r="Y2913">
        <v>-5.5014540000000001E-2</v>
      </c>
      <c r="Z2913">
        <v>1.0808180000000001E-3</v>
      </c>
      <c r="AA2913">
        <v>0.99848499999999996</v>
      </c>
      <c r="AB2913">
        <v>46</v>
      </c>
      <c r="AC2913">
        <v>31.786499999999901</v>
      </c>
      <c r="AD2913">
        <v>-1.1029130664019999</v>
      </c>
      <c r="AE2913">
        <v>1.6461999999999899</v>
      </c>
      <c r="AF2913">
        <v>-1.77458256086044</v>
      </c>
      <c r="AG2913">
        <v>-1.1029130664019999</v>
      </c>
      <c r="AH2913">
        <v>31.741360298614001</v>
      </c>
      <c r="AI2913">
        <v>91.98694828843</v>
      </c>
      <c r="AJ2913">
        <v>93.199937039148097</v>
      </c>
      <c r="AK2913">
        <v>31.8100536639563</v>
      </c>
    </row>
    <row r="2914" spans="1:37" x14ac:dyDescent="0.2">
      <c r="A2914" t="str">
        <f>"20200111153453982"</f>
        <v>20200111153453982</v>
      </c>
      <c r="B2914" t="str">
        <f>"1578728093978682"</f>
        <v>1578728093978682</v>
      </c>
      <c r="C2914" t="s">
        <v>37</v>
      </c>
      <c r="D2914">
        <v>5.1558989999999998</v>
      </c>
      <c r="E2914">
        <v>0.49920949999999997</v>
      </c>
      <c r="F2914" t="s">
        <v>52</v>
      </c>
      <c r="G2914">
        <v>-258.61149999999998</v>
      </c>
      <c r="H2914" s="1">
        <v>2.9570630000000001E-6</v>
      </c>
      <c r="I2914">
        <v>216.6473</v>
      </c>
      <c r="J2914">
        <v>-289.89960000000002</v>
      </c>
      <c r="K2914">
        <v>1.1029309999999899</v>
      </c>
      <c r="L2914">
        <v>215.03819999999999</v>
      </c>
      <c r="M2914">
        <v>0.99992549999999902</v>
      </c>
      <c r="N2914">
        <v>0</v>
      </c>
      <c r="O2914">
        <v>-4.9094079999999997E-3</v>
      </c>
      <c r="P2914">
        <v>0.99829129999999999</v>
      </c>
      <c r="Q2914">
        <v>3.3946579999999997E-2</v>
      </c>
      <c r="R2914">
        <v>4.7566219999999999E-2</v>
      </c>
      <c r="S2914">
        <v>3.0015869999999998</v>
      </c>
      <c r="T2914">
        <v>-0.1042817</v>
      </c>
      <c r="U2914">
        <v>0.15191650000000001</v>
      </c>
      <c r="V2914">
        <v>-5.235136E-2</v>
      </c>
      <c r="W2914">
        <v>4.523957E-2</v>
      </c>
      <c r="X2914">
        <v>0.99760349999999998</v>
      </c>
      <c r="Y2914">
        <v>-5.541389E-2</v>
      </c>
      <c r="Z2914">
        <v>1.1321129999999999E-3</v>
      </c>
      <c r="AA2914">
        <v>0.99846290000000004</v>
      </c>
      <c r="AB2914">
        <v>46</v>
      </c>
      <c r="AC2914">
        <v>31.2881</v>
      </c>
      <c r="AD2914">
        <v>-1.1029280429369901</v>
      </c>
      <c r="AE2914">
        <v>1.60910000000001</v>
      </c>
      <c r="AF2914">
        <v>-1.76051437973028</v>
      </c>
      <c r="AG2914">
        <v>-1.1029280429369901</v>
      </c>
      <c r="AH2914">
        <v>31.241104466876401</v>
      </c>
      <c r="AI2914">
        <v>92.018715841033099</v>
      </c>
      <c r="AJ2914">
        <v>93.225349230836997</v>
      </c>
      <c r="AK2914">
        <v>31.310101715890699</v>
      </c>
    </row>
    <row r="2915" spans="1:37" x14ac:dyDescent="0.2">
      <c r="A2915" t="str">
        <f>"20200111153454006"</f>
        <v>20200111153454006</v>
      </c>
      <c r="B2915" t="str">
        <f>"1578728093999181"</f>
        <v>1578728093999181</v>
      </c>
      <c r="C2915" t="s">
        <v>37</v>
      </c>
      <c r="D2915">
        <v>5.0883830000000003</v>
      </c>
      <c r="E2915">
        <v>0.52487039999999996</v>
      </c>
      <c r="F2915" t="s">
        <v>52</v>
      </c>
      <c r="G2915">
        <v>-259.00450000000001</v>
      </c>
      <c r="H2915" s="1">
        <v>3.1685210000000002E-6</v>
      </c>
      <c r="I2915">
        <v>216.5934</v>
      </c>
      <c r="J2915">
        <v>-289.41669999999999</v>
      </c>
      <c r="K2915">
        <v>1.102957</v>
      </c>
      <c r="L2915">
        <v>215.0352</v>
      </c>
      <c r="M2915">
        <v>0.99992130000000001</v>
      </c>
      <c r="N2915">
        <v>0</v>
      </c>
      <c r="O2915">
        <v>-5.73280199999999E-3</v>
      </c>
      <c r="P2915">
        <v>0.99833909999999904</v>
      </c>
      <c r="Q2915">
        <v>3.385022E-2</v>
      </c>
      <c r="R2915">
        <v>4.6620090000000003E-2</v>
      </c>
      <c r="S2915">
        <v>3.0015869999999998</v>
      </c>
      <c r="T2915">
        <v>-0.1071539</v>
      </c>
      <c r="U2915">
        <v>0.15109249999999999</v>
      </c>
      <c r="V2915">
        <v>-5.2230310000000002E-2</v>
      </c>
      <c r="W2915">
        <v>4.5132859999999997E-2</v>
      </c>
      <c r="X2915">
        <v>0.99761469999999897</v>
      </c>
      <c r="Y2915">
        <v>-5.5959790000000002E-2</v>
      </c>
      <c r="Z2915">
        <v>1.202388E-3</v>
      </c>
      <c r="AA2915">
        <v>0.99843230000000005</v>
      </c>
      <c r="AB2915">
        <v>46</v>
      </c>
      <c r="AC2915">
        <v>30.412199999999899</v>
      </c>
      <c r="AD2915">
        <v>-1.1029538314789999</v>
      </c>
      <c r="AE2915">
        <v>1.55819999999999</v>
      </c>
      <c r="AF2915">
        <v>-1.7302625438841499</v>
      </c>
      <c r="AG2915">
        <v>-1.1029538314789999</v>
      </c>
      <c r="AH2915">
        <v>30.3629355056996</v>
      </c>
      <c r="AI2915">
        <v>92.077025785535099</v>
      </c>
      <c r="AJ2915">
        <v>93.261530408021301</v>
      </c>
      <c r="AK2915">
        <v>30.432189670617198</v>
      </c>
    </row>
    <row r="2916" spans="1:37" x14ac:dyDescent="0.2">
      <c r="A2916" t="str">
        <f>"20200111153454027"</f>
        <v>20200111153454027</v>
      </c>
      <c r="B2916" t="str">
        <f>"1578728094018702"</f>
        <v>1578728094018702</v>
      </c>
      <c r="C2916" t="s">
        <v>37</v>
      </c>
      <c r="D2916">
        <v>5.0972249999999999</v>
      </c>
      <c r="E2916">
        <v>0.5318235</v>
      </c>
      <c r="F2916" t="s">
        <v>52</v>
      </c>
      <c r="G2916">
        <v>-251.5865</v>
      </c>
      <c r="H2916" s="1">
        <v>-6.7995840000000003E-7</v>
      </c>
      <c r="I2916">
        <v>214.32810000000001</v>
      </c>
      <c r="J2916">
        <v>-288.9753</v>
      </c>
      <c r="K2916">
        <v>1.102976</v>
      </c>
      <c r="L2916">
        <v>215.03219999999999</v>
      </c>
      <c r="M2916">
        <v>0.9999169</v>
      </c>
      <c r="N2916">
        <v>0</v>
      </c>
      <c r="O2916">
        <v>-6.4622880000000001E-3</v>
      </c>
      <c r="P2916">
        <v>0.99835499999999899</v>
      </c>
      <c r="Q2916">
        <v>3.427496E-2</v>
      </c>
      <c r="R2916">
        <v>4.5965730000000003E-2</v>
      </c>
      <c r="S2916">
        <v>3.0105590000000002</v>
      </c>
      <c r="T2916">
        <v>-8.7774039999999998E-2</v>
      </c>
      <c r="U2916">
        <v>-5.6274409999999997E-2</v>
      </c>
      <c r="V2916">
        <v>-5.2304950000000003E-2</v>
      </c>
      <c r="W2916">
        <v>4.5548720000000001E-2</v>
      </c>
      <c r="X2916">
        <v>0.99759189999999998</v>
      </c>
      <c r="Y2916">
        <v>1.222468E-2</v>
      </c>
      <c r="Z2916" s="1">
        <v>1.020767E-5</v>
      </c>
      <c r="AA2916">
        <v>0.99992530000000002</v>
      </c>
      <c r="AB2916">
        <v>46</v>
      </c>
      <c r="AC2916">
        <v>37.388800000000003</v>
      </c>
      <c r="AD2916">
        <v>-1.10297667995839</v>
      </c>
      <c r="AE2916">
        <v>-0.70409999999998196</v>
      </c>
      <c r="AF2916">
        <v>0.46205110598835503</v>
      </c>
      <c r="AG2916">
        <v>-1.10297667995839</v>
      </c>
      <c r="AH2916">
        <v>37.360068084466398</v>
      </c>
      <c r="AI2916">
        <v>91.690915800225198</v>
      </c>
      <c r="AJ2916">
        <v>89.291429860408797</v>
      </c>
      <c r="AK2916">
        <v>37.379201918406999</v>
      </c>
    </row>
    <row r="2917" spans="1:37" x14ac:dyDescent="0.2">
      <c r="A2917" t="str">
        <f>"20200111153454049"</f>
        <v>20200111153454049</v>
      </c>
      <c r="B2917" t="str">
        <f>"1578728094039198"</f>
        <v>1578728094039198</v>
      </c>
      <c r="C2917" t="s">
        <v>37</v>
      </c>
      <c r="D2917">
        <v>5.0272819999999996</v>
      </c>
      <c r="E2917">
        <v>0.5332266</v>
      </c>
      <c r="F2917" t="s">
        <v>52</v>
      </c>
      <c r="G2917">
        <v>-237.92679999999999</v>
      </c>
      <c r="H2917" s="1">
        <v>2.74767E-6</v>
      </c>
      <c r="I2917">
        <v>213.1011</v>
      </c>
      <c r="J2917">
        <v>-288.52510000000001</v>
      </c>
      <c r="K2917">
        <v>1.1029979999999999</v>
      </c>
      <c r="L2917">
        <v>215.02869999999999</v>
      </c>
      <c r="M2917">
        <v>0.99991200000000002</v>
      </c>
      <c r="N2917">
        <v>0</v>
      </c>
      <c r="O2917">
        <v>-7.1793419999999896E-3</v>
      </c>
      <c r="P2917">
        <v>0.99840439999999997</v>
      </c>
      <c r="Q2917">
        <v>3.3891999999999999E-2</v>
      </c>
      <c r="R2917">
        <v>4.5164830000000003E-2</v>
      </c>
      <c r="S2917">
        <v>3.0123899999999999</v>
      </c>
      <c r="T2917">
        <v>-6.5086840000000007E-2</v>
      </c>
      <c r="U2917">
        <v>-0.1139526</v>
      </c>
      <c r="V2917">
        <v>-5.2224069999999997E-2</v>
      </c>
      <c r="W2917">
        <v>4.5157160000000002E-2</v>
      </c>
      <c r="X2917">
        <v>0.99761390000000005</v>
      </c>
      <c r="Y2917">
        <v>3.0619859999999999E-2</v>
      </c>
      <c r="Z2917">
        <v>-1.755859E-4</v>
      </c>
      <c r="AA2917">
        <v>0.99953110000000001</v>
      </c>
      <c r="AB2917">
        <v>46</v>
      </c>
      <c r="AC2917">
        <v>50.598300000000002</v>
      </c>
      <c r="AD2917">
        <v>-1.10299525233</v>
      </c>
      <c r="AE2917">
        <v>-1.92759999999998</v>
      </c>
      <c r="AF2917">
        <v>1.56352330194408</v>
      </c>
      <c r="AG2917">
        <v>-1.10299525233</v>
      </c>
      <c r="AH2917">
        <v>50.586831619021901</v>
      </c>
      <c r="AI2917">
        <v>91.248483232096802</v>
      </c>
      <c r="AJ2917">
        <v>88.229682035114493</v>
      </c>
      <c r="AK2917">
        <v>50.623006004124903</v>
      </c>
    </row>
    <row r="2918" spans="1:37" x14ac:dyDescent="0.2">
      <c r="A2918" t="str">
        <f>"20200111153454071"</f>
        <v>20200111153454071</v>
      </c>
      <c r="B2918" t="str">
        <f>"1578728094069451"</f>
        <v>1578728094069451</v>
      </c>
      <c r="C2918" t="s">
        <v>37</v>
      </c>
      <c r="D2918">
        <v>5.0441229999999999</v>
      </c>
      <c r="E2918">
        <v>0.53330129999999998</v>
      </c>
      <c r="F2918" t="s">
        <v>52</v>
      </c>
      <c r="G2918">
        <v>-236.05289999999999</v>
      </c>
      <c r="H2918" s="1">
        <v>1.7633619999999999E-6</v>
      </c>
      <c r="I2918">
        <v>212.80619999999999</v>
      </c>
      <c r="J2918">
        <v>-288.06779999999998</v>
      </c>
      <c r="K2918">
        <v>1.1030219999999999</v>
      </c>
      <c r="L2918">
        <v>215.02500000000001</v>
      </c>
      <c r="M2918">
        <v>0.99990679999999998</v>
      </c>
      <c r="N2918">
        <v>0</v>
      </c>
      <c r="O2918">
        <v>-7.8770390000000006E-3</v>
      </c>
      <c r="P2918">
        <v>0.99841709999999995</v>
      </c>
      <c r="Q2918">
        <v>3.3995930000000001E-2</v>
      </c>
      <c r="R2918">
        <v>4.4807720000000002E-2</v>
      </c>
      <c r="S2918">
        <v>3.0127259999999998</v>
      </c>
      <c r="T2918">
        <v>-6.3329220000000006E-2</v>
      </c>
      <c r="U2918">
        <v>-0.12760930000000001</v>
      </c>
      <c r="V2918">
        <v>-5.2566340000000003E-2</v>
      </c>
      <c r="W2918">
        <v>4.5253380000000003E-2</v>
      </c>
      <c r="X2918">
        <v>0.99759159999999902</v>
      </c>
      <c r="Y2918">
        <v>3.4441159999999998E-2</v>
      </c>
      <c r="Z2918">
        <v>-1.9629479999999999E-4</v>
      </c>
      <c r="AA2918">
        <v>0.99940669999999898</v>
      </c>
      <c r="AB2918">
        <v>46</v>
      </c>
      <c r="AC2918">
        <v>52.014899999999898</v>
      </c>
      <c r="AD2918">
        <v>-1.103020236638</v>
      </c>
      <c r="AE2918">
        <v>-2.2188000000000101</v>
      </c>
      <c r="AF2918">
        <v>1.80817064710397</v>
      </c>
      <c r="AG2918">
        <v>-1.103020236638</v>
      </c>
      <c r="AH2918">
        <v>52.0074200903966</v>
      </c>
      <c r="AI2918">
        <v>91.214264925713593</v>
      </c>
      <c r="AJ2918">
        <v>88.008768108972106</v>
      </c>
      <c r="AK2918">
        <v>52.050531977977599</v>
      </c>
    </row>
    <row r="2919" spans="1:37" x14ac:dyDescent="0.2">
      <c r="A2919" t="str">
        <f>"20200111153454093"</f>
        <v>20200111153454093</v>
      </c>
      <c r="B2919" t="str">
        <f>"1578728094088970"</f>
        <v>1578728094088970</v>
      </c>
      <c r="C2919" t="s">
        <v>37</v>
      </c>
      <c r="D2919">
        <v>5.0275059999999998</v>
      </c>
      <c r="E2919">
        <v>0.53287799999999996</v>
      </c>
      <c r="F2919" t="s">
        <v>52</v>
      </c>
      <c r="G2919">
        <v>-237.36269999999999</v>
      </c>
      <c r="H2919" s="1">
        <v>2.4583650000000001E-6</v>
      </c>
      <c r="I2919">
        <v>212.85319999999999</v>
      </c>
      <c r="J2919">
        <v>-287.60579999999999</v>
      </c>
      <c r="K2919">
        <v>1.1030549999999999</v>
      </c>
      <c r="L2919">
        <v>215.02090000000001</v>
      </c>
      <c r="M2919">
        <v>0.99990119999999905</v>
      </c>
      <c r="N2919">
        <v>0</v>
      </c>
      <c r="O2919">
        <v>-8.5477379999999992E-3</v>
      </c>
      <c r="P2919">
        <v>0.99844179999999905</v>
      </c>
      <c r="Q2919">
        <v>3.4718770000000003E-2</v>
      </c>
      <c r="R2919">
        <v>4.369021E-2</v>
      </c>
      <c r="S2919">
        <v>3.0127869999999999</v>
      </c>
      <c r="T2919">
        <v>-6.5539120000000006E-2</v>
      </c>
      <c r="U2919">
        <v>-0.12904360000000001</v>
      </c>
      <c r="V2919">
        <v>-5.2120809999999997E-2</v>
      </c>
      <c r="W2919">
        <v>4.5966939999999998E-2</v>
      </c>
      <c r="X2919">
        <v>0.99758230000000003</v>
      </c>
      <c r="Y2919">
        <v>3.4244660000000003E-2</v>
      </c>
      <c r="Z2919">
        <v>-1.8641980000000001E-4</v>
      </c>
      <c r="AA2919">
        <v>0.99941349999999995</v>
      </c>
      <c r="AB2919">
        <v>46</v>
      </c>
      <c r="AC2919">
        <v>50.243099999999998</v>
      </c>
      <c r="AD2919">
        <v>-1.1030525416349899</v>
      </c>
      <c r="AE2919">
        <v>-2.1677000000000199</v>
      </c>
      <c r="AF2919">
        <v>1.73729339582043</v>
      </c>
      <c r="AG2919">
        <v>-1.1030525416349899</v>
      </c>
      <c r="AH2919">
        <v>50.235626180001702</v>
      </c>
      <c r="AI2919">
        <v>91.257122981685299</v>
      </c>
      <c r="AJ2919">
        <v>88.019335419172904</v>
      </c>
      <c r="AK2919">
        <v>50.2777590088266</v>
      </c>
    </row>
    <row r="2920" spans="1:37" x14ac:dyDescent="0.2">
      <c r="A2920" t="str">
        <f>"20200111153454117"</f>
        <v>20200111153454117</v>
      </c>
      <c r="B2920" t="str">
        <f>"1578728094109466"</f>
        <v>1578728094109466</v>
      </c>
      <c r="C2920" t="s">
        <v>37</v>
      </c>
      <c r="D2920">
        <v>5.0048469999999998</v>
      </c>
      <c r="E2920">
        <v>0.53246780000000005</v>
      </c>
      <c r="F2920" t="s">
        <v>52</v>
      </c>
      <c r="G2920">
        <v>-235.79400000000001</v>
      </c>
      <c r="H2920" s="1">
        <v>1.625863E-6</v>
      </c>
      <c r="I2920">
        <v>212.80070000000001</v>
      </c>
      <c r="J2920">
        <v>-287.1277</v>
      </c>
      <c r="K2920">
        <v>1.1030930000000001</v>
      </c>
      <c r="L2920">
        <v>215.0163</v>
      </c>
      <c r="M2920">
        <v>0.99989550000000005</v>
      </c>
      <c r="N2920">
        <v>0</v>
      </c>
      <c r="O2920">
        <v>-9.2041780000000004E-3</v>
      </c>
      <c r="P2920">
        <v>0.99844189999999999</v>
      </c>
      <c r="Q2920">
        <v>3.5473789999999998E-2</v>
      </c>
      <c r="R2920">
        <v>4.3074849999999998E-2</v>
      </c>
      <c r="S2920">
        <v>3.0126040000000001</v>
      </c>
      <c r="T2920">
        <v>-6.4137219999999995E-2</v>
      </c>
      <c r="U2920">
        <v>-0.12908939999999999</v>
      </c>
      <c r="V2920">
        <v>-5.216229E-2</v>
      </c>
      <c r="W2920">
        <v>4.6713339999999999E-2</v>
      </c>
      <c r="X2920">
        <v>0.99754549999999997</v>
      </c>
      <c r="Y2920">
        <v>3.3606829999999997E-2</v>
      </c>
      <c r="Z2920">
        <v>-1.6169200000000001E-4</v>
      </c>
      <c r="AA2920">
        <v>0.99943510000000002</v>
      </c>
      <c r="AB2920">
        <v>46</v>
      </c>
      <c r="AC2920">
        <v>51.333699999999901</v>
      </c>
      <c r="AD2920">
        <v>-1.1030913741370001</v>
      </c>
      <c r="AE2920">
        <v>-2.21559999999999</v>
      </c>
      <c r="AF2920">
        <v>1.74218928336761</v>
      </c>
      <c r="AG2920">
        <v>-1.1030913741370001</v>
      </c>
      <c r="AH2920">
        <v>51.328261960183603</v>
      </c>
      <c r="AI2920">
        <v>91.230440924677694</v>
      </c>
      <c r="AJ2920">
        <v>88.056006913431204</v>
      </c>
      <c r="AK2920">
        <v>51.369665269806902</v>
      </c>
    </row>
    <row r="2921" spans="1:37" x14ac:dyDescent="0.2">
      <c r="A2921" t="str">
        <f>"20200111153454138"</f>
        <v>20200111153454138</v>
      </c>
      <c r="B2921" t="str">
        <f>"1578728094128987"</f>
        <v>1578728094128987</v>
      </c>
      <c r="C2921" t="s">
        <v>37</v>
      </c>
      <c r="D2921">
        <v>5.0819879999999999</v>
      </c>
      <c r="E2921">
        <v>0.53210199999999996</v>
      </c>
      <c r="F2921" t="s">
        <v>52</v>
      </c>
      <c r="G2921">
        <v>-237.03710000000001</v>
      </c>
      <c r="H2921" s="1">
        <v>2.28328399999999E-6</v>
      </c>
      <c r="I2921">
        <v>212.8938</v>
      </c>
      <c r="J2921">
        <v>-286.68889999999999</v>
      </c>
      <c r="K2921">
        <v>1.1031329999999999</v>
      </c>
      <c r="L2921">
        <v>215.0119</v>
      </c>
      <c r="M2921">
        <v>0.99989030000000001</v>
      </c>
      <c r="N2921">
        <v>0</v>
      </c>
      <c r="O2921">
        <v>-9.7689560000000005E-3</v>
      </c>
      <c r="P2921">
        <v>0.99847609999999998</v>
      </c>
      <c r="Q2921">
        <v>3.5714129999999997E-2</v>
      </c>
      <c r="R2921">
        <v>4.2076309999999999E-2</v>
      </c>
      <c r="S2921">
        <v>3.012543</v>
      </c>
      <c r="T2921">
        <v>-6.6341880000000006E-2</v>
      </c>
      <c r="U2921">
        <v>-0.12765499999999999</v>
      </c>
      <c r="V2921">
        <v>-5.1732199999999999E-2</v>
      </c>
      <c r="W2921">
        <v>4.6945309999999997E-2</v>
      </c>
      <c r="X2921">
        <v>0.99755699999999903</v>
      </c>
      <c r="Y2921">
        <v>3.2568180000000002E-2</v>
      </c>
      <c r="Z2921">
        <v>-1.4339410000000001E-4</v>
      </c>
      <c r="AA2921">
        <v>0.99946950000000001</v>
      </c>
      <c r="AB2921">
        <v>46</v>
      </c>
      <c r="AC2921">
        <v>49.651799999999902</v>
      </c>
      <c r="AD2921">
        <v>-1.1031307167159901</v>
      </c>
      <c r="AE2921">
        <v>-2.1180999999999899</v>
      </c>
      <c r="AF2921">
        <v>1.63211843630322</v>
      </c>
      <c r="AG2921">
        <v>-1.1031307167159901</v>
      </c>
      <c r="AH2921">
        <v>49.645662278465302</v>
      </c>
      <c r="AI2921">
        <v>91.272220400549898</v>
      </c>
      <c r="AJ2921">
        <v>88.117059453599097</v>
      </c>
      <c r="AK2921">
        <v>49.684730964711001</v>
      </c>
    </row>
    <row r="2922" spans="1:37" x14ac:dyDescent="0.2">
      <c r="A2922" t="str">
        <f>"20200111153454162"</f>
        <v>20200111153454162</v>
      </c>
      <c r="B2922" t="str">
        <f>"1578728094149483"</f>
        <v>1578728094149483</v>
      </c>
      <c r="C2922" t="s">
        <v>37</v>
      </c>
      <c r="D2922">
        <v>5.0667499999999999</v>
      </c>
      <c r="E2922">
        <v>0.53183950000000002</v>
      </c>
      <c r="F2922" t="s">
        <v>52</v>
      </c>
      <c r="G2922">
        <v>-235.7336</v>
      </c>
      <c r="H2922" s="1">
        <v>1.591588E-6</v>
      </c>
      <c r="I2922">
        <v>212.8494</v>
      </c>
      <c r="J2922">
        <v>-286.22669999999999</v>
      </c>
      <c r="K2922">
        <v>1.1031770000000001</v>
      </c>
      <c r="L2922">
        <v>215.00700000000001</v>
      </c>
      <c r="M2922">
        <v>0.99988469999999996</v>
      </c>
      <c r="N2922">
        <v>0</v>
      </c>
      <c r="O2922">
        <v>-1.0319200000000001E-2</v>
      </c>
      <c r="P2922">
        <v>0.99848429999999999</v>
      </c>
      <c r="Q2922">
        <v>3.5994810000000002E-2</v>
      </c>
      <c r="R2922">
        <v>4.1639450000000001E-2</v>
      </c>
      <c r="S2922">
        <v>3.0122990000000001</v>
      </c>
      <c r="T2922">
        <v>-6.5213320000000005E-2</v>
      </c>
      <c r="U2922">
        <v>-0.12783810000000001</v>
      </c>
      <c r="V2922">
        <v>-5.1849029999999997E-2</v>
      </c>
      <c r="W2922">
        <v>4.721347E-2</v>
      </c>
      <c r="X2922">
        <v>0.99753829999999999</v>
      </c>
      <c r="Y2922">
        <v>3.2082659999999999E-2</v>
      </c>
      <c r="Z2922">
        <v>-1.238097E-4</v>
      </c>
      <c r="AA2922">
        <v>0.99948519999999896</v>
      </c>
      <c r="AB2922">
        <v>46</v>
      </c>
      <c r="AC2922">
        <v>50.493099999999998</v>
      </c>
      <c r="AD2922">
        <v>-1.103175408412</v>
      </c>
      <c r="AE2922">
        <v>-2.1576</v>
      </c>
      <c r="AF2922">
        <v>1.63562505256468</v>
      </c>
      <c r="AG2922">
        <v>-1.103175408412</v>
      </c>
      <c r="AH2922">
        <v>50.488621119661502</v>
      </c>
      <c r="AI2922">
        <v>91.251056408604995</v>
      </c>
      <c r="AJ2922">
        <v>88.144499757543201</v>
      </c>
      <c r="AK2922">
        <v>50.527152382249199</v>
      </c>
    </row>
    <row r="2923" spans="1:37" x14ac:dyDescent="0.2">
      <c r="A2923" t="str">
        <f>"20200111153454183"</f>
        <v>20200111153454183</v>
      </c>
      <c r="B2923" t="str">
        <f>"1578728094178763"</f>
        <v>1578728094178763</v>
      </c>
      <c r="C2923" t="s">
        <v>37</v>
      </c>
      <c r="D2923">
        <v>5.0284219999999999</v>
      </c>
      <c r="E2923">
        <v>0.53164849999999997</v>
      </c>
      <c r="F2923" t="s">
        <v>52</v>
      </c>
      <c r="G2923">
        <v>-235.52340000000001</v>
      </c>
      <c r="H2923" s="1">
        <v>1.4788589999999899E-6</v>
      </c>
      <c r="I2923">
        <v>212.86869999999999</v>
      </c>
      <c r="J2923">
        <v>-285.76990000000001</v>
      </c>
      <c r="K2923">
        <v>1.103224</v>
      </c>
      <c r="L2923">
        <v>215.00190000000001</v>
      </c>
      <c r="M2923">
        <v>0.99987959999999998</v>
      </c>
      <c r="N2923">
        <v>0</v>
      </c>
      <c r="O2923">
        <v>-1.082136E-2</v>
      </c>
      <c r="P2923">
        <v>0.99850399999999995</v>
      </c>
      <c r="Q2923">
        <v>3.6649979999999999E-2</v>
      </c>
      <c r="R2923">
        <v>4.0579419999999998E-2</v>
      </c>
      <c r="S2923">
        <v>3.012238</v>
      </c>
      <c r="T2923">
        <v>-6.5538639999999995E-2</v>
      </c>
      <c r="U2923">
        <v>-0.12702939999999999</v>
      </c>
      <c r="V2923">
        <v>-5.1294270000000003E-2</v>
      </c>
      <c r="W2923">
        <v>4.7853130000000001E-2</v>
      </c>
      <c r="X2923">
        <v>0.99753649999999905</v>
      </c>
      <c r="Y2923">
        <v>3.1313929999999997E-2</v>
      </c>
      <c r="Z2923">
        <v>-1.051536E-4</v>
      </c>
      <c r="AA2923">
        <v>0.9995096</v>
      </c>
      <c r="AB2923">
        <v>46</v>
      </c>
      <c r="AC2923">
        <v>50.246499999999997</v>
      </c>
      <c r="AD2923">
        <v>-1.1032225211409901</v>
      </c>
      <c r="AE2923">
        <v>-2.1332000000000102</v>
      </c>
      <c r="AF2923">
        <v>1.58854156773762</v>
      </c>
      <c r="AG2923">
        <v>-1.1032225211409901</v>
      </c>
      <c r="AH2923">
        <v>50.242466064297297</v>
      </c>
      <c r="AI2923">
        <v>91.257268754294699</v>
      </c>
      <c r="AJ2923">
        <v>88.189053525480404</v>
      </c>
      <c r="AK2923">
        <v>50.279677410119099</v>
      </c>
    </row>
    <row r="2924" spans="1:37" x14ac:dyDescent="0.2">
      <c r="A2924" t="str">
        <f>"20200111153454207"</f>
        <v>20200111153454207</v>
      </c>
      <c r="B2924" t="str">
        <f>"1578728094199259"</f>
        <v>1578728094199259</v>
      </c>
      <c r="C2924" t="s">
        <v>37</v>
      </c>
      <c r="D2924">
        <v>5.0157530000000001</v>
      </c>
      <c r="E2924">
        <v>0.5314932</v>
      </c>
      <c r="F2924" t="s">
        <v>52</v>
      </c>
      <c r="G2924">
        <v>-235.30439999999999</v>
      </c>
      <c r="H2924" s="1">
        <v>1.3633599999999999E-6</v>
      </c>
      <c r="I2924">
        <v>212.84569999999999</v>
      </c>
      <c r="J2924">
        <v>-285.29469999999998</v>
      </c>
      <c r="K2924">
        <v>1.1032690000000001</v>
      </c>
      <c r="L2924">
        <v>214.99639999999999</v>
      </c>
      <c r="M2924">
        <v>0.99987420000000005</v>
      </c>
      <c r="N2924">
        <v>0</v>
      </c>
      <c r="O2924">
        <v>-1.130433E-2</v>
      </c>
      <c r="P2924">
        <v>0.99852289999999999</v>
      </c>
      <c r="Q2924">
        <v>3.7296599999999999E-2</v>
      </c>
      <c r="R2924">
        <v>3.9507260000000002E-2</v>
      </c>
      <c r="S2924">
        <v>3.0120849999999999</v>
      </c>
      <c r="T2924">
        <v>-6.5847039999999996E-2</v>
      </c>
      <c r="U2924">
        <v>-0.12869259999999999</v>
      </c>
      <c r="V2924">
        <v>-5.0708120000000002E-2</v>
      </c>
      <c r="W2924">
        <v>4.8483730000000003E-2</v>
      </c>
      <c r="X2924">
        <v>0.99753590000000003</v>
      </c>
      <c r="Y2924">
        <v>3.1384240000000001E-2</v>
      </c>
      <c r="Z2924" s="1">
        <v>-9.5869709999999995E-5</v>
      </c>
      <c r="AA2924">
        <v>0.99950740000000005</v>
      </c>
      <c r="AB2924">
        <v>46</v>
      </c>
      <c r="AC2924">
        <v>49.990299999999898</v>
      </c>
      <c r="AD2924">
        <v>-1.1032676366399901</v>
      </c>
      <c r="AE2924">
        <v>-2.1507000000000001</v>
      </c>
      <c r="AF2924">
        <v>1.5846503238902301</v>
      </c>
      <c r="AG2924">
        <v>-1.1032676366399901</v>
      </c>
      <c r="AH2924">
        <v>49.987116971459301</v>
      </c>
      <c r="AI2924">
        <v>91.263737498438601</v>
      </c>
      <c r="AJ2924">
        <v>88.184264575579803</v>
      </c>
      <c r="AK2924">
        <v>50.024395840883699</v>
      </c>
    </row>
    <row r="2925" spans="1:37" x14ac:dyDescent="0.2">
      <c r="A2925" t="str">
        <f>"20200111153454228"</f>
        <v>20200111153454228</v>
      </c>
      <c r="B2925" t="str">
        <f>"1578728094218781"</f>
        <v>1578728094218781</v>
      </c>
      <c r="C2925" t="s">
        <v>37</v>
      </c>
      <c r="D2925">
        <v>5.0262589999999996</v>
      </c>
      <c r="E2925">
        <v>0.53145149999999997</v>
      </c>
      <c r="F2925" t="s">
        <v>52</v>
      </c>
      <c r="G2925">
        <v>-234.36279999999999</v>
      </c>
      <c r="H2925" s="1">
        <v>8.648489E-7</v>
      </c>
      <c r="I2925">
        <v>212.78620000000001</v>
      </c>
      <c r="J2925">
        <v>-284.84719999999999</v>
      </c>
      <c r="K2925">
        <v>1.1033090000000001</v>
      </c>
      <c r="L2925">
        <v>214.99099999999899</v>
      </c>
      <c r="M2925">
        <v>0.99986960000000003</v>
      </c>
      <c r="N2925">
        <v>0</v>
      </c>
      <c r="O2925">
        <v>-1.172143E-2</v>
      </c>
      <c r="P2925">
        <v>0.99855819999999995</v>
      </c>
      <c r="Q2925">
        <v>3.7387780000000002E-2</v>
      </c>
      <c r="R2925">
        <v>3.8522809999999998E-2</v>
      </c>
      <c r="S2925">
        <v>3.0120239999999998</v>
      </c>
      <c r="T2925">
        <v>-6.5245269999999994E-2</v>
      </c>
      <c r="U2925">
        <v>-0.13070680000000001</v>
      </c>
      <c r="V2925">
        <v>-5.0145219999999997E-2</v>
      </c>
      <c r="W2925">
        <v>4.856137E-2</v>
      </c>
      <c r="X2925">
        <v>0.99756069999999997</v>
      </c>
      <c r="Y2925">
        <v>3.1635429999999999E-2</v>
      </c>
      <c r="Z2925" s="1">
        <v>-8.8684839999999998E-5</v>
      </c>
      <c r="AA2925">
        <v>0.99949949999999999</v>
      </c>
      <c r="AB2925">
        <v>46</v>
      </c>
      <c r="AC2925">
        <v>50.484400000000001</v>
      </c>
      <c r="AD2925">
        <v>-1.1033081351511</v>
      </c>
      <c r="AE2925">
        <v>-2.2047999999999699</v>
      </c>
      <c r="AF2925">
        <v>1.61209414603249</v>
      </c>
      <c r="AG2925">
        <v>-1.1033081351511</v>
      </c>
      <c r="AH2925">
        <v>50.482710911234498</v>
      </c>
      <c r="AI2925">
        <v>91.251371900013794</v>
      </c>
      <c r="AJ2925">
        <v>88.170961674981896</v>
      </c>
      <c r="AK2925">
        <v>50.520493241100098</v>
      </c>
    </row>
    <row r="2926" spans="1:37" x14ac:dyDescent="0.2">
      <c r="A2926" t="str">
        <f>"20200111153454250"</f>
        <v>20200111153454250</v>
      </c>
      <c r="B2926" t="str">
        <f>"1578728094239288"</f>
        <v>1578728094239288</v>
      </c>
      <c r="C2926" t="s">
        <v>37</v>
      </c>
      <c r="D2926">
        <v>5.0465220000000004</v>
      </c>
      <c r="E2926">
        <v>0.53129409999999999</v>
      </c>
      <c r="F2926" t="s">
        <v>52</v>
      </c>
      <c r="G2926">
        <v>-234.01730000000001</v>
      </c>
      <c r="H2926" s="1">
        <v>6.8286079999999995E-7</v>
      </c>
      <c r="I2926">
        <v>212.74449999999999</v>
      </c>
      <c r="J2926">
        <v>-284.39589999999998</v>
      </c>
      <c r="K2926">
        <v>1.103351</v>
      </c>
      <c r="L2926">
        <v>214.9855</v>
      </c>
      <c r="M2926">
        <v>0.99986520000000001</v>
      </c>
      <c r="N2926">
        <v>0</v>
      </c>
      <c r="O2926">
        <v>-1.210024E-2</v>
      </c>
      <c r="P2926">
        <v>0.99855720000000003</v>
      </c>
      <c r="Q2926">
        <v>3.7596640000000001E-2</v>
      </c>
      <c r="R2926">
        <v>3.8342109999999999E-2</v>
      </c>
      <c r="S2926">
        <v>3.0119020000000001</v>
      </c>
      <c r="T2926">
        <v>-6.5376039999999996E-2</v>
      </c>
      <c r="U2926">
        <v>-0.13311770000000001</v>
      </c>
      <c r="V2926">
        <v>-5.034785E-2</v>
      </c>
      <c r="W2926">
        <v>4.8758070000000001E-2</v>
      </c>
      <c r="X2926">
        <v>0.99754080000000001</v>
      </c>
      <c r="Y2926">
        <v>3.2057000000000002E-2</v>
      </c>
      <c r="Z2926" s="1">
        <v>-8.5220820000000004E-5</v>
      </c>
      <c r="AA2926">
        <v>0.99948599999999999</v>
      </c>
      <c r="AB2926">
        <v>46</v>
      </c>
      <c r="AC2926">
        <v>50.378599999999899</v>
      </c>
      <c r="AD2926">
        <v>-1.1033503171392001</v>
      </c>
      <c r="AE2926">
        <v>-2.2410000000000099</v>
      </c>
      <c r="AF2926">
        <v>1.6304247127882101</v>
      </c>
      <c r="AG2926">
        <v>-1.1033503171392001</v>
      </c>
      <c r="AH2926">
        <v>50.377912993586499</v>
      </c>
      <c r="AI2926">
        <v>91.254004821098505</v>
      </c>
      <c r="AJ2926">
        <v>88.146333296748594</v>
      </c>
      <c r="AK2926">
        <v>50.416364250665403</v>
      </c>
    </row>
    <row r="2927" spans="1:37" x14ac:dyDescent="0.2">
      <c r="A2927" t="str">
        <f>"20200111153454273"</f>
        <v>20200111153454273</v>
      </c>
      <c r="B2927" t="str">
        <f>"1578728094268559"</f>
        <v>1578728094268559</v>
      </c>
      <c r="C2927" t="s">
        <v>37</v>
      </c>
      <c r="D2927">
        <v>5.0077769999999999</v>
      </c>
      <c r="E2927">
        <v>0.53100049999999999</v>
      </c>
      <c r="F2927" t="s">
        <v>52</v>
      </c>
      <c r="G2927">
        <v>-233.2868</v>
      </c>
      <c r="H2927" s="1">
        <v>2.9470459999999902E-7</v>
      </c>
      <c r="I2927">
        <v>212.73070000000001</v>
      </c>
      <c r="J2927">
        <v>-283.92700000000002</v>
      </c>
      <c r="K2927">
        <v>1.103407</v>
      </c>
      <c r="L2927">
        <v>214.9796</v>
      </c>
      <c r="M2927">
        <v>0.999861</v>
      </c>
      <c r="N2927">
        <v>0</v>
      </c>
      <c r="O2927">
        <v>-1.2447410000000001E-2</v>
      </c>
      <c r="P2927">
        <v>0.99855479999999996</v>
      </c>
      <c r="Q2927">
        <v>3.7997530000000002E-2</v>
      </c>
      <c r="R2927">
        <v>3.8009550000000003E-2</v>
      </c>
      <c r="S2927">
        <v>3.01187099999999</v>
      </c>
      <c r="T2927">
        <v>-6.5020679999999997E-2</v>
      </c>
      <c r="U2927">
        <v>-0.13287349999999901</v>
      </c>
      <c r="V2927">
        <v>-5.0367339999999997E-2</v>
      </c>
      <c r="W2927">
        <v>4.9146219999999997E-2</v>
      </c>
      <c r="X2927">
        <v>0.99752079999999999</v>
      </c>
      <c r="Y2927">
        <v>3.1629780000000003E-2</v>
      </c>
      <c r="Z2927" s="1">
        <v>-7.2661030000000003E-5</v>
      </c>
      <c r="AA2927">
        <v>0.99949969999999999</v>
      </c>
      <c r="AB2927">
        <v>46</v>
      </c>
      <c r="AC2927">
        <v>50.6402</v>
      </c>
      <c r="AD2927">
        <v>-1.1034067052954</v>
      </c>
      <c r="AE2927">
        <v>-2.2488999999999901</v>
      </c>
      <c r="AF2927">
        <v>1.6175811746297299</v>
      </c>
      <c r="AG2927">
        <v>-1.1034067052954</v>
      </c>
      <c r="AH2927">
        <v>50.6402760188763</v>
      </c>
      <c r="AI2927">
        <v>91.247590598233998</v>
      </c>
      <c r="AJ2927">
        <v>88.170446937739399</v>
      </c>
      <c r="AK2927">
        <v>50.678117866410403</v>
      </c>
    </row>
    <row r="2928" spans="1:37" x14ac:dyDescent="0.2">
      <c r="A2928" t="str">
        <f>"20200111153454295"</f>
        <v>20200111153454295</v>
      </c>
      <c r="B2928" t="str">
        <f>"1578728094289057"</f>
        <v>1578728094289057</v>
      </c>
      <c r="C2928" t="s">
        <v>37</v>
      </c>
      <c r="D2928">
        <v>5.0211100000000002</v>
      </c>
      <c r="E2928">
        <v>0.53085819999999995</v>
      </c>
      <c r="F2928" t="s">
        <v>52</v>
      </c>
      <c r="G2928">
        <v>-233.11410000000001</v>
      </c>
      <c r="H2928" s="1">
        <v>2.0144610000000001E-7</v>
      </c>
      <c r="I2928">
        <v>212.76169999999999</v>
      </c>
      <c r="J2928">
        <v>-283.45580000000001</v>
      </c>
      <c r="K2928">
        <v>1.1034600000000001</v>
      </c>
      <c r="L2928">
        <v>214.9735</v>
      </c>
      <c r="M2928">
        <v>0.99985740000000001</v>
      </c>
      <c r="N2928">
        <v>0</v>
      </c>
      <c r="O2928">
        <v>-1.2748499999999999E-2</v>
      </c>
      <c r="P2928">
        <v>0.99854019999999999</v>
      </c>
      <c r="Q2928">
        <v>3.8509370000000001E-2</v>
      </c>
      <c r="R2928">
        <v>3.7879610000000001E-2</v>
      </c>
      <c r="S2928">
        <v>3.0118099999999899</v>
      </c>
      <c r="T2928">
        <v>-6.5401669999999995E-2</v>
      </c>
      <c r="U2928">
        <v>-0.1314545</v>
      </c>
      <c r="V2928">
        <v>-5.0543039999999997E-2</v>
      </c>
      <c r="W2928">
        <v>4.9643430000000002E-2</v>
      </c>
      <c r="X2928">
        <v>0.99748729999999997</v>
      </c>
      <c r="Y2928">
        <v>3.0859850000000001E-2</v>
      </c>
      <c r="Z2928" s="1">
        <v>-5.8200620000000001E-5</v>
      </c>
      <c r="AA2928">
        <v>0.99952369999999902</v>
      </c>
      <c r="AB2928">
        <v>46</v>
      </c>
      <c r="AC2928">
        <v>50.341700000000003</v>
      </c>
      <c r="AD2928">
        <v>-1.1034597985539001</v>
      </c>
      <c r="AE2928">
        <v>-2.21180000000001</v>
      </c>
      <c r="AF2928">
        <v>1.56904729792312</v>
      </c>
      <c r="AG2928">
        <v>-1.1034597985539001</v>
      </c>
      <c r="AH2928">
        <v>50.341666760353903</v>
      </c>
      <c r="AI2928">
        <v>91.2550795172276</v>
      </c>
      <c r="AJ2928">
        <v>88.2147850884582</v>
      </c>
      <c r="AK2928">
        <v>50.378199105969102</v>
      </c>
    </row>
    <row r="2929" spans="1:37" x14ac:dyDescent="0.2">
      <c r="A2929" t="str">
        <f>"20200111153454318"</f>
        <v>20200111153454318</v>
      </c>
      <c r="B2929" t="str">
        <f>"1578728094308575"</f>
        <v>1578728094308575</v>
      </c>
      <c r="C2929" t="s">
        <v>37</v>
      </c>
      <c r="D2929">
        <v>5.039981</v>
      </c>
      <c r="E2929">
        <v>0.51219349999999997</v>
      </c>
      <c r="F2929" t="s">
        <v>52</v>
      </c>
      <c r="G2929">
        <v>-230.56710000000001</v>
      </c>
      <c r="H2929" s="1">
        <v>-1.1503240000000001E-6</v>
      </c>
      <c r="I2929">
        <v>212.67930000000001</v>
      </c>
      <c r="J2929">
        <v>-282.99799999999999</v>
      </c>
      <c r="K2929">
        <v>1.103513</v>
      </c>
      <c r="L2929">
        <v>214.9675</v>
      </c>
      <c r="M2929">
        <v>0.99985409999999997</v>
      </c>
      <c r="N2929">
        <v>0</v>
      </c>
      <c r="O2929">
        <v>-1.2994520000000001E-2</v>
      </c>
      <c r="P2929">
        <v>0.99852109999999905</v>
      </c>
      <c r="Q2929">
        <v>3.8834390000000003E-2</v>
      </c>
      <c r="R2929">
        <v>3.8045700000000002E-2</v>
      </c>
      <c r="S2929">
        <v>3.0118099999999899</v>
      </c>
      <c r="T2929">
        <v>-6.2837959999999998E-2</v>
      </c>
      <c r="U2929">
        <v>-0.13064580000000001</v>
      </c>
      <c r="V2929">
        <v>-5.0961279999999998E-2</v>
      </c>
      <c r="W2929">
        <v>4.9951559999999999E-2</v>
      </c>
      <c r="X2929">
        <v>0.99745059999999997</v>
      </c>
      <c r="Y2929">
        <v>3.034653E-2</v>
      </c>
      <c r="Z2929" s="1">
        <v>-4.5438909999999997E-5</v>
      </c>
      <c r="AA2929">
        <v>0.99953939999999997</v>
      </c>
      <c r="AB2929">
        <v>46</v>
      </c>
      <c r="AC2929">
        <v>52.430899999999902</v>
      </c>
      <c r="AD2929">
        <v>-1.103514150324</v>
      </c>
      <c r="AE2929">
        <v>-2.2881999999999798</v>
      </c>
      <c r="AF2929">
        <v>1.6059404793263199</v>
      </c>
      <c r="AG2929">
        <v>-1.103514150324</v>
      </c>
      <c r="AH2929">
        <v>52.433026009719597</v>
      </c>
      <c r="AI2929">
        <v>91.205113513096407</v>
      </c>
      <c r="AJ2929">
        <v>88.245669530281504</v>
      </c>
      <c r="AK2929">
        <v>52.469219594339698</v>
      </c>
    </row>
    <row r="2930" spans="1:37" x14ac:dyDescent="0.2">
      <c r="A2930" t="str">
        <f>"20200111153454340"</f>
        <v>20200111153454340</v>
      </c>
      <c r="B2930" t="str">
        <f>"1578728094329071"</f>
        <v>1578728094329071</v>
      </c>
      <c r="C2930" t="s">
        <v>37</v>
      </c>
      <c r="D2930">
        <v>4.9543080000000002</v>
      </c>
      <c r="E2930">
        <v>0.50955989999999995</v>
      </c>
      <c r="F2930" t="s">
        <v>52</v>
      </c>
      <c r="G2930">
        <v>-233.09799999999899</v>
      </c>
      <c r="H2930" s="1">
        <v>8.3032389999999997E-8</v>
      </c>
      <c r="I2930">
        <v>215.27520000000001</v>
      </c>
      <c r="J2930">
        <v>-282.54500000000002</v>
      </c>
      <c r="K2930">
        <v>1.103569</v>
      </c>
      <c r="L2930">
        <v>214.9614</v>
      </c>
      <c r="M2930">
        <v>0.99985170000000001</v>
      </c>
      <c r="N2930">
        <v>0</v>
      </c>
      <c r="O2930">
        <v>-1.3193450000000001E-2</v>
      </c>
      <c r="P2930">
        <v>0.9985096</v>
      </c>
      <c r="Q2930">
        <v>3.9144409999999998E-2</v>
      </c>
      <c r="R2930">
        <v>3.8028770000000003E-2</v>
      </c>
      <c r="S2930">
        <v>3.0063169999999899</v>
      </c>
      <c r="T2930">
        <v>-6.6483139999999996E-2</v>
      </c>
      <c r="U2930">
        <v>1.8539429999999999E-2</v>
      </c>
      <c r="V2930">
        <v>-5.1148399999999997E-2</v>
      </c>
      <c r="W2930">
        <v>5.0243500000000003E-2</v>
      </c>
      <c r="X2930">
        <v>0.99742640000000005</v>
      </c>
      <c r="Y2930">
        <v>-1.935222E-2</v>
      </c>
      <c r="Z2930">
        <v>5.0569630000000003E-4</v>
      </c>
      <c r="AA2930">
        <v>0.99981260000000005</v>
      </c>
      <c r="AB2930">
        <v>46</v>
      </c>
      <c r="AC2930">
        <v>49.447000000000003</v>
      </c>
      <c r="AD2930">
        <v>-1.1035689169676099</v>
      </c>
      <c r="AE2930">
        <v>0.31380000000001401</v>
      </c>
      <c r="AF2930">
        <v>-0.96570816915116797</v>
      </c>
      <c r="AG2930">
        <v>-1.1035689169676099</v>
      </c>
      <c r="AH2930">
        <v>49.413943144087</v>
      </c>
      <c r="AI2930">
        <v>91.279138288347099</v>
      </c>
      <c r="AJ2930">
        <v>91.119602203169094</v>
      </c>
      <c r="AK2930">
        <v>49.435697968871899</v>
      </c>
    </row>
    <row r="2931" spans="1:37" x14ac:dyDescent="0.2">
      <c r="A2931" t="str">
        <f>"20200111153454363"</f>
        <v>20200111153454363</v>
      </c>
      <c r="B2931" t="str">
        <f>"1578728094359327"</f>
        <v>1578728094359327</v>
      </c>
      <c r="C2931" t="s">
        <v>37</v>
      </c>
      <c r="D2931">
        <v>4.9642309999999998</v>
      </c>
      <c r="E2931">
        <v>0.50873049999999997</v>
      </c>
      <c r="F2931" t="s">
        <v>52</v>
      </c>
      <c r="G2931">
        <v>-233.63470000000001</v>
      </c>
      <c r="H2931" s="1">
        <v>3.5427159999999999E-7</v>
      </c>
      <c r="I2931">
        <v>215.6035</v>
      </c>
      <c r="J2931">
        <v>-282.07589999999999</v>
      </c>
      <c r="K2931">
        <v>1.103623</v>
      </c>
      <c r="L2931">
        <v>214.95509999999999</v>
      </c>
      <c r="M2931">
        <v>0.99984969999999995</v>
      </c>
      <c r="N2931">
        <v>0</v>
      </c>
      <c r="O2931">
        <v>-1.335424E-2</v>
      </c>
      <c r="P2931">
        <v>0.99849129999999997</v>
      </c>
      <c r="Q2931">
        <v>3.9802339999999999E-2</v>
      </c>
      <c r="R2931">
        <v>3.7831169999999997E-2</v>
      </c>
      <c r="S2931">
        <v>3.0056150000000001</v>
      </c>
      <c r="T2931">
        <v>-6.7816020000000005E-2</v>
      </c>
      <c r="U2931">
        <v>3.9459229999999998E-2</v>
      </c>
      <c r="V2931">
        <v>-5.1117259999999998E-2</v>
      </c>
      <c r="W2931">
        <v>5.0884029999999997E-2</v>
      </c>
      <c r="X2931">
        <v>0.99739549999999999</v>
      </c>
      <c r="Y2931">
        <v>-2.6469980000000001E-2</v>
      </c>
      <c r="Z2931">
        <v>5.9985189999999997E-4</v>
      </c>
      <c r="AA2931">
        <v>0.99964940000000002</v>
      </c>
      <c r="AB2931">
        <v>46</v>
      </c>
      <c r="AC2931">
        <v>48.441199999999903</v>
      </c>
      <c r="AD2931">
        <v>-1.1036226457284</v>
      </c>
      <c r="AE2931">
        <v>0.64840000000000897</v>
      </c>
      <c r="AF2931">
        <v>-1.29460527907552</v>
      </c>
      <c r="AG2931">
        <v>-1.1036226457284</v>
      </c>
      <c r="AH2931">
        <v>48.403101204612</v>
      </c>
      <c r="AI2931">
        <v>91.305688489149503</v>
      </c>
      <c r="AJ2931">
        <v>91.532086515977099</v>
      </c>
      <c r="AK2931">
        <v>48.432986610333003</v>
      </c>
    </row>
    <row r="2932" spans="1:37" x14ac:dyDescent="0.2">
      <c r="A2932" t="str">
        <f>"20200111153454385"</f>
        <v>20200111153454385</v>
      </c>
      <c r="B2932" t="str">
        <f>"1578728094378849"</f>
        <v>1578728094378849</v>
      </c>
      <c r="C2932" t="s">
        <v>37</v>
      </c>
      <c r="D2932">
        <v>6.1608159999999996</v>
      </c>
      <c r="E2932">
        <v>0.50899749999999999</v>
      </c>
      <c r="F2932" t="s">
        <v>52</v>
      </c>
      <c r="G2932">
        <v>-235.00739999999999</v>
      </c>
      <c r="H2932" s="1">
        <v>1.0818120000000001E-6</v>
      </c>
      <c r="I2932">
        <v>215.67009999999999</v>
      </c>
      <c r="J2932">
        <v>-281.61070000000001</v>
      </c>
      <c r="K2932">
        <v>1.103675</v>
      </c>
      <c r="L2932">
        <v>214.94880000000001</v>
      </c>
      <c r="M2932">
        <v>0.99984810000000002</v>
      </c>
      <c r="N2932">
        <v>0</v>
      </c>
      <c r="O2932">
        <v>-1.347865E-2</v>
      </c>
      <c r="P2932">
        <v>0.99848369999999997</v>
      </c>
      <c r="Q2932">
        <v>4.041931E-2</v>
      </c>
      <c r="R2932">
        <v>3.7368690000000003E-2</v>
      </c>
      <c r="S2932">
        <v>3.0056150000000001</v>
      </c>
      <c r="T2932">
        <v>-7.0472960000000001E-2</v>
      </c>
      <c r="U2932">
        <v>4.5654300000000002E-2</v>
      </c>
      <c r="V2932">
        <v>-5.0784200000000002E-2</v>
      </c>
      <c r="W2932">
        <v>5.148548E-2</v>
      </c>
      <c r="X2932">
        <v>0.99738169999999904</v>
      </c>
      <c r="Y2932">
        <v>-2.865287E-2</v>
      </c>
      <c r="Z2932">
        <v>6.5184149999999996E-4</v>
      </c>
      <c r="AA2932">
        <v>0.99958919999999996</v>
      </c>
      <c r="AB2932">
        <v>46</v>
      </c>
      <c r="AC2932">
        <v>46.603299999999997</v>
      </c>
      <c r="AD2932">
        <v>-1.103673918188</v>
      </c>
      <c r="AE2932">
        <v>0.72129999999998495</v>
      </c>
      <c r="AF2932">
        <v>-1.34866616992754</v>
      </c>
      <c r="AG2932">
        <v>-1.103673918188</v>
      </c>
      <c r="AH2932">
        <v>46.5632344172923</v>
      </c>
      <c r="AI2932">
        <v>91.357240888213298</v>
      </c>
      <c r="AJ2932">
        <v>91.659061760925994</v>
      </c>
      <c r="AK2932">
        <v>46.595834534379897</v>
      </c>
    </row>
    <row r="2933" spans="1:37" x14ac:dyDescent="0.2">
      <c r="A2933" t="str">
        <f>"20200111153454407"</f>
        <v>20200111153454407</v>
      </c>
      <c r="B2933" t="str">
        <f>"1578728094399342"</f>
        <v>1578728094399342</v>
      </c>
      <c r="C2933" t="s">
        <v>37</v>
      </c>
      <c r="D2933">
        <v>4.9635280000000002</v>
      </c>
      <c r="E2933">
        <v>0.50930070000000005</v>
      </c>
      <c r="F2933" t="s">
        <v>52</v>
      </c>
      <c r="G2933">
        <v>-230.77809999999999</v>
      </c>
      <c r="H2933" s="1">
        <v>-1.1684239999999999E-6</v>
      </c>
      <c r="I2933">
        <v>215.66130000000001</v>
      </c>
      <c r="J2933">
        <v>-281.15309999999999</v>
      </c>
      <c r="K2933">
        <v>1.1037189999999999</v>
      </c>
      <c r="L2933">
        <v>214.9426</v>
      </c>
      <c r="M2933">
        <v>0.99984709999999999</v>
      </c>
      <c r="N2933">
        <v>0</v>
      </c>
      <c r="O2933">
        <v>-1.3569029999999999E-2</v>
      </c>
      <c r="P2933">
        <v>0.99850799999999995</v>
      </c>
      <c r="Q2933">
        <v>4.0361889999999997E-2</v>
      </c>
      <c r="R2933">
        <v>3.6784230000000001E-2</v>
      </c>
      <c r="S2933">
        <v>3.0056150000000001</v>
      </c>
      <c r="T2933">
        <v>-6.5257789999999996E-2</v>
      </c>
      <c r="U2933">
        <v>4.2129519999999997E-2</v>
      </c>
      <c r="V2933">
        <v>-5.0295949999999999E-2</v>
      </c>
      <c r="W2933">
        <v>5.141453E-2</v>
      </c>
      <c r="X2933">
        <v>0.99741009999999997</v>
      </c>
      <c r="Y2933">
        <v>-2.75731E-2</v>
      </c>
      <c r="Z2933">
        <v>5.9386230000000001E-4</v>
      </c>
      <c r="AA2933">
        <v>0.99961959999999905</v>
      </c>
      <c r="AB2933">
        <v>46</v>
      </c>
      <c r="AC2933">
        <v>50.375</v>
      </c>
      <c r="AD2933">
        <v>-1.1037201684239999</v>
      </c>
      <c r="AE2933">
        <v>0.718700000000012</v>
      </c>
      <c r="AF2933">
        <v>-1.4015426192737199</v>
      </c>
      <c r="AG2933">
        <v>-1.1037201684239999</v>
      </c>
      <c r="AH2933">
        <v>50.336449909293499</v>
      </c>
      <c r="AI2933">
        <v>91.255628646113294</v>
      </c>
      <c r="AJ2933">
        <v>91.594902598704607</v>
      </c>
      <c r="AK2933">
        <v>50.3680524677562</v>
      </c>
    </row>
    <row r="2934" spans="1:37" x14ac:dyDescent="0.2">
      <c r="A2934" t="str">
        <f>"20200111153454428"</f>
        <v>20200111153454428</v>
      </c>
      <c r="B2934" t="str">
        <f>"1578728094418863"</f>
        <v>1578728094418863</v>
      </c>
      <c r="C2934" t="s">
        <v>37</v>
      </c>
      <c r="D2934">
        <v>5.0142610000000003</v>
      </c>
      <c r="E2934">
        <v>0.50917630000000003</v>
      </c>
      <c r="F2934" t="s">
        <v>52</v>
      </c>
      <c r="G2934">
        <v>-227.5247</v>
      </c>
      <c r="H2934" s="1">
        <v>2.4236340000000001E-6</v>
      </c>
      <c r="I2934">
        <v>215.6191</v>
      </c>
      <c r="J2934">
        <v>-280.70429999999999</v>
      </c>
      <c r="K2934">
        <v>1.1037489999999901</v>
      </c>
      <c r="L2934">
        <v>214.93639999999999</v>
      </c>
      <c r="M2934">
        <v>0.99984629999999997</v>
      </c>
      <c r="N2934">
        <v>0</v>
      </c>
      <c r="O2934">
        <v>-1.363088E-2</v>
      </c>
      <c r="P2934">
        <v>0.99855919999999898</v>
      </c>
      <c r="Q2934">
        <v>3.9780210000000003E-2</v>
      </c>
      <c r="R2934">
        <v>3.6017889999999997E-2</v>
      </c>
      <c r="S2934">
        <v>3.005585</v>
      </c>
      <c r="T2934">
        <v>-6.1857339999999997E-2</v>
      </c>
      <c r="U2934">
        <v>3.7918090000000002E-2</v>
      </c>
      <c r="V2934">
        <v>-4.9597830000000002E-2</v>
      </c>
      <c r="W2934">
        <v>5.0822119999999998E-2</v>
      </c>
      <c r="X2934">
        <v>0.99747540000000001</v>
      </c>
      <c r="Y2934">
        <v>-2.6235890000000001E-2</v>
      </c>
      <c r="Z2934">
        <v>5.5044869999999995E-4</v>
      </c>
      <c r="AA2934">
        <v>0.99965559999999998</v>
      </c>
      <c r="AB2934">
        <v>46</v>
      </c>
      <c r="AC2934">
        <v>53.179599999999901</v>
      </c>
      <c r="AD2934">
        <v>-1.1037465763659999</v>
      </c>
      <c r="AE2934">
        <v>0.68270000000001096</v>
      </c>
      <c r="AF2934">
        <v>-1.4069593999452901</v>
      </c>
      <c r="AG2934">
        <v>-1.1037465763659999</v>
      </c>
      <c r="AH2934">
        <v>53.142463820384002</v>
      </c>
      <c r="AI2934">
        <v>91.189421460896995</v>
      </c>
      <c r="AJ2934">
        <v>91.516565149849399</v>
      </c>
      <c r="AK2934">
        <v>53.172542276618302</v>
      </c>
    </row>
    <row r="2935" spans="1:37" x14ac:dyDescent="0.2">
      <c r="A2935" t="str">
        <f>"20200111153454451"</f>
        <v>20200111153454451</v>
      </c>
      <c r="B2935" t="str">
        <f>"1578728094439358"</f>
        <v>1578728094439358</v>
      </c>
      <c r="C2935" t="s">
        <v>37</v>
      </c>
      <c r="D2935">
        <v>4.997039</v>
      </c>
      <c r="E2935">
        <v>0.50895049999999997</v>
      </c>
      <c r="F2935" t="s">
        <v>52</v>
      </c>
      <c r="G2935">
        <v>-224.8229</v>
      </c>
      <c r="H2935" s="1">
        <v>9.8608140000000005E-7</v>
      </c>
      <c r="I2935">
        <v>215.61420000000001</v>
      </c>
      <c r="J2935">
        <v>-280.24509999999998</v>
      </c>
      <c r="K2935">
        <v>1.103782</v>
      </c>
      <c r="L2935">
        <v>214.93010000000001</v>
      </c>
      <c r="M2935">
        <v>0.99984569999999995</v>
      </c>
      <c r="N2935">
        <v>0</v>
      </c>
      <c r="O2935">
        <v>-1.367349E-2</v>
      </c>
      <c r="P2935">
        <v>0.99863080000000004</v>
      </c>
      <c r="Q2935">
        <v>3.890892E-2</v>
      </c>
      <c r="R2935">
        <v>3.4966400000000002E-2</v>
      </c>
      <c r="S2935">
        <v>3.0053709999999998</v>
      </c>
      <c r="T2935">
        <v>-5.9360860000000001E-2</v>
      </c>
      <c r="U2935">
        <v>3.645325E-2</v>
      </c>
      <c r="V2935">
        <v>-4.8594470000000001E-2</v>
      </c>
      <c r="W2935">
        <v>4.994109E-2</v>
      </c>
      <c r="X2935">
        <v>0.99756929999999999</v>
      </c>
      <c r="Y2935">
        <v>-2.5792969999999998E-2</v>
      </c>
      <c r="Z2935">
        <v>5.2474450000000001E-4</v>
      </c>
      <c r="AA2935">
        <v>0.99966719999999898</v>
      </c>
      <c r="AB2935">
        <v>46</v>
      </c>
      <c r="AC2935">
        <v>55.422199999999897</v>
      </c>
      <c r="AD2935">
        <v>-1.1037810139186</v>
      </c>
      <c r="AE2935">
        <v>0.68410000000000004</v>
      </c>
      <c r="AF2935">
        <v>-1.4413254168023</v>
      </c>
      <c r="AG2935">
        <v>-1.1037810139186</v>
      </c>
      <c r="AH2935">
        <v>55.3856986087279</v>
      </c>
      <c r="AI2935">
        <v>91.141309575093501</v>
      </c>
      <c r="AJ2935">
        <v>91.490695810367399</v>
      </c>
      <c r="AK2935">
        <v>55.415443351656499</v>
      </c>
    </row>
    <row r="2936" spans="1:37" x14ac:dyDescent="0.2">
      <c r="A2936" t="str">
        <f>"20200111153454474"</f>
        <v>20200111153454474</v>
      </c>
      <c r="B2936" t="str">
        <f>"1578728094468638"</f>
        <v>1578728094468638</v>
      </c>
      <c r="C2936" t="s">
        <v>37</v>
      </c>
      <c r="D2936">
        <v>5.0020439999999997</v>
      </c>
      <c r="E2936">
        <v>0.50858939999999997</v>
      </c>
      <c r="F2936" t="s">
        <v>52</v>
      </c>
      <c r="G2936">
        <v>-222.01050000000001</v>
      </c>
      <c r="H2936" s="1">
        <v>-5.1023139999999998E-7</v>
      </c>
      <c r="I2936">
        <v>215.607</v>
      </c>
      <c r="J2936">
        <v>-279.76130000000001</v>
      </c>
      <c r="K2936">
        <v>1.1038159999999999</v>
      </c>
      <c r="L2936">
        <v>214.92349999999999</v>
      </c>
      <c r="M2936">
        <v>0.99984530000000005</v>
      </c>
      <c r="N2936">
        <v>0</v>
      </c>
      <c r="O2936">
        <v>-1.370269E-2</v>
      </c>
      <c r="P2936">
        <v>0.99864900000000001</v>
      </c>
      <c r="Q2936">
        <v>3.8650619999999997E-2</v>
      </c>
      <c r="R2936">
        <v>3.473325E-2</v>
      </c>
      <c r="S2936">
        <v>3.0051269999999999</v>
      </c>
      <c r="T2936">
        <v>-5.6959269999999999E-2</v>
      </c>
      <c r="U2936">
        <v>3.4927369999999999E-2</v>
      </c>
      <c r="V2936">
        <v>-4.8394850000000003E-2</v>
      </c>
      <c r="W2936">
        <v>4.9677239999999998E-2</v>
      </c>
      <c r="X2936">
        <v>0.99759219999999904</v>
      </c>
      <c r="Y2936">
        <v>-2.5316310000000002E-2</v>
      </c>
      <c r="Z2936">
        <v>4.9959750000000002E-4</v>
      </c>
      <c r="AA2936">
        <v>0.9996794</v>
      </c>
      <c r="AB2936">
        <v>46</v>
      </c>
      <c r="AC2936">
        <v>57.750799999999998</v>
      </c>
      <c r="AD2936">
        <v>-1.1038165102313999</v>
      </c>
      <c r="AE2936">
        <v>0.68350000000000899</v>
      </c>
      <c r="AF2936">
        <v>-1.4742867370678101</v>
      </c>
      <c r="AG2936">
        <v>-1.1038165102313999</v>
      </c>
      <c r="AH2936">
        <v>57.714929301145801</v>
      </c>
      <c r="AI2936">
        <v>91.095309353972993</v>
      </c>
      <c r="AJ2936">
        <v>91.463261645223497</v>
      </c>
      <c r="AK2936">
        <v>57.744307048466702</v>
      </c>
    </row>
    <row r="2937" spans="1:37" x14ac:dyDescent="0.2">
      <c r="A2937" t="str">
        <f>"20200111153454496"</f>
        <v>20200111153454496</v>
      </c>
      <c r="B2937" t="str">
        <f>"1578728094489134"</f>
        <v>1578728094489134</v>
      </c>
      <c r="C2937" t="s">
        <v>37</v>
      </c>
      <c r="D2937">
        <v>4.9974819999999998</v>
      </c>
      <c r="E2937">
        <v>0.5083877</v>
      </c>
      <c r="F2937" t="s">
        <v>52</v>
      </c>
      <c r="G2937">
        <v>-217.23670000000001</v>
      </c>
      <c r="H2937" s="1">
        <v>2.2672359999999998E-6</v>
      </c>
      <c r="I2937">
        <v>215.6909</v>
      </c>
      <c r="J2937">
        <v>-279.29750000000001</v>
      </c>
      <c r="K2937">
        <v>1.103842</v>
      </c>
      <c r="L2937">
        <v>214.9171</v>
      </c>
      <c r="M2937">
        <v>0.99984490000000004</v>
      </c>
      <c r="N2937">
        <v>0</v>
      </c>
      <c r="O2937">
        <v>-1.372014E-2</v>
      </c>
      <c r="P2937">
        <v>0.99866089999999996</v>
      </c>
      <c r="Q2937">
        <v>3.8625840000000002E-2</v>
      </c>
      <c r="R2937">
        <v>3.4419440000000003E-2</v>
      </c>
      <c r="S2937">
        <v>3.0048219999999999</v>
      </c>
      <c r="T2937">
        <v>-5.3047299999999999E-2</v>
      </c>
      <c r="U2937">
        <v>3.6880490000000002E-2</v>
      </c>
      <c r="V2937">
        <v>-4.8102350000000002E-2</v>
      </c>
      <c r="W2937">
        <v>4.9659160000000001E-2</v>
      </c>
      <c r="X2937">
        <v>0.99760720000000003</v>
      </c>
      <c r="Y2937">
        <v>-2.598545E-2</v>
      </c>
      <c r="Z2937">
        <v>4.7155009999999998E-4</v>
      </c>
      <c r="AA2937">
        <v>0.99966219999999995</v>
      </c>
      <c r="AB2937">
        <v>46</v>
      </c>
      <c r="AC2937">
        <v>62.0608</v>
      </c>
      <c r="AD2937">
        <v>-1.1038397327639999</v>
      </c>
      <c r="AE2937">
        <v>0.77379999999999405</v>
      </c>
      <c r="AF2937">
        <v>-1.6247480179104701</v>
      </c>
      <c r="AG2937">
        <v>-1.1038397327639999</v>
      </c>
      <c r="AH2937">
        <v>62.024721590560702</v>
      </c>
      <c r="AI2937">
        <v>91.019222649025394</v>
      </c>
      <c r="AJ2937">
        <v>91.500529432795602</v>
      </c>
      <c r="AK2937">
        <v>62.055816461181898</v>
      </c>
    </row>
    <row r="2938" spans="1:37" x14ac:dyDescent="0.2">
      <c r="A2938" t="str">
        <f>"20200111153454519"</f>
        <v>20200111153454519</v>
      </c>
      <c r="B2938" t="str">
        <f>"1578728094508654"</f>
        <v>1578728094508654</v>
      </c>
      <c r="C2938" t="s">
        <v>37</v>
      </c>
      <c r="D2938">
        <v>5.0280420000000001</v>
      </c>
      <c r="E2938">
        <v>0.50828039999999997</v>
      </c>
      <c r="F2938" t="s">
        <v>52</v>
      </c>
      <c r="G2938">
        <v>-213.61770000000001</v>
      </c>
      <c r="H2938" s="1">
        <v>3.3921290000000002E-7</v>
      </c>
      <c r="I2938">
        <v>215.74090000000001</v>
      </c>
      <c r="J2938">
        <v>-278.84699999999998</v>
      </c>
      <c r="K2938">
        <v>1.103866</v>
      </c>
      <c r="L2938">
        <v>214.9109</v>
      </c>
      <c r="M2938">
        <v>0.99984470000000003</v>
      </c>
      <c r="N2938">
        <v>0</v>
      </c>
      <c r="O2938">
        <v>-1.3731139999999999E-2</v>
      </c>
      <c r="P2938">
        <v>0.99864629999999999</v>
      </c>
      <c r="Q2938">
        <v>3.8573709999999997E-2</v>
      </c>
      <c r="R2938">
        <v>3.4904070000000002E-2</v>
      </c>
      <c r="S2938">
        <v>3.0047000000000001</v>
      </c>
      <c r="T2938">
        <v>-5.0498250000000001E-2</v>
      </c>
      <c r="U2938">
        <v>3.7689210000000001E-2</v>
      </c>
      <c r="V2938">
        <v>-4.860047E-2</v>
      </c>
      <c r="W2938">
        <v>4.9622949999999999E-2</v>
      </c>
      <c r="X2938">
        <v>0.9975849</v>
      </c>
      <c r="Y2938">
        <v>-2.626651E-2</v>
      </c>
      <c r="Z2938">
        <v>4.5145839999999999E-4</v>
      </c>
      <c r="AA2938">
        <v>0.99965490000000001</v>
      </c>
      <c r="AB2938">
        <v>46</v>
      </c>
      <c r="AC2938">
        <v>65.229299999999895</v>
      </c>
      <c r="AD2938">
        <v>-1.1038656607871</v>
      </c>
      <c r="AE2938">
        <v>0.83000000000001195</v>
      </c>
      <c r="AF2938">
        <v>-1.7251550716852899</v>
      </c>
      <c r="AG2938">
        <v>-1.1038656607871</v>
      </c>
      <c r="AH2938">
        <v>65.193084955344204</v>
      </c>
      <c r="AI2938">
        <v>90.969714409747795</v>
      </c>
      <c r="AJ2938">
        <v>91.515820926454396</v>
      </c>
      <c r="AK2938">
        <v>65.225248220402804</v>
      </c>
    </row>
    <row r="2939" spans="1:37" x14ac:dyDescent="0.2">
      <c r="A2939" t="str">
        <f>"20200111153454540"</f>
        <v>20200111153454540</v>
      </c>
      <c r="B2939" t="str">
        <f>"1578728094529150"</f>
        <v>1578728094529150</v>
      </c>
      <c r="C2939" t="s">
        <v>37</v>
      </c>
      <c r="D2939">
        <v>5.0566230000000001</v>
      </c>
      <c r="E2939">
        <v>0.50827500000000003</v>
      </c>
      <c r="F2939" t="s">
        <v>52</v>
      </c>
      <c r="G2939">
        <v>-214.85310000000001</v>
      </c>
      <c r="H2939" s="1">
        <v>9.9575969999999999E-7</v>
      </c>
      <c r="I2939">
        <v>215.761</v>
      </c>
      <c r="J2939">
        <v>-278.39339999999999</v>
      </c>
      <c r="K2939">
        <v>1.1038870000000001</v>
      </c>
      <c r="L2939">
        <v>214.90459999999999</v>
      </c>
      <c r="M2939">
        <v>0.99984430000000002</v>
      </c>
      <c r="N2939">
        <v>0</v>
      </c>
      <c r="O2939">
        <v>-1.373805E-2</v>
      </c>
      <c r="P2939">
        <v>0.99864629999999999</v>
      </c>
      <c r="Q2939">
        <v>3.829805E-2</v>
      </c>
      <c r="R2939">
        <v>3.5200719999999998E-2</v>
      </c>
      <c r="S2939">
        <v>3.0047000000000001</v>
      </c>
      <c r="T2939">
        <v>-5.1829699999999999E-2</v>
      </c>
      <c r="U2939">
        <v>3.9916989999999999E-2</v>
      </c>
      <c r="V2939">
        <v>-4.890601E-2</v>
      </c>
      <c r="W2939">
        <v>4.9366729999999998E-2</v>
      </c>
      <c r="X2939">
        <v>0.99758259999999899</v>
      </c>
      <c r="Y2939">
        <v>-2.701404E-2</v>
      </c>
      <c r="Z2939">
        <v>4.6992369999999999E-4</v>
      </c>
      <c r="AA2939">
        <v>0.99963489999999999</v>
      </c>
      <c r="AB2939">
        <v>46</v>
      </c>
      <c r="AC2939">
        <v>63.540299999999903</v>
      </c>
      <c r="AD2939">
        <v>-1.1038860042403</v>
      </c>
      <c r="AE2939">
        <v>0.85640000000000704</v>
      </c>
      <c r="AF2939">
        <v>-1.72877083675878</v>
      </c>
      <c r="AG2939">
        <v>-1.1038860042403</v>
      </c>
      <c r="AH2939">
        <v>63.503373694200398</v>
      </c>
      <c r="AI2939">
        <v>90.9955096758531</v>
      </c>
      <c r="AJ2939">
        <v>91.559394542197793</v>
      </c>
      <c r="AK2939">
        <v>63.536490959618199</v>
      </c>
    </row>
    <row r="2940" spans="1:37" x14ac:dyDescent="0.2">
      <c r="A2940" t="str">
        <f>"20200111153454563"</f>
        <v>20200111153454563</v>
      </c>
      <c r="B2940" t="str">
        <f>"1578728094559407"</f>
        <v>1578728094559407</v>
      </c>
      <c r="C2940" t="s">
        <v>37</v>
      </c>
      <c r="D2940">
        <v>5.0373669999999997</v>
      </c>
      <c r="E2940">
        <v>0.50134060000000003</v>
      </c>
      <c r="F2940" t="s">
        <v>52</v>
      </c>
      <c r="G2940">
        <v>-218.60769999999999</v>
      </c>
      <c r="H2940" s="1">
        <v>2.9956970000000001E-6</v>
      </c>
      <c r="I2940">
        <v>215.7174</v>
      </c>
      <c r="J2940">
        <v>-277.92360000000002</v>
      </c>
      <c r="K2940">
        <v>1.1039129999999999</v>
      </c>
      <c r="L2940">
        <v>214.8982</v>
      </c>
      <c r="M2940">
        <v>0.99984379999999995</v>
      </c>
      <c r="N2940">
        <v>0</v>
      </c>
      <c r="O2940">
        <v>-1.374324E-2</v>
      </c>
      <c r="P2940">
        <v>0.99861809999999995</v>
      </c>
      <c r="Q2940">
        <v>3.813714E-2</v>
      </c>
      <c r="R2940">
        <v>3.6158509999999998E-2</v>
      </c>
      <c r="S2940">
        <v>3.004791</v>
      </c>
      <c r="T2940">
        <v>-5.5480599999999998E-2</v>
      </c>
      <c r="U2940">
        <v>4.084778E-2</v>
      </c>
      <c r="V2940">
        <v>-4.9870539999999998E-2</v>
      </c>
      <c r="W2940">
        <v>4.9232430000000001E-2</v>
      </c>
      <c r="X2940">
        <v>0.99754149999999997</v>
      </c>
      <c r="Y2940">
        <v>-2.7327489999999999E-2</v>
      </c>
      <c r="Z2940">
        <v>5.0599290000000001E-4</v>
      </c>
      <c r="AA2940">
        <v>0.99962640000000003</v>
      </c>
      <c r="AB2940">
        <v>46</v>
      </c>
      <c r="AC2940">
        <v>59.315899999999999</v>
      </c>
      <c r="AD2940">
        <v>-1.1039100043029999</v>
      </c>
      <c r="AE2940">
        <v>0.81919999999999404</v>
      </c>
      <c r="AF2940">
        <v>-1.6337998432576</v>
      </c>
      <c r="AG2940">
        <v>-1.1039100043029999</v>
      </c>
      <c r="AH2940">
        <v>59.278510527292902</v>
      </c>
      <c r="AI2940">
        <v>91.066458528082606</v>
      </c>
      <c r="AJ2940">
        <v>91.578753287663602</v>
      </c>
      <c r="AK2940">
        <v>59.311295126306298</v>
      </c>
    </row>
    <row r="2941" spans="1:37" x14ac:dyDescent="0.2">
      <c r="A2941" t="str">
        <f>"20200111153454586"</f>
        <v>20200111153454586</v>
      </c>
      <c r="B2941" t="str">
        <f>"1578728094578927"</f>
        <v>1578728094578927</v>
      </c>
      <c r="C2941" t="s">
        <v>37</v>
      </c>
      <c r="D2941">
        <v>5.0141470000000004</v>
      </c>
      <c r="E2941">
        <v>0.50146809999999997</v>
      </c>
      <c r="F2941" t="s">
        <v>52</v>
      </c>
      <c r="G2941">
        <v>-231.53229999999999</v>
      </c>
      <c r="H2941" s="1">
        <v>-8.0048659999999999E-7</v>
      </c>
      <c r="I2941">
        <v>216.42670000000001</v>
      </c>
      <c r="J2941">
        <v>-277.42829999999998</v>
      </c>
      <c r="K2941">
        <v>1.103934</v>
      </c>
      <c r="L2941">
        <v>214.8913</v>
      </c>
      <c r="M2941">
        <v>0.99984340000000005</v>
      </c>
      <c r="N2941">
        <v>0</v>
      </c>
      <c r="O2941">
        <v>-1.374767E-2</v>
      </c>
      <c r="P2941">
        <v>0.99857960000000001</v>
      </c>
      <c r="Q2941">
        <v>3.8354409999999999E-2</v>
      </c>
      <c r="R2941">
        <v>3.698734E-2</v>
      </c>
      <c r="S2941">
        <v>3.00329599999999</v>
      </c>
      <c r="T2941">
        <v>-7.1465609999999999E-2</v>
      </c>
      <c r="U2941">
        <v>9.8953250000000006E-2</v>
      </c>
      <c r="V2941">
        <v>-5.0705149999999997E-2</v>
      </c>
      <c r="W2941">
        <v>4.9486750000000003E-2</v>
      </c>
      <c r="X2941">
        <v>0.99748689999999995</v>
      </c>
      <c r="Y2941">
        <v>-4.665122E-2</v>
      </c>
      <c r="Z2941">
        <v>8.8185279999999997E-4</v>
      </c>
      <c r="AA2941">
        <v>0.99891079999999999</v>
      </c>
      <c r="AB2941">
        <v>46</v>
      </c>
      <c r="AC2941">
        <v>45.896000000000001</v>
      </c>
      <c r="AD2941">
        <v>-1.1039348004866001</v>
      </c>
      <c r="AE2941">
        <v>1.5354000000000101</v>
      </c>
      <c r="AF2941">
        <v>-2.1650059693398398</v>
      </c>
      <c r="AG2941">
        <v>-1.1039348004866001</v>
      </c>
      <c r="AH2941">
        <v>45.844059434171903</v>
      </c>
      <c r="AI2941">
        <v>91.377893029023696</v>
      </c>
      <c r="AJ2941">
        <v>92.703809655358199</v>
      </c>
      <c r="AK2941">
        <v>45.908427421279498</v>
      </c>
    </row>
    <row r="2942" spans="1:37" x14ac:dyDescent="0.2">
      <c r="A2942" t="str">
        <f>"20200111153454608"</f>
        <v>20200111153454608</v>
      </c>
      <c r="B2942" t="str">
        <f>"1578728094599423"</f>
        <v>1578728094599423</v>
      </c>
      <c r="C2942" t="s">
        <v>37</v>
      </c>
      <c r="D2942">
        <v>5.0140909999999996</v>
      </c>
      <c r="E2942">
        <v>0.50017299999999998</v>
      </c>
      <c r="F2942" t="s">
        <v>50</v>
      </c>
      <c r="G2942">
        <v>-204.4451</v>
      </c>
      <c r="H2942" s="1">
        <v>3.9509370000000001E-6</v>
      </c>
      <c r="I2942">
        <v>217.3305</v>
      </c>
      <c r="J2942">
        <v>-276.98379999999997</v>
      </c>
      <c r="K2942">
        <v>1.103952</v>
      </c>
      <c r="L2942">
        <v>214.8852</v>
      </c>
      <c r="M2942">
        <v>0.99984280000000003</v>
      </c>
      <c r="N2942">
        <v>0</v>
      </c>
      <c r="O2942">
        <v>-1.37510999999999E-2</v>
      </c>
      <c r="P2942">
        <v>0.99854359999999998</v>
      </c>
      <c r="Q2942">
        <v>3.8739379999999997E-2</v>
      </c>
      <c r="R2942">
        <v>3.754764E-2</v>
      </c>
      <c r="S2942">
        <v>3.00228899999999</v>
      </c>
      <c r="T2942">
        <v>-4.5412059999999997E-2</v>
      </c>
      <c r="U2942">
        <v>0.10034179999999999</v>
      </c>
      <c r="V2942">
        <v>-5.1269589999999997E-2</v>
      </c>
      <c r="W2942">
        <v>4.991251E-2</v>
      </c>
      <c r="X2942">
        <v>0.99743680000000001</v>
      </c>
      <c r="Y2942">
        <v>-4.7137289999999998E-2</v>
      </c>
      <c r="Z2942">
        <v>5.6432189999999999E-4</v>
      </c>
      <c r="AA2942">
        <v>0.99888829999999995</v>
      </c>
      <c r="AB2942">
        <v>46</v>
      </c>
      <c r="AC2942">
        <v>72.538699999999906</v>
      </c>
      <c r="AD2942">
        <v>-1.103948049063</v>
      </c>
      <c r="AE2942">
        <v>2.4453</v>
      </c>
      <c r="AF2942">
        <v>-3.4418219168230602</v>
      </c>
      <c r="AG2942">
        <v>-1.103948049063</v>
      </c>
      <c r="AH2942">
        <v>72.481444485135995</v>
      </c>
      <c r="AI2942">
        <v>90.871609261713999</v>
      </c>
      <c r="AJ2942">
        <v>92.718679921554298</v>
      </c>
      <c r="AK2942">
        <v>72.571513929736895</v>
      </c>
    </row>
    <row r="2943" spans="1:37" x14ac:dyDescent="0.2">
      <c r="A2943" t="str">
        <f>"20200111153454630"</f>
        <v>20200111153454630</v>
      </c>
      <c r="B2943" t="str">
        <f>"1578728094618942"</f>
        <v>1578728094618942</v>
      </c>
      <c r="C2943" t="s">
        <v>37</v>
      </c>
      <c r="D2943">
        <v>5.0370349999999897</v>
      </c>
      <c r="E2943">
        <v>0.49965399999999999</v>
      </c>
      <c r="F2943" t="s">
        <v>50</v>
      </c>
      <c r="G2943">
        <v>-198.19579999999999</v>
      </c>
      <c r="H2943" s="1">
        <v>2.229599E-6</v>
      </c>
      <c r="I2943">
        <v>217.8329</v>
      </c>
      <c r="J2943">
        <v>-276.51780000000002</v>
      </c>
      <c r="K2943">
        <v>1.1039699999999999</v>
      </c>
      <c r="L2943">
        <v>214.87880000000001</v>
      </c>
      <c r="M2943">
        <v>0.99984229999999996</v>
      </c>
      <c r="N2943">
        <v>0</v>
      </c>
      <c r="O2943">
        <v>-1.375447E-2</v>
      </c>
      <c r="P2943">
        <v>0.99853389999999997</v>
      </c>
      <c r="Q2943">
        <v>3.9074959999999999E-2</v>
      </c>
      <c r="R2943">
        <v>3.7461599999999998E-2</v>
      </c>
      <c r="S2943">
        <v>3.00177</v>
      </c>
      <c r="T2943">
        <v>-4.2059779999999998E-2</v>
      </c>
      <c r="U2943">
        <v>0.11230469999999999</v>
      </c>
      <c r="V2943">
        <v>-5.118727E-2</v>
      </c>
      <c r="W2943">
        <v>5.0294930000000002E-2</v>
      </c>
      <c r="X2943">
        <v>0.99742180000000003</v>
      </c>
      <c r="Y2943">
        <v>-5.112249E-2</v>
      </c>
      <c r="Z2943">
        <v>5.5067879999999895E-4</v>
      </c>
      <c r="AA2943">
        <v>0.99869219999999903</v>
      </c>
      <c r="AB2943">
        <v>46</v>
      </c>
      <c r="AC2943">
        <v>78.322000000000003</v>
      </c>
      <c r="AD2943">
        <v>-1.103967770401</v>
      </c>
      <c r="AE2943">
        <v>2.95409999999998</v>
      </c>
      <c r="AF2943">
        <v>-4.0303664922903497</v>
      </c>
      <c r="AG2943">
        <v>-1.103967770401</v>
      </c>
      <c r="AH2943">
        <v>78.258429400631897</v>
      </c>
      <c r="AI2943">
        <v>90.807130924722301</v>
      </c>
      <c r="AJ2943">
        <v>92.948169992333206</v>
      </c>
      <c r="AK2943">
        <v>78.3699200660174</v>
      </c>
    </row>
    <row r="2944" spans="1:37" x14ac:dyDescent="0.2">
      <c r="A2944" t="str">
        <f>"20200111153454653"</f>
        <v>20200111153454653</v>
      </c>
      <c r="B2944" t="str">
        <f>"1578728094649201"</f>
        <v>1578728094649201</v>
      </c>
      <c r="C2944" t="s">
        <v>37</v>
      </c>
      <c r="D2944">
        <v>5.0558239999999897</v>
      </c>
      <c r="E2944">
        <v>0.4993725</v>
      </c>
      <c r="F2944" t="s">
        <v>50</v>
      </c>
      <c r="G2944">
        <v>-194.1002</v>
      </c>
      <c r="H2944" s="1">
        <v>2.9350930000000001E-6</v>
      </c>
      <c r="I2944">
        <v>218.07310000000001</v>
      </c>
      <c r="J2944">
        <v>-276.05829999999997</v>
      </c>
      <c r="K2944">
        <v>1.1039870000000001</v>
      </c>
      <c r="L2944">
        <v>214.8725</v>
      </c>
      <c r="M2944">
        <v>0.99984150000000005</v>
      </c>
      <c r="N2944">
        <v>0</v>
      </c>
      <c r="O2944">
        <v>-1.3755740000000001E-2</v>
      </c>
      <c r="P2944">
        <v>0.99851849999999998</v>
      </c>
      <c r="Q2944">
        <v>3.9960120000000002E-2</v>
      </c>
      <c r="R2944">
        <v>3.693312E-2</v>
      </c>
      <c r="S2944">
        <v>3.0015559999999999</v>
      </c>
      <c r="T2944">
        <v>-4.0205240000000003E-2</v>
      </c>
      <c r="U2944">
        <v>0.11633299999999901</v>
      </c>
      <c r="V2944">
        <v>-5.0660730000000001E-2</v>
      </c>
      <c r="W2944">
        <v>5.123262E-2</v>
      </c>
      <c r="X2944">
        <v>0.99740099999999998</v>
      </c>
      <c r="Y2944">
        <v>-5.2465190000000002E-2</v>
      </c>
      <c r="Z2944">
        <v>5.3543030000000004E-4</v>
      </c>
      <c r="AA2944">
        <v>0.99862260000000003</v>
      </c>
      <c r="AB2944">
        <v>46</v>
      </c>
      <c r="AC2944">
        <v>81.958099999999902</v>
      </c>
      <c r="AD2944">
        <v>-1.1039840649070001</v>
      </c>
      <c r="AE2944">
        <v>3.2006000000000001</v>
      </c>
      <c r="AF2944">
        <v>-4.3269795662299</v>
      </c>
      <c r="AG2944">
        <v>-1.1039840649070001</v>
      </c>
      <c r="AH2944">
        <v>81.891479070916404</v>
      </c>
      <c r="AI2944">
        <v>90.771285363350302</v>
      </c>
      <c r="AJ2944">
        <v>93.024580082001094</v>
      </c>
      <c r="AK2944">
        <v>82.013144540399594</v>
      </c>
    </row>
    <row r="2945" spans="1:37" x14ac:dyDescent="0.2">
      <c r="A2945" t="str">
        <f>"20200111153454674"</f>
        <v>20200111153454674</v>
      </c>
      <c r="B2945" t="str">
        <f>"1578728094668721"</f>
        <v>1578728094668721</v>
      </c>
      <c r="C2945" t="s">
        <v>37</v>
      </c>
      <c r="D2945">
        <v>5.1168610000000001</v>
      </c>
      <c r="E2945">
        <v>0.49929220000000002</v>
      </c>
      <c r="F2945" t="s">
        <v>50</v>
      </c>
      <c r="G2945">
        <v>-192.1199</v>
      </c>
      <c r="H2945" s="1">
        <v>3.280133E-6</v>
      </c>
      <c r="I2945">
        <v>218.14429999999999</v>
      </c>
      <c r="J2945">
        <v>-275.60059999999999</v>
      </c>
      <c r="K2945">
        <v>1.1040159999999899</v>
      </c>
      <c r="L2945">
        <v>214.86609999999999</v>
      </c>
      <c r="M2945">
        <v>0.99984099999999998</v>
      </c>
      <c r="N2945">
        <v>0</v>
      </c>
      <c r="O2945">
        <v>-1.3751599999999999E-2</v>
      </c>
      <c r="P2945">
        <v>0.99852759999999996</v>
      </c>
      <c r="Q2945">
        <v>4.0065459999999997E-2</v>
      </c>
      <c r="R2945">
        <v>3.6573670000000003E-2</v>
      </c>
      <c r="S2945">
        <v>3.001709</v>
      </c>
      <c r="T2945">
        <v>-3.947937E-2</v>
      </c>
      <c r="U2945">
        <v>0.117004399999999</v>
      </c>
      <c r="V2945">
        <v>-5.0298820000000001E-2</v>
      </c>
      <c r="W2945">
        <v>5.1405480000000003E-2</v>
      </c>
      <c r="X2945">
        <v>0.99741039999999903</v>
      </c>
      <c r="Y2945">
        <v>-5.2682319999999998E-2</v>
      </c>
      <c r="Z2945">
        <v>5.2710859999999997E-4</v>
      </c>
      <c r="AA2945">
        <v>0.99861119999999903</v>
      </c>
      <c r="AB2945">
        <v>47</v>
      </c>
      <c r="AC2945">
        <v>83.480699999999899</v>
      </c>
      <c r="AD2945">
        <v>-1.10401271986699</v>
      </c>
      <c r="AE2945">
        <v>3.2781999999999898</v>
      </c>
      <c r="AF2945">
        <v>-4.4251844036030601</v>
      </c>
      <c r="AG2945">
        <v>-1.10401271986699</v>
      </c>
      <c r="AH2945">
        <v>83.4131558024675</v>
      </c>
      <c r="AI2945">
        <v>90.757227850832507</v>
      </c>
      <c r="AJ2945">
        <v>93.036774302523696</v>
      </c>
      <c r="AK2945">
        <v>83.537749921925894</v>
      </c>
    </row>
    <row r="2946" spans="1:37" x14ac:dyDescent="0.2">
      <c r="A2946" t="str">
        <f>"20200111153454697"</f>
        <v>20200111153454697</v>
      </c>
      <c r="B2946" t="str">
        <f>"1578728094689217"</f>
        <v>1578728094689217</v>
      </c>
      <c r="C2946" t="s">
        <v>37</v>
      </c>
      <c r="D2946">
        <v>5.1057540000000001</v>
      </c>
      <c r="E2946">
        <v>0.49929659999999898</v>
      </c>
      <c r="F2946" t="s">
        <v>50</v>
      </c>
      <c r="G2946">
        <v>-193.97219999999999</v>
      </c>
      <c r="H2946" s="1">
        <v>2.96095599999999E-6</v>
      </c>
      <c r="I2946">
        <v>218.03700000000001</v>
      </c>
      <c r="J2946">
        <v>-275.12430000000001</v>
      </c>
      <c r="K2946">
        <v>1.104044</v>
      </c>
      <c r="L2946">
        <v>214.8596</v>
      </c>
      <c r="M2946">
        <v>0.99983999999999995</v>
      </c>
      <c r="N2946">
        <v>0</v>
      </c>
      <c r="O2946">
        <v>-1.373601E-2</v>
      </c>
      <c r="P2946">
        <v>0.99854120000000002</v>
      </c>
      <c r="Q2946">
        <v>4.0115690000000002E-2</v>
      </c>
      <c r="R2946">
        <v>3.6146070000000002E-2</v>
      </c>
      <c r="S2946">
        <v>3.0018310000000001</v>
      </c>
      <c r="T2946">
        <v>-4.0599349999999999E-2</v>
      </c>
      <c r="U2946">
        <v>0.11660769999999999</v>
      </c>
      <c r="V2946">
        <v>-4.985709E-2</v>
      </c>
      <c r="W2946">
        <v>5.1550720000000001E-2</v>
      </c>
      <c r="X2946">
        <v>0.99742509999999995</v>
      </c>
      <c r="Y2946">
        <v>-5.2533089999999998E-2</v>
      </c>
      <c r="Z2946">
        <v>5.4082049999999997E-4</v>
      </c>
      <c r="AA2946">
        <v>0.99861900000000003</v>
      </c>
      <c r="AB2946">
        <v>47</v>
      </c>
      <c r="AC2946">
        <v>81.152100000000004</v>
      </c>
      <c r="AD2946">
        <v>-1.1040410390440001</v>
      </c>
      <c r="AE2946">
        <v>3.1774</v>
      </c>
      <c r="AF2946">
        <v>-4.29108643710821</v>
      </c>
      <c r="AG2946">
        <v>-1.1040410390440001</v>
      </c>
      <c r="AH2946">
        <v>81.085810378441394</v>
      </c>
      <c r="AI2946">
        <v>90.778984728701303</v>
      </c>
      <c r="AJ2946">
        <v>93.029284777056702</v>
      </c>
      <c r="AK2946">
        <v>81.206779114524593</v>
      </c>
    </row>
    <row r="2947" spans="1:37" x14ac:dyDescent="0.2">
      <c r="A2947" t="str">
        <f>"20200111153454720"</f>
        <v>20200111153454720</v>
      </c>
      <c r="B2947" t="str">
        <f>"1578728094708735"</f>
        <v>1578728094708735</v>
      </c>
      <c r="C2947" t="s">
        <v>37</v>
      </c>
      <c r="D2947">
        <v>5.0974019999999998</v>
      </c>
      <c r="E2947">
        <v>0.49933059999999901</v>
      </c>
      <c r="F2947" t="s">
        <v>50</v>
      </c>
      <c r="G2947">
        <v>-195.3578</v>
      </c>
      <c r="H2947" s="1">
        <v>2.7257960000000001E-6</v>
      </c>
      <c r="I2947">
        <v>217.91550000000001</v>
      </c>
      <c r="J2947">
        <v>-274.67469999999997</v>
      </c>
      <c r="K2947">
        <v>1.1040809999999901</v>
      </c>
      <c r="L2947">
        <v>214.8535</v>
      </c>
      <c r="M2947">
        <v>0.99983919999999904</v>
      </c>
      <c r="N2947">
        <v>0</v>
      </c>
      <c r="O2947">
        <v>-1.3698810000000001E-2</v>
      </c>
      <c r="P2947">
        <v>0.99856819999999902</v>
      </c>
      <c r="Q2947">
        <v>3.9957930000000003E-2</v>
      </c>
      <c r="R2947">
        <v>3.556662E-2</v>
      </c>
      <c r="S2947">
        <v>3.0019230000000001</v>
      </c>
      <c r="T2947">
        <v>-4.1549320000000001E-2</v>
      </c>
      <c r="U2947">
        <v>0.1150055</v>
      </c>
      <c r="V2947">
        <v>-4.9242679999999997E-2</v>
      </c>
      <c r="W2947">
        <v>5.1515480000000002E-2</v>
      </c>
      <c r="X2947">
        <v>0.99745740000000005</v>
      </c>
      <c r="Y2947">
        <v>-5.1962349999999997E-2</v>
      </c>
      <c r="Z2947">
        <v>5.4900000000000001E-4</v>
      </c>
      <c r="AA2947">
        <v>0.99864889999999995</v>
      </c>
      <c r="AB2947">
        <v>47</v>
      </c>
      <c r="AC2947">
        <v>79.316899999999904</v>
      </c>
      <c r="AD2947">
        <v>-1.1040782742039901</v>
      </c>
      <c r="AE2947">
        <v>3.06200000000001</v>
      </c>
      <c r="AF2947">
        <v>-4.1475301109858904</v>
      </c>
      <c r="AG2947">
        <v>-1.1040782742039901</v>
      </c>
      <c r="AH2947">
        <v>79.252174691051707</v>
      </c>
      <c r="AI2947">
        <v>90.797057011678305</v>
      </c>
      <c r="AJ2947">
        <v>92.995745965190196</v>
      </c>
      <c r="AK2947">
        <v>79.368307202044406</v>
      </c>
    </row>
    <row r="2948" spans="1:37" x14ac:dyDescent="0.2">
      <c r="A2948" t="str">
        <f>"20200111153454741"</f>
        <v>20200111153454741</v>
      </c>
      <c r="B2948" t="str">
        <f>"1578728094738991"</f>
        <v>1578728094738991</v>
      </c>
      <c r="C2948" t="s">
        <v>37</v>
      </c>
      <c r="D2948">
        <v>5.1306859999999999</v>
      </c>
      <c r="E2948">
        <v>0.49904779999999999</v>
      </c>
      <c r="F2948" t="s">
        <v>50</v>
      </c>
      <c r="G2948">
        <v>-198.80009999999999</v>
      </c>
      <c r="H2948" s="1">
        <v>2.1329470000000002E-6</v>
      </c>
      <c r="I2948">
        <v>217.7123</v>
      </c>
      <c r="J2948">
        <v>-274.20670000000001</v>
      </c>
      <c r="K2948">
        <v>1.104128</v>
      </c>
      <c r="L2948">
        <v>214.84710000000001</v>
      </c>
      <c r="M2948">
        <v>0.99983799999999901</v>
      </c>
      <c r="N2948">
        <v>0</v>
      </c>
      <c r="O2948">
        <v>-1.364625E-2</v>
      </c>
      <c r="P2948">
        <v>0.99857899999999999</v>
      </c>
      <c r="Q2948">
        <v>3.9935100000000001E-2</v>
      </c>
      <c r="R2948">
        <v>3.5293400000000003E-2</v>
      </c>
      <c r="S2948">
        <v>3.002014</v>
      </c>
      <c r="T2948">
        <v>-4.3683409999999999E-2</v>
      </c>
      <c r="U2948">
        <v>0.1131134</v>
      </c>
      <c r="V2948">
        <v>-4.8919850000000001E-2</v>
      </c>
      <c r="W2948">
        <v>5.1659770000000001E-2</v>
      </c>
      <c r="X2948">
        <v>0.99746579999999996</v>
      </c>
      <c r="Y2948">
        <v>-5.1279599999999897E-2</v>
      </c>
      <c r="Z2948">
        <v>5.7145459999999998E-4</v>
      </c>
      <c r="AA2948">
        <v>0.99868419999999902</v>
      </c>
      <c r="AB2948">
        <v>47</v>
      </c>
      <c r="AC2948">
        <v>75.406599999999997</v>
      </c>
      <c r="AD2948">
        <v>-1.1041258670530001</v>
      </c>
      <c r="AE2948">
        <v>2.8651999999999802</v>
      </c>
      <c r="AF2948">
        <v>-3.8931878858762601</v>
      </c>
      <c r="AG2948">
        <v>-1.1041258670530001</v>
      </c>
      <c r="AH2948">
        <v>75.344345359028694</v>
      </c>
      <c r="AI2948">
        <v>90.838456512420194</v>
      </c>
      <c r="AJ2948">
        <v>92.957952924717304</v>
      </c>
      <c r="AK2948">
        <v>75.452941516057706</v>
      </c>
    </row>
    <row r="2949" spans="1:37" x14ac:dyDescent="0.2">
      <c r="A2949" t="str">
        <f>"20200111153454764"</f>
        <v>20200111153454764</v>
      </c>
      <c r="B2949" t="str">
        <f>"1578728094759486"</f>
        <v>1578728094759486</v>
      </c>
      <c r="C2949" t="s">
        <v>37</v>
      </c>
      <c r="D2949">
        <v>5.0852319999999898</v>
      </c>
      <c r="E2949">
        <v>0.49907309999999999</v>
      </c>
      <c r="F2949" t="s">
        <v>50</v>
      </c>
      <c r="G2949">
        <v>-199.6585</v>
      </c>
      <c r="H2949" s="1">
        <v>1.9824639999999999E-6</v>
      </c>
      <c r="I2949">
        <v>217.69200000000001</v>
      </c>
      <c r="J2949">
        <v>-273.7353</v>
      </c>
      <c r="K2949">
        <v>1.104177</v>
      </c>
      <c r="L2949">
        <v>214.8407</v>
      </c>
      <c r="M2949">
        <v>0.99983650000000002</v>
      </c>
      <c r="N2949">
        <v>0</v>
      </c>
      <c r="O2949">
        <v>-1.358141E-2</v>
      </c>
      <c r="P2949">
        <v>0.99858279999999999</v>
      </c>
      <c r="Q2949">
        <v>3.9724549999999997E-2</v>
      </c>
      <c r="R2949">
        <v>3.5417450000000003E-2</v>
      </c>
      <c r="S2949">
        <v>3.002014</v>
      </c>
      <c r="T2949">
        <v>-4.4462559999999998E-2</v>
      </c>
      <c r="U2949">
        <v>0.114563</v>
      </c>
      <c r="V2949">
        <v>-4.8981730000000001E-2</v>
      </c>
      <c r="W2949">
        <v>5.1636910000000001E-2</v>
      </c>
      <c r="X2949">
        <v>0.99746399999999902</v>
      </c>
      <c r="Y2949">
        <v>-5.169613E-2</v>
      </c>
      <c r="Z2949">
        <v>5.8376480000000002E-4</v>
      </c>
      <c r="AA2949">
        <v>0.99866270000000001</v>
      </c>
      <c r="AB2949">
        <v>46</v>
      </c>
      <c r="AC2949">
        <v>74.076799999999906</v>
      </c>
      <c r="AD2949">
        <v>-1.1041750175359999</v>
      </c>
      <c r="AE2949">
        <v>2.8513000000000002</v>
      </c>
      <c r="AF2949">
        <v>-3.8563205316749198</v>
      </c>
      <c r="AG2949">
        <v>-1.1041750175359999</v>
      </c>
      <c r="AH2949">
        <v>74.014818841670802</v>
      </c>
      <c r="AI2949">
        <v>90.853534475179202</v>
      </c>
      <c r="AJ2949">
        <v>92.982528186737795</v>
      </c>
      <c r="AK2949">
        <v>74.1234363658197</v>
      </c>
    </row>
    <row r="2950" spans="1:37" x14ac:dyDescent="0.2">
      <c r="A2950" t="str">
        <f>"20200111153454788"</f>
        <v>20200111153454788</v>
      </c>
      <c r="B2950" t="str">
        <f>"1578728094779006"</f>
        <v>1578728094779006</v>
      </c>
      <c r="C2950" t="s">
        <v>37</v>
      </c>
      <c r="D2950">
        <v>5.1234359999999999</v>
      </c>
      <c r="E2950">
        <v>0.49851479999999998</v>
      </c>
      <c r="F2950" t="s">
        <v>50</v>
      </c>
      <c r="G2950">
        <v>-202.85380000000001</v>
      </c>
      <c r="H2950" s="1">
        <v>3.2263630000000002E-6</v>
      </c>
      <c r="I2950">
        <v>217.54640000000001</v>
      </c>
      <c r="J2950">
        <v>-273.24860000000001</v>
      </c>
      <c r="K2950">
        <v>1.104228</v>
      </c>
      <c r="L2950">
        <v>214.83420000000001</v>
      </c>
      <c r="M2950">
        <v>0.99983500000000003</v>
      </c>
      <c r="N2950">
        <v>0</v>
      </c>
      <c r="O2950">
        <v>-1.3498970000000001E-2</v>
      </c>
      <c r="P2950">
        <v>0.99857850000000004</v>
      </c>
      <c r="Q2950">
        <v>3.9290140000000001E-2</v>
      </c>
      <c r="R2950">
        <v>3.6017779999999999E-2</v>
      </c>
      <c r="S2950">
        <v>3.002075</v>
      </c>
      <c r="T2950">
        <v>-4.6765569999999999E-2</v>
      </c>
      <c r="U2950">
        <v>0.1145935</v>
      </c>
      <c r="V2950">
        <v>-4.9501160000000002E-2</v>
      </c>
      <c r="W2950">
        <v>5.1428340000000003E-2</v>
      </c>
      <c r="X2950">
        <v>0.99744909999999998</v>
      </c>
      <c r="Y2950">
        <v>-5.1622439999999999E-2</v>
      </c>
      <c r="Z2950">
        <v>6.1212859999999997E-4</v>
      </c>
      <c r="AA2950">
        <v>0.99866650000000001</v>
      </c>
      <c r="AB2950">
        <v>46</v>
      </c>
      <c r="AC2950">
        <v>70.394800000000004</v>
      </c>
      <c r="AD2950">
        <v>-1.1042247736369999</v>
      </c>
      <c r="AE2950">
        <v>2.71219999999999</v>
      </c>
      <c r="AF2950">
        <v>-3.6613807733292498</v>
      </c>
      <c r="AG2950">
        <v>-1.1042247736369999</v>
      </c>
      <c r="AH2950">
        <v>70.334489835641094</v>
      </c>
      <c r="AI2950">
        <v>90.898232045157897</v>
      </c>
      <c r="AJ2950">
        <v>92.979938829364002</v>
      </c>
      <c r="AK2950">
        <v>70.438380744860396</v>
      </c>
    </row>
    <row r="2951" spans="1:37" x14ac:dyDescent="0.2">
      <c r="A2951" t="str">
        <f>"20200111153454808"</f>
        <v>20200111153454808</v>
      </c>
      <c r="B2951" t="str">
        <f>"1578728094798545"</f>
        <v>1578728094798545</v>
      </c>
      <c r="C2951" t="s">
        <v>37</v>
      </c>
      <c r="D2951">
        <v>5.3054399999999999</v>
      </c>
      <c r="E2951">
        <v>0.49770699999999901</v>
      </c>
      <c r="F2951" t="s">
        <v>50</v>
      </c>
      <c r="G2951">
        <v>-202.4273</v>
      </c>
      <c r="H2951" s="1">
        <v>3.0253320000000001E-6</v>
      </c>
      <c r="I2951">
        <v>217.6825</v>
      </c>
      <c r="J2951">
        <v>-272.82150000000001</v>
      </c>
      <c r="K2951">
        <v>1.104277</v>
      </c>
      <c r="L2951">
        <v>214.82849999999999</v>
      </c>
      <c r="M2951">
        <v>0.99983339999999998</v>
      </c>
      <c r="N2951">
        <v>0</v>
      </c>
      <c r="O2951">
        <v>-1.341326E-2</v>
      </c>
      <c r="P2951">
        <v>0.99855579999999999</v>
      </c>
      <c r="Q2951">
        <v>3.9306710000000002E-2</v>
      </c>
      <c r="R2951">
        <v>3.6629780000000001E-2</v>
      </c>
      <c r="S2951">
        <v>3.0017399999999999</v>
      </c>
      <c r="T2951">
        <v>-4.6802280000000002E-2</v>
      </c>
      <c r="U2951">
        <v>0.1207275</v>
      </c>
      <c r="V2951">
        <v>-5.0028950000000003E-2</v>
      </c>
      <c r="W2951">
        <v>5.1670250000000001E-2</v>
      </c>
      <c r="X2951">
        <v>0.99741029999999997</v>
      </c>
      <c r="Y2951">
        <v>-5.357841E-2</v>
      </c>
      <c r="Z2951">
        <v>6.2655969999999997E-4</v>
      </c>
      <c r="AA2951">
        <v>0.99856350000000005</v>
      </c>
      <c r="AB2951">
        <v>46</v>
      </c>
      <c r="AC2951">
        <v>70.394199999999998</v>
      </c>
      <c r="AD2951">
        <v>-1.1042739746679999</v>
      </c>
      <c r="AE2951">
        <v>2.8540000000000099</v>
      </c>
      <c r="AF2951">
        <v>-3.7970984143813298</v>
      </c>
      <c r="AG2951">
        <v>-1.1042739746679999</v>
      </c>
      <c r="AH2951">
        <v>70.332302747105004</v>
      </c>
      <c r="AI2951">
        <v>90.898208280545305</v>
      </c>
      <c r="AJ2951">
        <v>93.090282871850803</v>
      </c>
      <c r="AK2951">
        <v>70.443382848143102</v>
      </c>
    </row>
    <row r="2952" spans="1:37" x14ac:dyDescent="0.2">
      <c r="A2952" t="str">
        <f>"20200111153454831"</f>
        <v>20200111153454831</v>
      </c>
      <c r="B2952" t="str">
        <f>"1578728094819022"</f>
        <v>1578728094819022</v>
      </c>
      <c r="C2952" t="s">
        <v>37</v>
      </c>
      <c r="D2952">
        <v>5.1373579999999999</v>
      </c>
      <c r="E2952">
        <v>0.49697839999999999</v>
      </c>
      <c r="F2952" t="s">
        <v>50</v>
      </c>
      <c r="G2952">
        <v>-208.31809999999999</v>
      </c>
      <c r="H2952" s="1">
        <v>5.6448959999999998E-6</v>
      </c>
      <c r="I2952">
        <v>217.59989999999999</v>
      </c>
      <c r="J2952">
        <v>-272.35509999999999</v>
      </c>
      <c r="K2952">
        <v>1.1043270000000001</v>
      </c>
      <c r="L2952">
        <v>214.82230000000001</v>
      </c>
      <c r="M2952">
        <v>0.99983149999999998</v>
      </c>
      <c r="N2952">
        <v>0</v>
      </c>
      <c r="O2952">
        <v>-1.3307100000000001E-2</v>
      </c>
      <c r="P2952">
        <v>0.99853459999999905</v>
      </c>
      <c r="Q2952">
        <v>3.9345459999999999E-2</v>
      </c>
      <c r="R2952">
        <v>3.7156740000000001E-2</v>
      </c>
      <c r="S2952">
        <v>3.0016479999999999</v>
      </c>
      <c r="T2952">
        <v>-5.1386950000000001E-2</v>
      </c>
      <c r="U2952">
        <v>0.12896730000000001</v>
      </c>
      <c r="V2952">
        <v>-5.0450990000000001E-2</v>
      </c>
      <c r="W2952">
        <v>5.1959770000000002E-2</v>
      </c>
      <c r="X2952">
        <v>0.99737399999999998</v>
      </c>
      <c r="Y2952">
        <v>-5.6207819999999999E-2</v>
      </c>
      <c r="Z2952">
        <v>7.0858979999999998E-4</v>
      </c>
      <c r="AA2952">
        <v>0.9984189</v>
      </c>
      <c r="AB2952">
        <v>46</v>
      </c>
      <c r="AC2952">
        <v>64.036999999999907</v>
      </c>
      <c r="AD2952">
        <v>-1.1043213551040001</v>
      </c>
      <c r="AE2952">
        <v>2.7775999999999699</v>
      </c>
      <c r="AF2952">
        <v>-3.6284918621253999</v>
      </c>
      <c r="AG2952">
        <v>-1.1043213551040001</v>
      </c>
      <c r="AH2952">
        <v>63.975374260833902</v>
      </c>
      <c r="AI2952">
        <v>90.987335777178203</v>
      </c>
      <c r="AJ2952">
        <v>93.246167431405496</v>
      </c>
      <c r="AK2952">
        <v>64.087705456371395</v>
      </c>
    </row>
    <row r="2953" spans="1:37" x14ac:dyDescent="0.2">
      <c r="A2953" t="str">
        <f>"20200111153454854"</f>
        <v>20200111153454854</v>
      </c>
      <c r="B2953" t="str">
        <f>"1578728094849279"</f>
        <v>1578728094849279</v>
      </c>
      <c r="C2953" t="s">
        <v>37</v>
      </c>
      <c r="D2953">
        <v>5.1069379999999898</v>
      </c>
      <c r="E2953">
        <v>0.496031</v>
      </c>
      <c r="F2953" t="s">
        <v>52</v>
      </c>
      <c r="G2953">
        <v>-212.8545</v>
      </c>
      <c r="H2953" s="1">
        <v>-1.4500599999999999E-7</v>
      </c>
      <c r="I2953">
        <v>217.5274</v>
      </c>
      <c r="J2953">
        <v>-271.88099999999997</v>
      </c>
      <c r="K2953">
        <v>1.1043670000000001</v>
      </c>
      <c r="L2953">
        <v>214.81610000000001</v>
      </c>
      <c r="M2953">
        <v>0.99982990000000005</v>
      </c>
      <c r="N2953">
        <v>0</v>
      </c>
      <c r="O2953">
        <v>-1.3190169999999999E-2</v>
      </c>
      <c r="P2953">
        <v>0.99851239999999997</v>
      </c>
      <c r="Q2953">
        <v>3.9486380000000001E-2</v>
      </c>
      <c r="R2953">
        <v>3.7599229999999997E-2</v>
      </c>
      <c r="S2953">
        <v>3.0014949999999998</v>
      </c>
      <c r="T2953">
        <v>-5.5707569999999998E-2</v>
      </c>
      <c r="U2953">
        <v>0.13645940000000001</v>
      </c>
      <c r="V2953">
        <v>-5.0778139999999999E-2</v>
      </c>
      <c r="W2953">
        <v>5.2340249999999998E-2</v>
      </c>
      <c r="X2953">
        <v>0.99733749999999999</v>
      </c>
      <c r="Y2953">
        <v>-5.8578249999999998E-2</v>
      </c>
      <c r="Z2953">
        <v>7.8797190000000003E-4</v>
      </c>
      <c r="AA2953">
        <v>0.99828249999999996</v>
      </c>
      <c r="AB2953">
        <v>46</v>
      </c>
      <c r="AC2953">
        <v>59.026499999999899</v>
      </c>
      <c r="AD2953">
        <v>-1.104367145006</v>
      </c>
      <c r="AE2953">
        <v>2.7112999999999898</v>
      </c>
      <c r="AF2953">
        <v>-3.4884797875767801</v>
      </c>
      <c r="AG2953">
        <v>-1.104367145006</v>
      </c>
      <c r="AH2953">
        <v>58.965001336703097</v>
      </c>
      <c r="AI2953">
        <v>91.0711060822386</v>
      </c>
      <c r="AJ2953">
        <v>93.385778963330395</v>
      </c>
      <c r="AK2953">
        <v>59.078426694155397</v>
      </c>
    </row>
    <row r="2954" spans="1:37" x14ac:dyDescent="0.2">
      <c r="A2954" t="str">
        <f>"20200111153454888"</f>
        <v>20200111153454888</v>
      </c>
      <c r="B2954" t="str">
        <f>"1578728094878558"</f>
        <v>1578728094878558</v>
      </c>
      <c r="C2954" t="s">
        <v>37</v>
      </c>
      <c r="D2954">
        <v>5.1330119999999999</v>
      </c>
      <c r="E2954">
        <v>0.49520540000000002</v>
      </c>
      <c r="F2954" t="s">
        <v>52</v>
      </c>
      <c r="G2954">
        <v>-217.5599</v>
      </c>
      <c r="H2954" s="1">
        <v>2.36250499999999E-6</v>
      </c>
      <c r="I2954">
        <v>217.4468</v>
      </c>
      <c r="J2954">
        <v>-271.18770000000001</v>
      </c>
      <c r="K2954">
        <v>1.104419</v>
      </c>
      <c r="L2954">
        <v>214.80709999999999</v>
      </c>
      <c r="M2954">
        <v>0.99982819999999994</v>
      </c>
      <c r="N2954">
        <v>0</v>
      </c>
      <c r="O2954">
        <v>-1.3010829999999999E-2</v>
      </c>
      <c r="P2954">
        <v>0.99849480000000002</v>
      </c>
      <c r="Q2954">
        <v>3.979063E-2</v>
      </c>
      <c r="R2954">
        <v>3.7745999999999898E-2</v>
      </c>
      <c r="S2954">
        <v>3.001404</v>
      </c>
      <c r="T2954">
        <v>-6.1019419999999998E-2</v>
      </c>
      <c r="U2954">
        <v>0.14535519999999999</v>
      </c>
      <c r="V2954">
        <v>-5.0747479999999998E-2</v>
      </c>
      <c r="W2954">
        <v>5.2953559999999997E-2</v>
      </c>
      <c r="X2954">
        <v>0.99730669999999899</v>
      </c>
      <c r="Y2954">
        <v>-6.1349699999999903E-2</v>
      </c>
      <c r="Z2954">
        <v>8.8756929999999896E-4</v>
      </c>
      <c r="AA2954">
        <v>0.998116</v>
      </c>
      <c r="AB2954">
        <v>46</v>
      </c>
      <c r="AC2954">
        <v>53.627800000000001</v>
      </c>
      <c r="AD2954">
        <v>-1.104416637495</v>
      </c>
      <c r="AE2954">
        <v>2.6396999999999999</v>
      </c>
      <c r="AF2954">
        <v>-3.3358681469036502</v>
      </c>
      <c r="AG2954">
        <v>-1.104416637495</v>
      </c>
      <c r="AH2954">
        <v>53.566248774088002</v>
      </c>
      <c r="AI2954">
        <v>91.178860803826893</v>
      </c>
      <c r="AJ2954">
        <v>93.563524776179605</v>
      </c>
      <c r="AK2954">
        <v>53.681381876123403</v>
      </c>
    </row>
    <row r="2955" spans="1:37" x14ac:dyDescent="0.2">
      <c r="A2955" t="str">
        <f>"20200111153454909"</f>
        <v>20200111153454909</v>
      </c>
      <c r="B2955" t="str">
        <f>"1578728094899058"</f>
        <v>1578728094899058</v>
      </c>
      <c r="C2955" t="s">
        <v>37</v>
      </c>
      <c r="D2955">
        <v>5.1497510000000002</v>
      </c>
      <c r="E2955">
        <v>0.49478919999999998</v>
      </c>
      <c r="F2955" t="s">
        <v>52</v>
      </c>
      <c r="G2955">
        <v>-221.7088</v>
      </c>
      <c r="H2955" s="1">
        <v>-7.4567520000000005E-7</v>
      </c>
      <c r="I2955">
        <v>217.32149999999999</v>
      </c>
      <c r="J2955">
        <v>-270.73989999999998</v>
      </c>
      <c r="K2955">
        <v>1.104441</v>
      </c>
      <c r="L2955">
        <v>214.8013</v>
      </c>
      <c r="M2955">
        <v>0.99982739999999903</v>
      </c>
      <c r="N2955">
        <v>0</v>
      </c>
      <c r="O2955">
        <v>-1.289276E-2</v>
      </c>
      <c r="P2955">
        <v>0.99847050000000004</v>
      </c>
      <c r="Q2955">
        <v>4.0002790000000003E-2</v>
      </c>
      <c r="R2955">
        <v>3.8166579999999999E-2</v>
      </c>
      <c r="S2955">
        <v>3.0014340000000002</v>
      </c>
      <c r="T2955">
        <v>-6.6995139999999995E-2</v>
      </c>
      <c r="U2955">
        <v>0.15252689999999999</v>
      </c>
      <c r="V2955">
        <v>-5.1051720000000002E-2</v>
      </c>
      <c r="W2955">
        <v>5.3340680000000001E-2</v>
      </c>
      <c r="X2955">
        <v>0.99727049999999995</v>
      </c>
      <c r="Y2955">
        <v>-6.3606579999999996E-2</v>
      </c>
      <c r="Z2955">
        <v>9.96938399999999E-4</v>
      </c>
      <c r="AA2955">
        <v>0.99797459999999905</v>
      </c>
      <c r="AB2955">
        <v>46</v>
      </c>
      <c r="AC2955">
        <v>49.031099999999903</v>
      </c>
      <c r="AD2955">
        <v>-1.10444174567519</v>
      </c>
      <c r="AE2955">
        <v>2.52019999999998</v>
      </c>
      <c r="AF2955">
        <v>-3.1505988968567298</v>
      </c>
      <c r="AG2955">
        <v>-1.10444174567519</v>
      </c>
      <c r="AH2955">
        <v>48.969747490596603</v>
      </c>
      <c r="AI2955">
        <v>91.289339461483905</v>
      </c>
      <c r="AJ2955">
        <v>93.681202654429001</v>
      </c>
      <c r="AK2955">
        <v>49.083421175293502</v>
      </c>
    </row>
    <row r="2956" spans="1:37" x14ac:dyDescent="0.2">
      <c r="A2956" t="str">
        <f>"20200111153454932"</f>
        <v>20200111153454932</v>
      </c>
      <c r="B2956" t="str">
        <f>"1578728094929311"</f>
        <v>1578728094929311</v>
      </c>
      <c r="C2956" t="s">
        <v>37</v>
      </c>
      <c r="D2956">
        <v>5.1985109999999999</v>
      </c>
      <c r="E2956">
        <v>0.49404510000000001</v>
      </c>
      <c r="F2956" t="s">
        <v>52</v>
      </c>
      <c r="G2956">
        <v>-223.2311</v>
      </c>
      <c r="H2956" s="1">
        <v>6.5895640000000001E-8</v>
      </c>
      <c r="I2956">
        <v>217.2869</v>
      </c>
      <c r="J2956">
        <v>-270.26979999999998</v>
      </c>
      <c r="K2956">
        <v>1.1044609999999999</v>
      </c>
      <c r="L2956">
        <v>214.7953</v>
      </c>
      <c r="M2956">
        <v>0.99982680000000002</v>
      </c>
      <c r="N2956">
        <v>0</v>
      </c>
      <c r="O2956">
        <v>-1.27676E-2</v>
      </c>
      <c r="P2956">
        <v>0.99847980000000003</v>
      </c>
      <c r="Q2956">
        <v>4.0287150000000001E-2</v>
      </c>
      <c r="R2956">
        <v>3.7621839999999997E-2</v>
      </c>
      <c r="S2956">
        <v>3.0013429999999999</v>
      </c>
      <c r="T2956">
        <v>-6.9772360000000005E-2</v>
      </c>
      <c r="U2956">
        <v>0.15702820000000001</v>
      </c>
      <c r="V2956">
        <v>-5.0383799999999999E-2</v>
      </c>
      <c r="W2956">
        <v>5.3791119999999998E-2</v>
      </c>
      <c r="X2956">
        <v>0.99728030000000001</v>
      </c>
      <c r="Y2956">
        <v>-6.4973980000000001E-2</v>
      </c>
      <c r="Z2956">
        <v>1.051221E-3</v>
      </c>
      <c r="AA2956">
        <v>0.99788639999999995</v>
      </c>
      <c r="AB2956">
        <v>46</v>
      </c>
      <c r="AC2956">
        <v>47.038699999999899</v>
      </c>
      <c r="AD2956">
        <v>-1.1044609341043601</v>
      </c>
      <c r="AE2956">
        <v>2.4916</v>
      </c>
      <c r="AF2956">
        <v>-3.0903243109147498</v>
      </c>
      <c r="AG2956">
        <v>-1.1044609341043601</v>
      </c>
      <c r="AH2956">
        <v>46.977224336567502</v>
      </c>
      <c r="AI2956">
        <v>91.343904211276197</v>
      </c>
      <c r="AJ2956">
        <v>93.763691733709194</v>
      </c>
      <c r="AK2956">
        <v>47.091714182749598</v>
      </c>
    </row>
    <row r="2957" spans="1:37" x14ac:dyDescent="0.2">
      <c r="A2957" t="str">
        <f>"20200111153454955"</f>
        <v>20200111153454955</v>
      </c>
      <c r="B2957" t="str">
        <f>"1578728094948830"</f>
        <v>1578728094948830</v>
      </c>
      <c r="C2957" t="s">
        <v>37</v>
      </c>
      <c r="D2957">
        <v>5.1490729999999996</v>
      </c>
      <c r="E2957">
        <v>0.49363379999999901</v>
      </c>
      <c r="F2957" t="s">
        <v>52</v>
      </c>
      <c r="G2957">
        <v>-225.62280000000001</v>
      </c>
      <c r="H2957" s="1">
        <v>1.3424719999999999E-6</v>
      </c>
      <c r="I2957">
        <v>217.19900000000001</v>
      </c>
      <c r="J2957">
        <v>-269.79759999999999</v>
      </c>
      <c r="K2957">
        <v>1.104476</v>
      </c>
      <c r="L2957">
        <v>214.7894</v>
      </c>
      <c r="M2957">
        <v>0.99982629999999995</v>
      </c>
      <c r="N2957">
        <v>0</v>
      </c>
      <c r="O2957">
        <v>-1.264009E-2</v>
      </c>
      <c r="P2957">
        <v>0.99849159999999904</v>
      </c>
      <c r="Q2957">
        <v>4.0419669999999998E-2</v>
      </c>
      <c r="R2957">
        <v>3.7163830000000002E-2</v>
      </c>
      <c r="S2957">
        <v>3.001465</v>
      </c>
      <c r="T2957">
        <v>-7.4248910000000001E-2</v>
      </c>
      <c r="U2957">
        <v>0.1615906</v>
      </c>
      <c r="V2957">
        <v>-4.9799070000000001E-2</v>
      </c>
      <c r="W2957">
        <v>5.4071569999999999E-2</v>
      </c>
      <c r="X2957">
        <v>0.99729449999999997</v>
      </c>
      <c r="Y2957">
        <v>-6.6353980000000007E-2</v>
      </c>
      <c r="Z2957">
        <v>1.1324589999999999E-3</v>
      </c>
      <c r="AA2957">
        <v>0.99779549999999995</v>
      </c>
      <c r="AB2957">
        <v>46</v>
      </c>
      <c r="AC2957">
        <v>44.174799999999898</v>
      </c>
      <c r="AD2957">
        <v>-1.104474657528</v>
      </c>
      <c r="AE2957">
        <v>2.40960000000001</v>
      </c>
      <c r="AF2957">
        <v>-2.9659847014343401</v>
      </c>
      <c r="AG2957">
        <v>-1.104474657528</v>
      </c>
      <c r="AH2957">
        <v>44.113315590773297</v>
      </c>
      <c r="AI2957">
        <v>91.430997724226302</v>
      </c>
      <c r="AJ2957">
        <v>93.846526148988204</v>
      </c>
      <c r="AK2957">
        <v>44.226706207103298</v>
      </c>
    </row>
    <row r="2958" spans="1:37" x14ac:dyDescent="0.2">
      <c r="A2958" t="str">
        <f>"20200111153454977"</f>
        <v>20200111153454977</v>
      </c>
      <c r="B2958" t="str">
        <f>"1578728094969326"</f>
        <v>1578728094969326</v>
      </c>
      <c r="C2958" t="s">
        <v>37</v>
      </c>
      <c r="D2958">
        <v>5.1646099999999997</v>
      </c>
      <c r="E2958">
        <v>0.4936026</v>
      </c>
      <c r="F2958" t="s">
        <v>52</v>
      </c>
      <c r="G2958">
        <v>-226.70079999999999</v>
      </c>
      <c r="H2958" s="1">
        <v>1.918925E-6</v>
      </c>
      <c r="I2958">
        <v>217.13499999999999</v>
      </c>
      <c r="J2958">
        <v>-269.34519999999998</v>
      </c>
      <c r="K2958">
        <v>1.1044879999999999</v>
      </c>
      <c r="L2958">
        <v>214.78380000000001</v>
      </c>
      <c r="M2958">
        <v>0.999826199999999</v>
      </c>
      <c r="N2958">
        <v>0</v>
      </c>
      <c r="O2958">
        <v>-1.2516029999999999E-2</v>
      </c>
      <c r="P2958">
        <v>0.9985039</v>
      </c>
      <c r="Q2958">
        <v>3.9882840000000003E-2</v>
      </c>
      <c r="R2958">
        <v>3.7410770000000003E-2</v>
      </c>
      <c r="S2958">
        <v>3.0015259999999899</v>
      </c>
      <c r="T2958">
        <v>-7.6922180000000007E-2</v>
      </c>
      <c r="U2958">
        <v>0.16336059999999999</v>
      </c>
      <c r="V2958">
        <v>-4.9922880000000003E-2</v>
      </c>
      <c r="W2958">
        <v>5.3658749999999998E-2</v>
      </c>
      <c r="X2958">
        <v>0.99731059999999905</v>
      </c>
      <c r="Y2958">
        <v>-6.6813919999999999E-2</v>
      </c>
      <c r="Z2958">
        <v>1.1758889999999901E-3</v>
      </c>
      <c r="AA2958">
        <v>0.99776480000000001</v>
      </c>
      <c r="AB2958">
        <v>46</v>
      </c>
      <c r="AC2958">
        <v>42.644399999999898</v>
      </c>
      <c r="AD2958">
        <v>-1.1044860810749999</v>
      </c>
      <c r="AE2958">
        <v>2.3511999999999702</v>
      </c>
      <c r="AF2958">
        <v>-2.88287735754442</v>
      </c>
      <c r="AG2958">
        <v>-1.1044860810749999</v>
      </c>
      <c r="AH2958">
        <v>42.583150156360396</v>
      </c>
      <c r="AI2958">
        <v>91.482365175991902</v>
      </c>
      <c r="AJ2958">
        <v>93.873011882594596</v>
      </c>
      <c r="AK2958">
        <v>42.694912444002803</v>
      </c>
    </row>
    <row r="2959" spans="1:37" x14ac:dyDescent="0.2">
      <c r="A2959" t="str">
        <f>"20200111153454998"</f>
        <v>20200111153454998</v>
      </c>
      <c r="B2959" t="str">
        <f>"1578728094988846"</f>
        <v>1578728094988846</v>
      </c>
      <c r="C2959" t="s">
        <v>37</v>
      </c>
      <c r="D2959">
        <v>5.1865480000000002</v>
      </c>
      <c r="E2959">
        <v>0.49355959999999899</v>
      </c>
      <c r="F2959" t="s">
        <v>52</v>
      </c>
      <c r="G2959">
        <v>-227.95160000000001</v>
      </c>
      <c r="H2959" s="1">
        <v>2.5885400000000001E-6</v>
      </c>
      <c r="I2959">
        <v>217.0438</v>
      </c>
      <c r="J2959">
        <v>-268.89909999999998</v>
      </c>
      <c r="K2959">
        <v>1.1044969999999901</v>
      </c>
      <c r="L2959">
        <v>214.7783</v>
      </c>
      <c r="M2959">
        <v>0.999826199999999</v>
      </c>
      <c r="N2959">
        <v>0</v>
      </c>
      <c r="O2959">
        <v>-1.239236E-2</v>
      </c>
      <c r="P2959">
        <v>0.99854529999999997</v>
      </c>
      <c r="Q2959">
        <v>3.8559820000000002E-2</v>
      </c>
      <c r="R2959">
        <v>3.7684879999999997E-2</v>
      </c>
      <c r="S2959">
        <v>3.0015869999999998</v>
      </c>
      <c r="T2959">
        <v>-8.0089930000000004E-2</v>
      </c>
      <c r="U2959">
        <v>0.16387939999999901</v>
      </c>
      <c r="V2959">
        <v>-5.0074479999999998E-2</v>
      </c>
      <c r="W2959">
        <v>5.2444060000000001E-2</v>
      </c>
      <c r="X2959">
        <v>0.99736759999999902</v>
      </c>
      <c r="Y2959">
        <v>-6.6859219999999997E-2</v>
      </c>
      <c r="Z2959">
        <v>1.2215730000000001E-3</v>
      </c>
      <c r="AA2959">
        <v>0.99776169999999997</v>
      </c>
      <c r="AB2959">
        <v>46</v>
      </c>
      <c r="AC2959">
        <v>40.947499999999899</v>
      </c>
      <c r="AD2959">
        <v>-1.1044944114599999</v>
      </c>
      <c r="AE2959">
        <v>2.2654999999999998</v>
      </c>
      <c r="AF2959">
        <v>-2.7708016035355301</v>
      </c>
      <c r="AG2959">
        <v>-1.1044944114599999</v>
      </c>
      <c r="AH2959">
        <v>40.886620564224799</v>
      </c>
      <c r="AI2959">
        <v>91.543849108533905</v>
      </c>
      <c r="AJ2959">
        <v>93.876888714141401</v>
      </c>
      <c r="AK2959">
        <v>40.995280101421301</v>
      </c>
    </row>
    <row r="2960" spans="1:37" x14ac:dyDescent="0.2">
      <c r="A2960" t="str">
        <f>"20200111153455021"</f>
        <v>20200111153455021</v>
      </c>
      <c r="B2960" t="str">
        <f>"1578728095009342"</f>
        <v>1578728095009342</v>
      </c>
      <c r="C2960" t="s">
        <v>37</v>
      </c>
      <c r="D2960">
        <v>5.1659410000000001</v>
      </c>
      <c r="E2960">
        <v>0.49350690000000003</v>
      </c>
      <c r="F2960" t="s">
        <v>52</v>
      </c>
      <c r="G2960">
        <v>-230.13050000000001</v>
      </c>
      <c r="H2960" s="1">
        <v>-1.5674889999999999E-6</v>
      </c>
      <c r="I2960">
        <v>216.90790000000001</v>
      </c>
      <c r="J2960">
        <v>-268.4402</v>
      </c>
      <c r="K2960">
        <v>1.104517</v>
      </c>
      <c r="L2960">
        <v>214.77269999999999</v>
      </c>
      <c r="M2960">
        <v>0.9998264</v>
      </c>
      <c r="N2960">
        <v>0</v>
      </c>
      <c r="O2960">
        <v>-1.226315E-2</v>
      </c>
      <c r="P2960">
        <v>0.99857499999999999</v>
      </c>
      <c r="Q2960">
        <v>3.861962E-2</v>
      </c>
      <c r="R2960">
        <v>3.6829969999999997E-2</v>
      </c>
      <c r="S2960">
        <v>3.001404</v>
      </c>
      <c r="T2960">
        <v>-8.5508699999999896E-2</v>
      </c>
      <c r="U2960">
        <v>0.1648712</v>
      </c>
      <c r="V2960">
        <v>-4.9091030000000001E-2</v>
      </c>
      <c r="W2960">
        <v>5.2601199999999897E-2</v>
      </c>
      <c r="X2960">
        <v>0.99740819999999997</v>
      </c>
      <c r="Y2960">
        <v>-6.7058350000000003E-2</v>
      </c>
      <c r="Z2960">
        <v>1.303415E-3</v>
      </c>
      <c r="AA2960">
        <v>0.99774819999999997</v>
      </c>
      <c r="AB2960">
        <v>46</v>
      </c>
      <c r="AC2960">
        <v>38.3096999999999</v>
      </c>
      <c r="AD2960">
        <v>-1.1045185674889999</v>
      </c>
      <c r="AE2960">
        <v>2.1352000000000202</v>
      </c>
      <c r="AF2960">
        <v>-2.6027264395426801</v>
      </c>
      <c r="AG2960">
        <v>-1.1045185674889999</v>
      </c>
      <c r="AH2960">
        <v>38.248936131177103</v>
      </c>
      <c r="AI2960">
        <v>91.650262450296907</v>
      </c>
      <c r="AJ2960">
        <v>93.892806516770094</v>
      </c>
      <c r="AK2960">
        <v>38.3532953128136</v>
      </c>
    </row>
    <row r="2961" spans="1:37" x14ac:dyDescent="0.2">
      <c r="A2961" t="str">
        <f>"20200111153455043"</f>
        <v>20200111153455043</v>
      </c>
      <c r="B2961" t="str">
        <f>"1578728095038623"</f>
        <v>1578728095038623</v>
      </c>
      <c r="C2961" t="s">
        <v>37</v>
      </c>
      <c r="D2961">
        <v>5.2071269999999998</v>
      </c>
      <c r="E2961">
        <v>0.4934559</v>
      </c>
      <c r="F2961" t="s">
        <v>52</v>
      </c>
      <c r="G2961">
        <v>-230.12819999999999</v>
      </c>
      <c r="H2961" s="1">
        <v>-1.566454E-6</v>
      </c>
      <c r="I2961">
        <v>216.85570000000001</v>
      </c>
      <c r="J2961">
        <v>-267.98160000000001</v>
      </c>
      <c r="K2961">
        <v>1.104528</v>
      </c>
      <c r="L2961">
        <v>214.7672</v>
      </c>
      <c r="M2961">
        <v>0.99982680000000002</v>
      </c>
      <c r="N2961">
        <v>0</v>
      </c>
      <c r="O2961">
        <v>-1.21341E-2</v>
      </c>
      <c r="P2961">
        <v>0.99850229999999995</v>
      </c>
      <c r="Q2961">
        <v>4.1448649999999997E-2</v>
      </c>
      <c r="R2961">
        <v>3.5710890000000002E-2</v>
      </c>
      <c r="S2961">
        <v>3.0015869999999998</v>
      </c>
      <c r="T2961">
        <v>-8.6534379999999994E-2</v>
      </c>
      <c r="U2961">
        <v>0.1631927</v>
      </c>
      <c r="V2961">
        <v>-4.7844020000000001E-2</v>
      </c>
      <c r="W2961">
        <v>5.5513739999999999E-2</v>
      </c>
      <c r="X2961">
        <v>0.99731099999999995</v>
      </c>
      <c r="Y2961">
        <v>-6.6369549999999999E-2</v>
      </c>
      <c r="Z2961">
        <v>1.3053450000000001E-3</v>
      </c>
      <c r="AA2961">
        <v>0.99779430000000002</v>
      </c>
      <c r="AB2961">
        <v>46</v>
      </c>
      <c r="AC2961">
        <v>37.853400000000001</v>
      </c>
      <c r="AD2961">
        <v>-1.104529566454</v>
      </c>
      <c r="AE2961">
        <v>2.08850000000001</v>
      </c>
      <c r="AF2961">
        <v>-2.5455481343222699</v>
      </c>
      <c r="AG2961">
        <v>-1.104529566454</v>
      </c>
      <c r="AH2961">
        <v>37.7931877535868</v>
      </c>
      <c r="AI2961">
        <v>91.670246283022195</v>
      </c>
      <c r="AJ2961">
        <v>93.853318971523095</v>
      </c>
      <c r="AK2961">
        <v>37.8949184119083</v>
      </c>
    </row>
    <row r="2962" spans="1:37" x14ac:dyDescent="0.2">
      <c r="A2962" t="str">
        <f>"20200111153455065"</f>
        <v>20200111153455065</v>
      </c>
      <c r="B2962" t="str">
        <f>"1578728095059121"</f>
        <v>1578728095059121</v>
      </c>
      <c r="C2962" t="s">
        <v>37</v>
      </c>
      <c r="D2962">
        <v>5.1791749999999999</v>
      </c>
      <c r="E2962">
        <v>0.49332500000000001</v>
      </c>
      <c r="F2962" t="s">
        <v>52</v>
      </c>
      <c r="G2962">
        <v>-225.80590000000001</v>
      </c>
      <c r="H2962" s="1">
        <v>1.44781E-6</v>
      </c>
      <c r="I2962">
        <v>217.0189</v>
      </c>
      <c r="J2962">
        <v>-267.5145</v>
      </c>
      <c r="K2962">
        <v>1.1045469999999999</v>
      </c>
      <c r="L2962">
        <v>214.76159999999999</v>
      </c>
      <c r="M2962">
        <v>0.99982739999999903</v>
      </c>
      <c r="N2962">
        <v>0</v>
      </c>
      <c r="O2962">
        <v>-1.2002260000000001E-2</v>
      </c>
      <c r="P2962">
        <v>0.99844179999999905</v>
      </c>
      <c r="Q2962">
        <v>4.332068E-2</v>
      </c>
      <c r="R2962">
        <v>3.5181560000000001E-2</v>
      </c>
      <c r="S2962">
        <v>3.002075</v>
      </c>
      <c r="T2962">
        <v>-7.8620430000000005E-2</v>
      </c>
      <c r="U2962">
        <v>0.16027829999999901</v>
      </c>
      <c r="V2962">
        <v>-4.7183499999999899E-2</v>
      </c>
      <c r="W2962">
        <v>5.7458990000000001E-2</v>
      </c>
      <c r="X2962">
        <v>0.99723229999999996</v>
      </c>
      <c r="Y2962">
        <v>-6.5269389999999997E-2</v>
      </c>
      <c r="Z2962">
        <v>1.1680029999999999E-3</v>
      </c>
      <c r="AA2962">
        <v>0.99786699999999995</v>
      </c>
      <c r="AB2962">
        <v>46</v>
      </c>
      <c r="AC2962">
        <v>41.708599999999898</v>
      </c>
      <c r="AD2962">
        <v>-1.1045455521899901</v>
      </c>
      <c r="AE2962">
        <v>2.2573000000000101</v>
      </c>
      <c r="AF2962">
        <v>-2.75585808970808</v>
      </c>
      <c r="AG2962">
        <v>-1.1045455521899901</v>
      </c>
      <c r="AH2962">
        <v>41.649375489663001</v>
      </c>
      <c r="AI2962">
        <v>91.515820540130605</v>
      </c>
      <c r="AJ2962">
        <v>93.785631852440403</v>
      </c>
      <c r="AK2962">
        <v>41.755062607621802</v>
      </c>
    </row>
    <row r="2963" spans="1:37" x14ac:dyDescent="0.2">
      <c r="A2963" t="str">
        <f>"20200111153455088"</f>
        <v>20200111153455088</v>
      </c>
      <c r="B2963" t="str">
        <f>"1578728095078638"</f>
        <v>1578728095078638</v>
      </c>
      <c r="C2963" t="s">
        <v>37</v>
      </c>
      <c r="D2963">
        <v>5.284986</v>
      </c>
      <c r="E2963">
        <v>0.49343049999999999</v>
      </c>
      <c r="F2963" t="s">
        <v>52</v>
      </c>
      <c r="G2963">
        <v>-223.2107</v>
      </c>
      <c r="H2963" s="1">
        <v>6.2398709999999995E-8</v>
      </c>
      <c r="I2963">
        <v>217.11920000000001</v>
      </c>
      <c r="J2963">
        <v>-267.05880000000002</v>
      </c>
      <c r="K2963">
        <v>1.104554</v>
      </c>
      <c r="L2963">
        <v>214.75630000000001</v>
      </c>
      <c r="M2963">
        <v>0.99982789999999999</v>
      </c>
      <c r="N2963">
        <v>0</v>
      </c>
      <c r="O2963">
        <v>-1.187298E-2</v>
      </c>
      <c r="P2963">
        <v>0.99848389999999998</v>
      </c>
      <c r="Q2963">
        <v>4.2816220000000002E-2</v>
      </c>
      <c r="R2963">
        <v>3.4592480000000002E-2</v>
      </c>
      <c r="S2963">
        <v>3.0022579999999999</v>
      </c>
      <c r="T2963">
        <v>-7.4849959999999993E-2</v>
      </c>
      <c r="U2963">
        <v>0.1597595</v>
      </c>
      <c r="V2963">
        <v>-4.6466149999999998E-2</v>
      </c>
      <c r="W2963">
        <v>5.7018159999999998E-2</v>
      </c>
      <c r="X2963">
        <v>0.99729129999999999</v>
      </c>
      <c r="Y2963">
        <v>-6.4967789999999997E-2</v>
      </c>
      <c r="Z2963">
        <v>1.104966E-3</v>
      </c>
      <c r="AA2963">
        <v>0.99788679999999996</v>
      </c>
      <c r="AB2963">
        <v>46</v>
      </c>
      <c r="AC2963">
        <v>43.848100000000002</v>
      </c>
      <c r="AD2963">
        <v>-1.1045539376012901</v>
      </c>
      <c r="AE2963">
        <v>2.36289999999999</v>
      </c>
      <c r="AF2963">
        <v>-2.8815706976275002</v>
      </c>
      <c r="AG2963">
        <v>-1.1045539376012901</v>
      </c>
      <c r="AH2963">
        <v>43.789244745915397</v>
      </c>
      <c r="AI2963">
        <v>91.441823581642396</v>
      </c>
      <c r="AJ2963">
        <v>93.764945958342906</v>
      </c>
      <c r="AK2963">
        <v>43.8978523905689</v>
      </c>
    </row>
    <row r="2964" spans="1:37" x14ac:dyDescent="0.2">
      <c r="A2964" t="str">
        <f>"20200111153455110"</f>
        <v>20200111153455110</v>
      </c>
      <c r="B2964" t="str">
        <f>"1578728095099134"</f>
        <v>1578728095099134</v>
      </c>
      <c r="C2964" t="s">
        <v>37</v>
      </c>
      <c r="D2964">
        <v>5.3132320000000002</v>
      </c>
      <c r="E2964">
        <v>0.54023120000000002</v>
      </c>
      <c r="F2964" t="s">
        <v>52</v>
      </c>
      <c r="G2964">
        <v>-223.94569999999999</v>
      </c>
      <c r="H2964" s="1">
        <v>4.582874E-7</v>
      </c>
      <c r="I2964">
        <v>217.00960000000001</v>
      </c>
      <c r="J2964">
        <v>-266.59440000000001</v>
      </c>
      <c r="K2964">
        <v>1.1045590000000001</v>
      </c>
      <c r="L2964">
        <v>214.7509</v>
      </c>
      <c r="M2964">
        <v>0.99982879999999996</v>
      </c>
      <c r="N2964">
        <v>0</v>
      </c>
      <c r="O2964">
        <v>-1.1741140000000001E-2</v>
      </c>
      <c r="P2964">
        <v>0.99852379999999996</v>
      </c>
      <c r="Q2964">
        <v>4.2213899999999999E-2</v>
      </c>
      <c r="R2964">
        <v>3.4184050000000001E-2</v>
      </c>
      <c r="S2964">
        <v>3.0024109999999999</v>
      </c>
      <c r="T2964">
        <v>-7.6921459999999997E-2</v>
      </c>
      <c r="U2964">
        <v>0.15692139999999999</v>
      </c>
      <c r="V2964">
        <v>-4.5925920000000002E-2</v>
      </c>
      <c r="W2964">
        <v>5.6472109999999999E-2</v>
      </c>
      <c r="X2964">
        <v>0.9973474</v>
      </c>
      <c r="Y2964">
        <v>-6.3891879999999998E-2</v>
      </c>
      <c r="Z2964">
        <v>1.118361E-3</v>
      </c>
      <c r="AA2964">
        <v>0.99795619999999996</v>
      </c>
      <c r="AB2964">
        <v>46</v>
      </c>
      <c r="AC2964">
        <v>42.648699999999998</v>
      </c>
      <c r="AD2964">
        <v>-1.1045585417126</v>
      </c>
      <c r="AE2964">
        <v>2.2587000000000002</v>
      </c>
      <c r="AF2964">
        <v>-2.7574954086578201</v>
      </c>
      <c r="AG2964">
        <v>-1.1045585417126</v>
      </c>
      <c r="AH2964">
        <v>42.590749034653697</v>
      </c>
      <c r="AI2964">
        <v>91.482486777998702</v>
      </c>
      <c r="AJ2964">
        <v>93.704387659530795</v>
      </c>
      <c r="AK2964">
        <v>42.6942119476832</v>
      </c>
    </row>
    <row r="2965" spans="1:37" x14ac:dyDescent="0.2">
      <c r="A2965" t="str">
        <f>"20200111153455133"</f>
        <v>20200111153455133</v>
      </c>
      <c r="B2965" t="str">
        <f>"1578728095129391"</f>
        <v>1578728095129391</v>
      </c>
      <c r="C2965" t="s">
        <v>37</v>
      </c>
      <c r="D2965">
        <v>5.2688990000000002</v>
      </c>
      <c r="E2965">
        <v>0.54882119999999901</v>
      </c>
      <c r="F2965" t="s">
        <v>52</v>
      </c>
      <c r="G2965">
        <v>-230.83699999999999</v>
      </c>
      <c r="H2965" s="1">
        <v>-9.8463350000000004E-7</v>
      </c>
      <c r="I2965">
        <v>212.1747</v>
      </c>
      <c r="J2965">
        <v>-266.14</v>
      </c>
      <c r="K2965">
        <v>1.1045799999999999</v>
      </c>
      <c r="L2965">
        <v>214.7456</v>
      </c>
      <c r="M2965">
        <v>0.99982959999999999</v>
      </c>
      <c r="N2965">
        <v>0</v>
      </c>
      <c r="O2965">
        <v>-1.1611990000000001E-2</v>
      </c>
      <c r="P2965">
        <v>0.99848809999999999</v>
      </c>
      <c r="Q2965">
        <v>4.385526E-2</v>
      </c>
      <c r="R2965">
        <v>3.3138720000000003E-2</v>
      </c>
      <c r="S2965">
        <v>3.0157780000000001</v>
      </c>
      <c r="T2965">
        <v>-9.315872E-2</v>
      </c>
      <c r="U2965">
        <v>-0.21726989999999999</v>
      </c>
      <c r="V2965">
        <v>-4.4752590000000002E-2</v>
      </c>
      <c r="W2965">
        <v>5.8159719999999998E-2</v>
      </c>
      <c r="X2965">
        <v>0.99730370000000002</v>
      </c>
      <c r="Y2965">
        <v>6.024707E-2</v>
      </c>
      <c r="Z2965">
        <v>-5.7096079999999997E-4</v>
      </c>
      <c r="AA2965">
        <v>0.9981833</v>
      </c>
      <c r="AB2965">
        <v>46</v>
      </c>
      <c r="AC2965">
        <v>35.302999999999898</v>
      </c>
      <c r="AD2965">
        <v>-1.1045809846335</v>
      </c>
      <c r="AE2965">
        <v>-2.5708999999999902</v>
      </c>
      <c r="AF2965">
        <v>2.1586442192153901</v>
      </c>
      <c r="AG2965">
        <v>-1.1045809846335</v>
      </c>
      <c r="AH2965">
        <v>35.296103927458503</v>
      </c>
      <c r="AI2965">
        <v>91.789128575179902</v>
      </c>
      <c r="AJ2965">
        <v>86.500255488430597</v>
      </c>
      <c r="AK2965">
        <v>35.379298982239902</v>
      </c>
    </row>
    <row r="2966" spans="1:37" x14ac:dyDescent="0.2">
      <c r="A2966" t="str">
        <f>"20200111153455155"</f>
        <v>20200111153455155</v>
      </c>
      <c r="B2966" t="str">
        <f>"1578728095148910"</f>
        <v>1578728095148910</v>
      </c>
      <c r="C2966" t="s">
        <v>37</v>
      </c>
      <c r="D2966">
        <v>5.2101189999999997</v>
      </c>
      <c r="E2966">
        <v>0.54930239999999997</v>
      </c>
      <c r="F2966" t="s">
        <v>52</v>
      </c>
      <c r="G2966">
        <v>-231.88759999999999</v>
      </c>
      <c r="H2966" s="1">
        <v>-3.9471919999999999E-7</v>
      </c>
      <c r="I2966">
        <v>211.46899999999999</v>
      </c>
      <c r="J2966">
        <v>-265.67239999999998</v>
      </c>
      <c r="K2966">
        <v>1.1045969999999901</v>
      </c>
      <c r="L2966">
        <v>214.74029999999999</v>
      </c>
      <c r="M2966">
        <v>0.99983049999999996</v>
      </c>
      <c r="N2966">
        <v>0</v>
      </c>
      <c r="O2966">
        <v>-1.1479E-2</v>
      </c>
      <c r="P2966">
        <v>0.99843579999999998</v>
      </c>
      <c r="Q2966">
        <v>4.5063010000000001E-2</v>
      </c>
      <c r="R2966">
        <v>3.3095670000000001E-2</v>
      </c>
      <c r="S2966">
        <v>3.018402</v>
      </c>
      <c r="T2966">
        <v>-9.7338439999999998E-2</v>
      </c>
      <c r="U2966">
        <v>-0.2887421</v>
      </c>
      <c r="V2966">
        <v>-4.4576690000000002E-2</v>
      </c>
      <c r="W2966">
        <v>5.9407830000000002E-2</v>
      </c>
      <c r="X2966">
        <v>0.99723799999999996</v>
      </c>
      <c r="Y2966">
        <v>8.375436E-2</v>
      </c>
      <c r="Z2966">
        <v>-9.778244000000001E-4</v>
      </c>
      <c r="AA2966">
        <v>0.99648590000000004</v>
      </c>
      <c r="AB2966">
        <v>46</v>
      </c>
      <c r="AC2966">
        <v>33.784799999999898</v>
      </c>
      <c r="AD2966">
        <v>-1.1045973947191901</v>
      </c>
      <c r="AE2966">
        <v>-3.2712999999999601</v>
      </c>
      <c r="AF2966">
        <v>2.88017829371804</v>
      </c>
      <c r="AG2966">
        <v>-1.1045973947191901</v>
      </c>
      <c r="AH2966">
        <v>33.784349749092897</v>
      </c>
      <c r="AI2966">
        <v>91.865885648338505</v>
      </c>
      <c r="AJ2966">
        <v>85.127210991623897</v>
      </c>
      <c r="AK2966">
        <v>33.924885414354101</v>
      </c>
    </row>
    <row r="2967" spans="1:37" x14ac:dyDescent="0.2">
      <c r="A2967" t="str">
        <f>"20200111153455177"</f>
        <v>20200111153455177</v>
      </c>
      <c r="B2967" t="str">
        <f>"1578728095169406"</f>
        <v>1578728095169406</v>
      </c>
      <c r="C2967" t="s">
        <v>37</v>
      </c>
      <c r="D2967">
        <v>5.233784</v>
      </c>
      <c r="E2967">
        <v>0.54967390000000005</v>
      </c>
      <c r="F2967" t="s">
        <v>52</v>
      </c>
      <c r="G2967">
        <v>-231.5752</v>
      </c>
      <c r="H2967" s="1">
        <v>-5.5964650000000002E-7</v>
      </c>
      <c r="I2967">
        <v>211.43860000000001</v>
      </c>
      <c r="J2967">
        <v>-265.2296</v>
      </c>
      <c r="K2967">
        <v>1.1046100000000001</v>
      </c>
      <c r="L2967">
        <v>214.7353</v>
      </c>
      <c r="M2967">
        <v>0.99983159999999904</v>
      </c>
      <c r="N2967">
        <v>0</v>
      </c>
      <c r="O2967">
        <v>-1.135299E-2</v>
      </c>
      <c r="P2967">
        <v>0.99838499999999997</v>
      </c>
      <c r="Q2967">
        <v>4.6197879999999997E-2</v>
      </c>
      <c r="R2967">
        <v>3.3069979999999999E-2</v>
      </c>
      <c r="S2967">
        <v>3.018799</v>
      </c>
      <c r="T2967">
        <v>-9.7795720000000003E-2</v>
      </c>
      <c r="U2967">
        <v>-0.29231259999999998</v>
      </c>
      <c r="V2967">
        <v>-4.4424730000000003E-2</v>
      </c>
      <c r="W2967">
        <v>6.0575400000000001E-2</v>
      </c>
      <c r="X2967">
        <v>0.99717459999999902</v>
      </c>
      <c r="Y2967">
        <v>8.5034200000000004E-2</v>
      </c>
      <c r="Z2967">
        <v>-1.00698E-3</v>
      </c>
      <c r="AA2967">
        <v>0.99637749999999903</v>
      </c>
      <c r="AB2967">
        <v>46</v>
      </c>
      <c r="AC2967">
        <v>33.654400000000003</v>
      </c>
      <c r="AD2967">
        <v>-1.1046105596464999</v>
      </c>
      <c r="AE2967">
        <v>-3.29669999999998</v>
      </c>
      <c r="AF2967">
        <v>2.9112632254339101</v>
      </c>
      <c r="AG2967">
        <v>-1.1046105596464999</v>
      </c>
      <c r="AH2967">
        <v>33.653751471521097</v>
      </c>
      <c r="AI2967">
        <v>91.872943476309402</v>
      </c>
      <c r="AJ2967">
        <v>85.055859600592001</v>
      </c>
      <c r="AK2967">
        <v>33.7974940811172</v>
      </c>
    </row>
    <row r="2968" spans="1:37" x14ac:dyDescent="0.2">
      <c r="A2968" t="str">
        <f>"20200111153455200"</f>
        <v>20200111153455200</v>
      </c>
      <c r="B2968" t="str">
        <f>"1578728095188926"</f>
        <v>1578728095188926</v>
      </c>
      <c r="C2968" t="s">
        <v>37</v>
      </c>
      <c r="D2968">
        <v>5.2664549999999997</v>
      </c>
      <c r="E2968">
        <v>0.55011779999999999</v>
      </c>
      <c r="F2968" t="s">
        <v>52</v>
      </c>
      <c r="G2968">
        <v>-231.37649999999999</v>
      </c>
      <c r="H2968" s="1">
        <v>-6.6468790000000001E-7</v>
      </c>
      <c r="I2968">
        <v>211.4228</v>
      </c>
      <c r="J2968">
        <v>-264.77780000000001</v>
      </c>
      <c r="K2968">
        <v>1.104614</v>
      </c>
      <c r="L2968">
        <v>214.7303</v>
      </c>
      <c r="M2968">
        <v>0.99983250000000001</v>
      </c>
      <c r="N2968">
        <v>0</v>
      </c>
      <c r="O2968">
        <v>-1.1224319999999999E-2</v>
      </c>
      <c r="P2968">
        <v>0.99840309999999899</v>
      </c>
      <c r="Q2968">
        <v>4.6607610000000001E-2</v>
      </c>
      <c r="R2968">
        <v>3.1926719999999999E-2</v>
      </c>
      <c r="S2968">
        <v>3.0191650000000001</v>
      </c>
      <c r="T2968">
        <v>-9.8513959999999998E-2</v>
      </c>
      <c r="U2968">
        <v>-0.2954254</v>
      </c>
      <c r="V2968">
        <v>-4.3153490000000003E-2</v>
      </c>
      <c r="W2968">
        <v>6.1015180000000002E-2</v>
      </c>
      <c r="X2968">
        <v>0.99720350000000002</v>
      </c>
      <c r="Y2968">
        <v>8.6167160000000007E-2</v>
      </c>
      <c r="Z2968">
        <v>-1.0368199999999999E-3</v>
      </c>
      <c r="AA2968">
        <v>0.9962801</v>
      </c>
      <c r="AB2968">
        <v>46</v>
      </c>
      <c r="AC2968">
        <v>33.401299999999999</v>
      </c>
      <c r="AD2968">
        <v>-1.1046146646879</v>
      </c>
      <c r="AE2968">
        <v>-3.3075000000000001</v>
      </c>
      <c r="AF2968">
        <v>2.9291730369113602</v>
      </c>
      <c r="AG2968">
        <v>-1.1046146646879</v>
      </c>
      <c r="AH2968">
        <v>33.400149027105101</v>
      </c>
      <c r="AI2968">
        <v>91.886966743405694</v>
      </c>
      <c r="AJ2968">
        <v>84.988017614348806</v>
      </c>
      <c r="AK2968">
        <v>33.546537574993401</v>
      </c>
    </row>
    <row r="2969" spans="1:37" x14ac:dyDescent="0.2">
      <c r="A2969" t="str">
        <f>"20200111153455222"</f>
        <v>20200111153455222</v>
      </c>
      <c r="B2969" t="str">
        <f>"1578728095219183"</f>
        <v>1578728095219183</v>
      </c>
      <c r="C2969" t="s">
        <v>37</v>
      </c>
      <c r="D2969">
        <v>5.214296</v>
      </c>
      <c r="E2969">
        <v>0.55044029999999999</v>
      </c>
      <c r="F2969" t="s">
        <v>52</v>
      </c>
      <c r="G2969">
        <v>-231.0455</v>
      </c>
      <c r="H2969" s="1">
        <v>-8.3778199999999998E-7</v>
      </c>
      <c r="I2969">
        <v>211.35339999999999</v>
      </c>
      <c r="J2969">
        <v>-264.32150000000001</v>
      </c>
      <c r="K2969">
        <v>1.1046129999999901</v>
      </c>
      <c r="L2969">
        <v>214.7252</v>
      </c>
      <c r="M2969">
        <v>0.99983359999999899</v>
      </c>
      <c r="N2969">
        <v>0</v>
      </c>
      <c r="O2969">
        <v>-1.1094329999999999E-2</v>
      </c>
      <c r="P2969">
        <v>0.99845859999999997</v>
      </c>
      <c r="Q2969">
        <v>4.648124E-2</v>
      </c>
      <c r="R2969">
        <v>3.0329930000000001E-2</v>
      </c>
      <c r="S2969">
        <v>3.0190730000000001</v>
      </c>
      <c r="T2969">
        <v>-9.8864320000000006E-2</v>
      </c>
      <c r="U2969">
        <v>-0.30223080000000002</v>
      </c>
      <c r="V2969">
        <v>-4.1427600000000002E-2</v>
      </c>
      <c r="W2969">
        <v>6.0915219999999999E-2</v>
      </c>
      <c r="X2969">
        <v>0.99728289999999997</v>
      </c>
      <c r="Y2969">
        <v>8.8521760000000005E-2</v>
      </c>
      <c r="Z2969">
        <v>-1.0831129999999999E-3</v>
      </c>
      <c r="AA2969">
        <v>0.99607369999999995</v>
      </c>
      <c r="AB2969">
        <v>46</v>
      </c>
      <c r="AC2969">
        <v>33.276000000000003</v>
      </c>
      <c r="AD2969">
        <v>-1.1046138377819901</v>
      </c>
      <c r="AE2969">
        <v>-3.3717999999999999</v>
      </c>
      <c r="AF2969">
        <v>2.99910755038472</v>
      </c>
      <c r="AG2969">
        <v>-1.1046138377819901</v>
      </c>
      <c r="AH2969">
        <v>33.275068873888998</v>
      </c>
      <c r="AI2969">
        <v>91.893647315853599</v>
      </c>
      <c r="AJ2969">
        <v>84.849803211582099</v>
      </c>
      <c r="AK2969">
        <v>33.428207047214599</v>
      </c>
    </row>
    <row r="2970" spans="1:37" x14ac:dyDescent="0.2">
      <c r="A2970" t="str">
        <f>"20200111153455244"</f>
        <v>20200111153455244</v>
      </c>
      <c r="B2970" t="str">
        <f>"1578728095238702"</f>
        <v>1578728095238702</v>
      </c>
      <c r="C2970" t="s">
        <v>37</v>
      </c>
      <c r="D2970">
        <v>5.30084</v>
      </c>
      <c r="E2970">
        <v>0.55038120000000001</v>
      </c>
      <c r="F2970" t="s">
        <v>52</v>
      </c>
      <c r="G2970">
        <v>-231.8647</v>
      </c>
      <c r="H2970" s="1">
        <v>-4.0399990000000003E-7</v>
      </c>
      <c r="I2970">
        <v>211.40170000000001</v>
      </c>
      <c r="J2970">
        <v>-263.85950000000003</v>
      </c>
      <c r="K2970">
        <v>1.1046149999999999</v>
      </c>
      <c r="L2970">
        <v>214.72020000000001</v>
      </c>
      <c r="M2970">
        <v>0.99983480000000002</v>
      </c>
      <c r="N2970">
        <v>0</v>
      </c>
      <c r="O2970">
        <v>-1.096275E-2</v>
      </c>
      <c r="P2970">
        <v>0.9984809</v>
      </c>
      <c r="Q2970">
        <v>4.690478E-2</v>
      </c>
      <c r="R2970">
        <v>2.8915110000000001E-2</v>
      </c>
      <c r="S2970">
        <v>3.0188290000000002</v>
      </c>
      <c r="T2970">
        <v>-0.10274079999999999</v>
      </c>
      <c r="U2970">
        <v>-0.30912779999999901</v>
      </c>
      <c r="V2970">
        <v>-3.9882380000000002E-2</v>
      </c>
      <c r="W2970">
        <v>6.1361190000000003E-2</v>
      </c>
      <c r="X2970">
        <v>0.9973185</v>
      </c>
      <c r="Y2970">
        <v>9.0908439999999993E-2</v>
      </c>
      <c r="Z2970">
        <v>-1.17048E-3</v>
      </c>
      <c r="AA2970">
        <v>0.99585859999999904</v>
      </c>
      <c r="AB2970">
        <v>46</v>
      </c>
      <c r="AC2970">
        <v>31.994800000000001</v>
      </c>
      <c r="AD2970">
        <v>-1.1046154039998901</v>
      </c>
      <c r="AE2970">
        <v>-3.3184999999999998</v>
      </c>
      <c r="AF2970">
        <v>2.96401727745724</v>
      </c>
      <c r="AG2970">
        <v>-1.1046154039998901</v>
      </c>
      <c r="AH2970">
        <v>31.991533731409199</v>
      </c>
      <c r="AI2970">
        <v>91.969117304709599</v>
      </c>
      <c r="AJ2970">
        <v>84.7066545912393</v>
      </c>
      <c r="AK2970">
        <v>32.147531850823498</v>
      </c>
    </row>
    <row r="2971" spans="1:37" x14ac:dyDescent="0.2">
      <c r="A2971" t="str">
        <f>"20200111153455267"</f>
        <v>20200111153455267</v>
      </c>
      <c r="B2971" t="str">
        <f>"1578728095259201"</f>
        <v>1578728095259201</v>
      </c>
      <c r="C2971" t="s">
        <v>37</v>
      </c>
      <c r="D2971">
        <v>5.2407879999999896</v>
      </c>
      <c r="E2971">
        <v>0.55052389999999995</v>
      </c>
      <c r="F2971" t="s">
        <v>52</v>
      </c>
      <c r="G2971">
        <v>-231.68530000000001</v>
      </c>
      <c r="H2971" s="1">
        <v>-4.9875789999999995E-7</v>
      </c>
      <c r="I2971">
        <v>211.38550000000001</v>
      </c>
      <c r="J2971">
        <v>-263.39409999999998</v>
      </c>
      <c r="K2971">
        <v>1.1046199999999999</v>
      </c>
      <c r="L2971">
        <v>214.71520000000001</v>
      </c>
      <c r="M2971">
        <v>0.99983599999999995</v>
      </c>
      <c r="N2971">
        <v>0</v>
      </c>
      <c r="O2971">
        <v>-1.083045E-2</v>
      </c>
      <c r="P2971">
        <v>0.9984847</v>
      </c>
      <c r="Q2971">
        <v>4.7458060000000003E-2</v>
      </c>
      <c r="R2971">
        <v>2.7855830000000002E-2</v>
      </c>
      <c r="S2971">
        <v>3.018494</v>
      </c>
      <c r="T2971">
        <v>-0.1036319</v>
      </c>
      <c r="U2971">
        <v>-0.31285099999999999</v>
      </c>
      <c r="V2971">
        <v>-3.8691139999999999E-2</v>
      </c>
      <c r="W2971">
        <v>6.1933259999999997E-2</v>
      </c>
      <c r="X2971">
        <v>0.9973301</v>
      </c>
      <c r="Y2971">
        <v>9.2265109999999997E-2</v>
      </c>
      <c r="Z2971">
        <v>-1.208431E-3</v>
      </c>
      <c r="AA2971">
        <v>0.99573369999999894</v>
      </c>
      <c r="AB2971">
        <v>46</v>
      </c>
      <c r="AC2971">
        <v>31.708799999999901</v>
      </c>
      <c r="AD2971">
        <v>-1.1046204987579</v>
      </c>
      <c r="AE2971">
        <v>-3.3296999999999999</v>
      </c>
      <c r="AF2971">
        <v>2.9824679423449298</v>
      </c>
      <c r="AG2971">
        <v>-1.1046204987579</v>
      </c>
      <c r="AH2971">
        <v>31.7049491168274</v>
      </c>
      <c r="AI2971">
        <v>91.986650534614895</v>
      </c>
      <c r="AJ2971">
        <v>84.626030362604496</v>
      </c>
      <c r="AK2971">
        <v>31.864072244049499</v>
      </c>
    </row>
    <row r="2972" spans="1:37" x14ac:dyDescent="0.2">
      <c r="A2972" t="str">
        <f>"20200111153455288"</f>
        <v>20200111153455288</v>
      </c>
      <c r="B2972" t="str">
        <f>"1578728095278718"</f>
        <v>1578728095278718</v>
      </c>
      <c r="C2972" t="s">
        <v>37</v>
      </c>
      <c r="D2972">
        <v>5.2913639999999997</v>
      </c>
      <c r="E2972">
        <v>0.55055589999999999</v>
      </c>
      <c r="F2972" t="s">
        <v>52</v>
      </c>
      <c r="G2972">
        <v>-231.01509999999999</v>
      </c>
      <c r="H2972" s="1">
        <v>-8.5217340000000004E-7</v>
      </c>
      <c r="I2972">
        <v>211.31209999999999</v>
      </c>
      <c r="J2972">
        <v>-262.95740000000001</v>
      </c>
      <c r="K2972">
        <v>1.1046199999999999</v>
      </c>
      <c r="L2972">
        <v>214.7106</v>
      </c>
      <c r="M2972">
        <v>0.99983709999999903</v>
      </c>
      <c r="N2972">
        <v>0</v>
      </c>
      <c r="O2972">
        <v>-1.070718E-2</v>
      </c>
      <c r="P2972">
        <v>0.99848409999999999</v>
      </c>
      <c r="Q2972">
        <v>4.7550139999999998E-2</v>
      </c>
      <c r="R2972">
        <v>2.7722920000000002E-2</v>
      </c>
      <c r="S2972">
        <v>3.0182799999999999</v>
      </c>
      <c r="T2972">
        <v>-0.10296959999999999</v>
      </c>
      <c r="U2972">
        <v>-0.31723020000000002</v>
      </c>
      <c r="V2972">
        <v>-3.8435030000000002E-2</v>
      </c>
      <c r="W2972">
        <v>6.2039869999999997E-2</v>
      </c>
      <c r="X2972">
        <v>0.99733329999999998</v>
      </c>
      <c r="Y2972">
        <v>9.3823790000000004E-2</v>
      </c>
      <c r="Z2972">
        <v>-1.2314069999999999E-3</v>
      </c>
      <c r="AA2972">
        <v>0.99558809999999998</v>
      </c>
      <c r="AB2972">
        <v>46</v>
      </c>
      <c r="AC2972">
        <v>31.942299999999999</v>
      </c>
      <c r="AD2972">
        <v>-1.1046208521734</v>
      </c>
      <c r="AE2972">
        <v>-3.3985000000000101</v>
      </c>
      <c r="AF2972">
        <v>3.0526472870224302</v>
      </c>
      <c r="AG2972">
        <v>-1.1046208521734</v>
      </c>
      <c r="AH2972">
        <v>31.939092402104901</v>
      </c>
      <c r="AI2972">
        <v>91.9718195266138</v>
      </c>
      <c r="AJ2972">
        <v>84.540417044229699</v>
      </c>
      <c r="AK2972">
        <v>32.103651913080199</v>
      </c>
    </row>
    <row r="2973" spans="1:37" x14ac:dyDescent="0.2">
      <c r="A2973" t="str">
        <f>"20200111153455310"</f>
        <v>20200111153455310</v>
      </c>
      <c r="B2973" t="str">
        <f>"1578728095299216"</f>
        <v>1578728095299216</v>
      </c>
      <c r="C2973" t="s">
        <v>37</v>
      </c>
      <c r="D2973">
        <v>5.215401</v>
      </c>
      <c r="E2973">
        <v>0.55049239999999999</v>
      </c>
      <c r="F2973" t="s">
        <v>52</v>
      </c>
      <c r="G2973">
        <v>-231.05449999999999</v>
      </c>
      <c r="H2973" s="1">
        <v>-8.3274069999999897E-7</v>
      </c>
      <c r="I2973">
        <v>211.34700000000001</v>
      </c>
      <c r="J2973">
        <v>-262.50459999999998</v>
      </c>
      <c r="K2973">
        <v>1.1046199999999999</v>
      </c>
      <c r="L2973">
        <v>214.70580000000001</v>
      </c>
      <c r="M2973">
        <v>0.99983829999999996</v>
      </c>
      <c r="N2973">
        <v>0</v>
      </c>
      <c r="O2973">
        <v>-1.057817E-2</v>
      </c>
      <c r="P2973">
        <v>0.99847919999999901</v>
      </c>
      <c r="Q2973">
        <v>4.7380940000000003E-2</v>
      </c>
      <c r="R2973">
        <v>2.8185720000000001E-2</v>
      </c>
      <c r="S2973">
        <v>3.018402</v>
      </c>
      <c r="T2973">
        <v>-0.10451050000000001</v>
      </c>
      <c r="U2973">
        <v>-0.3182373</v>
      </c>
      <c r="V2973">
        <v>-3.8769249999999998E-2</v>
      </c>
      <c r="W2973">
        <v>6.1883290000000001E-2</v>
      </c>
      <c r="X2973">
        <v>0.9973301</v>
      </c>
      <c r="Y2973">
        <v>9.4274800000000006E-2</v>
      </c>
      <c r="Z2973">
        <v>-1.261987E-3</v>
      </c>
      <c r="AA2973">
        <v>0.99554540000000002</v>
      </c>
      <c r="AB2973">
        <v>46</v>
      </c>
      <c r="AC2973">
        <v>31.4500999999999</v>
      </c>
      <c r="AD2973">
        <v>-1.1046208327407001</v>
      </c>
      <c r="AE2973">
        <v>-3.3588</v>
      </c>
      <c r="AF2973">
        <v>3.0222061283529902</v>
      </c>
      <c r="AG2973">
        <v>-1.1046208327407001</v>
      </c>
      <c r="AH2973">
        <v>31.445519248010999</v>
      </c>
      <c r="AI2973">
        <v>92.002643302227398</v>
      </c>
      <c r="AJ2973">
        <v>84.510205669206101</v>
      </c>
      <c r="AK2973">
        <v>31.609723153539498</v>
      </c>
    </row>
    <row r="2974" spans="1:37" x14ac:dyDescent="0.2">
      <c r="A2974" t="str">
        <f>"20200111153455334"</f>
        <v>20200111153455334</v>
      </c>
      <c r="B2974" t="str">
        <f>"1578728095329471"</f>
        <v>1578728095329471</v>
      </c>
      <c r="C2974" t="s">
        <v>37</v>
      </c>
      <c r="D2974">
        <v>5.2235319999999996</v>
      </c>
      <c r="E2974">
        <v>0.55029910000000004</v>
      </c>
      <c r="F2974" t="s">
        <v>52</v>
      </c>
      <c r="G2974">
        <v>-230.72210000000001</v>
      </c>
      <c r="H2974" s="1">
        <v>-1.010719E-6</v>
      </c>
      <c r="I2974">
        <v>211.3725</v>
      </c>
      <c r="J2974">
        <v>-262.04160000000002</v>
      </c>
      <c r="K2974">
        <v>1.104633</v>
      </c>
      <c r="L2974">
        <v>214.70099999999999</v>
      </c>
      <c r="M2974">
        <v>0.99983960000000005</v>
      </c>
      <c r="N2974">
        <v>0</v>
      </c>
      <c r="O2974">
        <v>-1.0443050000000001E-2</v>
      </c>
      <c r="P2974">
        <v>0.99846599999999996</v>
      </c>
      <c r="Q2974">
        <v>4.739314E-2</v>
      </c>
      <c r="R2974">
        <v>2.8632810000000002E-2</v>
      </c>
      <c r="S2974">
        <v>3.018494</v>
      </c>
      <c r="T2974">
        <v>-0.10490969999999999</v>
      </c>
      <c r="U2974">
        <v>-0.31657410000000002</v>
      </c>
      <c r="V2974">
        <v>-3.9081159999999997E-2</v>
      </c>
      <c r="W2974">
        <v>6.1905660000000001E-2</v>
      </c>
      <c r="X2974">
        <v>0.997316599999999</v>
      </c>
      <c r="Y2974">
        <v>9.3863409999999994E-2</v>
      </c>
      <c r="Z2974">
        <v>-1.264355E-3</v>
      </c>
      <c r="AA2974">
        <v>0.99558429999999998</v>
      </c>
      <c r="AB2974">
        <v>46</v>
      </c>
      <c r="AC2974">
        <v>31.319500000000001</v>
      </c>
      <c r="AD2974">
        <v>-1.104634010719</v>
      </c>
      <c r="AE2974">
        <v>-3.3284999999999898</v>
      </c>
      <c r="AF2974">
        <v>2.99752556103615</v>
      </c>
      <c r="AG2974">
        <v>-1.104634010719</v>
      </c>
      <c r="AH2974">
        <v>31.314036723061101</v>
      </c>
      <c r="AI2974">
        <v>92.011142611397503</v>
      </c>
      <c r="AJ2974">
        <v>84.532041645181195</v>
      </c>
      <c r="AK2974">
        <v>31.476567025009601</v>
      </c>
    </row>
    <row r="2975" spans="1:37" x14ac:dyDescent="0.2">
      <c r="A2975" t="str">
        <f>"20200111153455355"</f>
        <v>20200111153455355</v>
      </c>
      <c r="B2975" t="str">
        <f>"1578728095348993"</f>
        <v>1578728095348993</v>
      </c>
      <c r="C2975" t="s">
        <v>37</v>
      </c>
      <c r="D2975">
        <v>5.2467990000000002</v>
      </c>
      <c r="E2975">
        <v>0.5503015</v>
      </c>
      <c r="F2975" t="s">
        <v>52</v>
      </c>
      <c r="G2975">
        <v>-230.71850000000001</v>
      </c>
      <c r="H2975" s="1">
        <v>-1.015934E-6</v>
      </c>
      <c r="I2975">
        <v>211.4478</v>
      </c>
      <c r="J2975">
        <v>-261.58249999999998</v>
      </c>
      <c r="K2975">
        <v>1.104646</v>
      </c>
      <c r="L2975">
        <v>214.69640000000001</v>
      </c>
      <c r="M2975">
        <v>0.99984089999999903</v>
      </c>
      <c r="N2975">
        <v>0</v>
      </c>
      <c r="O2975">
        <v>-1.0305750000000001E-2</v>
      </c>
      <c r="P2975">
        <v>0.99842180000000003</v>
      </c>
      <c r="Q2975">
        <v>4.8275270000000002E-2</v>
      </c>
      <c r="R2975">
        <v>2.8696889999999999E-2</v>
      </c>
      <c r="S2975">
        <v>3.0186459999999999</v>
      </c>
      <c r="T2975">
        <v>-0.1064551</v>
      </c>
      <c r="U2975">
        <v>-0.31352229999999998</v>
      </c>
      <c r="V2975">
        <v>-3.9008599999999997E-2</v>
      </c>
      <c r="W2975">
        <v>6.2795589999999998E-2</v>
      </c>
      <c r="X2975">
        <v>0.99726380000000003</v>
      </c>
      <c r="Y2975">
        <v>9.299818E-2</v>
      </c>
      <c r="Z2975">
        <v>-1.2725869999999999E-3</v>
      </c>
      <c r="AA2975">
        <v>0.99566549999999998</v>
      </c>
      <c r="AB2975">
        <v>46</v>
      </c>
      <c r="AC2975">
        <v>30.863999999999901</v>
      </c>
      <c r="AD2975">
        <v>-1.1046470159340001</v>
      </c>
      <c r="AE2975">
        <v>-3.2486000000000099</v>
      </c>
      <c r="AF2975">
        <v>2.9266092081421098</v>
      </c>
      <c r="AG2975">
        <v>-1.1046470159340001</v>
      </c>
      <c r="AH2975">
        <v>30.856749611226899</v>
      </c>
      <c r="AI2975">
        <v>92.041115473669805</v>
      </c>
      <c r="AJ2975">
        <v>84.581987586725702</v>
      </c>
      <c r="AK2975">
        <v>31.0149042084116</v>
      </c>
    </row>
    <row r="2976" spans="1:37" x14ac:dyDescent="0.2">
      <c r="A2976" t="str">
        <f>"20200111153455378"</f>
        <v>20200111153455378</v>
      </c>
      <c r="B2976" t="str">
        <f>"1578728095369487"</f>
        <v>1578728095369487</v>
      </c>
      <c r="C2976" t="s">
        <v>37</v>
      </c>
      <c r="D2976">
        <v>5.2707179999999996</v>
      </c>
      <c r="E2976">
        <v>0.55046569999999995</v>
      </c>
      <c r="F2976" t="s">
        <v>52</v>
      </c>
      <c r="G2976">
        <v>-229.518</v>
      </c>
      <c r="H2976" s="1">
        <v>3.6700430000000001E-6</v>
      </c>
      <c r="I2976">
        <v>211.37209999999999</v>
      </c>
      <c r="J2976">
        <v>-261.13650000000001</v>
      </c>
      <c r="K2976">
        <v>1.1046579999999999</v>
      </c>
      <c r="L2976">
        <v>214.6919</v>
      </c>
      <c r="M2976">
        <v>0.99984219999999902</v>
      </c>
      <c r="N2976">
        <v>0</v>
      </c>
      <c r="O2976">
        <v>-1.0169859999999999E-2</v>
      </c>
      <c r="P2976">
        <v>0.99837759999999998</v>
      </c>
      <c r="Q2976">
        <v>4.9210730000000001E-2</v>
      </c>
      <c r="R2976">
        <v>2.864769E-2</v>
      </c>
      <c r="S2976">
        <v>3.0187680000000001</v>
      </c>
      <c r="T2976">
        <v>-0.1039987</v>
      </c>
      <c r="U2976">
        <v>-0.312973</v>
      </c>
      <c r="V2976">
        <v>-3.8824160000000003E-2</v>
      </c>
      <c r="W2976">
        <v>6.3736909999999994E-2</v>
      </c>
      <c r="X2976">
        <v>0.99721130000000002</v>
      </c>
      <c r="Y2976">
        <v>9.2952389999999996E-2</v>
      </c>
      <c r="Z2976">
        <v>-1.2470820000000001E-3</v>
      </c>
      <c r="AA2976">
        <v>0.99566980000000005</v>
      </c>
      <c r="AB2976">
        <v>45</v>
      </c>
      <c r="AC2976">
        <v>31.618500000000001</v>
      </c>
      <c r="AD2976">
        <v>-1.104654329957</v>
      </c>
      <c r="AE2976">
        <v>-3.3198000000000101</v>
      </c>
      <c r="AF2976">
        <v>2.99442333563404</v>
      </c>
      <c r="AG2976">
        <v>-1.104654329957</v>
      </c>
      <c r="AH2976">
        <v>31.612464840546298</v>
      </c>
      <c r="AI2976">
        <v>91.992397196424903</v>
      </c>
      <c r="AJ2976">
        <v>84.588924381450695</v>
      </c>
      <c r="AK2976">
        <v>31.773176825688399</v>
      </c>
    </row>
    <row r="2977" spans="1:37" x14ac:dyDescent="0.2">
      <c r="A2977" t="str">
        <f>"20200111153455401"</f>
        <v>20200111153455401</v>
      </c>
      <c r="B2977" t="str">
        <f>"1578728095398767"</f>
        <v>1578728095398767</v>
      </c>
      <c r="C2977" t="s">
        <v>37</v>
      </c>
      <c r="D2977">
        <v>5.1585939999999999</v>
      </c>
      <c r="E2977">
        <v>0.55124569999999995</v>
      </c>
      <c r="F2977" t="s">
        <v>52</v>
      </c>
      <c r="G2977">
        <v>-228.48849999999999</v>
      </c>
      <c r="H2977" s="1">
        <v>3.125753E-6</v>
      </c>
      <c r="I2977">
        <v>211.29060000000001</v>
      </c>
      <c r="J2977">
        <v>-260.67529999999999</v>
      </c>
      <c r="K2977">
        <v>1.104679</v>
      </c>
      <c r="L2977">
        <v>214.68729999999999</v>
      </c>
      <c r="M2977">
        <v>0.99984340000000005</v>
      </c>
      <c r="N2977">
        <v>0</v>
      </c>
      <c r="O2977">
        <v>-1.0027060000000001E-2</v>
      </c>
      <c r="P2977">
        <v>0.998332</v>
      </c>
      <c r="Q2977">
        <v>5.0347250000000003E-2</v>
      </c>
      <c r="R2977">
        <v>2.8262349999999999E-2</v>
      </c>
      <c r="S2977">
        <v>3.01892099999999</v>
      </c>
      <c r="T2977">
        <v>-0.1021463</v>
      </c>
      <c r="U2977">
        <v>-0.31451420000000002</v>
      </c>
      <c r="V2977">
        <v>-3.8296370000000003E-2</v>
      </c>
      <c r="W2977">
        <v>6.4878459999999999E-2</v>
      </c>
      <c r="X2977">
        <v>0.99715810000000005</v>
      </c>
      <c r="Y2977">
        <v>9.3593529999999994E-2</v>
      </c>
      <c r="Z2977">
        <v>-1.240419E-3</v>
      </c>
      <c r="AA2977">
        <v>0.99560969999999904</v>
      </c>
      <c r="AB2977">
        <v>45</v>
      </c>
      <c r="AC2977">
        <v>32.186799999999998</v>
      </c>
      <c r="AD2977">
        <v>-1.104675874247</v>
      </c>
      <c r="AE2977">
        <v>-3.3966999999999801</v>
      </c>
      <c r="AF2977">
        <v>3.0701793308477199</v>
      </c>
      <c r="AG2977">
        <v>-1.104675874247</v>
      </c>
      <c r="AH2977">
        <v>32.181754218558901</v>
      </c>
      <c r="AI2977">
        <v>91.957092866680298</v>
      </c>
      <c r="AJ2977">
        <v>84.550404499098903</v>
      </c>
      <c r="AK2977">
        <v>32.346740399836897</v>
      </c>
    </row>
    <row r="2978" spans="1:37" x14ac:dyDescent="0.2">
      <c r="A2978" t="str">
        <f>"20200111153455445"</f>
        <v>20200111153455445</v>
      </c>
      <c r="B2978" t="str">
        <f>"1578728095438784"</f>
        <v>1578728095438784</v>
      </c>
      <c r="C2978" t="s">
        <v>37</v>
      </c>
      <c r="D2978">
        <v>5.1072259999999998</v>
      </c>
      <c r="E2978">
        <v>0.57067190000000001</v>
      </c>
      <c r="F2978" t="s">
        <v>52</v>
      </c>
      <c r="G2978">
        <v>-227.1028</v>
      </c>
      <c r="H2978" s="1">
        <v>2.3961670000000002E-6</v>
      </c>
      <c r="I2978">
        <v>211.1112</v>
      </c>
      <c r="J2978">
        <v>-259.76280000000003</v>
      </c>
      <c r="K2978">
        <v>1.1047119999999999</v>
      </c>
      <c r="L2978">
        <v>214.67840000000001</v>
      </c>
      <c r="M2978">
        <v>0.99984619999999902</v>
      </c>
      <c r="N2978">
        <v>0</v>
      </c>
      <c r="O2978">
        <v>-9.7393029999999995E-3</v>
      </c>
      <c r="P2978">
        <v>0.99820919999999902</v>
      </c>
      <c r="Q2978">
        <v>5.3929440000000002E-2</v>
      </c>
      <c r="R2978">
        <v>2.5886920000000001E-2</v>
      </c>
      <c r="S2978">
        <v>3.0191349999999999</v>
      </c>
      <c r="T2978">
        <v>-9.9342109999999997E-2</v>
      </c>
      <c r="U2978">
        <v>-0.3215942</v>
      </c>
      <c r="V2978">
        <v>-3.5634480000000003E-2</v>
      </c>
      <c r="W2978">
        <v>6.8468200000000007E-2</v>
      </c>
      <c r="X2978">
        <v>0.99701669999999998</v>
      </c>
      <c r="Y2978">
        <v>9.6182680000000007E-2</v>
      </c>
      <c r="Z2978">
        <v>-1.258056E-3</v>
      </c>
      <c r="AA2978">
        <v>0.99536290000000005</v>
      </c>
      <c r="AB2978">
        <v>45</v>
      </c>
      <c r="AC2978">
        <v>32.659999999999997</v>
      </c>
      <c r="AD2978">
        <v>-1.104709603833</v>
      </c>
      <c r="AE2978">
        <v>-3.5672000000000099</v>
      </c>
      <c r="AF2978">
        <v>3.24524219485073</v>
      </c>
      <c r="AG2978">
        <v>-1.104709603833</v>
      </c>
      <c r="AH2978">
        <v>32.656274824732698</v>
      </c>
      <c r="AI2978">
        <v>91.927996450006503</v>
      </c>
      <c r="AJ2978">
        <v>84.324821128680597</v>
      </c>
      <c r="AK2978">
        <v>32.835716310757</v>
      </c>
    </row>
    <row r="2979" spans="1:37" x14ac:dyDescent="0.2">
      <c r="A2979" t="str">
        <f>"20200111153455468"</f>
        <v>20200111153455468</v>
      </c>
      <c r="B2979" t="str">
        <f>"1578728095459281"</f>
        <v>1578728095459281</v>
      </c>
      <c r="C2979" t="s">
        <v>37</v>
      </c>
      <c r="D2979">
        <v>5.392817</v>
      </c>
      <c r="E2979">
        <v>0.57075779999999998</v>
      </c>
      <c r="F2979" t="s">
        <v>40</v>
      </c>
      <c r="G2979">
        <v>-258.82510000000002</v>
      </c>
      <c r="H2979">
        <v>0.94319219999999904</v>
      </c>
      <c r="I2979">
        <v>214.53059999999999</v>
      </c>
      <c r="J2979">
        <v>-259.32139999999998</v>
      </c>
      <c r="K2979">
        <v>1.104727</v>
      </c>
      <c r="L2979">
        <v>214.67420000000001</v>
      </c>
      <c r="M2979">
        <v>0.9998475</v>
      </c>
      <c r="N2979">
        <v>0</v>
      </c>
      <c r="O2979">
        <v>-9.5982869999999901E-3</v>
      </c>
      <c r="P2979">
        <v>0.99816579999999999</v>
      </c>
      <c r="Q2979">
        <v>5.5313370000000001E-2</v>
      </c>
      <c r="R2979">
        <v>2.460818E-2</v>
      </c>
      <c r="S2979">
        <v>3.046173</v>
      </c>
      <c r="T2979">
        <v>-0.52474129999999997</v>
      </c>
      <c r="U2979">
        <v>-0.47938540000000002</v>
      </c>
      <c r="V2979">
        <v>-3.421536E-2</v>
      </c>
      <c r="W2979">
        <v>6.9853890000000002E-2</v>
      </c>
      <c r="X2979">
        <v>0.99697029999999998</v>
      </c>
      <c r="Y2979">
        <v>0.1440381</v>
      </c>
      <c r="Z2979">
        <v>-1.0610410000000001E-2</v>
      </c>
      <c r="AA2979">
        <v>0.98951520000000004</v>
      </c>
      <c r="AB2979">
        <v>45</v>
      </c>
      <c r="AC2979">
        <v>0.49629999999996199</v>
      </c>
      <c r="AD2979">
        <v>-0.16153480000000001</v>
      </c>
      <c r="AE2979">
        <v>-0.14360000000001999</v>
      </c>
      <c r="AF2979">
        <v>0.12646681717083999</v>
      </c>
      <c r="AG2979">
        <v>-0.16153480000000001</v>
      </c>
      <c r="AH2979">
        <v>0.45334049170480201</v>
      </c>
      <c r="AI2979">
        <v>108.94305992354001</v>
      </c>
      <c r="AJ2979">
        <v>74.412677682900096</v>
      </c>
      <c r="AK2979">
        <v>0.49759918496267103</v>
      </c>
    </row>
    <row r="2980" spans="1:37" x14ac:dyDescent="0.2">
      <c r="A2980" t="str">
        <f>"20200111153455490"</f>
        <v>20200111153455490</v>
      </c>
      <c r="B2980" t="str">
        <f>"1578728095478799"</f>
        <v>1578728095478799</v>
      </c>
      <c r="C2980" t="s">
        <v>37</v>
      </c>
      <c r="D2980">
        <v>5.1107529999999999</v>
      </c>
      <c r="E2980">
        <v>0.564467099999999</v>
      </c>
      <c r="F2980" t="s">
        <v>40</v>
      </c>
      <c r="G2980">
        <v>-258.38690000000003</v>
      </c>
      <c r="H2980">
        <v>1.013028</v>
      </c>
      <c r="I2980">
        <v>214.52459999999999</v>
      </c>
      <c r="J2980">
        <v>-258.86770000000001</v>
      </c>
      <c r="K2980">
        <v>1.104738</v>
      </c>
      <c r="L2980">
        <v>214.67</v>
      </c>
      <c r="M2980">
        <v>0.99984889999999904</v>
      </c>
      <c r="N2980">
        <v>0</v>
      </c>
      <c r="O2980">
        <v>-9.4533340000000007E-3</v>
      </c>
      <c r="P2980">
        <v>0.99815339999999997</v>
      </c>
      <c r="Q2980">
        <v>5.5989369999999997E-2</v>
      </c>
      <c r="R2980">
        <v>2.3563870000000001E-2</v>
      </c>
      <c r="S2980">
        <v>3.0339969999999998</v>
      </c>
      <c r="T2980">
        <v>-0.29771029999999998</v>
      </c>
      <c r="U2980">
        <v>-0.48573299999999903</v>
      </c>
      <c r="V2980">
        <v>-3.3026710000000001E-2</v>
      </c>
      <c r="W2980">
        <v>7.0531720000000006E-2</v>
      </c>
      <c r="X2980">
        <v>0.99696269999999998</v>
      </c>
      <c r="Y2980">
        <v>0.14809220000000001</v>
      </c>
      <c r="Z2980">
        <v>-6.2833289999999998E-3</v>
      </c>
      <c r="AA2980">
        <v>0.98895359999999999</v>
      </c>
      <c r="AB2980">
        <v>45</v>
      </c>
      <c r="AC2980">
        <v>0.48079999999998702</v>
      </c>
      <c r="AD2980">
        <v>-9.1709999999999903E-2</v>
      </c>
      <c r="AE2980">
        <v>-0.14539999999999501</v>
      </c>
      <c r="AF2980">
        <v>0.136304167934029</v>
      </c>
      <c r="AG2980">
        <v>-9.1709999999999903E-2</v>
      </c>
      <c r="AH2980">
        <v>0.46659913310391699</v>
      </c>
      <c r="AI2980">
        <v>100.684109719605</v>
      </c>
      <c r="AJ2980">
        <v>73.715721423269301</v>
      </c>
      <c r="AK2980">
        <v>0.49467595586354801</v>
      </c>
    </row>
    <row r="2981" spans="1:37" x14ac:dyDescent="0.2">
      <c r="A2981" t="str">
        <f>"20200111153455512"</f>
        <v>20200111153455512</v>
      </c>
      <c r="B2981" t="str">
        <f>"1578728095509056"</f>
        <v>1578728095509056</v>
      </c>
      <c r="C2981" t="s">
        <v>37</v>
      </c>
      <c r="D2981">
        <v>5.1289030000000002</v>
      </c>
      <c r="E2981">
        <v>0.5599092</v>
      </c>
      <c r="F2981" t="s">
        <v>40</v>
      </c>
      <c r="G2981">
        <v>-257.96850000000001</v>
      </c>
      <c r="H2981">
        <v>1.0390250000000001</v>
      </c>
      <c r="I2981">
        <v>214.5393</v>
      </c>
      <c r="J2981">
        <v>-258.40989999999999</v>
      </c>
      <c r="K2981">
        <v>1.1047480000000001</v>
      </c>
      <c r="L2981">
        <v>214.66579999999999</v>
      </c>
      <c r="M2981">
        <v>0.99985029999999997</v>
      </c>
      <c r="N2981">
        <v>0</v>
      </c>
      <c r="O2981">
        <v>-9.3067089999999998E-3</v>
      </c>
      <c r="P2981">
        <v>0.99817449999999996</v>
      </c>
      <c r="Q2981">
        <v>5.608469E-2</v>
      </c>
      <c r="R2981">
        <v>2.2416749999999999E-2</v>
      </c>
      <c r="S2981">
        <v>3.0283359999999999</v>
      </c>
      <c r="T2981">
        <v>-0.22150539999999999</v>
      </c>
      <c r="U2981">
        <v>-0.43911739999999999</v>
      </c>
      <c r="V2981">
        <v>-3.1733400000000002E-2</v>
      </c>
      <c r="W2981">
        <v>7.0629709999999998E-2</v>
      </c>
      <c r="X2981">
        <v>0.99699769999999899</v>
      </c>
      <c r="Y2981">
        <v>0.13395850000000001</v>
      </c>
      <c r="Z2981">
        <v>-4.1910089999999999E-3</v>
      </c>
      <c r="AA2981">
        <v>0.99097809999999897</v>
      </c>
      <c r="AB2981">
        <v>45</v>
      </c>
      <c r="AC2981">
        <v>0.44139999999998702</v>
      </c>
      <c r="AD2981">
        <v>-6.5722999999999906E-2</v>
      </c>
      <c r="AE2981">
        <v>-0.12649999999999201</v>
      </c>
      <c r="AF2981">
        <v>0.11992905209468201</v>
      </c>
      <c r="AG2981">
        <v>-6.5722999999999906E-2</v>
      </c>
      <c r="AH2981">
        <v>0.43367340755053602</v>
      </c>
      <c r="AI2981">
        <v>98.310260833721202</v>
      </c>
      <c r="AJ2981">
        <v>74.541625540322201</v>
      </c>
      <c r="AK2981">
        <v>0.454725317836847</v>
      </c>
    </row>
    <row r="2982" spans="1:37" x14ac:dyDescent="0.2">
      <c r="A2982" t="str">
        <f>"20200111153455535"</f>
        <v>20200111153455535</v>
      </c>
      <c r="B2982" t="str">
        <f>"1578728095528574"</f>
        <v>1578728095528574</v>
      </c>
      <c r="C2982" t="s">
        <v>37</v>
      </c>
      <c r="D2982">
        <v>5.0665559999999896</v>
      </c>
      <c r="E2982">
        <v>0.55688789999999999</v>
      </c>
      <c r="F2982" t="s">
        <v>52</v>
      </c>
      <c r="G2982">
        <v>-240.01759999999999</v>
      </c>
      <c r="H2982" s="1">
        <v>-1.4216409999999999E-6</v>
      </c>
      <c r="I2982">
        <v>212.19579999999999</v>
      </c>
      <c r="J2982">
        <v>-257.95339999999999</v>
      </c>
      <c r="K2982">
        <v>1.1047499999999999</v>
      </c>
      <c r="L2982">
        <v>214.66159999999999</v>
      </c>
      <c r="M2982">
        <v>0.99985159999999995</v>
      </c>
      <c r="N2982">
        <v>0</v>
      </c>
      <c r="O2982">
        <v>-9.155758E-3</v>
      </c>
      <c r="P2982">
        <v>0.99820489999999995</v>
      </c>
      <c r="Q2982">
        <v>5.6060390000000002E-2</v>
      </c>
      <c r="R2982">
        <v>2.1071779999999998E-2</v>
      </c>
      <c r="S2982">
        <v>3.024826</v>
      </c>
      <c r="T2982">
        <v>-0.18168779999999901</v>
      </c>
      <c r="U2982">
        <v>-0.40621950000000001</v>
      </c>
      <c r="V2982">
        <v>-3.023874E-2</v>
      </c>
      <c r="W2982">
        <v>7.0607340000000005E-2</v>
      </c>
      <c r="X2982">
        <v>0.99704579999999998</v>
      </c>
      <c r="Y2982">
        <v>0.1238165</v>
      </c>
      <c r="Z2982">
        <v>-3.1516779999999898E-3</v>
      </c>
      <c r="AA2982">
        <v>0.99230019999999997</v>
      </c>
      <c r="AB2982">
        <v>45</v>
      </c>
      <c r="AC2982">
        <v>17.9358</v>
      </c>
      <c r="AD2982">
        <v>-1.1047514216409999</v>
      </c>
      <c r="AE2982">
        <v>-2.4658000000000002</v>
      </c>
      <c r="AF2982">
        <v>2.2929254961631802</v>
      </c>
      <c r="AG2982">
        <v>-1.1047514216409999</v>
      </c>
      <c r="AH2982">
        <v>17.8910088769113</v>
      </c>
      <c r="AI2982">
        <v>93.504874596052105</v>
      </c>
      <c r="AJ2982">
        <v>82.696740849365895</v>
      </c>
      <c r="AK2982">
        <v>18.0711422347424</v>
      </c>
    </row>
    <row r="2983" spans="1:37" x14ac:dyDescent="0.2">
      <c r="A2983" t="str">
        <f>"20200111153455556"</f>
        <v>20200111153455556</v>
      </c>
      <c r="B2983" t="str">
        <f>"1578728095549074"</f>
        <v>1578728095549074</v>
      </c>
      <c r="C2983" t="s">
        <v>37</v>
      </c>
      <c r="D2983">
        <v>5.0837129999999897</v>
      </c>
      <c r="E2983">
        <v>0.55514249999999998</v>
      </c>
      <c r="F2983" t="s">
        <v>52</v>
      </c>
      <c r="G2983">
        <v>-238.76509999999999</v>
      </c>
      <c r="H2983" s="1">
        <v>3.2325069999999999E-6</v>
      </c>
      <c r="I2983">
        <v>212.21549999999999</v>
      </c>
      <c r="J2983">
        <v>-257.517</v>
      </c>
      <c r="K2983">
        <v>1.1047480000000001</v>
      </c>
      <c r="L2983">
        <v>214.65770000000001</v>
      </c>
      <c r="M2983">
        <v>0.99985299999999999</v>
      </c>
      <c r="N2983">
        <v>0</v>
      </c>
      <c r="O2983">
        <v>-9.0027240000000001E-3</v>
      </c>
      <c r="P2983">
        <v>0.99830169999999996</v>
      </c>
      <c r="Q2983">
        <v>5.474242E-2</v>
      </c>
      <c r="R2983">
        <v>1.993062E-2</v>
      </c>
      <c r="S2983">
        <v>3.0232999999999999</v>
      </c>
      <c r="T2983">
        <v>-0.1740631</v>
      </c>
      <c r="U2983">
        <v>-0.38540649999999999</v>
      </c>
      <c r="V2983">
        <v>-2.8946329999999999E-2</v>
      </c>
      <c r="W2983">
        <v>6.9291169999999999E-2</v>
      </c>
      <c r="X2983">
        <v>0.99717639999999996</v>
      </c>
      <c r="Y2983">
        <v>0.1173424</v>
      </c>
      <c r="Z2983">
        <v>-2.8457779999999898E-3</v>
      </c>
      <c r="AA2983">
        <v>0.99308750000000001</v>
      </c>
      <c r="AB2983">
        <v>45</v>
      </c>
      <c r="AC2983">
        <v>18.751899999999999</v>
      </c>
      <c r="AD2983">
        <v>-1.104744767493</v>
      </c>
      <c r="AE2983">
        <v>-2.4422000000000099</v>
      </c>
      <c r="AF2983">
        <v>2.26553272344254</v>
      </c>
      <c r="AG2983">
        <v>-1.104744767493</v>
      </c>
      <c r="AH2983">
        <v>18.709275063071001</v>
      </c>
      <c r="AI2983">
        <v>93.354825786324398</v>
      </c>
      <c r="AJ2983">
        <v>83.095588395492399</v>
      </c>
      <c r="AK2983">
        <v>18.878296345484799</v>
      </c>
    </row>
    <row r="2984" spans="1:37" x14ac:dyDescent="0.2">
      <c r="A2984" t="str">
        <f>"20200111153455579"</f>
        <v>20200111153455579</v>
      </c>
      <c r="B2984" t="str">
        <f>"1578728095568591"</f>
        <v>1578728095568591</v>
      </c>
      <c r="C2984" t="s">
        <v>37</v>
      </c>
      <c r="D2984">
        <v>5.102919</v>
      </c>
      <c r="E2984">
        <v>0.55370799999999998</v>
      </c>
      <c r="F2984" t="s">
        <v>52</v>
      </c>
      <c r="G2984">
        <v>-238.2655</v>
      </c>
      <c r="H2984" s="1">
        <v>2.9642680000000001E-6</v>
      </c>
      <c r="I2984">
        <v>212.2698</v>
      </c>
      <c r="J2984">
        <v>-257.06880000000001</v>
      </c>
      <c r="K2984">
        <v>1.104741</v>
      </c>
      <c r="L2984">
        <v>214.65379999999999</v>
      </c>
      <c r="M2984">
        <v>0.99985449999999998</v>
      </c>
      <c r="N2984">
        <v>0</v>
      </c>
      <c r="O2984">
        <v>-8.8361789999999996E-3</v>
      </c>
      <c r="P2984">
        <v>0.99846919999999995</v>
      </c>
      <c r="Q2984">
        <v>5.1923820000000002E-2</v>
      </c>
      <c r="R2984">
        <v>1.905544E-2</v>
      </c>
      <c r="S2984">
        <v>3.0220950000000002</v>
      </c>
      <c r="T2984">
        <v>-0.17342279999999999</v>
      </c>
      <c r="U2984">
        <v>-0.37486269999999999</v>
      </c>
      <c r="V2984">
        <v>-2.790606E-2</v>
      </c>
      <c r="W2984">
        <v>6.6475270000000003E-2</v>
      </c>
      <c r="X2984">
        <v>0.9973978</v>
      </c>
      <c r="Y2984">
        <v>0.114152</v>
      </c>
      <c r="Z2984">
        <v>-2.7554540000000001E-3</v>
      </c>
      <c r="AA2984">
        <v>0.99345949999999905</v>
      </c>
      <c r="AB2984">
        <v>45</v>
      </c>
      <c r="AC2984">
        <v>18.8033</v>
      </c>
      <c r="AD2984">
        <v>-1.104738035732</v>
      </c>
      <c r="AE2984">
        <v>-2.3839999999999799</v>
      </c>
      <c r="AF2984">
        <v>2.2102312339474199</v>
      </c>
      <c r="AG2984">
        <v>-1.104738035732</v>
      </c>
      <c r="AH2984">
        <v>18.759901780885201</v>
      </c>
      <c r="AI2984">
        <v>93.3470601477283</v>
      </c>
      <c r="AJ2984">
        <v>83.2805717899884</v>
      </c>
      <c r="AK2984">
        <v>18.921931272033699</v>
      </c>
    </row>
    <row r="2985" spans="1:37" x14ac:dyDescent="0.2">
      <c r="A2985" t="str">
        <f>"20200111153455602"</f>
        <v>20200111153455602</v>
      </c>
      <c r="B2985" t="str">
        <f>"1578728095599339"</f>
        <v>1578728095599339</v>
      </c>
      <c r="C2985" t="s">
        <v>37</v>
      </c>
      <c r="D2985">
        <v>5.1186759999999998</v>
      </c>
      <c r="E2985">
        <v>0.55232190000000003</v>
      </c>
      <c r="F2985" t="s">
        <v>40</v>
      </c>
      <c r="G2985">
        <v>-255.95160000000001</v>
      </c>
      <c r="H2985">
        <v>1.0389740000000001</v>
      </c>
      <c r="I2985">
        <v>214.51830000000001</v>
      </c>
      <c r="J2985">
        <v>-256.61799999999999</v>
      </c>
      <c r="K2985">
        <v>1.1047370000000001</v>
      </c>
      <c r="L2985">
        <v>214.65</v>
      </c>
      <c r="M2985">
        <v>0.99985609999999903</v>
      </c>
      <c r="N2985">
        <v>0</v>
      </c>
      <c r="O2985">
        <v>-8.6605640000000008E-3</v>
      </c>
      <c r="P2985">
        <v>0.99866309999999903</v>
      </c>
      <c r="Q2985">
        <v>4.8442359999999997E-2</v>
      </c>
      <c r="R2985">
        <v>1.804801E-2</v>
      </c>
      <c r="S2985">
        <v>3.0208279999999998</v>
      </c>
      <c r="T2985">
        <v>-0.177876799999999</v>
      </c>
      <c r="U2985">
        <v>-0.36602779999999902</v>
      </c>
      <c r="V2985">
        <v>-2.6725470000000001E-2</v>
      </c>
      <c r="W2985">
        <v>6.2995969999999998E-2</v>
      </c>
      <c r="X2985">
        <v>0.99765590000000004</v>
      </c>
      <c r="Y2985">
        <v>0.1115096</v>
      </c>
      <c r="Z2985">
        <v>-2.7606200000000001E-3</v>
      </c>
      <c r="AA2985">
        <v>0.99375949999999902</v>
      </c>
      <c r="AB2985">
        <v>45</v>
      </c>
      <c r="AC2985">
        <v>0.66639999999998101</v>
      </c>
      <c r="AD2985">
        <v>-6.5763000000000002E-2</v>
      </c>
      <c r="AE2985">
        <v>-0.13169999999999499</v>
      </c>
      <c r="AF2985">
        <v>0.124753795341853</v>
      </c>
      <c r="AG2985">
        <v>-6.5763000000000002E-2</v>
      </c>
      <c r="AH2985">
        <v>0.66131754515095897</v>
      </c>
      <c r="AI2985">
        <v>95.581157881306197</v>
      </c>
      <c r="AJ2985">
        <v>79.317020167971904</v>
      </c>
      <c r="AK2985">
        <v>0.676187235272663</v>
      </c>
    </row>
    <row r="2986" spans="1:37" x14ac:dyDescent="0.2">
      <c r="A2986" t="str">
        <f>"20200111153455624"</f>
        <v>20200111153455624</v>
      </c>
      <c r="B2986" t="str">
        <f>"1578728095618859"</f>
        <v>1578728095618859</v>
      </c>
      <c r="C2986" t="s">
        <v>37</v>
      </c>
      <c r="D2986">
        <v>5.1251910000000001</v>
      </c>
      <c r="E2986">
        <v>0.55160900000000002</v>
      </c>
      <c r="F2986" t="s">
        <v>40</v>
      </c>
      <c r="G2986">
        <v>-255.54929999999999</v>
      </c>
      <c r="H2986">
        <v>1.039917</v>
      </c>
      <c r="I2986">
        <v>214.523</v>
      </c>
      <c r="J2986">
        <v>-256.16930000000002</v>
      </c>
      <c r="K2986">
        <v>1.104738</v>
      </c>
      <c r="L2986">
        <v>214.64619999999999</v>
      </c>
      <c r="M2986">
        <v>0.99985759999999901</v>
      </c>
      <c r="N2986">
        <v>0</v>
      </c>
      <c r="O2986">
        <v>-8.479604E-3</v>
      </c>
      <c r="P2986">
        <v>0.99885059999999903</v>
      </c>
      <c r="Q2986">
        <v>4.4946119999999999E-2</v>
      </c>
      <c r="R2986">
        <v>1.6653169999999998E-2</v>
      </c>
      <c r="S2986">
        <v>3.0193789999999998</v>
      </c>
      <c r="T2986">
        <v>-0.18330109999999999</v>
      </c>
      <c r="U2986">
        <v>-0.3580933</v>
      </c>
      <c r="V2986">
        <v>-2.515098E-2</v>
      </c>
      <c r="W2986">
        <v>5.9502550000000001E-2</v>
      </c>
      <c r="X2986">
        <v>0.99791129999999995</v>
      </c>
      <c r="Y2986">
        <v>0.1091645</v>
      </c>
      <c r="Z2986">
        <v>-2.7865109999999898E-3</v>
      </c>
      <c r="AA2986">
        <v>0.99401980000000001</v>
      </c>
      <c r="AB2986">
        <v>45</v>
      </c>
      <c r="AC2986">
        <v>0.62000000000003297</v>
      </c>
      <c r="AD2986">
        <v>-6.4821000000000004E-2</v>
      </c>
      <c r="AE2986">
        <v>-0.12319999999999701</v>
      </c>
      <c r="AF2986">
        <v>0.116710388329318</v>
      </c>
      <c r="AG2986">
        <v>-6.4821000000000004E-2</v>
      </c>
      <c r="AH2986">
        <v>0.61456010091928204</v>
      </c>
      <c r="AI2986">
        <v>95.916067895276001</v>
      </c>
      <c r="AJ2986">
        <v>79.247074774513493</v>
      </c>
      <c r="AK2986">
        <v>0.628893627274835</v>
      </c>
    </row>
    <row r="2987" spans="1:37" x14ac:dyDescent="0.2">
      <c r="A2987" t="str">
        <f>"20200111153455647"</f>
        <v>20200111153455647</v>
      </c>
      <c r="B2987" t="str">
        <f>"1578728095639356"</f>
        <v>1578728095639356</v>
      </c>
      <c r="C2987" t="s">
        <v>37</v>
      </c>
      <c r="D2987">
        <v>5.0748959999999999</v>
      </c>
      <c r="E2987">
        <v>0.55101029999999995</v>
      </c>
      <c r="F2987" t="s">
        <v>40</v>
      </c>
      <c r="G2987">
        <v>-255.14779999999999</v>
      </c>
      <c r="H2987">
        <v>1.040151</v>
      </c>
      <c r="I2987">
        <v>214.52549999999999</v>
      </c>
      <c r="J2987">
        <v>-255.7132</v>
      </c>
      <c r="K2987">
        <v>1.10476</v>
      </c>
      <c r="L2987">
        <v>214.64250000000001</v>
      </c>
      <c r="M2987">
        <v>0.99985930000000001</v>
      </c>
      <c r="N2987">
        <v>0</v>
      </c>
      <c r="O2987">
        <v>-8.2899629999999992E-3</v>
      </c>
      <c r="P2987">
        <v>0.99893399999999999</v>
      </c>
      <c r="Q2987">
        <v>4.350677E-2</v>
      </c>
      <c r="R2987">
        <v>1.543827E-2</v>
      </c>
      <c r="S2987">
        <v>3.0179900000000002</v>
      </c>
      <c r="T2987">
        <v>-0.19084499999999999</v>
      </c>
      <c r="U2987">
        <v>-0.35658259999999897</v>
      </c>
      <c r="V2987">
        <v>-2.3747330000000001E-2</v>
      </c>
      <c r="W2987">
        <v>5.8064030000000003E-2</v>
      </c>
      <c r="X2987">
        <v>0.99803039999999998</v>
      </c>
      <c r="Y2987">
        <v>0.10890039999999999</v>
      </c>
      <c r="Z2987">
        <v>-2.9060039999999998E-3</v>
      </c>
      <c r="AA2987">
        <v>0.99404840000000005</v>
      </c>
      <c r="AB2987">
        <v>45</v>
      </c>
      <c r="AC2987">
        <v>0.565400000000011</v>
      </c>
      <c r="AD2987">
        <v>-6.4608999999999903E-2</v>
      </c>
      <c r="AE2987">
        <v>-0.11700000000001801</v>
      </c>
      <c r="AF2987">
        <v>0.110919431433184</v>
      </c>
      <c r="AG2987">
        <v>-6.4608999999999903E-2</v>
      </c>
      <c r="AH2987">
        <v>0.55934660596793095</v>
      </c>
      <c r="AI2987">
        <v>96.464145449526995</v>
      </c>
      <c r="AJ2987">
        <v>78.783656128117102</v>
      </c>
      <c r="AK2987">
        <v>0.57388680831528505</v>
      </c>
    </row>
    <row r="2988" spans="1:37" x14ac:dyDescent="0.2">
      <c r="A2988" t="str">
        <f>"20200111153455668"</f>
        <v>20200111153455668</v>
      </c>
      <c r="B2988" t="str">
        <f>"1578728095658876"</f>
        <v>1578728095658876</v>
      </c>
      <c r="C2988" t="s">
        <v>37</v>
      </c>
      <c r="D2988">
        <v>5.1096629999999896</v>
      </c>
      <c r="E2988">
        <v>0.55048050000000004</v>
      </c>
      <c r="F2988" t="s">
        <v>40</v>
      </c>
      <c r="G2988">
        <v>-254.74369999999999</v>
      </c>
      <c r="H2988">
        <v>1.0434649999999901</v>
      </c>
      <c r="I2988">
        <v>214.5282</v>
      </c>
      <c r="J2988">
        <v>-255.28319999999999</v>
      </c>
      <c r="K2988">
        <v>1.104795</v>
      </c>
      <c r="L2988">
        <v>214.63910000000001</v>
      </c>
      <c r="M2988">
        <v>0.99986090000000005</v>
      </c>
      <c r="N2988">
        <v>0</v>
      </c>
      <c r="O2988">
        <v>-8.1037829999999998E-3</v>
      </c>
      <c r="P2988">
        <v>0.99890659999999898</v>
      </c>
      <c r="Q2988">
        <v>4.4324379999999997E-2</v>
      </c>
      <c r="R2988">
        <v>1.487715E-2</v>
      </c>
      <c r="S2988">
        <v>3.0169980000000001</v>
      </c>
      <c r="T2988">
        <v>-0.19085629999999901</v>
      </c>
      <c r="U2988">
        <v>-0.35528559999999998</v>
      </c>
      <c r="V2988">
        <v>-2.3001440000000001E-2</v>
      </c>
      <c r="W2988">
        <v>5.8880420000000003E-2</v>
      </c>
      <c r="X2988">
        <v>0.998</v>
      </c>
      <c r="Y2988">
        <v>0.10870199999999999</v>
      </c>
      <c r="Z2988">
        <v>-2.91267E-3</v>
      </c>
      <c r="AA2988">
        <v>0.99407009999999996</v>
      </c>
      <c r="AB2988">
        <v>45</v>
      </c>
      <c r="AC2988">
        <v>0.53950000000000298</v>
      </c>
      <c r="AD2988">
        <v>-6.13300000000001E-2</v>
      </c>
      <c r="AE2988">
        <v>-0.110900000000015</v>
      </c>
      <c r="AF2988">
        <v>0.10521928136846</v>
      </c>
      <c r="AG2988">
        <v>-6.13300000000001E-2</v>
      </c>
      <c r="AH2988">
        <v>0.53376292460983599</v>
      </c>
      <c r="AI2988">
        <v>96.431898244736203</v>
      </c>
      <c r="AJ2988">
        <v>78.848413821823996</v>
      </c>
      <c r="AK2988">
        <v>0.54748089077130402</v>
      </c>
    </row>
    <row r="2989" spans="1:37" x14ac:dyDescent="0.2">
      <c r="A2989" t="str">
        <f>"20200111153455690"</f>
        <v>20200111153455690</v>
      </c>
      <c r="B2989" t="str">
        <f>"1578728095679372"</f>
        <v>1578728095679372</v>
      </c>
      <c r="C2989" t="s">
        <v>37</v>
      </c>
      <c r="D2989">
        <v>5.1114899999999999</v>
      </c>
      <c r="E2989">
        <v>0.55005630000000005</v>
      </c>
      <c r="F2989" t="s">
        <v>40</v>
      </c>
      <c r="G2989">
        <v>-254.3391</v>
      </c>
      <c r="H2989">
        <v>1.0473440000000001</v>
      </c>
      <c r="I2989">
        <v>214.52860000000001</v>
      </c>
      <c r="J2989">
        <v>-254.83510000000001</v>
      </c>
      <c r="K2989">
        <v>1.1048549999999999</v>
      </c>
      <c r="L2989">
        <v>214.63560000000001</v>
      </c>
      <c r="M2989">
        <v>0.99986249999999999</v>
      </c>
      <c r="N2989">
        <v>0</v>
      </c>
      <c r="O2989">
        <v>-7.8958380000000005E-3</v>
      </c>
      <c r="P2989">
        <v>0.9987838</v>
      </c>
      <c r="Q2989">
        <v>4.714964E-2</v>
      </c>
      <c r="R2989">
        <v>1.442045E-2</v>
      </c>
      <c r="S2989">
        <v>3.01667799999999</v>
      </c>
      <c r="T2989">
        <v>-0.18367790000000001</v>
      </c>
      <c r="U2989">
        <v>-0.35260009999999897</v>
      </c>
      <c r="V2989">
        <v>-2.2338999999999901E-2</v>
      </c>
      <c r="W2989">
        <v>6.170196E-2</v>
      </c>
      <c r="X2989">
        <v>0.99784459999999997</v>
      </c>
      <c r="Y2989">
        <v>0.1080634</v>
      </c>
      <c r="Z2989">
        <v>-2.7970120000000002E-3</v>
      </c>
      <c r="AA2989">
        <v>0.99414009999999997</v>
      </c>
      <c r="AB2989">
        <v>45</v>
      </c>
      <c r="AC2989">
        <v>0.49600000000000899</v>
      </c>
      <c r="AD2989">
        <v>-5.7510999999999798E-2</v>
      </c>
      <c r="AE2989">
        <v>-0.106999999999999</v>
      </c>
      <c r="AF2989">
        <v>0.10177249492984899</v>
      </c>
      <c r="AG2989">
        <v>-5.7510999999999798E-2</v>
      </c>
      <c r="AH2989">
        <v>0.490527929699552</v>
      </c>
      <c r="AI2989">
        <v>96.548790115228201</v>
      </c>
      <c r="AJ2989">
        <v>78.2788284828016</v>
      </c>
      <c r="AK2989">
        <v>0.50426461868802097</v>
      </c>
    </row>
    <row r="2990" spans="1:37" x14ac:dyDescent="0.2">
      <c r="A2990" t="str">
        <f>"20200111153455713"</f>
        <v>20200111153455713</v>
      </c>
      <c r="B2990" t="str">
        <f>"1578728095708652"</f>
        <v>1578728095708652</v>
      </c>
      <c r="C2990" t="s">
        <v>37</v>
      </c>
      <c r="D2990">
        <v>5.079021</v>
      </c>
      <c r="E2990">
        <v>0.54953540000000001</v>
      </c>
      <c r="F2990" t="s">
        <v>52</v>
      </c>
      <c r="G2990">
        <v>-235.2611</v>
      </c>
      <c r="H2990" s="1">
        <v>1.3614009999999901E-6</v>
      </c>
      <c r="I2990">
        <v>212.36359999999999</v>
      </c>
      <c r="J2990">
        <v>-254.3835</v>
      </c>
      <c r="K2990">
        <v>1.104927</v>
      </c>
      <c r="L2990">
        <v>214.63220000000001</v>
      </c>
      <c r="M2990">
        <v>0.99986419999999998</v>
      </c>
      <c r="N2990">
        <v>0</v>
      </c>
      <c r="O2990">
        <v>-7.66045599999999E-3</v>
      </c>
      <c r="P2990">
        <v>0.99863849999999998</v>
      </c>
      <c r="Q2990">
        <v>5.047861E-2</v>
      </c>
      <c r="R2990">
        <v>1.3160389999999999E-2</v>
      </c>
      <c r="S2990">
        <v>3.016769</v>
      </c>
      <c r="T2990">
        <v>-0.17028209999999999</v>
      </c>
      <c r="U2990">
        <v>-0.35017399999999999</v>
      </c>
      <c r="V2990">
        <v>-2.0846710000000001E-2</v>
      </c>
      <c r="W2990">
        <v>6.5026929999999997E-2</v>
      </c>
      <c r="X2990">
        <v>0.99766569999999899</v>
      </c>
      <c r="Y2990">
        <v>0.1075313</v>
      </c>
      <c r="Z2990">
        <v>-2.5916720000000002E-3</v>
      </c>
      <c r="AA2990">
        <v>0.99419829999999998</v>
      </c>
      <c r="AB2990">
        <v>45</v>
      </c>
      <c r="AC2990">
        <v>19.122399999999999</v>
      </c>
      <c r="AD2990">
        <v>-1.1049256385990001</v>
      </c>
      <c r="AE2990">
        <v>-2.2686000000000202</v>
      </c>
      <c r="AF2990">
        <v>2.1150678899861002</v>
      </c>
      <c r="AG2990">
        <v>-1.1049256385990001</v>
      </c>
      <c r="AH2990">
        <v>19.076412140182999</v>
      </c>
      <c r="AI2990">
        <v>93.294782931720107</v>
      </c>
      <c r="AJ2990">
        <v>83.673258744130393</v>
      </c>
      <c r="AK2990">
        <v>19.225084472849701</v>
      </c>
    </row>
    <row r="2991" spans="1:37" x14ac:dyDescent="0.2">
      <c r="A2991" t="str">
        <f>"20200111153455736"</f>
        <v>20200111153455736</v>
      </c>
      <c r="B2991" t="str">
        <f>"1578728095729147"</f>
        <v>1578728095729147</v>
      </c>
      <c r="C2991" t="s">
        <v>37</v>
      </c>
      <c r="D2991">
        <v>5.0867170000000002</v>
      </c>
      <c r="E2991">
        <v>0.54910349999999997</v>
      </c>
      <c r="F2991" t="s">
        <v>52</v>
      </c>
      <c r="G2991">
        <v>-232.95060000000001</v>
      </c>
      <c r="H2991" s="1">
        <v>1.4108469999999999E-7</v>
      </c>
      <c r="I2991">
        <v>212.15170000000001</v>
      </c>
      <c r="J2991">
        <v>-253.91419999999999</v>
      </c>
      <c r="K2991">
        <v>1.1050059999999999</v>
      </c>
      <c r="L2991">
        <v>214.62880000000001</v>
      </c>
      <c r="M2991">
        <v>0.99986649999999999</v>
      </c>
      <c r="N2991">
        <v>0</v>
      </c>
      <c r="O2991">
        <v>-7.377191E-3</v>
      </c>
      <c r="P2991">
        <v>0.99846139999999906</v>
      </c>
      <c r="Q2991">
        <v>5.4410390000000003E-2</v>
      </c>
      <c r="R2991">
        <v>1.070101E-2</v>
      </c>
      <c r="S2991">
        <v>3.016556</v>
      </c>
      <c r="T2991">
        <v>-0.15551189999999901</v>
      </c>
      <c r="U2991">
        <v>-0.34912109999999902</v>
      </c>
      <c r="V2991">
        <v>-1.811072E-2</v>
      </c>
      <c r="W2991">
        <v>6.8954379999999996E-2</v>
      </c>
      <c r="X2991">
        <v>0.99745539999999999</v>
      </c>
      <c r="Y2991">
        <v>0.10750419999999999</v>
      </c>
      <c r="Z2991">
        <v>-2.3812410000000001E-3</v>
      </c>
      <c r="AA2991">
        <v>0.99420180000000002</v>
      </c>
      <c r="AB2991">
        <v>45</v>
      </c>
      <c r="AC2991">
        <v>20.9635999999999</v>
      </c>
      <c r="AD2991">
        <v>-1.1050058589153</v>
      </c>
      <c r="AE2991">
        <v>-2.4771000000000001</v>
      </c>
      <c r="AF2991">
        <v>2.3160174047093598</v>
      </c>
      <c r="AG2991">
        <v>-1.1050058589153</v>
      </c>
      <c r="AH2991">
        <v>20.923970412399701</v>
      </c>
      <c r="AI2991">
        <v>93.004695620360096</v>
      </c>
      <c r="AJ2991">
        <v>83.683796870230495</v>
      </c>
      <c r="AK2991">
        <v>21.080737946906201</v>
      </c>
    </row>
    <row r="2992" spans="1:37" x14ac:dyDescent="0.2">
      <c r="A2992" t="str">
        <f>"20200111153455758"</f>
        <v>20200111153455758</v>
      </c>
      <c r="B2992" t="str">
        <f>"1578728095748668"</f>
        <v>1578728095748668</v>
      </c>
      <c r="C2992" t="s">
        <v>37</v>
      </c>
      <c r="D2992">
        <v>5.0884400000000003</v>
      </c>
      <c r="E2992">
        <v>0.54874719999999999</v>
      </c>
      <c r="F2992" t="s">
        <v>52</v>
      </c>
      <c r="G2992">
        <v>-230.40459999999999</v>
      </c>
      <c r="H2992" s="1">
        <v>-1.201998E-6</v>
      </c>
      <c r="I2992">
        <v>211.88239999999999</v>
      </c>
      <c r="J2992">
        <v>-253.4836</v>
      </c>
      <c r="K2992">
        <v>1.105078</v>
      </c>
      <c r="L2992">
        <v>214.6259</v>
      </c>
      <c r="M2992">
        <v>0.9998688</v>
      </c>
      <c r="N2992">
        <v>0</v>
      </c>
      <c r="O2992">
        <v>-7.0698159999999996E-3</v>
      </c>
      <c r="P2992">
        <v>0.99830649999999999</v>
      </c>
      <c r="Q2992">
        <v>5.7585560000000001E-2</v>
      </c>
      <c r="R2992">
        <v>8.2714019999999902E-3</v>
      </c>
      <c r="S2992">
        <v>3.016159</v>
      </c>
      <c r="T2992">
        <v>-0.14176639999999999</v>
      </c>
      <c r="U2992">
        <v>-0.352356</v>
      </c>
      <c r="V2992">
        <v>-1.5381870000000001E-2</v>
      </c>
      <c r="W2992">
        <v>7.2125519999999999E-2</v>
      </c>
      <c r="X2992">
        <v>0.99727699999999997</v>
      </c>
      <c r="Y2992">
        <v>0.1088971</v>
      </c>
      <c r="Z2992">
        <v>-2.2181520000000001E-3</v>
      </c>
      <c r="AA2992">
        <v>0.99405059999999901</v>
      </c>
      <c r="AB2992">
        <v>45</v>
      </c>
      <c r="AC2992">
        <v>23.079000000000001</v>
      </c>
      <c r="AD2992">
        <v>-1.105079201998</v>
      </c>
      <c r="AE2992">
        <v>-2.7435000000000098</v>
      </c>
      <c r="AF2992">
        <v>2.5744295823350898</v>
      </c>
      <c r="AG2992">
        <v>-1.105079201998</v>
      </c>
      <c r="AH2992">
        <v>23.0457198454693</v>
      </c>
      <c r="AI2992">
        <v>92.7283764798958</v>
      </c>
      <c r="AJ2992">
        <v>83.625934249214794</v>
      </c>
      <c r="AK2992">
        <v>23.215384789250201</v>
      </c>
    </row>
    <row r="2993" spans="1:37" x14ac:dyDescent="0.2">
      <c r="A2993" t="str">
        <f>"20200111153455780"</f>
        <v>20200111153455780</v>
      </c>
      <c r="B2993" t="str">
        <f>"1578728095769164"</f>
        <v>1578728095769164</v>
      </c>
      <c r="C2993" t="s">
        <v>37</v>
      </c>
      <c r="D2993">
        <v>5.0981480000000001</v>
      </c>
      <c r="E2993">
        <v>0.54845679999999997</v>
      </c>
      <c r="F2993" t="s">
        <v>52</v>
      </c>
      <c r="G2993">
        <v>-227.81059999999999</v>
      </c>
      <c r="H2993" s="1">
        <v>2.7518789999999999E-6</v>
      </c>
      <c r="I2993">
        <v>211.59020000000001</v>
      </c>
      <c r="J2993">
        <v>-253.0444</v>
      </c>
      <c r="K2993">
        <v>1.10514</v>
      </c>
      <c r="L2993">
        <v>214.62309999999999</v>
      </c>
      <c r="M2993">
        <v>0.99987130000000002</v>
      </c>
      <c r="N2993">
        <v>0</v>
      </c>
      <c r="O2993">
        <v>-6.69681099999999E-3</v>
      </c>
      <c r="P2993">
        <v>0.99824679999999999</v>
      </c>
      <c r="Q2993">
        <v>5.886839E-2</v>
      </c>
      <c r="R2993">
        <v>6.1415690000000004E-3</v>
      </c>
      <c r="S2993">
        <v>3.015549</v>
      </c>
      <c r="T2993">
        <v>-0.12980169999999999</v>
      </c>
      <c r="U2993">
        <v>-0.35656739999999998</v>
      </c>
      <c r="V2993">
        <v>-1.288927E-2</v>
      </c>
      <c r="W2993">
        <v>7.3406239999999998E-2</v>
      </c>
      <c r="X2993">
        <v>0.99721879999999996</v>
      </c>
      <c r="Y2993">
        <v>0.110676199999999</v>
      </c>
      <c r="Z2993">
        <v>-2.0854979999999999E-3</v>
      </c>
      <c r="AA2993">
        <v>0.99385429999999997</v>
      </c>
      <c r="AB2993">
        <v>45</v>
      </c>
      <c r="AC2993">
        <v>25.233799999999999</v>
      </c>
      <c r="AD2993">
        <v>-1.105137248121</v>
      </c>
      <c r="AE2993">
        <v>-3.0328999999999802</v>
      </c>
      <c r="AF2993">
        <v>2.85842341180421</v>
      </c>
      <c r="AG2993">
        <v>-1.105137248121</v>
      </c>
      <c r="AH2993">
        <v>25.2058884805638</v>
      </c>
      <c r="AI2993">
        <v>92.494523215333203</v>
      </c>
      <c r="AJ2993">
        <v>83.530126854829803</v>
      </c>
      <c r="AK2993">
        <v>25.391508951477402</v>
      </c>
    </row>
    <row r="2994" spans="1:37" x14ac:dyDescent="0.2">
      <c r="A2994" t="str">
        <f>"20200111153455803"</f>
        <v>20200111153455803</v>
      </c>
      <c r="B2994" t="str">
        <f>"1578728095799420"</f>
        <v>1578728095799420</v>
      </c>
      <c r="C2994" t="s">
        <v>37</v>
      </c>
      <c r="D2994">
        <v>5.1139199999999896</v>
      </c>
      <c r="E2994">
        <v>0.54799249999999999</v>
      </c>
      <c r="F2994" t="s">
        <v>52</v>
      </c>
      <c r="G2994">
        <v>-226.2945</v>
      </c>
      <c r="H2994" s="1">
        <v>1.9523750000000001E-6</v>
      </c>
      <c r="I2994">
        <v>211.42400000000001</v>
      </c>
      <c r="J2994">
        <v>-252.59190000000001</v>
      </c>
      <c r="K2994">
        <v>1.105205</v>
      </c>
      <c r="L2994">
        <v>214.62039999999999</v>
      </c>
      <c r="M2994">
        <v>0.99987429999999999</v>
      </c>
      <c r="N2994">
        <v>0</v>
      </c>
      <c r="O2994">
        <v>-6.241758E-3</v>
      </c>
      <c r="P2994">
        <v>0.9982721</v>
      </c>
      <c r="Q2994">
        <v>5.8562250000000003E-2</v>
      </c>
      <c r="R2994">
        <v>4.8551929999999998E-3</v>
      </c>
      <c r="S2994">
        <v>3.0148160000000002</v>
      </c>
      <c r="T2994">
        <v>-0.124553199999999</v>
      </c>
      <c r="U2994">
        <v>-0.36054989999999998</v>
      </c>
      <c r="V2994">
        <v>-1.115912E-2</v>
      </c>
      <c r="W2994">
        <v>7.3098560000000007E-2</v>
      </c>
      <c r="X2994">
        <v>0.99726229999999905</v>
      </c>
      <c r="Y2994">
        <v>0.1124566</v>
      </c>
      <c r="Z2994">
        <v>-2.056928E-3</v>
      </c>
      <c r="AA2994">
        <v>0.9936545</v>
      </c>
      <c r="AB2994">
        <v>45</v>
      </c>
      <c r="AC2994">
        <v>26.2974</v>
      </c>
      <c r="AD2994">
        <v>-1.1052030476250001</v>
      </c>
      <c r="AE2994">
        <v>-3.1963999999999801</v>
      </c>
      <c r="AF2994">
        <v>3.0269097568637102</v>
      </c>
      <c r="AG2994">
        <v>-1.1052030476250001</v>
      </c>
      <c r="AH2994">
        <v>26.271114420009699</v>
      </c>
      <c r="AI2994">
        <v>92.393149551063701</v>
      </c>
      <c r="AJ2994">
        <v>83.427466778980502</v>
      </c>
      <c r="AK2994">
        <v>26.468001611793799</v>
      </c>
    </row>
    <row r="2995" spans="1:37" x14ac:dyDescent="0.2">
      <c r="A2995" t="str">
        <f>"20200111153455825"</f>
        <v>20200111153455825</v>
      </c>
      <c r="B2995" t="str">
        <f>"1578728095818940"</f>
        <v>1578728095818940</v>
      </c>
      <c r="C2995" t="s">
        <v>37</v>
      </c>
      <c r="D2995">
        <v>5.135567</v>
      </c>
      <c r="E2995">
        <v>0.54758050000000003</v>
      </c>
      <c r="F2995" t="s">
        <v>52</v>
      </c>
      <c r="G2995">
        <v>-225.77950000000001</v>
      </c>
      <c r="H2995" s="1">
        <v>1.678863E-6</v>
      </c>
      <c r="I2995">
        <v>211.4118</v>
      </c>
      <c r="J2995">
        <v>-252.13390000000001</v>
      </c>
      <c r="K2995">
        <v>1.1052770000000001</v>
      </c>
      <c r="L2995">
        <v>214.61799999999999</v>
      </c>
      <c r="M2995">
        <v>0.99987739999999903</v>
      </c>
      <c r="N2995">
        <v>0</v>
      </c>
      <c r="O2995">
        <v>-5.7170729999999996E-3</v>
      </c>
      <c r="P2995">
        <v>0.99833839999999996</v>
      </c>
      <c r="Q2995">
        <v>5.7485920000000003E-2</v>
      </c>
      <c r="R2995">
        <v>3.9948429999999997E-3</v>
      </c>
      <c r="S2995">
        <v>3.014221</v>
      </c>
      <c r="T2995">
        <v>-0.1242461</v>
      </c>
      <c r="U2995">
        <v>-0.36071779999999998</v>
      </c>
      <c r="V2995">
        <v>-9.785116E-3</v>
      </c>
      <c r="W2995">
        <v>7.2021849999999998E-2</v>
      </c>
      <c r="X2995">
        <v>0.99735499999999899</v>
      </c>
      <c r="Y2995">
        <v>0.11305519999999999</v>
      </c>
      <c r="Z2995">
        <v>-2.0860829999999999E-3</v>
      </c>
      <c r="AA2995">
        <v>0.99358649999999904</v>
      </c>
      <c r="AB2995">
        <v>45</v>
      </c>
      <c r="AC2995">
        <v>26.354399999999998</v>
      </c>
      <c r="AD2995">
        <v>-1.1052753211370001</v>
      </c>
      <c r="AE2995">
        <v>-3.2061999999999902</v>
      </c>
      <c r="AF2995">
        <v>3.0501749230433601</v>
      </c>
      <c r="AG2995">
        <v>-1.1052753211370001</v>
      </c>
      <c r="AH2995">
        <v>26.326671287955602</v>
      </c>
      <c r="AI2995">
        <v>92.388086936394302</v>
      </c>
      <c r="AJ2995">
        <v>83.391248459035495</v>
      </c>
      <c r="AK2995">
        <v>26.5258142514183</v>
      </c>
    </row>
    <row r="2996" spans="1:37" x14ac:dyDescent="0.2">
      <c r="A2996" t="str">
        <f>"20200111153455847"</f>
        <v>20200111153455847</v>
      </c>
      <c r="B2996" t="str">
        <f>"1578728095839436"</f>
        <v>1578728095839436</v>
      </c>
      <c r="C2996" t="s">
        <v>37</v>
      </c>
      <c r="D2996">
        <v>5.1573159999999998</v>
      </c>
      <c r="E2996">
        <v>0.54728379999999999</v>
      </c>
      <c r="F2996" t="s">
        <v>52</v>
      </c>
      <c r="G2996">
        <v>-226.0231</v>
      </c>
      <c r="H2996" s="1">
        <v>1.8047839999999901E-6</v>
      </c>
      <c r="I2996">
        <v>211.4967</v>
      </c>
      <c r="J2996">
        <v>-251.697</v>
      </c>
      <c r="K2996">
        <v>1.105348</v>
      </c>
      <c r="L2996">
        <v>214.61599999999899</v>
      </c>
      <c r="M2996">
        <v>0.99988060000000001</v>
      </c>
      <c r="N2996">
        <v>0</v>
      </c>
      <c r="O2996">
        <v>-5.154049E-3</v>
      </c>
      <c r="P2996">
        <v>0.99840869999999904</v>
      </c>
      <c r="Q2996">
        <v>5.629435E-2</v>
      </c>
      <c r="R2996">
        <v>3.325195E-3</v>
      </c>
      <c r="S2996">
        <v>3.013763</v>
      </c>
      <c r="T2996">
        <v>-0.1275734</v>
      </c>
      <c r="U2996">
        <v>-0.36027529999999902</v>
      </c>
      <c r="V2996">
        <v>-8.5621849999999999E-3</v>
      </c>
      <c r="W2996">
        <v>7.0829950000000003E-2</v>
      </c>
      <c r="X2996">
        <v>0.99745169999999905</v>
      </c>
      <c r="Y2996">
        <v>0.11348279999999999</v>
      </c>
      <c r="Z2996">
        <v>-2.1749899999999999E-3</v>
      </c>
      <c r="AA2996">
        <v>0.99353760000000002</v>
      </c>
      <c r="AB2996">
        <v>45</v>
      </c>
      <c r="AC2996">
        <v>25.6739</v>
      </c>
      <c r="AD2996">
        <v>-1.105346195216</v>
      </c>
      <c r="AE2996">
        <v>-3.11929999999998</v>
      </c>
      <c r="AF2996">
        <v>2.9814739486682398</v>
      </c>
      <c r="AG2996">
        <v>-1.105346195216</v>
      </c>
      <c r="AH2996">
        <v>25.6427979236421</v>
      </c>
      <c r="AI2996">
        <v>92.451740480668406</v>
      </c>
      <c r="AJ2996">
        <v>83.368029342163496</v>
      </c>
      <c r="AK2996">
        <v>25.839196242735699</v>
      </c>
    </row>
    <row r="2997" spans="1:37" x14ac:dyDescent="0.2">
      <c r="A2997" t="str">
        <f>"20200111153455871"</f>
        <v>20200111153455871</v>
      </c>
      <c r="B2997" t="str">
        <f>"1578728095858956"</f>
        <v>1578728095858956</v>
      </c>
      <c r="C2997" t="s">
        <v>37</v>
      </c>
      <c r="D2997">
        <v>5.1530269999999998</v>
      </c>
      <c r="E2997">
        <v>0.54696040000000001</v>
      </c>
      <c r="F2997" t="s">
        <v>52</v>
      </c>
      <c r="G2997">
        <v>-226.3546</v>
      </c>
      <c r="H2997" s="1">
        <v>1.9770739999999998E-6</v>
      </c>
      <c r="I2997">
        <v>211.59039999999999</v>
      </c>
      <c r="J2997">
        <v>-251.2269</v>
      </c>
      <c r="K2997">
        <v>1.1054269999999999</v>
      </c>
      <c r="L2997">
        <v>214.61410000000001</v>
      </c>
      <c r="M2997">
        <v>0.99988390000000005</v>
      </c>
      <c r="N2997">
        <v>0</v>
      </c>
      <c r="O2997">
        <v>-4.4758970000000004E-3</v>
      </c>
      <c r="P2997">
        <v>0.99842969999999898</v>
      </c>
      <c r="Q2997">
        <v>5.5951569999999999E-2</v>
      </c>
      <c r="R2997">
        <v>2.7877449999999999E-3</v>
      </c>
      <c r="S2997">
        <v>3.0133669999999899</v>
      </c>
      <c r="T2997">
        <v>-0.131432299999999</v>
      </c>
      <c r="U2997">
        <v>-0.35975649999999998</v>
      </c>
      <c r="V2997">
        <v>-7.3585580000000003E-3</v>
      </c>
      <c r="W2997">
        <v>7.0486049999999995E-2</v>
      </c>
      <c r="X2997">
        <v>0.99748559999999997</v>
      </c>
      <c r="Y2997">
        <v>0.1139964</v>
      </c>
      <c r="Z2997">
        <v>-2.2816500000000001E-3</v>
      </c>
      <c r="AA2997">
        <v>0.99347849999999904</v>
      </c>
      <c r="AB2997">
        <v>45</v>
      </c>
      <c r="AC2997">
        <v>24.872299999999999</v>
      </c>
      <c r="AD2997">
        <v>-1.1054250229260001</v>
      </c>
      <c r="AE2997">
        <v>-3.0237000000000198</v>
      </c>
      <c r="AF2997">
        <v>2.90667418990324</v>
      </c>
      <c r="AG2997">
        <v>-1.1054250229260001</v>
      </c>
      <c r="AH2997">
        <v>24.837240232589402</v>
      </c>
      <c r="AI2997">
        <v>92.531116455866496</v>
      </c>
      <c r="AJ2997">
        <v>83.325101688766594</v>
      </c>
      <c r="AK2997">
        <v>25.0311650088228</v>
      </c>
    </row>
    <row r="2998" spans="1:37" x14ac:dyDescent="0.2">
      <c r="A2998" t="str">
        <f>"20200111153455892"</f>
        <v>20200111153455892</v>
      </c>
      <c r="B2998" t="str">
        <f>"1578728095889212"</f>
        <v>1578728095889212</v>
      </c>
      <c r="C2998" t="s">
        <v>37</v>
      </c>
      <c r="D2998">
        <v>5.1569900000000004</v>
      </c>
      <c r="E2998">
        <v>0.4994074</v>
      </c>
      <c r="F2998" t="s">
        <v>52</v>
      </c>
      <c r="G2998">
        <v>-226.0934</v>
      </c>
      <c r="H2998" s="1">
        <v>1.8366929999999999E-6</v>
      </c>
      <c r="I2998">
        <v>211.62180000000001</v>
      </c>
      <c r="J2998">
        <v>-250.8083</v>
      </c>
      <c r="K2998">
        <v>1.1055090000000001</v>
      </c>
      <c r="L2998">
        <v>214.61279999999999</v>
      </c>
      <c r="M2998">
        <v>0.99988659999999996</v>
      </c>
      <c r="N2998">
        <v>0</v>
      </c>
      <c r="O2998">
        <v>-3.808316E-3</v>
      </c>
      <c r="P2998">
        <v>0.99846869999999999</v>
      </c>
      <c r="Q2998">
        <v>5.525414E-2</v>
      </c>
      <c r="R2998">
        <v>2.714709E-3</v>
      </c>
      <c r="S2998">
        <v>3.013153</v>
      </c>
      <c r="T2998">
        <v>-0.13252459999999999</v>
      </c>
      <c r="U2998">
        <v>-0.3587341</v>
      </c>
      <c r="V2998">
        <v>-6.6287780000000001E-3</v>
      </c>
      <c r="W2998">
        <v>6.9787790000000002E-2</v>
      </c>
      <c r="X2998">
        <v>0.99753979999999998</v>
      </c>
      <c r="Y2998">
        <v>0.114332999999999</v>
      </c>
      <c r="Z2998">
        <v>-2.3374170000000001E-3</v>
      </c>
      <c r="AA2998">
        <v>0.99343969999999904</v>
      </c>
      <c r="AB2998">
        <v>45</v>
      </c>
      <c r="AC2998">
        <v>24.7149</v>
      </c>
      <c r="AD2998">
        <v>-1.1055071633069999</v>
      </c>
      <c r="AE2998">
        <v>-2.9909999999999801</v>
      </c>
      <c r="AF2998">
        <v>2.8911450366290099</v>
      </c>
      <c r="AG2998">
        <v>-1.1055071633069999</v>
      </c>
      <c r="AH2998">
        <v>24.677450480112402</v>
      </c>
      <c r="AI2998">
        <v>92.547635530403298</v>
      </c>
      <c r="AJ2998">
        <v>83.317839199759206</v>
      </c>
      <c r="AK2998">
        <v>24.870814781774801</v>
      </c>
    </row>
    <row r="2999" spans="1:37" x14ac:dyDescent="0.2">
      <c r="A2999" t="str">
        <f>"20200111153455926"</f>
        <v>20200111153455926</v>
      </c>
      <c r="B2999" t="str">
        <f>"1578728095919467"</f>
        <v>1578728095919467</v>
      </c>
      <c r="C2999" t="s">
        <v>37</v>
      </c>
      <c r="D2999">
        <v>5.1878310000000001</v>
      </c>
      <c r="E2999">
        <v>0.48091289999999998</v>
      </c>
      <c r="F2999" t="s">
        <v>52</v>
      </c>
      <c r="G2999">
        <v>-229.5224</v>
      </c>
      <c r="H2999" s="1">
        <v>3.5243810000000002E-6</v>
      </c>
      <c r="I2999">
        <v>214.75720000000001</v>
      </c>
      <c r="J2999">
        <v>-250.1379</v>
      </c>
      <c r="K2999">
        <v>1.105631</v>
      </c>
      <c r="L2999">
        <v>214.6114</v>
      </c>
      <c r="M2999">
        <v>0.99989039999999996</v>
      </c>
      <c r="N2999">
        <v>0</v>
      </c>
      <c r="O2999">
        <v>-2.624562E-3</v>
      </c>
      <c r="P2999">
        <v>0.99847199999999903</v>
      </c>
      <c r="Q2999">
        <v>5.4997909999999997E-2</v>
      </c>
      <c r="R2999">
        <v>5.4252269999999899E-3</v>
      </c>
      <c r="S2999">
        <v>3.0131990000000002</v>
      </c>
      <c r="T2999">
        <v>-0.1564934</v>
      </c>
      <c r="U2999">
        <v>2.0446780000000001E-2</v>
      </c>
      <c r="V2999">
        <v>-8.1748289999999998E-3</v>
      </c>
      <c r="W2999">
        <v>6.9524740000000002E-2</v>
      </c>
      <c r="X2999">
        <v>0.99754669999999901</v>
      </c>
      <c r="Y2999">
        <v>-9.3941419999999994E-3</v>
      </c>
      <c r="Z2999">
        <v>3.8001030000000001E-4</v>
      </c>
      <c r="AA2999">
        <v>0.99995579999999995</v>
      </c>
      <c r="AB2999">
        <v>45</v>
      </c>
      <c r="AC2999">
        <v>20.615500000000001</v>
      </c>
      <c r="AD2999">
        <v>-1.1056274756190001</v>
      </c>
      <c r="AE2999">
        <v>0.14580000000000801</v>
      </c>
      <c r="AF2999">
        <v>-0.19933857675161001</v>
      </c>
      <c r="AG2999">
        <v>-1.1056274756190001</v>
      </c>
      <c r="AH2999">
        <v>20.555924813291501</v>
      </c>
      <c r="AI2999">
        <v>93.078617817911905</v>
      </c>
      <c r="AJ2999">
        <v>90.555601426391803</v>
      </c>
      <c r="AK2999">
        <v>20.586602267317399</v>
      </c>
    </row>
    <row r="3000" spans="1:37" x14ac:dyDescent="0.2">
      <c r="A3000" t="str">
        <f>"20200111153455947"</f>
        <v>20200111153455947</v>
      </c>
      <c r="B3000" t="str">
        <f>"1578728095938991"</f>
        <v>1578728095938991</v>
      </c>
      <c r="C3000" t="s">
        <v>37</v>
      </c>
      <c r="D3000">
        <v>5.2009999999999996</v>
      </c>
      <c r="E3000">
        <v>0.47730620000000001</v>
      </c>
      <c r="F3000" t="s">
        <v>52</v>
      </c>
      <c r="G3000">
        <v>-226.33250000000001</v>
      </c>
      <c r="H3000" s="1">
        <v>1.7727500000000001E-6</v>
      </c>
      <c r="I3000">
        <v>215.99590000000001</v>
      </c>
      <c r="J3000">
        <v>-249.70699999999999</v>
      </c>
      <c r="K3000">
        <v>1.1057110000000001</v>
      </c>
      <c r="L3000">
        <v>214.61089999999999</v>
      </c>
      <c r="M3000">
        <v>0.99989240000000001</v>
      </c>
      <c r="N3000">
        <v>0</v>
      </c>
      <c r="O3000">
        <v>-1.800729E-3</v>
      </c>
      <c r="P3000">
        <v>0.99843570000000004</v>
      </c>
      <c r="Q3000">
        <v>5.5394680000000002E-2</v>
      </c>
      <c r="R3000">
        <v>7.6051230000000001E-3</v>
      </c>
      <c r="S3000">
        <v>3.0113219999999998</v>
      </c>
      <c r="T3000">
        <v>-0.13985929999999999</v>
      </c>
      <c r="U3000">
        <v>0.1751404</v>
      </c>
      <c r="V3000">
        <v>-9.5430549999999999E-3</v>
      </c>
      <c r="W3000">
        <v>6.9914790000000004E-2</v>
      </c>
      <c r="X3000">
        <v>0.99750729999999999</v>
      </c>
      <c r="Y3000">
        <v>-5.9794119999999999E-2</v>
      </c>
      <c r="Z3000">
        <v>1.4701639999999999E-3</v>
      </c>
      <c r="AA3000">
        <v>0.99820969999999998</v>
      </c>
      <c r="AB3000">
        <v>45</v>
      </c>
      <c r="AC3000">
        <v>23.374499999999902</v>
      </c>
      <c r="AD3000">
        <v>-1.10570922725</v>
      </c>
      <c r="AE3000">
        <v>1.38500000000001</v>
      </c>
      <c r="AF3000">
        <v>-1.4239182349901101</v>
      </c>
      <c r="AG3000">
        <v>-1.10570922725</v>
      </c>
      <c r="AH3000">
        <v>23.3199678528437</v>
      </c>
      <c r="AI3000">
        <v>92.709590104660705</v>
      </c>
      <c r="AJ3000">
        <v>93.494144617739707</v>
      </c>
      <c r="AK3000">
        <v>23.389549732579798</v>
      </c>
    </row>
    <row r="3001" spans="1:37" x14ac:dyDescent="0.2">
      <c r="A3001" t="str">
        <f>"20200111153455969"</f>
        <v>20200111153455969</v>
      </c>
      <c r="B3001" t="str">
        <f>"1578728095959074"</f>
        <v>1578728095959074</v>
      </c>
      <c r="C3001" t="s">
        <v>37</v>
      </c>
      <c r="D3001">
        <v>5.0860389999999898</v>
      </c>
      <c r="E3001">
        <v>0.47605540000000002</v>
      </c>
      <c r="F3001" t="s">
        <v>52</v>
      </c>
      <c r="G3001">
        <v>-225.7475</v>
      </c>
      <c r="H3001" s="1">
        <v>1.448855E-6</v>
      </c>
      <c r="I3001">
        <v>216.2841</v>
      </c>
      <c r="J3001">
        <v>-249.26499999999999</v>
      </c>
      <c r="K3001">
        <v>1.1057809999999999</v>
      </c>
      <c r="L3001">
        <v>214.61080000000001</v>
      </c>
      <c r="M3001">
        <v>0.99989349999999999</v>
      </c>
      <c r="N3001">
        <v>0</v>
      </c>
      <c r="O3001">
        <v>-9.1582950000000001E-4</v>
      </c>
      <c r="P3001">
        <v>0.99839480000000003</v>
      </c>
      <c r="Q3001">
        <v>5.5773160000000002E-2</v>
      </c>
      <c r="R3001">
        <v>9.8582549999999998E-3</v>
      </c>
      <c r="S3001">
        <v>3.0108029999999899</v>
      </c>
      <c r="T3001">
        <v>-0.13894619999999999</v>
      </c>
      <c r="U3001">
        <v>0.21026610000000001</v>
      </c>
      <c r="V3001">
        <v>-1.092309E-2</v>
      </c>
      <c r="W3001">
        <v>7.0286269999999998E-2</v>
      </c>
      <c r="X3001">
        <v>0.99746699999999999</v>
      </c>
      <c r="Y3001">
        <v>-7.0505570000000004E-2</v>
      </c>
      <c r="Z3001">
        <v>1.666245E-3</v>
      </c>
      <c r="AA3001">
        <v>0.99751000000000001</v>
      </c>
      <c r="AB3001">
        <v>44</v>
      </c>
      <c r="AC3001">
        <v>23.517499999999899</v>
      </c>
      <c r="AD3001">
        <v>-1.1057795511449999</v>
      </c>
      <c r="AE3001">
        <v>1.67329999999998</v>
      </c>
      <c r="AF3001">
        <v>-1.6911196622201099</v>
      </c>
      <c r="AG3001">
        <v>-1.1057795511449999</v>
      </c>
      <c r="AH3001">
        <v>23.464343204163999</v>
      </c>
      <c r="AI3001">
        <v>92.691152004815706</v>
      </c>
      <c r="AJ3001">
        <v>94.122287676376601</v>
      </c>
      <c r="AK3001">
        <v>23.5511790815338</v>
      </c>
    </row>
    <row r="3002" spans="1:37" x14ac:dyDescent="0.2">
      <c r="A3002" t="str">
        <f>"20200111153455992"</f>
        <v>20200111153455992</v>
      </c>
      <c r="B3002" t="str">
        <f>"1578728095989330"</f>
        <v>1578728095989330</v>
      </c>
      <c r="C3002" t="s">
        <v>37</v>
      </c>
      <c r="D3002">
        <v>5.1602579999999998</v>
      </c>
      <c r="E3002">
        <v>0.47511979999999998</v>
      </c>
      <c r="F3002" t="s">
        <v>52</v>
      </c>
      <c r="G3002">
        <v>-224.88910000000001</v>
      </c>
      <c r="H3002" s="1">
        <v>9.8484929999999998E-7</v>
      </c>
      <c r="I3002">
        <v>216.44839999999999</v>
      </c>
      <c r="J3002">
        <v>-248.8203</v>
      </c>
      <c r="K3002">
        <v>1.1058349999999999</v>
      </c>
      <c r="L3002">
        <v>214.61109999999999</v>
      </c>
      <c r="M3002">
        <v>0.99989399999999995</v>
      </c>
      <c r="N3002">
        <v>0</v>
      </c>
      <c r="O3002" s="1">
        <v>9.2531370000000008E-6</v>
      </c>
      <c r="P3002">
        <v>0.99840569999999895</v>
      </c>
      <c r="Q3002">
        <v>5.4908569999999997E-2</v>
      </c>
      <c r="R3002">
        <v>1.309895E-2</v>
      </c>
      <c r="S3002">
        <v>3.0101930000000001</v>
      </c>
      <c r="T3002">
        <v>-0.13655300000000001</v>
      </c>
      <c r="U3002">
        <v>0.22692870000000001</v>
      </c>
      <c r="V3002">
        <v>-1.324732E-2</v>
      </c>
      <c r="W3002">
        <v>6.9413420000000003E-2</v>
      </c>
      <c r="X3002">
        <v>0.99750000000000005</v>
      </c>
      <c r="Y3002">
        <v>-7.5087440000000005E-2</v>
      </c>
      <c r="Z3002">
        <v>1.699414E-3</v>
      </c>
      <c r="AA3002">
        <v>0.99717549999999899</v>
      </c>
      <c r="AB3002">
        <v>44</v>
      </c>
      <c r="AC3002">
        <v>23.931199999999901</v>
      </c>
      <c r="AD3002">
        <v>-1.1058340151507</v>
      </c>
      <c r="AE3002">
        <v>1.8372999999999899</v>
      </c>
      <c r="AF3002">
        <v>-1.83318714204517</v>
      </c>
      <c r="AG3002">
        <v>-1.1058340151507</v>
      </c>
      <c r="AH3002">
        <v>23.880524647529601</v>
      </c>
      <c r="AI3002">
        <v>92.643531747540294</v>
      </c>
      <c r="AJ3002">
        <v>94.3896982046451</v>
      </c>
      <c r="AK3002">
        <v>23.976298742885501</v>
      </c>
    </row>
    <row r="3003" spans="1:37" x14ac:dyDescent="0.2">
      <c r="A3003" t="str">
        <f>"20200111153456014"</f>
        <v>20200111153456014</v>
      </c>
      <c r="B3003" t="str">
        <f>"1578728096008853"</f>
        <v>1578728096008853</v>
      </c>
      <c r="C3003" t="s">
        <v>37</v>
      </c>
      <c r="D3003">
        <v>5.1453480000000003</v>
      </c>
      <c r="E3003">
        <v>0.47485919999999998</v>
      </c>
      <c r="F3003" t="s">
        <v>52</v>
      </c>
      <c r="G3003">
        <v>-225.41550000000001</v>
      </c>
      <c r="H3003" s="1">
        <v>1.262249E-6</v>
      </c>
      <c r="I3003">
        <v>216.51070000000001</v>
      </c>
      <c r="J3003">
        <v>-248.37549999999999</v>
      </c>
      <c r="K3003">
        <v>1.105882</v>
      </c>
      <c r="L3003">
        <v>214.61189999999999</v>
      </c>
      <c r="M3003">
        <v>0.99989359999999905</v>
      </c>
      <c r="N3003">
        <v>0</v>
      </c>
      <c r="O3003">
        <v>9.6163580000000002E-4</v>
      </c>
      <c r="P3003">
        <v>0.99840859999999998</v>
      </c>
      <c r="Q3003">
        <v>5.4158959999999999E-2</v>
      </c>
      <c r="R3003">
        <v>1.572699E-2</v>
      </c>
      <c r="S3003">
        <v>3.00943</v>
      </c>
      <c r="T3003">
        <v>-0.14219010000000001</v>
      </c>
      <c r="U3003">
        <v>0.2442474</v>
      </c>
      <c r="V3003">
        <v>-1.492949E-2</v>
      </c>
      <c r="W3003">
        <v>6.8656110000000006E-2</v>
      </c>
      <c r="X3003">
        <v>0.99752870000000005</v>
      </c>
      <c r="Y3003">
        <v>-7.9848649999999993E-2</v>
      </c>
      <c r="Z3003">
        <v>1.8368709999999999E-3</v>
      </c>
      <c r="AA3003">
        <v>0.99680530000000001</v>
      </c>
      <c r="AB3003">
        <v>44</v>
      </c>
      <c r="AC3003">
        <v>22.959999999999901</v>
      </c>
      <c r="AD3003">
        <v>-1.1058807377509901</v>
      </c>
      <c r="AE3003">
        <v>1.89880000000002</v>
      </c>
      <c r="AF3003">
        <v>-1.8724033077581199</v>
      </c>
      <c r="AG3003">
        <v>-1.1058807377509901</v>
      </c>
      <c r="AH3003">
        <v>22.909029459029899</v>
      </c>
      <c r="AI3003">
        <v>92.754505987585901</v>
      </c>
      <c r="AJ3003">
        <v>94.6725190462233</v>
      </c>
      <c r="AK3003">
        <v>23.0120076722508</v>
      </c>
    </row>
    <row r="3004" spans="1:37" x14ac:dyDescent="0.2">
      <c r="A3004" t="str">
        <f>"20200111153456037"</f>
        <v>20200111153456037</v>
      </c>
      <c r="B3004" t="str">
        <f>"1578728096029346"</f>
        <v>1578728096029346</v>
      </c>
      <c r="C3004" t="s">
        <v>37</v>
      </c>
      <c r="D3004">
        <v>5.1218560000000002</v>
      </c>
      <c r="E3004">
        <v>0.47497829999999902</v>
      </c>
      <c r="F3004" t="s">
        <v>52</v>
      </c>
      <c r="G3004">
        <v>-225.6122</v>
      </c>
      <c r="H3004" s="1">
        <v>1.366024E-6</v>
      </c>
      <c r="I3004">
        <v>216.53190000000001</v>
      </c>
      <c r="J3004">
        <v>-247.9298</v>
      </c>
      <c r="K3004">
        <v>1.1059209999999999</v>
      </c>
      <c r="L3004">
        <v>214.6131</v>
      </c>
      <c r="M3004">
        <v>0.99989219999999901</v>
      </c>
      <c r="N3004">
        <v>0</v>
      </c>
      <c r="O3004">
        <v>1.9346539999999901E-3</v>
      </c>
      <c r="P3004">
        <v>0.99838199999999999</v>
      </c>
      <c r="Q3004">
        <v>5.3787699999999897E-2</v>
      </c>
      <c r="R3004">
        <v>1.8445639999999999E-2</v>
      </c>
      <c r="S3004">
        <v>3.0087280000000001</v>
      </c>
      <c r="T3004">
        <v>-0.1461694</v>
      </c>
      <c r="U3004">
        <v>0.25376889999999902</v>
      </c>
      <c r="V3004">
        <v>-1.6681749999999999E-2</v>
      </c>
      <c r="W3004">
        <v>6.827743E-2</v>
      </c>
      <c r="X3004">
        <v>0.99752689999999999</v>
      </c>
      <c r="Y3004">
        <v>-8.2023869999999999E-2</v>
      </c>
      <c r="Z3004">
        <v>1.8939619999999999E-3</v>
      </c>
      <c r="AA3004">
        <v>0.99662859999999998</v>
      </c>
      <c r="AB3004">
        <v>44</v>
      </c>
      <c r="AC3004">
        <v>22.317599999999999</v>
      </c>
      <c r="AD3004">
        <v>-1.105919633976</v>
      </c>
      <c r="AE3004">
        <v>1.9188000000000001</v>
      </c>
      <c r="AF3004">
        <v>-1.87105421072711</v>
      </c>
      <c r="AG3004">
        <v>-1.105919633976</v>
      </c>
      <c r="AH3004">
        <v>22.2669939077172</v>
      </c>
      <c r="AI3004">
        <v>92.833365241910798</v>
      </c>
      <c r="AJ3004">
        <v>94.803174682945496</v>
      </c>
      <c r="AK3004">
        <v>22.372816536650198</v>
      </c>
    </row>
    <row r="3005" spans="1:37" x14ac:dyDescent="0.2">
      <c r="A3005" t="str">
        <f>"20200111153456060"</f>
        <v>20200111153456060</v>
      </c>
      <c r="B3005" t="str">
        <f>"1578728096049406"</f>
        <v>1578728096049406</v>
      </c>
      <c r="C3005" t="s">
        <v>37</v>
      </c>
      <c r="D3005">
        <v>5.120063</v>
      </c>
      <c r="E3005">
        <v>0.47536889999999998</v>
      </c>
      <c r="F3005" t="s">
        <v>52</v>
      </c>
      <c r="G3005">
        <v>-225.44829999999999</v>
      </c>
      <c r="H3005" s="1">
        <v>1.2773649999999999E-6</v>
      </c>
      <c r="I3005">
        <v>216.5642</v>
      </c>
      <c r="J3005">
        <v>-247.49160000000001</v>
      </c>
      <c r="K3005">
        <v>1.105952</v>
      </c>
      <c r="L3005">
        <v>214.6147</v>
      </c>
      <c r="M3005">
        <v>0.99988980000000005</v>
      </c>
      <c r="N3005">
        <v>0</v>
      </c>
      <c r="O3005">
        <v>2.9035759999999902E-3</v>
      </c>
      <c r="P3005">
        <v>0.99832919999999903</v>
      </c>
      <c r="Q3005">
        <v>5.3914629999999998E-2</v>
      </c>
      <c r="R3005">
        <v>2.078754E-2</v>
      </c>
      <c r="S3005">
        <v>3.008041</v>
      </c>
      <c r="T3005">
        <v>-0.14797289999999999</v>
      </c>
      <c r="U3005">
        <v>0.26106259999999998</v>
      </c>
      <c r="V3005">
        <v>-1.806195E-2</v>
      </c>
      <c r="W3005">
        <v>6.8396360000000003E-2</v>
      </c>
      <c r="X3005">
        <v>0.99749469999999996</v>
      </c>
      <c r="Y3005">
        <v>-8.3473169999999999E-2</v>
      </c>
      <c r="Z3005">
        <v>1.9055509999999999E-3</v>
      </c>
      <c r="AA3005">
        <v>0.99650819999999996</v>
      </c>
      <c r="AB3005">
        <v>44</v>
      </c>
      <c r="AC3005">
        <v>22.043299999999999</v>
      </c>
      <c r="AD3005">
        <v>-1.105950722635</v>
      </c>
      <c r="AE3005">
        <v>1.9495</v>
      </c>
      <c r="AF3005">
        <v>-1.8807830280117801</v>
      </c>
      <c r="AG3005">
        <v>-1.105950722635</v>
      </c>
      <c r="AH3005">
        <v>21.993934636818199</v>
      </c>
      <c r="AI3005">
        <v>92.868206123636</v>
      </c>
      <c r="AJ3005">
        <v>94.887684139768496</v>
      </c>
      <c r="AK3005">
        <v>22.1018920594592</v>
      </c>
    </row>
    <row r="3006" spans="1:37" x14ac:dyDescent="0.2">
      <c r="A3006" t="str">
        <f>"20200111153456081"</f>
        <v>20200111153456081</v>
      </c>
      <c r="B3006" t="str">
        <f>"1578728096068927"</f>
        <v>1578728096068927</v>
      </c>
      <c r="C3006" t="s">
        <v>37</v>
      </c>
      <c r="D3006">
        <v>5.1701220000000001</v>
      </c>
      <c r="E3006">
        <v>0.47562759999999998</v>
      </c>
      <c r="F3006" t="s">
        <v>52</v>
      </c>
      <c r="G3006">
        <v>-224.7236</v>
      </c>
      <c r="H3006" s="1">
        <v>8.8927359999999995E-7</v>
      </c>
      <c r="I3006">
        <v>216.62049999999999</v>
      </c>
      <c r="J3006">
        <v>-247.054</v>
      </c>
      <c r="K3006">
        <v>1.105985</v>
      </c>
      <c r="L3006">
        <v>214.61680000000001</v>
      </c>
      <c r="M3006">
        <v>0.99988659999999996</v>
      </c>
      <c r="N3006">
        <v>0</v>
      </c>
      <c r="O3006">
        <v>3.87784E-3</v>
      </c>
      <c r="P3006">
        <v>0.99828019999999995</v>
      </c>
      <c r="Q3006">
        <v>5.3882949999999999E-2</v>
      </c>
      <c r="R3006">
        <v>2.310504E-2</v>
      </c>
      <c r="S3006">
        <v>3.0074160000000001</v>
      </c>
      <c r="T3006">
        <v>-0.14608450000000001</v>
      </c>
      <c r="U3006">
        <v>0.26493840000000002</v>
      </c>
      <c r="V3006">
        <v>-1.9410429999999999E-2</v>
      </c>
      <c r="W3006">
        <v>6.8357360000000006E-2</v>
      </c>
      <c r="X3006">
        <v>0.99747199999999903</v>
      </c>
      <c r="Y3006">
        <v>-8.3797720000000006E-2</v>
      </c>
      <c r="Z3006">
        <v>1.842202E-3</v>
      </c>
      <c r="AA3006">
        <v>0.99648110000000001</v>
      </c>
      <c r="AB3006">
        <v>44</v>
      </c>
      <c r="AC3006">
        <v>22.330400000000001</v>
      </c>
      <c r="AD3006">
        <v>-1.1059841107263999</v>
      </c>
      <c r="AE3006">
        <v>2.0036999999999798</v>
      </c>
      <c r="AF3006">
        <v>-1.91242824855347</v>
      </c>
      <c r="AG3006">
        <v>-1.1059841107263999</v>
      </c>
      <c r="AH3006">
        <v>22.283776503083999</v>
      </c>
      <c r="AI3006">
        <v>92.830972199397607</v>
      </c>
      <c r="AJ3006">
        <v>94.905193389006499</v>
      </c>
      <c r="AK3006">
        <v>22.393018507973501</v>
      </c>
    </row>
    <row r="3007" spans="1:37" x14ac:dyDescent="0.2">
      <c r="A3007" t="str">
        <f>"20200111153456104"</f>
        <v>20200111153456104</v>
      </c>
      <c r="B3007" t="str">
        <f>"1578728096099182"</f>
        <v>1578728096099182</v>
      </c>
      <c r="C3007" t="s">
        <v>37</v>
      </c>
      <c r="D3007">
        <v>5.1757229999999996</v>
      </c>
      <c r="E3007">
        <v>0.47577749999999902</v>
      </c>
      <c r="F3007" t="s">
        <v>52</v>
      </c>
      <c r="G3007">
        <v>-224.02500000000001</v>
      </c>
      <c r="H3007" s="1">
        <v>5.1472980000000002E-7</v>
      </c>
      <c r="I3007">
        <v>216.68360000000001</v>
      </c>
      <c r="J3007">
        <v>-246.60149999999999</v>
      </c>
      <c r="K3007">
        <v>1.106004</v>
      </c>
      <c r="L3007">
        <v>214.61930000000001</v>
      </c>
      <c r="M3007">
        <v>0.99988220000000005</v>
      </c>
      <c r="N3007">
        <v>0</v>
      </c>
      <c r="O3007">
        <v>4.8892409999999999E-3</v>
      </c>
      <c r="P3007">
        <v>0.99820980000000004</v>
      </c>
      <c r="Q3007">
        <v>5.3878599999999902E-2</v>
      </c>
      <c r="R3007">
        <v>2.5967549999999999E-2</v>
      </c>
      <c r="S3007">
        <v>3.0067140000000001</v>
      </c>
      <c r="T3007">
        <v>-0.14439920000000001</v>
      </c>
      <c r="U3007">
        <v>0.26985170000000003</v>
      </c>
      <c r="V3007">
        <v>-2.1266810000000001E-2</v>
      </c>
      <c r="W3007">
        <v>6.834403E-2</v>
      </c>
      <c r="X3007">
        <v>0.99743510000000002</v>
      </c>
      <c r="Y3007">
        <v>-8.4428230000000007E-2</v>
      </c>
      <c r="Z3007">
        <v>1.7879179999999899E-3</v>
      </c>
      <c r="AA3007">
        <v>0.99642799999999998</v>
      </c>
      <c r="AB3007">
        <v>44</v>
      </c>
      <c r="AC3007">
        <v>22.5764999999999</v>
      </c>
      <c r="AD3007">
        <v>-1.1060034852702001</v>
      </c>
      <c r="AE3007">
        <v>2.0642999999999998</v>
      </c>
      <c r="AF3007">
        <v>-1.94924241572575</v>
      </c>
      <c r="AG3007">
        <v>-1.1060034852702001</v>
      </c>
      <c r="AH3007">
        <v>22.5326953512416</v>
      </c>
      <c r="AI3007">
        <v>92.799633488696202</v>
      </c>
      <c r="AJ3007">
        <v>94.944193831852601</v>
      </c>
      <c r="AK3007">
        <v>22.6438766446154</v>
      </c>
    </row>
    <row r="3008" spans="1:37" x14ac:dyDescent="0.2">
      <c r="A3008" t="str">
        <f>"20200111153456127"</f>
        <v>20200111153456127</v>
      </c>
      <c r="B3008" t="str">
        <f>"1578728096118702"</f>
        <v>1578728096118702</v>
      </c>
      <c r="C3008" t="s">
        <v>37</v>
      </c>
      <c r="D3008">
        <v>5.1592880000000001</v>
      </c>
      <c r="E3008">
        <v>0.47595989999999999</v>
      </c>
      <c r="F3008" t="s">
        <v>52</v>
      </c>
      <c r="G3008">
        <v>-223.68209999999999</v>
      </c>
      <c r="H3008" s="1">
        <v>3.3009049999999997E-7</v>
      </c>
      <c r="I3008">
        <v>216.73320000000001</v>
      </c>
      <c r="J3008">
        <v>-246.1525</v>
      </c>
      <c r="K3008">
        <v>1.1060219999999901</v>
      </c>
      <c r="L3008">
        <v>214.6224</v>
      </c>
      <c r="M3008">
        <v>0.99987689999999996</v>
      </c>
      <c r="N3008">
        <v>0</v>
      </c>
      <c r="O3008">
        <v>5.8940249999999998E-3</v>
      </c>
      <c r="P3008">
        <v>0.99812209999999901</v>
      </c>
      <c r="Q3008">
        <v>5.3909579999999999E-2</v>
      </c>
      <c r="R3008">
        <v>2.9084720000000001E-2</v>
      </c>
      <c r="S3008">
        <v>3.0059969999999998</v>
      </c>
      <c r="T3008">
        <v>-0.14505799999999999</v>
      </c>
      <c r="U3008">
        <v>0.27723690000000001</v>
      </c>
      <c r="V3008">
        <v>-2.3384160000000001E-2</v>
      </c>
      <c r="W3008">
        <v>6.8364969999999997E-2</v>
      </c>
      <c r="X3008">
        <v>0.99738629999999995</v>
      </c>
      <c r="Y3008">
        <v>-8.5874590000000001E-2</v>
      </c>
      <c r="Z3008">
        <v>1.7827419999999999E-3</v>
      </c>
      <c r="AA3008">
        <v>0.99630429999999903</v>
      </c>
      <c r="AB3008">
        <v>44</v>
      </c>
      <c r="AC3008">
        <v>22.470400000000001</v>
      </c>
      <c r="AD3008">
        <v>-1.10602166990949</v>
      </c>
      <c r="AE3008">
        <v>2.11080000000001</v>
      </c>
      <c r="AF3008">
        <v>-1.97356861617382</v>
      </c>
      <c r="AG3008">
        <v>-1.10602166990949</v>
      </c>
      <c r="AH3008">
        <v>22.428588832467501</v>
      </c>
      <c r="AI3008">
        <v>92.812292518309306</v>
      </c>
      <c r="AJ3008">
        <v>95.028700433270899</v>
      </c>
      <c r="AK3008">
        <v>22.542401248157699</v>
      </c>
    </row>
    <row r="3009" spans="1:37" x14ac:dyDescent="0.2">
      <c r="A3009" t="str">
        <f>"20200111153456147"</f>
        <v>20200111153456147</v>
      </c>
      <c r="B3009" t="str">
        <f>"1578728096139198"</f>
        <v>1578728096139198</v>
      </c>
      <c r="C3009" t="s">
        <v>37</v>
      </c>
      <c r="D3009">
        <v>5.0322990000000001</v>
      </c>
      <c r="E3009">
        <v>0.4759022</v>
      </c>
      <c r="F3009" t="s">
        <v>52</v>
      </c>
      <c r="G3009">
        <v>-223.2773</v>
      </c>
      <c r="H3009" s="1">
        <v>1.120186E-7</v>
      </c>
      <c r="I3009">
        <v>216.79390000000001</v>
      </c>
      <c r="J3009">
        <v>-245.73339999999999</v>
      </c>
      <c r="K3009">
        <v>1.1060379999999901</v>
      </c>
      <c r="L3009">
        <v>214.62559999999999</v>
      </c>
      <c r="M3009">
        <v>0.99987079999999995</v>
      </c>
      <c r="N3009">
        <v>0</v>
      </c>
      <c r="O3009">
        <v>6.8332480000000001E-3</v>
      </c>
      <c r="P3009">
        <v>0.99802349999999995</v>
      </c>
      <c r="Q3009">
        <v>5.4110320000000003E-2</v>
      </c>
      <c r="R3009">
        <v>3.1957199999999998E-2</v>
      </c>
      <c r="S3009">
        <v>3.0051570000000001</v>
      </c>
      <c r="T3009">
        <v>-0.1452996</v>
      </c>
      <c r="U3009">
        <v>0.28527829999999998</v>
      </c>
      <c r="V3009">
        <v>-2.5322279999999999E-2</v>
      </c>
      <c r="W3009">
        <v>6.855667E-2</v>
      </c>
      <c r="X3009">
        <v>0.99732579999999904</v>
      </c>
      <c r="Y3009">
        <v>-8.7605639999999999E-2</v>
      </c>
      <c r="Z3009">
        <v>1.782432E-3</v>
      </c>
      <c r="AA3009">
        <v>0.99615370000000003</v>
      </c>
      <c r="AB3009">
        <v>44</v>
      </c>
      <c r="AC3009">
        <v>22.4560999999999</v>
      </c>
      <c r="AD3009">
        <v>-1.1060378879813999</v>
      </c>
      <c r="AE3009">
        <v>2.1683000000000101</v>
      </c>
      <c r="AF3009">
        <v>-2.0099541310596201</v>
      </c>
      <c r="AG3009">
        <v>-1.1060378879813999</v>
      </c>
      <c r="AH3009">
        <v>22.416515995444701</v>
      </c>
      <c r="AI3009">
        <v>92.813432303256107</v>
      </c>
      <c r="AJ3009">
        <v>95.123666376405097</v>
      </c>
      <c r="AK3009">
        <v>22.533606564255201</v>
      </c>
    </row>
    <row r="3010" spans="1:37" x14ac:dyDescent="0.2">
      <c r="A3010" t="str">
        <f>"20200111153456171"</f>
        <v>20200111153456171</v>
      </c>
      <c r="B3010" t="str">
        <f>"1578728096158718"</f>
        <v>1578728096158718</v>
      </c>
      <c r="C3010" t="s">
        <v>37</v>
      </c>
      <c r="D3010">
        <v>5.0622280000000002</v>
      </c>
      <c r="E3010">
        <v>0.4581305</v>
      </c>
      <c r="F3010" t="s">
        <v>52</v>
      </c>
      <c r="G3010">
        <v>-222.84049999999999</v>
      </c>
      <c r="H3010" s="1">
        <v>-1.2377460000000001E-7</v>
      </c>
      <c r="I3010">
        <v>216.87110000000001</v>
      </c>
      <c r="J3010">
        <v>-245.29310000000001</v>
      </c>
      <c r="K3010">
        <v>1.106047</v>
      </c>
      <c r="L3010">
        <v>214.6294</v>
      </c>
      <c r="M3010">
        <v>0.99986359999999996</v>
      </c>
      <c r="N3010">
        <v>0</v>
      </c>
      <c r="O3010">
        <v>7.8204769999999993E-3</v>
      </c>
      <c r="P3010">
        <v>0.99795840000000002</v>
      </c>
      <c r="Q3010">
        <v>5.3917800000000002E-2</v>
      </c>
      <c r="R3010">
        <v>3.4228769999999999E-2</v>
      </c>
      <c r="S3010">
        <v>3.0043950000000001</v>
      </c>
      <c r="T3010">
        <v>-0.14515320000000001</v>
      </c>
      <c r="U3010">
        <v>0.29469299999999998</v>
      </c>
      <c r="V3010">
        <v>-2.6609979999999998E-2</v>
      </c>
      <c r="W3010">
        <v>6.8356879999999995E-2</v>
      </c>
      <c r="X3010">
        <v>0.99730599999999903</v>
      </c>
      <c r="Y3010">
        <v>-8.9737300000000006E-2</v>
      </c>
      <c r="Z3010">
        <v>1.78461299999999E-3</v>
      </c>
      <c r="AA3010">
        <v>0.99596390000000001</v>
      </c>
      <c r="AB3010">
        <v>44</v>
      </c>
      <c r="AC3010">
        <v>22.4526</v>
      </c>
      <c r="AD3010">
        <v>-1.1060471237745999</v>
      </c>
      <c r="AE3010">
        <v>2.2416999999999998</v>
      </c>
      <c r="AF3010">
        <v>-2.0610705986921798</v>
      </c>
      <c r="AG3010">
        <v>-1.1060471237745999</v>
      </c>
      <c r="AH3010">
        <v>22.4155875025893</v>
      </c>
      <c r="AI3010">
        <v>92.812994305767901</v>
      </c>
      <c r="AJ3010">
        <v>95.253466025022902</v>
      </c>
      <c r="AK3010">
        <v>22.537300533538598</v>
      </c>
    </row>
    <row r="3011" spans="1:37" x14ac:dyDescent="0.2">
      <c r="A3011" t="str">
        <f>"20200111153456193"</f>
        <v>20200111153456193</v>
      </c>
      <c r="B3011" t="str">
        <f>"1578728096188974"</f>
        <v>1578728096188974</v>
      </c>
      <c r="C3011" t="s">
        <v>37</v>
      </c>
      <c r="D3011">
        <v>5.0165290000000002</v>
      </c>
      <c r="E3011">
        <v>0.45744399999999902</v>
      </c>
      <c r="F3011" t="s">
        <v>52</v>
      </c>
      <c r="G3011">
        <v>-220.84739999999999</v>
      </c>
      <c r="H3011" s="1">
        <v>-1.2444399999999999E-6</v>
      </c>
      <c r="I3011">
        <v>218.24449999999999</v>
      </c>
      <c r="J3011">
        <v>-244.85599999999999</v>
      </c>
      <c r="K3011">
        <v>1.106055</v>
      </c>
      <c r="L3011">
        <v>214.6336</v>
      </c>
      <c r="M3011">
        <v>0.99985559999999996</v>
      </c>
      <c r="N3011">
        <v>0</v>
      </c>
      <c r="O3011">
        <v>8.8020059999999994E-3</v>
      </c>
      <c r="P3011">
        <v>0.99788519999999903</v>
      </c>
      <c r="Q3011">
        <v>5.3915049999999999E-2</v>
      </c>
      <c r="R3011">
        <v>3.631028E-2</v>
      </c>
      <c r="S3011">
        <v>2.9982599999999899</v>
      </c>
      <c r="T3011">
        <v>-0.13565639999999901</v>
      </c>
      <c r="U3011">
        <v>0.4433899</v>
      </c>
      <c r="V3011">
        <v>-2.771326E-2</v>
      </c>
      <c r="W3011">
        <v>6.8347829999999998E-2</v>
      </c>
      <c r="X3011">
        <v>0.99727649999999901</v>
      </c>
      <c r="Y3011">
        <v>-0.13744879999999901</v>
      </c>
      <c r="Z3011">
        <v>2.695196E-3</v>
      </c>
      <c r="AA3011">
        <v>0.99050519999999997</v>
      </c>
      <c r="AB3011">
        <v>44</v>
      </c>
      <c r="AC3011">
        <v>24.008600000000001</v>
      </c>
      <c r="AD3011">
        <v>-1.1060562444399999</v>
      </c>
      <c r="AE3011">
        <v>3.61089999999998</v>
      </c>
      <c r="AF3011">
        <v>-3.3923733129608</v>
      </c>
      <c r="AG3011">
        <v>-1.1060562444399999</v>
      </c>
      <c r="AH3011">
        <v>23.989667592255898</v>
      </c>
      <c r="AI3011">
        <v>92.613814733352996</v>
      </c>
      <c r="AJ3011">
        <v>98.048815999497293</v>
      </c>
      <c r="AK3011">
        <v>24.253571042163799</v>
      </c>
    </row>
    <row r="3012" spans="1:37" x14ac:dyDescent="0.2">
      <c r="A3012" t="str">
        <f>"20200111153456216"</f>
        <v>20200111153456216</v>
      </c>
      <c r="B3012" t="str">
        <f>"1578728096209470"</f>
        <v>1578728096209470</v>
      </c>
      <c r="C3012" t="s">
        <v>37</v>
      </c>
      <c r="D3012">
        <v>4.9525059999999996</v>
      </c>
      <c r="E3012">
        <v>0.457534</v>
      </c>
      <c r="F3012" t="s">
        <v>52</v>
      </c>
      <c r="G3012">
        <v>-218.5361</v>
      </c>
      <c r="H3012" s="1">
        <v>2.8302349999999999E-6</v>
      </c>
      <c r="I3012">
        <v>218.63079999999999</v>
      </c>
      <c r="J3012">
        <v>-244.40350000000001</v>
      </c>
      <c r="K3012">
        <v>1.106061</v>
      </c>
      <c r="L3012">
        <v>214.63839999999999</v>
      </c>
      <c r="M3012">
        <v>0.99984609999999996</v>
      </c>
      <c r="N3012">
        <v>0</v>
      </c>
      <c r="O3012">
        <v>9.8189119999999904E-3</v>
      </c>
      <c r="P3012">
        <v>0.99785349999999995</v>
      </c>
      <c r="Q3012">
        <v>5.3500289999999999E-2</v>
      </c>
      <c r="R3012">
        <v>3.7766050000000002E-2</v>
      </c>
      <c r="S3012">
        <v>2.996597</v>
      </c>
      <c r="T3012">
        <v>-0.1259276</v>
      </c>
      <c r="U3012">
        <v>0.45509339999999998</v>
      </c>
      <c r="V3012">
        <v>-2.8154410000000001E-2</v>
      </c>
      <c r="W3012">
        <v>6.792919E-2</v>
      </c>
      <c r="X3012">
        <v>0.99729279999999998</v>
      </c>
      <c r="Y3012">
        <v>-0.14032</v>
      </c>
      <c r="Z3012">
        <v>2.520235E-3</v>
      </c>
      <c r="AA3012">
        <v>0.99010299999999996</v>
      </c>
      <c r="AB3012">
        <v>44</v>
      </c>
      <c r="AC3012">
        <v>25.8674</v>
      </c>
      <c r="AD3012">
        <v>-1.106058169765</v>
      </c>
      <c r="AE3012">
        <v>3.9923999999999999</v>
      </c>
      <c r="AF3012">
        <v>-3.7315272669849402</v>
      </c>
      <c r="AG3012">
        <v>-1.106058169765</v>
      </c>
      <c r="AH3012">
        <v>25.859179294997901</v>
      </c>
      <c r="AI3012">
        <v>92.424104819536794</v>
      </c>
      <c r="AJ3012">
        <v>98.211205691301103</v>
      </c>
      <c r="AK3012">
        <v>26.150426654836899</v>
      </c>
    </row>
    <row r="3013" spans="1:37" x14ac:dyDescent="0.2">
      <c r="A3013" t="str">
        <f>"20200111153456237"</f>
        <v>20200111153456237</v>
      </c>
      <c r="B3013" t="str">
        <f>"1578728096228994"</f>
        <v>1578728096228994</v>
      </c>
      <c r="C3013" t="s">
        <v>37</v>
      </c>
      <c r="D3013">
        <v>4.9692080000000001</v>
      </c>
      <c r="E3013">
        <v>0.45805400000000002</v>
      </c>
      <c r="F3013" t="s">
        <v>52</v>
      </c>
      <c r="G3013">
        <v>-217.7045</v>
      </c>
      <c r="H3013" s="1">
        <v>2.3835780000000002E-6</v>
      </c>
      <c r="I3013">
        <v>218.7251</v>
      </c>
      <c r="J3013">
        <v>-243.9776</v>
      </c>
      <c r="K3013">
        <v>1.1060729999999901</v>
      </c>
      <c r="L3013">
        <v>214.64330000000001</v>
      </c>
      <c r="M3013">
        <v>0.99983630000000001</v>
      </c>
      <c r="N3013">
        <v>0</v>
      </c>
      <c r="O3013">
        <v>1.077672E-2</v>
      </c>
      <c r="P3013">
        <v>0.99787479999999995</v>
      </c>
      <c r="Q3013">
        <v>5.3164240000000001E-2</v>
      </c>
      <c r="R3013">
        <v>3.7677660000000002E-2</v>
      </c>
      <c r="S3013">
        <v>2.9957729999999998</v>
      </c>
      <c r="T3013">
        <v>-0.1241058</v>
      </c>
      <c r="U3013">
        <v>0.4585571</v>
      </c>
      <c r="V3013">
        <v>-2.7108810000000001E-2</v>
      </c>
      <c r="W3013">
        <v>6.7593810000000004E-2</v>
      </c>
      <c r="X3013">
        <v>0.99734460000000003</v>
      </c>
      <c r="Y3013">
        <v>-0.14053450000000001</v>
      </c>
      <c r="Z3013">
        <v>2.4492609999999999E-3</v>
      </c>
      <c r="AA3013">
        <v>0.99007269999999903</v>
      </c>
      <c r="AB3013">
        <v>44</v>
      </c>
      <c r="AC3013">
        <v>26.273099999999999</v>
      </c>
      <c r="AD3013">
        <v>-1.10607061642199</v>
      </c>
      <c r="AE3013">
        <v>4.0817999999999799</v>
      </c>
      <c r="AF3013">
        <v>-3.7918331953822801</v>
      </c>
      <c r="AG3013">
        <v>-1.10607061642199</v>
      </c>
      <c r="AH3013">
        <v>26.2701052199135</v>
      </c>
      <c r="AI3013">
        <v>92.386244211338706</v>
      </c>
      <c r="AJ3013">
        <v>98.213360504067793</v>
      </c>
      <c r="AK3013">
        <v>26.565387621027501</v>
      </c>
    </row>
    <row r="3014" spans="1:37" x14ac:dyDescent="0.2">
      <c r="A3014" t="str">
        <f>"20200111153456260"</f>
        <v>20200111153456260</v>
      </c>
      <c r="B3014" t="str">
        <f>"1578728096249487"</f>
        <v>1578728096249487</v>
      </c>
      <c r="C3014" t="s">
        <v>37</v>
      </c>
      <c r="D3014">
        <v>4.9815019999999999</v>
      </c>
      <c r="E3014">
        <v>0.45861150000000001</v>
      </c>
      <c r="F3014" t="s">
        <v>52</v>
      </c>
      <c r="G3014">
        <v>-217.29669999999999</v>
      </c>
      <c r="H3014" s="1">
        <v>2.1678549999999998E-6</v>
      </c>
      <c r="I3014">
        <v>218.69489999999999</v>
      </c>
      <c r="J3014">
        <v>-243.54179999999999</v>
      </c>
      <c r="K3014">
        <v>1.10609</v>
      </c>
      <c r="L3014">
        <v>214.64879999999999</v>
      </c>
      <c r="M3014">
        <v>0.99982539999999998</v>
      </c>
      <c r="N3014">
        <v>0</v>
      </c>
      <c r="O3014">
        <v>1.175758E-2</v>
      </c>
      <c r="P3014">
        <v>0.99790480000000004</v>
      </c>
      <c r="Q3014">
        <v>5.292082E-2</v>
      </c>
      <c r="R3014">
        <v>3.7219299999999997E-2</v>
      </c>
      <c r="S3014">
        <v>2.9958499999999999</v>
      </c>
      <c r="T3014">
        <v>-0.1241941</v>
      </c>
      <c r="U3014">
        <v>0.45492549999999998</v>
      </c>
      <c r="V3014">
        <v>-2.5670599999999901E-2</v>
      </c>
      <c r="W3014">
        <v>6.7352599999999999E-2</v>
      </c>
      <c r="X3014">
        <v>0.99739889999999998</v>
      </c>
      <c r="Y3014">
        <v>-0.1383887</v>
      </c>
      <c r="Z3014">
        <v>2.3665589999999999E-3</v>
      </c>
      <c r="AA3014">
        <v>0.99037520000000001</v>
      </c>
      <c r="AB3014">
        <v>44</v>
      </c>
      <c r="AC3014">
        <v>26.245100000000001</v>
      </c>
      <c r="AD3014">
        <v>-1.1060878321450001</v>
      </c>
      <c r="AE3014">
        <v>4.0460999999999903</v>
      </c>
      <c r="AF3014">
        <v>-3.7307362906555599</v>
      </c>
      <c r="AG3014">
        <v>-1.1060878321450001</v>
      </c>
      <c r="AH3014">
        <v>26.245329076978901</v>
      </c>
      <c r="AI3014">
        <v>92.389265446499707</v>
      </c>
      <c r="AJ3014">
        <v>98.090312771215196</v>
      </c>
      <c r="AK3014">
        <v>26.532227986389501</v>
      </c>
    </row>
    <row r="3015" spans="1:37" x14ac:dyDescent="0.2">
      <c r="A3015" t="str">
        <f>"20200111153456282"</f>
        <v>20200111153456282</v>
      </c>
      <c r="B3015" t="str">
        <f>"1578728096278766"</f>
        <v>1578728096278766</v>
      </c>
      <c r="C3015" t="s">
        <v>37</v>
      </c>
      <c r="D3015">
        <v>4.9670489999999896</v>
      </c>
      <c r="E3015">
        <v>0.45913080000000001</v>
      </c>
      <c r="F3015" t="s">
        <v>52</v>
      </c>
      <c r="G3015">
        <v>-217.21879999999999</v>
      </c>
      <c r="H3015" s="1">
        <v>2.13054E-6</v>
      </c>
      <c r="I3015">
        <v>218.6</v>
      </c>
      <c r="J3015">
        <v>-243.0994</v>
      </c>
      <c r="K3015">
        <v>1.106109</v>
      </c>
      <c r="L3015">
        <v>214.65479999999999</v>
      </c>
      <c r="M3015">
        <v>0.99981319999999996</v>
      </c>
      <c r="N3015">
        <v>0</v>
      </c>
      <c r="O3015">
        <v>1.275428E-2</v>
      </c>
      <c r="P3015">
        <v>0.99792389999999997</v>
      </c>
      <c r="Q3015">
        <v>5.3293380000000001E-2</v>
      </c>
      <c r="R3015">
        <v>3.6165160000000002E-2</v>
      </c>
      <c r="S3015">
        <v>2.9962009999999899</v>
      </c>
      <c r="T3015">
        <v>-0.12589939999999999</v>
      </c>
      <c r="U3015">
        <v>0.44973750000000001</v>
      </c>
      <c r="V3015">
        <v>-2.3622500000000001E-2</v>
      </c>
      <c r="W3015">
        <v>6.7728899999999995E-2</v>
      </c>
      <c r="X3015">
        <v>0.99742410000000004</v>
      </c>
      <c r="Y3015">
        <v>-0.135707299999999</v>
      </c>
      <c r="Z3015">
        <v>2.3014450000000001E-3</v>
      </c>
      <c r="AA3015">
        <v>0.99074629999999997</v>
      </c>
      <c r="AB3015">
        <v>44</v>
      </c>
      <c r="AC3015">
        <v>25.880600000000001</v>
      </c>
      <c r="AD3015">
        <v>-1.10610686946</v>
      </c>
      <c r="AE3015">
        <v>3.9451999999999998</v>
      </c>
      <c r="AF3015">
        <v>-3.60831450328988</v>
      </c>
      <c r="AG3015">
        <v>-1.10610686946</v>
      </c>
      <c r="AH3015">
        <v>25.882614196238901</v>
      </c>
      <c r="AI3015">
        <v>92.4236650008787</v>
      </c>
      <c r="AJ3015">
        <v>97.936494852337603</v>
      </c>
      <c r="AK3015">
        <v>26.1563209108748</v>
      </c>
    </row>
    <row r="3016" spans="1:37" x14ac:dyDescent="0.2">
      <c r="A3016" t="str">
        <f>"20200111153456305"</f>
        <v>20200111153456305</v>
      </c>
      <c r="B3016" t="str">
        <f>"1578728096299263"</f>
        <v>1578728096299263</v>
      </c>
      <c r="C3016" t="s">
        <v>37</v>
      </c>
      <c r="D3016">
        <v>4.9841920000000002</v>
      </c>
      <c r="E3016">
        <v>0.45934079999999899</v>
      </c>
      <c r="F3016" t="s">
        <v>52</v>
      </c>
      <c r="G3016">
        <v>-216.3058</v>
      </c>
      <c r="H3016" s="1">
        <v>1.64412E-6</v>
      </c>
      <c r="I3016">
        <v>218.61320000000001</v>
      </c>
      <c r="J3016">
        <v>-242.65219999999999</v>
      </c>
      <c r="K3016">
        <v>1.1061190000000001</v>
      </c>
      <c r="L3016">
        <v>214.66139999999999</v>
      </c>
      <c r="M3016">
        <v>0.99979979999999902</v>
      </c>
      <c r="N3016">
        <v>0</v>
      </c>
      <c r="O3016">
        <v>1.376206E-2</v>
      </c>
      <c r="P3016">
        <v>0.99788840000000001</v>
      </c>
      <c r="Q3016">
        <v>5.4982839999999998E-2</v>
      </c>
      <c r="R3016">
        <v>3.4577480000000001E-2</v>
      </c>
      <c r="S3016">
        <v>2.9968110000000001</v>
      </c>
      <c r="T3016">
        <v>-0.1237156</v>
      </c>
      <c r="U3016">
        <v>0.44273379999999901</v>
      </c>
      <c r="V3016">
        <v>-2.103408E-2</v>
      </c>
      <c r="W3016">
        <v>6.9422460000000005E-2</v>
      </c>
      <c r="X3016">
        <v>0.99736559999999896</v>
      </c>
      <c r="Y3016">
        <v>-0.13242029999999999</v>
      </c>
      <c r="Z3016">
        <v>2.1526919999999999E-3</v>
      </c>
      <c r="AA3016">
        <v>0.9911913</v>
      </c>
      <c r="AB3016">
        <v>44</v>
      </c>
      <c r="AC3016">
        <v>26.3463999999999</v>
      </c>
      <c r="AD3016">
        <v>-1.1061173558799999</v>
      </c>
      <c r="AE3016">
        <v>3.95180000000002</v>
      </c>
      <c r="AF3016">
        <v>-3.5826308021215398</v>
      </c>
      <c r="AG3016">
        <v>-1.1061173558799999</v>
      </c>
      <c r="AH3016">
        <v>26.352866909523499</v>
      </c>
      <c r="AI3016">
        <v>92.381601371273106</v>
      </c>
      <c r="AJ3016">
        <v>97.741809270301701</v>
      </c>
      <c r="AK3016">
        <v>26.618270669229201</v>
      </c>
    </row>
    <row r="3017" spans="1:37" x14ac:dyDescent="0.2">
      <c r="A3017" t="str">
        <f>"20200111153456327"</f>
        <v>20200111153456327</v>
      </c>
      <c r="B3017" t="str">
        <f>"1578728096318785"</f>
        <v>1578728096318785</v>
      </c>
      <c r="C3017" t="s">
        <v>37</v>
      </c>
      <c r="D3017">
        <v>4.9546169999999998</v>
      </c>
      <c r="E3017">
        <v>0.45953500000000003</v>
      </c>
      <c r="F3017" t="s">
        <v>52</v>
      </c>
      <c r="G3017">
        <v>-214.59299999999999</v>
      </c>
      <c r="H3017" s="1">
        <v>7.2678250000000002E-7</v>
      </c>
      <c r="I3017">
        <v>218.74799999999999</v>
      </c>
      <c r="J3017">
        <v>-242.21639999999999</v>
      </c>
      <c r="K3017">
        <v>1.1061219999999901</v>
      </c>
      <c r="L3017">
        <v>214.66820000000001</v>
      </c>
      <c r="M3017">
        <v>0.99978579999999995</v>
      </c>
      <c r="N3017">
        <v>0</v>
      </c>
      <c r="O3017">
        <v>1.474491E-2</v>
      </c>
      <c r="P3017">
        <v>0.99793240000000005</v>
      </c>
      <c r="Q3017">
        <v>5.5483209999999998E-2</v>
      </c>
      <c r="R3017">
        <v>3.2441909999999997E-2</v>
      </c>
      <c r="S3017">
        <v>2.9977419999999899</v>
      </c>
      <c r="T3017">
        <v>-0.1181736</v>
      </c>
      <c r="U3017">
        <v>0.43659969999999998</v>
      </c>
      <c r="V3017">
        <v>-1.7918299999999901E-2</v>
      </c>
      <c r="W3017">
        <v>6.9929060000000001E-2</v>
      </c>
      <c r="X3017">
        <v>0.99739100000000003</v>
      </c>
      <c r="Y3017">
        <v>-0.12942699999999999</v>
      </c>
      <c r="Z3017">
        <v>1.9588299999999999E-3</v>
      </c>
      <c r="AA3017">
        <v>0.991587</v>
      </c>
      <c r="AB3017">
        <v>44</v>
      </c>
      <c r="AC3017">
        <v>27.6234</v>
      </c>
      <c r="AD3017">
        <v>-1.1061212732175001</v>
      </c>
      <c r="AE3017">
        <v>4.0797999999999703</v>
      </c>
      <c r="AF3017">
        <v>-3.6662557641985001</v>
      </c>
      <c r="AG3017">
        <v>-1.1061212732175001</v>
      </c>
      <c r="AH3017">
        <v>27.637190586024399</v>
      </c>
      <c r="AI3017">
        <v>92.272038497879805</v>
      </c>
      <c r="AJ3017">
        <v>97.556543363101497</v>
      </c>
      <c r="AK3017">
        <v>27.901240816275902</v>
      </c>
    </row>
    <row r="3018" spans="1:37" x14ac:dyDescent="0.2">
      <c r="A3018" t="str">
        <f>"20200111153456350"</f>
        <v>20200111153456350</v>
      </c>
      <c r="B3018" t="str">
        <f>"1578728096339278"</f>
        <v>1578728096339278</v>
      </c>
      <c r="C3018" t="s">
        <v>37</v>
      </c>
      <c r="D3018">
        <v>4.9787119999999998</v>
      </c>
      <c r="E3018">
        <v>0.4595419</v>
      </c>
      <c r="F3018" t="s">
        <v>52</v>
      </c>
      <c r="G3018">
        <v>-213.70609999999999</v>
      </c>
      <c r="H3018" s="1">
        <v>2.5488249999999998E-7</v>
      </c>
      <c r="I3018">
        <v>218.74629999999999</v>
      </c>
      <c r="J3018">
        <v>-241.7895</v>
      </c>
      <c r="K3018">
        <v>1.1061190000000001</v>
      </c>
      <c r="L3018">
        <v>214.67529999999999</v>
      </c>
      <c r="M3018">
        <v>0.99977129999999903</v>
      </c>
      <c r="N3018">
        <v>0</v>
      </c>
      <c r="O3018">
        <v>1.5707789999999999E-2</v>
      </c>
      <c r="P3018">
        <v>0.99802429999999998</v>
      </c>
      <c r="Q3018">
        <v>5.4874689999999997E-2</v>
      </c>
      <c r="R3018">
        <v>3.0603869999999998E-2</v>
      </c>
      <c r="S3018">
        <v>2.9987490000000001</v>
      </c>
      <c r="T3018">
        <v>-0.1163434</v>
      </c>
      <c r="U3018">
        <v>0.42893979999999998</v>
      </c>
      <c r="V3018">
        <v>-1.5115719999999999E-2</v>
      </c>
      <c r="W3018">
        <v>6.9327330000000006E-2</v>
      </c>
      <c r="X3018">
        <v>0.99747940000000002</v>
      </c>
      <c r="Y3018">
        <v>-0.12594849999999999</v>
      </c>
      <c r="Z3018">
        <v>1.8239739999999999E-3</v>
      </c>
      <c r="AA3018">
        <v>0.99203509999999995</v>
      </c>
      <c r="AB3018">
        <v>44</v>
      </c>
      <c r="AC3018">
        <v>28.083400000000001</v>
      </c>
      <c r="AD3018">
        <v>-1.1061187451175001</v>
      </c>
      <c r="AE3018">
        <v>4.07099999999999</v>
      </c>
      <c r="AF3018">
        <v>-3.6238169910460898</v>
      </c>
      <c r="AG3018">
        <v>-1.1061187451175001</v>
      </c>
      <c r="AH3018">
        <v>28.1011906384641</v>
      </c>
      <c r="AI3018">
        <v>92.235619034626197</v>
      </c>
      <c r="AJ3018">
        <v>97.3480813083561</v>
      </c>
      <c r="AK3018">
        <v>28.355466202519001</v>
      </c>
    </row>
    <row r="3019" spans="1:37" x14ac:dyDescent="0.2">
      <c r="A3019" t="str">
        <f>"20200111153456372"</f>
        <v>20200111153456372</v>
      </c>
      <c r="B3019" t="str">
        <f>"1578728096369535"</f>
        <v>1578728096369535</v>
      </c>
      <c r="C3019" t="s">
        <v>37</v>
      </c>
      <c r="D3019">
        <v>5.2291860000000003</v>
      </c>
      <c r="E3019">
        <v>0.461684599999999</v>
      </c>
      <c r="F3019" t="s">
        <v>52</v>
      </c>
      <c r="G3019">
        <v>-213.77680000000001</v>
      </c>
      <c r="H3019" s="1">
        <v>2.974481E-7</v>
      </c>
      <c r="I3019">
        <v>218.63299999999899</v>
      </c>
      <c r="J3019">
        <v>-241.3425</v>
      </c>
      <c r="K3019">
        <v>1.1061019999999999</v>
      </c>
      <c r="L3019">
        <v>214.6831</v>
      </c>
      <c r="M3019">
        <v>0.99975499999999995</v>
      </c>
      <c r="N3019">
        <v>0</v>
      </c>
      <c r="O3019">
        <v>1.6716740000000001E-2</v>
      </c>
      <c r="P3019">
        <v>0.99817230000000001</v>
      </c>
      <c r="Q3019">
        <v>5.3314239999999999E-2</v>
      </c>
      <c r="R3019">
        <v>2.8462620000000001E-2</v>
      </c>
      <c r="S3019">
        <v>2.9994509999999899</v>
      </c>
      <c r="T3019">
        <v>-0.11843720000000001</v>
      </c>
      <c r="U3019">
        <v>0.42376709999999901</v>
      </c>
      <c r="V3019">
        <v>-1.196061E-2</v>
      </c>
      <c r="W3019">
        <v>6.7775059999999998E-2</v>
      </c>
      <c r="X3019">
        <v>0.99762890000000004</v>
      </c>
      <c r="Y3019">
        <v>-0.12323729999999999</v>
      </c>
      <c r="Z3019">
        <v>1.763721E-3</v>
      </c>
      <c r="AA3019">
        <v>0.99237569999999997</v>
      </c>
      <c r="AB3019">
        <v>44</v>
      </c>
      <c r="AC3019">
        <v>27.5657</v>
      </c>
      <c r="AD3019">
        <v>-1.1061017025519</v>
      </c>
      <c r="AE3019">
        <v>3.94989999999998</v>
      </c>
      <c r="AF3019">
        <v>-3.4829956668177799</v>
      </c>
      <c r="AG3019">
        <v>-1.1061017025519</v>
      </c>
      <c r="AH3019">
        <v>27.584363765557001</v>
      </c>
      <c r="AI3019">
        <v>92.278195621826896</v>
      </c>
      <c r="AJ3019">
        <v>97.196483743653005</v>
      </c>
      <c r="AK3019">
        <v>27.8253812937403</v>
      </c>
    </row>
    <row r="3020" spans="1:37" x14ac:dyDescent="0.2">
      <c r="A3020" t="str">
        <f>"20200111153456394"</f>
        <v>20200111153456394</v>
      </c>
      <c r="B3020" t="str">
        <f>"1578728096389057"</f>
        <v>1578728096389057</v>
      </c>
      <c r="C3020" t="s">
        <v>37</v>
      </c>
      <c r="D3020">
        <v>5.0252919999999897</v>
      </c>
      <c r="E3020">
        <v>0.54992459999999999</v>
      </c>
      <c r="F3020" t="s">
        <v>52</v>
      </c>
      <c r="G3020">
        <v>-214.70750000000001</v>
      </c>
      <c r="H3020" s="1">
        <v>8.1010469999999998E-7</v>
      </c>
      <c r="I3020">
        <v>218.23599999999999</v>
      </c>
      <c r="J3020">
        <v>-240.90870000000001</v>
      </c>
      <c r="K3020">
        <v>1.1060809999999901</v>
      </c>
      <c r="L3020">
        <v>214.69120000000001</v>
      </c>
      <c r="M3020">
        <v>0.99973809999999996</v>
      </c>
      <c r="N3020">
        <v>0</v>
      </c>
      <c r="O3020">
        <v>1.769623E-2</v>
      </c>
      <c r="P3020">
        <v>0.99831190000000003</v>
      </c>
      <c r="Q3020">
        <v>5.1389629999999999E-2</v>
      </c>
      <c r="R3020">
        <v>2.7069260000000001E-2</v>
      </c>
      <c r="S3020">
        <v>3.000702</v>
      </c>
      <c r="T3020">
        <v>-0.1246138</v>
      </c>
      <c r="U3020">
        <v>0.40026859999999997</v>
      </c>
      <c r="V3020">
        <v>-9.5813800000000005E-3</v>
      </c>
      <c r="W3020">
        <v>6.5857219999999994E-2</v>
      </c>
      <c r="X3020">
        <v>0.99778310000000003</v>
      </c>
      <c r="Y3020">
        <v>-0.1145751</v>
      </c>
      <c r="Z3020">
        <v>1.6363789999999899E-3</v>
      </c>
      <c r="AA3020">
        <v>0.99341329999999906</v>
      </c>
      <c r="AB3020">
        <v>44</v>
      </c>
      <c r="AC3020">
        <v>26.2012</v>
      </c>
      <c r="AD3020">
        <v>-1.1060801898953001</v>
      </c>
      <c r="AE3020">
        <v>3.54479999999998</v>
      </c>
      <c r="AF3020">
        <v>-3.0751518067705899</v>
      </c>
      <c r="AG3020">
        <v>-1.1060801898953001</v>
      </c>
      <c r="AH3020">
        <v>26.213956421456501</v>
      </c>
      <c r="AI3020">
        <v>92.399687668880205</v>
      </c>
      <c r="AJ3020">
        <v>96.6907716611246</v>
      </c>
      <c r="AK3020">
        <v>26.416878757475999</v>
      </c>
    </row>
    <row r="3021" spans="1:37" x14ac:dyDescent="0.2">
      <c r="A3021" t="str">
        <f>"20200111153456417"</f>
        <v>20200111153456417</v>
      </c>
      <c r="B3021" t="str">
        <f>"1578728096409550"</f>
        <v>1578728096409550</v>
      </c>
      <c r="C3021" t="s">
        <v>37</v>
      </c>
      <c r="D3021">
        <v>5.0207360000000003</v>
      </c>
      <c r="E3021">
        <v>0.55855059999999901</v>
      </c>
      <c r="F3021" t="s">
        <v>52</v>
      </c>
      <c r="G3021">
        <v>-222.92230000000001</v>
      </c>
      <c r="H3021" s="1">
        <v>9.4565190000000001E-8</v>
      </c>
      <c r="I3021">
        <v>212.87209999999999</v>
      </c>
      <c r="J3021">
        <v>-240.46459999999999</v>
      </c>
      <c r="K3021">
        <v>1.1060669999999999</v>
      </c>
      <c r="L3021">
        <v>214.69990000000001</v>
      </c>
      <c r="M3021">
        <v>0.99971989999999999</v>
      </c>
      <c r="N3021">
        <v>0</v>
      </c>
      <c r="O3021">
        <v>1.8699449999999999E-2</v>
      </c>
      <c r="P3021">
        <v>0.99838349999999898</v>
      </c>
      <c r="Q3021">
        <v>5.0070370000000003E-2</v>
      </c>
      <c r="R3021">
        <v>2.689654E-2</v>
      </c>
      <c r="S3021">
        <v>3.0229339999999998</v>
      </c>
      <c r="T3021">
        <v>-0.18589710000000001</v>
      </c>
      <c r="U3021">
        <v>-0.30572509999999897</v>
      </c>
      <c r="V3021">
        <v>-8.4012110000000004E-3</v>
      </c>
      <c r="W3021">
        <v>6.4539669999999993E-2</v>
      </c>
      <c r="X3021">
        <v>0.99787979999999998</v>
      </c>
      <c r="Y3021">
        <v>0.1189533</v>
      </c>
      <c r="Z3021">
        <v>-4.7911059999999998E-3</v>
      </c>
      <c r="AA3021">
        <v>0.99288829999999995</v>
      </c>
      <c r="AB3021">
        <v>44</v>
      </c>
      <c r="AC3021">
        <v>17.542299999999901</v>
      </c>
      <c r="AD3021">
        <v>-1.10606690543481</v>
      </c>
      <c r="AE3021">
        <v>-1.8278000000000201</v>
      </c>
      <c r="AF3021">
        <v>2.1471021339902201</v>
      </c>
      <c r="AG3021">
        <v>-1.10606690543481</v>
      </c>
      <c r="AH3021">
        <v>17.436475709323101</v>
      </c>
      <c r="AI3021">
        <v>93.602504873727099</v>
      </c>
      <c r="AJ3021">
        <v>82.9800206610619</v>
      </c>
      <c r="AK3021">
        <v>17.602957613278999</v>
      </c>
    </row>
    <row r="3022" spans="1:37" x14ac:dyDescent="0.2">
      <c r="A3022" t="str">
        <f>"20200111153456438"</f>
        <v>20200111153456438</v>
      </c>
      <c r="B3022" t="str">
        <f>"1578728096429071"</f>
        <v>1578728096429071</v>
      </c>
      <c r="C3022" t="s">
        <v>37</v>
      </c>
      <c r="D3022">
        <v>4.9874839999999896</v>
      </c>
      <c r="E3022">
        <v>0.55890289999999998</v>
      </c>
      <c r="F3022" t="s">
        <v>52</v>
      </c>
      <c r="G3022">
        <v>-222.66650000000001</v>
      </c>
      <c r="H3022" s="1">
        <v>-2.494902E-8</v>
      </c>
      <c r="I3022">
        <v>212.49189999999999</v>
      </c>
      <c r="J3022">
        <v>-240.04329999999999</v>
      </c>
      <c r="K3022">
        <v>1.106055</v>
      </c>
      <c r="L3022">
        <v>214.70859999999999</v>
      </c>
      <c r="M3022">
        <v>0.99970159999999997</v>
      </c>
      <c r="N3022">
        <v>0</v>
      </c>
      <c r="O3022">
        <v>1.9651579999999998E-2</v>
      </c>
      <c r="P3022">
        <v>0.99849359999999998</v>
      </c>
      <c r="Q3022">
        <v>4.8226650000000003E-2</v>
      </c>
      <c r="R3022">
        <v>2.6170280000000001E-2</v>
      </c>
      <c r="S3022">
        <v>3.0243989999999998</v>
      </c>
      <c r="T3022">
        <v>-0.18795220000000001</v>
      </c>
      <c r="U3022">
        <v>-0.37519839999999999</v>
      </c>
      <c r="V3022">
        <v>-6.7166129999999998E-3</v>
      </c>
      <c r="W3022">
        <v>6.2699959999999999E-2</v>
      </c>
      <c r="X3022">
        <v>0.99800979999999995</v>
      </c>
      <c r="Y3022">
        <v>0.14228589999999999</v>
      </c>
      <c r="Z3022">
        <v>-5.6159929999999997E-3</v>
      </c>
      <c r="AA3022">
        <v>0.98980970000000001</v>
      </c>
      <c r="AB3022">
        <v>44</v>
      </c>
      <c r="AC3022">
        <v>17.3767999999999</v>
      </c>
      <c r="AD3022">
        <v>-1.10605502494902</v>
      </c>
      <c r="AE3022">
        <v>-2.2166999999999999</v>
      </c>
      <c r="AF3022">
        <v>2.54763295723918</v>
      </c>
      <c r="AG3022">
        <v>-1.10605502494902</v>
      </c>
      <c r="AH3022">
        <v>17.261064328725901</v>
      </c>
      <c r="AI3022">
        <v>93.627200101106894</v>
      </c>
      <c r="AJ3022">
        <v>81.604090796408897</v>
      </c>
      <c r="AK3022">
        <v>17.483081340640201</v>
      </c>
    </row>
    <row r="3023" spans="1:37" x14ac:dyDescent="0.2">
      <c r="A3023" t="str">
        <f>"20200111153456462"</f>
        <v>20200111153456462</v>
      </c>
      <c r="B3023" t="str">
        <f>"1578728096449370"</f>
        <v>1578728096449370</v>
      </c>
      <c r="C3023" t="s">
        <v>37</v>
      </c>
      <c r="D3023">
        <v>5.0063129999999996</v>
      </c>
      <c r="E3023">
        <v>0.55868859999999998</v>
      </c>
      <c r="F3023" t="s">
        <v>52</v>
      </c>
      <c r="G3023">
        <v>-221.4479</v>
      </c>
      <c r="H3023" s="1">
        <v>-6.6792509999999903E-7</v>
      </c>
      <c r="I3023">
        <v>212.3664</v>
      </c>
      <c r="J3023">
        <v>-239.61240000000001</v>
      </c>
      <c r="K3023">
        <v>1.106042</v>
      </c>
      <c r="L3023">
        <v>214.71780000000001</v>
      </c>
      <c r="M3023">
        <v>0.99968189999999901</v>
      </c>
      <c r="N3023">
        <v>0</v>
      </c>
      <c r="O3023">
        <v>2.0625770000000002E-2</v>
      </c>
      <c r="P3023">
        <v>0.99854889999999996</v>
      </c>
      <c r="Q3023">
        <v>4.7056260000000003E-2</v>
      </c>
      <c r="R3023">
        <v>2.6189649999999998E-2</v>
      </c>
      <c r="S3023">
        <v>3.023193</v>
      </c>
      <c r="T3023">
        <v>-0.17982000000000001</v>
      </c>
      <c r="U3023">
        <v>-0.38078309999999999</v>
      </c>
      <c r="V3023">
        <v>-5.7581150000000003E-3</v>
      </c>
      <c r="W3023">
        <v>6.1530149999999999E-2</v>
      </c>
      <c r="X3023">
        <v>0.99808859999999999</v>
      </c>
      <c r="Y3023">
        <v>0.14511769999999999</v>
      </c>
      <c r="Z3023">
        <v>-5.5164659999999898E-3</v>
      </c>
      <c r="AA3023">
        <v>0.98939900000000003</v>
      </c>
      <c r="AB3023">
        <v>44</v>
      </c>
      <c r="AC3023">
        <v>18.1645</v>
      </c>
      <c r="AD3023">
        <v>-1.1060426679251001</v>
      </c>
      <c r="AE3023">
        <v>-2.3514000000000101</v>
      </c>
      <c r="AF3023">
        <v>2.7156930929002199</v>
      </c>
      <c r="AG3023">
        <v>-1.1060426679251001</v>
      </c>
      <c r="AH3023">
        <v>18.0463240140894</v>
      </c>
      <c r="AI3023">
        <v>93.468265085055407</v>
      </c>
      <c r="AJ3023">
        <v>81.442084117939601</v>
      </c>
      <c r="AK3023">
        <v>18.283001115232601</v>
      </c>
    </row>
    <row r="3024" spans="1:37" x14ac:dyDescent="0.2">
      <c r="A3024" t="str">
        <f>"20200111153456484"</f>
        <v>20200111153456484</v>
      </c>
      <c r="B3024" t="str">
        <f>"1578728096478642"</f>
        <v>1578728096478642</v>
      </c>
      <c r="C3024" t="s">
        <v>37</v>
      </c>
      <c r="D3024">
        <v>5.0123899999999999</v>
      </c>
      <c r="E3024">
        <v>0.55763469999999904</v>
      </c>
      <c r="F3024" t="s">
        <v>52</v>
      </c>
      <c r="G3024">
        <v>-220.53749999999999</v>
      </c>
      <c r="H3024" s="1">
        <v>-1.1504479999999899E-6</v>
      </c>
      <c r="I3024">
        <v>212.3218</v>
      </c>
      <c r="J3024">
        <v>-239.16200000000001</v>
      </c>
      <c r="K3024">
        <v>1.1060319999999999</v>
      </c>
      <c r="L3024">
        <v>214.72799999999901</v>
      </c>
      <c r="M3024">
        <v>0.99966060000000001</v>
      </c>
      <c r="N3024">
        <v>0</v>
      </c>
      <c r="O3024">
        <v>2.1644130000000001E-2</v>
      </c>
      <c r="P3024">
        <v>0.99856780000000001</v>
      </c>
      <c r="Q3024">
        <v>4.6576399999999997E-2</v>
      </c>
      <c r="R3024">
        <v>2.6330240000000001E-2</v>
      </c>
      <c r="S3024">
        <v>3.0225979999999999</v>
      </c>
      <c r="T3024">
        <v>-0.17526320000000001</v>
      </c>
      <c r="U3024">
        <v>-0.37968439999999998</v>
      </c>
      <c r="V3024">
        <v>-4.8787459999999998E-3</v>
      </c>
      <c r="W3024">
        <v>6.1050399999999998E-2</v>
      </c>
      <c r="X3024">
        <v>0.99812279999999998</v>
      </c>
      <c r="Y3024">
        <v>0.1458071</v>
      </c>
      <c r="Z3024">
        <v>-5.4567729999999998E-3</v>
      </c>
      <c r="AA3024">
        <v>0.98929800000000001</v>
      </c>
      <c r="AB3024">
        <v>44</v>
      </c>
      <c r="AC3024">
        <v>18.624500000000001</v>
      </c>
      <c r="AD3024">
        <v>-1.1060331504479901</v>
      </c>
      <c r="AE3024">
        <v>-2.4061999999999801</v>
      </c>
      <c r="AF3024">
        <v>2.7990802588019701</v>
      </c>
      <c r="AG3024">
        <v>-1.1060331504479901</v>
      </c>
      <c r="AH3024">
        <v>18.503864496824001</v>
      </c>
      <c r="AI3024">
        <v>93.382287742047396</v>
      </c>
      <c r="AJ3024">
        <v>81.398081195118607</v>
      </c>
      <c r="AK3024">
        <v>18.747030723342</v>
      </c>
    </row>
    <row r="3025" spans="1:37" x14ac:dyDescent="0.2">
      <c r="A3025" t="str">
        <f>"20200111153456506"</f>
        <v>20200111153456506</v>
      </c>
      <c r="B3025" t="str">
        <f>"1578728096499139"</f>
        <v>1578728096499139</v>
      </c>
      <c r="C3025" t="s">
        <v>37</v>
      </c>
      <c r="D3025">
        <v>5.0212219999999999</v>
      </c>
      <c r="E3025">
        <v>0.55746249999999997</v>
      </c>
      <c r="F3025" t="s">
        <v>52</v>
      </c>
      <c r="G3025">
        <v>-219.44630000000001</v>
      </c>
      <c r="H3025" s="1">
        <v>3.59104499999999E-6</v>
      </c>
      <c r="I3025">
        <v>212.30599999999899</v>
      </c>
      <c r="J3025">
        <v>-238.71879999999999</v>
      </c>
      <c r="K3025">
        <v>1.1060270000000001</v>
      </c>
      <c r="L3025">
        <v>214.73849999999999</v>
      </c>
      <c r="M3025">
        <v>0.99963840000000004</v>
      </c>
      <c r="N3025">
        <v>0</v>
      </c>
      <c r="O3025">
        <v>2.2646510000000002E-2</v>
      </c>
      <c r="P3025">
        <v>0.99855759999999905</v>
      </c>
      <c r="Q3025">
        <v>4.6593839999999997E-2</v>
      </c>
      <c r="R3025">
        <v>2.6683209999999999E-2</v>
      </c>
      <c r="S3025">
        <v>3.02200299999999</v>
      </c>
      <c r="T3025">
        <v>-0.16953070000000001</v>
      </c>
      <c r="U3025">
        <v>-0.37124629999999997</v>
      </c>
      <c r="V3025">
        <v>-4.230508E-3</v>
      </c>
      <c r="W3025">
        <v>6.1066580000000002E-2</v>
      </c>
      <c r="X3025">
        <v>0.99812469999999998</v>
      </c>
      <c r="Y3025">
        <v>0.14412130000000001</v>
      </c>
      <c r="Z3025">
        <v>-5.2894389999999999E-3</v>
      </c>
      <c r="AA3025">
        <v>0.98954589999999998</v>
      </c>
      <c r="AB3025">
        <v>44</v>
      </c>
      <c r="AC3025">
        <v>19.272499999999901</v>
      </c>
      <c r="AD3025">
        <v>-1.1060234089550001</v>
      </c>
      <c r="AE3025">
        <v>-2.4325000000000001</v>
      </c>
      <c r="AF3025">
        <v>2.8591080553608399</v>
      </c>
      <c r="AG3025">
        <v>-1.1060234089550001</v>
      </c>
      <c r="AH3025">
        <v>19.150380776248401</v>
      </c>
      <c r="AI3025">
        <v>93.269270382188296</v>
      </c>
      <c r="AJ3025">
        <v>81.508591078156599</v>
      </c>
      <c r="AK3025">
        <v>19.394196826079</v>
      </c>
    </row>
    <row r="3026" spans="1:37" x14ac:dyDescent="0.2">
      <c r="A3026" t="str">
        <f>"20200111153456528"</f>
        <v>20200111153456528</v>
      </c>
      <c r="B3026" t="str">
        <f>"1578728096518659"</f>
        <v>1578728096518659</v>
      </c>
      <c r="C3026" t="s">
        <v>37</v>
      </c>
      <c r="D3026">
        <v>5.0577670000000001</v>
      </c>
      <c r="E3026">
        <v>0.5575483</v>
      </c>
      <c r="F3026" t="s">
        <v>52</v>
      </c>
      <c r="G3026">
        <v>-218.7</v>
      </c>
      <c r="H3026" s="1">
        <v>3.1943619999999899E-6</v>
      </c>
      <c r="I3026">
        <v>212.2955</v>
      </c>
      <c r="J3026">
        <v>-238.2955</v>
      </c>
      <c r="K3026">
        <v>1.1060289999999999</v>
      </c>
      <c r="L3026">
        <v>214.74889999999999</v>
      </c>
      <c r="M3026">
        <v>0.99961619999999995</v>
      </c>
      <c r="N3026">
        <v>0</v>
      </c>
      <c r="O3026">
        <v>2.3604E-2</v>
      </c>
      <c r="P3026">
        <v>0.99853069999999899</v>
      </c>
      <c r="Q3026">
        <v>4.6921879999999999E-2</v>
      </c>
      <c r="R3026">
        <v>2.7113689999999999E-2</v>
      </c>
      <c r="S3026">
        <v>3.0219879999999999</v>
      </c>
      <c r="T3026">
        <v>-0.16696250000000001</v>
      </c>
      <c r="U3026">
        <v>-0.3687897</v>
      </c>
      <c r="V3026">
        <v>-3.7049929999999902E-3</v>
      </c>
      <c r="W3026">
        <v>6.1393089999999997E-2</v>
      </c>
      <c r="X3026">
        <v>0.99810679999999996</v>
      </c>
      <c r="Y3026">
        <v>0.1442832</v>
      </c>
      <c r="Z3026">
        <v>-5.2668619999999998E-3</v>
      </c>
      <c r="AA3026">
        <v>0.98952240000000002</v>
      </c>
      <c r="AB3026">
        <v>44</v>
      </c>
      <c r="AC3026">
        <v>19.595500000000001</v>
      </c>
      <c r="AD3026">
        <v>-1.1060258056379999</v>
      </c>
      <c r="AE3026">
        <v>-2.4533999999999798</v>
      </c>
      <c r="AF3026">
        <v>2.9061815264286301</v>
      </c>
      <c r="AG3026">
        <v>-1.1060258056379999</v>
      </c>
      <c r="AH3026">
        <v>19.4710497320333</v>
      </c>
      <c r="AI3026">
        <v>93.215568900089593</v>
      </c>
      <c r="AJ3026">
        <v>81.510898663959907</v>
      </c>
      <c r="AK3026">
        <v>19.717782882834701</v>
      </c>
    </row>
    <row r="3027" spans="1:37" x14ac:dyDescent="0.2">
      <c r="A3027" t="str">
        <f>"20200111153456550"</f>
        <v>20200111153456550</v>
      </c>
      <c r="B3027" t="str">
        <f>"1578728096539155"</f>
        <v>1578728096539155</v>
      </c>
      <c r="C3027" t="s">
        <v>37</v>
      </c>
      <c r="D3027">
        <v>5.0690119999999999</v>
      </c>
      <c r="E3027">
        <v>0.55735259999999998</v>
      </c>
      <c r="F3027" t="s">
        <v>52</v>
      </c>
      <c r="G3027">
        <v>-217.74690000000001</v>
      </c>
      <c r="H3027" s="1">
        <v>2.6893799999999999E-6</v>
      </c>
      <c r="I3027">
        <v>212.24529999999999</v>
      </c>
      <c r="J3027">
        <v>-237.8732</v>
      </c>
      <c r="K3027">
        <v>1.1060239999999999</v>
      </c>
      <c r="L3027">
        <v>214.75960000000001</v>
      </c>
      <c r="M3027">
        <v>0.99959310000000001</v>
      </c>
      <c r="N3027">
        <v>0</v>
      </c>
      <c r="O3027">
        <v>2.4559770000000002E-2</v>
      </c>
      <c r="P3027">
        <v>0.99846950000000001</v>
      </c>
      <c r="Q3027">
        <v>4.7471720000000002E-2</v>
      </c>
      <c r="R3027">
        <v>2.8372689999999999E-2</v>
      </c>
      <c r="S3027">
        <v>3.0220340000000001</v>
      </c>
      <c r="T3027">
        <v>-0.16266059999999999</v>
      </c>
      <c r="U3027">
        <v>-0.36819459999999998</v>
      </c>
      <c r="V3027">
        <v>-4.0113579999999996E-3</v>
      </c>
      <c r="W3027">
        <v>6.1938970000000003E-2</v>
      </c>
      <c r="X3027">
        <v>0.99807179999999995</v>
      </c>
      <c r="Y3027">
        <v>0.145045799999999</v>
      </c>
      <c r="Z3027">
        <v>-5.20302099999999E-3</v>
      </c>
      <c r="AA3027">
        <v>0.98941119999999905</v>
      </c>
      <c r="AB3027">
        <v>44</v>
      </c>
      <c r="AC3027">
        <v>20.126299999999901</v>
      </c>
      <c r="AD3027">
        <v>-1.1060213106200001</v>
      </c>
      <c r="AE3027">
        <v>-2.51430000000002</v>
      </c>
      <c r="AF3027">
        <v>2.99897319204163</v>
      </c>
      <c r="AG3027">
        <v>-1.1060213106200001</v>
      </c>
      <c r="AH3027">
        <v>19.999002950891299</v>
      </c>
      <c r="AI3027">
        <v>93.130519774461604</v>
      </c>
      <c r="AJ3027">
        <v>81.471692364906204</v>
      </c>
      <c r="AK3027">
        <v>20.252832946921</v>
      </c>
    </row>
    <row r="3028" spans="1:37" x14ac:dyDescent="0.2">
      <c r="A3028" t="str">
        <f>"20200111153456573"</f>
        <v>20200111153456573</v>
      </c>
      <c r="B3028" t="str">
        <f>"1578728096569389"</f>
        <v>1578728096569389</v>
      </c>
      <c r="C3028" t="s">
        <v>37</v>
      </c>
      <c r="D3028">
        <v>5.0949689999999999</v>
      </c>
      <c r="E3028">
        <v>0.55697790000000003</v>
      </c>
      <c r="F3028" t="s">
        <v>52</v>
      </c>
      <c r="G3028">
        <v>-217.30279999999999</v>
      </c>
      <c r="H3028" s="1">
        <v>2.451018E-6</v>
      </c>
      <c r="I3028">
        <v>212.29130000000001</v>
      </c>
      <c r="J3028">
        <v>-237.43450000000001</v>
      </c>
      <c r="K3028">
        <v>1.1060209999999999</v>
      </c>
      <c r="L3028">
        <v>214.77119999999999</v>
      </c>
      <c r="M3028">
        <v>0.99956849999999997</v>
      </c>
      <c r="N3028">
        <v>0</v>
      </c>
      <c r="O3028">
        <v>2.5552490000000001E-2</v>
      </c>
      <c r="P3028">
        <v>0.99842469999999905</v>
      </c>
      <c r="Q3028">
        <v>4.7523749999999997E-2</v>
      </c>
      <c r="R3028">
        <v>2.9832890000000001E-2</v>
      </c>
      <c r="S3028">
        <v>3.0226289999999998</v>
      </c>
      <c r="T3028">
        <v>-0.16251949999999901</v>
      </c>
      <c r="U3028">
        <v>-0.36270140000000001</v>
      </c>
      <c r="V3028">
        <v>-4.480599E-3</v>
      </c>
      <c r="W3028">
        <v>6.1987519999999997E-2</v>
      </c>
      <c r="X3028">
        <v>0.99806679999999903</v>
      </c>
      <c r="Y3028">
        <v>0.144233</v>
      </c>
      <c r="Z3028">
        <v>-5.2294749999999999E-3</v>
      </c>
      <c r="AA3028">
        <v>0.98952999999999902</v>
      </c>
      <c r="AB3028">
        <v>43</v>
      </c>
      <c r="AC3028">
        <v>20.131699999999999</v>
      </c>
      <c r="AD3028">
        <v>-1.106018548982</v>
      </c>
      <c r="AE3028">
        <v>-2.4798999999999798</v>
      </c>
      <c r="AF3028">
        <v>2.9846851033294399</v>
      </c>
      <c r="AG3028">
        <v>-1.106018548982</v>
      </c>
      <c r="AH3028">
        <v>20.002280312503501</v>
      </c>
      <c r="AI3028">
        <v>93.130337788900206</v>
      </c>
      <c r="AJ3028">
        <v>81.513101253244997</v>
      </c>
      <c r="AK3028">
        <v>20.2539586228642</v>
      </c>
    </row>
    <row r="3029" spans="1:37" x14ac:dyDescent="0.2">
      <c r="A3029" t="str">
        <f>"20200111153456595"</f>
        <v>20200111153456595</v>
      </c>
      <c r="B3029" t="str">
        <f>"1578728096588911"</f>
        <v>1578728096588911</v>
      </c>
      <c r="C3029" t="s">
        <v>37</v>
      </c>
      <c r="D3029">
        <v>5.06935</v>
      </c>
      <c r="E3029">
        <v>0.55711769999999905</v>
      </c>
      <c r="F3029" t="s">
        <v>52</v>
      </c>
      <c r="G3029">
        <v>-216.2295</v>
      </c>
      <c r="H3029" s="1">
        <v>1.8804429999999999E-6</v>
      </c>
      <c r="I3029">
        <v>212.27780000000001</v>
      </c>
      <c r="J3029">
        <v>-236.999</v>
      </c>
      <c r="K3029">
        <v>1.106012</v>
      </c>
      <c r="L3029">
        <v>214.78319999999999</v>
      </c>
      <c r="M3029">
        <v>0.99954279999999995</v>
      </c>
      <c r="N3029">
        <v>0</v>
      </c>
      <c r="O3029">
        <v>2.6539009999999998E-2</v>
      </c>
      <c r="P3029">
        <v>0.99839979999999995</v>
      </c>
      <c r="Q3029">
        <v>4.6960790000000002E-2</v>
      </c>
      <c r="R3029">
        <v>3.150845E-2</v>
      </c>
      <c r="S3029">
        <v>3.0228579999999998</v>
      </c>
      <c r="T3029">
        <v>-0.15766720000000001</v>
      </c>
      <c r="U3029">
        <v>-0.35545349999999998</v>
      </c>
      <c r="V3029">
        <v>-5.1680010000000002E-3</v>
      </c>
      <c r="W3029">
        <v>6.1420210000000003E-2</v>
      </c>
      <c r="X3029">
        <v>0.99809859999999995</v>
      </c>
      <c r="Y3029">
        <v>0.14287559999999999</v>
      </c>
      <c r="Z3029">
        <v>-5.0898979999999998E-3</v>
      </c>
      <c r="AA3029">
        <v>0.98972759999999904</v>
      </c>
      <c r="AB3029">
        <v>43</v>
      </c>
      <c r="AC3029">
        <v>20.769500000000001</v>
      </c>
      <c r="AD3029">
        <v>-1.106010119557</v>
      </c>
      <c r="AE3029">
        <v>-2.5053999999999799</v>
      </c>
      <c r="AF3029">
        <v>3.04725988386223</v>
      </c>
      <c r="AG3029">
        <v>-1.106010119557</v>
      </c>
      <c r="AH3029">
        <v>20.638000605980899</v>
      </c>
      <c r="AI3029">
        <v>93.034760862671803</v>
      </c>
      <c r="AJ3029">
        <v>81.600801242708997</v>
      </c>
      <c r="AK3029">
        <v>20.891053592311401</v>
      </c>
    </row>
    <row r="3030" spans="1:37" x14ac:dyDescent="0.2">
      <c r="A3030" t="str">
        <f>"20200111153456618"</f>
        <v>20200111153456618</v>
      </c>
      <c r="B3030" t="str">
        <f>"1578728096609404"</f>
        <v>1578728096609404</v>
      </c>
      <c r="C3030" t="s">
        <v>37</v>
      </c>
      <c r="D3030">
        <v>5.0739140000000003</v>
      </c>
      <c r="E3030">
        <v>0.55732879999999996</v>
      </c>
      <c r="F3030" t="s">
        <v>52</v>
      </c>
      <c r="G3030">
        <v>-215.77119999999999</v>
      </c>
      <c r="H3030" s="1">
        <v>1.63497E-6</v>
      </c>
      <c r="I3030">
        <v>212.3151</v>
      </c>
      <c r="J3030">
        <v>-236.57230000000001</v>
      </c>
      <c r="K3030">
        <v>1.105998</v>
      </c>
      <c r="L3030">
        <v>214.7953</v>
      </c>
      <c r="M3030">
        <v>0.99951669999999904</v>
      </c>
      <c r="N3030">
        <v>0</v>
      </c>
      <c r="O3030">
        <v>2.75058E-2</v>
      </c>
      <c r="P3030">
        <v>0.99839409999999895</v>
      </c>
      <c r="Q3030">
        <v>4.5882079999999999E-2</v>
      </c>
      <c r="R3030">
        <v>3.3233939999999997E-2</v>
      </c>
      <c r="S3030">
        <v>3.0233150000000002</v>
      </c>
      <c r="T3030">
        <v>-0.1575212</v>
      </c>
      <c r="U3030">
        <v>-0.35151670000000002</v>
      </c>
      <c r="V3030">
        <v>-5.9236940000000002E-3</v>
      </c>
      <c r="W3030">
        <v>6.0337420000000003E-2</v>
      </c>
      <c r="X3030">
        <v>0.99816050000000001</v>
      </c>
      <c r="Y3030">
        <v>0.1425438</v>
      </c>
      <c r="Z3030">
        <v>-5.1263960000000001E-3</v>
      </c>
      <c r="AA3030">
        <v>0.98977519999999997</v>
      </c>
      <c r="AB3030">
        <v>43</v>
      </c>
      <c r="AC3030">
        <v>20.801100000000002</v>
      </c>
      <c r="AD3030">
        <v>-1.10599636503</v>
      </c>
      <c r="AE3030">
        <v>-2.4801999999999902</v>
      </c>
      <c r="AF3030">
        <v>3.0429902049984299</v>
      </c>
      <c r="AG3030">
        <v>-1.10599636503</v>
      </c>
      <c r="AH3030">
        <v>20.667392168497599</v>
      </c>
      <c r="AI3030">
        <v>93.030597331161204</v>
      </c>
      <c r="AJ3030">
        <v>81.624161135807995</v>
      </c>
      <c r="AK3030">
        <v>20.9194674022465</v>
      </c>
    </row>
    <row r="3031" spans="1:37" x14ac:dyDescent="0.2">
      <c r="A3031" t="str">
        <f>"20200111153456640"</f>
        <v>20200111153456640</v>
      </c>
      <c r="B3031" t="str">
        <f>"1578728096628924"</f>
        <v>1578728096628924</v>
      </c>
      <c r="C3031" t="s">
        <v>37</v>
      </c>
      <c r="D3031">
        <v>5.0435460000000001</v>
      </c>
      <c r="E3031">
        <v>0.55762309999999904</v>
      </c>
      <c r="F3031" t="s">
        <v>52</v>
      </c>
      <c r="G3031">
        <v>-215.54140000000001</v>
      </c>
      <c r="H3031" s="1">
        <v>1.509993E-6</v>
      </c>
      <c r="I3031">
        <v>212.37569999999999</v>
      </c>
      <c r="J3031">
        <v>-236.1439</v>
      </c>
      <c r="K3031">
        <v>1.1059909999999999</v>
      </c>
      <c r="L3031">
        <v>214.80799999999999</v>
      </c>
      <c r="M3031">
        <v>0.99948950000000003</v>
      </c>
      <c r="N3031">
        <v>0</v>
      </c>
      <c r="O3031">
        <v>2.8476520000000002E-2</v>
      </c>
      <c r="P3031">
        <v>0.99840869999999904</v>
      </c>
      <c r="Q3031">
        <v>4.4452289999999998E-2</v>
      </c>
      <c r="R3031">
        <v>3.4703110000000002E-2</v>
      </c>
      <c r="S3031">
        <v>3.023682</v>
      </c>
      <c r="T3031">
        <v>-0.1590126</v>
      </c>
      <c r="U3031">
        <v>-0.347885099999999</v>
      </c>
      <c r="V3031">
        <v>-6.4178129999999996E-3</v>
      </c>
      <c r="W3031">
        <v>5.8904690000000003E-2</v>
      </c>
      <c r="X3031">
        <v>0.99824299999999999</v>
      </c>
      <c r="Y3031">
        <v>0.14231289999999999</v>
      </c>
      <c r="Z3031">
        <v>-5.2194210000000001E-3</v>
      </c>
      <c r="AA3031">
        <v>0.98980800000000002</v>
      </c>
      <c r="AB3031">
        <v>43</v>
      </c>
      <c r="AC3031">
        <v>20.6024999999999</v>
      </c>
      <c r="AD3031">
        <v>-1.105989490007</v>
      </c>
      <c r="AE3031">
        <v>-2.4322999999999899</v>
      </c>
      <c r="AF3031">
        <v>3.00950891511477</v>
      </c>
      <c r="AG3031">
        <v>-1.105989490007</v>
      </c>
      <c r="AH3031">
        <v>20.466702482231199</v>
      </c>
      <c r="AI3031">
        <v>93.060323687659405</v>
      </c>
      <c r="AJ3031">
        <v>81.634936687824506</v>
      </c>
      <c r="AK3031">
        <v>20.716328515408598</v>
      </c>
    </row>
    <row r="3032" spans="1:37" x14ac:dyDescent="0.2">
      <c r="A3032" t="str">
        <f>"20200111153456662"</f>
        <v>20200111153456662</v>
      </c>
      <c r="B3032" t="str">
        <f>"1578728096659180"</f>
        <v>1578728096659180</v>
      </c>
      <c r="C3032" t="s">
        <v>37</v>
      </c>
      <c r="D3032">
        <v>5.0369919999999997</v>
      </c>
      <c r="E3032">
        <v>0.55798769999999998</v>
      </c>
      <c r="F3032" t="s">
        <v>52</v>
      </c>
      <c r="G3032">
        <v>-215.5147</v>
      </c>
      <c r="H3032" s="1">
        <v>1.4926529999999899E-6</v>
      </c>
      <c r="I3032">
        <v>212.4478</v>
      </c>
      <c r="J3032">
        <v>-235.7131</v>
      </c>
      <c r="K3032">
        <v>1.1059809999999901</v>
      </c>
      <c r="L3032">
        <v>214.8211</v>
      </c>
      <c r="M3032">
        <v>0.9994613</v>
      </c>
      <c r="N3032">
        <v>0</v>
      </c>
      <c r="O3032">
        <v>2.9453150000000001E-2</v>
      </c>
      <c r="P3032">
        <v>0.99839880000000003</v>
      </c>
      <c r="Q3032">
        <v>4.3854740000000003E-2</v>
      </c>
      <c r="R3032">
        <v>3.5728759999999998E-2</v>
      </c>
      <c r="S3032">
        <v>3.0240330000000002</v>
      </c>
      <c r="T3032">
        <v>-0.16212670000000001</v>
      </c>
      <c r="U3032">
        <v>-0.3459778</v>
      </c>
      <c r="V3032">
        <v>-6.4651659999999996E-3</v>
      </c>
      <c r="W3032">
        <v>5.8304439999999999E-2</v>
      </c>
      <c r="X3032">
        <v>0.99827790000000005</v>
      </c>
      <c r="Y3032">
        <v>0.14263979999999901</v>
      </c>
      <c r="Z3032">
        <v>-5.3819829999999999E-3</v>
      </c>
      <c r="AA3032">
        <v>0.98975999999999997</v>
      </c>
      <c r="AB3032">
        <v>43</v>
      </c>
      <c r="AC3032">
        <v>20.1983999999999</v>
      </c>
      <c r="AD3032">
        <v>-1.10597950734699</v>
      </c>
      <c r="AE3032">
        <v>-2.3733</v>
      </c>
      <c r="AF3032">
        <v>2.9584896817888899</v>
      </c>
      <c r="AG3032">
        <v>-1.10597950734699</v>
      </c>
      <c r="AH3032">
        <v>20.0604008571711</v>
      </c>
      <c r="AI3032">
        <v>93.121962341120195</v>
      </c>
      <c r="AJ3032">
        <v>81.610545483601697</v>
      </c>
      <c r="AK3032">
        <v>20.307524083903299</v>
      </c>
    </row>
    <row r="3033" spans="1:37" x14ac:dyDescent="0.2">
      <c r="A3033" t="str">
        <f>"20200111153456685"</f>
        <v>20200111153456685</v>
      </c>
      <c r="B3033" t="str">
        <f>"1578728096678700"</f>
        <v>1578728096678700</v>
      </c>
      <c r="C3033" t="s">
        <v>37</v>
      </c>
      <c r="D3033">
        <v>5.0466989999999896</v>
      </c>
      <c r="E3033">
        <v>0.55828769999999905</v>
      </c>
      <c r="F3033" t="s">
        <v>52</v>
      </c>
      <c r="G3033">
        <v>-215.0573</v>
      </c>
      <c r="H3033" s="1">
        <v>1.2487579999999999E-6</v>
      </c>
      <c r="I3033">
        <v>212.45930000000001</v>
      </c>
      <c r="J3033">
        <v>-235.26130000000001</v>
      </c>
      <c r="K3033">
        <v>1.105972</v>
      </c>
      <c r="L3033">
        <v>214.83529999999999</v>
      </c>
      <c r="M3033">
        <v>0.9994305</v>
      </c>
      <c r="N3033">
        <v>0</v>
      </c>
      <c r="O3033">
        <v>3.0477520000000001E-2</v>
      </c>
      <c r="P3033">
        <v>0.99835799999999997</v>
      </c>
      <c r="Q3033">
        <v>4.344191E-2</v>
      </c>
      <c r="R3033">
        <v>3.734051E-2</v>
      </c>
      <c r="S3033">
        <v>3.0242770000000001</v>
      </c>
      <c r="T3033">
        <v>-0.16192999999999999</v>
      </c>
      <c r="U3033">
        <v>-0.34579470000000001</v>
      </c>
      <c r="V3033">
        <v>-7.0517869999999899E-3</v>
      </c>
      <c r="W3033">
        <v>5.7887899999999999E-2</v>
      </c>
      <c r="X3033">
        <v>0.99829820000000002</v>
      </c>
      <c r="Y3033">
        <v>0.14358379999999901</v>
      </c>
      <c r="Z3033">
        <v>-5.4548879999999998E-3</v>
      </c>
      <c r="AA3033">
        <v>0.98962309999999998</v>
      </c>
      <c r="AB3033">
        <v>43</v>
      </c>
      <c r="AC3033">
        <v>20.204000000000001</v>
      </c>
      <c r="AD3033">
        <v>-1.1059707512420001</v>
      </c>
      <c r="AE3033">
        <v>-2.3759999999999701</v>
      </c>
      <c r="AF3033">
        <v>2.98191503556599</v>
      </c>
      <c r="AG3033">
        <v>-1.1059707512420001</v>
      </c>
      <c r="AH3033">
        <v>20.0628919947466</v>
      </c>
      <c r="AI3033">
        <v>93.121032114091904</v>
      </c>
      <c r="AJ3033">
        <v>81.546108806846703</v>
      </c>
      <c r="AK3033">
        <v>20.313409949459601</v>
      </c>
    </row>
    <row r="3034" spans="1:37" x14ac:dyDescent="0.2">
      <c r="A3034" t="str">
        <f>"20200111153456707"</f>
        <v>20200111153456707</v>
      </c>
      <c r="B3034" t="str">
        <f>"1578728096699199"</f>
        <v>1578728096699199</v>
      </c>
      <c r="C3034" t="s">
        <v>37</v>
      </c>
      <c r="D3034">
        <v>5.0159409999999998</v>
      </c>
      <c r="E3034">
        <v>0.55869709999999995</v>
      </c>
      <c r="F3034" t="s">
        <v>52</v>
      </c>
      <c r="G3034">
        <v>-214.66200000000001</v>
      </c>
      <c r="H3034" s="1">
        <v>1.036686E-6</v>
      </c>
      <c r="I3034">
        <v>212.4975</v>
      </c>
      <c r="J3034">
        <v>-234.8468</v>
      </c>
      <c r="K3034">
        <v>1.1059639999999999</v>
      </c>
      <c r="L3034">
        <v>214.84870000000001</v>
      </c>
      <c r="M3034">
        <v>0.99940149999999905</v>
      </c>
      <c r="N3034">
        <v>0</v>
      </c>
      <c r="O3034">
        <v>3.1417430000000003E-2</v>
      </c>
      <c r="P3034">
        <v>0.99833369999999999</v>
      </c>
      <c r="Q3034">
        <v>4.3018510000000003E-2</v>
      </c>
      <c r="R3034">
        <v>3.8462540000000003E-2</v>
      </c>
      <c r="S3034">
        <v>3.0248409999999999</v>
      </c>
      <c r="T3034">
        <v>-0.16240270000000001</v>
      </c>
      <c r="U3034">
        <v>-0.34329219999999999</v>
      </c>
      <c r="V3034">
        <v>-7.233331E-3</v>
      </c>
      <c r="W3034">
        <v>5.746184E-2</v>
      </c>
      <c r="X3034">
        <v>0.99832149999999997</v>
      </c>
      <c r="Y3034">
        <v>0.14368249999999999</v>
      </c>
      <c r="Z3034">
        <v>-5.522964E-3</v>
      </c>
      <c r="AA3034">
        <v>0.98960840000000005</v>
      </c>
      <c r="AB3034">
        <v>43</v>
      </c>
      <c r="AC3034">
        <v>20.184799999999999</v>
      </c>
      <c r="AD3034">
        <v>-1.105962963314</v>
      </c>
      <c r="AE3034">
        <v>-2.3512</v>
      </c>
      <c r="AF3034">
        <v>2.9754469404716701</v>
      </c>
      <c r="AG3034">
        <v>-1.105962963314</v>
      </c>
      <c r="AH3034">
        <v>20.0415948932859</v>
      </c>
      <c r="AI3034">
        <v>93.124394822425003</v>
      </c>
      <c r="AJ3034">
        <v>81.555346978662001</v>
      </c>
      <c r="AK3034">
        <v>20.291425884800901</v>
      </c>
    </row>
    <row r="3035" spans="1:37" x14ac:dyDescent="0.2">
      <c r="A3035" t="str">
        <f>"20200111153456729"</f>
        <v>20200111153456729</v>
      </c>
      <c r="B3035" t="str">
        <f>"1578728096718716"</f>
        <v>1578728096718716</v>
      </c>
      <c r="C3035" t="s">
        <v>37</v>
      </c>
      <c r="D3035">
        <v>5.0579010000000002</v>
      </c>
      <c r="E3035">
        <v>0.55898950000000003</v>
      </c>
      <c r="F3035" t="s">
        <v>52</v>
      </c>
      <c r="G3035">
        <v>-214.18979999999999</v>
      </c>
      <c r="H3035" s="1">
        <v>7.8510439999999998E-7</v>
      </c>
      <c r="I3035">
        <v>212.50550000000001</v>
      </c>
      <c r="J3035">
        <v>-234.42</v>
      </c>
      <c r="K3035">
        <v>1.1059559999999999</v>
      </c>
      <c r="L3035">
        <v>214.863</v>
      </c>
      <c r="M3035">
        <v>0.9993706</v>
      </c>
      <c r="N3035">
        <v>0</v>
      </c>
      <c r="O3035">
        <v>3.2385770000000001E-2</v>
      </c>
      <c r="P3035">
        <v>0.99830099999999999</v>
      </c>
      <c r="Q3035">
        <v>4.2984269999999998E-2</v>
      </c>
      <c r="R3035">
        <v>3.9336349999999999E-2</v>
      </c>
      <c r="S3035">
        <v>3.025223</v>
      </c>
      <c r="T3035">
        <v>-0.16196869999999999</v>
      </c>
      <c r="U3035">
        <v>-0.34317019999999998</v>
      </c>
      <c r="V3035">
        <v>-7.1390910000000002E-3</v>
      </c>
      <c r="W3035">
        <v>5.7425199999999899E-2</v>
      </c>
      <c r="X3035">
        <v>0.99832430000000005</v>
      </c>
      <c r="Y3035">
        <v>0.14458660000000001</v>
      </c>
      <c r="Z3035">
        <v>-5.5833300000000001E-3</v>
      </c>
      <c r="AA3035">
        <v>0.98947640000000003</v>
      </c>
      <c r="AB3035">
        <v>43</v>
      </c>
      <c r="AC3035">
        <v>20.2302</v>
      </c>
      <c r="AD3035">
        <v>-1.1059552148956</v>
      </c>
      <c r="AE3035">
        <v>-2.3574999999999799</v>
      </c>
      <c r="AF3035">
        <v>3.00264873797332</v>
      </c>
      <c r="AG3035">
        <v>-1.1059552148956</v>
      </c>
      <c r="AH3035">
        <v>20.0840086196743</v>
      </c>
      <c r="AI3035">
        <v>93.117315888225093</v>
      </c>
      <c r="AJ3035">
        <v>81.497004336398604</v>
      </c>
      <c r="AK3035">
        <v>20.337316406452398</v>
      </c>
    </row>
    <row r="3036" spans="1:37" x14ac:dyDescent="0.2">
      <c r="A3036" t="str">
        <f>"20200111153456751"</f>
        <v>20200111153456751</v>
      </c>
      <c r="B3036" t="str">
        <f>"1578728096739212"</f>
        <v>1578728096739212</v>
      </c>
      <c r="C3036" t="s">
        <v>37</v>
      </c>
      <c r="D3036">
        <v>5.0253589999999999</v>
      </c>
      <c r="E3036">
        <v>0.55936900000000001</v>
      </c>
      <c r="F3036" t="s">
        <v>52</v>
      </c>
      <c r="G3036">
        <v>-213.7482</v>
      </c>
      <c r="H3036" s="1">
        <v>5.4931409999999998E-7</v>
      </c>
      <c r="I3036">
        <v>212.52289999999999</v>
      </c>
      <c r="J3036">
        <v>-233.9915</v>
      </c>
      <c r="K3036">
        <v>1.105944</v>
      </c>
      <c r="L3036">
        <v>214.8777</v>
      </c>
      <c r="M3036">
        <v>0.99933869999999903</v>
      </c>
      <c r="N3036">
        <v>0</v>
      </c>
      <c r="O3036">
        <v>3.3358220000000001E-2</v>
      </c>
      <c r="P3036">
        <v>0.99828839999999996</v>
      </c>
      <c r="Q3036">
        <v>4.2595729999999998E-2</v>
      </c>
      <c r="R3036">
        <v>4.0079049999999998E-2</v>
      </c>
      <c r="S3036">
        <v>3.0255890000000001</v>
      </c>
      <c r="T3036">
        <v>-0.1618706</v>
      </c>
      <c r="U3036">
        <v>-0.34249879999999999</v>
      </c>
      <c r="V3036">
        <v>-6.9088429999999996E-3</v>
      </c>
      <c r="W3036">
        <v>5.703482E-2</v>
      </c>
      <c r="X3036">
        <v>0.99834829999999997</v>
      </c>
      <c r="Y3036">
        <v>0.1453171</v>
      </c>
      <c r="Z3036">
        <v>-5.6506719999999998E-3</v>
      </c>
      <c r="AA3036">
        <v>0.98936900000000005</v>
      </c>
      <c r="AB3036">
        <v>43</v>
      </c>
      <c r="AC3036">
        <v>20.243300000000001</v>
      </c>
      <c r="AD3036">
        <v>-1.1059434506858901</v>
      </c>
      <c r="AE3036">
        <v>-2.3548000000000102</v>
      </c>
      <c r="AF3036">
        <v>3.0199470013068899</v>
      </c>
      <c r="AG3036">
        <v>-1.1059434506858901</v>
      </c>
      <c r="AH3036">
        <v>20.094296196640801</v>
      </c>
      <c r="AI3036">
        <v>93.115332476531293</v>
      </c>
      <c r="AJ3036">
        <v>81.453054013242607</v>
      </c>
      <c r="AK3036">
        <v>20.350035146042099</v>
      </c>
    </row>
    <row r="3037" spans="1:37" x14ac:dyDescent="0.2">
      <c r="A3037" t="str">
        <f>"20200111153456774"</f>
        <v>20200111153456774</v>
      </c>
      <c r="B3037" t="str">
        <f>"1578728096769468"</f>
        <v>1578728096769468</v>
      </c>
      <c r="C3037" t="s">
        <v>37</v>
      </c>
      <c r="D3037">
        <v>5.1264769999999897</v>
      </c>
      <c r="E3037">
        <v>0.55985560000000001</v>
      </c>
      <c r="F3037" t="s">
        <v>52</v>
      </c>
      <c r="G3037">
        <v>-213.36070000000001</v>
      </c>
      <c r="H3037" s="1">
        <v>3.4241779999999998E-7</v>
      </c>
      <c r="I3037">
        <v>212.5384</v>
      </c>
      <c r="J3037">
        <v>-233.5521</v>
      </c>
      <c r="K3037">
        <v>1.1059379999999901</v>
      </c>
      <c r="L3037">
        <v>214.89320000000001</v>
      </c>
      <c r="M3037">
        <v>0.999304999999999</v>
      </c>
      <c r="N3037">
        <v>0</v>
      </c>
      <c r="O3037">
        <v>3.4355699999999899E-2</v>
      </c>
      <c r="P3037">
        <v>0.99828649999999997</v>
      </c>
      <c r="Q3037">
        <v>4.2471009999999997E-2</v>
      </c>
      <c r="R3037">
        <v>4.0255369999999999E-2</v>
      </c>
      <c r="S3037">
        <v>3.025833</v>
      </c>
      <c r="T3037">
        <v>-0.16220370000000001</v>
      </c>
      <c r="U3037">
        <v>-0.34309390000000001</v>
      </c>
      <c r="V3037">
        <v>-6.0872230000000001E-3</v>
      </c>
      <c r="W3037">
        <v>5.6909609999999999E-2</v>
      </c>
      <c r="X3037">
        <v>0.99836080000000005</v>
      </c>
      <c r="Y3037">
        <v>0.14648369999999999</v>
      </c>
      <c r="Z3037">
        <v>-5.7462110000000002E-3</v>
      </c>
      <c r="AA3037">
        <v>0.98919639999999998</v>
      </c>
      <c r="AB3037">
        <v>43</v>
      </c>
      <c r="AC3037">
        <v>20.191399999999899</v>
      </c>
      <c r="AD3037">
        <v>-1.1059376575822</v>
      </c>
      <c r="AE3037">
        <v>-2.3548000000000102</v>
      </c>
      <c r="AF3037">
        <v>3.0381794678493499</v>
      </c>
      <c r="AG3037">
        <v>-1.1059376575822</v>
      </c>
      <c r="AH3037">
        <v>20.0392565722046</v>
      </c>
      <c r="AI3037">
        <v>93.123247248641306</v>
      </c>
      <c r="AJ3037">
        <v>81.378961789647903</v>
      </c>
      <c r="AK3037">
        <v>20.298409704899701</v>
      </c>
    </row>
    <row r="3038" spans="1:37" x14ac:dyDescent="0.2">
      <c r="A3038" t="str">
        <f>"20200111153456796"</f>
        <v>20200111153456796</v>
      </c>
      <c r="B3038" t="str">
        <f>"1578728096788992"</f>
        <v>1578728096788992</v>
      </c>
      <c r="C3038" t="s">
        <v>37</v>
      </c>
      <c r="D3038">
        <v>5.0291870000000003</v>
      </c>
      <c r="E3038">
        <v>0.5601488</v>
      </c>
      <c r="F3038" t="s">
        <v>52</v>
      </c>
      <c r="G3038">
        <v>-212.81569999999999</v>
      </c>
      <c r="H3038" s="1">
        <v>5.326942E-8</v>
      </c>
      <c r="I3038">
        <v>212.5188</v>
      </c>
      <c r="J3038">
        <v>-233.1163</v>
      </c>
      <c r="K3038">
        <v>1.105934</v>
      </c>
      <c r="L3038">
        <v>214.90899999999999</v>
      </c>
      <c r="M3038">
        <v>0.9992704</v>
      </c>
      <c r="N3038">
        <v>0</v>
      </c>
      <c r="O3038">
        <v>3.5345380000000003E-2</v>
      </c>
      <c r="P3038">
        <v>0.99826510000000002</v>
      </c>
      <c r="Q3038">
        <v>4.2784160000000002E-2</v>
      </c>
      <c r="R3038">
        <v>4.0450630000000001E-2</v>
      </c>
      <c r="S3038">
        <v>3.02597</v>
      </c>
      <c r="T3038">
        <v>-0.16138469999999999</v>
      </c>
      <c r="U3038">
        <v>-0.34648129999999999</v>
      </c>
      <c r="V3038">
        <v>-5.2940169999999998E-3</v>
      </c>
      <c r="W3038">
        <v>5.7222389999999998E-2</v>
      </c>
      <c r="X3038">
        <v>0.9983474</v>
      </c>
      <c r="Y3038">
        <v>0.1485495</v>
      </c>
      <c r="Z3038">
        <v>-5.8241079999999997E-3</v>
      </c>
      <c r="AA3038">
        <v>0.98888779999999998</v>
      </c>
      <c r="AB3038">
        <v>43</v>
      </c>
      <c r="AC3038">
        <v>20.300599999999999</v>
      </c>
      <c r="AD3038">
        <v>-1.10593394673058</v>
      </c>
      <c r="AE3038">
        <v>-2.3902000000000201</v>
      </c>
      <c r="AF3038">
        <v>3.0972472844377799</v>
      </c>
      <c r="AG3038">
        <v>-1.10593394673058</v>
      </c>
      <c r="AH3038">
        <v>20.144453207046801</v>
      </c>
      <c r="AI3038">
        <v>93.105968770488602</v>
      </c>
      <c r="AJ3038">
        <v>81.259115159541594</v>
      </c>
      <c r="AK3038">
        <v>20.411149542502098</v>
      </c>
    </row>
    <row r="3039" spans="1:37" x14ac:dyDescent="0.2">
      <c r="A3039" t="str">
        <f>"20200111153456819"</f>
        <v>20200111153456819</v>
      </c>
      <c r="B3039" t="str">
        <f>"1578728096809485"</f>
        <v>1578728096809485</v>
      </c>
      <c r="C3039" t="s">
        <v>37</v>
      </c>
      <c r="D3039">
        <v>5.1124839999999896</v>
      </c>
      <c r="E3039">
        <v>0.56037150000000002</v>
      </c>
      <c r="F3039" t="s">
        <v>52</v>
      </c>
      <c r="G3039">
        <v>-212.2432</v>
      </c>
      <c r="H3039" s="1">
        <v>-2.5078479999999902E-7</v>
      </c>
      <c r="I3039">
        <v>212.50550000000001</v>
      </c>
      <c r="J3039">
        <v>-232.69569999999999</v>
      </c>
      <c r="K3039">
        <v>1.105931</v>
      </c>
      <c r="L3039">
        <v>214.9247</v>
      </c>
      <c r="M3039">
        <v>0.99923629999999997</v>
      </c>
      <c r="N3039">
        <v>0</v>
      </c>
      <c r="O3039">
        <v>3.630067E-2</v>
      </c>
      <c r="P3039">
        <v>0.99825339999999996</v>
      </c>
      <c r="Q3039">
        <v>4.3326400000000001E-2</v>
      </c>
      <c r="R3039">
        <v>4.0165329999999999E-2</v>
      </c>
      <c r="S3039">
        <v>3.0261990000000001</v>
      </c>
      <c r="T3039">
        <v>-0.1603395</v>
      </c>
      <c r="U3039">
        <v>-0.34846500000000002</v>
      </c>
      <c r="V3039">
        <v>-4.0556840000000004E-3</v>
      </c>
      <c r="W3039">
        <v>5.7765560000000001E-2</v>
      </c>
      <c r="X3039">
        <v>0.99832199999999904</v>
      </c>
      <c r="Y3039">
        <v>0.15012590000000001</v>
      </c>
      <c r="Z3039">
        <v>-5.877836E-3</v>
      </c>
      <c r="AA3039">
        <v>0.98864940000000001</v>
      </c>
      <c r="AB3039">
        <v>43</v>
      </c>
      <c r="AC3039">
        <v>20.452499999999901</v>
      </c>
      <c r="AD3039">
        <v>-1.1059312507848</v>
      </c>
      <c r="AE3039">
        <v>-2.41919999999998</v>
      </c>
      <c r="AF3039">
        <v>3.1510360749675699</v>
      </c>
      <c r="AG3039">
        <v>-1.1059312507848</v>
      </c>
      <c r="AH3039">
        <v>20.292674261022</v>
      </c>
      <c r="AI3039">
        <v>93.082609326179195</v>
      </c>
      <c r="AJ3039">
        <v>81.173629875538097</v>
      </c>
      <c r="AK3039">
        <v>20.565620363634899</v>
      </c>
    </row>
    <row r="3040" spans="1:37" x14ac:dyDescent="0.2">
      <c r="A3040" t="str">
        <f>"20200111153456841"</f>
        <v>20200111153456841</v>
      </c>
      <c r="B3040" t="str">
        <f>"1578728096838764"</f>
        <v>1578728096838764</v>
      </c>
      <c r="C3040" t="s">
        <v>37</v>
      </c>
      <c r="D3040">
        <v>5.1478140000000003</v>
      </c>
      <c r="E3040">
        <v>0.56079259999999997</v>
      </c>
      <c r="F3040" t="s">
        <v>52</v>
      </c>
      <c r="G3040">
        <v>-211.62270000000001</v>
      </c>
      <c r="H3040" s="1">
        <v>-5.7990699999999897E-7</v>
      </c>
      <c r="I3040">
        <v>212.48099999999999</v>
      </c>
      <c r="J3040">
        <v>-232.2672</v>
      </c>
      <c r="K3040">
        <v>1.105931</v>
      </c>
      <c r="L3040">
        <v>214.94110000000001</v>
      </c>
      <c r="M3040">
        <v>0.99920030000000004</v>
      </c>
      <c r="N3040">
        <v>0</v>
      </c>
      <c r="O3040">
        <v>3.7272600000000003E-2</v>
      </c>
      <c r="P3040">
        <v>0.9982105</v>
      </c>
      <c r="Q3040">
        <v>4.4298789999999998E-2</v>
      </c>
      <c r="R3040">
        <v>4.0170169999999998E-2</v>
      </c>
      <c r="S3040">
        <v>3.02625999999999</v>
      </c>
      <c r="T3040">
        <v>-0.15882109999999999</v>
      </c>
      <c r="U3040">
        <v>-0.3509369</v>
      </c>
      <c r="V3040">
        <v>-3.0924820000000001E-3</v>
      </c>
      <c r="W3040">
        <v>5.8744749999999998E-2</v>
      </c>
      <c r="X3040">
        <v>0.99826819999999905</v>
      </c>
      <c r="Y3040">
        <v>0.15188309999999999</v>
      </c>
      <c r="Z3040">
        <v>-5.9186319999999897E-3</v>
      </c>
      <c r="AA3040">
        <v>0.988380699999999</v>
      </c>
      <c r="AB3040">
        <v>43</v>
      </c>
      <c r="AC3040">
        <v>20.644499999999901</v>
      </c>
      <c r="AD3040">
        <v>-1.105931579907</v>
      </c>
      <c r="AE3040">
        <v>-2.4601000000000099</v>
      </c>
      <c r="AF3040">
        <v>3.2188370154501902</v>
      </c>
      <c r="AG3040">
        <v>-1.105931579907</v>
      </c>
      <c r="AH3040">
        <v>20.4804964459743</v>
      </c>
      <c r="AI3040">
        <v>93.053517141857895</v>
      </c>
      <c r="AJ3040">
        <v>81.068117751840404</v>
      </c>
      <c r="AK3040">
        <v>20.761375943444399</v>
      </c>
    </row>
    <row r="3041" spans="1:37" x14ac:dyDescent="0.2">
      <c r="A3041" t="str">
        <f>"20200111153456864"</f>
        <v>20200111153456864</v>
      </c>
      <c r="B3041" t="str">
        <f>"1578728096859260"</f>
        <v>1578728096859260</v>
      </c>
      <c r="C3041" t="s">
        <v>37</v>
      </c>
      <c r="D3041">
        <v>5.1189599999999897</v>
      </c>
      <c r="E3041">
        <v>0.56104580000000004</v>
      </c>
      <c r="F3041" t="s">
        <v>52</v>
      </c>
      <c r="G3041">
        <v>-210.8501</v>
      </c>
      <c r="H3041" s="1">
        <v>-9.8909820000000002E-7</v>
      </c>
      <c r="I3041">
        <v>212.43549999999999</v>
      </c>
      <c r="J3041">
        <v>-231.84599999999901</v>
      </c>
      <c r="K3041">
        <v>1.105958</v>
      </c>
      <c r="L3041">
        <v>214.95760000000001</v>
      </c>
      <c r="M3041">
        <v>0.99916329999999998</v>
      </c>
      <c r="N3041">
        <v>0</v>
      </c>
      <c r="O3041">
        <v>3.8215039999999999E-2</v>
      </c>
      <c r="P3041">
        <v>0.99817999999999996</v>
      </c>
      <c r="Q3041">
        <v>4.4716279999999997E-2</v>
      </c>
      <c r="R3041">
        <v>4.046657E-2</v>
      </c>
      <c r="S3041">
        <v>3.0265659999999999</v>
      </c>
      <c r="T3041">
        <v>-0.1562849</v>
      </c>
      <c r="U3041">
        <v>-0.35408020000000001</v>
      </c>
      <c r="V3041">
        <v>-2.448839E-3</v>
      </c>
      <c r="W3041">
        <v>5.9261689999999999E-2</v>
      </c>
      <c r="X3041">
        <v>0.99823949999999995</v>
      </c>
      <c r="Y3041">
        <v>0.15382089999999901</v>
      </c>
      <c r="Z3041">
        <v>-5.9216529999999998E-3</v>
      </c>
      <c r="AA3041">
        <v>0.98808099999999999</v>
      </c>
      <c r="AB3041">
        <v>43</v>
      </c>
      <c r="AC3041">
        <v>20.995899999999899</v>
      </c>
      <c r="AD3041">
        <v>-1.1059589890982</v>
      </c>
      <c r="AE3041">
        <v>-2.52210000000002</v>
      </c>
      <c r="AF3041">
        <v>3.3136382361721002</v>
      </c>
      <c r="AG3041">
        <v>-1.1059589890982</v>
      </c>
      <c r="AH3041">
        <v>20.827201357990699</v>
      </c>
      <c r="AI3041">
        <v>93.001959264805606</v>
      </c>
      <c r="AJ3041">
        <v>80.959927349850005</v>
      </c>
      <c r="AK3041">
        <v>21.1181358091115</v>
      </c>
    </row>
    <row r="3042" spans="1:37" x14ac:dyDescent="0.2">
      <c r="A3042" t="str">
        <f>"20200111153456886"</f>
        <v>20200111153456886</v>
      </c>
      <c r="B3042" t="str">
        <f>"1578728096878783"</f>
        <v>1578728096878783</v>
      </c>
      <c r="C3042" t="s">
        <v>37</v>
      </c>
      <c r="D3042">
        <v>5.1710409999999998</v>
      </c>
      <c r="E3042">
        <v>0.56135210000000002</v>
      </c>
      <c r="F3042" t="s">
        <v>52</v>
      </c>
      <c r="G3042">
        <v>-210.32759999999999</v>
      </c>
      <c r="H3042" s="1">
        <v>-1.2669929999999999E-6</v>
      </c>
      <c r="I3042">
        <v>212.43279999999999</v>
      </c>
      <c r="J3042">
        <v>-231.40729999999999</v>
      </c>
      <c r="K3042">
        <v>1.106007</v>
      </c>
      <c r="L3042">
        <v>214.9753</v>
      </c>
      <c r="M3042">
        <v>0.99912219999999996</v>
      </c>
      <c r="N3042">
        <v>0</v>
      </c>
      <c r="O3042">
        <v>3.9187819999999998E-2</v>
      </c>
      <c r="P3042">
        <v>0.99817769999999995</v>
      </c>
      <c r="Q3042">
        <v>4.4535180000000001E-2</v>
      </c>
      <c r="R3042">
        <v>4.0717830000000003E-2</v>
      </c>
      <c r="S3042">
        <v>3.0268549999999999</v>
      </c>
      <c r="T3042">
        <v>-0.1555685</v>
      </c>
      <c r="U3042">
        <v>-0.35514829999999997</v>
      </c>
      <c r="V3042">
        <v>-1.726268E-3</v>
      </c>
      <c r="W3042">
        <v>5.9313100000000001E-2</v>
      </c>
      <c r="X3042">
        <v>0.99823790000000001</v>
      </c>
      <c r="Y3042">
        <v>0.15511529999999901</v>
      </c>
      <c r="Z3042">
        <v>-5.9768299999999998E-3</v>
      </c>
      <c r="AA3042">
        <v>0.98787829999999999</v>
      </c>
      <c r="AB3042">
        <v>43</v>
      </c>
      <c r="AC3042">
        <v>21.079699999999999</v>
      </c>
      <c r="AD3042">
        <v>-1.106008266993</v>
      </c>
      <c r="AE3042">
        <v>-2.5425000000000102</v>
      </c>
      <c r="AF3042">
        <v>3.3575940701464702</v>
      </c>
      <c r="AG3042">
        <v>-1.106008266993</v>
      </c>
      <c r="AH3042">
        <v>20.907128772144102</v>
      </c>
      <c r="AI3042">
        <v>92.989941573437306</v>
      </c>
      <c r="AJ3042">
        <v>80.876449456895401</v>
      </c>
      <c r="AK3042">
        <v>21.203884684688202</v>
      </c>
    </row>
    <row r="3043" spans="1:37" x14ac:dyDescent="0.2">
      <c r="A3043" t="str">
        <f>"20200111153456908"</f>
        <v>20200111153456908</v>
      </c>
      <c r="B3043" t="str">
        <f>"1578728096899276"</f>
        <v>1578728096899276</v>
      </c>
      <c r="C3043" t="s">
        <v>37</v>
      </c>
      <c r="D3043">
        <v>5.1500890000000004</v>
      </c>
      <c r="E3043">
        <v>0.56162579999999995</v>
      </c>
      <c r="F3043" t="s">
        <v>50</v>
      </c>
      <c r="G3043">
        <v>-209.91069999999999</v>
      </c>
      <c r="H3043" s="1">
        <v>6.8022150000000001E-6</v>
      </c>
      <c r="I3043">
        <v>212.44</v>
      </c>
      <c r="J3043">
        <v>-230.9914</v>
      </c>
      <c r="K3043">
        <v>1.1060570000000001</v>
      </c>
      <c r="L3043">
        <v>214.9924</v>
      </c>
      <c r="M3043">
        <v>0.99908159999999901</v>
      </c>
      <c r="N3043">
        <v>0</v>
      </c>
      <c r="O3043">
        <v>4.0106450000000002E-2</v>
      </c>
      <c r="P3043">
        <v>0.99823099999999998</v>
      </c>
      <c r="Q3043">
        <v>4.3558840000000001E-2</v>
      </c>
      <c r="R3043">
        <v>4.0469690000000003E-2</v>
      </c>
      <c r="S3043">
        <v>3.0270079999999999</v>
      </c>
      <c r="T3043">
        <v>-0.1557394</v>
      </c>
      <c r="U3043">
        <v>-0.3569946</v>
      </c>
      <c r="V3043">
        <v>-5.5533730000000003E-4</v>
      </c>
      <c r="W3043">
        <v>5.8625749999999997E-2</v>
      </c>
      <c r="X3043">
        <v>0.9982799</v>
      </c>
      <c r="Y3043">
        <v>0.15660850000000001</v>
      </c>
      <c r="Z3043">
        <v>-6.068248E-3</v>
      </c>
      <c r="AA3043">
        <v>0.98764209999999997</v>
      </c>
      <c r="AB3043">
        <v>43</v>
      </c>
      <c r="AC3043">
        <v>21.0807</v>
      </c>
      <c r="AD3043">
        <v>-1.1060501977849999</v>
      </c>
      <c r="AE3043">
        <v>-2.5524</v>
      </c>
      <c r="AF3043">
        <v>3.38672571800315</v>
      </c>
      <c r="AG3043">
        <v>-1.1060501977849999</v>
      </c>
      <c r="AH3043">
        <v>20.904640016528901</v>
      </c>
      <c r="AI3043">
        <v>92.989747195163503</v>
      </c>
      <c r="AJ3043">
        <v>80.797562032013005</v>
      </c>
      <c r="AK3043">
        <v>21.2060659328802</v>
      </c>
    </row>
    <row r="3044" spans="1:37" x14ac:dyDescent="0.2">
      <c r="A3044" t="str">
        <f>"20200111153456930"</f>
        <v>20200111153456930</v>
      </c>
      <c r="B3044" t="str">
        <f>"1578728096918797"</f>
        <v>1578728096918797</v>
      </c>
      <c r="C3044" t="s">
        <v>37</v>
      </c>
      <c r="D3044">
        <v>5.0961280000000002</v>
      </c>
      <c r="E3044">
        <v>0.56194330000000003</v>
      </c>
      <c r="F3044" t="s">
        <v>50</v>
      </c>
      <c r="G3044">
        <v>-209.95570000000001</v>
      </c>
      <c r="H3044" s="1">
        <v>6.8175030000000002E-6</v>
      </c>
      <c r="I3044">
        <v>212.4933</v>
      </c>
      <c r="J3044">
        <v>-230.56890000000001</v>
      </c>
      <c r="K3044">
        <v>1.106098</v>
      </c>
      <c r="L3044">
        <v>215.0102</v>
      </c>
      <c r="M3044">
        <v>0.99903909999999996</v>
      </c>
      <c r="N3044">
        <v>0</v>
      </c>
      <c r="O3044">
        <v>4.1029160000000002E-2</v>
      </c>
      <c r="P3044">
        <v>0.99834199999999995</v>
      </c>
      <c r="Q3044">
        <v>4.2209879999999998E-2</v>
      </c>
      <c r="R3044">
        <v>3.9137520000000002E-2</v>
      </c>
      <c r="S3044">
        <v>3.02684</v>
      </c>
      <c r="T3044">
        <v>-0.15915009999999999</v>
      </c>
      <c r="U3044">
        <v>-0.35958859999999998</v>
      </c>
      <c r="V3044">
        <v>1.707079E-3</v>
      </c>
      <c r="W3044">
        <v>5.7607510000000001E-2</v>
      </c>
      <c r="X3044">
        <v>0.9983379</v>
      </c>
      <c r="Y3044">
        <v>0.15834670000000001</v>
      </c>
      <c r="Z3044">
        <v>-6.2948650000000002E-3</v>
      </c>
      <c r="AA3044">
        <v>0.98736349999999995</v>
      </c>
      <c r="AB3044">
        <v>43</v>
      </c>
      <c r="AC3044">
        <v>20.613199999999999</v>
      </c>
      <c r="AD3044">
        <v>-1.1060911824969999</v>
      </c>
      <c r="AE3044">
        <v>-2.5168999999999899</v>
      </c>
      <c r="AF3044">
        <v>3.3511156457675799</v>
      </c>
      <c r="AG3044">
        <v>-1.1060911824969999</v>
      </c>
      <c r="AH3044">
        <v>20.434586414024899</v>
      </c>
      <c r="AI3044">
        <v>93.057542373235805</v>
      </c>
      <c r="AJ3044">
        <v>80.6868284741483</v>
      </c>
      <c r="AK3044">
        <v>20.737061886572999</v>
      </c>
    </row>
    <row r="3045" spans="1:37" x14ac:dyDescent="0.2">
      <c r="A3045" t="str">
        <f>"20200111153456964"</f>
        <v>20200111153456964</v>
      </c>
      <c r="B3045" t="str">
        <f>"1578728096958815"</f>
        <v>1578728096958815</v>
      </c>
      <c r="C3045" t="s">
        <v>37</v>
      </c>
      <c r="D3045">
        <v>5.0372620000000001</v>
      </c>
      <c r="E3045">
        <v>0.56243379999999998</v>
      </c>
      <c r="F3045" t="s">
        <v>52</v>
      </c>
      <c r="G3045">
        <v>-210.1242</v>
      </c>
      <c r="H3045" s="1">
        <v>-1.379897E-6</v>
      </c>
      <c r="I3045">
        <v>212.53880000000001</v>
      </c>
      <c r="J3045">
        <v>-229.92250000000001</v>
      </c>
      <c r="K3045">
        <v>1.106147</v>
      </c>
      <c r="L3045">
        <v>215.03819999999999</v>
      </c>
      <c r="M3045">
        <v>0.99897309999999995</v>
      </c>
      <c r="N3045">
        <v>0</v>
      </c>
      <c r="O3045">
        <v>4.240331E-2</v>
      </c>
      <c r="P3045">
        <v>0.99848840000000005</v>
      </c>
      <c r="Q3045">
        <v>3.9645769999999997E-2</v>
      </c>
      <c r="R3045">
        <v>3.8073000000000003E-2</v>
      </c>
      <c r="S3045">
        <v>3.0262449999999999</v>
      </c>
      <c r="T3045">
        <v>-0.1637257</v>
      </c>
      <c r="U3045">
        <v>-0.36581419999999998</v>
      </c>
      <c r="V3045">
        <v>4.1598080000000001E-3</v>
      </c>
      <c r="W3045">
        <v>5.5600400000000001E-2</v>
      </c>
      <c r="X3045">
        <v>0.99844439999999901</v>
      </c>
      <c r="Y3045">
        <v>0.16170670000000001</v>
      </c>
      <c r="Z3045">
        <v>-6.6406719999999898E-3</v>
      </c>
      <c r="AA3045">
        <v>0.98681649999999999</v>
      </c>
      <c r="AB3045">
        <v>43</v>
      </c>
      <c r="AC3045">
        <v>19.798300000000001</v>
      </c>
      <c r="AD3045">
        <v>-1.106148379897</v>
      </c>
      <c r="AE3045">
        <v>-2.4993999999999801</v>
      </c>
      <c r="AF3045">
        <v>3.3265506782687102</v>
      </c>
      <c r="AG3045">
        <v>-1.106148379897</v>
      </c>
      <c r="AH3045">
        <v>19.614225649986199</v>
      </c>
      <c r="AI3045">
        <v>93.182438930200604</v>
      </c>
      <c r="AJ3045">
        <v>80.374293176857606</v>
      </c>
      <c r="AK3045">
        <v>19.925043324972101</v>
      </c>
    </row>
    <row r="3046" spans="1:37" x14ac:dyDescent="0.2">
      <c r="A3046" t="str">
        <f>"20200111153456987"</f>
        <v>20200111153456987</v>
      </c>
      <c r="B3046" t="str">
        <f>"1578728096979308"</f>
        <v>1578728096979308</v>
      </c>
      <c r="C3046" t="s">
        <v>37</v>
      </c>
      <c r="D3046">
        <v>5.0969100000000003</v>
      </c>
      <c r="E3046">
        <v>0.56270439999999999</v>
      </c>
      <c r="F3046" t="s">
        <v>50</v>
      </c>
      <c r="G3046">
        <v>-209.9375</v>
      </c>
      <c r="H3046" s="1">
        <v>6.8025789999999898E-6</v>
      </c>
      <c r="I3046">
        <v>212.5718</v>
      </c>
      <c r="J3046">
        <v>-229.50200000000001</v>
      </c>
      <c r="K3046">
        <v>1.1061809999999901</v>
      </c>
      <c r="L3046">
        <v>215.05680000000001</v>
      </c>
      <c r="M3046">
        <v>0.99892909999999902</v>
      </c>
      <c r="N3046">
        <v>0</v>
      </c>
      <c r="O3046">
        <v>4.3270669999999997E-2</v>
      </c>
      <c r="P3046">
        <v>0.99860539999999998</v>
      </c>
      <c r="Q3046">
        <v>3.6917079999999998E-2</v>
      </c>
      <c r="R3046">
        <v>3.774715E-2</v>
      </c>
      <c r="S3046">
        <v>3.0254209999999899</v>
      </c>
      <c r="T3046">
        <v>-0.1674525</v>
      </c>
      <c r="U3046">
        <v>-0.37336729999999901</v>
      </c>
      <c r="V3046">
        <v>5.3674309999999998E-3</v>
      </c>
      <c r="W3046">
        <v>5.3295929999999998E-2</v>
      </c>
      <c r="X3046">
        <v>0.99856440000000002</v>
      </c>
      <c r="Y3046">
        <v>0.16500239999999999</v>
      </c>
      <c r="Z3046">
        <v>-6.9310800000000001E-3</v>
      </c>
      <c r="AA3046">
        <v>0.98626879999999995</v>
      </c>
      <c r="AB3046">
        <v>42</v>
      </c>
      <c r="AC3046">
        <v>19.564499999999999</v>
      </c>
      <c r="AD3046">
        <v>-1.10617419742099</v>
      </c>
      <c r="AE3046">
        <v>-2.4850000000000101</v>
      </c>
      <c r="AF3046">
        <v>3.3189131961166898</v>
      </c>
      <c r="AG3046">
        <v>-1.10617419742099</v>
      </c>
      <c r="AH3046">
        <v>19.3776664753372</v>
      </c>
      <c r="AI3046">
        <v>93.220390950257794</v>
      </c>
      <c r="AJ3046">
        <v>80.280959779366796</v>
      </c>
      <c r="AK3046">
        <v>19.6909310137384</v>
      </c>
    </row>
    <row r="3047" spans="1:37" x14ac:dyDescent="0.2">
      <c r="A3047" t="str">
        <f>"20200111153457008"</f>
        <v>20200111153457008</v>
      </c>
      <c r="B3047" t="str">
        <f>"1578728096998828"</f>
        <v>1578728096998828</v>
      </c>
      <c r="C3047" t="s">
        <v>37</v>
      </c>
      <c r="D3047">
        <v>5.1048359999999997</v>
      </c>
      <c r="E3047">
        <v>0.56282169999999998</v>
      </c>
      <c r="F3047" t="s">
        <v>52</v>
      </c>
      <c r="G3047">
        <v>-210.2225</v>
      </c>
      <c r="H3047" s="1">
        <v>-1.3326519999999999E-6</v>
      </c>
      <c r="I3047">
        <v>212.65479999999999</v>
      </c>
      <c r="J3047">
        <v>-229.09099999999901</v>
      </c>
      <c r="K3047">
        <v>1.1062190000000001</v>
      </c>
      <c r="L3047">
        <v>215.07550000000001</v>
      </c>
      <c r="M3047">
        <v>0.99888519999999903</v>
      </c>
      <c r="N3047">
        <v>0</v>
      </c>
      <c r="O3047">
        <v>4.4104549999999999E-2</v>
      </c>
      <c r="P3047">
        <v>0.99869529999999995</v>
      </c>
      <c r="Q3047">
        <v>3.520707E-2</v>
      </c>
      <c r="R3047">
        <v>3.6988279999999998E-2</v>
      </c>
      <c r="S3047">
        <v>3.0248569999999999</v>
      </c>
      <c r="T3047">
        <v>-0.1735544</v>
      </c>
      <c r="U3047">
        <v>-0.37686160000000002</v>
      </c>
      <c r="V3047">
        <v>6.9707700000000003E-3</v>
      </c>
      <c r="W3047">
        <v>5.203692E-2</v>
      </c>
      <c r="X3047">
        <v>0.99862079999999998</v>
      </c>
      <c r="Y3047">
        <v>0.16694220000000001</v>
      </c>
      <c r="Z3047">
        <v>-7.2871519999999999E-3</v>
      </c>
      <c r="AA3047">
        <v>0.98593969999999898</v>
      </c>
      <c r="AB3047">
        <v>42</v>
      </c>
      <c r="AC3047">
        <v>18.868499999999901</v>
      </c>
      <c r="AD3047">
        <v>-1.1062203326519999</v>
      </c>
      <c r="AE3047">
        <v>-2.4207000000000098</v>
      </c>
      <c r="AF3047">
        <v>3.2396930874323302</v>
      </c>
      <c r="AG3047">
        <v>-1.1062203326519999</v>
      </c>
      <c r="AH3047">
        <v>18.680186861437999</v>
      </c>
      <c r="AI3047">
        <v>93.339303762268003</v>
      </c>
      <c r="AJ3047">
        <v>80.161093979204594</v>
      </c>
      <c r="AK3047">
        <v>18.991279996444899</v>
      </c>
    </row>
    <row r="3048" spans="1:37" x14ac:dyDescent="0.2">
      <c r="A3048" t="str">
        <f>"20200111153457031"</f>
        <v>20200111153457031</v>
      </c>
      <c r="B3048" t="str">
        <f>"1578728097019325"</f>
        <v>1578728097019325</v>
      </c>
      <c r="C3048" t="s">
        <v>37</v>
      </c>
      <c r="D3048">
        <v>5.0721749999999997</v>
      </c>
      <c r="E3048">
        <v>0.57401469999999999</v>
      </c>
      <c r="F3048" t="s">
        <v>52</v>
      </c>
      <c r="G3048">
        <v>-210.28120000000001</v>
      </c>
      <c r="H3048" s="1">
        <v>-1.303865E-6</v>
      </c>
      <c r="I3048">
        <v>212.71109999999999</v>
      </c>
      <c r="J3048">
        <v>-228.6773</v>
      </c>
      <c r="K3048">
        <v>1.106258</v>
      </c>
      <c r="L3048">
        <v>215.09450000000001</v>
      </c>
      <c r="M3048">
        <v>0.99884050000000002</v>
      </c>
      <c r="N3048">
        <v>0</v>
      </c>
      <c r="O3048">
        <v>4.4930070000000003E-2</v>
      </c>
      <c r="P3048">
        <v>0.99872499999999997</v>
      </c>
      <c r="Q3048">
        <v>3.5235490000000001E-2</v>
      </c>
      <c r="R3048">
        <v>3.6149470000000003E-2</v>
      </c>
      <c r="S3048">
        <v>3.0242610000000001</v>
      </c>
      <c r="T3048">
        <v>-0.17785979999999901</v>
      </c>
      <c r="U3048">
        <v>-0.38014219999999999</v>
      </c>
      <c r="V3048">
        <v>8.6379119999999993E-3</v>
      </c>
      <c r="W3048">
        <v>5.2530250000000001E-2</v>
      </c>
      <c r="X3048">
        <v>0.99858189999999902</v>
      </c>
      <c r="Y3048">
        <v>0.16881199999999999</v>
      </c>
      <c r="Z3048">
        <v>-7.5716869999999997E-3</v>
      </c>
      <c r="AA3048">
        <v>0.98561919999999903</v>
      </c>
      <c r="AB3048">
        <v>42</v>
      </c>
      <c r="AC3048">
        <v>18.396099999999901</v>
      </c>
      <c r="AD3048">
        <v>-1.1062593038649999</v>
      </c>
      <c r="AE3048">
        <v>-2.3834000000000199</v>
      </c>
      <c r="AF3048">
        <v>3.1962861443584298</v>
      </c>
      <c r="AG3048">
        <v>-1.1062593038649999</v>
      </c>
      <c r="AH3048">
        <v>18.205664570428102</v>
      </c>
      <c r="AI3048">
        <v>93.425020681580094</v>
      </c>
      <c r="AJ3048">
        <v>80.042320940299007</v>
      </c>
      <c r="AK3048">
        <v>18.517188696315301</v>
      </c>
    </row>
    <row r="3049" spans="1:37" x14ac:dyDescent="0.2">
      <c r="A3049" t="str">
        <f>"20200111153457053"</f>
        <v>20200111153457053</v>
      </c>
      <c r="B3049" t="str">
        <f>"1578728097049581"</f>
        <v>1578728097049581</v>
      </c>
      <c r="C3049" t="s">
        <v>37</v>
      </c>
      <c r="D3049">
        <v>5.0616699999999897</v>
      </c>
      <c r="E3049">
        <v>0.57378790000000002</v>
      </c>
      <c r="F3049" t="s">
        <v>50</v>
      </c>
      <c r="G3049">
        <v>-191.09479999999999</v>
      </c>
      <c r="H3049" s="1">
        <v>4.3206359999999999E-6</v>
      </c>
      <c r="I3049">
        <v>209.1892</v>
      </c>
      <c r="J3049">
        <v>-228.2602</v>
      </c>
      <c r="K3049">
        <v>1.1063099999999999</v>
      </c>
      <c r="L3049">
        <v>215.11410000000001</v>
      </c>
      <c r="M3049">
        <v>0.99879499999999999</v>
      </c>
      <c r="N3049">
        <v>0</v>
      </c>
      <c r="O3049">
        <v>4.574611E-2</v>
      </c>
      <c r="P3049">
        <v>0.99873500000000004</v>
      </c>
      <c r="Q3049">
        <v>3.6170439999999998E-2</v>
      </c>
      <c r="R3049">
        <v>3.4931459999999998E-2</v>
      </c>
      <c r="S3049">
        <v>3.0241699999999998</v>
      </c>
      <c r="T3049">
        <v>-8.9017269999999996E-2</v>
      </c>
      <c r="U3049">
        <v>-0.47518919999999998</v>
      </c>
      <c r="V3049">
        <v>1.067107E-2</v>
      </c>
      <c r="W3049">
        <v>5.3948250000000003E-2</v>
      </c>
      <c r="X3049">
        <v>0.99848669999999995</v>
      </c>
      <c r="Y3049">
        <v>0.200158</v>
      </c>
      <c r="Z3049">
        <v>-4.2663789999999998E-3</v>
      </c>
      <c r="AA3049">
        <v>0.97975429999999997</v>
      </c>
      <c r="AB3049">
        <v>42</v>
      </c>
      <c r="AC3049">
        <v>37.165399999999998</v>
      </c>
      <c r="AD3049">
        <v>-1.106305679364</v>
      </c>
      <c r="AE3049">
        <v>-5.9249000000000001</v>
      </c>
      <c r="AF3049">
        <v>7.6125581366449602</v>
      </c>
      <c r="AG3049">
        <v>-1.106305679364</v>
      </c>
      <c r="AH3049">
        <v>36.823575334785502</v>
      </c>
      <c r="AI3049">
        <v>91.685229515560096</v>
      </c>
      <c r="AJ3049">
        <v>78.319751666739506</v>
      </c>
      <c r="AK3049">
        <v>37.618488194990199</v>
      </c>
    </row>
    <row r="3050" spans="1:37" x14ac:dyDescent="0.2">
      <c r="A3050" t="str">
        <f>"20200111153457075"</f>
        <v>20200111153457075</v>
      </c>
      <c r="B3050" t="str">
        <f>"1578728097069104"</f>
        <v>1578728097069104</v>
      </c>
      <c r="C3050" t="s">
        <v>37</v>
      </c>
      <c r="D3050">
        <v>5.0501719999999999</v>
      </c>
      <c r="E3050">
        <v>0.57371309999999998</v>
      </c>
      <c r="F3050" t="s">
        <v>50</v>
      </c>
      <c r="G3050">
        <v>-192.91120000000001</v>
      </c>
      <c r="H3050" s="1">
        <v>3.9045480000000001E-6</v>
      </c>
      <c r="I3050">
        <v>209.5437</v>
      </c>
      <c r="J3050">
        <v>-227.83330000000001</v>
      </c>
      <c r="K3050">
        <v>1.106366</v>
      </c>
      <c r="L3050">
        <v>215.1345</v>
      </c>
      <c r="M3050">
        <v>0.99874789999999902</v>
      </c>
      <c r="N3050">
        <v>0</v>
      </c>
      <c r="O3050">
        <v>4.6566330000000003E-2</v>
      </c>
      <c r="P3050">
        <v>0.99879240000000002</v>
      </c>
      <c r="Q3050">
        <v>3.6719000000000002E-2</v>
      </c>
      <c r="R3050">
        <v>3.2647910000000002E-2</v>
      </c>
      <c r="S3050">
        <v>3.0239259999999999</v>
      </c>
      <c r="T3050">
        <v>-9.4638710000000001E-2</v>
      </c>
      <c r="U3050">
        <v>-0.47651670000000002</v>
      </c>
      <c r="V3050">
        <v>1.3775620000000001E-2</v>
      </c>
      <c r="W3050">
        <v>5.5015729999999999E-2</v>
      </c>
      <c r="X3050">
        <v>0.99839040000000001</v>
      </c>
      <c r="Y3050">
        <v>0.20138010000000001</v>
      </c>
      <c r="Z3050">
        <v>-4.5804399999999999E-3</v>
      </c>
      <c r="AA3050">
        <v>0.9795024</v>
      </c>
      <c r="AB3050">
        <v>42</v>
      </c>
      <c r="AC3050">
        <v>34.9221</v>
      </c>
      <c r="AD3050">
        <v>-1.1063620954519999</v>
      </c>
      <c r="AE3050">
        <v>-5.5907999999999998</v>
      </c>
      <c r="AF3050">
        <v>7.2041489698563499</v>
      </c>
      <c r="AG3050">
        <v>-1.1063620954519999</v>
      </c>
      <c r="AH3050">
        <v>34.5899676976709</v>
      </c>
      <c r="AI3050">
        <v>91.793523766842299</v>
      </c>
      <c r="AJ3050">
        <v>78.235035861900798</v>
      </c>
      <c r="AK3050">
        <v>35.349535566850797</v>
      </c>
    </row>
    <row r="3051" spans="1:37" x14ac:dyDescent="0.2">
      <c r="A3051" t="str">
        <f>"20200111153457098"</f>
        <v>20200111153457098</v>
      </c>
      <c r="B3051" t="str">
        <f>"1578728097089597"</f>
        <v>1578728097089597</v>
      </c>
      <c r="C3051" t="s">
        <v>37</v>
      </c>
      <c r="D3051">
        <v>5.0964900000000002</v>
      </c>
      <c r="E3051">
        <v>0.57358599999999904</v>
      </c>
      <c r="F3051" t="s">
        <v>50</v>
      </c>
      <c r="G3051">
        <v>-191.20339999999999</v>
      </c>
      <c r="H3051" s="1">
        <v>4.2767309999999999E-6</v>
      </c>
      <c r="I3051">
        <v>209.28219999999999</v>
      </c>
      <c r="J3051">
        <v>-227.42609999999999</v>
      </c>
      <c r="K3051">
        <v>1.106401</v>
      </c>
      <c r="L3051">
        <v>215.15430000000001</v>
      </c>
      <c r="M3051">
        <v>0.99870230000000004</v>
      </c>
      <c r="N3051">
        <v>0</v>
      </c>
      <c r="O3051">
        <v>4.7339770000000003E-2</v>
      </c>
      <c r="P3051">
        <v>0.99886369999999902</v>
      </c>
      <c r="Q3051">
        <v>3.6192870000000002E-2</v>
      </c>
      <c r="R3051">
        <v>3.1009769999999999E-2</v>
      </c>
      <c r="S3051">
        <v>3.0227659999999998</v>
      </c>
      <c r="T3051">
        <v>-9.1299060000000001E-2</v>
      </c>
      <c r="U3051">
        <v>-0.4829407</v>
      </c>
      <c r="V3051">
        <v>1.619199E-2</v>
      </c>
      <c r="W3051">
        <v>5.4994790000000002E-2</v>
      </c>
      <c r="X3051">
        <v>0.99835529999999995</v>
      </c>
      <c r="Y3051">
        <v>0.2042331</v>
      </c>
      <c r="Z3051">
        <v>-4.4858909999999997E-3</v>
      </c>
      <c r="AA3051">
        <v>0.978912</v>
      </c>
      <c r="AB3051">
        <v>42</v>
      </c>
      <c r="AC3051">
        <v>36.222700000000003</v>
      </c>
      <c r="AD3051">
        <v>-1.106396723269</v>
      </c>
      <c r="AE3051">
        <v>-5.8721000000000103</v>
      </c>
      <c r="AF3051">
        <v>7.5737058939927699</v>
      </c>
      <c r="AG3051">
        <v>-1.106396723269</v>
      </c>
      <c r="AH3051">
        <v>35.8714320826831</v>
      </c>
      <c r="AI3051">
        <v>91.728552589748006</v>
      </c>
      <c r="AJ3051">
        <v>78.077964770340898</v>
      </c>
      <c r="AK3051">
        <v>36.678941837797097</v>
      </c>
    </row>
    <row r="3052" spans="1:37" x14ac:dyDescent="0.2">
      <c r="A3052" t="str">
        <f>"20200111153457120"</f>
        <v>20200111153457120</v>
      </c>
      <c r="B3052" t="str">
        <f>"1578728097109116"</f>
        <v>1578728097109116</v>
      </c>
      <c r="C3052" t="s">
        <v>37</v>
      </c>
      <c r="D3052">
        <v>5.0835549999999996</v>
      </c>
      <c r="E3052">
        <v>0.57362150000000001</v>
      </c>
      <c r="F3052" t="s">
        <v>50</v>
      </c>
      <c r="G3052">
        <v>-190.56479999999999</v>
      </c>
      <c r="H3052" s="1">
        <v>4.4178109999999902E-6</v>
      </c>
      <c r="I3052">
        <v>209.21119999999999</v>
      </c>
      <c r="J3052">
        <v>-227.01230000000001</v>
      </c>
      <c r="K3052">
        <v>1.106433</v>
      </c>
      <c r="L3052">
        <v>215.1747</v>
      </c>
      <c r="M3052">
        <v>0.99865530000000002</v>
      </c>
      <c r="N3052">
        <v>0</v>
      </c>
      <c r="O3052">
        <v>4.8118359999999999E-2</v>
      </c>
      <c r="P3052">
        <v>0.99898369999999903</v>
      </c>
      <c r="Q3052">
        <v>3.4088670000000001E-2</v>
      </c>
      <c r="R3052">
        <v>2.949096E-2</v>
      </c>
      <c r="S3052">
        <v>3.02182</v>
      </c>
      <c r="T3052">
        <v>-9.070027E-2</v>
      </c>
      <c r="U3052">
        <v>-0.48719790000000002</v>
      </c>
      <c r="V3052">
        <v>1.8500550000000001E-2</v>
      </c>
      <c r="W3052">
        <v>5.3406879999999997E-2</v>
      </c>
      <c r="X3052">
        <v>0.99840149999999905</v>
      </c>
      <c r="Y3052">
        <v>0.2063885</v>
      </c>
      <c r="Z3052">
        <v>-4.5127689999999998E-3</v>
      </c>
      <c r="AA3052">
        <v>0.97845969999999904</v>
      </c>
      <c r="AB3052">
        <v>41</v>
      </c>
      <c r="AC3052">
        <v>36.447499999999998</v>
      </c>
      <c r="AD3052">
        <v>-1.1064285821890001</v>
      </c>
      <c r="AE3052">
        <v>-5.9635000000000096</v>
      </c>
      <c r="AF3052">
        <v>7.7037957558179997</v>
      </c>
      <c r="AG3052">
        <v>-1.1064285821890001</v>
      </c>
      <c r="AH3052">
        <v>36.085870409867098</v>
      </c>
      <c r="AI3052">
        <v>91.717516601233001</v>
      </c>
      <c r="AJ3052">
        <v>77.949107888289305</v>
      </c>
      <c r="AK3052">
        <v>36.915615889384298</v>
      </c>
    </row>
    <row r="3053" spans="1:37" x14ac:dyDescent="0.2">
      <c r="A3053" t="str">
        <f>"20200111153457143"</f>
        <v>20200111153457143</v>
      </c>
      <c r="B3053" t="str">
        <f>"1578728097139373"</f>
        <v>1578728097139373</v>
      </c>
      <c r="C3053" t="s">
        <v>37</v>
      </c>
      <c r="D3053">
        <v>5.0989899999999997</v>
      </c>
      <c r="E3053">
        <v>0.57415950000000004</v>
      </c>
      <c r="F3053" t="s">
        <v>50</v>
      </c>
      <c r="G3053">
        <v>-196.6985</v>
      </c>
      <c r="H3053" s="1">
        <v>3.1589080000000002E-6</v>
      </c>
      <c r="I3053">
        <v>210.24099999999899</v>
      </c>
      <c r="J3053">
        <v>-226.60749999999999</v>
      </c>
      <c r="K3053">
        <v>1.1064609999999999</v>
      </c>
      <c r="L3053">
        <v>215.19499999999999</v>
      </c>
      <c r="M3053">
        <v>0.99860910000000003</v>
      </c>
      <c r="N3053">
        <v>0</v>
      </c>
      <c r="O3053">
        <v>4.8871779999999997E-2</v>
      </c>
      <c r="P3053">
        <v>0.99904509999999902</v>
      </c>
      <c r="Q3053">
        <v>3.294093E-2</v>
      </c>
      <c r="R3053">
        <v>2.870313E-2</v>
      </c>
      <c r="S3053">
        <v>3.0213169999999998</v>
      </c>
      <c r="T3053">
        <v>-0.1102755</v>
      </c>
      <c r="U3053">
        <v>-0.49172969999999999</v>
      </c>
      <c r="V3053">
        <v>2.0048739999999999E-2</v>
      </c>
      <c r="W3053">
        <v>5.2753580000000001E-2</v>
      </c>
      <c r="X3053">
        <v>0.99840629999999997</v>
      </c>
      <c r="Y3053">
        <v>0.20852699999999999</v>
      </c>
      <c r="Z3053">
        <v>-5.5525369999999998E-3</v>
      </c>
      <c r="AA3053">
        <v>0.9780008</v>
      </c>
      <c r="AB3053">
        <v>41</v>
      </c>
      <c r="AC3053">
        <v>29.908999999999899</v>
      </c>
      <c r="AD3053">
        <v>-1.1064578410920001</v>
      </c>
      <c r="AE3053">
        <v>-4.9539999999999997</v>
      </c>
      <c r="AF3053">
        <v>6.4015431708568098</v>
      </c>
      <c r="AG3053">
        <v>-1.1064578410920001</v>
      </c>
      <c r="AH3053">
        <v>29.5916715923608</v>
      </c>
      <c r="AI3053">
        <v>92.092971245617406</v>
      </c>
      <c r="AJ3053">
        <v>77.793346061514299</v>
      </c>
      <c r="AK3053">
        <v>30.296386443808601</v>
      </c>
    </row>
    <row r="3054" spans="1:37" x14ac:dyDescent="0.2">
      <c r="A3054" t="str">
        <f>"20200111153457165"</f>
        <v>20200111153457165</v>
      </c>
      <c r="B3054" t="str">
        <f>"1578728097158892"</f>
        <v>1578728097158892</v>
      </c>
      <c r="C3054" t="s">
        <v>37</v>
      </c>
      <c r="D3054">
        <v>5.1222629999999896</v>
      </c>
      <c r="E3054">
        <v>0.57459119999999997</v>
      </c>
      <c r="F3054" t="s">
        <v>50</v>
      </c>
      <c r="G3054">
        <v>-199.8347</v>
      </c>
      <c r="H3054" s="1">
        <v>2.5554379999999999E-6</v>
      </c>
      <c r="I3054">
        <v>210.78030000000001</v>
      </c>
      <c r="J3054">
        <v>-226.19</v>
      </c>
      <c r="K3054">
        <v>1.10649</v>
      </c>
      <c r="L3054">
        <v>215.21629999999999</v>
      </c>
      <c r="M3054">
        <v>0.99856129999999999</v>
      </c>
      <c r="N3054">
        <v>0</v>
      </c>
      <c r="O3054">
        <v>4.9640459999999997E-2</v>
      </c>
      <c r="P3054">
        <v>0.99907179999999995</v>
      </c>
      <c r="Q3054">
        <v>3.2862429999999998E-2</v>
      </c>
      <c r="R3054">
        <v>2.7851580000000001E-2</v>
      </c>
      <c r="S3054">
        <v>3.0213009999999998</v>
      </c>
      <c r="T3054">
        <v>-0.1248635</v>
      </c>
      <c r="U3054">
        <v>-0.49819949999999902</v>
      </c>
      <c r="V3054">
        <v>2.1672380000000002E-2</v>
      </c>
      <c r="W3054">
        <v>5.3165450000000003E-2</v>
      </c>
      <c r="X3054">
        <v>0.99835049999999903</v>
      </c>
      <c r="Y3054">
        <v>0.21126979999999901</v>
      </c>
      <c r="Z3054">
        <v>-6.3733369999999998E-3</v>
      </c>
      <c r="AA3054">
        <v>0.97740700000000003</v>
      </c>
      <c r="AB3054">
        <v>41</v>
      </c>
      <c r="AC3054">
        <v>26.3553</v>
      </c>
      <c r="AD3054">
        <v>-1.1064874445620001</v>
      </c>
      <c r="AE3054">
        <v>-4.4359999999999697</v>
      </c>
      <c r="AF3054">
        <v>5.7292668169474403</v>
      </c>
      <c r="AG3054">
        <v>-1.1064874445620001</v>
      </c>
      <c r="AH3054">
        <v>26.0578795792511</v>
      </c>
      <c r="AI3054">
        <v>92.374815441005595</v>
      </c>
      <c r="AJ3054">
        <v>77.599852298377499</v>
      </c>
      <c r="AK3054">
        <v>26.7032189237833</v>
      </c>
    </row>
    <row r="3055" spans="1:37" x14ac:dyDescent="0.2">
      <c r="A3055" t="str">
        <f>"20200111153457188"</f>
        <v>20200111153457188</v>
      </c>
      <c r="B3055" t="str">
        <f>"1578728097179390"</f>
        <v>1578728097179390</v>
      </c>
      <c r="C3055" t="s">
        <v>37</v>
      </c>
      <c r="D3055">
        <v>5.1110160000000002</v>
      </c>
      <c r="E3055">
        <v>0.57467489999999999</v>
      </c>
      <c r="F3055" t="s">
        <v>50</v>
      </c>
      <c r="G3055">
        <v>-200.6644</v>
      </c>
      <c r="H3055" s="1">
        <v>2.83158E-6</v>
      </c>
      <c r="I3055">
        <v>210.95650000000001</v>
      </c>
      <c r="J3055">
        <v>-225.78659999999999</v>
      </c>
      <c r="K3055">
        <v>1.1065119999999999</v>
      </c>
      <c r="L3055">
        <v>215.2372</v>
      </c>
      <c r="M3055">
        <v>0.99851579999999995</v>
      </c>
      <c r="N3055">
        <v>0</v>
      </c>
      <c r="O3055">
        <v>5.0368650000000001E-2</v>
      </c>
      <c r="P3055">
        <v>0.99906430000000002</v>
      </c>
      <c r="Q3055">
        <v>3.349829E-2</v>
      </c>
      <c r="R3055">
        <v>2.7355899999999999E-2</v>
      </c>
      <c r="S3055">
        <v>3.0211489999999999</v>
      </c>
      <c r="T3055">
        <v>-0.13096099999999999</v>
      </c>
      <c r="U3055">
        <v>-0.50418090000000004</v>
      </c>
      <c r="V3055">
        <v>2.2897210000000001E-2</v>
      </c>
      <c r="W3055">
        <v>5.4246320000000001E-2</v>
      </c>
      <c r="X3055">
        <v>0.99826499999999996</v>
      </c>
      <c r="Y3055">
        <v>0.21384879999999901</v>
      </c>
      <c r="Z3055">
        <v>-6.770458E-3</v>
      </c>
      <c r="AA3055">
        <v>0.97684329999999997</v>
      </c>
      <c r="AB3055">
        <v>41</v>
      </c>
      <c r="AC3055">
        <v>25.1221999999999</v>
      </c>
      <c r="AD3055">
        <v>-1.1065091684199999</v>
      </c>
      <c r="AE3055">
        <v>-4.2806999999999897</v>
      </c>
      <c r="AF3055">
        <v>5.5304808414515501</v>
      </c>
      <c r="AG3055">
        <v>-1.1065091684199999</v>
      </c>
      <c r="AH3055">
        <v>24.827832953548999</v>
      </c>
      <c r="AI3055">
        <v>92.490859712352005</v>
      </c>
      <c r="AJ3055">
        <v>77.442200905438497</v>
      </c>
      <c r="AK3055">
        <v>25.460398073219402</v>
      </c>
    </row>
    <row r="3056" spans="1:37" x14ac:dyDescent="0.2">
      <c r="A3056" t="str">
        <f>"20200111153457209"</f>
        <v>20200111153457209</v>
      </c>
      <c r="B3056" t="str">
        <f>"1578728097198909"</f>
        <v>1578728097198909</v>
      </c>
      <c r="C3056" t="s">
        <v>37</v>
      </c>
      <c r="D3056">
        <v>5.0621</v>
      </c>
      <c r="E3056">
        <v>0.57485750000000002</v>
      </c>
      <c r="F3056" t="s">
        <v>50</v>
      </c>
      <c r="G3056">
        <v>-200.8296</v>
      </c>
      <c r="H3056" s="1">
        <v>2.8961309999999999E-6</v>
      </c>
      <c r="I3056">
        <v>211.05590000000001</v>
      </c>
      <c r="J3056">
        <v>-225.39959999999999</v>
      </c>
      <c r="K3056">
        <v>1.1065199999999999</v>
      </c>
      <c r="L3056">
        <v>215.25749999999999</v>
      </c>
      <c r="M3056">
        <v>0.99847330000000001</v>
      </c>
      <c r="N3056">
        <v>0</v>
      </c>
      <c r="O3056">
        <v>5.1037260000000001E-2</v>
      </c>
      <c r="P3056">
        <v>0.99903330000000001</v>
      </c>
      <c r="Q3056">
        <v>3.4493919999999997E-2</v>
      </c>
      <c r="R3056">
        <v>2.7246159999999998E-2</v>
      </c>
      <c r="S3056">
        <v>3.02116399999999</v>
      </c>
      <c r="T3056">
        <v>-0.13394819999999999</v>
      </c>
      <c r="U3056">
        <v>-0.50616459999999996</v>
      </c>
      <c r="V3056">
        <v>2.3676099999999999E-2</v>
      </c>
      <c r="W3056">
        <v>5.5645149999999997E-2</v>
      </c>
      <c r="X3056">
        <v>0.9981698</v>
      </c>
      <c r="Y3056">
        <v>0.2151132</v>
      </c>
      <c r="Z3056">
        <v>-6.9816540000000003E-3</v>
      </c>
      <c r="AA3056">
        <v>0.97656419999999999</v>
      </c>
      <c r="AB3056">
        <v>41</v>
      </c>
      <c r="AC3056">
        <v>24.57</v>
      </c>
      <c r="AD3056">
        <v>-1.106517103869</v>
      </c>
      <c r="AE3056">
        <v>-4.2015999999999796</v>
      </c>
      <c r="AF3056">
        <v>5.4396680420416601</v>
      </c>
      <c r="AG3056">
        <v>-1.106517103869</v>
      </c>
      <c r="AH3056">
        <v>24.275642382783602</v>
      </c>
      <c r="AI3056">
        <v>92.546745208577093</v>
      </c>
      <c r="AJ3056">
        <v>77.369838769370304</v>
      </c>
      <c r="AK3056">
        <v>24.902232462282601</v>
      </c>
    </row>
    <row r="3057" spans="1:37" x14ac:dyDescent="0.2">
      <c r="A3057" t="str">
        <f>"20200111153457232"</f>
        <v>20200111153457232</v>
      </c>
      <c r="B3057" t="str">
        <f>"1578728097229165"</f>
        <v>1578728097229165</v>
      </c>
      <c r="C3057" t="s">
        <v>37</v>
      </c>
      <c r="D3057">
        <v>5.1509179999999999</v>
      </c>
      <c r="E3057">
        <v>0.57548369999999904</v>
      </c>
      <c r="F3057" t="s">
        <v>50</v>
      </c>
      <c r="G3057">
        <v>-200.42439999999999</v>
      </c>
      <c r="H3057" s="1">
        <v>2.7163149999999999E-6</v>
      </c>
      <c r="I3057">
        <v>211.0575</v>
      </c>
      <c r="J3057">
        <v>-225.00210000000001</v>
      </c>
      <c r="K3057">
        <v>1.1064940000000001</v>
      </c>
      <c r="L3057">
        <v>215.27850000000001</v>
      </c>
      <c r="M3057">
        <v>0.99843249999999995</v>
      </c>
      <c r="N3057">
        <v>0</v>
      </c>
      <c r="O3057">
        <v>5.1667329999999997E-2</v>
      </c>
      <c r="P3057">
        <v>0.99902309999999905</v>
      </c>
      <c r="Q3057">
        <v>3.4817670000000002E-2</v>
      </c>
      <c r="R3057">
        <v>2.7220580000000001E-2</v>
      </c>
      <c r="S3057">
        <v>3.0213619999999999</v>
      </c>
      <c r="T3057">
        <v>-0.13386029999999999</v>
      </c>
      <c r="U3057">
        <v>-0.50808719999999996</v>
      </c>
      <c r="V3057">
        <v>2.4337319999999999E-2</v>
      </c>
      <c r="W3057">
        <v>5.6358800000000001E-2</v>
      </c>
      <c r="X3057">
        <v>0.9981139</v>
      </c>
      <c r="Y3057">
        <v>0.2163223</v>
      </c>
      <c r="Z3057">
        <v>-7.0306199999999996E-3</v>
      </c>
      <c r="AA3057">
        <v>0.97629669999999902</v>
      </c>
      <c r="AB3057">
        <v>40</v>
      </c>
      <c r="AC3057">
        <v>24.5777</v>
      </c>
      <c r="AD3057">
        <v>-1.106491283685</v>
      </c>
      <c r="AE3057">
        <v>-4.2210000000000001</v>
      </c>
      <c r="AF3057">
        <v>5.4747394843100201</v>
      </c>
      <c r="AG3057">
        <v>-1.106491283685</v>
      </c>
      <c r="AH3057">
        <v>24.2789203250085</v>
      </c>
      <c r="AI3057">
        <v>92.545573041988803</v>
      </c>
      <c r="AJ3057">
        <v>77.292704641755904</v>
      </c>
      <c r="AK3057">
        <v>24.9131103543906</v>
      </c>
    </row>
    <row r="3058" spans="1:37" x14ac:dyDescent="0.2">
      <c r="A3058" t="str">
        <f>"20200111153457254"</f>
        <v>20200111153457254</v>
      </c>
      <c r="B3058" t="str">
        <f>"1578728097248684"</f>
        <v>1578728097248684</v>
      </c>
      <c r="C3058" t="s">
        <v>37</v>
      </c>
      <c r="D3058">
        <v>5.0784570000000002</v>
      </c>
      <c r="E3058">
        <v>0.57572990000000002</v>
      </c>
      <c r="F3058" t="s">
        <v>50</v>
      </c>
      <c r="G3058">
        <v>-200.55330000000001</v>
      </c>
      <c r="H3058" s="1">
        <v>2.767425E-6</v>
      </c>
      <c r="I3058">
        <v>211.12649999999999</v>
      </c>
      <c r="J3058">
        <v>-224.60299999999901</v>
      </c>
      <c r="K3058">
        <v>1.1064339999999999</v>
      </c>
      <c r="L3058">
        <v>215.29990000000001</v>
      </c>
      <c r="M3058">
        <v>0.99839630000000001</v>
      </c>
      <c r="N3058">
        <v>0</v>
      </c>
      <c r="O3058">
        <v>5.220822E-2</v>
      </c>
      <c r="P3058">
        <v>0.99903999999999904</v>
      </c>
      <c r="Q3058">
        <v>3.4354269999999999E-2</v>
      </c>
      <c r="R3058">
        <v>2.7187599999999999E-2</v>
      </c>
      <c r="S3058">
        <v>3.0216829999999999</v>
      </c>
      <c r="T3058">
        <v>-0.1367536</v>
      </c>
      <c r="U3058">
        <v>-0.51315310000000003</v>
      </c>
      <c r="V3058">
        <v>2.492393E-2</v>
      </c>
      <c r="W3058">
        <v>5.6259780000000002E-2</v>
      </c>
      <c r="X3058">
        <v>0.99810499999999902</v>
      </c>
      <c r="Y3058">
        <v>0.21841179999999999</v>
      </c>
      <c r="Z3058">
        <v>-7.2519759999999898E-3</v>
      </c>
      <c r="AA3058">
        <v>0.97582969999999902</v>
      </c>
      <c r="AB3058">
        <v>40</v>
      </c>
      <c r="AC3058">
        <v>24.049699999999898</v>
      </c>
      <c r="AD3058">
        <v>-1.1064312325749901</v>
      </c>
      <c r="AE3058">
        <v>-4.1734000000000098</v>
      </c>
      <c r="AF3058">
        <v>5.4124776902073704</v>
      </c>
      <c r="AG3058">
        <v>-1.1064312325749901</v>
      </c>
      <c r="AH3058">
        <v>23.7501488016322</v>
      </c>
      <c r="AI3058">
        <v>92.600685779868002</v>
      </c>
      <c r="AJ3058">
        <v>77.161979322126001</v>
      </c>
      <c r="AK3058">
        <v>24.384188994491499</v>
      </c>
    </row>
    <row r="3059" spans="1:37" x14ac:dyDescent="0.2">
      <c r="A3059" t="str">
        <f>"20200111153457276"</f>
        <v>20200111153457276</v>
      </c>
      <c r="B3059" t="str">
        <f>"1578728097269182"</f>
        <v>1578728097269182</v>
      </c>
      <c r="C3059" t="s">
        <v>37</v>
      </c>
      <c r="D3059">
        <v>5.1424029999999998</v>
      </c>
      <c r="E3059">
        <v>0.57593209999999995</v>
      </c>
      <c r="F3059" t="s">
        <v>50</v>
      </c>
      <c r="G3059">
        <v>-200.76230000000001</v>
      </c>
      <c r="H3059" s="1">
        <v>2.8508380000000001E-6</v>
      </c>
      <c r="I3059">
        <v>211.23269999999999</v>
      </c>
      <c r="J3059">
        <v>-224.2028</v>
      </c>
      <c r="K3059">
        <v>1.1063379999999901</v>
      </c>
      <c r="L3059">
        <v>215.32130000000001</v>
      </c>
      <c r="M3059">
        <v>0.9983668</v>
      </c>
      <c r="N3059">
        <v>0</v>
      </c>
      <c r="O3059">
        <v>5.2626409999999998E-2</v>
      </c>
      <c r="P3059">
        <v>0.99911090000000002</v>
      </c>
      <c r="Q3059">
        <v>3.2159010000000002E-2</v>
      </c>
      <c r="R3059">
        <v>2.7268069999999998E-2</v>
      </c>
      <c r="S3059">
        <v>3.0217290000000001</v>
      </c>
      <c r="T3059">
        <v>-0.14023649999999999</v>
      </c>
      <c r="U3059">
        <v>-0.51550289999999999</v>
      </c>
      <c r="V3059">
        <v>2.528379E-2</v>
      </c>
      <c r="W3059">
        <v>5.4402489999999998E-2</v>
      </c>
      <c r="X3059">
        <v>0.9981989</v>
      </c>
      <c r="Y3059">
        <v>0.2195404</v>
      </c>
      <c r="Z3059">
        <v>-7.4811959999999999E-3</v>
      </c>
      <c r="AA3059">
        <v>0.97557469999999902</v>
      </c>
      <c r="AB3059">
        <v>40</v>
      </c>
      <c r="AC3059">
        <v>23.440499999999901</v>
      </c>
      <c r="AD3059">
        <v>-1.1063351491619999</v>
      </c>
      <c r="AE3059">
        <v>-4.0886000000000102</v>
      </c>
      <c r="AF3059">
        <v>5.3053564583652397</v>
      </c>
      <c r="AG3059">
        <v>-1.1063351491619999</v>
      </c>
      <c r="AH3059">
        <v>23.1427492629821</v>
      </c>
      <c r="AI3059">
        <v>92.667831187748703</v>
      </c>
      <c r="AJ3059">
        <v>77.088334461084102</v>
      </c>
      <c r="AK3059">
        <v>23.768837330880299</v>
      </c>
    </row>
    <row r="3060" spans="1:37" x14ac:dyDescent="0.2">
      <c r="A3060" t="str">
        <f>"20200111153457299"</f>
        <v>20200111153457299</v>
      </c>
      <c r="B3060" t="str">
        <f>"1578728097288700"</f>
        <v>1578728097288700</v>
      </c>
      <c r="C3060" t="s">
        <v>37</v>
      </c>
      <c r="D3060">
        <v>5.0856059999999896</v>
      </c>
      <c r="E3060">
        <v>0.60911130000000002</v>
      </c>
      <c r="F3060" t="s">
        <v>50</v>
      </c>
      <c r="G3060">
        <v>-200.88489999999999</v>
      </c>
      <c r="H3060" s="1">
        <v>2.8970380000000002E-6</v>
      </c>
      <c r="I3060">
        <v>211.3263</v>
      </c>
      <c r="J3060">
        <v>-223.81909999999999</v>
      </c>
      <c r="K3060">
        <v>1.106217</v>
      </c>
      <c r="L3060">
        <v>215.34190000000001</v>
      </c>
      <c r="M3060">
        <v>0.99834630000000002</v>
      </c>
      <c r="N3060">
        <v>0</v>
      </c>
      <c r="O3060">
        <v>5.2886229999999999E-2</v>
      </c>
      <c r="P3060">
        <v>0.99919809999999998</v>
      </c>
      <c r="Q3060">
        <v>2.9083640000000001E-2</v>
      </c>
      <c r="R3060">
        <v>2.7525609999999999E-2</v>
      </c>
      <c r="S3060">
        <v>3.0213779999999999</v>
      </c>
      <c r="T3060">
        <v>-0.14335139999999999</v>
      </c>
      <c r="U3060">
        <v>-0.51765439999999996</v>
      </c>
      <c r="V3060">
        <v>2.5311810000000001E-2</v>
      </c>
      <c r="W3060">
        <v>5.16193E-2</v>
      </c>
      <c r="X3060">
        <v>0.99834599999999996</v>
      </c>
      <c r="Y3060">
        <v>0.22047410000000001</v>
      </c>
      <c r="Z3060">
        <v>-7.6818619999999898E-3</v>
      </c>
      <c r="AA3060">
        <v>0.97536259999999997</v>
      </c>
      <c r="AB3060">
        <v>40</v>
      </c>
      <c r="AC3060">
        <v>22.934200000000001</v>
      </c>
      <c r="AD3060">
        <v>-1.1062141029620001</v>
      </c>
      <c r="AE3060">
        <v>-4.0156000000000001</v>
      </c>
      <c r="AF3060">
        <v>5.21142492818948</v>
      </c>
      <c r="AG3060">
        <v>-1.1062141029620001</v>
      </c>
      <c r="AH3060">
        <v>22.638561483622102</v>
      </c>
      <c r="AI3060">
        <v>92.726292168979398</v>
      </c>
      <c r="AJ3060">
        <v>77.036285061244698</v>
      </c>
      <c r="AK3060">
        <v>23.2569801451411</v>
      </c>
    </row>
    <row r="3061" spans="1:37" x14ac:dyDescent="0.2">
      <c r="A3061" t="str">
        <f>"20200111153457321"</f>
        <v>20200111153457321</v>
      </c>
      <c r="B3061" t="str">
        <f>"1578728097318969"</f>
        <v>1578728097318969</v>
      </c>
      <c r="C3061" t="s">
        <v>37</v>
      </c>
      <c r="D3061">
        <v>5.0974469999999998</v>
      </c>
      <c r="E3061">
        <v>0.61058599999999996</v>
      </c>
      <c r="F3061" t="s">
        <v>50</v>
      </c>
      <c r="G3061">
        <v>-185.8047</v>
      </c>
      <c r="H3061" s="1">
        <v>5.02183299999999E-6</v>
      </c>
      <c r="I3061">
        <v>205.5001</v>
      </c>
      <c r="J3061">
        <v>-223.4255</v>
      </c>
      <c r="K3061">
        <v>1.1060729999999901</v>
      </c>
      <c r="L3061">
        <v>215.363</v>
      </c>
      <c r="M3061">
        <v>0.99833649999999996</v>
      </c>
      <c r="N3061">
        <v>0</v>
      </c>
      <c r="O3061">
        <v>5.2955200000000001E-2</v>
      </c>
      <c r="P3061">
        <v>0.99928280000000003</v>
      </c>
      <c r="Q3061">
        <v>2.727394E-2</v>
      </c>
      <c r="R3061">
        <v>2.627254E-2</v>
      </c>
      <c r="S3061">
        <v>3.0265960000000001</v>
      </c>
      <c r="T3061">
        <v>-8.8073490000000004E-2</v>
      </c>
      <c r="U3061">
        <v>-0.78358459999999996</v>
      </c>
      <c r="V3061">
        <v>2.6658279999999999E-2</v>
      </c>
      <c r="W3061">
        <v>5.0070150000000001E-2</v>
      </c>
      <c r="X3061">
        <v>0.99838979999999999</v>
      </c>
      <c r="Y3061">
        <v>0.301421299999999</v>
      </c>
      <c r="Z3061">
        <v>-5.8317789999999996E-3</v>
      </c>
      <c r="AA3061">
        <v>0.95347320000000002</v>
      </c>
      <c r="AB3061">
        <v>40</v>
      </c>
      <c r="AC3061">
        <v>37.620800000000003</v>
      </c>
      <c r="AD3061">
        <v>-1.10606797816699</v>
      </c>
      <c r="AE3061">
        <v>-9.8628999999999891</v>
      </c>
      <c r="AF3061">
        <v>11.8322193435519</v>
      </c>
      <c r="AG3061">
        <v>-1.10606797816699</v>
      </c>
      <c r="AH3061">
        <v>37.015620580027601</v>
      </c>
      <c r="AI3061">
        <v>91.630332118184299</v>
      </c>
      <c r="AJ3061">
        <v>72.273273521103505</v>
      </c>
      <c r="AK3061">
        <v>38.876483481544597</v>
      </c>
    </row>
    <row r="3062" spans="1:37" x14ac:dyDescent="0.2">
      <c r="A3062" t="str">
        <f>"20200111153457343"</f>
        <v>20200111153457343</v>
      </c>
      <c r="B3062" t="str">
        <f>"1578728097339452"</f>
        <v>1578728097339452</v>
      </c>
      <c r="C3062" t="s">
        <v>37</v>
      </c>
      <c r="D3062">
        <v>5.3834749999999998</v>
      </c>
      <c r="E3062">
        <v>0.60692139999999895</v>
      </c>
      <c r="F3062" t="s">
        <v>50</v>
      </c>
      <c r="G3062">
        <v>-190.44589999999999</v>
      </c>
      <c r="H3062" s="1">
        <v>5.3478309999999997E-6</v>
      </c>
      <c r="I3062">
        <v>206.6549</v>
      </c>
      <c r="J3062">
        <v>-223.04050000000001</v>
      </c>
      <c r="K3062">
        <v>1.1059139999999901</v>
      </c>
      <c r="L3062">
        <v>215.38339999999999</v>
      </c>
      <c r="M3062">
        <v>0.99833930000000004</v>
      </c>
      <c r="N3062">
        <v>0</v>
      </c>
      <c r="O3062">
        <v>5.2813739999999998E-2</v>
      </c>
      <c r="P3062">
        <v>0.99931789999999998</v>
      </c>
      <c r="Q3062">
        <v>2.8080689999999998E-2</v>
      </c>
      <c r="R3062">
        <v>2.3990910000000001E-2</v>
      </c>
      <c r="S3062">
        <v>3.025925</v>
      </c>
      <c r="T3062">
        <v>-0.1014832</v>
      </c>
      <c r="U3062">
        <v>-0.79898069999999999</v>
      </c>
      <c r="V3062">
        <v>2.8818920000000001E-2</v>
      </c>
      <c r="W3062">
        <v>5.1074509999999997E-2</v>
      </c>
      <c r="X3062">
        <v>0.99827900000000003</v>
      </c>
      <c r="Y3062">
        <v>0.30582700000000002</v>
      </c>
      <c r="Z3062">
        <v>-6.7844569999999998E-3</v>
      </c>
      <c r="AA3062">
        <v>0.95206290000000005</v>
      </c>
      <c r="AB3062">
        <v>39</v>
      </c>
      <c r="AC3062">
        <v>32.5946</v>
      </c>
      <c r="AD3062">
        <v>-1.10590865216899</v>
      </c>
      <c r="AE3062">
        <v>-8.7284999999999897</v>
      </c>
      <c r="AF3062">
        <v>10.427010126505801</v>
      </c>
      <c r="AG3062">
        <v>-1.10590865216899</v>
      </c>
      <c r="AH3062">
        <v>32.053548772433402</v>
      </c>
      <c r="AI3062">
        <v>91.879177509799206</v>
      </c>
      <c r="AJ3062">
        <v>71.980308158884796</v>
      </c>
      <c r="AK3062">
        <v>33.724999081274497</v>
      </c>
    </row>
    <row r="3063" spans="1:37" x14ac:dyDescent="0.2">
      <c r="A3063" t="str">
        <f>"20200111153457366"</f>
        <v>20200111153457366</v>
      </c>
      <c r="B3063" t="str">
        <f>"1578728097358975"</f>
        <v>1578728097358975</v>
      </c>
      <c r="C3063" t="s">
        <v>37</v>
      </c>
      <c r="D3063">
        <v>5.1097099999999998</v>
      </c>
      <c r="E3063">
        <v>0.60813609999999996</v>
      </c>
      <c r="F3063" t="s">
        <v>50</v>
      </c>
      <c r="G3063">
        <v>-198.10419999999999</v>
      </c>
      <c r="H3063" s="1">
        <v>3.1311340000000001E-6</v>
      </c>
      <c r="I3063">
        <v>208.98570000000001</v>
      </c>
      <c r="J3063">
        <v>-222.64779999999999</v>
      </c>
      <c r="K3063">
        <v>1.1057410000000001</v>
      </c>
      <c r="L3063">
        <v>215.404</v>
      </c>
      <c r="M3063">
        <v>0.99835370000000001</v>
      </c>
      <c r="N3063">
        <v>0</v>
      </c>
      <c r="O3063">
        <v>5.2468529999999999E-2</v>
      </c>
      <c r="P3063">
        <v>0.99931489999999901</v>
      </c>
      <c r="Q3063">
        <v>3.0004570000000001E-2</v>
      </c>
      <c r="R3063">
        <v>2.1664639999999999E-2</v>
      </c>
      <c r="S3063">
        <v>3.0244450000000001</v>
      </c>
      <c r="T3063">
        <v>-0.13413249999999999</v>
      </c>
      <c r="U3063">
        <v>-0.77595519999999996</v>
      </c>
      <c r="V3063">
        <v>3.0821250000000001E-2</v>
      </c>
      <c r="W3063">
        <v>5.3144509999999999E-2</v>
      </c>
      <c r="X3063">
        <v>0.99811109999999903</v>
      </c>
      <c r="Y3063">
        <v>0.29868139999999999</v>
      </c>
      <c r="Z3063">
        <v>-8.8070100000000005E-3</v>
      </c>
      <c r="AA3063">
        <v>0.9543123</v>
      </c>
      <c r="AB3063">
        <v>39</v>
      </c>
      <c r="AC3063">
        <v>24.543600000000001</v>
      </c>
      <c r="AD3063">
        <v>-1.105737868866</v>
      </c>
      <c r="AE3063">
        <v>-6.4183000000000101</v>
      </c>
      <c r="AF3063">
        <v>7.6829711807863097</v>
      </c>
      <c r="AG3063">
        <v>-1.105737868866</v>
      </c>
      <c r="AH3063">
        <v>24.127089917467899</v>
      </c>
      <c r="AI3063">
        <v>92.500466343503604</v>
      </c>
      <c r="AJ3063">
        <v>72.336571913234906</v>
      </c>
      <c r="AK3063">
        <v>25.344963410607299</v>
      </c>
    </row>
    <row r="3064" spans="1:37" x14ac:dyDescent="0.2">
      <c r="A3064" t="str">
        <f>"20200111153457388"</f>
        <v>20200111153457388</v>
      </c>
      <c r="B3064" t="str">
        <f>"1578728097379468"</f>
        <v>1578728097379468</v>
      </c>
      <c r="C3064" t="s">
        <v>37</v>
      </c>
      <c r="D3064">
        <v>5.1184609999999999</v>
      </c>
      <c r="E3064">
        <v>0.60909530000000001</v>
      </c>
      <c r="F3064" t="s">
        <v>50</v>
      </c>
      <c r="G3064">
        <v>-196.20079999999999</v>
      </c>
      <c r="H3064" s="1">
        <v>3.6059219999999998E-6</v>
      </c>
      <c r="I3064">
        <v>208.46780000000001</v>
      </c>
      <c r="J3064">
        <v>-222.26990000000001</v>
      </c>
      <c r="K3064">
        <v>1.1055539999999999</v>
      </c>
      <c r="L3064">
        <v>215.42339999999999</v>
      </c>
      <c r="M3064">
        <v>0.99837969999999898</v>
      </c>
      <c r="N3064">
        <v>0</v>
      </c>
      <c r="O3064">
        <v>5.1917169999999999E-2</v>
      </c>
      <c r="P3064">
        <v>0.99934120000000004</v>
      </c>
      <c r="Q3064">
        <v>3.0976940000000001E-2</v>
      </c>
      <c r="R3064">
        <v>1.8914239999999999E-2</v>
      </c>
      <c r="S3064">
        <v>3.023056</v>
      </c>
      <c r="T3064">
        <v>-0.12639259999999999</v>
      </c>
      <c r="U3064">
        <v>-0.79284670000000002</v>
      </c>
      <c r="V3064">
        <v>3.3044110000000002E-2</v>
      </c>
      <c r="W3064">
        <v>5.4217750000000002E-2</v>
      </c>
      <c r="X3064">
        <v>0.99798220000000004</v>
      </c>
      <c r="Y3064">
        <v>0.30328569999999999</v>
      </c>
      <c r="Z3064">
        <v>-8.3691919999999993E-3</v>
      </c>
      <c r="AA3064">
        <v>0.95286289999999996</v>
      </c>
      <c r="AB3064">
        <v>39</v>
      </c>
      <c r="AC3064">
        <v>26.069099999999999</v>
      </c>
      <c r="AD3064">
        <v>-1.105550394078</v>
      </c>
      <c r="AE3064">
        <v>-6.9555999999999703</v>
      </c>
      <c r="AF3064">
        <v>8.2861037816253997</v>
      </c>
      <c r="AG3064">
        <v>-1.105550394078</v>
      </c>
      <c r="AH3064">
        <v>25.6296798546155</v>
      </c>
      <c r="AI3064">
        <v>92.350318947918794</v>
      </c>
      <c r="AJ3064">
        <v>72.083922647301605</v>
      </c>
      <c r="AK3064">
        <v>26.958528279633502</v>
      </c>
    </row>
    <row r="3065" spans="1:37" x14ac:dyDescent="0.2">
      <c r="A3065" t="str">
        <f>"20200111153457410"</f>
        <v>20200111153457410</v>
      </c>
      <c r="B3065" t="str">
        <f>"1578728097398988"</f>
        <v>1578728097398988</v>
      </c>
      <c r="C3065" t="s">
        <v>37</v>
      </c>
      <c r="D3065">
        <v>5.0810079999999997</v>
      </c>
      <c r="E3065">
        <v>0.610052699999999</v>
      </c>
      <c r="F3065" t="s">
        <v>50</v>
      </c>
      <c r="G3065">
        <v>-195.14500000000001</v>
      </c>
      <c r="H3065" s="1">
        <v>3.8742629999999999E-6</v>
      </c>
      <c r="I3065">
        <v>208.1617</v>
      </c>
      <c r="J3065">
        <v>-221.8905</v>
      </c>
      <c r="K3065">
        <v>1.1053299999999999</v>
      </c>
      <c r="L3065">
        <v>215.44239999999999</v>
      </c>
      <c r="M3065">
        <v>0.99841970000000002</v>
      </c>
      <c r="N3065">
        <v>0</v>
      </c>
      <c r="O3065">
        <v>5.110812E-2</v>
      </c>
      <c r="P3065">
        <v>0.99939999999999996</v>
      </c>
      <c r="Q3065">
        <v>3.0782629999999998E-2</v>
      </c>
      <c r="R3065">
        <v>1.5886770000000001E-2</v>
      </c>
      <c r="S3065">
        <v>3.021118</v>
      </c>
      <c r="T3065">
        <v>-0.12313389999999901</v>
      </c>
      <c r="U3065">
        <v>-0.80879209999999901</v>
      </c>
      <c r="V3065">
        <v>3.5290700000000001E-2</v>
      </c>
      <c r="W3065">
        <v>5.4083949999999999E-2</v>
      </c>
      <c r="X3065">
        <v>0.99791260000000004</v>
      </c>
      <c r="Y3065">
        <v>0.30737219999999998</v>
      </c>
      <c r="Z3065">
        <v>-8.2026310000000002E-3</v>
      </c>
      <c r="AA3065">
        <v>0.95155400000000001</v>
      </c>
      <c r="AB3065">
        <v>39</v>
      </c>
      <c r="AC3065">
        <v>26.7455</v>
      </c>
      <c r="AD3065">
        <v>-1.105326125737</v>
      </c>
      <c r="AE3065">
        <v>-7.2806999999999897</v>
      </c>
      <c r="AF3065">
        <v>8.6247509443891506</v>
      </c>
      <c r="AG3065">
        <v>-1.105326125737</v>
      </c>
      <c r="AH3065">
        <v>26.2965084768663</v>
      </c>
      <c r="AI3065">
        <v>92.287169432097599</v>
      </c>
      <c r="AJ3065">
        <v>71.841500683588194</v>
      </c>
      <c r="AK3065">
        <v>27.696830735137901</v>
      </c>
    </row>
    <row r="3066" spans="1:37" x14ac:dyDescent="0.2">
      <c r="A3066" t="str">
        <f>"20200111153457433"</f>
        <v>20200111153457433</v>
      </c>
      <c r="B3066" t="str">
        <f>"1578728097429245"</f>
        <v>1578728097429245</v>
      </c>
      <c r="C3066" t="s">
        <v>37</v>
      </c>
      <c r="D3066">
        <v>5.4132449999999999</v>
      </c>
      <c r="E3066">
        <v>0.60562680000000002</v>
      </c>
      <c r="F3066" t="s">
        <v>50</v>
      </c>
      <c r="G3066">
        <v>-194.14789999999999</v>
      </c>
      <c r="H3066" s="1">
        <v>4.1320450000000002E-6</v>
      </c>
      <c r="I3066">
        <v>207.8561</v>
      </c>
      <c r="J3066">
        <v>-221.50799999999899</v>
      </c>
      <c r="K3066">
        <v>1.10507</v>
      </c>
      <c r="L3066">
        <v>215.46099999999899</v>
      </c>
      <c r="M3066">
        <v>0.99847439999999998</v>
      </c>
      <c r="N3066">
        <v>0</v>
      </c>
      <c r="O3066">
        <v>5.0002440000000002E-2</v>
      </c>
      <c r="P3066">
        <v>0.99944299999999997</v>
      </c>
      <c r="Q3066">
        <v>3.0885039999999999E-2</v>
      </c>
      <c r="R3066">
        <v>1.264701E-2</v>
      </c>
      <c r="S3066">
        <v>3.0186310000000001</v>
      </c>
      <c r="T3066">
        <v>-0.12026920000000001</v>
      </c>
      <c r="U3066">
        <v>-0.82545469999999899</v>
      </c>
      <c r="V3066">
        <v>3.7456400000000001E-2</v>
      </c>
      <c r="W3066">
        <v>5.4208230000000003E-2</v>
      </c>
      <c r="X3066">
        <v>0.99782689999999996</v>
      </c>
      <c r="Y3066">
        <v>0.31141629999999998</v>
      </c>
      <c r="Z3066">
        <v>-8.0484330000000007E-3</v>
      </c>
      <c r="AA3066">
        <v>0.95023950000000001</v>
      </c>
      <c r="AB3066">
        <v>38</v>
      </c>
      <c r="AC3066">
        <v>27.3600999999999</v>
      </c>
      <c r="AD3066">
        <v>-1.1050658679550001</v>
      </c>
      <c r="AE3066">
        <v>-7.6048999999999802</v>
      </c>
      <c r="AF3066">
        <v>8.9502752923756308</v>
      </c>
      <c r="AG3066">
        <v>-1.1050658679550001</v>
      </c>
      <c r="AH3066">
        <v>26.904745745920099</v>
      </c>
      <c r="AI3066">
        <v>92.231877662437</v>
      </c>
      <c r="AJ3066">
        <v>71.5995060628982</v>
      </c>
      <c r="AK3066">
        <v>28.375939491661502</v>
      </c>
    </row>
    <row r="3067" spans="1:37" x14ac:dyDescent="0.2">
      <c r="A3067" t="str">
        <f>"20200111153457456"</f>
        <v>20200111153457456</v>
      </c>
      <c r="B3067" t="str">
        <f>"1578728097448764"</f>
        <v>1578728097448764</v>
      </c>
      <c r="C3067" t="s">
        <v>37</v>
      </c>
      <c r="D3067">
        <v>5.367108</v>
      </c>
      <c r="E3067">
        <v>0.60371090000000005</v>
      </c>
      <c r="F3067" t="s">
        <v>50</v>
      </c>
      <c r="G3067">
        <v>-200.73330000000001</v>
      </c>
      <c r="H3067" s="1">
        <v>2.949529E-6</v>
      </c>
      <c r="I3067">
        <v>209.95679999999999</v>
      </c>
      <c r="J3067">
        <v>-221.11519999999999</v>
      </c>
      <c r="K3067">
        <v>1.104768</v>
      </c>
      <c r="L3067">
        <v>215.47929999999999</v>
      </c>
      <c r="M3067">
        <v>0.99854609999999899</v>
      </c>
      <c r="N3067">
        <v>0</v>
      </c>
      <c r="O3067">
        <v>4.8534319999999999E-2</v>
      </c>
      <c r="P3067">
        <v>0.99948879999999996</v>
      </c>
      <c r="Q3067">
        <v>3.0384979999999999E-2</v>
      </c>
      <c r="R3067">
        <v>9.9619670000000004E-3</v>
      </c>
      <c r="S3067">
        <v>3.0167389999999998</v>
      </c>
      <c r="T3067">
        <v>-0.16046939999999901</v>
      </c>
      <c r="U3067">
        <v>-0.79928589999999999</v>
      </c>
      <c r="V3067">
        <v>3.870958E-2</v>
      </c>
      <c r="W3067">
        <v>5.37078E-2</v>
      </c>
      <c r="X3067">
        <v>0.99780609999999903</v>
      </c>
      <c r="Y3067">
        <v>0.30227490000000001</v>
      </c>
      <c r="Z3067">
        <v>-1.043797E-2</v>
      </c>
      <c r="AA3067">
        <v>0.9531636</v>
      </c>
      <c r="AB3067">
        <v>38</v>
      </c>
      <c r="AC3067">
        <v>20.381899999999899</v>
      </c>
      <c r="AD3067">
        <v>-1.1047650504709901</v>
      </c>
      <c r="AE3067">
        <v>-5.5225</v>
      </c>
      <c r="AF3067">
        <v>6.4877248523139999</v>
      </c>
      <c r="AG3067">
        <v>-1.1047650504709901</v>
      </c>
      <c r="AH3067">
        <v>20.034925849176901</v>
      </c>
      <c r="AI3067">
        <v>93.002985885382401</v>
      </c>
      <c r="AJ3067">
        <v>72.056970385325599</v>
      </c>
      <c r="AK3067">
        <v>21.088132524196901</v>
      </c>
    </row>
    <row r="3068" spans="1:37" x14ac:dyDescent="0.2">
      <c r="A3068" t="str">
        <f>"20200111153457479"</f>
        <v>20200111153457479</v>
      </c>
      <c r="B3068" t="str">
        <f>"1578728097469262"</f>
        <v>1578728097469262</v>
      </c>
      <c r="C3068" t="s">
        <v>37</v>
      </c>
      <c r="D3068">
        <v>5.3990989999999996</v>
      </c>
      <c r="E3068">
        <v>0.60290180000000004</v>
      </c>
      <c r="F3068" t="s">
        <v>50</v>
      </c>
      <c r="G3068">
        <v>-202.67500000000001</v>
      </c>
      <c r="H3068" s="1">
        <v>3.7513629999999998E-6</v>
      </c>
      <c r="I3068">
        <v>210.63419999999999</v>
      </c>
      <c r="J3068">
        <v>-220.7337</v>
      </c>
      <c r="K3068">
        <v>1.1044350000000001</v>
      </c>
      <c r="L3068">
        <v>215.49619999999999</v>
      </c>
      <c r="M3068">
        <v>0.99863119999999905</v>
      </c>
      <c r="N3068">
        <v>0</v>
      </c>
      <c r="O3068">
        <v>4.674731E-2</v>
      </c>
      <c r="P3068">
        <v>0.9995617</v>
      </c>
      <c r="Q3068">
        <v>2.884198E-2</v>
      </c>
      <c r="R3068">
        <v>6.6962790000000003E-3</v>
      </c>
      <c r="S3068">
        <v>3.0149080000000001</v>
      </c>
      <c r="T3068">
        <v>-0.1806246</v>
      </c>
      <c r="U3068">
        <v>-0.79215999999999998</v>
      </c>
      <c r="V3068">
        <v>4.0223589999999997E-2</v>
      </c>
      <c r="W3068">
        <v>5.2138820000000002E-2</v>
      </c>
      <c r="X3068">
        <v>0.99782939999999998</v>
      </c>
      <c r="Y3068">
        <v>0.29848859999999999</v>
      </c>
      <c r="Z3068">
        <v>-1.154034E-2</v>
      </c>
      <c r="AA3068">
        <v>0.95434339999999995</v>
      </c>
      <c r="AB3068">
        <v>38</v>
      </c>
      <c r="AC3068">
        <v>18.058699999999899</v>
      </c>
      <c r="AD3068">
        <v>-1.104431248637</v>
      </c>
      <c r="AE3068">
        <v>-4.8619999999999903</v>
      </c>
      <c r="AF3068">
        <v>5.6812963003667099</v>
      </c>
      <c r="AG3068">
        <v>-1.104431248637</v>
      </c>
      <c r="AH3068">
        <v>17.749696559823501</v>
      </c>
      <c r="AI3068">
        <v>93.391433179728196</v>
      </c>
      <c r="AJ3068">
        <v>72.251248387887401</v>
      </c>
      <c r="AK3068">
        <v>18.669456981962199</v>
      </c>
    </row>
    <row r="3069" spans="1:37" x14ac:dyDescent="0.2">
      <c r="A3069" t="str">
        <f>"20200111153457500"</f>
        <v>20200111153457500</v>
      </c>
      <c r="B3069" t="str">
        <f>"1578728097488781"</f>
        <v>1578728097488781</v>
      </c>
      <c r="C3069" t="s">
        <v>37</v>
      </c>
      <c r="D3069">
        <v>5.3972530000000001</v>
      </c>
      <c r="E3069">
        <v>0.58720519999999998</v>
      </c>
      <c r="F3069" t="s">
        <v>50</v>
      </c>
      <c r="G3069">
        <v>-203.3329</v>
      </c>
      <c r="H3069" s="1">
        <v>4.0202330000000003E-6</v>
      </c>
      <c r="I3069">
        <v>210.89609999999999</v>
      </c>
      <c r="J3069">
        <v>-220.3793</v>
      </c>
      <c r="K3069">
        <v>1.1040989999999999</v>
      </c>
      <c r="L3069">
        <v>215.51079999999999</v>
      </c>
      <c r="M3069">
        <v>0.99872479999999997</v>
      </c>
      <c r="N3069">
        <v>0</v>
      </c>
      <c r="O3069">
        <v>4.4714530000000002E-2</v>
      </c>
      <c r="P3069">
        <v>0.99964509999999995</v>
      </c>
      <c r="Q3069">
        <v>2.6498130000000002E-2</v>
      </c>
      <c r="R3069">
        <v>2.770247E-3</v>
      </c>
      <c r="S3069">
        <v>3.0121609999999999</v>
      </c>
      <c r="T3069">
        <v>-0.19118289999999999</v>
      </c>
      <c r="U3069">
        <v>-0.79629519999999998</v>
      </c>
      <c r="V3069">
        <v>4.2146570000000001E-2</v>
      </c>
      <c r="W3069">
        <v>4.9728689999999999E-2</v>
      </c>
      <c r="X3069">
        <v>0.99787309999999996</v>
      </c>
      <c r="Y3069">
        <v>0.2979194</v>
      </c>
      <c r="Z3069">
        <v>-1.2077569999999999E-2</v>
      </c>
      <c r="AA3069">
        <v>0.95451459999999999</v>
      </c>
      <c r="AB3069">
        <v>38</v>
      </c>
      <c r="AC3069">
        <v>17.046399999999998</v>
      </c>
      <c r="AD3069">
        <v>-1.1040949797669899</v>
      </c>
      <c r="AE3069">
        <v>-4.6146999999999903</v>
      </c>
      <c r="AF3069">
        <v>5.3515953245606402</v>
      </c>
      <c r="AG3069">
        <v>-1.1040949797669899</v>
      </c>
      <c r="AH3069">
        <v>16.757440298445999</v>
      </c>
      <c r="AI3069">
        <v>93.591398148479797</v>
      </c>
      <c r="AJ3069">
        <v>72.288786375507996</v>
      </c>
      <c r="AK3069">
        <v>17.6258447626827</v>
      </c>
    </row>
    <row r="3070" spans="1:37" x14ac:dyDescent="0.2">
      <c r="A3070" t="str">
        <f>"20200111153457523"</f>
        <v>20200111153457523</v>
      </c>
      <c r="B3070" t="str">
        <f>"1578728097519037"</f>
        <v>1578728097519037</v>
      </c>
      <c r="C3070" t="s">
        <v>37</v>
      </c>
      <c r="D3070">
        <v>5.2189439999999996</v>
      </c>
      <c r="E3070">
        <v>0.59531219999999996</v>
      </c>
      <c r="F3070" t="s">
        <v>52</v>
      </c>
      <c r="G3070">
        <v>-211.2319</v>
      </c>
      <c r="H3070" s="1">
        <v>-8.2990789999999995E-7</v>
      </c>
      <c r="I3070">
        <v>213.44220000000001</v>
      </c>
      <c r="J3070">
        <v>-219.99959999999999</v>
      </c>
      <c r="K3070">
        <v>1.1037319999999999</v>
      </c>
      <c r="L3070">
        <v>215.52520000000001</v>
      </c>
      <c r="M3070">
        <v>0.99883829999999996</v>
      </c>
      <c r="N3070">
        <v>0</v>
      </c>
      <c r="O3070">
        <v>4.2144399999999999E-2</v>
      </c>
      <c r="P3070">
        <v>0.99968780000000002</v>
      </c>
      <c r="Q3070">
        <v>2.485822E-2</v>
      </c>
      <c r="R3070">
        <v>-2.6497579999999999E-3</v>
      </c>
      <c r="S3070">
        <v>3.01258899999999</v>
      </c>
      <c r="T3070">
        <v>-0.36362090000000002</v>
      </c>
      <c r="U3070">
        <v>-0.6812897</v>
      </c>
      <c r="V3070">
        <v>4.5026459999999997E-2</v>
      </c>
      <c r="W3070">
        <v>4.7971729999999997E-2</v>
      </c>
      <c r="X3070">
        <v>0.99783330000000003</v>
      </c>
      <c r="Y3070">
        <v>0.25941149999999902</v>
      </c>
      <c r="Z3070">
        <v>-2.0418530000000001E-2</v>
      </c>
      <c r="AA3070">
        <v>0.96555100000000005</v>
      </c>
      <c r="AB3070">
        <v>37</v>
      </c>
      <c r="AC3070">
        <v>8.7676999999999907</v>
      </c>
      <c r="AD3070">
        <v>-1.1037328299078999</v>
      </c>
      <c r="AE3070">
        <v>-2.08299999999999</v>
      </c>
      <c r="AF3070">
        <v>2.4145389596174498</v>
      </c>
      <c r="AG3070">
        <v>-1.1037328299078999</v>
      </c>
      <c r="AH3070">
        <v>8.5439304715225806</v>
      </c>
      <c r="AI3070">
        <v>97.086338876906296</v>
      </c>
      <c r="AJ3070">
        <v>74.219557731254596</v>
      </c>
      <c r="AK3070">
        <v>8.9468973644241103</v>
      </c>
    </row>
    <row r="3071" spans="1:37" x14ac:dyDescent="0.2">
      <c r="A3071" t="str">
        <f>"20200111153457545"</f>
        <v>20200111153457545</v>
      </c>
      <c r="B3071" t="str">
        <f>"1578728097539532"</f>
        <v>1578728097539532</v>
      </c>
      <c r="C3071" t="s">
        <v>37</v>
      </c>
      <c r="D3071">
        <v>5.421576</v>
      </c>
      <c r="E3071">
        <v>0.59362280000000001</v>
      </c>
      <c r="F3071" t="s">
        <v>50</v>
      </c>
      <c r="G3071">
        <v>-207.72389999999999</v>
      </c>
      <c r="H3071" s="1">
        <v>5.8354579999999902E-6</v>
      </c>
      <c r="I3071">
        <v>212.4059</v>
      </c>
      <c r="J3071">
        <v>-219.63200000000001</v>
      </c>
      <c r="K3071">
        <v>1.1033930000000001</v>
      </c>
      <c r="L3071">
        <v>215.53790000000001</v>
      </c>
      <c r="M3071">
        <v>0.99895499999999904</v>
      </c>
      <c r="N3071">
        <v>0</v>
      </c>
      <c r="O3071">
        <v>3.9334649999999999E-2</v>
      </c>
      <c r="P3071">
        <v>0.99969390000000002</v>
      </c>
      <c r="Q3071">
        <v>2.3338049999999999E-2</v>
      </c>
      <c r="R3071">
        <v>-8.2135919999999901E-3</v>
      </c>
      <c r="S3071">
        <v>3.0056150000000001</v>
      </c>
      <c r="T3071">
        <v>-0.27023900000000001</v>
      </c>
      <c r="U3071">
        <v>-0.76373290000000005</v>
      </c>
      <c r="V3071">
        <v>4.7804329999999999E-2</v>
      </c>
      <c r="W3071">
        <v>4.6303699999999899E-2</v>
      </c>
      <c r="X3071">
        <v>0.99778289999999903</v>
      </c>
      <c r="Y3071">
        <v>0.28299380000000002</v>
      </c>
      <c r="Z3071">
        <v>-1.5978309999999999E-2</v>
      </c>
      <c r="AA3071">
        <v>0.95898869999999903</v>
      </c>
      <c r="AB3071">
        <v>37</v>
      </c>
      <c r="AC3071">
        <v>11.908099999999999</v>
      </c>
      <c r="AD3071">
        <v>-1.1033871645419999</v>
      </c>
      <c r="AE3071">
        <v>-3.1320000000000001</v>
      </c>
      <c r="AF3071">
        <v>3.5694396776855699</v>
      </c>
      <c r="AG3071">
        <v>-1.1033871645419999</v>
      </c>
      <c r="AH3071">
        <v>11.681843250117</v>
      </c>
      <c r="AI3071">
        <v>95.1615462595298</v>
      </c>
      <c r="AJ3071">
        <v>73.009232451734405</v>
      </c>
      <c r="AK3071">
        <v>12.2647390745917</v>
      </c>
    </row>
    <row r="3072" spans="1:37" x14ac:dyDescent="0.2">
      <c r="A3072" t="str">
        <f>"20200111153457567"</f>
        <v>20200111153457567</v>
      </c>
      <c r="B3072" t="str">
        <f>"1578728097559052"</f>
        <v>1578728097559052</v>
      </c>
      <c r="C3072" t="s">
        <v>37</v>
      </c>
      <c r="D3072">
        <v>5.4226839999999896</v>
      </c>
      <c r="E3072">
        <v>0.59258480000000002</v>
      </c>
      <c r="F3072" t="s">
        <v>50</v>
      </c>
      <c r="G3072">
        <v>-208.50630000000001</v>
      </c>
      <c r="H3072" s="1">
        <v>6.1571879999999998E-6</v>
      </c>
      <c r="I3072">
        <v>212.69479999999999</v>
      </c>
      <c r="J3072">
        <v>-219.2595</v>
      </c>
      <c r="K3072">
        <v>1.1030819999999999</v>
      </c>
      <c r="L3072">
        <v>215.54939999999999</v>
      </c>
      <c r="M3072">
        <v>0.99907739999999901</v>
      </c>
      <c r="N3072">
        <v>0</v>
      </c>
      <c r="O3072">
        <v>3.6165040000000002E-2</v>
      </c>
      <c r="P3072">
        <v>0.99964580000000003</v>
      </c>
      <c r="Q3072">
        <v>2.291429E-2</v>
      </c>
      <c r="R3072">
        <v>-1.354287E-2</v>
      </c>
      <c r="S3072">
        <v>3.0015869999999998</v>
      </c>
      <c r="T3072">
        <v>-0.29768139999999998</v>
      </c>
      <c r="U3072">
        <v>-0.76704410000000001</v>
      </c>
      <c r="V3072">
        <v>4.9989470000000001E-2</v>
      </c>
      <c r="W3072">
        <v>4.5716390000000003E-2</v>
      </c>
      <c r="X3072">
        <v>0.99770289999999995</v>
      </c>
      <c r="Y3072">
        <v>0.28101189999999998</v>
      </c>
      <c r="Z3072">
        <v>-1.7208339999999999E-2</v>
      </c>
      <c r="AA3072">
        <v>0.95955000000000001</v>
      </c>
      <c r="AB3072">
        <v>37</v>
      </c>
      <c r="AC3072">
        <v>10.7531999999999</v>
      </c>
      <c r="AD3072">
        <v>-1.103075842812</v>
      </c>
      <c r="AE3072">
        <v>-2.8546</v>
      </c>
      <c r="AF3072">
        <v>3.2101694215362002</v>
      </c>
      <c r="AG3072">
        <v>-1.103075842812</v>
      </c>
      <c r="AH3072">
        <v>10.539294555421399</v>
      </c>
      <c r="AI3072">
        <v>95.717499028760798</v>
      </c>
      <c r="AJ3072">
        <v>73.059760228553699</v>
      </c>
      <c r="AK3072">
        <v>11.072429442353499</v>
      </c>
    </row>
    <row r="3073" spans="1:37" x14ac:dyDescent="0.2">
      <c r="A3073" t="str">
        <f>"20200111153457589"</f>
        <v>20200111153457589</v>
      </c>
      <c r="B3073" t="str">
        <f>"1578728097579549"</f>
        <v>1578728097579549</v>
      </c>
      <c r="C3073" t="s">
        <v>37</v>
      </c>
      <c r="D3073">
        <v>5.4037110000000004</v>
      </c>
      <c r="E3073">
        <v>0.59215150000000005</v>
      </c>
      <c r="F3073" t="s">
        <v>50</v>
      </c>
      <c r="G3073">
        <v>-208.54689999999999</v>
      </c>
      <c r="H3073" s="1">
        <v>6.1680640000000001E-6</v>
      </c>
      <c r="I3073">
        <v>212.77590000000001</v>
      </c>
      <c r="J3073">
        <v>-218.90029999999999</v>
      </c>
      <c r="K3073">
        <v>1.1028039999999999</v>
      </c>
      <c r="L3073">
        <v>215.5591</v>
      </c>
      <c r="M3073">
        <v>0.99919639999999998</v>
      </c>
      <c r="N3073">
        <v>0</v>
      </c>
      <c r="O3073">
        <v>3.2798840000000003E-2</v>
      </c>
      <c r="P3073">
        <v>0.99955769999999899</v>
      </c>
      <c r="Q3073">
        <v>2.2916880000000001E-2</v>
      </c>
      <c r="R3073">
        <v>-1.896399E-2</v>
      </c>
      <c r="S3073">
        <v>2.9975890000000001</v>
      </c>
      <c r="T3073">
        <v>-0.30866090000000002</v>
      </c>
      <c r="U3073">
        <v>-0.77607729999999997</v>
      </c>
      <c r="V3073">
        <v>5.2069619999999997E-2</v>
      </c>
      <c r="W3073">
        <v>4.5552530000000001E-2</v>
      </c>
      <c r="X3073">
        <v>0.99760400000000005</v>
      </c>
      <c r="Y3073">
        <v>0.28070509999999999</v>
      </c>
      <c r="Z3073">
        <v>-1.750003E-2</v>
      </c>
      <c r="AA3073">
        <v>0.95963449999999995</v>
      </c>
      <c r="AB3073">
        <v>37</v>
      </c>
      <c r="AC3073">
        <v>10.353399999999899</v>
      </c>
      <c r="AD3073">
        <v>-1.1027978319359999</v>
      </c>
      <c r="AE3073">
        <v>-2.7831999999999901</v>
      </c>
      <c r="AF3073">
        <v>3.0886902076440599</v>
      </c>
      <c r="AG3073">
        <v>-1.1027978319359999</v>
      </c>
      <c r="AH3073">
        <v>10.1491293910442</v>
      </c>
      <c r="AI3073">
        <v>95.934698987718406</v>
      </c>
      <c r="AJ3073">
        <v>73.073392469473404</v>
      </c>
      <c r="AK3073">
        <v>10.665880069318</v>
      </c>
    </row>
    <row r="3074" spans="1:37" x14ac:dyDescent="0.2">
      <c r="A3074" t="str">
        <f>"20200111153457611"</f>
        <v>20200111153457611</v>
      </c>
      <c r="B3074" t="str">
        <f>"1578728097599069"</f>
        <v>1578728097599069</v>
      </c>
      <c r="C3074" t="s">
        <v>37</v>
      </c>
      <c r="D3074">
        <v>5.412363</v>
      </c>
      <c r="E3074">
        <v>0.59208149999999904</v>
      </c>
      <c r="F3074" t="s">
        <v>50</v>
      </c>
      <c r="G3074">
        <v>-208.2876</v>
      </c>
      <c r="H3074" s="1">
        <v>6.0544729999999997E-6</v>
      </c>
      <c r="I3074">
        <v>212.76</v>
      </c>
      <c r="J3074">
        <v>-218.53440000000001</v>
      </c>
      <c r="K3074">
        <v>1.102533</v>
      </c>
      <c r="L3074">
        <v>215.56739999999999</v>
      </c>
      <c r="M3074">
        <v>0.99931479999999995</v>
      </c>
      <c r="N3074">
        <v>0</v>
      </c>
      <c r="O3074">
        <v>2.905862E-2</v>
      </c>
      <c r="P3074">
        <v>0.99937989999999999</v>
      </c>
      <c r="Q3074">
        <v>2.3606780000000001E-2</v>
      </c>
      <c r="R3074">
        <v>-2.6123150000000001E-2</v>
      </c>
      <c r="S3074">
        <v>2.993484</v>
      </c>
      <c r="T3074">
        <v>-0.31106129999999999</v>
      </c>
      <c r="U3074">
        <v>-0.78952029999999995</v>
      </c>
      <c r="V3074">
        <v>5.5518060000000001E-2</v>
      </c>
      <c r="W3074">
        <v>4.6052200000000001E-2</v>
      </c>
      <c r="X3074">
        <v>0.99739509999999898</v>
      </c>
      <c r="Y3074">
        <v>0.28145619999999999</v>
      </c>
      <c r="Z3074">
        <v>-1.7305379999999999E-2</v>
      </c>
      <c r="AA3074">
        <v>0.95941799999999999</v>
      </c>
      <c r="AB3074">
        <v>37</v>
      </c>
      <c r="AC3074">
        <v>10.2468</v>
      </c>
      <c r="AD3074">
        <v>-1.1025269455269999</v>
      </c>
      <c r="AE3074">
        <v>-2.8073999999999999</v>
      </c>
      <c r="AF3074">
        <v>3.0709791955743202</v>
      </c>
      <c r="AG3074">
        <v>-1.1025269455269999</v>
      </c>
      <c r="AH3074">
        <v>10.052615314069399</v>
      </c>
      <c r="AI3074">
        <v>95.987879948121005</v>
      </c>
      <c r="AJ3074">
        <v>73.012582151458005</v>
      </c>
      <c r="AK3074">
        <v>10.5688955685031</v>
      </c>
    </row>
    <row r="3075" spans="1:37" x14ac:dyDescent="0.2">
      <c r="A3075" t="str">
        <f>"20200111153457635"</f>
        <v>20200111153457635</v>
      </c>
      <c r="B3075" t="str">
        <f>"1578728097629324"</f>
        <v>1578728097629324</v>
      </c>
      <c r="C3075" t="s">
        <v>37</v>
      </c>
      <c r="D3075">
        <v>5.125006</v>
      </c>
      <c r="E3075">
        <v>0.59409789999999996</v>
      </c>
      <c r="F3075" t="s">
        <v>50</v>
      </c>
      <c r="G3075">
        <v>-208.07299999999901</v>
      </c>
      <c r="H3075" s="1">
        <v>5.9618600000000002E-6</v>
      </c>
      <c r="I3075">
        <v>212.73099999999999</v>
      </c>
      <c r="J3075">
        <v>-218.15389999999999</v>
      </c>
      <c r="K3075">
        <v>1.102244</v>
      </c>
      <c r="L3075">
        <v>215.57419999999999</v>
      </c>
      <c r="M3075">
        <v>0.99943130000000002</v>
      </c>
      <c r="N3075">
        <v>0</v>
      </c>
      <c r="O3075">
        <v>2.485163E-2</v>
      </c>
      <c r="P3075">
        <v>0.99906589999999995</v>
      </c>
      <c r="Q3075">
        <v>2.5936859999999999E-2</v>
      </c>
      <c r="R3075">
        <v>-3.456584E-2</v>
      </c>
      <c r="S3075">
        <v>2.9881289999999998</v>
      </c>
      <c r="T3075">
        <v>-0.31491920000000001</v>
      </c>
      <c r="U3075">
        <v>-0.81015009999999998</v>
      </c>
      <c r="V3075">
        <v>5.9798759999999999E-2</v>
      </c>
      <c r="W3075">
        <v>4.817225E-2</v>
      </c>
      <c r="X3075">
        <v>0.99704740000000003</v>
      </c>
      <c r="Y3075">
        <v>0.28399059999999998</v>
      </c>
      <c r="Z3075">
        <v>-1.7229589999999999E-2</v>
      </c>
      <c r="AA3075">
        <v>0.95867219999999997</v>
      </c>
      <c r="AB3075">
        <v>37</v>
      </c>
      <c r="AC3075">
        <v>10.0809</v>
      </c>
      <c r="AD3075">
        <v>-1.1022380381400001</v>
      </c>
      <c r="AE3075">
        <v>-2.8431999999999902</v>
      </c>
      <c r="AF3075">
        <v>3.05903702040405</v>
      </c>
      <c r="AG3075">
        <v>-1.1022380381400001</v>
      </c>
      <c r="AH3075">
        <v>9.8975017712677005</v>
      </c>
      <c r="AI3075">
        <v>96.073378790776104</v>
      </c>
      <c r="AJ3075">
        <v>72.825104592417404</v>
      </c>
      <c r="AK3075">
        <v>10.417925777100301</v>
      </c>
    </row>
    <row r="3076" spans="1:37" x14ac:dyDescent="0.2">
      <c r="A3076" t="str">
        <f>"20200111153457656"</f>
        <v>20200111153457656</v>
      </c>
      <c r="B3076" t="str">
        <f>"1578728097648847"</f>
        <v>1578728097648847</v>
      </c>
      <c r="C3076" t="s">
        <v>37</v>
      </c>
      <c r="D3076">
        <v>5.098795</v>
      </c>
      <c r="E3076">
        <v>0.59749090000000005</v>
      </c>
      <c r="F3076" t="s">
        <v>50</v>
      </c>
      <c r="G3076">
        <v>-207.15389999999999</v>
      </c>
      <c r="H3076" s="1">
        <v>5.5800549999999902E-6</v>
      </c>
      <c r="I3076">
        <v>212.43599999999901</v>
      </c>
      <c r="J3076">
        <v>-217.7954</v>
      </c>
      <c r="K3076">
        <v>1.101979</v>
      </c>
      <c r="L3076">
        <v>215.57900000000001</v>
      </c>
      <c r="M3076">
        <v>0.99953080000000005</v>
      </c>
      <c r="N3076">
        <v>0</v>
      </c>
      <c r="O3076">
        <v>2.058594E-2</v>
      </c>
      <c r="P3076">
        <v>0.9987258</v>
      </c>
      <c r="Q3076">
        <v>2.771477E-2</v>
      </c>
      <c r="R3076">
        <v>-4.2180370000000002E-2</v>
      </c>
      <c r="S3076">
        <v>2.981125</v>
      </c>
      <c r="T3076">
        <v>-0.29871959999999997</v>
      </c>
      <c r="U3076">
        <v>-0.85050959999999998</v>
      </c>
      <c r="V3076">
        <v>6.3192730000000003E-2</v>
      </c>
      <c r="W3076">
        <v>4.976154E-2</v>
      </c>
      <c r="X3076">
        <v>0.99675999999999998</v>
      </c>
      <c r="Y3076">
        <v>0.29264119999999999</v>
      </c>
      <c r="Z3076">
        <v>-1.6360739999999999E-2</v>
      </c>
      <c r="AA3076">
        <v>0.95608230000000005</v>
      </c>
      <c r="AB3076">
        <v>36</v>
      </c>
      <c r="AC3076">
        <v>10.641500000000001</v>
      </c>
      <c r="AD3076">
        <v>-1.101973419945</v>
      </c>
      <c r="AE3076">
        <v>-3.1430000000000202</v>
      </c>
      <c r="AF3076">
        <v>3.3286246800916102</v>
      </c>
      <c r="AG3076">
        <v>-1.101973419945</v>
      </c>
      <c r="AH3076">
        <v>10.471246489088999</v>
      </c>
      <c r="AI3076">
        <v>95.727197738764602</v>
      </c>
      <c r="AJ3076">
        <v>72.365456803293597</v>
      </c>
      <c r="AK3076">
        <v>11.0426939971385</v>
      </c>
    </row>
    <row r="3077" spans="1:37" x14ac:dyDescent="0.2">
      <c r="A3077" t="str">
        <f>"20200111153457679"</f>
        <v>20200111153457679</v>
      </c>
      <c r="B3077" t="str">
        <f>"1578728097669341"</f>
        <v>1578728097669341</v>
      </c>
      <c r="C3077" t="s">
        <v>37</v>
      </c>
      <c r="D3077">
        <v>5.1334460000000002</v>
      </c>
      <c r="E3077">
        <v>0.60028769999999998</v>
      </c>
      <c r="F3077" t="s">
        <v>50</v>
      </c>
      <c r="G3077">
        <v>-205.63829999999999</v>
      </c>
      <c r="H3077" s="1">
        <v>4.9550189999999901E-6</v>
      </c>
      <c r="I3077">
        <v>211.89760000000001</v>
      </c>
      <c r="J3077">
        <v>-217.43700000000001</v>
      </c>
      <c r="K3077">
        <v>1.101694</v>
      </c>
      <c r="L3077">
        <v>215.58179999999999</v>
      </c>
      <c r="M3077">
        <v>0.99961719999999898</v>
      </c>
      <c r="N3077">
        <v>0</v>
      </c>
      <c r="O3077">
        <v>1.6013880000000001E-2</v>
      </c>
      <c r="P3077">
        <v>0.99838649999999995</v>
      </c>
      <c r="Q3077">
        <v>2.8256170000000001E-2</v>
      </c>
      <c r="R3077">
        <v>-4.926092E-2</v>
      </c>
      <c r="S3077">
        <v>2.97328199999999</v>
      </c>
      <c r="T3077">
        <v>-0.26951170000000002</v>
      </c>
      <c r="U3077">
        <v>-0.9003601</v>
      </c>
      <c r="V3077">
        <v>6.5741289999999994E-2</v>
      </c>
      <c r="W3077">
        <v>5.011968E-2</v>
      </c>
      <c r="X3077">
        <v>0.99657719999999905</v>
      </c>
      <c r="Y3077">
        <v>0.30391049999999997</v>
      </c>
      <c r="Z3077">
        <v>-1.4864219999999999E-2</v>
      </c>
      <c r="AA3077">
        <v>0.9525846</v>
      </c>
      <c r="AB3077">
        <v>36</v>
      </c>
      <c r="AC3077">
        <v>11.7987</v>
      </c>
      <c r="AD3077">
        <v>-1.101689044981</v>
      </c>
      <c r="AE3077">
        <v>-3.6841999999999699</v>
      </c>
      <c r="AF3077">
        <v>3.84219566553893</v>
      </c>
      <c r="AG3077">
        <v>-1.101689044981</v>
      </c>
      <c r="AH3077">
        <v>11.645658787189999</v>
      </c>
      <c r="AI3077">
        <v>95.133537999262103</v>
      </c>
      <c r="AJ3077">
        <v>71.740977821771693</v>
      </c>
      <c r="AK3077">
        <v>12.312495883117</v>
      </c>
    </row>
    <row r="3078" spans="1:37" x14ac:dyDescent="0.2">
      <c r="A3078" t="str">
        <f>"20200111153457701"</f>
        <v>20200111153457701</v>
      </c>
      <c r="B3078" t="str">
        <f>"1578728097688861"</f>
        <v>1578728097688861</v>
      </c>
      <c r="C3078" t="s">
        <v>37</v>
      </c>
      <c r="D3078">
        <v>5.441141</v>
      </c>
      <c r="E3078">
        <v>0.60031859999999904</v>
      </c>
      <c r="F3078" t="s">
        <v>50</v>
      </c>
      <c r="G3078">
        <v>-204.1739</v>
      </c>
      <c r="H3078" s="1">
        <v>4.3527979999999996E-6</v>
      </c>
      <c r="I3078">
        <v>211.3578</v>
      </c>
      <c r="J3078">
        <v>-217.0829</v>
      </c>
      <c r="K3078">
        <v>1.1014010000000001</v>
      </c>
      <c r="L3078">
        <v>215.58260000000001</v>
      </c>
      <c r="M3078">
        <v>0.99968590000000002</v>
      </c>
      <c r="N3078">
        <v>0</v>
      </c>
      <c r="O3078">
        <v>1.114445E-2</v>
      </c>
      <c r="P3078">
        <v>0.99792179999999997</v>
      </c>
      <c r="Q3078">
        <v>2.7910029999999999E-2</v>
      </c>
      <c r="R3078">
        <v>-5.8082410000000001E-2</v>
      </c>
      <c r="S3078">
        <v>2.9652250000000002</v>
      </c>
      <c r="T3078">
        <v>-0.24630270000000001</v>
      </c>
      <c r="U3078">
        <v>-0.9443665</v>
      </c>
      <c r="V3078">
        <v>6.9727189999999994E-2</v>
      </c>
      <c r="W3078">
        <v>4.9562469999999997E-2</v>
      </c>
      <c r="X3078">
        <v>0.9963341</v>
      </c>
      <c r="Y3078">
        <v>0.3130501</v>
      </c>
      <c r="Z3078">
        <v>-1.356982E-2</v>
      </c>
      <c r="AA3078">
        <v>0.94963969999999898</v>
      </c>
      <c r="AB3078">
        <v>36</v>
      </c>
      <c r="AC3078">
        <v>12.908999999999899</v>
      </c>
      <c r="AD3078">
        <v>-1.101396647202</v>
      </c>
      <c r="AE3078">
        <v>-4.2248000000000099</v>
      </c>
      <c r="AF3078">
        <v>4.3399015602042201</v>
      </c>
      <c r="AG3078">
        <v>-1.101396647202</v>
      </c>
      <c r="AH3078">
        <v>12.777090515700101</v>
      </c>
      <c r="AI3078">
        <v>94.666197650635894</v>
      </c>
      <c r="AJ3078">
        <v>71.239289851551007</v>
      </c>
      <c r="AK3078">
        <v>13.538901808238499</v>
      </c>
    </row>
    <row r="3079" spans="1:37" x14ac:dyDescent="0.2">
      <c r="A3079" t="str">
        <f>"20200111153457723"</f>
        <v>20200111153457723</v>
      </c>
      <c r="B3079" t="str">
        <f>"1578728097719116"</f>
        <v>1578728097719116</v>
      </c>
      <c r="C3079" t="s">
        <v>37</v>
      </c>
      <c r="D3079">
        <v>5.2411620000000001</v>
      </c>
      <c r="E3079">
        <v>0.64284560000000002</v>
      </c>
      <c r="F3079" t="s">
        <v>50</v>
      </c>
      <c r="G3079">
        <v>-204.4014</v>
      </c>
      <c r="H3079" s="1">
        <v>4.4482860000000003E-6</v>
      </c>
      <c r="I3079">
        <v>211.4194</v>
      </c>
      <c r="J3079">
        <v>-216.72299999999899</v>
      </c>
      <c r="K3079">
        <v>1.101092</v>
      </c>
      <c r="L3079">
        <v>215.5812</v>
      </c>
      <c r="M3079">
        <v>0.99973389999999995</v>
      </c>
      <c r="N3079">
        <v>0</v>
      </c>
      <c r="O3079">
        <v>5.8511309999999999E-3</v>
      </c>
      <c r="P3079">
        <v>0.99718439999999997</v>
      </c>
      <c r="Q3079">
        <v>2.8533240000000001E-2</v>
      </c>
      <c r="R3079">
        <v>-6.9353629999999999E-2</v>
      </c>
      <c r="S3079">
        <v>2.9569399999999999</v>
      </c>
      <c r="T3079">
        <v>-0.25681079999999901</v>
      </c>
      <c r="U3079">
        <v>-0.97070309999999904</v>
      </c>
      <c r="V3079">
        <v>7.575308E-2</v>
      </c>
      <c r="W3079">
        <v>4.9929179999999997E-2</v>
      </c>
      <c r="X3079">
        <v>0.99587579999999998</v>
      </c>
      <c r="Y3079">
        <v>0.3163627</v>
      </c>
      <c r="Z3079">
        <v>-1.3857909999999999E-2</v>
      </c>
      <c r="AA3079">
        <v>0.94853709999999902</v>
      </c>
      <c r="AB3079">
        <v>36</v>
      </c>
      <c r="AC3079">
        <v>12.321599999999901</v>
      </c>
      <c r="AD3079">
        <v>-1.101087551714</v>
      </c>
      <c r="AE3079">
        <v>-4.1618000000000004</v>
      </c>
      <c r="AF3079">
        <v>4.2037102494362699</v>
      </c>
      <c r="AG3079">
        <v>-1.101087551714</v>
      </c>
      <c r="AH3079">
        <v>12.2095152361996</v>
      </c>
      <c r="AI3079">
        <v>94.873834958004906</v>
      </c>
      <c r="AJ3079">
        <v>71.001522875832507</v>
      </c>
      <c r="AK3079">
        <v>12.9597776200344</v>
      </c>
    </row>
    <row r="3080" spans="1:37" x14ac:dyDescent="0.2">
      <c r="A3080" t="str">
        <f>"20200111153457745"</f>
        <v>20200111153457745</v>
      </c>
      <c r="B3080" t="str">
        <f>"1578728097739612"</f>
        <v>1578728097739612</v>
      </c>
      <c r="C3080" t="s">
        <v>37</v>
      </c>
      <c r="D3080">
        <v>5.1304889999999999</v>
      </c>
      <c r="E3080">
        <v>0.64686889999999997</v>
      </c>
      <c r="F3080" t="s">
        <v>50</v>
      </c>
      <c r="G3080">
        <v>-197.93950000000001</v>
      </c>
      <c r="H3080" s="1">
        <v>3.7003049999999999E-6</v>
      </c>
      <c r="I3080">
        <v>206.94669999999999</v>
      </c>
      <c r="J3080">
        <v>-216.3646</v>
      </c>
      <c r="K3080">
        <v>1.1008</v>
      </c>
      <c r="L3080">
        <v>215.57759999999999</v>
      </c>
      <c r="M3080">
        <v>0.99975389999999997</v>
      </c>
      <c r="N3080">
        <v>0</v>
      </c>
      <c r="O3080">
        <v>2.73718E-4</v>
      </c>
      <c r="P3080">
        <v>0.996388099999999</v>
      </c>
      <c r="Q3080">
        <v>2.843534E-2</v>
      </c>
      <c r="R3080">
        <v>-8.0014710000000003E-2</v>
      </c>
      <c r="S3080">
        <v>2.9199980000000001</v>
      </c>
      <c r="T3080">
        <v>-0.17117009999999999</v>
      </c>
      <c r="U3080">
        <v>-1.3422700000000001</v>
      </c>
      <c r="V3080">
        <v>8.0882620000000002E-2</v>
      </c>
      <c r="W3080">
        <v>4.9575809999999998E-2</v>
      </c>
      <c r="X3080">
        <v>0.99548999999999999</v>
      </c>
      <c r="Y3080">
        <v>0.41732380000000002</v>
      </c>
      <c r="Z3080">
        <v>-1.1652620000000001E-2</v>
      </c>
      <c r="AA3080">
        <v>0.90868320000000002</v>
      </c>
      <c r="AB3080">
        <v>36</v>
      </c>
      <c r="AC3080">
        <v>18.425099999999901</v>
      </c>
      <c r="AD3080">
        <v>-1.100796299695</v>
      </c>
      <c r="AE3080">
        <v>-8.6308999999999898</v>
      </c>
      <c r="AF3080">
        <v>8.6107396789919193</v>
      </c>
      <c r="AG3080">
        <v>-1.100796299695</v>
      </c>
      <c r="AH3080">
        <v>18.368968436162799</v>
      </c>
      <c r="AI3080">
        <v>93.105884529465996</v>
      </c>
      <c r="AJ3080">
        <v>64.884434445448093</v>
      </c>
      <c r="AK3080">
        <v>20.316879477949701</v>
      </c>
    </row>
    <row r="3081" spans="1:37" x14ac:dyDescent="0.2">
      <c r="A3081" t="str">
        <f>"20200111153457767"</f>
        <v>20200111153457767</v>
      </c>
      <c r="B3081" t="str">
        <f>"1578728097759132"</f>
        <v>1578728097759132</v>
      </c>
      <c r="C3081" t="s">
        <v>37</v>
      </c>
      <c r="D3081">
        <v>5.3530699999999998</v>
      </c>
      <c r="E3081">
        <v>0.6444725</v>
      </c>
      <c r="F3081" t="s">
        <v>50</v>
      </c>
      <c r="G3081">
        <v>-196.52029999999999</v>
      </c>
      <c r="H3081" s="1">
        <v>4.2435089999999997E-6</v>
      </c>
      <c r="I3081">
        <v>205.96879999999999</v>
      </c>
      <c r="J3081">
        <v>-216.0121</v>
      </c>
      <c r="K3081">
        <v>1.1005100000000001</v>
      </c>
      <c r="L3081">
        <v>215.5719</v>
      </c>
      <c r="M3081">
        <v>0.99974149999999995</v>
      </c>
      <c r="N3081">
        <v>0</v>
      </c>
      <c r="O3081">
        <v>-5.5312590000000002E-3</v>
      </c>
      <c r="P3081">
        <v>0.99562340000000005</v>
      </c>
      <c r="Q3081">
        <v>2.7210729999999999E-2</v>
      </c>
      <c r="R3081">
        <v>-8.9406940000000004E-2</v>
      </c>
      <c r="S3081">
        <v>2.902603</v>
      </c>
      <c r="T3081">
        <v>-0.16101189999999899</v>
      </c>
      <c r="U3081">
        <v>-1.4054719999999901</v>
      </c>
      <c r="V3081">
        <v>8.4506819999999996E-2</v>
      </c>
      <c r="W3081">
        <v>4.811795E-2</v>
      </c>
      <c r="X3081">
        <v>0.99526039999999905</v>
      </c>
      <c r="Y3081">
        <v>0.4302938</v>
      </c>
      <c r="Z3081">
        <v>-1.1008779999999999E-2</v>
      </c>
      <c r="AA3081">
        <v>0.90262169999999897</v>
      </c>
      <c r="AB3081">
        <v>36</v>
      </c>
      <c r="AC3081">
        <v>19.491800000000001</v>
      </c>
      <c r="AD3081">
        <v>-1.1005057564909999</v>
      </c>
      <c r="AE3081">
        <v>-9.6031000000000102</v>
      </c>
      <c r="AF3081">
        <v>9.4708189766098894</v>
      </c>
      <c r="AG3081">
        <v>-1.1005057564909999</v>
      </c>
      <c r="AH3081">
        <v>19.494626106631198</v>
      </c>
      <c r="AI3081">
        <v>92.906797669821202</v>
      </c>
      <c r="AJ3081">
        <v>64.0887347417938</v>
      </c>
      <c r="AK3081">
        <v>21.701335720299198</v>
      </c>
    </row>
    <row r="3082" spans="1:37" x14ac:dyDescent="0.2">
      <c r="A3082" t="str">
        <f>"20200111153457790"</f>
        <v>20200111153457790</v>
      </c>
      <c r="B3082" t="str">
        <f>"1578728097779628"</f>
        <v>1578728097779628</v>
      </c>
      <c r="C3082" t="s">
        <v>37</v>
      </c>
      <c r="D3082">
        <v>5.1026619999999996</v>
      </c>
      <c r="E3082">
        <v>0.64510279999999998</v>
      </c>
      <c r="F3082" t="s">
        <v>50</v>
      </c>
      <c r="G3082">
        <v>-196.35740000000001</v>
      </c>
      <c r="H3082" s="1">
        <v>4.2841579999999997E-6</v>
      </c>
      <c r="I3082">
        <v>205.95590000000001</v>
      </c>
      <c r="J3082">
        <v>-215.65639999999999</v>
      </c>
      <c r="K3082">
        <v>1.1002179999999999</v>
      </c>
      <c r="L3082">
        <v>215.56370000000001</v>
      </c>
      <c r="M3082">
        <v>0.99969059999999899</v>
      </c>
      <c r="N3082">
        <v>0</v>
      </c>
      <c r="O3082">
        <v>-1.174936E-2</v>
      </c>
      <c r="P3082">
        <v>0.99471869999999996</v>
      </c>
      <c r="Q3082">
        <v>2.630325E-2</v>
      </c>
      <c r="R3082">
        <v>-9.921133E-2</v>
      </c>
      <c r="S3082">
        <v>2.8905789999999998</v>
      </c>
      <c r="T3082">
        <v>-0.16184960000000001</v>
      </c>
      <c r="U3082">
        <v>-1.4141999999999999</v>
      </c>
      <c r="V3082">
        <v>8.8141990000000003E-2</v>
      </c>
      <c r="W3082">
        <v>4.6972460000000001E-2</v>
      </c>
      <c r="X3082">
        <v>0.99499979999999999</v>
      </c>
      <c r="Y3082">
        <v>0.42835519999999999</v>
      </c>
      <c r="Z3082">
        <v>-1.072004E-2</v>
      </c>
      <c r="AA3082">
        <v>0.90354690000000004</v>
      </c>
      <c r="AB3082">
        <v>35</v>
      </c>
      <c r="AC3082">
        <v>19.2989999999999</v>
      </c>
      <c r="AD3082">
        <v>-1.100213715842</v>
      </c>
      <c r="AE3082">
        <v>-9.6077999999999903</v>
      </c>
      <c r="AF3082">
        <v>9.3559634798126794</v>
      </c>
      <c r="AG3082">
        <v>-1.100213715842</v>
      </c>
      <c r="AH3082">
        <v>19.360156353489099</v>
      </c>
      <c r="AI3082">
        <v>92.929110912769204</v>
      </c>
      <c r="AJ3082">
        <v>64.207441221937501</v>
      </c>
      <c r="AK3082">
        <v>21.530447670396001</v>
      </c>
    </row>
    <row r="3083" spans="1:37" x14ac:dyDescent="0.2">
      <c r="A3083" t="str">
        <f>"20200111153457813"</f>
        <v>20200111153457813</v>
      </c>
      <c r="B3083" t="str">
        <f>"1578728097808909"</f>
        <v>1578728097808909</v>
      </c>
      <c r="C3083" t="s">
        <v>37</v>
      </c>
      <c r="D3083">
        <v>5.0744480000000003</v>
      </c>
      <c r="E3083">
        <v>0.64381549999999999</v>
      </c>
      <c r="F3083" t="s">
        <v>50</v>
      </c>
      <c r="G3083">
        <v>-195.68940000000001</v>
      </c>
      <c r="H3083" s="1">
        <v>4.5894959999999997E-6</v>
      </c>
      <c r="I3083">
        <v>205.5112</v>
      </c>
      <c r="J3083">
        <v>-215.30439999999999</v>
      </c>
      <c r="K3083">
        <v>1.0999049999999999</v>
      </c>
      <c r="L3083">
        <v>215.553</v>
      </c>
      <c r="M3083">
        <v>0.99959509999999996</v>
      </c>
      <c r="N3083">
        <v>0</v>
      </c>
      <c r="O3083">
        <v>-1.830029E-2</v>
      </c>
      <c r="P3083">
        <v>0.99371390000000004</v>
      </c>
      <c r="Q3083">
        <v>2.6289030000000001E-2</v>
      </c>
      <c r="R3083">
        <v>-0.10882</v>
      </c>
      <c r="S3083">
        <v>2.875702</v>
      </c>
      <c r="T3083">
        <v>-0.1584556</v>
      </c>
      <c r="U3083">
        <v>-1.447784</v>
      </c>
      <c r="V3083">
        <v>9.1271729999999995E-2</v>
      </c>
      <c r="W3083">
        <v>4.6710960000000003E-2</v>
      </c>
      <c r="X3083">
        <v>0.99472989999999994</v>
      </c>
      <c r="Y3083">
        <v>0.4327548</v>
      </c>
      <c r="Z3083">
        <v>-1.0292849999999999E-2</v>
      </c>
      <c r="AA3083">
        <v>0.9014529</v>
      </c>
      <c r="AB3083">
        <v>35</v>
      </c>
      <c r="AC3083">
        <v>19.614999999999899</v>
      </c>
      <c r="AD3083">
        <v>-1.099900410504</v>
      </c>
      <c r="AE3083">
        <v>-10.041799999999901</v>
      </c>
      <c r="AF3083">
        <v>9.6570128106049893</v>
      </c>
      <c r="AG3083">
        <v>-1.099900410504</v>
      </c>
      <c r="AH3083">
        <v>19.746329434390699</v>
      </c>
      <c r="AI3083">
        <v>92.864583641975102</v>
      </c>
      <c r="AJ3083">
        <v>63.938890037608999</v>
      </c>
      <c r="AK3083">
        <v>22.008752883084899</v>
      </c>
    </row>
    <row r="3084" spans="1:37" x14ac:dyDescent="0.2">
      <c r="A3084" t="str">
        <f>"20200111153457836"</f>
        <v>20200111153457836</v>
      </c>
      <c r="B3084" t="str">
        <f>"1578728097829404"</f>
        <v>1578728097829404</v>
      </c>
      <c r="C3084" t="s">
        <v>37</v>
      </c>
      <c r="D3084">
        <v>5.0797629999999998</v>
      </c>
      <c r="E3084">
        <v>0.64390499999999995</v>
      </c>
      <c r="F3084" t="s">
        <v>50</v>
      </c>
      <c r="G3084">
        <v>-195.2534</v>
      </c>
      <c r="H3084" s="1">
        <v>4.7641779999999999E-6</v>
      </c>
      <c r="I3084">
        <v>205.29050000000001</v>
      </c>
      <c r="J3084">
        <v>-214.94069999999999</v>
      </c>
      <c r="K3084">
        <v>1.0995489999999899</v>
      </c>
      <c r="L3084">
        <v>215.5393</v>
      </c>
      <c r="M3084">
        <v>0.99944049999999995</v>
      </c>
      <c r="N3084">
        <v>0</v>
      </c>
      <c r="O3084">
        <v>-2.5501289999999999E-2</v>
      </c>
      <c r="P3084">
        <v>0.9925929</v>
      </c>
      <c r="Q3084">
        <v>2.594672E-2</v>
      </c>
      <c r="R3084">
        <v>-0.11868629999999999</v>
      </c>
      <c r="S3084">
        <v>2.8626860000000001</v>
      </c>
      <c r="T3084">
        <v>-0.15703339999999999</v>
      </c>
      <c r="U3084">
        <v>-1.465195</v>
      </c>
      <c r="V3084">
        <v>9.4020039999999999E-2</v>
      </c>
      <c r="W3084">
        <v>4.6102690000000002E-2</v>
      </c>
      <c r="X3084">
        <v>0.994502199999999</v>
      </c>
      <c r="Y3084">
        <v>0.43227759999999998</v>
      </c>
      <c r="Z3084">
        <v>-9.8454819999999992E-3</v>
      </c>
      <c r="AA3084">
        <v>0.90168680000000001</v>
      </c>
      <c r="AB3084">
        <v>35</v>
      </c>
      <c r="AC3084">
        <v>19.6873</v>
      </c>
      <c r="AD3084">
        <v>-1.09954423582199</v>
      </c>
      <c r="AE3084">
        <v>-10.2487999999999</v>
      </c>
      <c r="AF3084">
        <v>9.7194429837014198</v>
      </c>
      <c r="AG3084">
        <v>-1.09954423582199</v>
      </c>
      <c r="AH3084">
        <v>19.893491096886301</v>
      </c>
      <c r="AI3084">
        <v>92.843045561417298</v>
      </c>
      <c r="AJ3084">
        <v>63.961066858910499</v>
      </c>
      <c r="AK3084">
        <v>22.168165405866301</v>
      </c>
    </row>
    <row r="3085" spans="1:37" x14ac:dyDescent="0.2">
      <c r="A3085" t="str">
        <f>"20200111153457856"</f>
        <v>20200111153457856</v>
      </c>
      <c r="B3085" t="str">
        <f>"1578728097848925"</f>
        <v>1578728097848925</v>
      </c>
      <c r="C3085" t="s">
        <v>37</v>
      </c>
      <c r="D3085">
        <v>5.0748309999999996</v>
      </c>
      <c r="E3085">
        <v>0.64415979999999995</v>
      </c>
      <c r="F3085" t="s">
        <v>50</v>
      </c>
      <c r="G3085">
        <v>-194.03149999999999</v>
      </c>
      <c r="H3085" s="1">
        <v>5.287809E-6</v>
      </c>
      <c r="I3085">
        <v>204.56200000000001</v>
      </c>
      <c r="J3085">
        <v>-214.60470000000001</v>
      </c>
      <c r="K3085">
        <v>1.0992059999999999</v>
      </c>
      <c r="L3085">
        <v>215.52379999999999</v>
      </c>
      <c r="M3085">
        <v>0.99923779999999995</v>
      </c>
      <c r="N3085">
        <v>0</v>
      </c>
      <c r="O3085">
        <v>-3.257529E-2</v>
      </c>
      <c r="P3085">
        <v>0.99129400000000001</v>
      </c>
      <c r="Q3085">
        <v>2.6246129999999999E-2</v>
      </c>
      <c r="R3085">
        <v>-0.12902539999999901</v>
      </c>
      <c r="S3085">
        <v>2.8475489999999999</v>
      </c>
      <c r="T3085">
        <v>-0.14974289999999901</v>
      </c>
      <c r="U3085">
        <v>-1.4949490000000001</v>
      </c>
      <c r="V3085">
        <v>9.7388500000000003E-2</v>
      </c>
      <c r="W3085">
        <v>4.6133180000000003E-2</v>
      </c>
      <c r="X3085">
        <v>0.99417659999999997</v>
      </c>
      <c r="Y3085">
        <v>0.43530039999999998</v>
      </c>
      <c r="Z3085">
        <v>-9.1386990000000001E-3</v>
      </c>
      <c r="AA3085">
        <v>0.90023889999999995</v>
      </c>
      <c r="AB3085">
        <v>35</v>
      </c>
      <c r="AC3085">
        <v>20.5732</v>
      </c>
      <c r="AD3085">
        <v>-1.0992007121909999</v>
      </c>
      <c r="AE3085">
        <v>-10.961799999999901</v>
      </c>
      <c r="AF3085">
        <v>10.262828149486801</v>
      </c>
      <c r="AG3085">
        <v>-1.0992007121909999</v>
      </c>
      <c r="AH3085">
        <v>20.873033485429598</v>
      </c>
      <c r="AI3085">
        <v>92.705666897936993</v>
      </c>
      <c r="AJ3085">
        <v>63.817632413360599</v>
      </c>
      <c r="AK3085">
        <v>23.285562280422798</v>
      </c>
    </row>
    <row r="3086" spans="1:37" x14ac:dyDescent="0.2">
      <c r="A3086" t="str">
        <f>"20200111153457880"</f>
        <v>20200111153457880</v>
      </c>
      <c r="B3086" t="str">
        <f>"1578728097869420"</f>
        <v>1578728097869420</v>
      </c>
      <c r="C3086" t="s">
        <v>37</v>
      </c>
      <c r="D3086">
        <v>5.0633189999999999</v>
      </c>
      <c r="E3086">
        <v>0.64424349999999997</v>
      </c>
      <c r="F3086" t="s">
        <v>50</v>
      </c>
      <c r="G3086">
        <v>-193.03579999999999</v>
      </c>
      <c r="H3086" s="1">
        <v>5.6861359999999998E-6</v>
      </c>
      <c r="I3086">
        <v>203.89150000000001</v>
      </c>
      <c r="J3086">
        <v>-214.25700000000001</v>
      </c>
      <c r="K3086">
        <v>1.098841</v>
      </c>
      <c r="L3086">
        <v>215.50470000000001</v>
      </c>
      <c r="M3086">
        <v>0.99895699999999998</v>
      </c>
      <c r="N3086">
        <v>0</v>
      </c>
      <c r="O3086">
        <v>-4.0354319999999999E-2</v>
      </c>
      <c r="P3086">
        <v>0.98968840000000002</v>
      </c>
      <c r="Q3086">
        <v>2.7653670000000002E-2</v>
      </c>
      <c r="R3086">
        <v>-0.14054320000000001</v>
      </c>
      <c r="S3086">
        <v>2.8314360000000001</v>
      </c>
      <c r="T3086">
        <v>-0.1442967</v>
      </c>
      <c r="U3086">
        <v>-1.527023</v>
      </c>
      <c r="V3086">
        <v>0.1012729</v>
      </c>
      <c r="W3086">
        <v>4.7241100000000001E-2</v>
      </c>
      <c r="X3086">
        <v>0.99373639999999996</v>
      </c>
      <c r="Y3086">
        <v>0.43836779999999997</v>
      </c>
      <c r="Z3086">
        <v>-8.5329510000000004E-3</v>
      </c>
      <c r="AA3086">
        <v>0.89875519999999998</v>
      </c>
      <c r="AB3086">
        <v>35</v>
      </c>
      <c r="AC3086">
        <v>21.2212</v>
      </c>
      <c r="AD3086">
        <v>-1.0988353138639999</v>
      </c>
      <c r="AE3086">
        <v>-11.613200000000001</v>
      </c>
      <c r="AF3086">
        <v>10.7250446500236</v>
      </c>
      <c r="AG3086">
        <v>-1.0988353138639999</v>
      </c>
      <c r="AH3086">
        <v>21.628031259486399</v>
      </c>
      <c r="AI3086">
        <v>92.606132193706301</v>
      </c>
      <c r="AJ3086">
        <v>63.623816500546901</v>
      </c>
      <c r="AK3086">
        <v>24.1662110797973</v>
      </c>
    </row>
    <row r="3087" spans="1:37" x14ac:dyDescent="0.2">
      <c r="A3087" t="str">
        <f>"20200111153457902"</f>
        <v>20200111153457902</v>
      </c>
      <c r="B3087" t="str">
        <f>"1578728097898701"</f>
        <v>1578728097898701</v>
      </c>
      <c r="C3087" t="s">
        <v>37</v>
      </c>
      <c r="D3087">
        <v>5.1360890000000001</v>
      </c>
      <c r="E3087">
        <v>0.64452739999999997</v>
      </c>
      <c r="F3087" t="s">
        <v>50</v>
      </c>
      <c r="G3087">
        <v>-192.18389999999999</v>
      </c>
      <c r="H3087" s="1">
        <v>6.0627119999999999E-6</v>
      </c>
      <c r="I3087">
        <v>203.26310000000001</v>
      </c>
      <c r="J3087">
        <v>-213.90629999999999</v>
      </c>
      <c r="K3087">
        <v>1.0984609999999999</v>
      </c>
      <c r="L3087">
        <v>215.48220000000001</v>
      </c>
      <c r="M3087">
        <v>0.99858749999999996</v>
      </c>
      <c r="N3087">
        <v>0</v>
      </c>
      <c r="O3087">
        <v>-4.8710469999999999E-2</v>
      </c>
      <c r="P3087">
        <v>0.98782999999999899</v>
      </c>
      <c r="Q3087">
        <v>2.9929649999999999E-2</v>
      </c>
      <c r="R3087">
        <v>-0.15263160000000001</v>
      </c>
      <c r="S3087">
        <v>2.813599</v>
      </c>
      <c r="T3087">
        <v>-0.1400661</v>
      </c>
      <c r="U3087">
        <v>-1.5604100000000001</v>
      </c>
      <c r="V3087">
        <v>0.1051921</v>
      </c>
      <c r="W3087">
        <v>4.920194E-2</v>
      </c>
      <c r="X3087">
        <v>0.99323399999999995</v>
      </c>
      <c r="Y3087">
        <v>0.44144820000000001</v>
      </c>
      <c r="Z3087">
        <v>-7.9931129999999996E-3</v>
      </c>
      <c r="AA3087">
        <v>0.89725109999999997</v>
      </c>
      <c r="AB3087">
        <v>35</v>
      </c>
      <c r="AC3087">
        <v>21.7224</v>
      </c>
      <c r="AD3087">
        <v>-1.0984549372879999</v>
      </c>
      <c r="AE3087">
        <v>-12.2190999999999</v>
      </c>
      <c r="AF3087">
        <v>11.1246327557737</v>
      </c>
      <c r="AG3087">
        <v>-1.0984549372879999</v>
      </c>
      <c r="AH3087">
        <v>22.248717251367101</v>
      </c>
      <c r="AI3087">
        <v>92.528486837061195</v>
      </c>
      <c r="AJ3087">
        <v>63.434384065156699</v>
      </c>
      <c r="AK3087">
        <v>24.899186262433702</v>
      </c>
    </row>
    <row r="3088" spans="1:37" x14ac:dyDescent="0.2">
      <c r="A3088" t="str">
        <f>"20200111153457925"</f>
        <v>20200111153457925</v>
      </c>
      <c r="B3088" t="str">
        <f>"1578728097919199"</f>
        <v>1578728097919199</v>
      </c>
      <c r="C3088" t="s">
        <v>37</v>
      </c>
      <c r="D3088">
        <v>5.0492419999999996</v>
      </c>
      <c r="E3088">
        <v>0.64461420000000003</v>
      </c>
      <c r="F3088" t="s">
        <v>50</v>
      </c>
      <c r="G3088">
        <v>-190.60239999999999</v>
      </c>
      <c r="H3088" s="1">
        <v>6.8726779999999899E-6</v>
      </c>
      <c r="I3088">
        <v>202.16229999999999</v>
      </c>
      <c r="J3088">
        <v>-213.5583</v>
      </c>
      <c r="K3088">
        <v>1.098115</v>
      </c>
      <c r="L3088">
        <v>215.4564</v>
      </c>
      <c r="M3088">
        <v>0.99812749999999995</v>
      </c>
      <c r="N3088">
        <v>0</v>
      </c>
      <c r="O3088">
        <v>-5.7424929999999999E-2</v>
      </c>
      <c r="P3088">
        <v>0.98593390000000003</v>
      </c>
      <c r="Q3088">
        <v>3.240734E-2</v>
      </c>
      <c r="R3088">
        <v>-0.16396469999999999</v>
      </c>
      <c r="S3088">
        <v>2.7941739999999999</v>
      </c>
      <c r="T3088">
        <v>-0.131706399999999</v>
      </c>
      <c r="U3088">
        <v>-1.5970759999999999</v>
      </c>
      <c r="V3088">
        <v>0.1080174</v>
      </c>
      <c r="W3088">
        <v>5.1383579999999998E-2</v>
      </c>
      <c r="X3088">
        <v>0.99282019999999904</v>
      </c>
      <c r="Y3088">
        <v>0.44522600000000001</v>
      </c>
      <c r="Z3088">
        <v>-7.2437029999999998E-3</v>
      </c>
      <c r="AA3088">
        <v>0.89538899999999999</v>
      </c>
      <c r="AB3088">
        <v>34</v>
      </c>
      <c r="AC3088">
        <v>22.9559</v>
      </c>
      <c r="AD3088">
        <v>-1.0981081273219999</v>
      </c>
      <c r="AE3088">
        <v>-13.2941</v>
      </c>
      <c r="AF3088">
        <v>11.933170900294</v>
      </c>
      <c r="AG3088">
        <v>-1.0981081273219999</v>
      </c>
      <c r="AH3088">
        <v>23.641073868786201</v>
      </c>
      <c r="AI3088">
        <v>92.374470612154894</v>
      </c>
      <c r="AJ3088">
        <v>63.216984286276102</v>
      </c>
      <c r="AK3088">
        <v>26.504844516886401</v>
      </c>
    </row>
    <row r="3089" spans="1:37" x14ac:dyDescent="0.2">
      <c r="A3089" t="str">
        <f>"20200111153457947"</f>
        <v>20200111153457947</v>
      </c>
      <c r="B3089" t="str">
        <f>"1578728097938716"</f>
        <v>1578728097938716</v>
      </c>
      <c r="C3089" t="s">
        <v>37</v>
      </c>
      <c r="D3089">
        <v>4.9835529999999997</v>
      </c>
      <c r="E3089">
        <v>0.64494969999999996</v>
      </c>
      <c r="F3089" t="s">
        <v>50</v>
      </c>
      <c r="G3089">
        <v>-189.0438</v>
      </c>
      <c r="H3089" s="1">
        <v>7.2303689999999996E-6</v>
      </c>
      <c r="I3089">
        <v>201.06229999999999</v>
      </c>
      <c r="J3089">
        <v>-213.20779999999999</v>
      </c>
      <c r="K3089">
        <v>1.097772</v>
      </c>
      <c r="L3089">
        <v>215.4271</v>
      </c>
      <c r="M3089">
        <v>0.99755699999999903</v>
      </c>
      <c r="N3089">
        <v>0</v>
      </c>
      <c r="O3089">
        <v>-6.6650319999999999E-2</v>
      </c>
      <c r="P3089">
        <v>0.98377139999999996</v>
      </c>
      <c r="Q3089">
        <v>3.4378600000000002E-2</v>
      </c>
      <c r="R3089">
        <v>-0.176102799999999</v>
      </c>
      <c r="S3089">
        <v>2.7758479999999999</v>
      </c>
      <c r="T3089">
        <v>-0.1243416</v>
      </c>
      <c r="U3089">
        <v>-1.629883</v>
      </c>
      <c r="V3089">
        <v>0.1111569</v>
      </c>
      <c r="W3089">
        <v>5.30488E-2</v>
      </c>
      <c r="X3089">
        <v>0.99238599999999999</v>
      </c>
      <c r="Y3089">
        <v>0.44743939999999999</v>
      </c>
      <c r="Z3089">
        <v>-6.526436E-3</v>
      </c>
      <c r="AA3089">
        <v>0.89429040000000004</v>
      </c>
      <c r="AB3089">
        <v>34</v>
      </c>
      <c r="AC3089">
        <v>24.163999999999898</v>
      </c>
      <c r="AD3089">
        <v>-1.097764769631</v>
      </c>
      <c r="AE3089">
        <v>-14.364800000000001</v>
      </c>
      <c r="AF3089">
        <v>12.7025825651932</v>
      </c>
      <c r="AG3089">
        <v>-1.097764769631</v>
      </c>
      <c r="AH3089">
        <v>25.029704316024802</v>
      </c>
      <c r="AI3089">
        <v>92.239706715852606</v>
      </c>
      <c r="AJ3089">
        <v>63.092192594129003</v>
      </c>
      <c r="AK3089">
        <v>28.089976672518301</v>
      </c>
    </row>
    <row r="3090" spans="1:37" x14ac:dyDescent="0.2">
      <c r="A3090" t="str">
        <f>"20200111153457968"</f>
        <v>20200111153457968</v>
      </c>
      <c r="B3090" t="str">
        <f>"1578728097959212"</f>
        <v>1578728097959212</v>
      </c>
      <c r="C3090" t="s">
        <v>37</v>
      </c>
      <c r="D3090">
        <v>4.9536980000000002</v>
      </c>
      <c r="E3090">
        <v>0.64563459999999995</v>
      </c>
      <c r="F3090" t="s">
        <v>50</v>
      </c>
      <c r="G3090">
        <v>-187.15819999999999</v>
      </c>
      <c r="H3090" s="1">
        <v>7.1850029999999997E-6</v>
      </c>
      <c r="I3090">
        <v>199.6703</v>
      </c>
      <c r="J3090">
        <v>-212.87610000000001</v>
      </c>
      <c r="K3090">
        <v>1.0974409999999899</v>
      </c>
      <c r="L3090">
        <v>215.39590000000001</v>
      </c>
      <c r="M3090">
        <v>0.99690489999999998</v>
      </c>
      <c r="N3090">
        <v>0</v>
      </c>
      <c r="O3090">
        <v>-7.5823370000000001E-2</v>
      </c>
      <c r="P3090">
        <v>0.98095589999999999</v>
      </c>
      <c r="Q3090">
        <v>3.563906E-2</v>
      </c>
      <c r="R3090">
        <v>-0.19093350000000001</v>
      </c>
      <c r="S3090">
        <v>2.7552189999999999</v>
      </c>
      <c r="T3090">
        <v>-0.1161083</v>
      </c>
      <c r="U3090">
        <v>-1.6665650000000001</v>
      </c>
      <c r="V3090">
        <v>0.11707969999999999</v>
      </c>
      <c r="W3090">
        <v>5.3943020000000001E-2</v>
      </c>
      <c r="X3090">
        <v>0.99165639999999999</v>
      </c>
      <c r="Y3090">
        <v>0.45093640000000001</v>
      </c>
      <c r="Z3090">
        <v>-5.8305129999999998E-3</v>
      </c>
      <c r="AA3090">
        <v>0.89253709999999997</v>
      </c>
      <c r="AB3090">
        <v>34</v>
      </c>
      <c r="AC3090">
        <v>25.7179</v>
      </c>
      <c r="AD3090">
        <v>-1.097433814997</v>
      </c>
      <c r="AE3090">
        <v>-15.7256</v>
      </c>
      <c r="AF3090">
        <v>13.711699018797599</v>
      </c>
      <c r="AG3090">
        <v>-1.097433814997</v>
      </c>
      <c r="AH3090">
        <v>26.800937372006601</v>
      </c>
      <c r="AI3090">
        <v>92.087721158976393</v>
      </c>
      <c r="AJ3090">
        <v>62.905139594967999</v>
      </c>
      <c r="AK3090">
        <v>30.124828546875001</v>
      </c>
    </row>
    <row r="3091" spans="1:37" x14ac:dyDescent="0.2">
      <c r="A3091" t="str">
        <f>"20200111153458003"</f>
        <v>20200111153458003</v>
      </c>
      <c r="B3091" t="str">
        <f>"1578728097999229"</f>
        <v>1578728097999229</v>
      </c>
      <c r="C3091" t="s">
        <v>37</v>
      </c>
      <c r="D3091">
        <v>5.3066129999999996</v>
      </c>
      <c r="E3091">
        <v>0.64441380000000004</v>
      </c>
      <c r="F3091" t="s">
        <v>39</v>
      </c>
      <c r="G3091">
        <v>-186.3364</v>
      </c>
      <c r="H3091" s="1">
        <v>-4.5570669999999997E-6</v>
      </c>
      <c r="I3091">
        <v>198.7406</v>
      </c>
      <c r="J3091">
        <v>-212.36240000000001</v>
      </c>
      <c r="K3091">
        <v>1.0968610000000001</v>
      </c>
      <c r="L3091">
        <v>215.3409</v>
      </c>
      <c r="M3091">
        <v>0.99564680000000005</v>
      </c>
      <c r="N3091">
        <v>0</v>
      </c>
      <c r="O3091">
        <v>-9.0915430000000005E-2</v>
      </c>
      <c r="P3091">
        <v>0.97684090000000001</v>
      </c>
      <c r="Q3091">
        <v>3.360846E-2</v>
      </c>
      <c r="R3091">
        <v>-0.21131129999999901</v>
      </c>
      <c r="S3091">
        <v>2.7290040000000002</v>
      </c>
      <c r="T3091">
        <v>-0.112847</v>
      </c>
      <c r="U3091">
        <v>-1.7126159999999999</v>
      </c>
      <c r="V3091">
        <v>0.12272039999999999</v>
      </c>
      <c r="W3091">
        <v>5.1397379999999999E-2</v>
      </c>
      <c r="X3091">
        <v>0.99110949999999998</v>
      </c>
      <c r="Y3091">
        <v>0.4521134</v>
      </c>
      <c r="Z3091">
        <v>-5.1487939999999999E-3</v>
      </c>
      <c r="AA3091">
        <v>0.89194560000000001</v>
      </c>
      <c r="AB3091">
        <v>34</v>
      </c>
      <c r="AC3091">
        <v>26.026</v>
      </c>
      <c r="AD3091">
        <v>-1.0968655570670001</v>
      </c>
      <c r="AE3091">
        <v>-16.600300000000001</v>
      </c>
      <c r="AF3091">
        <v>14.1469972044243</v>
      </c>
      <c r="AG3091">
        <v>-1.0968655570670001</v>
      </c>
      <c r="AH3091">
        <v>27.393127375478802</v>
      </c>
      <c r="AI3091">
        <v>92.037567706677507</v>
      </c>
      <c r="AJ3091">
        <v>62.686210888035497</v>
      </c>
      <c r="AK3091">
        <v>30.850025467760599</v>
      </c>
    </row>
    <row r="3092" spans="1:37" x14ac:dyDescent="0.2">
      <c r="A3092" t="str">
        <f>"20200111153458024"</f>
        <v>20200111153458024</v>
      </c>
      <c r="B3092" t="str">
        <f>"1578728098018748"</f>
        <v>1578728098018748</v>
      </c>
      <c r="C3092" t="s">
        <v>37</v>
      </c>
      <c r="D3092">
        <v>5.2710589999999904</v>
      </c>
      <c r="E3092">
        <v>0.6429627</v>
      </c>
      <c r="F3092" t="s">
        <v>50</v>
      </c>
      <c r="G3092">
        <v>-191.4042</v>
      </c>
      <c r="H3092" s="1">
        <v>6.8373800000000003E-6</v>
      </c>
      <c r="I3092">
        <v>201.65860000000001</v>
      </c>
      <c r="J3092">
        <v>-212.0231</v>
      </c>
      <c r="K3092">
        <v>1.0964659999999999</v>
      </c>
      <c r="L3092">
        <v>215.29949999999999</v>
      </c>
      <c r="M3092">
        <v>0.994625599999999</v>
      </c>
      <c r="N3092">
        <v>0</v>
      </c>
      <c r="O3092">
        <v>-0.1015045</v>
      </c>
      <c r="P3092">
        <v>0.9738639</v>
      </c>
      <c r="Q3092">
        <v>3.2162499999999997E-2</v>
      </c>
      <c r="R3092">
        <v>-0.224844299999999</v>
      </c>
      <c r="S3092">
        <v>2.6953279999999999</v>
      </c>
      <c r="T3092">
        <v>-0.14106109999999999</v>
      </c>
      <c r="U3092">
        <v>-1.7596130000000001</v>
      </c>
      <c r="V3092">
        <v>0.1259343</v>
      </c>
      <c r="W3092">
        <v>4.9631050000000003E-2</v>
      </c>
      <c r="X3092">
        <v>0.99079629999999996</v>
      </c>
      <c r="Y3092">
        <v>0.45848299999999997</v>
      </c>
      <c r="Z3092">
        <v>-6.131465E-3</v>
      </c>
      <c r="AA3092">
        <v>0.88868210000000003</v>
      </c>
      <c r="AB3092">
        <v>34</v>
      </c>
      <c r="AC3092">
        <v>20.6189</v>
      </c>
      <c r="AD3092">
        <v>-1.09645916262</v>
      </c>
      <c r="AE3092">
        <v>-13.640899999999901</v>
      </c>
      <c r="AF3092">
        <v>11.4545385619531</v>
      </c>
      <c r="AG3092">
        <v>-1.09645916262</v>
      </c>
      <c r="AH3092">
        <v>21.854275703403101</v>
      </c>
      <c r="AI3092">
        <v>92.544406565685094</v>
      </c>
      <c r="AJ3092">
        <v>62.339500661298999</v>
      </c>
      <c r="AK3092">
        <v>24.698543335243901</v>
      </c>
    </row>
    <row r="3093" spans="1:37" x14ac:dyDescent="0.2">
      <c r="A3093" t="str">
        <f>"20200111153458047"</f>
        <v>20200111153458047</v>
      </c>
      <c r="B3093" t="str">
        <f>"1578728098039248"</f>
        <v>1578728098039248</v>
      </c>
      <c r="C3093" t="s">
        <v>37</v>
      </c>
      <c r="D3093">
        <v>5.228402</v>
      </c>
      <c r="E3093">
        <v>0.64196809999999904</v>
      </c>
      <c r="F3093" t="s">
        <v>50</v>
      </c>
      <c r="G3093">
        <v>-194.4392</v>
      </c>
      <c r="H3093" s="1">
        <v>5.4626559999999999E-6</v>
      </c>
      <c r="I3093">
        <v>203.56039999999999</v>
      </c>
      <c r="J3093">
        <v>-211.69099999999901</v>
      </c>
      <c r="K3093">
        <v>1.096093</v>
      </c>
      <c r="L3093">
        <v>215.255</v>
      </c>
      <c r="M3093">
        <v>0.99346669999999904</v>
      </c>
      <c r="N3093">
        <v>0</v>
      </c>
      <c r="O3093">
        <v>-0.1123041</v>
      </c>
      <c r="P3093">
        <v>0.97049779999999997</v>
      </c>
      <c r="Q3093">
        <v>3.3105860000000001E-2</v>
      </c>
      <c r="R3093">
        <v>-0.23882729999999899</v>
      </c>
      <c r="S3093">
        <v>2.6738740000000001</v>
      </c>
      <c r="T3093">
        <v>-0.1667312</v>
      </c>
      <c r="U3093">
        <v>-1.78508</v>
      </c>
      <c r="V3093">
        <v>0.12948769999999901</v>
      </c>
      <c r="W3093">
        <v>5.026398E-2</v>
      </c>
      <c r="X3093">
        <v>0.99030629999999997</v>
      </c>
      <c r="Y3093">
        <v>0.45784589999999997</v>
      </c>
      <c r="Z3093">
        <v>-6.6607659999999898E-3</v>
      </c>
      <c r="AA3093">
        <v>0.88900659999999898</v>
      </c>
      <c r="AB3093">
        <v>34</v>
      </c>
      <c r="AC3093">
        <v>17.2517999999999</v>
      </c>
      <c r="AD3093">
        <v>-1.096087537344</v>
      </c>
      <c r="AE3093">
        <v>-11.694599999999999</v>
      </c>
      <c r="AF3093">
        <v>9.6560350734574705</v>
      </c>
      <c r="AG3093">
        <v>-1.096087537344</v>
      </c>
      <c r="AH3093">
        <v>18.405335504064499</v>
      </c>
      <c r="AI3093">
        <v>93.0187434142358</v>
      </c>
      <c r="AJ3093">
        <v>62.317041402336201</v>
      </c>
      <c r="AK3093">
        <v>20.8133802215435</v>
      </c>
    </row>
    <row r="3094" spans="1:37" x14ac:dyDescent="0.2">
      <c r="A3094" t="str">
        <f>"20200111153458070"</f>
        <v>20200111153458070</v>
      </c>
      <c r="B3094" t="str">
        <f>"1578728098059407"</f>
        <v>1578728098059407</v>
      </c>
      <c r="C3094" t="s">
        <v>37</v>
      </c>
      <c r="D3094">
        <v>5.3431379999999997</v>
      </c>
      <c r="E3094">
        <v>0.64085700000000001</v>
      </c>
      <c r="F3094" t="s">
        <v>50</v>
      </c>
      <c r="G3094">
        <v>-195.6122</v>
      </c>
      <c r="H3094" s="1">
        <v>5.0221749999999999E-6</v>
      </c>
      <c r="I3094">
        <v>204.24160000000001</v>
      </c>
      <c r="J3094">
        <v>-211.34639999999999</v>
      </c>
      <c r="K3094">
        <v>1.095709</v>
      </c>
      <c r="L3094">
        <v>215.2045</v>
      </c>
      <c r="M3094">
        <v>0.99207679999999998</v>
      </c>
      <c r="N3094">
        <v>0</v>
      </c>
      <c r="O3094">
        <v>-0.12399929999999899</v>
      </c>
      <c r="P3094">
        <v>0.96689720000000001</v>
      </c>
      <c r="Q3094">
        <v>3.4260739999999998E-2</v>
      </c>
      <c r="R3094">
        <v>-0.25285609999999997</v>
      </c>
      <c r="S3094">
        <v>2.6505740000000002</v>
      </c>
      <c r="T3094">
        <v>-0.1806886</v>
      </c>
      <c r="U3094">
        <v>-1.815536</v>
      </c>
      <c r="V3094">
        <v>0.1322391</v>
      </c>
      <c r="W3094">
        <v>5.1129279999999999E-2</v>
      </c>
      <c r="X3094">
        <v>0.98989830000000001</v>
      </c>
      <c r="Y3094">
        <v>0.45790150000000002</v>
      </c>
      <c r="Z3094">
        <v>-6.5480690000000001E-3</v>
      </c>
      <c r="AA3094">
        <v>0.88897879999999996</v>
      </c>
      <c r="AB3094">
        <v>34</v>
      </c>
      <c r="AC3094">
        <v>15.7341999999999</v>
      </c>
      <c r="AD3094">
        <v>-1.095703977825</v>
      </c>
      <c r="AE3094">
        <v>-10.9628999999999</v>
      </c>
      <c r="AF3094">
        <v>8.89778138047458</v>
      </c>
      <c r="AG3094">
        <v>-1.095703977825</v>
      </c>
      <c r="AH3094">
        <v>16.917159494991999</v>
      </c>
      <c r="AI3094">
        <v>93.280800924836299</v>
      </c>
      <c r="AJ3094">
        <v>62.257339663118401</v>
      </c>
      <c r="AK3094">
        <v>19.145792385815199</v>
      </c>
    </row>
    <row r="3095" spans="1:37" x14ac:dyDescent="0.2">
      <c r="A3095" t="str">
        <f>"20200111153458092"</f>
        <v>20200111153458092</v>
      </c>
      <c r="B3095" t="str">
        <f>"1578728098089664"</f>
        <v>1578728098089664</v>
      </c>
      <c r="C3095" t="s">
        <v>37</v>
      </c>
      <c r="D3095">
        <v>5.3825649999999996</v>
      </c>
      <c r="E3095">
        <v>0.60636699999999999</v>
      </c>
      <c r="F3095" t="s">
        <v>50</v>
      </c>
      <c r="G3095">
        <v>-196.4812</v>
      </c>
      <c r="H3095" s="1">
        <v>4.6782560000000002E-6</v>
      </c>
      <c r="I3095">
        <v>204.76339999999999</v>
      </c>
      <c r="J3095">
        <v>-211.01519999999999</v>
      </c>
      <c r="K3095">
        <v>1.095348</v>
      </c>
      <c r="L3095">
        <v>215.15170000000001</v>
      </c>
      <c r="M3095">
        <v>0.99054519999999902</v>
      </c>
      <c r="N3095">
        <v>0</v>
      </c>
      <c r="O3095">
        <v>-0.1357042</v>
      </c>
      <c r="P3095">
        <v>0.96304290000000004</v>
      </c>
      <c r="Q3095">
        <v>3.5933350000000003E-2</v>
      </c>
      <c r="R3095">
        <v>-0.26694109999999999</v>
      </c>
      <c r="S3095">
        <v>2.6270289999999998</v>
      </c>
      <c r="T3095">
        <v>-0.1936379</v>
      </c>
      <c r="U3095">
        <v>-1.8452</v>
      </c>
      <c r="V3095">
        <v>0.13509189999999999</v>
      </c>
      <c r="W3095">
        <v>5.253215E-2</v>
      </c>
      <c r="X3095">
        <v>0.98943950000000003</v>
      </c>
      <c r="Y3095">
        <v>0.45781099999999902</v>
      </c>
      <c r="Z3095">
        <v>-6.2907099999999997E-3</v>
      </c>
      <c r="AA3095">
        <v>0.88902729999999996</v>
      </c>
      <c r="AB3095">
        <v>34</v>
      </c>
      <c r="AC3095">
        <v>14.533999999999899</v>
      </c>
      <c r="AD3095">
        <v>-1.0953433217440001</v>
      </c>
      <c r="AE3095">
        <v>-10.388299999999999</v>
      </c>
      <c r="AF3095">
        <v>8.28828129648962</v>
      </c>
      <c r="AG3095">
        <v>-1.0953433217440001</v>
      </c>
      <c r="AH3095">
        <v>15.750309054415</v>
      </c>
      <c r="AI3095">
        <v>93.521720995670506</v>
      </c>
      <c r="AJ3095">
        <v>62.2453195996654</v>
      </c>
      <c r="AK3095">
        <v>17.831646563113999</v>
      </c>
    </row>
    <row r="3096" spans="1:37" x14ac:dyDescent="0.2">
      <c r="A3096" t="str">
        <f>"20200111153458115"</f>
        <v>20200111153458115</v>
      </c>
      <c r="B3096" t="str">
        <f>"1578728098109183"</f>
        <v>1578728098109183</v>
      </c>
      <c r="C3096" t="s">
        <v>37</v>
      </c>
      <c r="D3096">
        <v>5.2176359999999997</v>
      </c>
      <c r="E3096">
        <v>0.60685299999999998</v>
      </c>
      <c r="F3096" t="s">
        <v>50</v>
      </c>
      <c r="G3096">
        <v>-202.33250000000001</v>
      </c>
      <c r="H3096" s="1">
        <v>3.6629900000000001E-6</v>
      </c>
      <c r="I3096">
        <v>209.90770000000001</v>
      </c>
      <c r="J3096">
        <v>-210.6737</v>
      </c>
      <c r="K3096">
        <v>1.0949770000000001</v>
      </c>
      <c r="L3096">
        <v>215.09270000000001</v>
      </c>
      <c r="M3096">
        <v>0.98874689999999998</v>
      </c>
      <c r="N3096">
        <v>0</v>
      </c>
      <c r="O3096">
        <v>-0.14824799999999999</v>
      </c>
      <c r="P3096">
        <v>0.95877889999999999</v>
      </c>
      <c r="Q3096">
        <v>3.613003E-2</v>
      </c>
      <c r="R3096">
        <v>-0.28184740000000003</v>
      </c>
      <c r="S3096">
        <v>2.679214</v>
      </c>
      <c r="T3096">
        <v>-0.3379877</v>
      </c>
      <c r="U3096">
        <v>-1.618134</v>
      </c>
      <c r="V3096">
        <v>0.1379514</v>
      </c>
      <c r="W3096">
        <v>5.2471209999999997E-2</v>
      </c>
      <c r="X3096">
        <v>0.98904809999999999</v>
      </c>
      <c r="Y3096">
        <v>0.38300489999999998</v>
      </c>
      <c r="Z3096">
        <v>-5.235478E-3</v>
      </c>
      <c r="AA3096">
        <v>0.92373150000000004</v>
      </c>
      <c r="AB3096">
        <v>33</v>
      </c>
      <c r="AC3096">
        <v>8.3411999999999793</v>
      </c>
      <c r="AD3096">
        <v>-1.0949733370100001</v>
      </c>
      <c r="AE3096">
        <v>-5.1849999999999996</v>
      </c>
      <c r="AF3096">
        <v>3.8431002222054902</v>
      </c>
      <c r="AG3096">
        <v>-1.0949733370100001</v>
      </c>
      <c r="AH3096">
        <v>8.9071021479242507</v>
      </c>
      <c r="AI3096">
        <v>96.439964738107093</v>
      </c>
      <c r="AJ3096">
        <v>66.661506999786099</v>
      </c>
      <c r="AK3096">
        <v>9.7624205297782307</v>
      </c>
    </row>
    <row r="3097" spans="1:37" x14ac:dyDescent="0.2">
      <c r="A3097" t="str">
        <f>"20200111153458137"</f>
        <v>20200111153458137</v>
      </c>
      <c r="B3097" t="str">
        <f>"1578728098128704"</f>
        <v>1578728098128704</v>
      </c>
      <c r="C3097" t="s">
        <v>37</v>
      </c>
      <c r="D3097">
        <v>5.2293419999999999</v>
      </c>
      <c r="E3097">
        <v>0.60354469999999905</v>
      </c>
      <c r="F3097" t="s">
        <v>50</v>
      </c>
      <c r="G3097">
        <v>-201.06479999999999</v>
      </c>
      <c r="H3097" s="1">
        <v>3.2229449999999999E-6</v>
      </c>
      <c r="I3097">
        <v>209.0676</v>
      </c>
      <c r="J3097">
        <v>-210.3442</v>
      </c>
      <c r="K3097">
        <v>1.09463</v>
      </c>
      <c r="L3097">
        <v>215.03120000000001</v>
      </c>
      <c r="M3097">
        <v>0.98678580000000005</v>
      </c>
      <c r="N3097">
        <v>0</v>
      </c>
      <c r="O3097">
        <v>-0.1607895</v>
      </c>
      <c r="P3097">
        <v>0.95425539999999998</v>
      </c>
      <c r="Q3097">
        <v>3.5345929999999998E-2</v>
      </c>
      <c r="R3097">
        <v>-0.2968962</v>
      </c>
      <c r="S3097">
        <v>2.6515960000000001</v>
      </c>
      <c r="T3097">
        <v>-0.30216159999999997</v>
      </c>
      <c r="U3097">
        <v>-1.6626430000000001</v>
      </c>
      <c r="V3097">
        <v>0.14097129999999999</v>
      </c>
      <c r="W3097">
        <v>5.1447859999999998E-2</v>
      </c>
      <c r="X3097">
        <v>0.988676</v>
      </c>
      <c r="Y3097">
        <v>0.38703989999999999</v>
      </c>
      <c r="Z3097">
        <v>-3.6534229999999998E-3</v>
      </c>
      <c r="AA3097">
        <v>0.92205569999999903</v>
      </c>
      <c r="AB3097">
        <v>33</v>
      </c>
      <c r="AC3097">
        <v>9.2794000000000096</v>
      </c>
      <c r="AD3097">
        <v>-1.094626777055</v>
      </c>
      <c r="AE3097">
        <v>-5.9636000000000102</v>
      </c>
      <c r="AF3097">
        <v>4.3507995716755898</v>
      </c>
      <c r="AG3097">
        <v>-1.094626777055</v>
      </c>
      <c r="AH3097">
        <v>10.019024756266001</v>
      </c>
      <c r="AI3097">
        <v>95.722715451264406</v>
      </c>
      <c r="AJ3097">
        <v>66.526920829252802</v>
      </c>
      <c r="AK3097">
        <v>10.9776373487472</v>
      </c>
    </row>
    <row r="3098" spans="1:37" x14ac:dyDescent="0.2">
      <c r="A3098" t="str">
        <f>"20200111153458158"</f>
        <v>20200111153458158</v>
      </c>
      <c r="B3098" t="str">
        <f>"1578728098149199"</f>
        <v>1578728098149199</v>
      </c>
      <c r="C3098" t="s">
        <v>37</v>
      </c>
      <c r="D3098">
        <v>5.2408289999999997</v>
      </c>
      <c r="E3098">
        <v>0.60173169999999898</v>
      </c>
      <c r="F3098" t="s">
        <v>50</v>
      </c>
      <c r="G3098">
        <v>-201.56370000000001</v>
      </c>
      <c r="H3098" s="1">
        <v>3.37928299999999E-6</v>
      </c>
      <c r="I3098">
        <v>209.43610000000001</v>
      </c>
      <c r="J3098">
        <v>-210.02209999999999</v>
      </c>
      <c r="K3098">
        <v>1.094306</v>
      </c>
      <c r="L3098">
        <v>214.96639999999999</v>
      </c>
      <c r="M3098">
        <v>0.98464130000000005</v>
      </c>
      <c r="N3098">
        <v>0</v>
      </c>
      <c r="O3098">
        <v>-0.1734426</v>
      </c>
      <c r="P3098">
        <v>0.94927640000000002</v>
      </c>
      <c r="Q3098">
        <v>3.4965110000000001E-2</v>
      </c>
      <c r="R3098">
        <v>-0.31249339999999998</v>
      </c>
      <c r="S3098">
        <v>2.633804</v>
      </c>
      <c r="T3098">
        <v>-0.32834590000000002</v>
      </c>
      <c r="U3098">
        <v>-1.6783139999999901</v>
      </c>
      <c r="V3098">
        <v>0.1445081</v>
      </c>
      <c r="W3098">
        <v>5.0829249999999999E-2</v>
      </c>
      <c r="X3098">
        <v>0.98819729999999995</v>
      </c>
      <c r="Y3098">
        <v>0.38181700000000002</v>
      </c>
      <c r="Z3098">
        <v>-2.3005809999999999E-3</v>
      </c>
      <c r="AA3098">
        <v>0.92423509999999998</v>
      </c>
      <c r="AB3098">
        <v>33</v>
      </c>
      <c r="AC3098">
        <v>8.4583999999999797</v>
      </c>
      <c r="AD3098">
        <v>-1.0943026207169999</v>
      </c>
      <c r="AE3098">
        <v>-5.53029999999998</v>
      </c>
      <c r="AF3098">
        <v>3.93299331796368</v>
      </c>
      <c r="AG3098">
        <v>-1.0943026207169999</v>
      </c>
      <c r="AH3098">
        <v>9.1818729073884793</v>
      </c>
      <c r="AI3098">
        <v>96.252017993305898</v>
      </c>
      <c r="AJ3098">
        <v>66.812455206740495</v>
      </c>
      <c r="AK3098">
        <v>10.048518535201501</v>
      </c>
    </row>
    <row r="3099" spans="1:37" x14ac:dyDescent="0.2">
      <c r="A3099" t="str">
        <f>"20200111153458181"</f>
        <v>20200111153458181</v>
      </c>
      <c r="B3099" t="str">
        <f>"1578728098169370"</f>
        <v>1578728098169370</v>
      </c>
      <c r="C3099" t="s">
        <v>37</v>
      </c>
      <c r="D3099">
        <v>5.2344720000000002</v>
      </c>
      <c r="E3099">
        <v>0.60043190000000002</v>
      </c>
      <c r="F3099" t="s">
        <v>50</v>
      </c>
      <c r="G3099">
        <v>-201.74109999999999</v>
      </c>
      <c r="H3099" s="1">
        <v>3.43756199999999E-6</v>
      </c>
      <c r="I3099">
        <v>209.55199999999999</v>
      </c>
      <c r="J3099">
        <v>-209.69929999999999</v>
      </c>
      <c r="K3099">
        <v>1.0940080000000001</v>
      </c>
      <c r="L3099">
        <v>214.89660000000001</v>
      </c>
      <c r="M3099">
        <v>0.98225039999999997</v>
      </c>
      <c r="N3099">
        <v>0</v>
      </c>
      <c r="O3099">
        <v>-0.18650890000000001</v>
      </c>
      <c r="P3099">
        <v>0.94367089999999998</v>
      </c>
      <c r="Q3099">
        <v>3.4211659999999998E-2</v>
      </c>
      <c r="R3099">
        <v>-0.32911289999999999</v>
      </c>
      <c r="S3099">
        <v>2.611008</v>
      </c>
      <c r="T3099">
        <v>-0.34503699999999998</v>
      </c>
      <c r="U3099">
        <v>-1.7071989999999999</v>
      </c>
      <c r="V3099">
        <v>0.1487395</v>
      </c>
      <c r="W3099">
        <v>4.9832500000000002E-2</v>
      </c>
      <c r="X3099">
        <v>0.98762000000000005</v>
      </c>
      <c r="Y3099">
        <v>0.38035219999999997</v>
      </c>
      <c r="Z3099">
        <v>-8.367095E-4</v>
      </c>
      <c r="AA3099">
        <v>0.92484129999999998</v>
      </c>
      <c r="AB3099">
        <v>33</v>
      </c>
      <c r="AC3099">
        <v>7.9581999999999997</v>
      </c>
      <c r="AD3099">
        <v>-1.0940045624379999</v>
      </c>
      <c r="AE3099">
        <v>-5.3445999999999803</v>
      </c>
      <c r="AF3099">
        <v>3.7177916856688298</v>
      </c>
      <c r="AG3099">
        <v>-1.0940045624379999</v>
      </c>
      <c r="AH3099">
        <v>8.7021831987077007</v>
      </c>
      <c r="AI3099">
        <v>96.594553027869793</v>
      </c>
      <c r="AJ3099">
        <v>66.866607018283304</v>
      </c>
      <c r="AK3099">
        <v>9.5261121883239497</v>
      </c>
    </row>
    <row r="3100" spans="1:37" x14ac:dyDescent="0.2">
      <c r="A3100" t="str">
        <f>"20200111153458204"</f>
        <v>20200111153458204</v>
      </c>
      <c r="B3100" t="str">
        <f>"1578728098199627"</f>
        <v>1578728098199627</v>
      </c>
      <c r="C3100" t="s">
        <v>37</v>
      </c>
      <c r="D3100">
        <v>5.2747739999999999</v>
      </c>
      <c r="E3100">
        <v>0.59864930000000005</v>
      </c>
      <c r="F3100" t="s">
        <v>50</v>
      </c>
      <c r="G3100">
        <v>-201.96510000000001</v>
      </c>
      <c r="H3100" s="1">
        <v>3.5194339999999998E-6</v>
      </c>
      <c r="I3100">
        <v>209.68629999999999</v>
      </c>
      <c r="J3100">
        <v>-209.36619999999999</v>
      </c>
      <c r="K3100">
        <v>1.0937299999999901</v>
      </c>
      <c r="L3100">
        <v>214.8194</v>
      </c>
      <c r="M3100">
        <v>0.97952439999999996</v>
      </c>
      <c r="N3100">
        <v>0</v>
      </c>
      <c r="O3100">
        <v>-0.20033290000000001</v>
      </c>
      <c r="P3100">
        <v>0.93753709999999901</v>
      </c>
      <c r="Q3100">
        <v>3.2734270000000003E-2</v>
      </c>
      <c r="R3100">
        <v>-0.34634159999999897</v>
      </c>
      <c r="S3100">
        <v>2.584991</v>
      </c>
      <c r="T3100">
        <v>-0.365647</v>
      </c>
      <c r="U3100">
        <v>-1.741409</v>
      </c>
      <c r="V3100">
        <v>0.15288969999999999</v>
      </c>
      <c r="W3100">
        <v>4.8125099999999997E-2</v>
      </c>
      <c r="X3100">
        <v>0.98707080000000003</v>
      </c>
      <c r="Y3100">
        <v>0.3799903</v>
      </c>
      <c r="Z3100">
        <v>8.158684E-4</v>
      </c>
      <c r="AA3100">
        <v>0.92499010000000004</v>
      </c>
      <c r="AB3100">
        <v>33</v>
      </c>
      <c r="AC3100">
        <v>7.40109999999998</v>
      </c>
      <c r="AD3100">
        <v>-1.0937264805660001</v>
      </c>
      <c r="AE3100">
        <v>-5.1331000000000104</v>
      </c>
      <c r="AF3100">
        <v>3.4944913943003799</v>
      </c>
      <c r="AG3100">
        <v>-1.0937264805660001</v>
      </c>
      <c r="AH3100">
        <v>8.1592246988103607</v>
      </c>
      <c r="AI3100">
        <v>97.024694802763804</v>
      </c>
      <c r="AJ3100">
        <v>66.815169631462297</v>
      </c>
      <c r="AK3100">
        <v>8.9431904488726897</v>
      </c>
    </row>
    <row r="3101" spans="1:37" x14ac:dyDescent="0.2">
      <c r="A3101" t="str">
        <f>"20200111153458226"</f>
        <v>20200111153458226</v>
      </c>
      <c r="B3101" t="str">
        <f>"1578728098219146"</f>
        <v>1578728098219146</v>
      </c>
      <c r="C3101" t="s">
        <v>37</v>
      </c>
      <c r="D3101">
        <v>5.2642870000000004</v>
      </c>
      <c r="E3101">
        <v>0.59765119999999905</v>
      </c>
      <c r="F3101" t="s">
        <v>50</v>
      </c>
      <c r="G3101">
        <v>-202.13849999999999</v>
      </c>
      <c r="H3101" s="1">
        <v>3.5856099999999999E-6</v>
      </c>
      <c r="I3101">
        <v>209.80879999999999</v>
      </c>
      <c r="J3101">
        <v>-209.04089999999999</v>
      </c>
      <c r="K3101">
        <v>1.093499</v>
      </c>
      <c r="L3101">
        <v>214.73910000000001</v>
      </c>
      <c r="M3101">
        <v>0.97660460000000004</v>
      </c>
      <c r="N3101">
        <v>0</v>
      </c>
      <c r="O3101">
        <v>-0.214115</v>
      </c>
      <c r="P3101">
        <v>0.93128319999999998</v>
      </c>
      <c r="Q3101">
        <v>3.1233710000000001E-2</v>
      </c>
      <c r="R3101">
        <v>-0.36295519999999998</v>
      </c>
      <c r="S3101">
        <v>2.55822799999999</v>
      </c>
      <c r="T3101">
        <v>-0.38712079999999999</v>
      </c>
      <c r="U3101">
        <v>-1.7734989999999999</v>
      </c>
      <c r="V3101">
        <v>0.15650129999999901</v>
      </c>
      <c r="W3101">
        <v>4.6426589999999997E-2</v>
      </c>
      <c r="X3101">
        <v>0.98658599999999996</v>
      </c>
      <c r="Y3101">
        <v>0.3792683</v>
      </c>
      <c r="Z3101">
        <v>2.6928909999999898E-3</v>
      </c>
      <c r="AA3101">
        <v>0.92528279999999996</v>
      </c>
      <c r="AB3101">
        <v>33</v>
      </c>
      <c r="AC3101">
        <v>6.9024000000000001</v>
      </c>
      <c r="AD3101">
        <v>-1.09349541439</v>
      </c>
      <c r="AE3101">
        <v>-4.9303000000000097</v>
      </c>
      <c r="AF3101">
        <v>3.2831492338735</v>
      </c>
      <c r="AG3101">
        <v>-1.09349541439</v>
      </c>
      <c r="AH3101">
        <v>7.6706434559939298</v>
      </c>
      <c r="AI3101">
        <v>97.466399244004805</v>
      </c>
      <c r="AJ3101">
        <v>66.828356600421301</v>
      </c>
      <c r="AK3101">
        <v>8.4150800437166708</v>
      </c>
    </row>
    <row r="3102" spans="1:37" x14ac:dyDescent="0.2">
      <c r="A3102" t="str">
        <f>"20200111153458248"</f>
        <v>20200111153458248</v>
      </c>
      <c r="B3102" t="str">
        <f>"1578728098239642"</f>
        <v>1578728098239642</v>
      </c>
      <c r="C3102" t="s">
        <v>37</v>
      </c>
      <c r="D3102">
        <v>5.3058040000000002</v>
      </c>
      <c r="E3102">
        <v>0.59652299999999903</v>
      </c>
      <c r="F3102" t="s">
        <v>50</v>
      </c>
      <c r="G3102">
        <v>-202.08879999999999</v>
      </c>
      <c r="H3102" s="1">
        <v>3.5675059999999999E-6</v>
      </c>
      <c r="I3102">
        <v>209.7637</v>
      </c>
      <c r="J3102">
        <v>-208.7286</v>
      </c>
      <c r="K3102">
        <v>1.0933029999999999</v>
      </c>
      <c r="L3102">
        <v>214.65719999999999</v>
      </c>
      <c r="M3102">
        <v>0.97355530000000001</v>
      </c>
      <c r="N3102">
        <v>0</v>
      </c>
      <c r="O3102">
        <v>-0.22757910000000001</v>
      </c>
      <c r="P3102">
        <v>0.92494880000000002</v>
      </c>
      <c r="Q3102">
        <v>2.946899E-2</v>
      </c>
      <c r="R3102">
        <v>-0.37894840000000002</v>
      </c>
      <c r="S3102">
        <v>2.529236</v>
      </c>
      <c r="T3102">
        <v>-0.39782059999999902</v>
      </c>
      <c r="U3102">
        <v>-1.8100889999999901</v>
      </c>
      <c r="V3102">
        <v>0.1598339</v>
      </c>
      <c r="W3102">
        <v>4.4487400000000003E-2</v>
      </c>
      <c r="X3102">
        <v>0.98614099999999905</v>
      </c>
      <c r="Y3102">
        <v>0.38037690000000002</v>
      </c>
      <c r="Z3102">
        <v>4.4839009999999898E-3</v>
      </c>
      <c r="AA3102">
        <v>0.92482070000000005</v>
      </c>
      <c r="AB3102">
        <v>33</v>
      </c>
      <c r="AC3102">
        <v>6.6398000000000001</v>
      </c>
      <c r="AD3102">
        <v>-1.093299432494</v>
      </c>
      <c r="AE3102">
        <v>-4.89349999999998</v>
      </c>
      <c r="AF3102">
        <v>3.1974825872505601</v>
      </c>
      <c r="AG3102">
        <v>-1.093299432494</v>
      </c>
      <c r="AH3102">
        <v>7.4485127536273703</v>
      </c>
      <c r="AI3102">
        <v>97.681605695962304</v>
      </c>
      <c r="AJ3102">
        <v>66.767217067531902</v>
      </c>
      <c r="AK3102">
        <v>8.1792139466951195</v>
      </c>
    </row>
    <row r="3103" spans="1:37" x14ac:dyDescent="0.2">
      <c r="A3103" t="str">
        <f>"20200111153458271"</f>
        <v>20200111153458271</v>
      </c>
      <c r="B3103" t="str">
        <f>"1578728098259163"</f>
        <v>1578728098259163</v>
      </c>
      <c r="C3103" t="s">
        <v>37</v>
      </c>
      <c r="D3103">
        <v>5.2836919999999896</v>
      </c>
      <c r="E3103">
        <v>0.59596680000000002</v>
      </c>
      <c r="F3103" t="s">
        <v>50</v>
      </c>
      <c r="G3103">
        <v>-202.06280000000001</v>
      </c>
      <c r="H3103" s="1">
        <v>3.55772E-6</v>
      </c>
      <c r="I3103">
        <v>209.74379999999999</v>
      </c>
      <c r="J3103">
        <v>-208.398</v>
      </c>
      <c r="K3103">
        <v>1.093124</v>
      </c>
      <c r="L3103">
        <v>214.56540000000001</v>
      </c>
      <c r="M3103">
        <v>0.97006029999999999</v>
      </c>
      <c r="N3103">
        <v>0</v>
      </c>
      <c r="O3103">
        <v>-0.242042799999999</v>
      </c>
      <c r="P3103">
        <v>0.91806359999999998</v>
      </c>
      <c r="Q3103">
        <v>2.6458510000000001E-2</v>
      </c>
      <c r="R3103">
        <v>-0.39554909999999999</v>
      </c>
      <c r="S3103">
        <v>2.50116</v>
      </c>
      <c r="T3103">
        <v>-0.41023179999999998</v>
      </c>
      <c r="U3103">
        <v>-1.8436129999999999</v>
      </c>
      <c r="V3103">
        <v>0.16282720000000001</v>
      </c>
      <c r="W3103">
        <v>4.1321259999999999E-2</v>
      </c>
      <c r="X3103">
        <v>0.98578889999999997</v>
      </c>
      <c r="Y3103">
        <v>0.37963659999999999</v>
      </c>
      <c r="Z3103">
        <v>6.6724590000000004E-3</v>
      </c>
      <c r="AA3103">
        <v>0.92511169999999998</v>
      </c>
      <c r="AB3103">
        <v>33</v>
      </c>
      <c r="AC3103">
        <v>6.33519999999998</v>
      </c>
      <c r="AD3103">
        <v>-1.0931204422799901</v>
      </c>
      <c r="AE3103">
        <v>-4.8216000000000099</v>
      </c>
      <c r="AF3103">
        <v>3.0862954760866201</v>
      </c>
      <c r="AG3103">
        <v>-1.0931204422799901</v>
      </c>
      <c r="AH3103">
        <v>7.1786811071589796</v>
      </c>
      <c r="AI3103">
        <v>97.963567077667406</v>
      </c>
      <c r="AJ3103">
        <v>66.735915166223805</v>
      </c>
      <c r="AK3103">
        <v>7.8900947082607598</v>
      </c>
    </row>
    <row r="3104" spans="1:37" x14ac:dyDescent="0.2">
      <c r="A3104" t="str">
        <f>"20200111153458293"</f>
        <v>20200111153458293</v>
      </c>
      <c r="B3104" t="str">
        <f>"1578728098289419"</f>
        <v>1578728098289419</v>
      </c>
      <c r="C3104" t="s">
        <v>37</v>
      </c>
      <c r="D3104">
        <v>5.0369169999999999</v>
      </c>
      <c r="E3104">
        <v>0.59743489999999999</v>
      </c>
      <c r="F3104" t="s">
        <v>50</v>
      </c>
      <c r="G3104">
        <v>-201.99209999999999</v>
      </c>
      <c r="H3104" s="1">
        <v>3.531983E-6</v>
      </c>
      <c r="I3104">
        <v>209.67959999999999</v>
      </c>
      <c r="J3104">
        <v>-208.09280000000001</v>
      </c>
      <c r="K3104">
        <v>1.092992</v>
      </c>
      <c r="L3104">
        <v>214.47569999999999</v>
      </c>
      <c r="M3104">
        <v>0.9665859</v>
      </c>
      <c r="N3104">
        <v>0</v>
      </c>
      <c r="O3104">
        <v>-0.25556489999999998</v>
      </c>
      <c r="P3104">
        <v>0.91142190000000001</v>
      </c>
      <c r="Q3104">
        <v>2.4760290000000001E-2</v>
      </c>
      <c r="R3104">
        <v>-0.41072759999999903</v>
      </c>
      <c r="S3104">
        <v>2.4686430000000001</v>
      </c>
      <c r="T3104">
        <v>-0.42125459999999898</v>
      </c>
      <c r="U3104">
        <v>-1.882843</v>
      </c>
      <c r="V3104">
        <v>0.16536689999999901</v>
      </c>
      <c r="W3104">
        <v>3.9495509999999998E-2</v>
      </c>
      <c r="X3104">
        <v>0.98544100000000001</v>
      </c>
      <c r="Y3104">
        <v>0.38190570000000001</v>
      </c>
      <c r="Z3104">
        <v>8.6080389999999996E-3</v>
      </c>
      <c r="AA3104">
        <v>0.92416119999999902</v>
      </c>
      <c r="AB3104">
        <v>32</v>
      </c>
      <c r="AC3104">
        <v>6.1007000000000096</v>
      </c>
      <c r="AD3104">
        <v>-1.0929884680169999</v>
      </c>
      <c r="AE3104">
        <v>-4.7960999999999903</v>
      </c>
      <c r="AF3104">
        <v>3.0174722549956399</v>
      </c>
      <c r="AG3104">
        <v>-1.0929884680169999</v>
      </c>
      <c r="AH3104">
        <v>6.9854125666164197</v>
      </c>
      <c r="AI3104">
        <v>98.173993074485395</v>
      </c>
      <c r="AJ3104">
        <v>66.637217522443905</v>
      </c>
      <c r="AK3104">
        <v>7.6873761015530597</v>
      </c>
    </row>
    <row r="3105" spans="1:37" x14ac:dyDescent="0.2">
      <c r="A3105" t="str">
        <f>"20200111153458315"</f>
        <v>20200111153458315</v>
      </c>
      <c r="B3105" t="str">
        <f>"1578728098308941"</f>
        <v>1578728098308941</v>
      </c>
      <c r="C3105" t="s">
        <v>37</v>
      </c>
      <c r="D3105">
        <v>5.0628089999999997</v>
      </c>
      <c r="E3105">
        <v>0.6024505</v>
      </c>
      <c r="F3105" t="s">
        <v>50</v>
      </c>
      <c r="G3105">
        <v>-201.39840000000001</v>
      </c>
      <c r="H3105" s="1">
        <v>3.356594E-6</v>
      </c>
      <c r="I3105">
        <v>209.14869999999999</v>
      </c>
      <c r="J3105">
        <v>-207.77599999999899</v>
      </c>
      <c r="K3105">
        <v>1.092892</v>
      </c>
      <c r="L3105">
        <v>214.3777</v>
      </c>
      <c r="M3105">
        <v>0.96272440000000004</v>
      </c>
      <c r="N3105">
        <v>0</v>
      </c>
      <c r="O3105">
        <v>-0.26974709999999902</v>
      </c>
      <c r="P3105">
        <v>0.90424680000000002</v>
      </c>
      <c r="Q3105">
        <v>2.4749449999999999E-2</v>
      </c>
      <c r="R3105">
        <v>-0.42629269999999903</v>
      </c>
      <c r="S3105">
        <v>2.4306950000000001</v>
      </c>
      <c r="T3105">
        <v>-0.3968545</v>
      </c>
      <c r="U3105">
        <v>-1.934204</v>
      </c>
      <c r="V3105">
        <v>0.16778270000000001</v>
      </c>
      <c r="W3105">
        <v>3.9367819999999998E-2</v>
      </c>
      <c r="X3105">
        <v>0.98503759999999996</v>
      </c>
      <c r="Y3105">
        <v>0.3875014</v>
      </c>
      <c r="Z3105">
        <v>9.6252089999999992E-3</v>
      </c>
      <c r="AA3105">
        <v>0.9218189</v>
      </c>
      <c r="AB3105">
        <v>32</v>
      </c>
      <c r="AC3105">
        <v>6.37759999999997</v>
      </c>
      <c r="AD3105">
        <v>-1.0928886434059999</v>
      </c>
      <c r="AE3105">
        <v>-5.2290000000000099</v>
      </c>
      <c r="AF3105">
        <v>3.2572082722019999</v>
      </c>
      <c r="AG3105">
        <v>-1.0928886434059999</v>
      </c>
      <c r="AH3105">
        <v>7.4215556094177701</v>
      </c>
      <c r="AI3105">
        <v>97.679639958782104</v>
      </c>
      <c r="AJ3105">
        <v>66.304057801457006</v>
      </c>
      <c r="AK3105">
        <v>8.1782210155428796</v>
      </c>
    </row>
    <row r="3106" spans="1:37" x14ac:dyDescent="0.2">
      <c r="A3106" t="str">
        <f>"20200111153458338"</f>
        <v>20200111153458338</v>
      </c>
      <c r="B3106" t="str">
        <f>"1578728098329434"</f>
        <v>1578728098329434</v>
      </c>
      <c r="C3106" t="s">
        <v>37</v>
      </c>
      <c r="D3106">
        <v>5.1111469999999999</v>
      </c>
      <c r="E3106">
        <v>0.60103680000000004</v>
      </c>
      <c r="F3106" t="s">
        <v>50</v>
      </c>
      <c r="G3106">
        <v>-194.79140000000001</v>
      </c>
      <c r="H3106" s="1">
        <v>5.43825E-6</v>
      </c>
      <c r="I3106">
        <v>203.35759999999999</v>
      </c>
      <c r="J3106">
        <v>-207.46979999999999</v>
      </c>
      <c r="K3106">
        <v>1.0928290000000001</v>
      </c>
      <c r="L3106">
        <v>214.27789999999999</v>
      </c>
      <c r="M3106">
        <v>0.95874179999999998</v>
      </c>
      <c r="N3106">
        <v>0</v>
      </c>
      <c r="O3106">
        <v>-0.28357709999999903</v>
      </c>
      <c r="P3106">
        <v>0.89711090000000004</v>
      </c>
      <c r="Q3106">
        <v>2.63187E-2</v>
      </c>
      <c r="R3106">
        <v>-0.44102079999999999</v>
      </c>
      <c r="S3106">
        <v>2.3734739999999999</v>
      </c>
      <c r="T3106">
        <v>-0.19977029999999901</v>
      </c>
      <c r="U3106">
        <v>-2.0143740000000001</v>
      </c>
      <c r="V3106">
        <v>0.16977690000000001</v>
      </c>
      <c r="W3106">
        <v>4.084339E-2</v>
      </c>
      <c r="X3106">
        <v>0.98463579999999995</v>
      </c>
      <c r="Y3106">
        <v>0.40400390000000003</v>
      </c>
      <c r="Z3106">
        <v>5.2119740000000003E-3</v>
      </c>
      <c r="AA3106">
        <v>0.91474239999999996</v>
      </c>
      <c r="AB3106">
        <v>32</v>
      </c>
      <c r="AC3106">
        <v>12.6783999999999</v>
      </c>
      <c r="AD3106">
        <v>-1.0928235617499999</v>
      </c>
      <c r="AE3106">
        <v>-10.9202999999999</v>
      </c>
      <c r="AF3106">
        <v>6.8466103613056202</v>
      </c>
      <c r="AG3106">
        <v>-1.0928235617499999</v>
      </c>
      <c r="AH3106">
        <v>15.1903052564425</v>
      </c>
      <c r="AI3106">
        <v>93.752533590330003</v>
      </c>
      <c r="AJ3106">
        <v>65.737845145261502</v>
      </c>
      <c r="AK3106">
        <v>16.6977756171461</v>
      </c>
    </row>
    <row r="3107" spans="1:37" x14ac:dyDescent="0.2">
      <c r="A3107" t="str">
        <f>"20200111153458360"</f>
        <v>20200111153458360</v>
      </c>
      <c r="B3107" t="str">
        <f>"1578728098348954"</f>
        <v>1578728098348954</v>
      </c>
      <c r="C3107" t="s">
        <v>37</v>
      </c>
      <c r="D3107">
        <v>5.1049259999999999</v>
      </c>
      <c r="E3107">
        <v>0.60017880000000001</v>
      </c>
      <c r="F3107" t="s">
        <v>50</v>
      </c>
      <c r="G3107">
        <v>-194.37899999999999</v>
      </c>
      <c r="H3107" s="1">
        <v>5.6577949999999999E-6</v>
      </c>
      <c r="I3107">
        <v>202.87389999999999</v>
      </c>
      <c r="J3107">
        <v>-207.1628</v>
      </c>
      <c r="K3107">
        <v>1.0927830000000001</v>
      </c>
      <c r="L3107">
        <v>214.17269999999999</v>
      </c>
      <c r="M3107">
        <v>0.95449640000000002</v>
      </c>
      <c r="N3107">
        <v>0</v>
      </c>
      <c r="O3107">
        <v>-0.29755389999999998</v>
      </c>
      <c r="P3107">
        <v>0.88958189999999904</v>
      </c>
      <c r="Q3107">
        <v>2.847775E-2</v>
      </c>
      <c r="R3107">
        <v>-0.45588699999999999</v>
      </c>
      <c r="S3107">
        <v>2.345367</v>
      </c>
      <c r="T3107">
        <v>-0.19579089999999999</v>
      </c>
      <c r="U3107">
        <v>-2.0431520000000001</v>
      </c>
      <c r="V3107">
        <v>0.17186599999999999</v>
      </c>
      <c r="W3107">
        <v>4.2910110000000001E-2</v>
      </c>
      <c r="X3107">
        <v>0.98418530000000004</v>
      </c>
      <c r="Y3107">
        <v>0.40247739999999999</v>
      </c>
      <c r="Z3107">
        <v>6.1001529999999997E-3</v>
      </c>
      <c r="AA3107">
        <v>0.91540959999999905</v>
      </c>
      <c r="AB3107">
        <v>32</v>
      </c>
      <c r="AC3107">
        <v>12.7837999999999</v>
      </c>
      <c r="AD3107">
        <v>-1.092777342205</v>
      </c>
      <c r="AE3107">
        <v>-11.2988</v>
      </c>
      <c r="AF3107">
        <v>6.9536582988342701</v>
      </c>
      <c r="AG3107">
        <v>-1.092777342205</v>
      </c>
      <c r="AH3107">
        <v>15.503591594634701</v>
      </c>
      <c r="AI3107">
        <v>93.679782567438707</v>
      </c>
      <c r="AJ3107">
        <v>65.842850382864</v>
      </c>
      <c r="AK3107">
        <v>17.026710733133701</v>
      </c>
    </row>
    <row r="3108" spans="1:37" x14ac:dyDescent="0.2">
      <c r="A3108" t="str">
        <f>"20200111153458383"</f>
        <v>20200111153458383</v>
      </c>
      <c r="B3108" t="str">
        <f>"1578728098379210"</f>
        <v>1578728098379210</v>
      </c>
      <c r="C3108" t="s">
        <v>37</v>
      </c>
      <c r="D3108">
        <v>5.3413839999999997</v>
      </c>
      <c r="E3108">
        <v>0.60298379999999996</v>
      </c>
      <c r="F3108" t="s">
        <v>50</v>
      </c>
      <c r="G3108">
        <v>-194.15809999999999</v>
      </c>
      <c r="H3108" s="1">
        <v>5.8044930000000001E-6</v>
      </c>
      <c r="I3108">
        <v>202.5076</v>
      </c>
      <c r="J3108">
        <v>-206.85849999999999</v>
      </c>
      <c r="K3108">
        <v>1.0927519999999999</v>
      </c>
      <c r="L3108">
        <v>214.06309999999999</v>
      </c>
      <c r="M3108">
        <v>0.95003249999999995</v>
      </c>
      <c r="N3108">
        <v>0</v>
      </c>
      <c r="O3108">
        <v>-0.31151230000000002</v>
      </c>
      <c r="P3108">
        <v>0.88155110000000003</v>
      </c>
      <c r="Q3108">
        <v>3.122573E-2</v>
      </c>
      <c r="R3108">
        <v>-0.47105509999999901</v>
      </c>
      <c r="S3108">
        <v>2.3146059999999999</v>
      </c>
      <c r="T3108">
        <v>-0.194495</v>
      </c>
      <c r="U3108">
        <v>-2.0761720000000001</v>
      </c>
      <c r="V3108">
        <v>0.1744127</v>
      </c>
      <c r="W3108">
        <v>4.5555869999999998E-2</v>
      </c>
      <c r="X3108">
        <v>0.98361829999999995</v>
      </c>
      <c r="Y3108">
        <v>0.4023659</v>
      </c>
      <c r="Z3108">
        <v>6.9968919999999898E-3</v>
      </c>
      <c r="AA3108">
        <v>0.91545219999999905</v>
      </c>
      <c r="AB3108">
        <v>32</v>
      </c>
      <c r="AC3108">
        <v>12.7004</v>
      </c>
      <c r="AD3108">
        <v>-1.0927461955069999</v>
      </c>
      <c r="AE3108">
        <v>-11.555499999999901</v>
      </c>
      <c r="AF3108">
        <v>6.9948387693338603</v>
      </c>
      <c r="AG3108">
        <v>-1.0927461955069999</v>
      </c>
      <c r="AH3108">
        <v>15.6053905176061</v>
      </c>
      <c r="AI3108">
        <v>93.656130179175705</v>
      </c>
      <c r="AJ3108">
        <v>65.856540381117</v>
      </c>
      <c r="AK3108">
        <v>17.136221195577502</v>
      </c>
    </row>
    <row r="3109" spans="1:37" x14ac:dyDescent="0.2">
      <c r="A3109" t="str">
        <f>"20200111153458405"</f>
        <v>20200111153458405</v>
      </c>
      <c r="B3109" t="str">
        <f>"1578728098398730"</f>
        <v>1578728098398730</v>
      </c>
      <c r="C3109" t="s">
        <v>37</v>
      </c>
      <c r="D3109">
        <v>5.2943160000000002</v>
      </c>
      <c r="E3109">
        <v>0.60603790000000002</v>
      </c>
      <c r="F3109" t="s">
        <v>50</v>
      </c>
      <c r="G3109">
        <v>-194.01689999999999</v>
      </c>
      <c r="H3109" s="1">
        <v>6.0299239999999901E-6</v>
      </c>
      <c r="I3109">
        <v>201.97620000000001</v>
      </c>
      <c r="J3109">
        <v>-206.55090000000001</v>
      </c>
      <c r="K3109">
        <v>1.0927279999999999</v>
      </c>
      <c r="L3109">
        <v>213.94710000000001</v>
      </c>
      <c r="M3109">
        <v>0.94526279999999996</v>
      </c>
      <c r="N3109">
        <v>0</v>
      </c>
      <c r="O3109">
        <v>-0.32569890000000001</v>
      </c>
      <c r="P3109">
        <v>0.87271710000000002</v>
      </c>
      <c r="Q3109">
        <v>3.2687870000000001E-2</v>
      </c>
      <c r="R3109">
        <v>-0.48713099999999998</v>
      </c>
      <c r="S3109">
        <v>2.2688449999999998</v>
      </c>
      <c r="T3109">
        <v>-0.19306599999999999</v>
      </c>
      <c r="U3109">
        <v>-2.1354980000000001</v>
      </c>
      <c r="V3109">
        <v>0.1777791</v>
      </c>
      <c r="W3109">
        <v>4.6892919999999998E-2</v>
      </c>
      <c r="X3109">
        <v>0.98295250000000001</v>
      </c>
      <c r="Y3109">
        <v>0.4106127</v>
      </c>
      <c r="Z3109">
        <v>7.5955179999999999E-3</v>
      </c>
      <c r="AA3109">
        <v>0.91177819999999898</v>
      </c>
      <c r="AB3109">
        <v>32</v>
      </c>
      <c r="AC3109">
        <v>12.534000000000001</v>
      </c>
      <c r="AD3109">
        <v>-1.092721970076</v>
      </c>
      <c r="AE3109">
        <v>-11.9709</v>
      </c>
      <c r="AF3109">
        <v>7.2061351127563</v>
      </c>
      <c r="AG3109">
        <v>-1.092721970076</v>
      </c>
      <c r="AH3109">
        <v>15.687616136454199</v>
      </c>
      <c r="AI3109">
        <v>93.621792441689607</v>
      </c>
      <c r="AJ3109">
        <v>65.328229058371704</v>
      </c>
      <c r="AK3109">
        <v>17.2980844203028</v>
      </c>
    </row>
    <row r="3110" spans="1:37" x14ac:dyDescent="0.2">
      <c r="A3110" t="str">
        <f>"20200111153458428"</f>
        <v>20200111153458428</v>
      </c>
      <c r="B3110" t="str">
        <f>"1578728098419226"</f>
        <v>1578728098419226</v>
      </c>
      <c r="C3110" t="s">
        <v>37</v>
      </c>
      <c r="D3110">
        <v>5.2833249999999996</v>
      </c>
      <c r="E3110">
        <v>0.60627449999999905</v>
      </c>
      <c r="F3110" t="s">
        <v>50</v>
      </c>
      <c r="G3110">
        <v>-193.798</v>
      </c>
      <c r="H3110" s="1">
        <v>6.3249999999999996E-6</v>
      </c>
      <c r="I3110">
        <v>201.30629999999999</v>
      </c>
      <c r="J3110">
        <v>-206.2484</v>
      </c>
      <c r="K3110">
        <v>1.092714</v>
      </c>
      <c r="L3110">
        <v>213.82769999999999</v>
      </c>
      <c r="M3110">
        <v>0.94031419999999999</v>
      </c>
      <c r="N3110">
        <v>0</v>
      </c>
      <c r="O3110">
        <v>-0.33972209999999903</v>
      </c>
      <c r="P3110">
        <v>0.8629424</v>
      </c>
      <c r="Q3110">
        <v>3.246479E-2</v>
      </c>
      <c r="R3110">
        <v>-0.50425920000000002</v>
      </c>
      <c r="S3110">
        <v>2.2176969999999998</v>
      </c>
      <c r="T3110">
        <v>-0.19002160000000001</v>
      </c>
      <c r="U3110">
        <v>-2.1981959999999998</v>
      </c>
      <c r="V3110">
        <v>0.1825494</v>
      </c>
      <c r="W3110">
        <v>4.6499949999999998E-2</v>
      </c>
      <c r="X3110">
        <v>0.98209639999999998</v>
      </c>
      <c r="Y3110">
        <v>0.42060730000000002</v>
      </c>
      <c r="Z3110">
        <v>8.0480540000000007E-3</v>
      </c>
      <c r="AA3110">
        <v>0.90720710000000004</v>
      </c>
      <c r="AB3110">
        <v>32</v>
      </c>
      <c r="AC3110">
        <v>12.4504</v>
      </c>
      <c r="AD3110">
        <v>-1.092707675</v>
      </c>
      <c r="AE3110">
        <v>-12.5214</v>
      </c>
      <c r="AF3110">
        <v>7.5170901334965503</v>
      </c>
      <c r="AG3110">
        <v>-1.092707675</v>
      </c>
      <c r="AH3110">
        <v>15.9033613229435</v>
      </c>
      <c r="AI3110">
        <v>93.554612446407404</v>
      </c>
      <c r="AJ3110">
        <v>64.701161201506295</v>
      </c>
      <c r="AK3110">
        <v>17.624345534124402</v>
      </c>
    </row>
    <row r="3111" spans="1:37" x14ac:dyDescent="0.2">
      <c r="A3111" t="str">
        <f>"20200111153458449"</f>
        <v>20200111153458449</v>
      </c>
      <c r="B3111" t="str">
        <f>"1578728098438747"</f>
        <v>1578728098438747</v>
      </c>
      <c r="C3111" t="s">
        <v>37</v>
      </c>
      <c r="D3111">
        <v>5.3340909999999999</v>
      </c>
      <c r="E3111">
        <v>0.60621420000000004</v>
      </c>
      <c r="F3111" t="s">
        <v>50</v>
      </c>
      <c r="G3111">
        <v>-194.72790000000001</v>
      </c>
      <c r="H3111" s="1">
        <v>5.8568409999999899E-6</v>
      </c>
      <c r="I3111">
        <v>201.9307</v>
      </c>
      <c r="J3111">
        <v>-205.96090000000001</v>
      </c>
      <c r="K3111">
        <v>1.0927009999999999</v>
      </c>
      <c r="L3111">
        <v>213.70939999999999</v>
      </c>
      <c r="M3111">
        <v>0.935365</v>
      </c>
      <c r="N3111">
        <v>0</v>
      </c>
      <c r="O3111">
        <v>-0.35312080000000001</v>
      </c>
      <c r="P3111">
        <v>0.85290290000000002</v>
      </c>
      <c r="Q3111">
        <v>3.012271E-2</v>
      </c>
      <c r="R3111">
        <v>-0.52120059999999901</v>
      </c>
      <c r="S3111">
        <v>2.172974</v>
      </c>
      <c r="T3111">
        <v>-0.2061037</v>
      </c>
      <c r="U3111">
        <v>-2.2439879999999999</v>
      </c>
      <c r="V3111">
        <v>0.1878098</v>
      </c>
      <c r="W3111">
        <v>4.3975300000000002E-2</v>
      </c>
      <c r="X3111">
        <v>0.98122049999999905</v>
      </c>
      <c r="Y3111">
        <v>0.4262145</v>
      </c>
      <c r="Z3111">
        <v>9.4793540000000006E-3</v>
      </c>
      <c r="AA3111">
        <v>0.90457240000000005</v>
      </c>
      <c r="AB3111">
        <v>32</v>
      </c>
      <c r="AC3111">
        <v>11.233000000000001</v>
      </c>
      <c r="AD3111">
        <v>-1.092695143159</v>
      </c>
      <c r="AE3111">
        <v>-11.778699999999899</v>
      </c>
      <c r="AF3111">
        <v>7.02053987132778</v>
      </c>
      <c r="AG3111">
        <v>-1.092695143159</v>
      </c>
      <c r="AH3111">
        <v>14.6033614138139</v>
      </c>
      <c r="AI3111">
        <v>93.857995958695895</v>
      </c>
      <c r="AJ3111">
        <v>64.324162571202294</v>
      </c>
      <c r="AK3111">
        <v>16.240077812105898</v>
      </c>
    </row>
    <row r="3112" spans="1:37" x14ac:dyDescent="0.2">
      <c r="A3112" t="str">
        <f>"20200111153458471"</f>
        <v>20200111153458471</v>
      </c>
      <c r="B3112" t="str">
        <f>"1578728098469002"</f>
        <v>1578728098469002</v>
      </c>
      <c r="C3112" t="s">
        <v>37</v>
      </c>
      <c r="D3112">
        <v>5.3593789999999997</v>
      </c>
      <c r="E3112">
        <v>0.60571430000000004</v>
      </c>
      <c r="F3112" t="s">
        <v>50</v>
      </c>
      <c r="G3112">
        <v>-195.65960000000001</v>
      </c>
      <c r="H3112" s="1">
        <v>5.4344179999999899E-6</v>
      </c>
      <c r="I3112">
        <v>202.64510000000001</v>
      </c>
      <c r="J3112">
        <v>-205.66399999999999</v>
      </c>
      <c r="K3112">
        <v>1.092692</v>
      </c>
      <c r="L3112">
        <v>213.58199999999999</v>
      </c>
      <c r="M3112">
        <v>0.9299965</v>
      </c>
      <c r="N3112">
        <v>0</v>
      </c>
      <c r="O3112">
        <v>-0.36702620000000002</v>
      </c>
      <c r="P3112">
        <v>0.84188819999999998</v>
      </c>
      <c r="Q3112">
        <v>2.766733E-2</v>
      </c>
      <c r="R3112">
        <v>-0.53894240000000004</v>
      </c>
      <c r="S3112">
        <v>2.1284179999999999</v>
      </c>
      <c r="T3112">
        <v>-0.225768</v>
      </c>
      <c r="U3112">
        <v>-2.286057</v>
      </c>
      <c r="V3112">
        <v>0.1936165</v>
      </c>
      <c r="W3112">
        <v>4.1321259999999999E-2</v>
      </c>
      <c r="X3112">
        <v>0.98020669999999899</v>
      </c>
      <c r="Y3112">
        <v>0.43045529999999999</v>
      </c>
      <c r="Z3112">
        <v>1.130685E-2</v>
      </c>
      <c r="AA3112">
        <v>0.90254109999999999</v>
      </c>
      <c r="AB3112">
        <v>31</v>
      </c>
      <c r="AC3112">
        <v>10.0044</v>
      </c>
      <c r="AD3112">
        <v>-1.0926865655819999</v>
      </c>
      <c r="AE3112">
        <v>-10.9368999999999</v>
      </c>
      <c r="AF3112">
        <v>6.4655598750919197</v>
      </c>
      <c r="AG3112">
        <v>-1.0926865655819999</v>
      </c>
      <c r="AH3112">
        <v>13.2488389695483</v>
      </c>
      <c r="AI3112">
        <v>94.238964711301506</v>
      </c>
      <c r="AJ3112">
        <v>63.987182397261897</v>
      </c>
      <c r="AK3112">
        <v>14.7827319014458</v>
      </c>
    </row>
    <row r="3113" spans="1:37" x14ac:dyDescent="0.2">
      <c r="A3113" t="str">
        <f>"20200111153458495"</f>
        <v>20200111153458495</v>
      </c>
      <c r="B3113" t="str">
        <f>"1578728098489499"</f>
        <v>1578728098489499</v>
      </c>
      <c r="C3113" t="s">
        <v>37</v>
      </c>
      <c r="D3113">
        <v>5.1638489999999999</v>
      </c>
      <c r="E3113">
        <v>0.60629789999999995</v>
      </c>
      <c r="F3113" t="s">
        <v>50</v>
      </c>
      <c r="G3113">
        <v>-196.54900000000001</v>
      </c>
      <c r="H3113" s="1">
        <v>5.0363139999999902E-6</v>
      </c>
      <c r="I3113">
        <v>203.40379999999999</v>
      </c>
      <c r="J3113">
        <v>-205.36879999999999</v>
      </c>
      <c r="K3113">
        <v>1.0926940000000001</v>
      </c>
      <c r="L3113">
        <v>213.45</v>
      </c>
      <c r="M3113">
        <v>0.9243903</v>
      </c>
      <c r="N3113">
        <v>0</v>
      </c>
      <c r="O3113">
        <v>-0.38092540000000003</v>
      </c>
      <c r="P3113">
        <v>0.83234490000000005</v>
      </c>
      <c r="Q3113">
        <v>2.6577759999999999E-2</v>
      </c>
      <c r="R3113">
        <v>-0.55362060000000002</v>
      </c>
      <c r="S3113">
        <v>2.0827939999999998</v>
      </c>
      <c r="T3113">
        <v>-0.249680499999999</v>
      </c>
      <c r="U3113">
        <v>-2.325745</v>
      </c>
      <c r="V3113">
        <v>0.19606209999999999</v>
      </c>
      <c r="W3113">
        <v>4.0150650000000003E-2</v>
      </c>
      <c r="X3113">
        <v>0.97976919999999901</v>
      </c>
      <c r="Y3113">
        <v>0.43437720000000002</v>
      </c>
      <c r="Z3113">
        <v>1.3548360000000001E-2</v>
      </c>
      <c r="AA3113">
        <v>0.90062919999999902</v>
      </c>
      <c r="AB3113">
        <v>31</v>
      </c>
      <c r="AC3113">
        <v>8.8197999999999794</v>
      </c>
      <c r="AD3113">
        <v>-1.092688963686</v>
      </c>
      <c r="AE3113">
        <v>-10.046200000000001</v>
      </c>
      <c r="AF3113">
        <v>5.8887630471222296</v>
      </c>
      <c r="AG3113">
        <v>-1.092688963686</v>
      </c>
      <c r="AH3113">
        <v>11.9026575486194</v>
      </c>
      <c r="AI3113">
        <v>94.703847494121703</v>
      </c>
      <c r="AJ3113">
        <v>63.676392983842099</v>
      </c>
      <c r="AK3113">
        <v>13.324592155717999</v>
      </c>
    </row>
    <row r="3114" spans="1:37" x14ac:dyDescent="0.2">
      <c r="A3114" t="str">
        <f>"20200111153458517"</f>
        <v>20200111153458517</v>
      </c>
      <c r="B3114" t="str">
        <f>"1578728098509018"</f>
        <v>1578728098509018</v>
      </c>
      <c r="C3114" t="s">
        <v>37</v>
      </c>
      <c r="D3114">
        <v>5.3472280000000003</v>
      </c>
      <c r="E3114">
        <v>0.60525830000000003</v>
      </c>
      <c r="F3114" t="s">
        <v>50</v>
      </c>
      <c r="G3114">
        <v>-196.30709999999999</v>
      </c>
      <c r="H3114" s="1">
        <v>5.2147329999999997E-6</v>
      </c>
      <c r="I3114">
        <v>202.93260000000001</v>
      </c>
      <c r="J3114">
        <v>-205.0763</v>
      </c>
      <c r="K3114">
        <v>1.0927020000000001</v>
      </c>
      <c r="L3114">
        <v>213.31389999999999</v>
      </c>
      <c r="M3114">
        <v>0.9185643</v>
      </c>
      <c r="N3114">
        <v>0</v>
      </c>
      <c r="O3114">
        <v>-0.3947676</v>
      </c>
      <c r="P3114">
        <v>0.82241299999999995</v>
      </c>
      <c r="Q3114">
        <v>2.582315E-2</v>
      </c>
      <c r="R3114">
        <v>-0.56830509999999901</v>
      </c>
      <c r="S3114">
        <v>2.0384669999999998</v>
      </c>
      <c r="T3114">
        <v>-0.245804299999999</v>
      </c>
      <c r="U3114">
        <v>-2.365936</v>
      </c>
      <c r="V3114">
        <v>0.1986993</v>
      </c>
      <c r="W3114">
        <v>3.9310640000000001E-2</v>
      </c>
      <c r="X3114">
        <v>0.97927180000000003</v>
      </c>
      <c r="Y3114">
        <v>0.4381312</v>
      </c>
      <c r="Z3114">
        <v>1.436841E-2</v>
      </c>
      <c r="AA3114">
        <v>0.89879619999999905</v>
      </c>
      <c r="AB3114">
        <v>31</v>
      </c>
      <c r="AC3114">
        <v>8.7692000000000103</v>
      </c>
      <c r="AD3114">
        <v>-1.092696785267</v>
      </c>
      <c r="AE3114">
        <v>-10.3812999999999</v>
      </c>
      <c r="AF3114">
        <v>6.0362775726055098</v>
      </c>
      <c r="AG3114">
        <v>-1.092696785267</v>
      </c>
      <c r="AH3114">
        <v>12.0776073785019</v>
      </c>
      <c r="AI3114">
        <v>94.626763213430806</v>
      </c>
      <c r="AJ3114">
        <v>63.4445366776337</v>
      </c>
      <c r="AK3114">
        <v>13.5461888805419</v>
      </c>
    </row>
    <row r="3115" spans="1:37" x14ac:dyDescent="0.2">
      <c r="A3115" t="str">
        <f>"20200111153458540"</f>
        <v>20200111153458540</v>
      </c>
      <c r="B3115" t="str">
        <f>"1578728098529514"</f>
        <v>1578728098529514</v>
      </c>
      <c r="C3115" t="s">
        <v>37</v>
      </c>
      <c r="D3115">
        <v>5.3399640000000002</v>
      </c>
      <c r="E3115">
        <v>0.6043906</v>
      </c>
      <c r="F3115" t="s">
        <v>50</v>
      </c>
      <c r="G3115">
        <v>-196.5461</v>
      </c>
      <c r="H3115" s="1">
        <v>5.11708E-6</v>
      </c>
      <c r="I3115">
        <v>203.10120000000001</v>
      </c>
      <c r="J3115">
        <v>-204.79519999999999</v>
      </c>
      <c r="K3115">
        <v>1.0927100000000001</v>
      </c>
      <c r="L3115">
        <v>213.17769999999999</v>
      </c>
      <c r="M3115">
        <v>0.91269279999999997</v>
      </c>
      <c r="N3115">
        <v>0</v>
      </c>
      <c r="O3115">
        <v>-0.40815829999999997</v>
      </c>
      <c r="P3115">
        <v>0.81298970000000004</v>
      </c>
      <c r="Q3115">
        <v>2.4403749999999998E-2</v>
      </c>
      <c r="R3115">
        <v>-0.58176660000000002</v>
      </c>
      <c r="S3115">
        <v>2.0006710000000001</v>
      </c>
      <c r="T3115">
        <v>-0.25628079999999998</v>
      </c>
      <c r="U3115">
        <v>-2.3952939999999998</v>
      </c>
      <c r="V3115">
        <v>0.20043729999999901</v>
      </c>
      <c r="W3115">
        <v>3.783736E-2</v>
      </c>
      <c r="X3115">
        <v>0.97897559999999995</v>
      </c>
      <c r="Y3115">
        <v>0.4387701</v>
      </c>
      <c r="Z3115">
        <v>1.616888E-2</v>
      </c>
      <c r="AA3115">
        <v>0.89845390000000003</v>
      </c>
      <c r="AB3115">
        <v>31</v>
      </c>
      <c r="AC3115">
        <v>8.2490999999999897</v>
      </c>
      <c r="AD3115">
        <v>-1.0927048829199999</v>
      </c>
      <c r="AE3115">
        <v>-10.0764999999999</v>
      </c>
      <c r="AF3115">
        <v>5.7902050650620298</v>
      </c>
      <c r="AG3115">
        <v>-1.0927048829199999</v>
      </c>
      <c r="AH3115">
        <v>11.562612420467</v>
      </c>
      <c r="AI3115">
        <v>94.830035279121702</v>
      </c>
      <c r="AJ3115">
        <v>63.399682754844001</v>
      </c>
      <c r="AK3115">
        <v>12.9774606392224</v>
      </c>
    </row>
    <row r="3116" spans="1:37" x14ac:dyDescent="0.2">
      <c r="A3116" t="str">
        <f>"20200111153458561"</f>
        <v>20200111153458561</v>
      </c>
      <c r="B3116" t="str">
        <f>"1578728098559515"</f>
        <v>1578728098559515</v>
      </c>
      <c r="C3116" t="s">
        <v>37</v>
      </c>
      <c r="D3116">
        <v>5.3103540000000002</v>
      </c>
      <c r="E3116">
        <v>0.60404780000000002</v>
      </c>
      <c r="F3116" t="s">
        <v>50</v>
      </c>
      <c r="G3116">
        <v>-196.7252</v>
      </c>
      <c r="H3116" s="1">
        <v>5.043988E-6</v>
      </c>
      <c r="I3116">
        <v>203.22720000000001</v>
      </c>
      <c r="J3116">
        <v>-204.52289999999999</v>
      </c>
      <c r="K3116">
        <v>1.092716</v>
      </c>
      <c r="L3116">
        <v>213.04060000000001</v>
      </c>
      <c r="M3116">
        <v>0.9067404</v>
      </c>
      <c r="N3116">
        <v>0</v>
      </c>
      <c r="O3116">
        <v>-0.421216799999999</v>
      </c>
      <c r="P3116">
        <v>0.80308599999999997</v>
      </c>
      <c r="Q3116">
        <v>2.3099350000000001E-2</v>
      </c>
      <c r="R3116">
        <v>-0.59541540000000004</v>
      </c>
      <c r="S3116">
        <v>1.9645999999999999</v>
      </c>
      <c r="T3116">
        <v>-0.26601609999999998</v>
      </c>
      <c r="U3116">
        <v>-2.4224239999999999</v>
      </c>
      <c r="V3116">
        <v>0.20286319999999999</v>
      </c>
      <c r="W3116">
        <v>3.6444999999999998E-2</v>
      </c>
      <c r="X3116">
        <v>0.97852859999999997</v>
      </c>
      <c r="Y3116">
        <v>0.43888240000000001</v>
      </c>
      <c r="Z3116">
        <v>1.8014470000000001E-2</v>
      </c>
      <c r="AA3116">
        <v>0.89836389999999999</v>
      </c>
      <c r="AB3116">
        <v>31</v>
      </c>
      <c r="AC3116">
        <v>7.7976999999999901</v>
      </c>
      <c r="AD3116">
        <v>-1.0927109560120001</v>
      </c>
      <c r="AE3116">
        <v>-9.8133999999999997</v>
      </c>
      <c r="AF3116">
        <v>5.5724513827544797</v>
      </c>
      <c r="AG3116">
        <v>-1.0927109560120001</v>
      </c>
      <c r="AH3116">
        <v>11.1217645359791</v>
      </c>
      <c r="AI3116">
        <v>95.020016248941005</v>
      </c>
      <c r="AJ3116">
        <v>63.387288356887098</v>
      </c>
      <c r="AK3116">
        <v>12.4875889602562</v>
      </c>
    </row>
    <row r="3117" spans="1:37" x14ac:dyDescent="0.2">
      <c r="A3117" t="str">
        <f>"20200111153458584"</f>
        <v>20200111153458584</v>
      </c>
      <c r="B3117" t="str">
        <f>"1578728098579022"</f>
        <v>1578728098579022</v>
      </c>
      <c r="C3117" t="s">
        <v>37</v>
      </c>
      <c r="D3117">
        <v>5.0594460000000003</v>
      </c>
      <c r="E3117">
        <v>0.67272500000000002</v>
      </c>
      <c r="F3117" t="s">
        <v>50</v>
      </c>
      <c r="G3117">
        <v>-196.8862</v>
      </c>
      <c r="H3117" s="1">
        <v>4.9867839999999998E-6</v>
      </c>
      <c r="I3117">
        <v>203.30850000000001</v>
      </c>
      <c r="J3117">
        <v>-204.23929999999999</v>
      </c>
      <c r="K3117">
        <v>1.092727</v>
      </c>
      <c r="L3117">
        <v>212.8922</v>
      </c>
      <c r="M3117">
        <v>0.90025509999999997</v>
      </c>
      <c r="N3117">
        <v>0</v>
      </c>
      <c r="O3117">
        <v>-0.43490590000000001</v>
      </c>
      <c r="P3117">
        <v>0.79288519999999996</v>
      </c>
      <c r="Q3117">
        <v>2.249605E-2</v>
      </c>
      <c r="R3117">
        <v>-0.60895569999999999</v>
      </c>
      <c r="S3117">
        <v>1.9248499999999999</v>
      </c>
      <c r="T3117">
        <v>-0.2754183</v>
      </c>
      <c r="U3117">
        <v>-2.4529719999999999</v>
      </c>
      <c r="V3117">
        <v>0.20461379999999901</v>
      </c>
      <c r="W3117">
        <v>3.5773109999999997E-2</v>
      </c>
      <c r="X3117">
        <v>0.97818890000000003</v>
      </c>
      <c r="Y3117">
        <v>0.43973770000000001</v>
      </c>
      <c r="Z3117">
        <v>1.9952290000000001E-2</v>
      </c>
      <c r="AA3117">
        <v>0.89790460000000005</v>
      </c>
      <c r="AB3117">
        <v>31</v>
      </c>
      <c r="AC3117">
        <v>7.35309999999998</v>
      </c>
      <c r="AD3117">
        <v>-1.092722013216</v>
      </c>
      <c r="AE3117">
        <v>-9.5836999999999897</v>
      </c>
      <c r="AF3117">
        <v>5.3868667301255302</v>
      </c>
      <c r="AG3117">
        <v>-1.092722013216</v>
      </c>
      <c r="AH3117">
        <v>10.702241151167099</v>
      </c>
      <c r="AI3117">
        <v>95.211004193138706</v>
      </c>
      <c r="AJ3117">
        <v>63.282056266057602</v>
      </c>
      <c r="AK3117">
        <v>12.0312235547361</v>
      </c>
    </row>
    <row r="3118" spans="1:37" x14ac:dyDescent="0.2">
      <c r="A3118" t="str">
        <f>"20200111153458607"</f>
        <v>20200111153458607</v>
      </c>
      <c r="B3118" t="str">
        <f>"1578728098599518"</f>
        <v>1578728098599518</v>
      </c>
      <c r="C3118" t="s">
        <v>37</v>
      </c>
      <c r="D3118">
        <v>4.9677889999999998</v>
      </c>
      <c r="E3118">
        <v>0.67758069999999904</v>
      </c>
      <c r="F3118" t="s">
        <v>61</v>
      </c>
      <c r="G3118">
        <v>-154.07429999999999</v>
      </c>
      <c r="H3118">
        <v>0.54460430000000004</v>
      </c>
      <c r="I3118">
        <v>117.9003</v>
      </c>
      <c r="J3118">
        <v>-203.959</v>
      </c>
      <c r="K3118">
        <v>1.0927420000000001</v>
      </c>
      <c r="L3118">
        <v>212.74010000000001</v>
      </c>
      <c r="M3118">
        <v>0.89355309999999899</v>
      </c>
      <c r="N3118">
        <v>0</v>
      </c>
      <c r="O3118">
        <v>-0.44851560000000001</v>
      </c>
      <c r="P3118">
        <v>0.78267369999999903</v>
      </c>
      <c r="Q3118">
        <v>2.27844E-2</v>
      </c>
      <c r="R3118">
        <v>-0.6220154</v>
      </c>
      <c r="S3118">
        <v>1.5418240000000001</v>
      </c>
      <c r="T3118">
        <v>-1.6846420000000001E-2</v>
      </c>
      <c r="U3118">
        <v>-2.9195859999999998</v>
      </c>
      <c r="V3118">
        <v>0.20599719999999999</v>
      </c>
      <c r="W3118">
        <v>3.600184E-2</v>
      </c>
      <c r="X3118">
        <v>0.97789009999999998</v>
      </c>
      <c r="Y3118">
        <v>0.58080659999999995</v>
      </c>
      <c r="Z3118">
        <v>8.2890410000000002E-4</v>
      </c>
      <c r="AA3118">
        <v>0.81404119999999902</v>
      </c>
      <c r="AB3118">
        <v>31</v>
      </c>
      <c r="AC3118">
        <v>49.884700000000002</v>
      </c>
      <c r="AD3118">
        <v>-0.54813769999999995</v>
      </c>
      <c r="AE3118">
        <v>-94.839799999999997</v>
      </c>
      <c r="AF3118">
        <v>62.381071093996802</v>
      </c>
      <c r="AG3118">
        <v>-0.54813769999999995</v>
      </c>
      <c r="AH3118">
        <v>87.126758467205704</v>
      </c>
      <c r="AI3118">
        <v>90.293083154020295</v>
      </c>
      <c r="AJ3118">
        <v>54.398070310992303</v>
      </c>
      <c r="AK3118">
        <v>107.15769000298199</v>
      </c>
    </row>
    <row r="3119" spans="1:37" x14ac:dyDescent="0.2">
      <c r="A3119" t="str">
        <f>"20200111153458628"</f>
        <v>20200111153458628</v>
      </c>
      <c r="B3119" t="str">
        <f>"1578728098619038"</f>
        <v>1578728098619038</v>
      </c>
      <c r="C3119" t="s">
        <v>37</v>
      </c>
      <c r="D3119">
        <v>5.0960349999999996</v>
      </c>
      <c r="E3119">
        <v>0.67553989999999997</v>
      </c>
      <c r="F3119" t="s">
        <v>61</v>
      </c>
      <c r="G3119">
        <v>-156.9957</v>
      </c>
      <c r="H3119">
        <v>0.18293480000000001</v>
      </c>
      <c r="I3119">
        <v>117.637999999999</v>
      </c>
      <c r="J3119">
        <v>-203.69799999999901</v>
      </c>
      <c r="K3119">
        <v>1.092762</v>
      </c>
      <c r="L3119">
        <v>212.5934</v>
      </c>
      <c r="M3119">
        <v>0.88703089999999996</v>
      </c>
      <c r="N3119">
        <v>0</v>
      </c>
      <c r="O3119">
        <v>-0.46128190000000002</v>
      </c>
      <c r="P3119">
        <v>0.77338660000000004</v>
      </c>
      <c r="Q3119">
        <v>2.304115E-2</v>
      </c>
      <c r="R3119">
        <v>-0.63351630000000003</v>
      </c>
      <c r="S3119">
        <v>1.469284</v>
      </c>
      <c r="T3119">
        <v>-2.8463720000000001E-2</v>
      </c>
      <c r="U3119">
        <v>-2.9753419999999999</v>
      </c>
      <c r="V3119">
        <v>0.206439399999999</v>
      </c>
      <c r="W3119">
        <v>3.6223419999999999E-2</v>
      </c>
      <c r="X3119">
        <v>0.97778860000000001</v>
      </c>
      <c r="Y3119">
        <v>0.59120830000000002</v>
      </c>
      <c r="Z3119">
        <v>1.466946E-3</v>
      </c>
      <c r="AA3119">
        <v>0.80651759999999995</v>
      </c>
      <c r="AB3119">
        <v>31</v>
      </c>
      <c r="AC3119">
        <v>46.702299999999902</v>
      </c>
      <c r="AD3119">
        <v>-0.90982719999999995</v>
      </c>
      <c r="AE3119">
        <v>-94.955399999999997</v>
      </c>
      <c r="AF3119">
        <v>62.693203685952199</v>
      </c>
      <c r="AG3119">
        <v>-0.90982719999999995</v>
      </c>
      <c r="AH3119">
        <v>85.238134884206204</v>
      </c>
      <c r="AI3119">
        <v>90.492651533067402</v>
      </c>
      <c r="AJ3119">
        <v>53.665275899789798</v>
      </c>
      <c r="AK3119">
        <v>105.814957413781</v>
      </c>
    </row>
    <row r="3120" spans="1:37" x14ac:dyDescent="0.2">
      <c r="A3120" t="str">
        <f>"20200111153458651"</f>
        <v>20200111153458651</v>
      </c>
      <c r="B3120" t="str">
        <f>"1578728098639536"</f>
        <v>1578728098639536</v>
      </c>
      <c r="C3120" t="s">
        <v>37</v>
      </c>
      <c r="D3120">
        <v>5.0439509999999999</v>
      </c>
      <c r="E3120">
        <v>0.67419399999999996</v>
      </c>
      <c r="F3120" t="s">
        <v>39</v>
      </c>
      <c r="G3120">
        <v>-181.7577</v>
      </c>
      <c r="H3120" s="1">
        <v>-5.0218479999999902E-6</v>
      </c>
      <c r="I3120">
        <v>167.01079999999999</v>
      </c>
      <c r="J3120">
        <v>-203.4333</v>
      </c>
      <c r="K3120">
        <v>1.092778</v>
      </c>
      <c r="L3120">
        <v>212.4393</v>
      </c>
      <c r="M3120">
        <v>0.88012869999999999</v>
      </c>
      <c r="N3120">
        <v>0</v>
      </c>
      <c r="O3120">
        <v>-0.47431999999999902</v>
      </c>
      <c r="P3120">
        <v>0.76462769999999902</v>
      </c>
      <c r="Q3120">
        <v>2.2537089999999999E-2</v>
      </c>
      <c r="R3120">
        <v>-0.64407829999999999</v>
      </c>
      <c r="S3120">
        <v>1.436493</v>
      </c>
      <c r="T3120">
        <v>-7.154655E-2</v>
      </c>
      <c r="U3120">
        <v>-2.98442099999999</v>
      </c>
      <c r="V3120">
        <v>0.20541599999999999</v>
      </c>
      <c r="W3120">
        <v>3.5724970000000002E-2</v>
      </c>
      <c r="X3120">
        <v>0.97802250000000002</v>
      </c>
      <c r="Y3120">
        <v>0.58741560000000004</v>
      </c>
      <c r="Z3120">
        <v>4.0736490000000004E-3</v>
      </c>
      <c r="AA3120">
        <v>0.80927519999999997</v>
      </c>
      <c r="AB3120">
        <v>31</v>
      </c>
      <c r="AC3120">
        <v>21.675599999999999</v>
      </c>
      <c r="AD3120">
        <v>-1.0927830218479999</v>
      </c>
      <c r="AE3120">
        <v>-45.4285</v>
      </c>
      <c r="AF3120">
        <v>29.693613412972699</v>
      </c>
      <c r="AG3120">
        <v>-1.0927830218479999</v>
      </c>
      <c r="AH3120">
        <v>40.613826563713701</v>
      </c>
      <c r="AI3120">
        <v>91.244301449493094</v>
      </c>
      <c r="AJ3120">
        <v>53.828685608449</v>
      </c>
      <c r="AK3120">
        <v>50.322835377185697</v>
      </c>
    </row>
    <row r="3121" spans="1:37" x14ac:dyDescent="0.2">
      <c r="A3121" t="str">
        <f>"20200111153458673"</f>
        <v>20200111153458673</v>
      </c>
      <c r="B3121" t="str">
        <f>"1578728098668816"</f>
        <v>1578728098668816</v>
      </c>
      <c r="C3121" t="s">
        <v>37</v>
      </c>
      <c r="D3121">
        <v>5.1968290000000001</v>
      </c>
      <c r="E3121">
        <v>0.67058719999999905</v>
      </c>
      <c r="F3121" t="s">
        <v>39</v>
      </c>
      <c r="G3121">
        <v>-185.9683</v>
      </c>
      <c r="H3121" s="1">
        <v>-3.0729799999999999E-6</v>
      </c>
      <c r="I3121">
        <v>175.12889999999999</v>
      </c>
      <c r="J3121">
        <v>-203.16720000000001</v>
      </c>
      <c r="K3121">
        <v>1.092786</v>
      </c>
      <c r="L3121">
        <v>212.27889999999999</v>
      </c>
      <c r="M3121">
        <v>0.87288719999999997</v>
      </c>
      <c r="N3121">
        <v>0</v>
      </c>
      <c r="O3121">
        <v>-0.48752040000000002</v>
      </c>
      <c r="P3121">
        <v>0.75644739999999999</v>
      </c>
      <c r="Q3121">
        <v>2.1836129999999999E-2</v>
      </c>
      <c r="R3121">
        <v>-0.653690199999999</v>
      </c>
      <c r="S3121">
        <v>1.40242</v>
      </c>
      <c r="T3121">
        <v>-8.7749359999999998E-2</v>
      </c>
      <c r="U3121">
        <v>-2.995987</v>
      </c>
      <c r="V3121">
        <v>0.2030132</v>
      </c>
      <c r="W3121">
        <v>3.506211E-2</v>
      </c>
      <c r="X3121">
        <v>0.97854799999999997</v>
      </c>
      <c r="Y3121">
        <v>0.58395059999999999</v>
      </c>
      <c r="Z3121">
        <v>5.4693110000000001E-3</v>
      </c>
      <c r="AA3121">
        <v>0.81177069999999996</v>
      </c>
      <c r="AB3121">
        <v>30</v>
      </c>
      <c r="AC3121">
        <v>17.198899999999998</v>
      </c>
      <c r="AD3121">
        <v>-1.0927890729799901</v>
      </c>
      <c r="AE3121">
        <v>-37.15</v>
      </c>
      <c r="AF3121">
        <v>24.030533148805802</v>
      </c>
      <c r="AG3121">
        <v>-1.0927890729799901</v>
      </c>
      <c r="AH3121">
        <v>33.106982831837399</v>
      </c>
      <c r="AI3121">
        <v>91.5301634030656</v>
      </c>
      <c r="AJ3121">
        <v>54.026171824397501</v>
      </c>
      <c r="AK3121">
        <v>40.923502093558199</v>
      </c>
    </row>
    <row r="3122" spans="1:37" x14ac:dyDescent="0.2">
      <c r="A3122" t="str">
        <f>"20200111153458696"</f>
        <v>20200111153458696</v>
      </c>
      <c r="B3122" t="str">
        <f>"1578728098689310"</f>
        <v>1578728098689310</v>
      </c>
      <c r="C3122" t="s">
        <v>37</v>
      </c>
      <c r="D3122">
        <v>5.2334969999999998</v>
      </c>
      <c r="E3122">
        <v>0.66875830000000003</v>
      </c>
      <c r="F3122" t="s">
        <v>39</v>
      </c>
      <c r="G3122">
        <v>-187.73830000000001</v>
      </c>
      <c r="H3122" s="1">
        <v>-4.3809629999999997E-6</v>
      </c>
      <c r="I3122">
        <v>178.90969999999999</v>
      </c>
      <c r="J3122">
        <v>-202.90020000000001</v>
      </c>
      <c r="K3122">
        <v>1.0928009999999999</v>
      </c>
      <c r="L3122">
        <v>212.11240000000001</v>
      </c>
      <c r="M3122">
        <v>0.86530180000000001</v>
      </c>
      <c r="N3122">
        <v>0</v>
      </c>
      <c r="O3122">
        <v>-0.50086309999999901</v>
      </c>
      <c r="P3122">
        <v>0.74826969999999904</v>
      </c>
      <c r="Q3122">
        <v>2.1937829999999998E-2</v>
      </c>
      <c r="R3122">
        <v>-0.66303230000000002</v>
      </c>
      <c r="S3122">
        <v>1.3833309999999901</v>
      </c>
      <c r="T3122">
        <v>-9.7977519999999999E-2</v>
      </c>
      <c r="U3122">
        <v>-2.9918209999999998</v>
      </c>
      <c r="V3122">
        <v>0.20014209999999999</v>
      </c>
      <c r="W3122">
        <v>3.5205069999999998E-2</v>
      </c>
      <c r="X3122">
        <v>0.97913419999999896</v>
      </c>
      <c r="Y3122">
        <v>0.57527569999999995</v>
      </c>
      <c r="Z3122">
        <v>6.7484889999999999E-3</v>
      </c>
      <c r="AA3122">
        <v>0.81793179999999999</v>
      </c>
      <c r="AB3122">
        <v>30</v>
      </c>
      <c r="AC3122">
        <v>15.161899999999999</v>
      </c>
      <c r="AD3122">
        <v>-1.0928053809629901</v>
      </c>
      <c r="AE3122">
        <v>-33.2027</v>
      </c>
      <c r="AF3122">
        <v>21.121499042307999</v>
      </c>
      <c r="AG3122">
        <v>-1.0928053809629901</v>
      </c>
      <c r="AH3122">
        <v>29.728766160673501</v>
      </c>
      <c r="AI3122">
        <v>91.716418561732397</v>
      </c>
      <c r="AJ3122">
        <v>54.607217045342303</v>
      </c>
      <c r="AK3122">
        <v>36.484400540928199</v>
      </c>
    </row>
    <row r="3123" spans="1:37" x14ac:dyDescent="0.2">
      <c r="A3123" t="str">
        <f>"20200111153458717"</f>
        <v>20200111153458717</v>
      </c>
      <c r="B3123" t="str">
        <f>"1578728098708830"</f>
        <v>1578728098708830</v>
      </c>
      <c r="C3123" t="s">
        <v>37</v>
      </c>
      <c r="D3123">
        <v>5.2146559999999997</v>
      </c>
      <c r="E3123">
        <v>0.666983199999999</v>
      </c>
      <c r="F3123" t="s">
        <v>39</v>
      </c>
      <c r="G3123">
        <v>-188.2843</v>
      </c>
      <c r="H3123" s="1">
        <v>-5.0710640000000001E-7</v>
      </c>
      <c r="I3123">
        <v>179.79679999999999</v>
      </c>
      <c r="J3123">
        <v>-202.6474</v>
      </c>
      <c r="K3123">
        <v>1.092822</v>
      </c>
      <c r="L3123">
        <v>211.94919999999999</v>
      </c>
      <c r="M3123">
        <v>0.85781289999999999</v>
      </c>
      <c r="N3123">
        <v>0</v>
      </c>
      <c r="O3123">
        <v>-0.51358619999999999</v>
      </c>
      <c r="P3123">
        <v>0.74061089999999996</v>
      </c>
      <c r="Q3123">
        <v>2.178921E-2</v>
      </c>
      <c r="R3123">
        <v>-0.67158090000000004</v>
      </c>
      <c r="S3123">
        <v>1.3558809999999999</v>
      </c>
      <c r="T3123">
        <v>-0.1013768</v>
      </c>
      <c r="U3123">
        <v>-2.997849</v>
      </c>
      <c r="V3123">
        <v>0.1969158</v>
      </c>
      <c r="W3123">
        <v>3.5094029999999998E-2</v>
      </c>
      <c r="X3123">
        <v>0.97979210000000005</v>
      </c>
      <c r="Y3123">
        <v>0.57001139999999995</v>
      </c>
      <c r="Z3123">
        <v>7.5532869999999997E-3</v>
      </c>
      <c r="AA3123">
        <v>0.8216021</v>
      </c>
      <c r="AB3123">
        <v>30</v>
      </c>
      <c r="AC3123">
        <v>14.363099999999999</v>
      </c>
      <c r="AD3123">
        <v>-1.0928225071063999</v>
      </c>
      <c r="AE3123">
        <v>-32.1524</v>
      </c>
      <c r="AF3123">
        <v>20.188513860532002</v>
      </c>
      <c r="AG3123">
        <v>-1.0928225071063999</v>
      </c>
      <c r="AH3123">
        <v>28.8117042085569</v>
      </c>
      <c r="AI3123">
        <v>91.779207607411493</v>
      </c>
      <c r="AJ3123">
        <v>54.980867476917098</v>
      </c>
      <c r="AK3123">
        <v>35.197793287794497</v>
      </c>
    </row>
    <row r="3124" spans="1:37" x14ac:dyDescent="0.2">
      <c r="A3124" t="str">
        <f>"20200111153458741"</f>
        <v>20200111153458741</v>
      </c>
      <c r="B3124" t="str">
        <f>"1578728098729326"</f>
        <v>1578728098729326</v>
      </c>
      <c r="C3124" t="s">
        <v>37</v>
      </c>
      <c r="D3124">
        <v>5.2441500000000003</v>
      </c>
      <c r="E3124">
        <v>0.66548499999999999</v>
      </c>
      <c r="F3124" t="s">
        <v>39</v>
      </c>
      <c r="G3124">
        <v>-188.49350000000001</v>
      </c>
      <c r="H3124" s="1">
        <v>-5.280604E-7</v>
      </c>
      <c r="I3124">
        <v>180.02189999999999</v>
      </c>
      <c r="J3124">
        <v>-202.39</v>
      </c>
      <c r="K3124">
        <v>1.092841</v>
      </c>
      <c r="L3124">
        <v>211.7773</v>
      </c>
      <c r="M3124">
        <v>0.84986530000000005</v>
      </c>
      <c r="N3124">
        <v>0</v>
      </c>
      <c r="O3124">
        <v>-0.52663760000000004</v>
      </c>
      <c r="P3124">
        <v>0.73182860000000005</v>
      </c>
      <c r="Q3124">
        <v>2.1864169999999999E-2</v>
      </c>
      <c r="R3124">
        <v>-0.68113819999999903</v>
      </c>
      <c r="S3124">
        <v>1.33107</v>
      </c>
      <c r="T3124">
        <v>-0.102772</v>
      </c>
      <c r="U3124">
        <v>-3.0025330000000001</v>
      </c>
      <c r="V3124">
        <v>0.19465759999999999</v>
      </c>
      <c r="W3124">
        <v>3.5145030000000001E-2</v>
      </c>
      <c r="X3124">
        <v>0.98024140000000004</v>
      </c>
      <c r="Y3124">
        <v>0.56357979999999996</v>
      </c>
      <c r="Z3124">
        <v>8.2707600000000003E-3</v>
      </c>
      <c r="AA3124">
        <v>0.82602019999999998</v>
      </c>
      <c r="AB3124">
        <v>30</v>
      </c>
      <c r="AC3124">
        <v>13.8964999999999</v>
      </c>
      <c r="AD3124">
        <v>-1.0928415280604</v>
      </c>
      <c r="AE3124">
        <v>-31.755400000000002</v>
      </c>
      <c r="AF3124">
        <v>19.6536136147269</v>
      </c>
      <c r="AG3124">
        <v>-1.0928415280604</v>
      </c>
      <c r="AH3124">
        <v>28.510849948031499</v>
      </c>
      <c r="AI3124">
        <v>91.807598650992304</v>
      </c>
      <c r="AJ3124">
        <v>55.420026544119999</v>
      </c>
      <c r="AK3124">
        <v>34.645741375840103</v>
      </c>
    </row>
    <row r="3125" spans="1:37" x14ac:dyDescent="0.2">
      <c r="A3125" t="str">
        <f>"20200111153458762"</f>
        <v>20200111153458762</v>
      </c>
      <c r="B3125" t="str">
        <f>"1578728098759583"</f>
        <v>1578728098759583</v>
      </c>
      <c r="C3125" t="s">
        <v>37</v>
      </c>
      <c r="D3125">
        <v>5.217117</v>
      </c>
      <c r="E3125">
        <v>0.66347460000000003</v>
      </c>
      <c r="F3125" t="s">
        <v>39</v>
      </c>
      <c r="G3125">
        <v>-188.42830000000001</v>
      </c>
      <c r="H3125" s="1">
        <v>-4.4892820000000003E-6</v>
      </c>
      <c r="I3125">
        <v>179.44749999999999</v>
      </c>
      <c r="J3125">
        <v>-202.14240000000001</v>
      </c>
      <c r="K3125">
        <v>1.092857</v>
      </c>
      <c r="L3125">
        <v>211.6061</v>
      </c>
      <c r="M3125">
        <v>0.841900599999999</v>
      </c>
      <c r="N3125">
        <v>0</v>
      </c>
      <c r="O3125">
        <v>-0.5392844</v>
      </c>
      <c r="P3125">
        <v>0.72243710000000005</v>
      </c>
      <c r="Q3125">
        <v>2.244167E-2</v>
      </c>
      <c r="R3125">
        <v>-0.69107249999999998</v>
      </c>
      <c r="S3125">
        <v>1.3002009999999999</v>
      </c>
      <c r="T3125">
        <v>-0.1017723</v>
      </c>
      <c r="U3125">
        <v>-3.010742</v>
      </c>
      <c r="V3125">
        <v>0.1934167</v>
      </c>
      <c r="W3125">
        <v>3.562013E-2</v>
      </c>
      <c r="X3125">
        <v>0.98046990000000001</v>
      </c>
      <c r="Y3125">
        <v>0.55917530000000004</v>
      </c>
      <c r="Z3125">
        <v>8.7471730000000004E-3</v>
      </c>
      <c r="AA3125">
        <v>0.8290033</v>
      </c>
      <c r="AB3125">
        <v>30</v>
      </c>
      <c r="AC3125">
        <v>13.7141</v>
      </c>
      <c r="AD3125">
        <v>-1.0928614892820001</v>
      </c>
      <c r="AE3125">
        <v>-32.1586</v>
      </c>
      <c r="AF3125">
        <v>19.663028163984201</v>
      </c>
      <c r="AG3125">
        <v>-1.0928614892820001</v>
      </c>
      <c r="AH3125">
        <v>28.865762078961598</v>
      </c>
      <c r="AI3125">
        <v>91.792213958903901</v>
      </c>
      <c r="AJ3125">
        <v>55.737754965756601</v>
      </c>
      <c r="AK3125">
        <v>34.943686743267499</v>
      </c>
    </row>
    <row r="3126" spans="1:37" x14ac:dyDescent="0.2">
      <c r="A3126" t="str">
        <f>"20200111153458785"</f>
        <v>20200111153458785</v>
      </c>
      <c r="B3126" t="str">
        <f>"1578728098779105"</f>
        <v>1578728098779105</v>
      </c>
      <c r="C3126" t="s">
        <v>37</v>
      </c>
      <c r="D3126">
        <v>5.216259</v>
      </c>
      <c r="E3126">
        <v>0.66230919999999904</v>
      </c>
      <c r="F3126" t="s">
        <v>39</v>
      </c>
      <c r="G3126">
        <v>-188.2998</v>
      </c>
      <c r="H3126" s="1">
        <v>-4.2021879999999999E-6</v>
      </c>
      <c r="I3126">
        <v>178.7252</v>
      </c>
      <c r="J3126">
        <v>-201.88630000000001</v>
      </c>
      <c r="K3126">
        <v>1.092859</v>
      </c>
      <c r="L3126">
        <v>211.42320000000001</v>
      </c>
      <c r="M3126">
        <v>0.83333670000000004</v>
      </c>
      <c r="N3126">
        <v>0</v>
      </c>
      <c r="O3126">
        <v>-0.55243379999999997</v>
      </c>
      <c r="P3126">
        <v>0.71148869999999997</v>
      </c>
      <c r="Q3126">
        <v>2.2462159999999998E-2</v>
      </c>
      <c r="R3126">
        <v>-0.70233859999999904</v>
      </c>
      <c r="S3126">
        <v>1.2700039999999999</v>
      </c>
      <c r="T3126">
        <v>-0.100266199999999</v>
      </c>
      <c r="U3126">
        <v>-3.0167079999999999</v>
      </c>
      <c r="V3126">
        <v>0.19342670000000001</v>
      </c>
      <c r="W3126">
        <v>3.5429519999999999E-2</v>
      </c>
      <c r="X3126">
        <v>0.98047479999999998</v>
      </c>
      <c r="Y3126">
        <v>0.55377860000000001</v>
      </c>
      <c r="Z3126">
        <v>9.2079429999999997E-3</v>
      </c>
      <c r="AA3126">
        <v>0.83261309999999999</v>
      </c>
      <c r="AB3126">
        <v>30</v>
      </c>
      <c r="AC3126">
        <v>13.586499999999999</v>
      </c>
      <c r="AD3126">
        <v>-1.092863202188</v>
      </c>
      <c r="AE3126">
        <v>-32.698</v>
      </c>
      <c r="AF3126">
        <v>19.727630879843801</v>
      </c>
      <c r="AG3126">
        <v>-1.092863202188</v>
      </c>
      <c r="AH3126">
        <v>29.363029052153902</v>
      </c>
      <c r="AI3126">
        <v>91.769530257016797</v>
      </c>
      <c r="AJ3126">
        <v>56.104713041759602</v>
      </c>
      <c r="AK3126">
        <v>35.391542001270501</v>
      </c>
    </row>
    <row r="3127" spans="1:37" x14ac:dyDescent="0.2">
      <c r="A3127" t="str">
        <f>"20200111153458807"</f>
        <v>20200111153458807</v>
      </c>
      <c r="B3127" t="str">
        <f>"1578728098799598"</f>
        <v>1578728098799598</v>
      </c>
      <c r="C3127" t="s">
        <v>37</v>
      </c>
      <c r="D3127">
        <v>5.1913119999999999</v>
      </c>
      <c r="E3127">
        <v>0.66117720000000002</v>
      </c>
      <c r="F3127" t="s">
        <v>39</v>
      </c>
      <c r="G3127">
        <v>-188.39769999999999</v>
      </c>
      <c r="H3127" s="1">
        <v>-3.9441920000000001E-6</v>
      </c>
      <c r="I3127">
        <v>178.1643</v>
      </c>
      <c r="J3127">
        <v>-201.64410000000001</v>
      </c>
      <c r="K3127">
        <v>1.092868</v>
      </c>
      <c r="L3127">
        <v>211.24449999999999</v>
      </c>
      <c r="M3127">
        <v>0.824932</v>
      </c>
      <c r="N3127">
        <v>0</v>
      </c>
      <c r="O3127">
        <v>-0.56491590000000003</v>
      </c>
      <c r="P3127">
        <v>0.70063450000000005</v>
      </c>
      <c r="Q3127">
        <v>2.2624410000000001E-2</v>
      </c>
      <c r="R3127">
        <v>-0.71316190000000002</v>
      </c>
      <c r="S3127">
        <v>1.22879</v>
      </c>
      <c r="T3127">
        <v>-9.9557999999999994E-2</v>
      </c>
      <c r="U3127">
        <v>-3.0298310000000002</v>
      </c>
      <c r="V3127">
        <v>0.1936966</v>
      </c>
      <c r="W3127">
        <v>3.534851E-2</v>
      </c>
      <c r="X3127">
        <v>0.98042450000000003</v>
      </c>
      <c r="Y3127">
        <v>0.55221989999999999</v>
      </c>
      <c r="Z3127">
        <v>9.6359480000000001E-3</v>
      </c>
      <c r="AA3127">
        <v>0.83364280000000002</v>
      </c>
      <c r="AB3127">
        <v>30</v>
      </c>
      <c r="AC3127">
        <v>13.2464</v>
      </c>
      <c r="AD3127">
        <v>-1.0928719441919901</v>
      </c>
      <c r="AE3127">
        <v>-33.080199999999898</v>
      </c>
      <c r="AF3127">
        <v>19.790736466414501</v>
      </c>
      <c r="AG3127">
        <v>-1.0928719441919901</v>
      </c>
      <c r="AH3127">
        <v>29.592365959273302</v>
      </c>
      <c r="AI3127">
        <v>91.758336049396405</v>
      </c>
      <c r="AJ3127">
        <v>56.2262476784393</v>
      </c>
      <c r="AK3127">
        <v>35.6170709356768</v>
      </c>
    </row>
    <row r="3128" spans="1:37" x14ac:dyDescent="0.2">
      <c r="A3128" t="str">
        <f>"20200111153458829"</f>
        <v>20200111153458829</v>
      </c>
      <c r="B3128" t="str">
        <f>"1578728098819119"</f>
        <v>1578728098819119</v>
      </c>
      <c r="C3128" t="s">
        <v>37</v>
      </c>
      <c r="D3128">
        <v>5.2172700000000001</v>
      </c>
      <c r="E3128">
        <v>0.66035959999999905</v>
      </c>
      <c r="F3128" t="s">
        <v>39</v>
      </c>
      <c r="G3128">
        <v>-188.4075</v>
      </c>
      <c r="H3128" s="1">
        <v>-3.599169E-6</v>
      </c>
      <c r="I3128">
        <v>177.364</v>
      </c>
      <c r="J3128">
        <v>-201.40649999999999</v>
      </c>
      <c r="K3128">
        <v>1.092878</v>
      </c>
      <c r="L3128">
        <v>211.06370000000001</v>
      </c>
      <c r="M3128">
        <v>0.81639379999999995</v>
      </c>
      <c r="N3128">
        <v>0</v>
      </c>
      <c r="O3128">
        <v>-0.57719560000000003</v>
      </c>
      <c r="P3128">
        <v>0.68952040000000003</v>
      </c>
      <c r="Q3128">
        <v>2.371001E-2</v>
      </c>
      <c r="R3128">
        <v>-0.72387840000000003</v>
      </c>
      <c r="S3128">
        <v>1.1884920000000001</v>
      </c>
      <c r="T3128">
        <v>-9.8127190000000003E-2</v>
      </c>
      <c r="U3128">
        <v>-3.042068</v>
      </c>
      <c r="V3128">
        <v>0.1941872</v>
      </c>
      <c r="W3128">
        <v>3.6147650000000003E-2</v>
      </c>
      <c r="X3128">
        <v>0.98029829999999996</v>
      </c>
      <c r="Y3128">
        <v>0.55045819999999901</v>
      </c>
      <c r="Z3128">
        <v>9.9821100000000006E-3</v>
      </c>
      <c r="AA3128">
        <v>0.83480299999999996</v>
      </c>
      <c r="AB3128">
        <v>30</v>
      </c>
      <c r="AC3128">
        <v>12.998999999999899</v>
      </c>
      <c r="AD3128">
        <v>-1.092881599169</v>
      </c>
      <c r="AE3128">
        <v>-33.6997</v>
      </c>
      <c r="AF3128">
        <v>19.994422346519499</v>
      </c>
      <c r="AG3128">
        <v>-1.092881599169</v>
      </c>
      <c r="AH3128">
        <v>30.0413274024584</v>
      </c>
      <c r="AI3128">
        <v>91.734660391087203</v>
      </c>
      <c r="AJ3128">
        <v>56.353698323386297</v>
      </c>
      <c r="AK3128">
        <v>36.103360885968797</v>
      </c>
    </row>
    <row r="3129" spans="1:37" x14ac:dyDescent="0.2">
      <c r="A3129" t="str">
        <f>"20200111153458852"</f>
        <v>20200111153458852</v>
      </c>
      <c r="B3129" t="str">
        <f>"1578728098849374"</f>
        <v>1578728098849374</v>
      </c>
      <c r="C3129" t="s">
        <v>37</v>
      </c>
      <c r="D3129">
        <v>5.1886039999999998</v>
      </c>
      <c r="E3129">
        <v>0.65886369999999905</v>
      </c>
      <c r="F3129" t="s">
        <v>39</v>
      </c>
      <c r="G3129">
        <v>-188.19880000000001</v>
      </c>
      <c r="H3129" s="1">
        <v>-2.9857489999999999E-6</v>
      </c>
      <c r="I3129">
        <v>175.84780000000001</v>
      </c>
      <c r="J3129">
        <v>-201.16560000000001</v>
      </c>
      <c r="K3129">
        <v>1.0928929999999999</v>
      </c>
      <c r="L3129">
        <v>210.87459999999999</v>
      </c>
      <c r="M3129">
        <v>0.80743959999999904</v>
      </c>
      <c r="N3129">
        <v>0</v>
      </c>
      <c r="O3129">
        <v>-0.58966669999999999</v>
      </c>
      <c r="P3129">
        <v>0.67816759999999998</v>
      </c>
      <c r="Q3129">
        <v>2.5290360000000001E-2</v>
      </c>
      <c r="R3129">
        <v>-0.73447209999999996</v>
      </c>
      <c r="S3129">
        <v>1.146072</v>
      </c>
      <c r="T3129">
        <v>-9.4832180000000002E-2</v>
      </c>
      <c r="U3129">
        <v>-3.055771</v>
      </c>
      <c r="V3129">
        <v>0.19438729999999901</v>
      </c>
      <c r="W3129">
        <v>3.7439E-2</v>
      </c>
      <c r="X3129">
        <v>0.98021009999999997</v>
      </c>
      <c r="Y3129">
        <v>0.54902469999999903</v>
      </c>
      <c r="Z3129">
        <v>1.011633E-2</v>
      </c>
      <c r="AA3129">
        <v>0.83574490000000001</v>
      </c>
      <c r="AB3129">
        <v>30</v>
      </c>
      <c r="AC3129">
        <v>12.966799999999999</v>
      </c>
      <c r="AD3129">
        <v>-1.0928959857489999</v>
      </c>
      <c r="AE3129">
        <v>-35.026799999999902</v>
      </c>
      <c r="AF3129">
        <v>20.621730711224</v>
      </c>
      <c r="AG3129">
        <v>-1.0928959857489999</v>
      </c>
      <c r="AH3129">
        <v>31.102621500463499</v>
      </c>
      <c r="AI3129">
        <v>91.677488902013494</v>
      </c>
      <c r="AJ3129">
        <v>56.454735491739299</v>
      </c>
      <c r="AK3129">
        <v>37.333942510308198</v>
      </c>
    </row>
    <row r="3130" spans="1:37" x14ac:dyDescent="0.2">
      <c r="A3130" t="str">
        <f>"20200111153458874"</f>
        <v>20200111153458874</v>
      </c>
      <c r="B3130" t="str">
        <f>"1578728098868897"</f>
        <v>1578728098868897</v>
      </c>
      <c r="C3130" t="s">
        <v>37</v>
      </c>
      <c r="D3130">
        <v>5.1954050000000001</v>
      </c>
      <c r="E3130">
        <v>0.65810979999999997</v>
      </c>
      <c r="F3130" t="s">
        <v>39</v>
      </c>
      <c r="G3130">
        <v>-188.19309999999999</v>
      </c>
      <c r="H3130" s="1">
        <v>-2.6096579999999999E-6</v>
      </c>
      <c r="I3130">
        <v>174.96879999999999</v>
      </c>
      <c r="J3130">
        <v>-200.9265</v>
      </c>
      <c r="K3130">
        <v>1.092913</v>
      </c>
      <c r="L3130">
        <v>210.68099999999899</v>
      </c>
      <c r="M3130">
        <v>0.7982553</v>
      </c>
      <c r="N3130">
        <v>0</v>
      </c>
      <c r="O3130">
        <v>-0.60205050000000004</v>
      </c>
      <c r="P3130">
        <v>0.66685490000000003</v>
      </c>
      <c r="Q3130">
        <v>2.609204E-2</v>
      </c>
      <c r="R3130">
        <v>-0.74473089999999997</v>
      </c>
      <c r="S3130">
        <v>1.1074520000000001</v>
      </c>
      <c r="T3130">
        <v>-9.3299629999999995E-2</v>
      </c>
      <c r="U3130">
        <v>-3.0652469999999998</v>
      </c>
      <c r="V3130">
        <v>0.1942527</v>
      </c>
      <c r="W3130">
        <v>3.7974590000000003E-2</v>
      </c>
      <c r="X3130">
        <v>0.98021619999999998</v>
      </c>
      <c r="Y3130">
        <v>0.54626330000000001</v>
      </c>
      <c r="Z3130">
        <v>1.044056E-2</v>
      </c>
      <c r="AA3130">
        <v>0.83754850000000003</v>
      </c>
      <c r="AB3130">
        <v>30</v>
      </c>
      <c r="AC3130">
        <v>12.7334</v>
      </c>
      <c r="AD3130">
        <v>-1.0929156096579999</v>
      </c>
      <c r="AE3130">
        <v>-35.712200000000003</v>
      </c>
      <c r="AF3130">
        <v>20.827370657492501</v>
      </c>
      <c r="AG3130">
        <v>-1.0929156096579999</v>
      </c>
      <c r="AH3130">
        <v>31.643883786518799</v>
      </c>
      <c r="AI3130">
        <v>91.652515345387499</v>
      </c>
      <c r="AJ3130">
        <v>56.647888030310703</v>
      </c>
      <c r="AK3130">
        <v>37.898670347772402</v>
      </c>
    </row>
    <row r="3131" spans="1:37" x14ac:dyDescent="0.2">
      <c r="A3131" t="str">
        <f>"20200111153458897"</f>
        <v>20200111153458897</v>
      </c>
      <c r="B3131" t="str">
        <f>"1578728098889390"</f>
        <v>1578728098889390</v>
      </c>
      <c r="C3131" t="s">
        <v>37</v>
      </c>
      <c r="D3131">
        <v>5.190995</v>
      </c>
      <c r="E3131">
        <v>0.65716609999999998</v>
      </c>
      <c r="F3131" t="s">
        <v>39</v>
      </c>
      <c r="G3131">
        <v>-188.05860000000001</v>
      </c>
      <c r="H3131" s="1">
        <v>-1.9979419999999999E-6</v>
      </c>
      <c r="I3131">
        <v>173.4873</v>
      </c>
      <c r="J3131">
        <v>-200.68899999999999</v>
      </c>
      <c r="K3131">
        <v>1.0929450000000001</v>
      </c>
      <c r="L3131">
        <v>210.48269999999999</v>
      </c>
      <c r="M3131">
        <v>0.78882259999999904</v>
      </c>
      <c r="N3131">
        <v>0</v>
      </c>
      <c r="O3131">
        <v>-0.61436579999999996</v>
      </c>
      <c r="P3131">
        <v>0.65570299999999904</v>
      </c>
      <c r="Q3131">
        <v>2.588031E-2</v>
      </c>
      <c r="R3131">
        <v>-0.75457540000000001</v>
      </c>
      <c r="S3131">
        <v>1.064865</v>
      </c>
      <c r="T3131">
        <v>-9.0442419999999996E-2</v>
      </c>
      <c r="U3131">
        <v>-3.0779109999999998</v>
      </c>
      <c r="V3131">
        <v>0.19361210000000001</v>
      </c>
      <c r="W3131">
        <v>3.7528110000000003E-2</v>
      </c>
      <c r="X3131">
        <v>0.98036019999999902</v>
      </c>
      <c r="Y3131">
        <v>0.54467719999999997</v>
      </c>
      <c r="Z3131">
        <v>1.057027E-2</v>
      </c>
      <c r="AA3131">
        <v>0.83857919999999997</v>
      </c>
      <c r="AB3131">
        <v>30</v>
      </c>
      <c r="AC3131">
        <v>12.6304</v>
      </c>
      <c r="AD3131">
        <v>-1.0929469979419999</v>
      </c>
      <c r="AE3131">
        <v>-36.995399999999897</v>
      </c>
      <c r="AF3131">
        <v>21.409746131625202</v>
      </c>
      <c r="AG3131">
        <v>-1.0929469979419999</v>
      </c>
      <c r="AH3131">
        <v>32.671442084544402</v>
      </c>
      <c r="AI3131">
        <v>91.602727103745096</v>
      </c>
      <c r="AJ3131">
        <v>56.762990365420897</v>
      </c>
      <c r="AK3131">
        <v>39.076781986810097</v>
      </c>
    </row>
    <row r="3132" spans="1:37" x14ac:dyDescent="0.2">
      <c r="A3132" t="str">
        <f>"20200111153458919"</f>
        <v>20200111153458919</v>
      </c>
      <c r="B3132" t="str">
        <f>"1578728098908910"</f>
        <v>1578728098908910</v>
      </c>
      <c r="C3132" t="s">
        <v>37</v>
      </c>
      <c r="D3132">
        <v>5.2234850000000002</v>
      </c>
      <c r="E3132">
        <v>0.65607340000000003</v>
      </c>
      <c r="F3132" t="s">
        <v>39</v>
      </c>
      <c r="G3132">
        <v>-188.5659</v>
      </c>
      <c r="H3132" s="1">
        <v>-2.09993E-6</v>
      </c>
      <c r="I3132">
        <v>173.9348</v>
      </c>
      <c r="J3132">
        <v>-200.46770000000001</v>
      </c>
      <c r="K3132">
        <v>1.092973</v>
      </c>
      <c r="L3132">
        <v>210.29230000000001</v>
      </c>
      <c r="M3132">
        <v>0.77975539999999999</v>
      </c>
      <c r="N3132">
        <v>0</v>
      </c>
      <c r="O3132">
        <v>-0.62584110000000004</v>
      </c>
      <c r="P3132">
        <v>0.64546099999999995</v>
      </c>
      <c r="Q3132">
        <v>2.5460219999999999E-2</v>
      </c>
      <c r="R3132">
        <v>-0.76336939999999998</v>
      </c>
      <c r="S3132">
        <v>1.024521</v>
      </c>
      <c r="T3132">
        <v>-9.2365030000000001E-2</v>
      </c>
      <c r="U3132">
        <v>-3.0886689999999999</v>
      </c>
      <c r="V3132">
        <v>0.19248860000000001</v>
      </c>
      <c r="W3132">
        <v>3.692057E-2</v>
      </c>
      <c r="X3132">
        <v>0.98060439999999904</v>
      </c>
      <c r="Y3132">
        <v>0.54314319999999905</v>
      </c>
      <c r="Z3132">
        <v>1.12278E-2</v>
      </c>
      <c r="AA3132">
        <v>0.83956500000000001</v>
      </c>
      <c r="AB3132">
        <v>30</v>
      </c>
      <c r="AC3132">
        <v>11.9018</v>
      </c>
      <c r="AD3132">
        <v>-1.0929750999300001</v>
      </c>
      <c r="AE3132">
        <v>-36.357500000000002</v>
      </c>
      <c r="AF3132">
        <v>20.887454286477698</v>
      </c>
      <c r="AG3132">
        <v>-1.0929750999300001</v>
      </c>
      <c r="AH3132">
        <v>32.013257189093302</v>
      </c>
      <c r="AI3132">
        <v>91.637832577553198</v>
      </c>
      <c r="AJ3132">
        <v>56.877053277264501</v>
      </c>
      <c r="AK3132">
        <v>38.2404102618395</v>
      </c>
    </row>
    <row r="3133" spans="1:37" x14ac:dyDescent="0.2">
      <c r="A3133" t="str">
        <f>"20200111153458941"</f>
        <v>20200111153458941</v>
      </c>
      <c r="B3133" t="str">
        <f>"1578728098929406"</f>
        <v>1578728098929406</v>
      </c>
      <c r="C3133" t="s">
        <v>37</v>
      </c>
      <c r="D3133">
        <v>5.2809489999999997</v>
      </c>
      <c r="E3133">
        <v>0.6550319</v>
      </c>
      <c r="F3133" t="s">
        <v>39</v>
      </c>
      <c r="G3133">
        <v>-189.25479999999999</v>
      </c>
      <c r="H3133" s="1">
        <v>-2.5251449999999999E-6</v>
      </c>
      <c r="I3133">
        <v>175.21080000000001</v>
      </c>
      <c r="J3133">
        <v>-200.24539999999999</v>
      </c>
      <c r="K3133">
        <v>1.0930059999999999</v>
      </c>
      <c r="L3133">
        <v>210.09469999999999</v>
      </c>
      <c r="M3133">
        <v>0.77035880000000001</v>
      </c>
      <c r="N3133">
        <v>0</v>
      </c>
      <c r="O3133">
        <v>-0.63737790000000005</v>
      </c>
      <c r="P3133">
        <v>0.63524409999999998</v>
      </c>
      <c r="Q3133">
        <v>2.5604350000000001E-2</v>
      </c>
      <c r="R3133">
        <v>-0.771887199999999</v>
      </c>
      <c r="S3133">
        <v>0.98966980000000004</v>
      </c>
      <c r="T3133">
        <v>-9.6467849999999994E-2</v>
      </c>
      <c r="U3133">
        <v>-3.09634399999999</v>
      </c>
      <c r="V3133">
        <v>0.19093660000000001</v>
      </c>
      <c r="W3133">
        <v>3.690674E-2</v>
      </c>
      <c r="X3133">
        <v>0.98090829999999996</v>
      </c>
      <c r="Y3133">
        <v>0.53981440000000003</v>
      </c>
      <c r="Z3133">
        <v>1.2212529999999999E-2</v>
      </c>
      <c r="AA3133">
        <v>0.84169550000000004</v>
      </c>
      <c r="AB3133">
        <v>30</v>
      </c>
      <c r="AC3133">
        <v>10.990600000000001</v>
      </c>
      <c r="AD3133">
        <v>-1.0930085251449999</v>
      </c>
      <c r="AE3133">
        <v>-34.883899999999898</v>
      </c>
      <c r="AF3133">
        <v>19.853171521874</v>
      </c>
      <c r="AG3133">
        <v>-1.0930085251449999</v>
      </c>
      <c r="AH3133">
        <v>30.678090061944101</v>
      </c>
      <c r="AI3133">
        <v>91.713279918308402</v>
      </c>
      <c r="AJ3133">
        <v>57.091278254731399</v>
      </c>
      <c r="AK3133">
        <v>36.558012760019402</v>
      </c>
    </row>
    <row r="3134" spans="1:37" x14ac:dyDescent="0.2">
      <c r="A3134" t="str">
        <f>"20200111153458964"</f>
        <v>20200111153458964</v>
      </c>
      <c r="B3134" t="str">
        <f>"1578728098959662"</f>
        <v>1578728098959662</v>
      </c>
      <c r="C3134" t="s">
        <v>37</v>
      </c>
      <c r="D3134">
        <v>5.2526440000000001</v>
      </c>
      <c r="E3134">
        <v>0.65340039999999999</v>
      </c>
      <c r="F3134" t="s">
        <v>39</v>
      </c>
      <c r="G3134">
        <v>-190.04409999999999</v>
      </c>
      <c r="H3134" s="1">
        <v>-3.1624399999999998E-6</v>
      </c>
      <c r="I3134">
        <v>176.93350000000001</v>
      </c>
      <c r="J3134">
        <v>-200.02019999999999</v>
      </c>
      <c r="K3134">
        <v>1.0930340000000001</v>
      </c>
      <c r="L3134">
        <v>209.8886</v>
      </c>
      <c r="M3134">
        <v>0.76055189999999995</v>
      </c>
      <c r="N3134">
        <v>0</v>
      </c>
      <c r="O3134">
        <v>-0.64905429999999997</v>
      </c>
      <c r="P3134">
        <v>0.62518980000000002</v>
      </c>
      <c r="Q3134">
        <v>2.541332E-2</v>
      </c>
      <c r="R3134">
        <v>-0.78005919999999995</v>
      </c>
      <c r="S3134">
        <v>0.95491029999999999</v>
      </c>
      <c r="T3134">
        <v>-0.1023133</v>
      </c>
      <c r="U3134">
        <v>-3.1041259999999999</v>
      </c>
      <c r="V3134">
        <v>0.1886755</v>
      </c>
      <c r="W3134">
        <v>3.6594149999999999E-2</v>
      </c>
      <c r="X3134">
        <v>0.98135749999999999</v>
      </c>
      <c r="Y3134">
        <v>0.53617009999999998</v>
      </c>
      <c r="Z3134">
        <v>1.347829E-2</v>
      </c>
      <c r="AA3134">
        <v>0.84400239999999904</v>
      </c>
      <c r="AB3134">
        <v>30</v>
      </c>
      <c r="AC3134">
        <v>9.9761000000000006</v>
      </c>
      <c r="AD3134">
        <v>-1.0930371624399999</v>
      </c>
      <c r="AE3134">
        <v>-32.955099999999902</v>
      </c>
      <c r="AF3134">
        <v>18.573006370335399</v>
      </c>
      <c r="AG3134">
        <v>-1.0930371624399999</v>
      </c>
      <c r="AH3134">
        <v>28.952008016269101</v>
      </c>
      <c r="AI3134">
        <v>91.820064974083806</v>
      </c>
      <c r="AJ3134">
        <v>57.3194170821168</v>
      </c>
      <c r="AK3134">
        <v>34.414678031983797</v>
      </c>
    </row>
    <row r="3135" spans="1:37" x14ac:dyDescent="0.2">
      <c r="A3135" t="str">
        <f>"20200111153458986"</f>
        <v>20200111153458986</v>
      </c>
      <c r="B3135" t="str">
        <f>"1578728098979185"</f>
        <v>1578728098979185</v>
      </c>
      <c r="C3135" t="s">
        <v>37</v>
      </c>
      <c r="D3135">
        <v>5.154083</v>
      </c>
      <c r="E3135">
        <v>0.65205349999999995</v>
      </c>
      <c r="F3135" t="s">
        <v>39</v>
      </c>
      <c r="G3135">
        <v>-191.0087</v>
      </c>
      <c r="H3135" s="1">
        <v>-4.4756970000000003E-6</v>
      </c>
      <c r="I3135">
        <v>179.613</v>
      </c>
      <c r="J3135">
        <v>-199.79679999999999</v>
      </c>
      <c r="K3135">
        <v>1.093059</v>
      </c>
      <c r="L3135">
        <v>209.67769999999999</v>
      </c>
      <c r="M3135">
        <v>0.7505233</v>
      </c>
      <c r="N3135">
        <v>0</v>
      </c>
      <c r="O3135">
        <v>-0.66062989999999999</v>
      </c>
      <c r="P3135">
        <v>0.61528130000000003</v>
      </c>
      <c r="Q3135">
        <v>2.503236E-2</v>
      </c>
      <c r="R3135">
        <v>-0.78791029999999995</v>
      </c>
      <c r="S3135">
        <v>0.92510990000000004</v>
      </c>
      <c r="T3135">
        <v>-0.1122093</v>
      </c>
      <c r="U3135">
        <v>-3.1080320000000001</v>
      </c>
      <c r="V3135">
        <v>0.18603439999999999</v>
      </c>
      <c r="W3135">
        <v>3.6123820000000001E-2</v>
      </c>
      <c r="X3135">
        <v>0.9818789</v>
      </c>
      <c r="Y3135">
        <v>0.53094719999999995</v>
      </c>
      <c r="Z3135">
        <v>1.5391169999999999E-2</v>
      </c>
      <c r="AA3135">
        <v>0.84726509999999999</v>
      </c>
      <c r="AB3135">
        <v>30</v>
      </c>
      <c r="AC3135">
        <v>8.7880999999999805</v>
      </c>
      <c r="AD3135">
        <v>-1.0930634756969999</v>
      </c>
      <c r="AE3135">
        <v>-30.064699999999899</v>
      </c>
      <c r="AF3135">
        <v>16.740560956852399</v>
      </c>
      <c r="AG3135">
        <v>-1.0930634756969999</v>
      </c>
      <c r="AH3135">
        <v>26.428872259844201</v>
      </c>
      <c r="AI3135">
        <v>92.001057489826707</v>
      </c>
      <c r="AJ3135">
        <v>57.649036257671</v>
      </c>
      <c r="AK3135">
        <v>31.303777053882101</v>
      </c>
    </row>
    <row r="3136" spans="1:37" x14ac:dyDescent="0.2">
      <c r="A3136" t="str">
        <f>"20200111153459008"</f>
        <v>20200111153459008</v>
      </c>
      <c r="B3136" t="str">
        <f>"1578728098999678"</f>
        <v>1578728098999678</v>
      </c>
      <c r="C3136" t="s">
        <v>37</v>
      </c>
      <c r="D3136">
        <v>5.1506220000000003</v>
      </c>
      <c r="E3136">
        <v>0.65136660000000002</v>
      </c>
      <c r="F3136" t="s">
        <v>39</v>
      </c>
      <c r="G3136">
        <v>-191.7987</v>
      </c>
      <c r="H3136" s="1">
        <v>-1.4444679999999899E-6</v>
      </c>
      <c r="I3136">
        <v>181.84059999999999</v>
      </c>
      <c r="J3136">
        <v>-199.5857</v>
      </c>
      <c r="K3136">
        <v>1.093089</v>
      </c>
      <c r="L3136">
        <v>209.4726</v>
      </c>
      <c r="M3136">
        <v>0.74078239999999995</v>
      </c>
      <c r="N3136">
        <v>0</v>
      </c>
      <c r="O3136">
        <v>-0.67153869999999904</v>
      </c>
      <c r="P3136">
        <v>0.60569419999999996</v>
      </c>
      <c r="Q3136">
        <v>2.5186159999999999E-2</v>
      </c>
      <c r="R3136">
        <v>-0.79529890000000003</v>
      </c>
      <c r="S3136">
        <v>0.89440919999999902</v>
      </c>
      <c r="T3136">
        <v>-0.1222345</v>
      </c>
      <c r="U3136">
        <v>-3.1129609999999999</v>
      </c>
      <c r="V3136">
        <v>0.18355560000000001</v>
      </c>
      <c r="W3136">
        <v>3.6209600000000002E-2</v>
      </c>
      <c r="X3136">
        <v>0.98234219999999906</v>
      </c>
      <c r="Y3136">
        <v>0.52661619999999998</v>
      </c>
      <c r="Z3136">
        <v>1.737911E-2</v>
      </c>
      <c r="AA3136">
        <v>0.849925499999999</v>
      </c>
      <c r="AB3136">
        <v>30</v>
      </c>
      <c r="AC3136">
        <v>7.7869999999999999</v>
      </c>
      <c r="AD3136">
        <v>-1.0930904444680001</v>
      </c>
      <c r="AE3136">
        <v>-27.632000000000001</v>
      </c>
      <c r="AF3136">
        <v>15.220074646826101</v>
      </c>
      <c r="AG3136">
        <v>-1.0930904444680001</v>
      </c>
      <c r="AH3136">
        <v>24.292583518954299</v>
      </c>
      <c r="AI3136">
        <v>92.183687656128399</v>
      </c>
      <c r="AJ3136">
        <v>57.931550266967498</v>
      </c>
      <c r="AK3136">
        <v>28.6875431677256</v>
      </c>
    </row>
    <row r="3137" spans="1:37" x14ac:dyDescent="0.2">
      <c r="A3137" t="str">
        <f>"20200111153459026"</f>
        <v>20200111153459026</v>
      </c>
      <c r="B3137" t="str">
        <f>"1578728099019199"</f>
        <v>1578728099019199</v>
      </c>
      <c r="C3137" t="s">
        <v>37</v>
      </c>
      <c r="D3137">
        <v>5.1775969999999996</v>
      </c>
      <c r="E3137">
        <v>0.62090749999999995</v>
      </c>
      <c r="F3137" t="s">
        <v>39</v>
      </c>
      <c r="G3137">
        <v>-192.24170000000001</v>
      </c>
      <c r="H3137" s="1">
        <v>-2.0039840000000002E-6</v>
      </c>
      <c r="I3137">
        <v>182.87010000000001</v>
      </c>
      <c r="J3137">
        <v>-199.41390000000001</v>
      </c>
      <c r="K3137">
        <v>1.0931219999999999</v>
      </c>
      <c r="L3137">
        <v>209.30119999999999</v>
      </c>
      <c r="M3137">
        <v>0.732653</v>
      </c>
      <c r="N3137">
        <v>0</v>
      </c>
      <c r="O3137">
        <v>-0.68040210000000001</v>
      </c>
      <c r="P3137">
        <v>0.5962189</v>
      </c>
      <c r="Q3137">
        <v>2.5729209999999999E-2</v>
      </c>
      <c r="R3137">
        <v>-0.80240999999999996</v>
      </c>
      <c r="S3137">
        <v>0.86137389999999903</v>
      </c>
      <c r="T3137">
        <v>-0.1282066</v>
      </c>
      <c r="U3137">
        <v>-3.1201629999999998</v>
      </c>
      <c r="V3137">
        <v>0.18338699999999999</v>
      </c>
      <c r="W3137">
        <v>3.665086E-2</v>
      </c>
      <c r="X3137">
        <v>0.98235729999999999</v>
      </c>
      <c r="Y3137">
        <v>0.52525379999999999</v>
      </c>
      <c r="Z3137">
        <v>1.8706110000000001E-2</v>
      </c>
      <c r="AA3137">
        <v>0.85073999999999905</v>
      </c>
      <c r="AB3137">
        <v>29</v>
      </c>
      <c r="AC3137">
        <v>7.1722000000000001</v>
      </c>
      <c r="AD3137">
        <v>-1.093124003984</v>
      </c>
      <c r="AE3137">
        <v>-26.431099999999901</v>
      </c>
      <c r="AF3137">
        <v>14.463776453680101</v>
      </c>
      <c r="AG3137">
        <v>-1.093124003984</v>
      </c>
      <c r="AH3137">
        <v>23.2047092088984</v>
      </c>
      <c r="AI3137">
        <v>92.289333014958203</v>
      </c>
      <c r="AJ3137">
        <v>58.064212738659499</v>
      </c>
      <c r="AK3137">
        <v>27.365201970013899</v>
      </c>
    </row>
    <row r="3138" spans="1:37" x14ac:dyDescent="0.2">
      <c r="A3138" t="str">
        <f>"20200111153459041"</f>
        <v>20200111153459041</v>
      </c>
      <c r="B3138" t="str">
        <f>"1578728099039694"</f>
        <v>1578728099039694</v>
      </c>
      <c r="C3138" t="s">
        <v>37</v>
      </c>
      <c r="D3138">
        <v>5.2196680000000004</v>
      </c>
      <c r="E3138">
        <v>0.61945360000000005</v>
      </c>
      <c r="F3138" t="s">
        <v>50</v>
      </c>
      <c r="G3138">
        <v>-196.15440000000001</v>
      </c>
      <c r="H3138" s="1">
        <v>6.23353399999999E-6</v>
      </c>
      <c r="I3138">
        <v>199.79140000000001</v>
      </c>
      <c r="J3138">
        <v>-199.2696</v>
      </c>
      <c r="K3138">
        <v>1.0931519999999999</v>
      </c>
      <c r="L3138">
        <v>209.15430000000001</v>
      </c>
      <c r="M3138">
        <v>0.72569669999999997</v>
      </c>
      <c r="N3138">
        <v>0</v>
      </c>
      <c r="O3138">
        <v>-0.68781870000000001</v>
      </c>
      <c r="P3138">
        <v>0.58860239999999997</v>
      </c>
      <c r="Q3138">
        <v>2.6141580000000001E-2</v>
      </c>
      <c r="R3138">
        <v>-0.80800019999999995</v>
      </c>
      <c r="S3138">
        <v>1.024338</v>
      </c>
      <c r="T3138">
        <v>-0.3435299</v>
      </c>
      <c r="U3138">
        <v>-2.9886169999999899</v>
      </c>
      <c r="V3138">
        <v>0.1826845</v>
      </c>
      <c r="W3138">
        <v>3.7003479999999998E-2</v>
      </c>
      <c r="X3138">
        <v>0.98247499999999999</v>
      </c>
      <c r="Y3138">
        <v>0.46392939999999999</v>
      </c>
      <c r="Z3138">
        <v>5.5140099999999997E-2</v>
      </c>
      <c r="AA3138">
        <v>0.88415440000000001</v>
      </c>
      <c r="AB3138">
        <v>29</v>
      </c>
      <c r="AC3138">
        <v>3.1151999999999802</v>
      </c>
      <c r="AD3138">
        <v>-1.093145766466</v>
      </c>
      <c r="AE3138">
        <v>-9.3628999999999891</v>
      </c>
      <c r="AF3138">
        <v>4.5961533700532602</v>
      </c>
      <c r="AG3138">
        <v>-1.093145766466</v>
      </c>
      <c r="AH3138">
        <v>8.5963418683122299</v>
      </c>
      <c r="AI3138">
        <v>96.398506108926199</v>
      </c>
      <c r="AJ3138">
        <v>61.868194234919301</v>
      </c>
      <c r="AK3138">
        <v>9.8090104997748</v>
      </c>
    </row>
    <row r="3139" spans="1:37" x14ac:dyDescent="0.2">
      <c r="A3139" t="str">
        <f>"20200111153459065"</f>
        <v>20200111153459065</v>
      </c>
      <c r="B3139" t="str">
        <f>"1578728099059214"</f>
        <v>1578728099059214</v>
      </c>
      <c r="C3139" t="s">
        <v>37</v>
      </c>
      <c r="D3139">
        <v>5.1937350000000002</v>
      </c>
      <c r="E3139">
        <v>0.61943979999999998</v>
      </c>
      <c r="F3139" t="s">
        <v>50</v>
      </c>
      <c r="G3139">
        <v>-196.0712</v>
      </c>
      <c r="H3139" s="1">
        <v>6.3102570000000003E-6</v>
      </c>
      <c r="I3139">
        <v>199.6369</v>
      </c>
      <c r="J3139">
        <v>-199.05699999999999</v>
      </c>
      <c r="K3139">
        <v>1.093216</v>
      </c>
      <c r="L3139">
        <v>208.93170000000001</v>
      </c>
      <c r="M3139">
        <v>0.71520649999999997</v>
      </c>
      <c r="N3139">
        <v>0</v>
      </c>
      <c r="O3139">
        <v>-0.69872339999999999</v>
      </c>
      <c r="P3139">
        <v>0.57766379999999995</v>
      </c>
      <c r="Q3139">
        <v>2.517927E-2</v>
      </c>
      <c r="R3139">
        <v>-0.81588640000000001</v>
      </c>
      <c r="S3139">
        <v>1.0053559999999999</v>
      </c>
      <c r="T3139">
        <v>-0.34361370000000002</v>
      </c>
      <c r="U3139">
        <v>-2.991638</v>
      </c>
      <c r="V3139">
        <v>0.18103549999999999</v>
      </c>
      <c r="W3139">
        <v>3.5990399999999999E-2</v>
      </c>
      <c r="X3139">
        <v>0.98281779999999996</v>
      </c>
      <c r="Y3139">
        <v>0.45586260000000001</v>
      </c>
      <c r="Z3139">
        <v>5.7041219999999997E-2</v>
      </c>
      <c r="AA3139">
        <v>0.88822049999999997</v>
      </c>
      <c r="AB3139">
        <v>29</v>
      </c>
      <c r="AC3139">
        <v>2.98580000000001</v>
      </c>
      <c r="AD3139">
        <v>-1.0932096897429999</v>
      </c>
      <c r="AE3139">
        <v>-9.2948000000000093</v>
      </c>
      <c r="AF3139">
        <v>4.50556122353753</v>
      </c>
      <c r="AG3139">
        <v>-1.0932096897429999</v>
      </c>
      <c r="AH3139">
        <v>8.5242143081220405</v>
      </c>
      <c r="AI3139">
        <v>96.468772281694697</v>
      </c>
      <c r="AJ3139">
        <v>62.1408479406212</v>
      </c>
      <c r="AK3139">
        <v>9.7034745805605898</v>
      </c>
    </row>
    <row r="3140" spans="1:37" x14ac:dyDescent="0.2">
      <c r="A3140" t="str">
        <f>"20200111153459087"</f>
        <v>20200111153459087</v>
      </c>
      <c r="B3140" t="str">
        <f>"1578728099079710"</f>
        <v>1578728099079710</v>
      </c>
      <c r="C3140" t="s">
        <v>37</v>
      </c>
      <c r="D3140">
        <v>5.1878209999999996</v>
      </c>
      <c r="E3140">
        <v>0.61923689999999998</v>
      </c>
      <c r="F3140" t="s">
        <v>39</v>
      </c>
      <c r="G3140">
        <v>-195.96029999999999</v>
      </c>
      <c r="H3140" s="1">
        <v>-5.2406769999999899E-6</v>
      </c>
      <c r="I3140">
        <v>199.2799</v>
      </c>
      <c r="J3140">
        <v>-198.8519</v>
      </c>
      <c r="K3140">
        <v>1.093297</v>
      </c>
      <c r="L3140">
        <v>208.7105</v>
      </c>
      <c r="M3140">
        <v>0.70482429999999996</v>
      </c>
      <c r="N3140">
        <v>0</v>
      </c>
      <c r="O3140">
        <v>-0.70919779999999999</v>
      </c>
      <c r="P3140">
        <v>0.56769150000000002</v>
      </c>
      <c r="Q3140">
        <v>2.5741070000000001E-2</v>
      </c>
      <c r="R3140">
        <v>-0.82283909999999905</v>
      </c>
      <c r="S3140">
        <v>0.96409609999999901</v>
      </c>
      <c r="T3140">
        <v>-0.3403524</v>
      </c>
      <c r="U3140">
        <v>-3.0048680000000001</v>
      </c>
      <c r="V3140">
        <v>0.1784934</v>
      </c>
      <c r="W3140">
        <v>3.6546499999999899E-2</v>
      </c>
      <c r="X3140">
        <v>0.98326209999999903</v>
      </c>
      <c r="Y3140">
        <v>0.45495089999999999</v>
      </c>
      <c r="Z3140">
        <v>5.794175E-2</v>
      </c>
      <c r="AA3140">
        <v>0.88862960000000002</v>
      </c>
      <c r="AB3140">
        <v>29</v>
      </c>
      <c r="AC3140">
        <v>2.8916000000000102</v>
      </c>
      <c r="AD3140">
        <v>-1.0933022406769899</v>
      </c>
      <c r="AE3140">
        <v>-9.4305999999999894</v>
      </c>
      <c r="AF3140">
        <v>4.5410132592733303</v>
      </c>
      <c r="AG3140">
        <v>-1.0933022406769899</v>
      </c>
      <c r="AH3140">
        <v>8.6214551393228103</v>
      </c>
      <c r="AI3140">
        <v>96.401801047518902</v>
      </c>
      <c r="AJ3140">
        <v>62.223740697648303</v>
      </c>
      <c r="AK3140">
        <v>9.8053862713164595</v>
      </c>
    </row>
    <row r="3141" spans="1:37" x14ac:dyDescent="0.2">
      <c r="A3141" t="str">
        <f>"20200111153459108"</f>
        <v>20200111153459108</v>
      </c>
      <c r="B3141" t="str">
        <f>"1578728099099230"</f>
        <v>1578728099099230</v>
      </c>
      <c r="C3141" t="s">
        <v>37</v>
      </c>
      <c r="D3141">
        <v>5.1887439999999998</v>
      </c>
      <c r="E3141">
        <v>0.6175754</v>
      </c>
      <c r="F3141" t="s">
        <v>39</v>
      </c>
      <c r="G3141">
        <v>-195.83439999999999</v>
      </c>
      <c r="H3141" s="1">
        <v>-5.0938499999999902E-6</v>
      </c>
      <c r="I3141">
        <v>198.91409999999999</v>
      </c>
      <c r="J3141">
        <v>-198.6585</v>
      </c>
      <c r="K3141">
        <v>1.0933850000000001</v>
      </c>
      <c r="L3141">
        <v>208.49599999999899</v>
      </c>
      <c r="M3141">
        <v>0.69479480000000005</v>
      </c>
      <c r="N3141">
        <v>0</v>
      </c>
      <c r="O3141">
        <v>-0.71902869999999997</v>
      </c>
      <c r="P3141">
        <v>0.55954939999999997</v>
      </c>
      <c r="Q3141">
        <v>2.7107260000000001E-2</v>
      </c>
      <c r="R3141">
        <v>-0.82835400000000003</v>
      </c>
      <c r="S3141">
        <v>0.92886349999999995</v>
      </c>
      <c r="T3141">
        <v>-0.33654489999999998</v>
      </c>
      <c r="U3141">
        <v>-3.0155789999999998</v>
      </c>
      <c r="V3141">
        <v>0.1743759</v>
      </c>
      <c r="W3141">
        <v>3.7972199999999998E-2</v>
      </c>
      <c r="X3141">
        <v>0.98394669999999895</v>
      </c>
      <c r="Y3141">
        <v>0.4528317</v>
      </c>
      <c r="Z3141">
        <v>5.8695890000000001E-2</v>
      </c>
      <c r="AA3141">
        <v>0.88966179999999995</v>
      </c>
      <c r="AB3141">
        <v>29</v>
      </c>
      <c r="AC3141">
        <v>2.8241000000000098</v>
      </c>
      <c r="AD3141">
        <v>-1.0933900938500001</v>
      </c>
      <c r="AE3141">
        <v>-9.5818999999999903</v>
      </c>
      <c r="AF3141">
        <v>4.5726599393806202</v>
      </c>
      <c r="AG3141">
        <v>-1.0933900938500001</v>
      </c>
      <c r="AH3141">
        <v>8.74816650296715</v>
      </c>
      <c r="AI3141">
        <v>96.3206707974458</v>
      </c>
      <c r="AJ3141">
        <v>62.403965836162598</v>
      </c>
      <c r="AK3141">
        <v>9.9315224402999895</v>
      </c>
    </row>
    <row r="3142" spans="1:37" x14ac:dyDescent="0.2">
      <c r="A3142" t="str">
        <f>"20200111153459131"</f>
        <v>20200111153459131</v>
      </c>
      <c r="B3142" t="str">
        <f>"1578728099129486"</f>
        <v>1578728099129486</v>
      </c>
      <c r="C3142" t="s">
        <v>37</v>
      </c>
      <c r="D3142">
        <v>5.1622240000000001</v>
      </c>
      <c r="E3142">
        <v>0.61548139999999996</v>
      </c>
      <c r="F3142" t="s">
        <v>39</v>
      </c>
      <c r="G3142">
        <v>-195.6163</v>
      </c>
      <c r="H3142" s="1">
        <v>-4.8818669999999902E-6</v>
      </c>
      <c r="I3142">
        <v>198.4049</v>
      </c>
      <c r="J3142">
        <v>-198.4615</v>
      </c>
      <c r="K3142">
        <v>1.093488</v>
      </c>
      <c r="L3142">
        <v>208.27119999999999</v>
      </c>
      <c r="M3142">
        <v>0.68433959999999905</v>
      </c>
      <c r="N3142">
        <v>0</v>
      </c>
      <c r="O3142">
        <v>-0.72898879999999999</v>
      </c>
      <c r="P3142">
        <v>0.55214719999999995</v>
      </c>
      <c r="Q3142">
        <v>2.7720109999999999E-2</v>
      </c>
      <c r="R3142">
        <v>-0.83328599999999997</v>
      </c>
      <c r="S3142">
        <v>0.90977479999999999</v>
      </c>
      <c r="T3142">
        <v>-0.3269823</v>
      </c>
      <c r="U3142">
        <v>-3.017776</v>
      </c>
      <c r="V3142">
        <v>0.16892160000000001</v>
      </c>
      <c r="W3142">
        <v>3.8694560000000003E-2</v>
      </c>
      <c r="X3142">
        <v>0.98486969999999996</v>
      </c>
      <c r="Y3142">
        <v>0.44528869999999998</v>
      </c>
      <c r="Z3142">
        <v>5.8704520000000003E-2</v>
      </c>
      <c r="AA3142">
        <v>0.89346059999999905</v>
      </c>
      <c r="AB3142">
        <v>29</v>
      </c>
      <c r="AC3142">
        <v>2.8452000000000002</v>
      </c>
      <c r="AD3142">
        <v>-1.093492881867</v>
      </c>
      <c r="AE3142">
        <v>-9.8662999999999901</v>
      </c>
      <c r="AF3142">
        <v>4.6259165547901597</v>
      </c>
      <c r="AG3142">
        <v>-1.093492881867</v>
      </c>
      <c r="AH3142">
        <v>9.0381721127248902</v>
      </c>
      <c r="AI3142">
        <v>96.147018055451198</v>
      </c>
      <c r="AJ3142">
        <v>62.895728872017699</v>
      </c>
      <c r="AK3142">
        <v>10.211923706815099</v>
      </c>
    </row>
    <row r="3143" spans="1:37" x14ac:dyDescent="0.2">
      <c r="A3143" t="str">
        <f>"20200111153459154"</f>
        <v>20200111153459154</v>
      </c>
      <c r="B3143" t="str">
        <f>"1578728099149006"</f>
        <v>1578728099149006</v>
      </c>
      <c r="C3143" t="s">
        <v>37</v>
      </c>
      <c r="D3143">
        <v>5.1785410000000001</v>
      </c>
      <c r="E3143">
        <v>0.61463409999999996</v>
      </c>
      <c r="F3143" t="s">
        <v>39</v>
      </c>
      <c r="G3143">
        <v>-195.36160000000001</v>
      </c>
      <c r="H3143" s="1">
        <v>-4.6457920000000003E-6</v>
      </c>
      <c r="I3143">
        <v>197.84389999999999</v>
      </c>
      <c r="J3143">
        <v>-198.26249999999999</v>
      </c>
      <c r="K3143">
        <v>1.0935760000000001</v>
      </c>
      <c r="L3143">
        <v>208.0376</v>
      </c>
      <c r="M3143">
        <v>0.67352380000000001</v>
      </c>
      <c r="N3143">
        <v>0</v>
      </c>
      <c r="O3143">
        <v>-0.73899539999999997</v>
      </c>
      <c r="P3143">
        <v>0.54414759999999995</v>
      </c>
      <c r="Q3143">
        <v>2.7276160000000001E-2</v>
      </c>
      <c r="R3143">
        <v>-0.83854649999999997</v>
      </c>
      <c r="S3143">
        <v>0.89677430000000002</v>
      </c>
      <c r="T3143">
        <v>-0.31634000000000001</v>
      </c>
      <c r="U3143">
        <v>-3.016556</v>
      </c>
      <c r="V3143">
        <v>0.16381609999999999</v>
      </c>
      <c r="W3143">
        <v>3.8354350000000002E-2</v>
      </c>
      <c r="X3143">
        <v>0.98574499999999998</v>
      </c>
      <c r="Y3143">
        <v>0.43551629999999902</v>
      </c>
      <c r="Z3143">
        <v>5.8537649999999997E-2</v>
      </c>
      <c r="AA3143">
        <v>0.89827549999999901</v>
      </c>
      <c r="AB3143">
        <v>29</v>
      </c>
      <c r="AC3143">
        <v>2.9008999999999698</v>
      </c>
      <c r="AD3143">
        <v>-1.0935806457920001</v>
      </c>
      <c r="AE3143">
        <v>-10.1937</v>
      </c>
      <c r="AF3143">
        <v>4.6727914716037899</v>
      </c>
      <c r="AG3143">
        <v>-1.0935806457920001</v>
      </c>
      <c r="AH3143">
        <v>9.3881620164212602</v>
      </c>
      <c r="AI3143">
        <v>95.953390412013306</v>
      </c>
      <c r="AJ3143">
        <v>63.5389867986407</v>
      </c>
      <c r="AK3143">
        <v>10.5436466562816</v>
      </c>
    </row>
    <row r="3144" spans="1:37" x14ac:dyDescent="0.2">
      <c r="A3144" t="str">
        <f>"20200111153459176"</f>
        <v>20200111153459176</v>
      </c>
      <c r="B3144" t="str">
        <f>"1578728099169502"</f>
        <v>1578728099169502</v>
      </c>
      <c r="C3144" t="s">
        <v>37</v>
      </c>
      <c r="D3144">
        <v>5.1599919999999999</v>
      </c>
      <c r="E3144">
        <v>0.61422569999999999</v>
      </c>
      <c r="F3144" t="s">
        <v>39</v>
      </c>
      <c r="G3144">
        <v>-195.1808</v>
      </c>
      <c r="H3144" s="1">
        <v>-4.4568939999999999E-6</v>
      </c>
      <c r="I3144">
        <v>197.38310000000001</v>
      </c>
      <c r="J3144">
        <v>-198.072</v>
      </c>
      <c r="K3144">
        <v>1.0936589999999999</v>
      </c>
      <c r="L3144">
        <v>207.8073</v>
      </c>
      <c r="M3144">
        <v>0.66292740000000006</v>
      </c>
      <c r="N3144">
        <v>0</v>
      </c>
      <c r="O3144">
        <v>-0.74851749999999995</v>
      </c>
      <c r="P3144">
        <v>0.53533039999999998</v>
      </c>
      <c r="Q3144">
        <v>2.580762E-2</v>
      </c>
      <c r="R3144">
        <v>-0.84424859999999902</v>
      </c>
      <c r="S3144">
        <v>0.87371829999999995</v>
      </c>
      <c r="T3144">
        <v>-0.31004920000000002</v>
      </c>
      <c r="U3144">
        <v>-3.020721</v>
      </c>
      <c r="V3144">
        <v>0.16007850000000001</v>
      </c>
      <c r="W3144">
        <v>3.6956780000000002E-2</v>
      </c>
      <c r="X3144">
        <v>0.98641219999999996</v>
      </c>
      <c r="Y3144">
        <v>0.42934659999999902</v>
      </c>
      <c r="Z3144">
        <v>5.8833629999999998E-2</v>
      </c>
      <c r="AA3144">
        <v>0.90122150000000001</v>
      </c>
      <c r="AB3144">
        <v>29</v>
      </c>
      <c r="AC3144">
        <v>2.8911999999999898</v>
      </c>
      <c r="AD3144">
        <v>-1.093663456894</v>
      </c>
      <c r="AE3144">
        <v>-10.4241999999999</v>
      </c>
      <c r="AF3144">
        <v>4.6989364560845699</v>
      </c>
      <c r="AG3144">
        <v>-1.093663456894</v>
      </c>
      <c r="AH3144">
        <v>9.6222119326391393</v>
      </c>
      <c r="AI3144">
        <v>95.831548630410296</v>
      </c>
      <c r="AJ3144">
        <v>63.971770002726799</v>
      </c>
      <c r="AK3144">
        <v>10.7639707381564</v>
      </c>
    </row>
    <row r="3145" spans="1:37" x14ac:dyDescent="0.2">
      <c r="A3145" t="str">
        <f>"20200111153459198"</f>
        <v>20200111153459198</v>
      </c>
      <c r="B3145" t="str">
        <f>"1578728099189026"</f>
        <v>1578728099189026</v>
      </c>
      <c r="C3145" t="s">
        <v>37</v>
      </c>
      <c r="D3145">
        <v>5.148949</v>
      </c>
      <c r="E3145">
        <v>0.60931429999999998</v>
      </c>
      <c r="F3145" t="s">
        <v>39</v>
      </c>
      <c r="G3145">
        <v>-195.1181</v>
      </c>
      <c r="H3145" s="1">
        <v>-4.3914110000000001E-6</v>
      </c>
      <c r="I3145">
        <v>197.22329999999999</v>
      </c>
      <c r="J3145">
        <v>-197.88820000000001</v>
      </c>
      <c r="K3145">
        <v>1.093734</v>
      </c>
      <c r="L3145">
        <v>207.5789</v>
      </c>
      <c r="M3145">
        <v>0.65247149999999998</v>
      </c>
      <c r="N3145">
        <v>0</v>
      </c>
      <c r="O3145">
        <v>-0.75765059999999995</v>
      </c>
      <c r="P3145">
        <v>0.52457640000000005</v>
      </c>
      <c r="Q3145">
        <v>2.310676E-2</v>
      </c>
      <c r="R3145">
        <v>-0.85105030000000004</v>
      </c>
      <c r="S3145">
        <v>0.84489439999999905</v>
      </c>
      <c r="T3145">
        <v>-0.31281909999999902</v>
      </c>
      <c r="U3145">
        <v>-3.0273279999999998</v>
      </c>
      <c r="V3145">
        <v>0.158863</v>
      </c>
      <c r="W3145">
        <v>3.4257199999999897E-2</v>
      </c>
      <c r="X3145">
        <v>0.98670609999999903</v>
      </c>
      <c r="Y3145">
        <v>0.4253014</v>
      </c>
      <c r="Z3145">
        <v>6.06726E-2</v>
      </c>
      <c r="AA3145">
        <v>0.90301580000000004</v>
      </c>
      <c r="AB3145">
        <v>29</v>
      </c>
      <c r="AC3145">
        <v>2.77010000000001</v>
      </c>
      <c r="AD3145">
        <v>-1.0937383914109999</v>
      </c>
      <c r="AE3145">
        <v>-10.355600000000001</v>
      </c>
      <c r="AF3145">
        <v>4.61054317454792</v>
      </c>
      <c r="AG3145">
        <v>-1.0937383914109999</v>
      </c>
      <c r="AH3145">
        <v>9.5550571967445901</v>
      </c>
      <c r="AI3145">
        <v>95.8859936021842</v>
      </c>
      <c r="AJ3145">
        <v>64.241581429030603</v>
      </c>
      <c r="AK3145">
        <v>10.665481239319501</v>
      </c>
    </row>
    <row r="3146" spans="1:37" x14ac:dyDescent="0.2">
      <c r="A3146" t="str">
        <f>"20200111153459221"</f>
        <v>20200111153459221</v>
      </c>
      <c r="B3146" t="str">
        <f>"1578728099209518"</f>
        <v>1578728099209518</v>
      </c>
      <c r="C3146" t="s">
        <v>37</v>
      </c>
      <c r="D3146">
        <v>5.1191459999999998</v>
      </c>
      <c r="E3146">
        <v>0.60952959999999901</v>
      </c>
      <c r="F3146" t="s">
        <v>39</v>
      </c>
      <c r="G3146">
        <v>-194.05279999999999</v>
      </c>
      <c r="H3146" s="1">
        <v>-2.8721719999999999E-6</v>
      </c>
      <c r="I3146">
        <v>193.7706</v>
      </c>
      <c r="J3146">
        <v>-197.70330000000001</v>
      </c>
      <c r="K3146">
        <v>1.0938129999999999</v>
      </c>
      <c r="L3146">
        <v>207.34180000000001</v>
      </c>
      <c r="M3146">
        <v>0.64169500000000002</v>
      </c>
      <c r="N3146">
        <v>0</v>
      </c>
      <c r="O3146">
        <v>-0.7668005</v>
      </c>
      <c r="P3146">
        <v>0.51319159999999997</v>
      </c>
      <c r="Q3146">
        <v>2.0746790000000001E-2</v>
      </c>
      <c r="R3146">
        <v>-0.858023599999999</v>
      </c>
      <c r="S3146">
        <v>0.837539699999999</v>
      </c>
      <c r="T3146">
        <v>-0.23883779999999899</v>
      </c>
      <c r="U3146">
        <v>-3.0153050000000001</v>
      </c>
      <c r="V3146">
        <v>0.1580223</v>
      </c>
      <c r="W3146">
        <v>3.1891959999999997E-2</v>
      </c>
      <c r="X3146">
        <v>0.98692039999999903</v>
      </c>
      <c r="Y3146">
        <v>0.41341409999999901</v>
      </c>
      <c r="Z3146">
        <v>4.7815589999999998E-2</v>
      </c>
      <c r="AA3146">
        <v>0.90928679999999995</v>
      </c>
      <c r="AB3146">
        <v>29</v>
      </c>
      <c r="AC3146">
        <v>3.6505000000000201</v>
      </c>
      <c r="AD3146">
        <v>-1.0938158721719999</v>
      </c>
      <c r="AE3146">
        <v>-13.571199999999999</v>
      </c>
      <c r="AF3146">
        <v>5.8745021386768101</v>
      </c>
      <c r="AG3146">
        <v>-1.0938158721719999</v>
      </c>
      <c r="AH3146">
        <v>12.673695075585099</v>
      </c>
      <c r="AI3146">
        <v>94.477308155879498</v>
      </c>
      <c r="AJ3146">
        <v>65.131367380631104</v>
      </c>
      <c r="AK3146">
        <v>14.011736345237299</v>
      </c>
    </row>
    <row r="3147" spans="1:37" x14ac:dyDescent="0.2">
      <c r="A3147" t="str">
        <f>"20200111153459243"</f>
        <v>20200111153459243</v>
      </c>
      <c r="B3147" t="str">
        <f>"1578728099238799"</f>
        <v>1578728099238799</v>
      </c>
      <c r="C3147" t="s">
        <v>37</v>
      </c>
      <c r="D3147">
        <v>5.0871529999999998</v>
      </c>
      <c r="E3147">
        <v>0.60903430000000003</v>
      </c>
      <c r="F3147" t="s">
        <v>39</v>
      </c>
      <c r="G3147">
        <v>-194.19099999999901</v>
      </c>
      <c r="H3147" s="1">
        <v>-2.9979909999999999E-6</v>
      </c>
      <c r="I3147">
        <v>193.97810000000001</v>
      </c>
      <c r="J3147">
        <v>-197.5247</v>
      </c>
      <c r="K3147">
        <v>1.0938779999999999</v>
      </c>
      <c r="L3147">
        <v>207.10640000000001</v>
      </c>
      <c r="M3147">
        <v>0.63105049999999996</v>
      </c>
      <c r="N3147">
        <v>0</v>
      </c>
      <c r="O3147">
        <v>-0.77558530000000003</v>
      </c>
      <c r="P3147">
        <v>0.50220329999999902</v>
      </c>
      <c r="Q3147">
        <v>1.8421360000000001E-2</v>
      </c>
      <c r="R3147">
        <v>-0.86455360000000003</v>
      </c>
      <c r="S3147">
        <v>0.79545589999999999</v>
      </c>
      <c r="T3147">
        <v>-0.24772810000000001</v>
      </c>
      <c r="U3147">
        <v>-3.026627</v>
      </c>
      <c r="V3147">
        <v>0.15695209999999901</v>
      </c>
      <c r="W3147">
        <v>2.9573720000000001E-2</v>
      </c>
      <c r="X3147">
        <v>0.98716329999999997</v>
      </c>
      <c r="Y3147">
        <v>0.41353959999999901</v>
      </c>
      <c r="Z3147">
        <v>5.0458049999999997E-2</v>
      </c>
      <c r="AA3147">
        <v>0.90908690000000003</v>
      </c>
      <c r="AB3147">
        <v>29</v>
      </c>
      <c r="AC3147">
        <v>3.3337000000000199</v>
      </c>
      <c r="AD3147">
        <v>-1.093880997991</v>
      </c>
      <c r="AE3147">
        <v>-13.1282999999999</v>
      </c>
      <c r="AF3147">
        <v>5.6628100907525996</v>
      </c>
      <c r="AG3147">
        <v>-1.093880997991</v>
      </c>
      <c r="AH3147">
        <v>12.207721231114499</v>
      </c>
      <c r="AI3147">
        <v>94.647128023422894</v>
      </c>
      <c r="AJ3147">
        <v>65.114773314184106</v>
      </c>
      <c r="AK3147">
        <v>13.5015721832051</v>
      </c>
    </row>
    <row r="3148" spans="1:37" x14ac:dyDescent="0.2">
      <c r="A3148" t="str">
        <f>"20200111153459267"</f>
        <v>20200111153459267</v>
      </c>
      <c r="B3148" t="str">
        <f>"1578728099259297"</f>
        <v>1578728099259297</v>
      </c>
      <c r="C3148" t="s">
        <v>37</v>
      </c>
      <c r="D3148">
        <v>5.1307529999999897</v>
      </c>
      <c r="E3148">
        <v>0.60896589999999995</v>
      </c>
      <c r="F3148" t="s">
        <v>39</v>
      </c>
      <c r="G3148">
        <v>-194.2638</v>
      </c>
      <c r="H3148" s="1">
        <v>-3.0620379999999999E-6</v>
      </c>
      <c r="I3148">
        <v>194.0822</v>
      </c>
      <c r="J3148">
        <v>-197.34289999999999</v>
      </c>
      <c r="K3148">
        <v>1.0939369999999999</v>
      </c>
      <c r="L3148">
        <v>206.8596</v>
      </c>
      <c r="M3148">
        <v>0.61994450000000001</v>
      </c>
      <c r="N3148">
        <v>0</v>
      </c>
      <c r="O3148">
        <v>-0.78449209999999903</v>
      </c>
      <c r="P3148">
        <v>0.48993930000000002</v>
      </c>
      <c r="Q3148">
        <v>1.530899E-2</v>
      </c>
      <c r="R3148">
        <v>-0.87162229999999996</v>
      </c>
      <c r="S3148">
        <v>0.75967410000000002</v>
      </c>
      <c r="T3148">
        <v>-0.25483449999999902</v>
      </c>
      <c r="U3148">
        <v>-3.0341490000000002</v>
      </c>
      <c r="V3148">
        <v>0.1567885</v>
      </c>
      <c r="W3148">
        <v>2.6444990000000002E-2</v>
      </c>
      <c r="X3148">
        <v>0.98727809999999905</v>
      </c>
      <c r="Y3148">
        <v>0.4112189</v>
      </c>
      <c r="Z3148">
        <v>5.2909070000000002E-2</v>
      </c>
      <c r="AA3148">
        <v>0.90999979999999903</v>
      </c>
      <c r="AB3148">
        <v>29</v>
      </c>
      <c r="AC3148">
        <v>3.07909999999998</v>
      </c>
      <c r="AD3148">
        <v>-1.093940062038</v>
      </c>
      <c r="AE3148">
        <v>-12.7774</v>
      </c>
      <c r="AF3148">
        <v>5.4685285357668896</v>
      </c>
      <c r="AG3148">
        <v>-1.093940062038</v>
      </c>
      <c r="AH3148">
        <v>11.851971855714901</v>
      </c>
      <c r="AI3148">
        <v>94.7907190529682</v>
      </c>
      <c r="AJ3148">
        <v>65.2312854024008</v>
      </c>
      <c r="AK3148">
        <v>13.098501672881801</v>
      </c>
    </row>
    <row r="3149" spans="1:37" x14ac:dyDescent="0.2">
      <c r="A3149" t="str">
        <f>"20200111153459288"</f>
        <v>20200111153459288</v>
      </c>
      <c r="B3149" t="str">
        <f>"1578728099278814"</f>
        <v>1578728099278814</v>
      </c>
      <c r="C3149" t="s">
        <v>37</v>
      </c>
      <c r="D3149">
        <v>5.1447449999999897</v>
      </c>
      <c r="E3149">
        <v>0.60876809999999903</v>
      </c>
      <c r="F3149" t="s">
        <v>39</v>
      </c>
      <c r="G3149">
        <v>-194.3595</v>
      </c>
      <c r="H3149" s="1">
        <v>-3.1304799999999998E-6</v>
      </c>
      <c r="I3149">
        <v>194.1825</v>
      </c>
      <c r="J3149">
        <v>-197.17099999999999</v>
      </c>
      <c r="K3149">
        <v>1.093993</v>
      </c>
      <c r="L3149">
        <v>206.61949999999999</v>
      </c>
      <c r="M3149">
        <v>0.60919089999999998</v>
      </c>
      <c r="N3149">
        <v>0</v>
      </c>
      <c r="O3149">
        <v>-0.79287280000000004</v>
      </c>
      <c r="P3149">
        <v>0.47763640000000002</v>
      </c>
      <c r="Q3149">
        <v>1.2800499999999999E-2</v>
      </c>
      <c r="R3149">
        <v>-0.87846449999999998</v>
      </c>
      <c r="S3149">
        <v>0.71633910000000001</v>
      </c>
      <c r="T3149">
        <v>-0.26265919999999998</v>
      </c>
      <c r="U3149">
        <v>-3.0438230000000002</v>
      </c>
      <c r="V3149">
        <v>0.157158399999999</v>
      </c>
      <c r="W3149">
        <v>2.3908550000000001E-2</v>
      </c>
      <c r="X3149">
        <v>0.98728389999999999</v>
      </c>
      <c r="Y3149">
        <v>0.41173589999999999</v>
      </c>
      <c r="Z3149">
        <v>5.5417689999999999E-2</v>
      </c>
      <c r="AA3149">
        <v>0.909616599999999</v>
      </c>
      <c r="AB3149">
        <v>29</v>
      </c>
      <c r="AC3149">
        <v>2.8114999999999899</v>
      </c>
      <c r="AD3149">
        <v>-1.0939961304799899</v>
      </c>
      <c r="AE3149">
        <v>-12.4369999999999</v>
      </c>
      <c r="AF3149">
        <v>5.3089044334909197</v>
      </c>
      <c r="AG3149">
        <v>-1.0939961304799899</v>
      </c>
      <c r="AH3149">
        <v>11.490498400907599</v>
      </c>
      <c r="AI3149">
        <v>94.939779095084106</v>
      </c>
      <c r="AJ3149">
        <v>65.201854094827794</v>
      </c>
      <c r="AK3149">
        <v>12.7048355880234</v>
      </c>
    </row>
    <row r="3150" spans="1:37" x14ac:dyDescent="0.2">
      <c r="A3150" t="str">
        <f>"20200111153459311"</f>
        <v>20200111153459311</v>
      </c>
      <c r="B3150" t="str">
        <f>"1578728099299311"</f>
        <v>1578728099299311</v>
      </c>
      <c r="C3150" t="s">
        <v>37</v>
      </c>
      <c r="D3150">
        <v>5.2885759999999999</v>
      </c>
      <c r="E3150">
        <v>0.60851659999999996</v>
      </c>
      <c r="F3150" t="s">
        <v>39</v>
      </c>
      <c r="G3150">
        <v>-194.44540000000001</v>
      </c>
      <c r="H3150" s="1">
        <v>-3.193891E-6</v>
      </c>
      <c r="I3150">
        <v>194.27699999999999</v>
      </c>
      <c r="J3150">
        <v>-197.00810000000001</v>
      </c>
      <c r="K3150">
        <v>1.0940570000000001</v>
      </c>
      <c r="L3150">
        <v>206.38550000000001</v>
      </c>
      <c r="M3150">
        <v>0.59876049999999903</v>
      </c>
      <c r="N3150">
        <v>0</v>
      </c>
      <c r="O3150">
        <v>-0.80077949999999998</v>
      </c>
      <c r="P3150">
        <v>0.46520729999999999</v>
      </c>
      <c r="Q3150">
        <v>1.068846E-2</v>
      </c>
      <c r="R3150">
        <v>-0.88513739999999996</v>
      </c>
      <c r="S3150">
        <v>0.67408749999999995</v>
      </c>
      <c r="T3150">
        <v>-0.27055809999999902</v>
      </c>
      <c r="U3150">
        <v>-3.0524439999999999</v>
      </c>
      <c r="V3150">
        <v>0.1581052</v>
      </c>
      <c r="W3150">
        <v>2.1756190000000002E-2</v>
      </c>
      <c r="X3150">
        <v>0.98718259999999902</v>
      </c>
      <c r="Y3150">
        <v>0.4123771</v>
      </c>
      <c r="Z3150">
        <v>5.7947510000000001E-2</v>
      </c>
      <c r="AA3150">
        <v>0.90916839999999999</v>
      </c>
      <c r="AB3150">
        <v>29</v>
      </c>
      <c r="AC3150">
        <v>2.5627</v>
      </c>
      <c r="AD3150">
        <v>-1.094060193891</v>
      </c>
      <c r="AE3150">
        <v>-12.1084999999999</v>
      </c>
      <c r="AF3150">
        <v>5.1582463595673396</v>
      </c>
      <c r="AG3150">
        <v>-1.094060193891</v>
      </c>
      <c r="AH3150">
        <v>11.1449330320707</v>
      </c>
      <c r="AI3150">
        <v>95.090889193311696</v>
      </c>
      <c r="AJ3150">
        <v>65.163728108760196</v>
      </c>
      <c r="AK3150">
        <v>12.3293959910122</v>
      </c>
    </row>
    <row r="3151" spans="1:37" x14ac:dyDescent="0.2">
      <c r="A3151" t="str">
        <f>"20200111153459333"</f>
        <v>20200111153459333</v>
      </c>
      <c r="B3151" t="str">
        <f>"1578728099329566"</f>
        <v>1578728099329566</v>
      </c>
      <c r="C3151" t="s">
        <v>37</v>
      </c>
      <c r="D3151">
        <v>5.1611000000000002</v>
      </c>
      <c r="E3151">
        <v>0.6359456</v>
      </c>
      <c r="F3151" t="s">
        <v>39</v>
      </c>
      <c r="G3151">
        <v>-194.53039999999999</v>
      </c>
      <c r="H3151" s="1">
        <v>-3.2673379999999998E-6</v>
      </c>
      <c r="I3151">
        <v>194.3955</v>
      </c>
      <c r="J3151">
        <v>-196.83799999999999</v>
      </c>
      <c r="K3151">
        <v>1.0941319999999899</v>
      </c>
      <c r="L3151">
        <v>206.1343</v>
      </c>
      <c r="M3151">
        <v>0.5876188</v>
      </c>
      <c r="N3151">
        <v>0</v>
      </c>
      <c r="O3151">
        <v>-0.80899160000000003</v>
      </c>
      <c r="P3151">
        <v>0.45231539999999998</v>
      </c>
      <c r="Q3151">
        <v>9.7742109999999997E-3</v>
      </c>
      <c r="R3151">
        <v>-0.89180459999999995</v>
      </c>
      <c r="S3151">
        <v>0.63240050000000003</v>
      </c>
      <c r="T3151">
        <v>-0.2792441</v>
      </c>
      <c r="U3151">
        <v>-3.06030299999999</v>
      </c>
      <c r="V3151">
        <v>0.15873970000000001</v>
      </c>
      <c r="W3151">
        <v>2.0814650000000001E-2</v>
      </c>
      <c r="X3151">
        <v>0.98710100000000001</v>
      </c>
      <c r="Y3151">
        <v>0.41213329999999998</v>
      </c>
      <c r="Z3151">
        <v>6.076616E-2</v>
      </c>
      <c r="AA3151">
        <v>0.90909490000000004</v>
      </c>
      <c r="AB3151">
        <v>29</v>
      </c>
      <c r="AC3151">
        <v>2.3075999999999999</v>
      </c>
      <c r="AD3151">
        <v>-1.09413526733799</v>
      </c>
      <c r="AE3151">
        <v>-11.7387999999999</v>
      </c>
      <c r="AF3151">
        <v>4.9899687210954404</v>
      </c>
      <c r="AG3151">
        <v>-1.09413526733799</v>
      </c>
      <c r="AH3151">
        <v>10.7638329265731</v>
      </c>
      <c r="AI3151">
        <v>95.268991709076403</v>
      </c>
      <c r="AJ3151">
        <v>65.128192863805495</v>
      </c>
      <c r="AK3151">
        <v>11.9145717124839</v>
      </c>
    </row>
    <row r="3152" spans="1:37" x14ac:dyDescent="0.2">
      <c r="A3152" t="str">
        <f>"20200111153459355"</f>
        <v>20200111153459355</v>
      </c>
      <c r="B3152" t="str">
        <f>"1578728099349087"</f>
        <v>1578728099349087</v>
      </c>
      <c r="C3152" t="s">
        <v>37</v>
      </c>
      <c r="D3152">
        <v>5.1622899999999996</v>
      </c>
      <c r="E3152">
        <v>0.63630050000000005</v>
      </c>
      <c r="F3152" t="s">
        <v>39</v>
      </c>
      <c r="G3152">
        <v>-195.27099999999999</v>
      </c>
      <c r="H3152" s="1">
        <v>-3.0696810000000001E-6</v>
      </c>
      <c r="I3152">
        <v>193.47540000000001</v>
      </c>
      <c r="J3152">
        <v>-196.6739</v>
      </c>
      <c r="K3152">
        <v>1.09422</v>
      </c>
      <c r="L3152">
        <v>205.88470000000001</v>
      </c>
      <c r="M3152">
        <v>0.57661379999999995</v>
      </c>
      <c r="N3152">
        <v>0</v>
      </c>
      <c r="O3152">
        <v>-0.81687279999999995</v>
      </c>
      <c r="P3152">
        <v>0.44005559999999899</v>
      </c>
      <c r="Q3152">
        <v>1.005234E-2</v>
      </c>
      <c r="R3152">
        <v>-0.89791430000000005</v>
      </c>
      <c r="S3152">
        <v>0.39218140000000001</v>
      </c>
      <c r="T3152">
        <v>-0.27382309999999999</v>
      </c>
      <c r="U3152">
        <v>-3.1680759999999899</v>
      </c>
      <c r="V3152">
        <v>0.15889909999999999</v>
      </c>
      <c r="W3152">
        <v>2.1083999999999999E-2</v>
      </c>
      <c r="X3152">
        <v>0.98706970000000005</v>
      </c>
      <c r="Y3152">
        <v>0.47205049999999998</v>
      </c>
      <c r="Z3152">
        <v>5.7483439999999997E-2</v>
      </c>
      <c r="AA3152">
        <v>0.87969540000000002</v>
      </c>
      <c r="AB3152">
        <v>29</v>
      </c>
      <c r="AC3152">
        <v>1.40290000000001</v>
      </c>
      <c r="AD3152">
        <v>-1.094223069681</v>
      </c>
      <c r="AE3152">
        <v>-12.4093</v>
      </c>
      <c r="AF3152">
        <v>5.96430105909816</v>
      </c>
      <c r="AG3152">
        <v>-1.094223069681</v>
      </c>
      <c r="AH3152">
        <v>10.8636373350796</v>
      </c>
      <c r="AI3152">
        <v>95.045685556520098</v>
      </c>
      <c r="AJ3152">
        <v>61.2325486303532</v>
      </c>
      <c r="AK3152">
        <v>12.4414158116316</v>
      </c>
    </row>
    <row r="3153" spans="1:37" x14ac:dyDescent="0.2">
      <c r="A3153" t="str">
        <f>"20200111153459378"</f>
        <v>20200111153459378</v>
      </c>
      <c r="B3153" t="str">
        <f>"1578728099369582"</f>
        <v>1578728099369582</v>
      </c>
      <c r="C3153" t="s">
        <v>37</v>
      </c>
      <c r="D3153">
        <v>5.1634679999999999</v>
      </c>
      <c r="E3153">
        <v>0.63975009999999999</v>
      </c>
      <c r="F3153" t="s">
        <v>39</v>
      </c>
      <c r="G3153">
        <v>-195.10820000000001</v>
      </c>
      <c r="H3153" s="1">
        <v>-2.1750389999999999E-6</v>
      </c>
      <c r="I3153">
        <v>191.49090000000001</v>
      </c>
      <c r="J3153">
        <v>-196.5162</v>
      </c>
      <c r="K3153">
        <v>1.0943229999999999</v>
      </c>
      <c r="L3153">
        <v>205.63800000000001</v>
      </c>
      <c r="M3153">
        <v>0.56580819999999998</v>
      </c>
      <c r="N3153">
        <v>0</v>
      </c>
      <c r="O3153">
        <v>-0.82439509999999905</v>
      </c>
      <c r="P3153">
        <v>0.42851070000000002</v>
      </c>
      <c r="Q3153">
        <v>1.080972E-2</v>
      </c>
      <c r="R3153">
        <v>-0.90347230000000001</v>
      </c>
      <c r="S3153">
        <v>0.34530640000000001</v>
      </c>
      <c r="T3153">
        <v>-0.24132960000000001</v>
      </c>
      <c r="U3153">
        <v>-3.1745299999999999</v>
      </c>
      <c r="V3153">
        <v>0.1585618</v>
      </c>
      <c r="W3153">
        <v>2.1850580000000001E-2</v>
      </c>
      <c r="X3153">
        <v>0.98710730000000002</v>
      </c>
      <c r="Y3153">
        <v>0.47346339999999998</v>
      </c>
      <c r="Z3153">
        <v>5.141652E-2</v>
      </c>
      <c r="AA3153">
        <v>0.87931159999999997</v>
      </c>
      <c r="AB3153">
        <v>29</v>
      </c>
      <c r="AC3153">
        <v>1.4079999999999799</v>
      </c>
      <c r="AD3153">
        <v>-1.094325175039</v>
      </c>
      <c r="AE3153">
        <v>-14.147099999999901</v>
      </c>
      <c r="AF3153">
        <v>6.8042827205508098</v>
      </c>
      <c r="AG3153">
        <v>-1.094325175039</v>
      </c>
      <c r="AH3153">
        <v>12.387520447540901</v>
      </c>
      <c r="AI3153">
        <v>94.427526193792104</v>
      </c>
      <c r="AJ3153">
        <v>61.220655327145302</v>
      </c>
      <c r="AK3153">
        <v>14.1755590284177</v>
      </c>
    </row>
    <row r="3154" spans="1:37" x14ac:dyDescent="0.2">
      <c r="A3154" t="str">
        <f>"20200111153459400"</f>
        <v>20200111153459400</v>
      </c>
      <c r="B3154" t="str">
        <f>"1578728099389102"</f>
        <v>1578728099389102</v>
      </c>
      <c r="C3154" t="s">
        <v>37</v>
      </c>
      <c r="D3154">
        <v>5.1208410000000004</v>
      </c>
      <c r="E3154">
        <v>0.63768069999999999</v>
      </c>
      <c r="F3154" t="s">
        <v>39</v>
      </c>
      <c r="G3154">
        <v>-194.6627</v>
      </c>
      <c r="H3154" s="1">
        <v>-3.3237849999999899E-6</v>
      </c>
      <c r="I3154">
        <v>184.44499999999999</v>
      </c>
      <c r="J3154">
        <v>-196.36539999999999</v>
      </c>
      <c r="K3154">
        <v>1.0944149999999999</v>
      </c>
      <c r="L3154">
        <v>205.39519999999999</v>
      </c>
      <c r="M3154">
        <v>0.55525690000000005</v>
      </c>
      <c r="N3154">
        <v>0</v>
      </c>
      <c r="O3154">
        <v>-0.83153909999999998</v>
      </c>
      <c r="P3154">
        <v>0.4187999</v>
      </c>
      <c r="Q3154">
        <v>1.1251290000000001E-2</v>
      </c>
      <c r="R3154">
        <v>-0.90800919999999896</v>
      </c>
      <c r="S3154">
        <v>0.27900700000000001</v>
      </c>
      <c r="T3154">
        <v>-0.16472719999999999</v>
      </c>
      <c r="U3154">
        <v>-3.1901549999999999</v>
      </c>
      <c r="V3154">
        <v>0.15656629999999999</v>
      </c>
      <c r="W3154">
        <v>2.2351139999999999E-2</v>
      </c>
      <c r="X3154">
        <v>0.98741449999999997</v>
      </c>
      <c r="Y3154">
        <v>0.48076750000000001</v>
      </c>
      <c r="Z3154">
        <v>3.5420449999999999E-2</v>
      </c>
      <c r="AA3154">
        <v>0.87613240000000003</v>
      </c>
      <c r="AB3154">
        <v>29</v>
      </c>
      <c r="AC3154">
        <v>1.7026999999999901</v>
      </c>
      <c r="AD3154">
        <v>-1.09441832378499</v>
      </c>
      <c r="AE3154">
        <v>-20.950199999999899</v>
      </c>
      <c r="AF3154">
        <v>10.19044300941</v>
      </c>
      <c r="AG3154">
        <v>-1.09441832378499</v>
      </c>
      <c r="AH3154">
        <v>18.3188193375676</v>
      </c>
      <c r="AI3154">
        <v>92.988614116917006</v>
      </c>
      <c r="AJ3154">
        <v>60.913567699368301</v>
      </c>
      <c r="AK3154">
        <v>20.9909985974443</v>
      </c>
    </row>
    <row r="3155" spans="1:37" x14ac:dyDescent="0.2">
      <c r="A3155" t="str">
        <f>"20200111153459422"</f>
        <v>20200111153459422</v>
      </c>
      <c r="B3155" t="str">
        <f>"1578728099419358"</f>
        <v>1578728099419358</v>
      </c>
      <c r="C3155" t="s">
        <v>37</v>
      </c>
      <c r="D3155">
        <v>5.230613</v>
      </c>
      <c r="E3155">
        <v>0.63566769999999995</v>
      </c>
      <c r="F3155" t="s">
        <v>39</v>
      </c>
      <c r="G3155">
        <v>-194.63399999999999</v>
      </c>
      <c r="H3155" s="1">
        <v>-3.18968599999999E-6</v>
      </c>
      <c r="I3155">
        <v>184.15020000000001</v>
      </c>
      <c r="J3155">
        <v>-196.21289999999999</v>
      </c>
      <c r="K3155">
        <v>1.094522</v>
      </c>
      <c r="L3155">
        <v>205.1421</v>
      </c>
      <c r="M3155">
        <v>0.54436739999999995</v>
      </c>
      <c r="N3155">
        <v>0</v>
      </c>
      <c r="O3155">
        <v>-0.83870909999999999</v>
      </c>
      <c r="P3155">
        <v>0.40903679999999998</v>
      </c>
      <c r="Q3155">
        <v>1.040577E-2</v>
      </c>
      <c r="R3155">
        <v>-0.91245919999999903</v>
      </c>
      <c r="S3155">
        <v>0.25967410000000002</v>
      </c>
      <c r="T3155">
        <v>-0.164134</v>
      </c>
      <c r="U3155">
        <v>-3.186188</v>
      </c>
      <c r="V3155">
        <v>0.1542578</v>
      </c>
      <c r="W3155">
        <v>2.1575509999999999E-2</v>
      </c>
      <c r="X3155">
        <v>0.98779509999999904</v>
      </c>
      <c r="Y3155">
        <v>0.47450929999999902</v>
      </c>
      <c r="Z3155">
        <v>3.5971040000000003E-2</v>
      </c>
      <c r="AA3155">
        <v>0.87951520000000005</v>
      </c>
      <c r="AB3155">
        <v>29</v>
      </c>
      <c r="AC3155">
        <v>1.57889999999997</v>
      </c>
      <c r="AD3155">
        <v>-1.094525189686</v>
      </c>
      <c r="AE3155">
        <v>-20.991899999999902</v>
      </c>
      <c r="AF3155">
        <v>10.076994861319299</v>
      </c>
      <c r="AG3155">
        <v>-1.094525189686</v>
      </c>
      <c r="AH3155">
        <v>18.417944383897801</v>
      </c>
      <c r="AI3155">
        <v>92.984359249916196</v>
      </c>
      <c r="AJ3155">
        <v>61.315643935119198</v>
      </c>
      <c r="AK3155">
        <v>21.022951413972901</v>
      </c>
    </row>
    <row r="3156" spans="1:37" x14ac:dyDescent="0.2">
      <c r="A3156" t="str">
        <f>"20200111153459445"</f>
        <v>20200111153459445</v>
      </c>
      <c r="B3156" t="str">
        <f>"1578728099438878"</f>
        <v>1578728099438878</v>
      </c>
      <c r="C3156" t="s">
        <v>37</v>
      </c>
      <c r="D3156">
        <v>5.1372429999999998</v>
      </c>
      <c r="E3156">
        <v>0.63406030000000002</v>
      </c>
      <c r="F3156" t="s">
        <v>39</v>
      </c>
      <c r="G3156">
        <v>-194.66909999999999</v>
      </c>
      <c r="H3156" s="1">
        <v>-3.4298469999999898E-6</v>
      </c>
      <c r="I3156">
        <v>184.68819999999999</v>
      </c>
      <c r="J3156">
        <v>-196.06129999999999</v>
      </c>
      <c r="K3156">
        <v>1.0946290000000001</v>
      </c>
      <c r="L3156">
        <v>204.88319999999999</v>
      </c>
      <c r="M3156">
        <v>0.53331399999999995</v>
      </c>
      <c r="N3156">
        <v>0</v>
      </c>
      <c r="O3156">
        <v>-0.84578129999999996</v>
      </c>
      <c r="P3156">
        <v>0.39929379999999998</v>
      </c>
      <c r="Q3156">
        <v>9.7885699999999999E-3</v>
      </c>
      <c r="R3156">
        <v>-0.91677109999999995</v>
      </c>
      <c r="S3156">
        <v>0.24017329999999901</v>
      </c>
      <c r="T3156">
        <v>-0.17027909999999999</v>
      </c>
      <c r="U3156">
        <v>-3.182083</v>
      </c>
      <c r="V3156">
        <v>0.15179719999999999</v>
      </c>
      <c r="W3156">
        <v>2.1031089999999999E-2</v>
      </c>
      <c r="X3156">
        <v>0.98818790000000001</v>
      </c>
      <c r="Y3156">
        <v>0.46821489999999999</v>
      </c>
      <c r="Z3156">
        <v>3.801305E-2</v>
      </c>
      <c r="AA3156">
        <v>0.88279660000000004</v>
      </c>
      <c r="AB3156">
        <v>29</v>
      </c>
      <c r="AC3156">
        <v>1.3922000000000001</v>
      </c>
      <c r="AD3156">
        <v>-1.094632429847</v>
      </c>
      <c r="AE3156">
        <v>-20.195</v>
      </c>
      <c r="AF3156">
        <v>9.56591214917656</v>
      </c>
      <c r="AG3156">
        <v>-1.094632429847</v>
      </c>
      <c r="AH3156">
        <v>17.773114542455399</v>
      </c>
      <c r="AI3156">
        <v>93.104276317912095</v>
      </c>
      <c r="AJ3156">
        <v>61.709807743052799</v>
      </c>
      <c r="AK3156">
        <v>20.213572072780099</v>
      </c>
    </row>
    <row r="3157" spans="1:37" x14ac:dyDescent="0.2">
      <c r="A3157" t="str">
        <f>"20200111153459467"</f>
        <v>20200111153459467</v>
      </c>
      <c r="B3157" t="str">
        <f>"1578728099459374"</f>
        <v>1578728099459374</v>
      </c>
      <c r="C3157" t="s">
        <v>37</v>
      </c>
      <c r="D3157">
        <v>5.1896399999999998</v>
      </c>
      <c r="E3157">
        <v>0.63238530000000004</v>
      </c>
      <c r="F3157" t="s">
        <v>39</v>
      </c>
      <c r="G3157">
        <v>-194.7175</v>
      </c>
      <c r="H3157" s="1">
        <v>-3.6734409999999999E-6</v>
      </c>
      <c r="I3157">
        <v>185.32239999999999</v>
      </c>
      <c r="J3157">
        <v>-195.91759999999999</v>
      </c>
      <c r="K3157">
        <v>1.094741</v>
      </c>
      <c r="L3157">
        <v>204.63079999999999</v>
      </c>
      <c r="M3157">
        <v>0.52264029999999995</v>
      </c>
      <c r="N3157">
        <v>0</v>
      </c>
      <c r="O3157">
        <v>-0.85241900000000004</v>
      </c>
      <c r="P3157">
        <v>0.39099780000000001</v>
      </c>
      <c r="Q3157">
        <v>8.1283880000000003E-3</v>
      </c>
      <c r="R3157">
        <v>-0.920355699999999</v>
      </c>
      <c r="S3157">
        <v>0.21839899999999901</v>
      </c>
      <c r="T3157">
        <v>-0.17790590000000001</v>
      </c>
      <c r="U3157">
        <v>-3.179138</v>
      </c>
      <c r="V3157">
        <v>0.14825949999999999</v>
      </c>
      <c r="W3157">
        <v>1.94731E-2</v>
      </c>
      <c r="X3157">
        <v>0.98875679999999999</v>
      </c>
      <c r="Y3157">
        <v>0.46305760000000001</v>
      </c>
      <c r="Z3157">
        <v>4.0374739999999999E-2</v>
      </c>
      <c r="AA3157">
        <v>0.88540810000000003</v>
      </c>
      <c r="AB3157">
        <v>29</v>
      </c>
      <c r="AC3157">
        <v>1.20009999999999</v>
      </c>
      <c r="AD3157">
        <v>-1.094744673441</v>
      </c>
      <c r="AE3157">
        <v>-19.308399999999999</v>
      </c>
      <c r="AF3157">
        <v>9.0404482752986901</v>
      </c>
      <c r="AG3157">
        <v>-1.094744673441</v>
      </c>
      <c r="AH3157">
        <v>17.0334781603738</v>
      </c>
      <c r="AI3157">
        <v>93.249185723901505</v>
      </c>
      <c r="AJ3157">
        <v>62.043056927267699</v>
      </c>
      <c r="AK3157">
        <v>19.31495661808</v>
      </c>
    </row>
    <row r="3158" spans="1:37" x14ac:dyDescent="0.2">
      <c r="A3158" t="str">
        <f>"20200111153459489"</f>
        <v>20200111153459489</v>
      </c>
      <c r="B3158" t="str">
        <f>"1578728099478894"</f>
        <v>1578728099478894</v>
      </c>
      <c r="C3158" t="s">
        <v>37</v>
      </c>
      <c r="D3158">
        <v>5.2227809999999897</v>
      </c>
      <c r="E3158">
        <v>0.63045329999999999</v>
      </c>
      <c r="F3158" t="s">
        <v>39</v>
      </c>
      <c r="G3158">
        <v>-194.72290000000001</v>
      </c>
      <c r="H3158" s="1">
        <v>-3.8419719999999999E-6</v>
      </c>
      <c r="I3158">
        <v>185.81479999999999</v>
      </c>
      <c r="J3158">
        <v>-195.77610000000001</v>
      </c>
      <c r="K3158">
        <v>1.0948690000000001</v>
      </c>
      <c r="L3158">
        <v>204.3751</v>
      </c>
      <c r="M3158">
        <v>0.51194609999999996</v>
      </c>
      <c r="N3158">
        <v>0</v>
      </c>
      <c r="O3158">
        <v>-0.85888489999999995</v>
      </c>
      <c r="P3158">
        <v>0.38392399999999999</v>
      </c>
      <c r="Q3158">
        <v>6.7699500000000003E-3</v>
      </c>
      <c r="R3158">
        <v>-0.92333999999999905</v>
      </c>
      <c r="S3158">
        <v>0.20162959999999999</v>
      </c>
      <c r="T3158">
        <v>-0.18476119999999999</v>
      </c>
      <c r="U3158">
        <v>-3.1755979999999999</v>
      </c>
      <c r="V3158">
        <v>0.1434531</v>
      </c>
      <c r="W3158">
        <v>1.8250229999999999E-2</v>
      </c>
      <c r="X3158">
        <v>0.98948879999999995</v>
      </c>
      <c r="Y3158">
        <v>0.45656039999999998</v>
      </c>
      <c r="Z3158">
        <v>4.2628600000000003E-2</v>
      </c>
      <c r="AA3158">
        <v>0.88867059999999998</v>
      </c>
      <c r="AB3158">
        <v>29</v>
      </c>
      <c r="AC3158">
        <v>1.0531999999999999</v>
      </c>
      <c r="AD3158">
        <v>-1.094872841972</v>
      </c>
      <c r="AE3158">
        <v>-18.560300000000002</v>
      </c>
      <c r="AF3158">
        <v>8.5685541695092091</v>
      </c>
      <c r="AG3158">
        <v>-1.094872841972</v>
      </c>
      <c r="AH3158">
        <v>16.425247924142699</v>
      </c>
      <c r="AI3158">
        <v>93.3822225925054</v>
      </c>
      <c r="AJ3158">
        <v>62.450315371805701</v>
      </c>
      <c r="AK3158">
        <v>18.5582228800458</v>
      </c>
    </row>
    <row r="3159" spans="1:37" x14ac:dyDescent="0.2">
      <c r="A3159" t="str">
        <f>"20200111153459512"</f>
        <v>20200111153459512</v>
      </c>
      <c r="B3159" t="str">
        <f>"1578728099499390"</f>
        <v>1578728099499390</v>
      </c>
      <c r="C3159" t="s">
        <v>37</v>
      </c>
      <c r="D3159">
        <v>5.1913070000000001</v>
      </c>
      <c r="E3159">
        <v>0.62855019999999995</v>
      </c>
      <c r="F3159" t="s">
        <v>39</v>
      </c>
      <c r="G3159">
        <v>-194.68109999999999</v>
      </c>
      <c r="H3159" s="1">
        <v>-3.9632359999999997E-6</v>
      </c>
      <c r="I3159">
        <v>186.19290000000001</v>
      </c>
      <c r="J3159">
        <v>-195.63900000000001</v>
      </c>
      <c r="K3159">
        <v>1.095019</v>
      </c>
      <c r="L3159">
        <v>204.12020000000001</v>
      </c>
      <c r="M3159">
        <v>0.50141610000000003</v>
      </c>
      <c r="N3159">
        <v>0</v>
      </c>
      <c r="O3159">
        <v>-0.86507520000000004</v>
      </c>
      <c r="P3159">
        <v>0.37600359999999899</v>
      </c>
      <c r="Q3159">
        <v>7.955363E-3</v>
      </c>
      <c r="R3159">
        <v>-0.92658390000000002</v>
      </c>
      <c r="S3159">
        <v>0.19097900000000001</v>
      </c>
      <c r="T3159">
        <v>-0.1909516</v>
      </c>
      <c r="U3159">
        <v>-3.1710660000000002</v>
      </c>
      <c r="V3159">
        <v>0.1398537</v>
      </c>
      <c r="W3159">
        <v>1.953889E-2</v>
      </c>
      <c r="X3159">
        <v>0.98997939999999995</v>
      </c>
      <c r="Y3159">
        <v>0.44857209999999997</v>
      </c>
      <c r="Z3159">
        <v>4.4790190000000001E-2</v>
      </c>
      <c r="AA3159">
        <v>0.89262359999999896</v>
      </c>
      <c r="AB3159">
        <v>29</v>
      </c>
      <c r="AC3159">
        <v>0.95790000000002296</v>
      </c>
      <c r="AD3159">
        <v>-1.095022963236</v>
      </c>
      <c r="AE3159">
        <v>-17.927299999999999</v>
      </c>
      <c r="AF3159">
        <v>8.1310568217425008</v>
      </c>
      <c r="AG3159">
        <v>-1.095022963236</v>
      </c>
      <c r="AH3159">
        <v>15.9313131530836</v>
      </c>
      <c r="AI3159">
        <v>93.503344935155894</v>
      </c>
      <c r="AJ3159">
        <v>62.961047989985701</v>
      </c>
      <c r="AK3159">
        <v>17.919818612643201</v>
      </c>
    </row>
    <row r="3160" spans="1:37" x14ac:dyDescent="0.2">
      <c r="A3160" t="str">
        <f>"20200111153459535"</f>
        <v>20200111153459535</v>
      </c>
      <c r="B3160" t="str">
        <f>"1578728099529648"</f>
        <v>1578728099529648</v>
      </c>
      <c r="C3160" t="s">
        <v>37</v>
      </c>
      <c r="D3160">
        <v>5.1789849999999999</v>
      </c>
      <c r="E3160">
        <v>0.62616309999999997</v>
      </c>
      <c r="F3160" t="s">
        <v>39</v>
      </c>
      <c r="G3160">
        <v>-194.62010000000001</v>
      </c>
      <c r="H3160" s="1">
        <v>-3.8729050000000001E-6</v>
      </c>
      <c r="I3160">
        <v>185.95930000000001</v>
      </c>
      <c r="J3160">
        <v>-195.49780000000001</v>
      </c>
      <c r="K3160">
        <v>1.0951839999999999</v>
      </c>
      <c r="L3160">
        <v>203.8503</v>
      </c>
      <c r="M3160">
        <v>0.49042069999999999</v>
      </c>
      <c r="N3160">
        <v>0</v>
      </c>
      <c r="O3160">
        <v>-0.87135669999999898</v>
      </c>
      <c r="P3160">
        <v>0.368925</v>
      </c>
      <c r="Q3160">
        <v>9.0205779999999996E-3</v>
      </c>
      <c r="R3160">
        <v>-0.92941589999999996</v>
      </c>
      <c r="S3160">
        <v>0.1776886</v>
      </c>
      <c r="T3160">
        <v>-0.19096969999999999</v>
      </c>
      <c r="U3160">
        <v>-3.1672210000000001</v>
      </c>
      <c r="V3160">
        <v>0.13487750000000001</v>
      </c>
      <c r="W3160">
        <v>2.0743620000000001E-2</v>
      </c>
      <c r="X3160">
        <v>0.99064509999999995</v>
      </c>
      <c r="Y3160">
        <v>0.4409093</v>
      </c>
      <c r="Z3160">
        <v>4.5526039999999997E-2</v>
      </c>
      <c r="AA3160">
        <v>0.89639629999999904</v>
      </c>
      <c r="AB3160">
        <v>29</v>
      </c>
      <c r="AC3160">
        <v>0.87770000000000403</v>
      </c>
      <c r="AD3160">
        <v>-1.095187872905</v>
      </c>
      <c r="AE3160">
        <v>-17.890999999999899</v>
      </c>
      <c r="AF3160">
        <v>7.98039590252327</v>
      </c>
      <c r="AG3160">
        <v>-1.095187872905</v>
      </c>
      <c r="AH3160">
        <v>15.9620183902178</v>
      </c>
      <c r="AI3160">
        <v>93.511808228896101</v>
      </c>
      <c r="AJ3160">
        <v>63.436709984496801</v>
      </c>
      <c r="AK3160">
        <v>17.8793788015026</v>
      </c>
    </row>
    <row r="3161" spans="1:37" x14ac:dyDescent="0.2">
      <c r="A3161" t="str">
        <f>"20200111153459556"</f>
        <v>20200111153459556</v>
      </c>
      <c r="B3161" t="str">
        <f>"1578728099549166"</f>
        <v>1578728099549166</v>
      </c>
      <c r="C3161" t="s">
        <v>37</v>
      </c>
      <c r="D3161">
        <v>5.1716559999999996</v>
      </c>
      <c r="E3161">
        <v>0.62474289999999999</v>
      </c>
      <c r="F3161" t="s">
        <v>39</v>
      </c>
      <c r="G3161">
        <v>-194.52459999999999</v>
      </c>
      <c r="H3161" s="1">
        <v>-3.8193419999999999E-6</v>
      </c>
      <c r="I3161">
        <v>185.85169999999999</v>
      </c>
      <c r="J3161">
        <v>-195.36779999999999</v>
      </c>
      <c r="K3161">
        <v>1.0953599999999999</v>
      </c>
      <c r="L3161">
        <v>203.59440000000001</v>
      </c>
      <c r="M3161">
        <v>0.48015239999999998</v>
      </c>
      <c r="N3161">
        <v>0</v>
      </c>
      <c r="O3161">
        <v>-0.87705730000000004</v>
      </c>
      <c r="P3161">
        <v>0.3633014</v>
      </c>
      <c r="Q3161">
        <v>1.0801959999999999E-2</v>
      </c>
      <c r="R3161">
        <v>-0.93160929999999997</v>
      </c>
      <c r="S3161">
        <v>0.17097470000000001</v>
      </c>
      <c r="T3161">
        <v>-0.19239310000000001</v>
      </c>
      <c r="U3161">
        <v>-3.161835</v>
      </c>
      <c r="V3161">
        <v>0.129249</v>
      </c>
      <c r="W3161">
        <v>2.267769E-2</v>
      </c>
      <c r="X3161">
        <v>0.99135280000000003</v>
      </c>
      <c r="Y3161">
        <v>0.43216300000000002</v>
      </c>
      <c r="Z3161">
        <v>4.6586410000000002E-2</v>
      </c>
      <c r="AA3161">
        <v>0.90059140000000004</v>
      </c>
      <c r="AB3161">
        <v>29</v>
      </c>
      <c r="AC3161">
        <v>0.84319999999999595</v>
      </c>
      <c r="AD3161">
        <v>-1.0953638193419999</v>
      </c>
      <c r="AE3161">
        <v>-17.742699999999999</v>
      </c>
      <c r="AF3161">
        <v>7.7510620440296396</v>
      </c>
      <c r="AG3161">
        <v>-1.0953638193419999</v>
      </c>
      <c r="AH3161">
        <v>15.907526574410999</v>
      </c>
      <c r="AI3161">
        <v>93.542142584233204</v>
      </c>
      <c r="AJ3161">
        <v>64.021992523162695</v>
      </c>
      <c r="AK3161">
        <v>17.729303043907699</v>
      </c>
    </row>
    <row r="3162" spans="1:37" x14ac:dyDescent="0.2">
      <c r="A3162" t="str">
        <f>"20200111153459572"</f>
        <v>20200111153459572</v>
      </c>
      <c r="B3162" t="str">
        <f>"1578728099569662"</f>
        <v>1578728099569662</v>
      </c>
      <c r="C3162" t="s">
        <v>37</v>
      </c>
      <c r="D3162">
        <v>5.1354879999999996</v>
      </c>
      <c r="E3162">
        <v>0.62369229999999998</v>
      </c>
      <c r="F3162" t="s">
        <v>39</v>
      </c>
      <c r="G3162">
        <v>-194.42580000000001</v>
      </c>
      <c r="H3162" s="1">
        <v>-3.5892699999999899E-6</v>
      </c>
      <c r="I3162">
        <v>185.22710000000001</v>
      </c>
      <c r="J3162">
        <v>-195.2756</v>
      </c>
      <c r="K3162">
        <v>1.0954870000000001</v>
      </c>
      <c r="L3162">
        <v>203.40799999999999</v>
      </c>
      <c r="M3162">
        <v>0.47278379999999998</v>
      </c>
      <c r="N3162">
        <v>0</v>
      </c>
      <c r="O3162">
        <v>-0.88105199999999995</v>
      </c>
      <c r="P3162">
        <v>0.35861939999999998</v>
      </c>
      <c r="Q3162">
        <v>1.1831049999999999E-2</v>
      </c>
      <c r="R3162">
        <v>-0.9334093</v>
      </c>
      <c r="S3162">
        <v>0.16203310000000001</v>
      </c>
      <c r="T3162">
        <v>-0.1884035</v>
      </c>
      <c r="U3162">
        <v>-3.159195</v>
      </c>
      <c r="V3162">
        <v>0.1259258</v>
      </c>
      <c r="W3162">
        <v>2.3795090000000001E-2</v>
      </c>
      <c r="X3162">
        <v>0.99175419999999903</v>
      </c>
      <c r="Y3162">
        <v>0.42710009999999998</v>
      </c>
      <c r="Z3162">
        <v>4.6087889999999999E-2</v>
      </c>
      <c r="AA3162">
        <v>0.90302899999999997</v>
      </c>
      <c r="AB3162">
        <v>29</v>
      </c>
      <c r="AC3162">
        <v>0.84979999999998701</v>
      </c>
      <c r="AD3162">
        <v>-1.09549058927</v>
      </c>
      <c r="AE3162">
        <v>-18.180899999999902</v>
      </c>
      <c r="AF3162">
        <v>7.8194635087903697</v>
      </c>
      <c r="AG3162">
        <v>-1.09549058927</v>
      </c>
      <c r="AH3162">
        <v>16.3626420940762</v>
      </c>
      <c r="AI3162">
        <v>93.456886237468098</v>
      </c>
      <c r="AJ3162">
        <v>64.457557638477496</v>
      </c>
      <c r="AK3162">
        <v>18.1681084732373</v>
      </c>
    </row>
    <row r="3163" spans="1:37" x14ac:dyDescent="0.2">
      <c r="A3163" t="str">
        <f>"20200111153459590"</f>
        <v>20200111153459590</v>
      </c>
      <c r="B3163" t="str">
        <f>"1578728099579422"</f>
        <v>1578728099579422</v>
      </c>
      <c r="C3163" t="s">
        <v>37</v>
      </c>
      <c r="D3163">
        <v>5.1423839999999998</v>
      </c>
      <c r="E3163">
        <v>0.623144699999999</v>
      </c>
      <c r="F3163" t="s">
        <v>39</v>
      </c>
      <c r="G3163">
        <v>-194.36670000000001</v>
      </c>
      <c r="H3163" s="1">
        <v>-3.39078399999999E-6</v>
      </c>
      <c r="I3163">
        <v>184.78479999999999</v>
      </c>
      <c r="J3163">
        <v>-195.17939999999999</v>
      </c>
      <c r="K3163">
        <v>1.0956239999999999</v>
      </c>
      <c r="L3163">
        <v>203.20959999999999</v>
      </c>
      <c r="M3163">
        <v>0.46501559999999997</v>
      </c>
      <c r="N3163">
        <v>0</v>
      </c>
      <c r="O3163">
        <v>-0.88517699999999999</v>
      </c>
      <c r="P3163">
        <v>0.35604000000000002</v>
      </c>
      <c r="Q3163">
        <v>1.474193E-2</v>
      </c>
      <c r="R3163">
        <v>-0.93435469999999898</v>
      </c>
      <c r="S3163">
        <v>0.1540985</v>
      </c>
      <c r="T3163">
        <v>-0.18571570000000001</v>
      </c>
      <c r="U3163">
        <v>-3.1571500000000001</v>
      </c>
      <c r="V3163">
        <v>0.11997670000000001</v>
      </c>
      <c r="W3163">
        <v>2.6857309999999999E-2</v>
      </c>
      <c r="X3163">
        <v>0.99241329999999905</v>
      </c>
      <c r="Y3163">
        <v>0.42137399999999903</v>
      </c>
      <c r="Z3163">
        <v>4.5901940000000002E-2</v>
      </c>
      <c r="AA3163">
        <v>0.90572459999999899</v>
      </c>
      <c r="AB3163">
        <v>29</v>
      </c>
      <c r="AC3163">
        <v>0.812699999999978</v>
      </c>
      <c r="AD3163">
        <v>-1.095627390784</v>
      </c>
      <c r="AE3163">
        <v>-18.424800000000001</v>
      </c>
      <c r="AF3163">
        <v>7.8217037265512399</v>
      </c>
      <c r="AG3163">
        <v>-1.095627390784</v>
      </c>
      <c r="AH3163">
        <v>16.6302897805461</v>
      </c>
      <c r="AI3163">
        <v>93.411748003543593</v>
      </c>
      <c r="AJ3163">
        <v>64.811048567122597</v>
      </c>
      <c r="AK3163">
        <v>18.410485782572799</v>
      </c>
    </row>
    <row r="3164" spans="1:37" x14ac:dyDescent="0.2">
      <c r="A3164" t="str">
        <f>"20200111153459612"</f>
        <v>20200111153459612</v>
      </c>
      <c r="B3164" t="str">
        <f>"1578728099609678"</f>
        <v>1578728099609678</v>
      </c>
      <c r="C3164" t="s">
        <v>37</v>
      </c>
      <c r="D3164">
        <v>4.8504230000000002</v>
      </c>
      <c r="E3164">
        <v>0.62102429999999997</v>
      </c>
      <c r="F3164" t="s">
        <v>39</v>
      </c>
      <c r="G3164">
        <v>-194.25409999999999</v>
      </c>
      <c r="H3164" s="1">
        <v>-2.8903839999999999E-6</v>
      </c>
      <c r="I3164">
        <v>183.68819999999999</v>
      </c>
      <c r="J3164">
        <v>-195.05529999999999</v>
      </c>
      <c r="K3164">
        <v>1.0957920000000001</v>
      </c>
      <c r="L3164">
        <v>202.94759999999999</v>
      </c>
      <c r="M3164">
        <v>0.45488689999999998</v>
      </c>
      <c r="N3164">
        <v>0</v>
      </c>
      <c r="O3164">
        <v>-0.89042509999999997</v>
      </c>
      <c r="P3164">
        <v>0.3505933</v>
      </c>
      <c r="Q3164">
        <v>1.6162590000000001E-2</v>
      </c>
      <c r="R3164">
        <v>-0.93638860000000002</v>
      </c>
      <c r="S3164">
        <v>0.14961240000000001</v>
      </c>
      <c r="T3164">
        <v>-0.17716119999999999</v>
      </c>
      <c r="U3164">
        <v>-3.1565859999999999</v>
      </c>
      <c r="V3164">
        <v>0.11444029999999999</v>
      </c>
      <c r="W3164">
        <v>2.8415499999999899E-2</v>
      </c>
      <c r="X3164">
        <v>0.99302359999999901</v>
      </c>
      <c r="Y3164">
        <v>0.412284699999999</v>
      </c>
      <c r="Z3164">
        <v>4.4356880000000001E-2</v>
      </c>
      <c r="AA3164">
        <v>0.90997459999999997</v>
      </c>
      <c r="AB3164">
        <v>29</v>
      </c>
      <c r="AC3164">
        <v>0.80119999999999403</v>
      </c>
      <c r="AD3164">
        <v>-1.095794890384</v>
      </c>
      <c r="AE3164">
        <v>-19.259399999999999</v>
      </c>
      <c r="AF3164">
        <v>8.0224042904129096</v>
      </c>
      <c r="AG3164">
        <v>-1.095794890384</v>
      </c>
      <c r="AH3164">
        <v>17.4590233882038</v>
      </c>
      <c r="AI3164">
        <v>93.264109390655506</v>
      </c>
      <c r="AJ3164">
        <v>65.321264882088698</v>
      </c>
      <c r="AK3164">
        <v>19.245187312948499</v>
      </c>
    </row>
    <row r="3165" spans="1:37" x14ac:dyDescent="0.2">
      <c r="A3165" t="str">
        <f>"20200111153459636"</f>
        <v>20200111153459636</v>
      </c>
      <c r="B3165" t="str">
        <f>"1578728099629198"</f>
        <v>1578728099629198</v>
      </c>
      <c r="C3165" t="s">
        <v>37</v>
      </c>
      <c r="D3165">
        <v>4.878393</v>
      </c>
      <c r="E3165">
        <v>0.54175930000000005</v>
      </c>
      <c r="F3165" t="s">
        <v>39</v>
      </c>
      <c r="G3165">
        <v>-194.0652</v>
      </c>
      <c r="H3165" s="1">
        <v>-1.9951230000000002E-6</v>
      </c>
      <c r="I3165">
        <v>181.71850000000001</v>
      </c>
      <c r="J3165">
        <v>-194.93049999999999</v>
      </c>
      <c r="K3165">
        <v>1.0959490000000001</v>
      </c>
      <c r="L3165">
        <v>202.67660000000001</v>
      </c>
      <c r="M3165">
        <v>0.44455889999999998</v>
      </c>
      <c r="N3165">
        <v>0</v>
      </c>
      <c r="O3165">
        <v>-0.89562710000000001</v>
      </c>
      <c r="P3165">
        <v>0.34541179999999999</v>
      </c>
      <c r="Q3165">
        <v>1.6063129999999998E-2</v>
      </c>
      <c r="R3165">
        <v>-0.93831399999999998</v>
      </c>
      <c r="S3165">
        <v>0.14698789999999901</v>
      </c>
      <c r="T3165">
        <v>-0.16267770000000001</v>
      </c>
      <c r="U3165">
        <v>-3.1515960000000001</v>
      </c>
      <c r="V3165">
        <v>0.1084291</v>
      </c>
      <c r="W3165">
        <v>2.8457920000000001E-2</v>
      </c>
      <c r="X3165">
        <v>0.99369669999999899</v>
      </c>
      <c r="Y3165">
        <v>0.402412099999999</v>
      </c>
      <c r="Z3165">
        <v>4.1317479999999997E-2</v>
      </c>
      <c r="AA3165">
        <v>0.9145257</v>
      </c>
      <c r="AB3165">
        <v>29</v>
      </c>
      <c r="AC3165">
        <v>0.86529999999998997</v>
      </c>
      <c r="AD3165">
        <v>-1.095950995123</v>
      </c>
      <c r="AE3165">
        <v>-20.958100000000002</v>
      </c>
      <c r="AF3165">
        <v>8.5198035435909301</v>
      </c>
      <c r="AG3165">
        <v>-1.095950995123</v>
      </c>
      <c r="AH3165">
        <v>19.105267100161299</v>
      </c>
      <c r="AI3165">
        <v>92.999018107223606</v>
      </c>
      <c r="AJ3165">
        <v>65.965994173845999</v>
      </c>
      <c r="AK3165">
        <v>20.9475390433721</v>
      </c>
    </row>
    <row r="3166" spans="1:37" x14ac:dyDescent="0.2">
      <c r="A3166" t="str">
        <f>"20200111153459652"</f>
        <v>20200111153459652</v>
      </c>
      <c r="B3166" t="str">
        <f>"1578728099649695"</f>
        <v>1578728099649695</v>
      </c>
      <c r="C3166" t="s">
        <v>37</v>
      </c>
      <c r="D3166">
        <v>4.7721400000000003</v>
      </c>
      <c r="E3166">
        <v>0.54324530000000004</v>
      </c>
      <c r="F3166" t="s">
        <v>39</v>
      </c>
      <c r="G3166">
        <v>-187.88489999999999</v>
      </c>
      <c r="H3166" s="1">
        <v>-2.2910709999999998E-6</v>
      </c>
      <c r="I3166">
        <v>174.09880000000001</v>
      </c>
      <c r="J3166">
        <v>-194.84119999999999</v>
      </c>
      <c r="K3166">
        <v>1.096055</v>
      </c>
      <c r="L3166">
        <v>202.47720000000001</v>
      </c>
      <c r="M3166">
        <v>0.43705929999999998</v>
      </c>
      <c r="N3166">
        <v>0</v>
      </c>
      <c r="O3166">
        <v>-0.89931119999999898</v>
      </c>
      <c r="P3166">
        <v>0.34049639999999998</v>
      </c>
      <c r="Q3166">
        <v>1.5910150000000001E-2</v>
      </c>
      <c r="R3166">
        <v>-0.94011149999999999</v>
      </c>
      <c r="S3166">
        <v>0.72309880000000004</v>
      </c>
      <c r="T3166">
        <v>-0.1124791</v>
      </c>
      <c r="U3166">
        <v>-2.9329830000000001</v>
      </c>
      <c r="V3166">
        <v>0.1053148</v>
      </c>
      <c r="W3166">
        <v>2.8375460000000002E-2</v>
      </c>
      <c r="X3166">
        <v>0.99403399999999997</v>
      </c>
      <c r="Y3166">
        <v>0.2092357</v>
      </c>
      <c r="Z3166">
        <v>3.1747270000000001E-2</v>
      </c>
      <c r="AA3166">
        <v>0.97734979999999905</v>
      </c>
      <c r="AB3166">
        <v>29</v>
      </c>
      <c r="AC3166">
        <v>6.9562999999999899</v>
      </c>
      <c r="AD3166">
        <v>-1.096057291071</v>
      </c>
      <c r="AE3166">
        <v>-28.378399999999999</v>
      </c>
      <c r="AF3166">
        <v>6.1391979833785397</v>
      </c>
      <c r="AG3166">
        <v>-1.096057291071</v>
      </c>
      <c r="AH3166">
        <v>28.5243110908498</v>
      </c>
      <c r="AI3166">
        <v>92.151313790525805</v>
      </c>
      <c r="AJ3166">
        <v>77.853696438335405</v>
      </c>
      <c r="AK3166">
        <v>29.198072139646602</v>
      </c>
    </row>
    <row r="3167" spans="1:37" x14ac:dyDescent="0.2">
      <c r="A3167" t="str">
        <f>"20200111153459666"</f>
        <v>20200111153459666</v>
      </c>
      <c r="B3167" t="str">
        <f>"1578728099659454"</f>
        <v>1578728099659454</v>
      </c>
      <c r="C3167" t="s">
        <v>37</v>
      </c>
      <c r="D3167">
        <v>4.7924939999999996</v>
      </c>
      <c r="E3167">
        <v>0.54403369999999995</v>
      </c>
      <c r="F3167" t="s">
        <v>39</v>
      </c>
      <c r="G3167">
        <v>-188.4872</v>
      </c>
      <c r="H3167" s="1">
        <v>-2.8476549999999899E-6</v>
      </c>
      <c r="I3167">
        <v>175.64519999999999</v>
      </c>
      <c r="J3167">
        <v>-194.76589999999999</v>
      </c>
      <c r="K3167">
        <v>1.096144</v>
      </c>
      <c r="L3167">
        <v>202.3057</v>
      </c>
      <c r="M3167">
        <v>0.43066539999999998</v>
      </c>
      <c r="N3167">
        <v>0</v>
      </c>
      <c r="O3167">
        <v>-0.90239099999999905</v>
      </c>
      <c r="P3167">
        <v>0.33630120000000002</v>
      </c>
      <c r="Q3167">
        <v>1.6131449999999999E-2</v>
      </c>
      <c r="R3167">
        <v>-0.94161649999999997</v>
      </c>
      <c r="S3167">
        <v>0.6964264</v>
      </c>
      <c r="T3167">
        <v>-0.1201329</v>
      </c>
      <c r="U3167">
        <v>-2.940903</v>
      </c>
      <c r="V3167">
        <v>0.1026875</v>
      </c>
      <c r="W3167">
        <v>2.865477E-2</v>
      </c>
      <c r="X3167">
        <v>0.99430079999999998</v>
      </c>
      <c r="Y3167">
        <v>0.211300299999999</v>
      </c>
      <c r="Z3167">
        <v>3.401933E-2</v>
      </c>
      <c r="AA3167">
        <v>0.97682899999999995</v>
      </c>
      <c r="AB3167">
        <v>29</v>
      </c>
      <c r="AC3167">
        <v>6.2786999999999802</v>
      </c>
      <c r="AD3167">
        <v>-1.096146847655</v>
      </c>
      <c r="AE3167">
        <v>-26.660499999999999</v>
      </c>
      <c r="AF3167">
        <v>5.80724500472492</v>
      </c>
      <c r="AG3167">
        <v>-1.096146847655</v>
      </c>
      <c r="AH3167">
        <v>26.722330071841199</v>
      </c>
      <c r="AI3167">
        <v>92.295430585747795</v>
      </c>
      <c r="AJ3167">
        <v>77.739233394922195</v>
      </c>
      <c r="AK3167">
        <v>27.368020697978</v>
      </c>
    </row>
    <row r="3168" spans="1:37" x14ac:dyDescent="0.2">
      <c r="A3168" t="str">
        <f>"20200111153459677"</f>
        <v>20200111153459677</v>
      </c>
      <c r="B3168" t="str">
        <f>"1578728099669214"</f>
        <v>1578728099669214</v>
      </c>
      <c r="C3168" t="s">
        <v>37</v>
      </c>
      <c r="D3168">
        <v>4.768116</v>
      </c>
      <c r="E3168">
        <v>0.54446349999999999</v>
      </c>
      <c r="F3168" t="s">
        <v>39</v>
      </c>
      <c r="G3168">
        <v>-188.453</v>
      </c>
      <c r="H3168" s="1">
        <v>-2.515412E-6</v>
      </c>
      <c r="I3168">
        <v>174.85659999999999</v>
      </c>
      <c r="J3168">
        <v>-194.7013</v>
      </c>
      <c r="K3168">
        <v>1.0962240000000001</v>
      </c>
      <c r="L3168">
        <v>202.1568</v>
      </c>
      <c r="M3168">
        <v>0.42514439999999998</v>
      </c>
      <c r="N3168">
        <v>0</v>
      </c>
      <c r="O3168">
        <v>-0.90500550000000002</v>
      </c>
      <c r="P3168">
        <v>0.33545819999999998</v>
      </c>
      <c r="Q3168">
        <v>1.6328740000000001E-2</v>
      </c>
      <c r="R3168">
        <v>-0.94191389999999997</v>
      </c>
      <c r="S3168">
        <v>0.67755129999999997</v>
      </c>
      <c r="T3168">
        <v>-0.11764810000000001</v>
      </c>
      <c r="U3168">
        <v>-2.946075</v>
      </c>
      <c r="V3168">
        <v>9.7497970000000003E-2</v>
      </c>
      <c r="W3168">
        <v>2.8966970000000002E-2</v>
      </c>
      <c r="X3168">
        <v>0.99481409999999904</v>
      </c>
      <c r="Y3168">
        <v>0.21164369999999999</v>
      </c>
      <c r="Z3168">
        <v>3.3430069999999999E-2</v>
      </c>
      <c r="AA3168">
        <v>0.97677499999999995</v>
      </c>
      <c r="AB3168">
        <v>29</v>
      </c>
      <c r="AC3168">
        <v>6.2483000000000004</v>
      </c>
      <c r="AD3168">
        <v>-1.0962265154119999</v>
      </c>
      <c r="AE3168">
        <v>-27.3002</v>
      </c>
      <c r="AF3168">
        <v>5.9433220724771996</v>
      </c>
      <c r="AG3168">
        <v>-1.0962265154119999</v>
      </c>
      <c r="AH3168">
        <v>27.324369760285599</v>
      </c>
      <c r="AI3168">
        <v>92.2449811900848</v>
      </c>
      <c r="AJ3168">
        <v>77.728735757310702</v>
      </c>
      <c r="AK3168">
        <v>27.984745355766499</v>
      </c>
    </row>
    <row r="3169" spans="1:37" x14ac:dyDescent="0.2">
      <c r="A3169" t="str">
        <f>"20200111153459695"</f>
        <v>20200111153459695</v>
      </c>
      <c r="B3169" t="str">
        <f>"1578728099689711"</f>
        <v>1578728099689711</v>
      </c>
      <c r="C3169" t="s">
        <v>37</v>
      </c>
      <c r="D3169">
        <v>4.756005</v>
      </c>
      <c r="E3169">
        <v>0.5452728</v>
      </c>
      <c r="F3169" t="s">
        <v>39</v>
      </c>
      <c r="G3169">
        <v>-188.31229999999999</v>
      </c>
      <c r="H3169" s="1">
        <v>-2.2321900000000001E-6</v>
      </c>
      <c r="I3169">
        <v>174.13820000000001</v>
      </c>
      <c r="J3169">
        <v>-194.614</v>
      </c>
      <c r="K3169">
        <v>1.0963259999999999</v>
      </c>
      <c r="L3169">
        <v>201.95050000000001</v>
      </c>
      <c r="M3169">
        <v>0.41758109999999998</v>
      </c>
      <c r="N3169">
        <v>0</v>
      </c>
      <c r="O3169">
        <v>-0.90852060000000001</v>
      </c>
      <c r="P3169">
        <v>0.32989099999999999</v>
      </c>
      <c r="Q3169">
        <v>1.643994E-2</v>
      </c>
      <c r="R3169">
        <v>-0.9438763</v>
      </c>
      <c r="S3169">
        <v>0.67213440000000002</v>
      </c>
      <c r="T3169">
        <v>-0.115325199999999</v>
      </c>
      <c r="U3169">
        <v>-2.9476169999999899</v>
      </c>
      <c r="V3169">
        <v>9.5066970000000001E-2</v>
      </c>
      <c r="W3169">
        <v>2.9128069999999999E-2</v>
      </c>
      <c r="X3169">
        <v>0.99504459999999995</v>
      </c>
      <c r="Y3169">
        <v>0.2053005</v>
      </c>
      <c r="Z3169">
        <v>3.298475E-2</v>
      </c>
      <c r="AA3169">
        <v>0.97814299999999998</v>
      </c>
      <c r="AB3169">
        <v>29</v>
      </c>
      <c r="AC3169">
        <v>6.3017000000000101</v>
      </c>
      <c r="AD3169">
        <v>-1.0963282321899901</v>
      </c>
      <c r="AE3169">
        <v>-27.8123</v>
      </c>
      <c r="AF3169">
        <v>5.8806123015856899</v>
      </c>
      <c r="AG3169">
        <v>-1.0963282321899901</v>
      </c>
      <c r="AH3169">
        <v>27.861358558687702</v>
      </c>
      <c r="AI3169">
        <v>92.204865107769194</v>
      </c>
      <c r="AJ3169">
        <v>78.0816831253929</v>
      </c>
      <c r="AK3169">
        <v>28.4962951516512</v>
      </c>
    </row>
    <row r="3170" spans="1:37" x14ac:dyDescent="0.2">
      <c r="A3170" t="str">
        <f>"20200111153459709"</f>
        <v>20200111153459709</v>
      </c>
      <c r="B3170" t="str">
        <f>"1578728099699473"</f>
        <v>1578728099699473</v>
      </c>
      <c r="C3170" t="s">
        <v>37</v>
      </c>
      <c r="D3170">
        <v>4.8011759999999999</v>
      </c>
      <c r="E3170">
        <v>0.54544219999999999</v>
      </c>
      <c r="F3170" t="s">
        <v>39</v>
      </c>
      <c r="G3170">
        <v>-188.23580000000001</v>
      </c>
      <c r="H3170" s="1">
        <v>-1.720917E-6</v>
      </c>
      <c r="I3170">
        <v>172.91480000000001</v>
      </c>
      <c r="J3170">
        <v>-194.55019999999999</v>
      </c>
      <c r="K3170">
        <v>1.0963989999999999</v>
      </c>
      <c r="L3170">
        <v>201.79650000000001</v>
      </c>
      <c r="M3170">
        <v>0.41198779999999902</v>
      </c>
      <c r="N3170">
        <v>0</v>
      </c>
      <c r="O3170">
        <v>-0.91107090000000002</v>
      </c>
      <c r="P3170">
        <v>0.3263566</v>
      </c>
      <c r="Q3170">
        <v>1.5727399999999999E-2</v>
      </c>
      <c r="R3170">
        <v>-0.94511639999999997</v>
      </c>
      <c r="S3170">
        <v>0.64880369999999998</v>
      </c>
      <c r="T3170">
        <v>-0.1115201</v>
      </c>
      <c r="U3170">
        <v>-2.9535520000000002</v>
      </c>
      <c r="V3170">
        <v>9.2656959999999997E-2</v>
      </c>
      <c r="W3170">
        <v>2.8465540000000001E-2</v>
      </c>
      <c r="X3170">
        <v>0.99529109999999998</v>
      </c>
      <c r="Y3170">
        <v>0.20705979999999999</v>
      </c>
      <c r="Z3170">
        <v>3.1992020000000003E-2</v>
      </c>
      <c r="AA3170">
        <v>0.97780509999999998</v>
      </c>
      <c r="AB3170">
        <v>29</v>
      </c>
      <c r="AC3170">
        <v>6.3143999999999698</v>
      </c>
      <c r="AD3170">
        <v>-1.0964007209169999</v>
      </c>
      <c r="AE3170">
        <v>-28.881699999999899</v>
      </c>
      <c r="AF3170">
        <v>6.1382631286606602</v>
      </c>
      <c r="AG3170">
        <v>-1.0964007209169999</v>
      </c>
      <c r="AH3170">
        <v>28.878135843156102</v>
      </c>
      <c r="AI3170">
        <v>92.126804510620005</v>
      </c>
      <c r="AJ3170">
        <v>77.999950898114506</v>
      </c>
      <c r="AK3170">
        <v>29.543647346820201</v>
      </c>
    </row>
    <row r="3171" spans="1:37" x14ac:dyDescent="0.2">
      <c r="A3171" t="str">
        <f>"20200111153459724"</f>
        <v>20200111153459724</v>
      </c>
      <c r="B3171" t="str">
        <f>"1578728099718991"</f>
        <v>1578728099718991</v>
      </c>
      <c r="C3171" t="s">
        <v>37</v>
      </c>
      <c r="D3171">
        <v>4.7994159999999999</v>
      </c>
      <c r="E3171">
        <v>0.54579979999999995</v>
      </c>
      <c r="F3171" t="s">
        <v>39</v>
      </c>
      <c r="G3171">
        <v>-188.31540000000001</v>
      </c>
      <c r="H3171" s="1">
        <v>-1.668072E-6</v>
      </c>
      <c r="I3171">
        <v>172.8245</v>
      </c>
      <c r="J3171">
        <v>-194.4752</v>
      </c>
      <c r="K3171">
        <v>1.0964860000000001</v>
      </c>
      <c r="L3171">
        <v>201.61269999999999</v>
      </c>
      <c r="M3171">
        <v>0.40534899999999902</v>
      </c>
      <c r="N3171">
        <v>0</v>
      </c>
      <c r="O3171">
        <v>-0.91404409999999903</v>
      </c>
      <c r="P3171">
        <v>0.32392120000000002</v>
      </c>
      <c r="Q3171">
        <v>1.4815399999999999E-2</v>
      </c>
      <c r="R3171">
        <v>-0.94596829999999998</v>
      </c>
      <c r="S3171">
        <v>0.63621519999999898</v>
      </c>
      <c r="T3171">
        <v>-0.1118789</v>
      </c>
      <c r="U3171">
        <v>-2.9563599999999899</v>
      </c>
      <c r="V3171">
        <v>8.7958889999999998E-2</v>
      </c>
      <c r="W3171">
        <v>2.7651419999999999E-2</v>
      </c>
      <c r="X3171">
        <v>0.99574019999999996</v>
      </c>
      <c r="Y3171">
        <v>0.2041134</v>
      </c>
      <c r="Z3171">
        <v>3.225248E-2</v>
      </c>
      <c r="AA3171">
        <v>0.97841579999999995</v>
      </c>
      <c r="AB3171">
        <v>28</v>
      </c>
      <c r="AC3171">
        <v>6.15979999999999</v>
      </c>
      <c r="AD3171">
        <v>-1.0964876680719999</v>
      </c>
      <c r="AE3171">
        <v>-28.7881999999999</v>
      </c>
      <c r="AF3171">
        <v>6.0312237796065196</v>
      </c>
      <c r="AG3171">
        <v>-1.0964876680719999</v>
      </c>
      <c r="AH3171">
        <v>28.773744260256802</v>
      </c>
      <c r="AI3171">
        <v>92.135953849119602</v>
      </c>
      <c r="AJ3171">
        <v>78.161701840352293</v>
      </c>
      <c r="AK3171">
        <v>29.419488510859399</v>
      </c>
    </row>
    <row r="3172" spans="1:37" x14ac:dyDescent="0.2">
      <c r="A3172" t="str">
        <f>"20200111153459747"</f>
        <v>20200111153459747</v>
      </c>
      <c r="B3172" t="str">
        <f>"1578728099739486"</f>
        <v>1578728099739486</v>
      </c>
      <c r="C3172" t="s">
        <v>37</v>
      </c>
      <c r="D3172">
        <v>4.7586110000000001</v>
      </c>
      <c r="E3172">
        <v>0.54593290000000005</v>
      </c>
      <c r="F3172" t="s">
        <v>39</v>
      </c>
      <c r="G3172">
        <v>-188.4409</v>
      </c>
      <c r="H3172" s="1">
        <v>-1.7530359999999999E-6</v>
      </c>
      <c r="I3172">
        <v>173.0745</v>
      </c>
      <c r="J3172">
        <v>-194.36799999999999</v>
      </c>
      <c r="K3172">
        <v>1.0966199999999999</v>
      </c>
      <c r="L3172">
        <v>201.34299999999999</v>
      </c>
      <c r="M3172">
        <v>0.395704099999999</v>
      </c>
      <c r="N3172">
        <v>0</v>
      </c>
      <c r="O3172">
        <v>-0.91826129999999995</v>
      </c>
      <c r="P3172">
        <v>0.3184632</v>
      </c>
      <c r="Q3172">
        <v>1.479422E-2</v>
      </c>
      <c r="R3172">
        <v>-0.94782</v>
      </c>
      <c r="S3172">
        <v>0.62565609999999905</v>
      </c>
      <c r="T3172">
        <v>-0.1136867</v>
      </c>
      <c r="U3172">
        <v>-2.958923</v>
      </c>
      <c r="V3172">
        <v>8.3204490000000006E-2</v>
      </c>
      <c r="W3172">
        <v>2.772436E-2</v>
      </c>
      <c r="X3172">
        <v>0.99614669999999905</v>
      </c>
      <c r="Y3172">
        <v>0.19732149999999901</v>
      </c>
      <c r="Z3172">
        <v>3.3017459999999998E-2</v>
      </c>
      <c r="AA3172">
        <v>0.97978259999999995</v>
      </c>
      <c r="AB3172">
        <v>28</v>
      </c>
      <c r="AC3172">
        <v>5.9270999999999896</v>
      </c>
      <c r="AD3172">
        <v>-1.0966217530360001</v>
      </c>
      <c r="AE3172">
        <v>-28.2684999999999</v>
      </c>
      <c r="AF3172">
        <v>5.7356825746111797</v>
      </c>
      <c r="AG3172">
        <v>-1.0966217530360001</v>
      </c>
      <c r="AH3172">
        <v>28.2655370408234</v>
      </c>
      <c r="AI3172">
        <v>92.177463031430705</v>
      </c>
      <c r="AJ3172">
        <v>78.529211829172993</v>
      </c>
      <c r="AK3172">
        <v>28.8624534312676</v>
      </c>
    </row>
    <row r="3173" spans="1:37" x14ac:dyDescent="0.2">
      <c r="A3173" t="str">
        <f>"20200111153459762"</f>
        <v>20200111153459762</v>
      </c>
      <c r="B3173" t="str">
        <f>"1578728099759007"</f>
        <v>1578728099759007</v>
      </c>
      <c r="C3173" t="s">
        <v>37</v>
      </c>
      <c r="D3173">
        <v>4.7685019999999998</v>
      </c>
      <c r="E3173">
        <v>0.54587059999999998</v>
      </c>
      <c r="F3173" t="s">
        <v>39</v>
      </c>
      <c r="G3173">
        <v>-188.3586</v>
      </c>
      <c r="H3173" s="1">
        <v>-1.3191809999999999E-6</v>
      </c>
      <c r="I3173">
        <v>172.0291</v>
      </c>
      <c r="J3173">
        <v>-194.29179999999999</v>
      </c>
      <c r="K3173">
        <v>1.0967100000000001</v>
      </c>
      <c r="L3173">
        <v>201.14680000000001</v>
      </c>
      <c r="M3173">
        <v>0.3887487</v>
      </c>
      <c r="N3173">
        <v>0</v>
      </c>
      <c r="O3173">
        <v>-0.92122780000000004</v>
      </c>
      <c r="P3173">
        <v>0.31329089999999998</v>
      </c>
      <c r="Q3173">
        <v>1.5776399999999999E-2</v>
      </c>
      <c r="R3173">
        <v>-0.94952630000000005</v>
      </c>
      <c r="S3173">
        <v>0.60737609999999997</v>
      </c>
      <c r="T3173">
        <v>-0.110837899999999</v>
      </c>
      <c r="U3173">
        <v>-2.9628139999999998</v>
      </c>
      <c r="V3173">
        <v>8.1108760000000002E-2</v>
      </c>
      <c r="W3173">
        <v>2.8743899999999999E-2</v>
      </c>
      <c r="X3173">
        <v>0.99629069999999997</v>
      </c>
      <c r="Y3173">
        <v>0.1959571</v>
      </c>
      <c r="Z3173">
        <v>3.2334250000000002E-2</v>
      </c>
      <c r="AA3173">
        <v>0.98007919999999904</v>
      </c>
      <c r="AB3173">
        <v>28</v>
      </c>
      <c r="AC3173">
        <v>5.9331999999999896</v>
      </c>
      <c r="AD3173">
        <v>-1.0967113191810001</v>
      </c>
      <c r="AE3173">
        <v>-29.117699999999999</v>
      </c>
      <c r="AF3173">
        <v>5.8463019290503304</v>
      </c>
      <c r="AG3173">
        <v>-1.0967113191810001</v>
      </c>
      <c r="AH3173">
        <v>29.094044472520899</v>
      </c>
      <c r="AI3173">
        <v>92.116496204863196</v>
      </c>
      <c r="AJ3173">
        <v>78.638016554695298</v>
      </c>
      <c r="AK3173">
        <v>29.6958826393873</v>
      </c>
    </row>
    <row r="3174" spans="1:37" x14ac:dyDescent="0.2">
      <c r="A3174" t="str">
        <f>"20200111153459776"</f>
        <v>20200111153459776</v>
      </c>
      <c r="B3174" t="str">
        <f>"1578728099768767"</f>
        <v>1578728099768767</v>
      </c>
      <c r="C3174" t="s">
        <v>37</v>
      </c>
      <c r="D3174">
        <v>4.808745</v>
      </c>
      <c r="E3174">
        <v>0.54582909999999996</v>
      </c>
      <c r="F3174" t="s">
        <v>39</v>
      </c>
      <c r="G3174">
        <v>-188.2054</v>
      </c>
      <c r="H3174" s="1">
        <v>-8.1324729999999995E-7</v>
      </c>
      <c r="I3174">
        <v>170.63470000000001</v>
      </c>
      <c r="J3174">
        <v>-194.2287</v>
      </c>
      <c r="K3174">
        <v>1.096789</v>
      </c>
      <c r="L3174">
        <v>200.98099999999999</v>
      </c>
      <c r="M3174">
        <v>0.38290770000000002</v>
      </c>
      <c r="N3174">
        <v>0</v>
      </c>
      <c r="O3174">
        <v>-0.92367149999999998</v>
      </c>
      <c r="P3174">
        <v>0.30925779999999897</v>
      </c>
      <c r="Q3174">
        <v>1.6965000000000001E-2</v>
      </c>
      <c r="R3174">
        <v>-0.95082739999999999</v>
      </c>
      <c r="S3174">
        <v>0.59164430000000001</v>
      </c>
      <c r="T3174">
        <v>-0.1066086</v>
      </c>
      <c r="U3174">
        <v>-2.96600299999999</v>
      </c>
      <c r="V3174">
        <v>7.9038739999999996E-2</v>
      </c>
      <c r="W3174">
        <v>2.9969799999999901E-2</v>
      </c>
      <c r="X3174">
        <v>0.99642090000000005</v>
      </c>
      <c r="Y3174">
        <v>0.19494149999999999</v>
      </c>
      <c r="Z3174">
        <v>3.121531E-2</v>
      </c>
      <c r="AA3174">
        <v>0.98031800000000002</v>
      </c>
      <c r="AB3174">
        <v>28</v>
      </c>
      <c r="AC3174">
        <v>6.0232999999999999</v>
      </c>
      <c r="AD3174">
        <v>-1.0967898132473</v>
      </c>
      <c r="AE3174">
        <v>-30.3462999999999</v>
      </c>
      <c r="AF3174">
        <v>6.0493228603452298</v>
      </c>
      <c r="AG3174">
        <v>-1.0967898132473</v>
      </c>
      <c r="AH3174">
        <v>30.3015245755515</v>
      </c>
      <c r="AI3174">
        <v>92.032885140472501</v>
      </c>
      <c r="AJ3174">
        <v>78.710035714624098</v>
      </c>
      <c r="AK3174">
        <v>30.918920527177001</v>
      </c>
    </row>
    <row r="3175" spans="1:37" x14ac:dyDescent="0.2">
      <c r="A3175" t="str">
        <f>"20200111153459791"</f>
        <v>20200111153459791</v>
      </c>
      <c r="B3175" t="str">
        <f>"1578728099779503"</f>
        <v>1578728099779503</v>
      </c>
      <c r="C3175" t="s">
        <v>37</v>
      </c>
      <c r="D3175">
        <v>4.7593769999999997</v>
      </c>
      <c r="E3175">
        <v>0.54572710000000002</v>
      </c>
      <c r="F3175" t="s">
        <v>39</v>
      </c>
      <c r="G3175">
        <v>-187.9796</v>
      </c>
      <c r="H3175" s="1">
        <v>-4.7677729999999998E-6</v>
      </c>
      <c r="I3175">
        <v>168.95920000000001</v>
      </c>
      <c r="J3175">
        <v>-194.1678</v>
      </c>
      <c r="K3175">
        <v>1.096857</v>
      </c>
      <c r="L3175">
        <v>200.81710000000001</v>
      </c>
      <c r="M3175">
        <v>0.3771832</v>
      </c>
      <c r="N3175">
        <v>0</v>
      </c>
      <c r="O3175">
        <v>-0.92602399999999996</v>
      </c>
      <c r="P3175">
        <v>0.30704559999999997</v>
      </c>
      <c r="Q3175">
        <v>1.955519E-2</v>
      </c>
      <c r="R3175">
        <v>-0.95149409999999901</v>
      </c>
      <c r="S3175">
        <v>0.57931519999999903</v>
      </c>
      <c r="T3175">
        <v>-0.10167569999999999</v>
      </c>
      <c r="U3175">
        <v>-2.9685060000000001</v>
      </c>
      <c r="V3175">
        <v>7.5213749999999996E-2</v>
      </c>
      <c r="W3175">
        <v>3.2633059999999998E-2</v>
      </c>
      <c r="X3175">
        <v>0.99663330000000006</v>
      </c>
      <c r="Y3175">
        <v>0.19293920000000001</v>
      </c>
      <c r="Z3175">
        <v>2.9882829999999999E-2</v>
      </c>
      <c r="AA3175">
        <v>0.98075559999999995</v>
      </c>
      <c r="AB3175">
        <v>28</v>
      </c>
      <c r="AC3175">
        <v>6.1881999999999904</v>
      </c>
      <c r="AD3175">
        <v>-1.0968617677729999</v>
      </c>
      <c r="AE3175">
        <v>-31.857900000000001</v>
      </c>
      <c r="AF3175">
        <v>6.2793376016960796</v>
      </c>
      <c r="AG3175">
        <v>-1.0968617677729999</v>
      </c>
      <c r="AH3175">
        <v>31.802318094056702</v>
      </c>
      <c r="AI3175">
        <v>91.937961821337097</v>
      </c>
      <c r="AJ3175">
        <v>78.830673217797099</v>
      </c>
      <c r="AK3175">
        <v>32.434867390036402</v>
      </c>
    </row>
    <row r="3176" spans="1:37" x14ac:dyDescent="0.2">
      <c r="A3176" t="str">
        <f>"20200111153459806"</f>
        <v>20200111153459806</v>
      </c>
      <c r="B3176" t="str">
        <f>"1578728099799024"</f>
        <v>1578728099799024</v>
      </c>
      <c r="C3176" t="s">
        <v>37</v>
      </c>
      <c r="D3176">
        <v>4.7982279999999999</v>
      </c>
      <c r="E3176">
        <v>0.54557440000000001</v>
      </c>
      <c r="F3176" t="s">
        <v>39</v>
      </c>
      <c r="G3176">
        <v>-187.39779999999999</v>
      </c>
      <c r="H3176" s="1">
        <v>-3.343106E-6</v>
      </c>
      <c r="I3176">
        <v>165.727</v>
      </c>
      <c r="J3176">
        <v>-194.0968</v>
      </c>
      <c r="K3176">
        <v>1.09694</v>
      </c>
      <c r="L3176">
        <v>200.62280000000001</v>
      </c>
      <c r="M3176">
        <v>0.37043619999999999</v>
      </c>
      <c r="N3176">
        <v>0</v>
      </c>
      <c r="O3176">
        <v>-0.92874380000000001</v>
      </c>
      <c r="P3176">
        <v>0.30182490000000001</v>
      </c>
      <c r="Q3176">
        <v>2.0511229999999998E-2</v>
      </c>
      <c r="R3176">
        <v>-0.95314290000000002</v>
      </c>
      <c r="S3176">
        <v>0.57299800000000001</v>
      </c>
      <c r="T3176">
        <v>-9.283566E-2</v>
      </c>
      <c r="U3176">
        <v>-2.9699399999999998</v>
      </c>
      <c r="V3176">
        <v>7.3430369999999995E-2</v>
      </c>
      <c r="W3176">
        <v>3.3618139999999998E-2</v>
      </c>
      <c r="X3176">
        <v>0.99673349999999905</v>
      </c>
      <c r="Y3176">
        <v>0.1878832</v>
      </c>
      <c r="Z3176">
        <v>2.7418410000000001E-2</v>
      </c>
      <c r="AA3176">
        <v>0.98180859999999903</v>
      </c>
      <c r="AB3176">
        <v>28</v>
      </c>
      <c r="AC3176">
        <v>6.6990000000000096</v>
      </c>
      <c r="AD3176">
        <v>-1.0969433431060001</v>
      </c>
      <c r="AE3176">
        <v>-34.895800000000001</v>
      </c>
      <c r="AF3176">
        <v>6.6993389488082498</v>
      </c>
      <c r="AG3176">
        <v>-1.0969433431060001</v>
      </c>
      <c r="AH3176">
        <v>34.861284870358901</v>
      </c>
      <c r="AI3176">
        <v>91.769907575795898</v>
      </c>
      <c r="AJ3176">
        <v>79.122008323861095</v>
      </c>
      <c r="AK3176">
        <v>35.516103528699702</v>
      </c>
    </row>
    <row r="3177" spans="1:37" x14ac:dyDescent="0.2">
      <c r="A3177" t="str">
        <f>"20200111153459820"</f>
        <v>20200111153459820</v>
      </c>
      <c r="B3177" t="str">
        <f>"1578728099808783"</f>
        <v>1578728099808783</v>
      </c>
      <c r="C3177" t="s">
        <v>37</v>
      </c>
      <c r="D3177">
        <v>4.8120779999999996</v>
      </c>
      <c r="E3177">
        <v>0.54542060000000003</v>
      </c>
      <c r="F3177" t="s">
        <v>39</v>
      </c>
      <c r="G3177">
        <v>-187.22219999999999</v>
      </c>
      <c r="H3177" s="1">
        <v>-2.556592E-6</v>
      </c>
      <c r="I3177">
        <v>163.9973</v>
      </c>
      <c r="J3177">
        <v>-194.0378</v>
      </c>
      <c r="K3177">
        <v>1.097008</v>
      </c>
      <c r="L3177">
        <v>200.4588</v>
      </c>
      <c r="M3177">
        <v>0.36477709999999902</v>
      </c>
      <c r="N3177">
        <v>0</v>
      </c>
      <c r="O3177">
        <v>-0.93098130000000001</v>
      </c>
      <c r="P3177">
        <v>0.2981548</v>
      </c>
      <c r="Q3177">
        <v>2.136965E-2</v>
      </c>
      <c r="R3177">
        <v>-0.95427859999999998</v>
      </c>
      <c r="S3177">
        <v>0.55798340000000002</v>
      </c>
      <c r="T3177">
        <v>-8.9034559999999999E-2</v>
      </c>
      <c r="U3177">
        <v>-2.9727480000000002</v>
      </c>
      <c r="V3177">
        <v>7.1202719999999997E-2</v>
      </c>
      <c r="W3177">
        <v>3.4515030000000002E-2</v>
      </c>
      <c r="X3177">
        <v>0.99686459999999999</v>
      </c>
      <c r="Y3177">
        <v>0.186858</v>
      </c>
      <c r="Z3177">
        <v>2.6384399999999999E-2</v>
      </c>
      <c r="AA3177">
        <v>0.98203249999999997</v>
      </c>
      <c r="AB3177">
        <v>28</v>
      </c>
      <c r="AC3177">
        <v>6.8156000000000097</v>
      </c>
      <c r="AD3177">
        <v>-1.0970105565920001</v>
      </c>
      <c r="AE3177">
        <v>-36.461500000000001</v>
      </c>
      <c r="AF3177">
        <v>6.9497809956393599</v>
      </c>
      <c r="AG3177">
        <v>-1.0970105565920001</v>
      </c>
      <c r="AH3177">
        <v>36.403162218215797</v>
      </c>
      <c r="AI3177">
        <v>91.695484980482902</v>
      </c>
      <c r="AJ3177">
        <v>79.191637869377104</v>
      </c>
      <c r="AK3177">
        <v>37.0768540673876</v>
      </c>
    </row>
    <row r="3178" spans="1:37" x14ac:dyDescent="0.2">
      <c r="A3178" t="str">
        <f>"20200111153459838"</f>
        <v>20200111153459838</v>
      </c>
      <c r="B3178" t="str">
        <f>"1578728099829278"</f>
        <v>1578728099829278</v>
      </c>
      <c r="C3178" t="s">
        <v>37</v>
      </c>
      <c r="D3178">
        <v>4.8396330000000001</v>
      </c>
      <c r="E3178">
        <v>0.54521900000000001</v>
      </c>
      <c r="F3178" t="s">
        <v>39</v>
      </c>
      <c r="G3178">
        <v>-187.0882</v>
      </c>
      <c r="H3178" s="1">
        <v>-1.977558E-6</v>
      </c>
      <c r="I3178">
        <v>162.72200000000001</v>
      </c>
      <c r="J3178">
        <v>-193.9631</v>
      </c>
      <c r="K3178">
        <v>1.0971040000000001</v>
      </c>
      <c r="L3178">
        <v>200.2458</v>
      </c>
      <c r="M3178">
        <v>0.3575062</v>
      </c>
      <c r="N3178">
        <v>0</v>
      </c>
      <c r="O3178">
        <v>-0.93379799999999902</v>
      </c>
      <c r="P3178">
        <v>0.29432179999999902</v>
      </c>
      <c r="Q3178">
        <v>2.3272190000000002E-2</v>
      </c>
      <c r="R3178">
        <v>-0.95542340000000003</v>
      </c>
      <c r="S3178">
        <v>0.54779049999999996</v>
      </c>
      <c r="T3178">
        <v>-8.6469530000000003E-2</v>
      </c>
      <c r="U3178">
        <v>-2.9745180000000002</v>
      </c>
      <c r="V3178">
        <v>6.744108E-2</v>
      </c>
      <c r="W3178">
        <v>3.6484549999999998E-2</v>
      </c>
      <c r="X3178">
        <v>0.99705589999999999</v>
      </c>
      <c r="Y3178">
        <v>0.18255079999999901</v>
      </c>
      <c r="Z3178">
        <v>2.574856E-2</v>
      </c>
      <c r="AA3178">
        <v>0.98285919999999904</v>
      </c>
      <c r="AB3178">
        <v>28</v>
      </c>
      <c r="AC3178">
        <v>6.8748999999999896</v>
      </c>
      <c r="AD3178">
        <v>-1.0971059775580001</v>
      </c>
      <c r="AE3178">
        <v>-37.523800000000001</v>
      </c>
      <c r="AF3178">
        <v>6.9901786340155603</v>
      </c>
      <c r="AG3178">
        <v>-1.0971059775580001</v>
      </c>
      <c r="AH3178">
        <v>37.470427263064103</v>
      </c>
      <c r="AI3178">
        <v>91.648671518935004</v>
      </c>
      <c r="AJ3178">
        <v>79.432832080252993</v>
      </c>
      <c r="AK3178">
        <v>38.132652125678597</v>
      </c>
    </row>
    <row r="3179" spans="1:37" x14ac:dyDescent="0.2">
      <c r="A3179" t="str">
        <f>"20200111153459854"</f>
        <v>20200111153459854</v>
      </c>
      <c r="B3179" t="str">
        <f>"1578728099848798"</f>
        <v>1578728099848798</v>
      </c>
      <c r="C3179" t="s">
        <v>37</v>
      </c>
      <c r="D3179">
        <v>4.9138279999999996</v>
      </c>
      <c r="E3179">
        <v>0.54528379999999999</v>
      </c>
      <c r="F3179" t="s">
        <v>39</v>
      </c>
      <c r="G3179">
        <v>-187.14179999999999</v>
      </c>
      <c r="H3179" s="1">
        <v>-1.8467339999999999E-6</v>
      </c>
      <c r="I3179">
        <v>162.46539999999999</v>
      </c>
      <c r="J3179">
        <v>-193.89429999999999</v>
      </c>
      <c r="K3179">
        <v>1.0971949999999999</v>
      </c>
      <c r="L3179">
        <v>200.0445</v>
      </c>
      <c r="M3179">
        <v>0.35070359999999901</v>
      </c>
      <c r="N3179">
        <v>0</v>
      </c>
      <c r="O3179">
        <v>-0.93637420000000005</v>
      </c>
      <c r="P3179">
        <v>0.2885566</v>
      </c>
      <c r="Q3179">
        <v>2.3996409999999999E-2</v>
      </c>
      <c r="R3179">
        <v>-0.95716199999999996</v>
      </c>
      <c r="S3179">
        <v>0.53741459999999996</v>
      </c>
      <c r="T3179">
        <v>-8.6435079999999997E-2</v>
      </c>
      <c r="U3179">
        <v>-2.9765169999999999</v>
      </c>
      <c r="V3179">
        <v>6.6196749999999999E-2</v>
      </c>
      <c r="W3179">
        <v>3.7225059999999997E-2</v>
      </c>
      <c r="X3179">
        <v>0.997112</v>
      </c>
      <c r="Y3179">
        <v>0.17883060000000001</v>
      </c>
      <c r="Z3179">
        <v>2.5847990000000001E-2</v>
      </c>
      <c r="AA3179">
        <v>0.98354030000000003</v>
      </c>
      <c r="AB3179">
        <v>28</v>
      </c>
      <c r="AC3179">
        <v>6.7524999999999897</v>
      </c>
      <c r="AD3179">
        <v>-1.0971968467340001</v>
      </c>
      <c r="AE3179">
        <v>-37.579099999999997</v>
      </c>
      <c r="AF3179">
        <v>6.85132223285847</v>
      </c>
      <c r="AG3179">
        <v>-1.0971968467340001</v>
      </c>
      <c r="AH3179">
        <v>37.529184563492997</v>
      </c>
      <c r="AI3179">
        <v>91.647400653904</v>
      </c>
      <c r="AJ3179">
        <v>79.654024378941003</v>
      </c>
      <c r="AK3179">
        <v>38.165221750432202</v>
      </c>
    </row>
    <row r="3180" spans="1:37" x14ac:dyDescent="0.2">
      <c r="A3180" t="str">
        <f>"20200111153459869"</f>
        <v>20200111153459869</v>
      </c>
      <c r="B3180" t="str">
        <f>"1578728099859535"</f>
        <v>1578728099859535</v>
      </c>
      <c r="C3180" t="s">
        <v>37</v>
      </c>
      <c r="D3180">
        <v>4.9399639999999998</v>
      </c>
      <c r="E3180">
        <v>0.57584820000000003</v>
      </c>
      <c r="F3180" t="s">
        <v>39</v>
      </c>
      <c r="G3180">
        <v>-187.25360000000001</v>
      </c>
      <c r="H3180" s="1">
        <v>-1.60841E-6</v>
      </c>
      <c r="I3180">
        <v>161.93</v>
      </c>
      <c r="J3180">
        <v>-193.8347</v>
      </c>
      <c r="K3180">
        <v>1.0972770000000001</v>
      </c>
      <c r="L3180">
        <v>199.8665</v>
      </c>
      <c r="M3180">
        <v>0.34475040000000001</v>
      </c>
      <c r="N3180">
        <v>0</v>
      </c>
      <c r="O3180">
        <v>-0.93858299999999995</v>
      </c>
      <c r="P3180">
        <v>0.28460970000000002</v>
      </c>
      <c r="Q3180">
        <v>2.481409E-2</v>
      </c>
      <c r="R3180">
        <v>-0.95832269999999897</v>
      </c>
      <c r="S3180">
        <v>0.51918030000000004</v>
      </c>
      <c r="T3180">
        <v>-8.5781570000000001E-2</v>
      </c>
      <c r="U3180">
        <v>-2.979889</v>
      </c>
      <c r="V3180">
        <v>6.3973050000000004E-2</v>
      </c>
      <c r="W3180">
        <v>3.80799E-2</v>
      </c>
      <c r="X3180">
        <v>0.99722479999999902</v>
      </c>
      <c r="Y3180">
        <v>0.17861150000000001</v>
      </c>
      <c r="Z3180">
        <v>2.573046E-2</v>
      </c>
      <c r="AA3180">
        <v>0.98358319999999999</v>
      </c>
      <c r="AB3180">
        <v>28</v>
      </c>
      <c r="AC3180">
        <v>6.5810999999999904</v>
      </c>
      <c r="AD3180">
        <v>-1.0972786084099999</v>
      </c>
      <c r="AE3180">
        <v>-37.936500000000002</v>
      </c>
      <c r="AF3180">
        <v>6.8968353596386098</v>
      </c>
      <c r="AG3180">
        <v>-1.0972786084099999</v>
      </c>
      <c r="AH3180">
        <v>37.848612407806002</v>
      </c>
      <c r="AI3180">
        <v>91.633723930765896</v>
      </c>
      <c r="AJ3180">
        <v>79.672779664024006</v>
      </c>
      <c r="AK3180">
        <v>38.4875021210621</v>
      </c>
    </row>
    <row r="3181" spans="1:37" x14ac:dyDescent="0.2">
      <c r="A3181" t="str">
        <f>"20200111153459891"</f>
        <v>20200111153459891</v>
      </c>
      <c r="B3181" t="str">
        <f>"1578728099879054"</f>
        <v>1578728099879054</v>
      </c>
      <c r="C3181" t="s">
        <v>37</v>
      </c>
      <c r="D3181">
        <v>4.9015649999999997</v>
      </c>
      <c r="E3181">
        <v>0.58460859999999903</v>
      </c>
      <c r="F3181" t="s">
        <v>39</v>
      </c>
      <c r="G3181">
        <v>-190.54900000000001</v>
      </c>
      <c r="H3181" s="1">
        <v>-1.846835E-6</v>
      </c>
      <c r="I3181">
        <v>163.18950000000001</v>
      </c>
      <c r="J3181">
        <v>-193.74539999999999</v>
      </c>
      <c r="K3181">
        <v>1.0974079999999999</v>
      </c>
      <c r="L3181">
        <v>199.59350000000001</v>
      </c>
      <c r="M3181">
        <v>0.33572879999999999</v>
      </c>
      <c r="N3181">
        <v>0</v>
      </c>
      <c r="O3181">
        <v>-0.94184820000000002</v>
      </c>
      <c r="P3181">
        <v>0.27725729999999998</v>
      </c>
      <c r="Q3181">
        <v>2.455328E-2</v>
      </c>
      <c r="R3181">
        <v>-0.96048239999999996</v>
      </c>
      <c r="S3181">
        <v>0.27337649999999902</v>
      </c>
      <c r="T3181">
        <v>-9.1296790000000003E-2</v>
      </c>
      <c r="U3181">
        <v>-3.0516359999999998</v>
      </c>
      <c r="V3181">
        <v>6.2030050000000003E-2</v>
      </c>
      <c r="W3181">
        <v>3.7846890000000001E-2</v>
      </c>
      <c r="X3181">
        <v>0.99735649999999998</v>
      </c>
      <c r="Y3181">
        <v>0.25040970000000001</v>
      </c>
      <c r="Z3181">
        <v>2.678372E-2</v>
      </c>
      <c r="AA3181">
        <v>0.9677694</v>
      </c>
      <c r="AB3181">
        <v>28</v>
      </c>
      <c r="AC3181">
        <v>3.1963999999999801</v>
      </c>
      <c r="AD3181">
        <v>-1.097409846835</v>
      </c>
      <c r="AE3181">
        <v>-36.404000000000003</v>
      </c>
      <c r="AF3181">
        <v>9.2040063711040894</v>
      </c>
      <c r="AG3181">
        <v>-1.097409846835</v>
      </c>
      <c r="AH3181">
        <v>35.331983996289502</v>
      </c>
      <c r="AI3181">
        <v>91.721612648380002</v>
      </c>
      <c r="AJ3181">
        <v>75.398915887810105</v>
      </c>
      <c r="AK3181">
        <v>36.527621531730098</v>
      </c>
    </row>
    <row r="3182" spans="1:37" x14ac:dyDescent="0.2">
      <c r="A3182" t="str">
        <f>"20200111153459906"</f>
        <v>20200111153459906</v>
      </c>
      <c r="B3182" t="str">
        <f>"1578728099899550"</f>
        <v>1578728099899550</v>
      </c>
      <c r="C3182" t="s">
        <v>37</v>
      </c>
      <c r="D3182">
        <v>4.8587739999999897</v>
      </c>
      <c r="E3182">
        <v>0.58488399999999996</v>
      </c>
      <c r="F3182" t="s">
        <v>51</v>
      </c>
      <c r="G3182">
        <v>-191.34289999999999</v>
      </c>
      <c r="H3182" s="1">
        <v>-1.488019E-5</v>
      </c>
      <c r="I3182">
        <v>159.2296</v>
      </c>
      <c r="J3182">
        <v>-193.68819999999999</v>
      </c>
      <c r="K3182">
        <v>1.097502</v>
      </c>
      <c r="L3182">
        <v>199.41399999999999</v>
      </c>
      <c r="M3182">
        <v>0.32988129999999999</v>
      </c>
      <c r="N3182">
        <v>0</v>
      </c>
      <c r="O3182">
        <v>-0.94391229999999904</v>
      </c>
      <c r="P3182">
        <v>0.2719896</v>
      </c>
      <c r="Q3182">
        <v>2.518989E-2</v>
      </c>
      <c r="R3182">
        <v>-0.96197049999999995</v>
      </c>
      <c r="S3182">
        <v>0.18289179999999999</v>
      </c>
      <c r="T3182">
        <v>-8.3543179999999995E-2</v>
      </c>
      <c r="U3182">
        <v>-3.0727690000000001</v>
      </c>
      <c r="V3182">
        <v>6.1306869999999999E-2</v>
      </c>
      <c r="W3182">
        <v>3.8490150000000001E-2</v>
      </c>
      <c r="X3182">
        <v>0.99737659999999995</v>
      </c>
      <c r="Y3182">
        <v>0.27326059999999902</v>
      </c>
      <c r="Z3182">
        <v>2.4364859999999999E-2</v>
      </c>
      <c r="AA3182">
        <v>0.96163140000000003</v>
      </c>
      <c r="AB3182">
        <v>28</v>
      </c>
      <c r="AC3182">
        <v>2.3452999999999999</v>
      </c>
      <c r="AD3182">
        <v>-1.0975168801899999</v>
      </c>
      <c r="AE3182">
        <v>-40.184399999999997</v>
      </c>
      <c r="AF3182">
        <v>11.0352688399509</v>
      </c>
      <c r="AG3182">
        <v>-1.0975168801899999</v>
      </c>
      <c r="AH3182">
        <v>38.679489063810003</v>
      </c>
      <c r="AI3182">
        <v>91.562978262244101</v>
      </c>
      <c r="AJ3182">
        <v>74.076537330802495</v>
      </c>
      <c r="AK3182">
        <v>40.237850040847</v>
      </c>
    </row>
    <row r="3183" spans="1:37" x14ac:dyDescent="0.2">
      <c r="A3183" t="str">
        <f>"20200111153459920"</f>
        <v>20200111153459920</v>
      </c>
      <c r="B3183" t="str">
        <f>"1578728099909310"</f>
        <v>1578728099909310</v>
      </c>
      <c r="C3183" t="s">
        <v>37</v>
      </c>
      <c r="D3183">
        <v>4.8309319999999998</v>
      </c>
      <c r="E3183">
        <v>0.58396389999999998</v>
      </c>
      <c r="F3183" t="s">
        <v>51</v>
      </c>
      <c r="G3183">
        <v>-191.38079999999999</v>
      </c>
      <c r="H3183" s="1">
        <v>-1.3629989999999999E-5</v>
      </c>
      <c r="I3183">
        <v>156.18100000000001</v>
      </c>
      <c r="J3183">
        <v>-193.6352</v>
      </c>
      <c r="K3183">
        <v>1.0975950000000001</v>
      </c>
      <c r="L3183">
        <v>199.2448</v>
      </c>
      <c r="M3183">
        <v>0.3244129</v>
      </c>
      <c r="N3183">
        <v>0</v>
      </c>
      <c r="O3183">
        <v>-0.94580589999999998</v>
      </c>
      <c r="P3183">
        <v>0.26711469999999998</v>
      </c>
      <c r="Q3183">
        <v>2.533173E-2</v>
      </c>
      <c r="R3183">
        <v>-0.96333199999999997</v>
      </c>
      <c r="S3183">
        <v>0.164077799999999</v>
      </c>
      <c r="T3183">
        <v>-7.8043459999999995E-2</v>
      </c>
      <c r="U3183">
        <v>-3.074265</v>
      </c>
      <c r="V3183">
        <v>6.057746E-2</v>
      </c>
      <c r="W3183">
        <v>3.8639769999999997E-2</v>
      </c>
      <c r="X3183">
        <v>0.9974153</v>
      </c>
      <c r="Y3183">
        <v>0.27358559999999998</v>
      </c>
      <c r="Z3183">
        <v>2.28245999999999E-2</v>
      </c>
      <c r="AA3183">
        <v>0.96157680000000001</v>
      </c>
      <c r="AB3183">
        <v>28</v>
      </c>
      <c r="AC3183">
        <v>2.2544</v>
      </c>
      <c r="AD3183">
        <v>-1.0976086299900001</v>
      </c>
      <c r="AE3183">
        <v>-43.063799999999901</v>
      </c>
      <c r="AF3183">
        <v>11.831790296790199</v>
      </c>
      <c r="AG3183">
        <v>-1.0976086299900001</v>
      </c>
      <c r="AH3183">
        <v>41.438807635637502</v>
      </c>
      <c r="AI3183">
        <v>91.458985232258797</v>
      </c>
      <c r="AJ3183">
        <v>74.064663646583099</v>
      </c>
      <c r="AK3183">
        <v>43.108824903901301</v>
      </c>
    </row>
    <row r="3184" spans="1:37" x14ac:dyDescent="0.2">
      <c r="A3184" t="str">
        <f>"20200111153459933"</f>
        <v>20200111153459933</v>
      </c>
      <c r="B3184" t="str">
        <f>"1578728099928830"</f>
        <v>1578728099928830</v>
      </c>
      <c r="C3184" t="s">
        <v>37</v>
      </c>
      <c r="D3184">
        <v>4.8441299999999998</v>
      </c>
      <c r="E3184">
        <v>0.58196749999999997</v>
      </c>
      <c r="F3184" t="s">
        <v>51</v>
      </c>
      <c r="G3184">
        <v>-191.477</v>
      </c>
      <c r="H3184" s="1">
        <v>-1.382981E-5</v>
      </c>
      <c r="I3184">
        <v>156.62700000000001</v>
      </c>
      <c r="J3184">
        <v>-193.58459999999999</v>
      </c>
      <c r="K3184">
        <v>1.097682</v>
      </c>
      <c r="L3184">
        <v>199.07919999999999</v>
      </c>
      <c r="M3184">
        <v>0.31914759999999998</v>
      </c>
      <c r="N3184">
        <v>0</v>
      </c>
      <c r="O3184">
        <v>-0.94759579999999999</v>
      </c>
      <c r="P3184">
        <v>0.26258359999999997</v>
      </c>
      <c r="Q3184">
        <v>2.585763E-2</v>
      </c>
      <c r="R3184">
        <v>-0.9645627</v>
      </c>
      <c r="S3184">
        <v>0.1556244</v>
      </c>
      <c r="T3184">
        <v>-7.9147220000000004E-2</v>
      </c>
      <c r="U3184">
        <v>-3.0731199999999999</v>
      </c>
      <c r="V3184">
        <v>5.9714150000000001E-2</v>
      </c>
      <c r="W3184">
        <v>3.9175799999999997E-2</v>
      </c>
      <c r="X3184">
        <v>0.99744650000000001</v>
      </c>
      <c r="Y3184">
        <v>0.27085429999999999</v>
      </c>
      <c r="Z3184">
        <v>2.3235860000000001E-2</v>
      </c>
      <c r="AA3184">
        <v>0.96233989999999903</v>
      </c>
      <c r="AB3184">
        <v>28</v>
      </c>
      <c r="AC3184">
        <v>2.1075999999999899</v>
      </c>
      <c r="AD3184">
        <v>-1.0976958298099999</v>
      </c>
      <c r="AE3184">
        <v>-42.452199999999898</v>
      </c>
      <c r="AF3184">
        <v>11.544860775196801</v>
      </c>
      <c r="AG3184">
        <v>-1.0976958298099999</v>
      </c>
      <c r="AH3184">
        <v>40.877132834543197</v>
      </c>
      <c r="AI3184">
        <v>91.480344488416605</v>
      </c>
      <c r="AJ3184">
        <v>74.228816472876801</v>
      </c>
      <c r="AK3184">
        <v>42.4903369629655</v>
      </c>
    </row>
    <row r="3185" spans="1:37" x14ac:dyDescent="0.2">
      <c r="A3185" t="str">
        <f>"20200111153459947"</f>
        <v>20200111153459947</v>
      </c>
      <c r="B3185" t="str">
        <f>"1578728099939566"</f>
        <v>1578728099939566</v>
      </c>
      <c r="C3185" t="s">
        <v>37</v>
      </c>
      <c r="D3185">
        <v>4.8228309999999999</v>
      </c>
      <c r="E3185">
        <v>0.58105280000000004</v>
      </c>
      <c r="F3185" t="s">
        <v>51</v>
      </c>
      <c r="G3185">
        <v>-191.39920000000001</v>
      </c>
      <c r="H3185" s="1">
        <v>-1.365262E-5</v>
      </c>
      <c r="I3185">
        <v>156.22999999999999</v>
      </c>
      <c r="J3185">
        <v>-193.5316</v>
      </c>
      <c r="K3185">
        <v>1.097783</v>
      </c>
      <c r="L3185">
        <v>198.90270000000001</v>
      </c>
      <c r="M3185">
        <v>0.31359179999999998</v>
      </c>
      <c r="N3185">
        <v>0</v>
      </c>
      <c r="O3185">
        <v>-0.94944919999999999</v>
      </c>
      <c r="P3185">
        <v>0.25793670000000002</v>
      </c>
      <c r="Q3185">
        <v>2.6662870000000002E-2</v>
      </c>
      <c r="R3185">
        <v>-0.96579429999999999</v>
      </c>
      <c r="S3185">
        <v>0.15655520000000001</v>
      </c>
      <c r="T3185">
        <v>-7.8638079999999999E-2</v>
      </c>
      <c r="U3185">
        <v>-3.0696870000000001</v>
      </c>
      <c r="V3185">
        <v>5.8671210000000001E-2</v>
      </c>
      <c r="W3185">
        <v>3.9993420000000002E-2</v>
      </c>
      <c r="X3185">
        <v>0.99747589999999997</v>
      </c>
      <c r="Y3185">
        <v>0.26486520000000002</v>
      </c>
      <c r="Z3185">
        <v>2.3204260000000001E-2</v>
      </c>
      <c r="AA3185">
        <v>0.96400620000000004</v>
      </c>
      <c r="AB3185">
        <v>28</v>
      </c>
      <c r="AC3185">
        <v>2.1323999999999899</v>
      </c>
      <c r="AD3185">
        <v>-1.09779665262</v>
      </c>
      <c r="AE3185">
        <v>-42.672699999999999</v>
      </c>
      <c r="AF3185">
        <v>11.3508819803818</v>
      </c>
      <c r="AG3185">
        <v>-1.09779665262</v>
      </c>
      <c r="AH3185">
        <v>41.1613411235491</v>
      </c>
      <c r="AI3185">
        <v>91.472800067982703</v>
      </c>
      <c r="AJ3185">
        <v>74.582975131550299</v>
      </c>
      <c r="AK3185">
        <v>42.711868166965402</v>
      </c>
    </row>
    <row r="3186" spans="1:37" x14ac:dyDescent="0.2">
      <c r="A3186" t="str">
        <f>"20200111153459963"</f>
        <v>20200111153459963</v>
      </c>
      <c r="B3186" t="str">
        <f>"1578728099959263"</f>
        <v>1578728099959263</v>
      </c>
      <c r="C3186" t="s">
        <v>37</v>
      </c>
      <c r="D3186">
        <v>4.8664909999999999</v>
      </c>
      <c r="E3186">
        <v>0.57988919999999999</v>
      </c>
      <c r="F3186" t="s">
        <v>51</v>
      </c>
      <c r="G3186">
        <v>-191.38229999999999</v>
      </c>
      <c r="H3186" s="1">
        <v>-1.2971469999999901E-5</v>
      </c>
      <c r="I3186">
        <v>154.64570000000001</v>
      </c>
      <c r="J3186">
        <v>-193.47649999999999</v>
      </c>
      <c r="K3186">
        <v>1.097891</v>
      </c>
      <c r="L3186">
        <v>198.71599999999901</v>
      </c>
      <c r="M3186">
        <v>0.30778059999999902</v>
      </c>
      <c r="N3186">
        <v>0</v>
      </c>
      <c r="O3186">
        <v>-0.95134909999999995</v>
      </c>
      <c r="P3186">
        <v>0.25230010000000003</v>
      </c>
      <c r="Q3186">
        <v>2.6373609999999999E-2</v>
      </c>
      <c r="R3186">
        <v>-0.96728939999999997</v>
      </c>
      <c r="S3186">
        <v>0.14901729999999899</v>
      </c>
      <c r="T3186">
        <v>-7.6115249999999995E-2</v>
      </c>
      <c r="U3186">
        <v>-3.0685419999999999</v>
      </c>
      <c r="V3186">
        <v>5.8376240000000003E-2</v>
      </c>
      <c r="W3186">
        <v>3.9702769999999998E-2</v>
      </c>
      <c r="X3186">
        <v>0.99750479999999997</v>
      </c>
      <c r="Y3186">
        <v>0.2613106</v>
      </c>
      <c r="Z3186">
        <v>2.255213E-2</v>
      </c>
      <c r="AA3186">
        <v>0.9649913</v>
      </c>
      <c r="AB3186">
        <v>28</v>
      </c>
      <c r="AC3186">
        <v>2.0941999999999998</v>
      </c>
      <c r="AD3186">
        <v>-1.0979039714700001</v>
      </c>
      <c r="AE3186">
        <v>-44.070299999999897</v>
      </c>
      <c r="AF3186">
        <v>11.565698199831299</v>
      </c>
      <c r="AG3186">
        <v>-1.0979039714700001</v>
      </c>
      <c r="AH3186">
        <v>42.548831852884902</v>
      </c>
      <c r="AI3186">
        <v>91.426363806718498</v>
      </c>
      <c r="AJ3186">
        <v>74.793182811987194</v>
      </c>
      <c r="AK3186">
        <v>44.106392507495201</v>
      </c>
    </row>
    <row r="3187" spans="1:37" x14ac:dyDescent="0.2">
      <c r="A3187" t="str">
        <f>"20200111153459976"</f>
        <v>20200111153459976</v>
      </c>
      <c r="B3187" t="str">
        <f>"1578728099969026"</f>
        <v>1578728099969026</v>
      </c>
      <c r="C3187" t="s">
        <v>37</v>
      </c>
      <c r="D3187">
        <v>4.8451550000000001</v>
      </c>
      <c r="E3187">
        <v>0.57927039999999996</v>
      </c>
      <c r="F3187" t="s">
        <v>51</v>
      </c>
      <c r="G3187">
        <v>-191.61089999999999</v>
      </c>
      <c r="H3187" s="1">
        <v>-1.4375079999999899E-5</v>
      </c>
      <c r="I3187">
        <v>157.87029999999999</v>
      </c>
      <c r="J3187">
        <v>-193.42529999999999</v>
      </c>
      <c r="K3187">
        <v>1.0979939999999999</v>
      </c>
      <c r="L3187">
        <v>198.53899999999999</v>
      </c>
      <c r="M3187">
        <v>0.30234949999999999</v>
      </c>
      <c r="N3187">
        <v>0</v>
      </c>
      <c r="O3187">
        <v>-0.95308939999999998</v>
      </c>
      <c r="P3187">
        <v>0.247200799999999</v>
      </c>
      <c r="Q3187">
        <v>2.6375920000000001E-2</v>
      </c>
      <c r="R3187">
        <v>-0.96860519999999894</v>
      </c>
      <c r="S3187">
        <v>0.14009089999999999</v>
      </c>
      <c r="T3187">
        <v>-8.2443950000000002E-2</v>
      </c>
      <c r="U3187">
        <v>-3.0671840000000001</v>
      </c>
      <c r="V3187">
        <v>5.7931669999999998E-2</v>
      </c>
      <c r="W3187">
        <v>3.9707060000000002E-2</v>
      </c>
      <c r="X3187">
        <v>0.99753060000000005</v>
      </c>
      <c r="Y3187">
        <v>0.25858739999999902</v>
      </c>
      <c r="Z3187">
        <v>2.4517850000000001E-2</v>
      </c>
      <c r="AA3187">
        <v>0.96567669999999906</v>
      </c>
      <c r="AB3187">
        <v>28</v>
      </c>
      <c r="AC3187">
        <v>1.8144</v>
      </c>
      <c r="AD3187">
        <v>-1.0980083750799901</v>
      </c>
      <c r="AE3187">
        <v>-40.668700000000001</v>
      </c>
      <c r="AF3187">
        <v>10.5602784597087</v>
      </c>
      <c r="AG3187">
        <v>-1.0980083750799901</v>
      </c>
      <c r="AH3187">
        <v>39.284947623809302</v>
      </c>
      <c r="AI3187">
        <v>91.546132127937298</v>
      </c>
      <c r="AJ3187">
        <v>74.953868412912101</v>
      </c>
      <c r="AK3187">
        <v>40.694375696695197</v>
      </c>
    </row>
    <row r="3188" spans="1:37" x14ac:dyDescent="0.2">
      <c r="A3188" t="str">
        <f>"20200111153459992"</f>
        <v>20200111153459992</v>
      </c>
      <c r="B3188" t="str">
        <f>"1578728099989520"</f>
        <v>1578728099989520</v>
      </c>
      <c r="C3188" t="s">
        <v>37</v>
      </c>
      <c r="D3188">
        <v>4.8810659999999997</v>
      </c>
      <c r="E3188">
        <v>0.57787440000000001</v>
      </c>
      <c r="F3188" t="s">
        <v>51</v>
      </c>
      <c r="G3188">
        <v>-191.77860000000001</v>
      </c>
      <c r="H3188" s="1">
        <v>-1.488995E-5</v>
      </c>
      <c r="I3188">
        <v>159.26840000000001</v>
      </c>
      <c r="J3188">
        <v>-193.3766</v>
      </c>
      <c r="K3188">
        <v>1.0981030000000001</v>
      </c>
      <c r="L3188">
        <v>198.3663</v>
      </c>
      <c r="M3188">
        <v>0.2971453</v>
      </c>
      <c r="N3188">
        <v>0</v>
      </c>
      <c r="O3188">
        <v>-0.95472509999999999</v>
      </c>
      <c r="P3188">
        <v>0.24350639999999901</v>
      </c>
      <c r="Q3188">
        <v>2.6426040000000001E-2</v>
      </c>
      <c r="R3188">
        <v>-0.96953940000000005</v>
      </c>
      <c r="S3188">
        <v>0.1286011</v>
      </c>
      <c r="T3188">
        <v>-8.574677E-2</v>
      </c>
      <c r="U3188">
        <v>-3.066757</v>
      </c>
      <c r="V3188">
        <v>5.6282209999999999E-2</v>
      </c>
      <c r="W3188">
        <v>3.9779000000000002E-2</v>
      </c>
      <c r="X3188">
        <v>0.99762209999999996</v>
      </c>
      <c r="Y3188">
        <v>0.25692289999999901</v>
      </c>
      <c r="Z3188">
        <v>2.5579109999999999E-2</v>
      </c>
      <c r="AA3188">
        <v>0.96609339999999999</v>
      </c>
      <c r="AB3188">
        <v>28</v>
      </c>
      <c r="AC3188">
        <v>1.5979999999999801</v>
      </c>
      <c r="AD3188">
        <v>-1.0981178899499999</v>
      </c>
      <c r="AE3188">
        <v>-39.097899999999903</v>
      </c>
      <c r="AF3188">
        <v>10.085196990820799</v>
      </c>
      <c r="AG3188">
        <v>-1.0981178899499999</v>
      </c>
      <c r="AH3188">
        <v>37.776703273722902</v>
      </c>
      <c r="AI3188">
        <v>91.6087311211665</v>
      </c>
      <c r="AJ3188">
        <v>75.052428224402803</v>
      </c>
      <c r="AK3188">
        <v>39.115168048658497</v>
      </c>
    </row>
    <row r="3189" spans="1:37" x14ac:dyDescent="0.2">
      <c r="A3189" t="str">
        <f>"20200111153500007"</f>
        <v>20200111153500007</v>
      </c>
      <c r="B3189" t="str">
        <f>"1578728099999280"</f>
        <v>1578728099999280</v>
      </c>
      <c r="C3189" t="s">
        <v>37</v>
      </c>
      <c r="D3189">
        <v>4.8588909999999998</v>
      </c>
      <c r="E3189">
        <v>0.57716630000000002</v>
      </c>
      <c r="F3189" t="s">
        <v>39</v>
      </c>
      <c r="G3189">
        <v>-191.8158</v>
      </c>
      <c r="H3189" s="1">
        <v>-1.0847270000000001E-6</v>
      </c>
      <c r="I3189">
        <v>160.86420000000001</v>
      </c>
      <c r="J3189">
        <v>-193.3252</v>
      </c>
      <c r="K3189">
        <v>1.09822</v>
      </c>
      <c r="L3189">
        <v>198.1808</v>
      </c>
      <c r="M3189">
        <v>0.29162729999999998</v>
      </c>
      <c r="N3189">
        <v>0</v>
      </c>
      <c r="O3189">
        <v>-0.95642539999999998</v>
      </c>
      <c r="P3189">
        <v>0.23898629999999901</v>
      </c>
      <c r="Q3189">
        <v>2.635229E-2</v>
      </c>
      <c r="R3189">
        <v>-0.97066529999999995</v>
      </c>
      <c r="S3189">
        <v>0.1275482</v>
      </c>
      <c r="T3189">
        <v>-8.9736940000000001E-2</v>
      </c>
      <c r="U3189">
        <v>-3.064667</v>
      </c>
      <c r="V3189">
        <v>5.5157449999999997E-2</v>
      </c>
      <c r="W3189">
        <v>3.9717549999999997E-2</v>
      </c>
      <c r="X3189">
        <v>0.9976874</v>
      </c>
      <c r="Y3189">
        <v>0.25164339999999902</v>
      </c>
      <c r="Z3189">
        <v>2.6881499999999999E-2</v>
      </c>
      <c r="AA3189">
        <v>0.96744660000000005</v>
      </c>
      <c r="AB3189">
        <v>28</v>
      </c>
      <c r="AC3189">
        <v>1.5093999999999901</v>
      </c>
      <c r="AD3189">
        <v>-1.098221084727</v>
      </c>
      <c r="AE3189">
        <v>-37.316600000000001</v>
      </c>
      <c r="AF3189">
        <v>9.4317179825117794</v>
      </c>
      <c r="AG3189">
        <v>-1.098221084727</v>
      </c>
      <c r="AH3189">
        <v>36.103193291315499</v>
      </c>
      <c r="AI3189">
        <v>91.6857974286673</v>
      </c>
      <c r="AJ3189">
        <v>75.359077880927998</v>
      </c>
      <c r="AK3189">
        <v>37.3310053371546</v>
      </c>
    </row>
    <row r="3190" spans="1:37" x14ac:dyDescent="0.2">
      <c r="A3190" t="str">
        <f>"20200111153500026"</f>
        <v>20200111153500026</v>
      </c>
      <c r="B3190" t="str">
        <f>"1578728100018800"</f>
        <v>1578728100018800</v>
      </c>
      <c r="C3190" t="s">
        <v>37</v>
      </c>
      <c r="D3190">
        <v>4.8890630000000002</v>
      </c>
      <c r="E3190">
        <v>0.57561099999999998</v>
      </c>
      <c r="F3190" t="s">
        <v>39</v>
      </c>
      <c r="G3190">
        <v>-191.9264</v>
      </c>
      <c r="H3190" s="1">
        <v>-1.6605039999999999E-6</v>
      </c>
      <c r="I3190">
        <v>162.02010000000001</v>
      </c>
      <c r="J3190">
        <v>-193.26150000000001</v>
      </c>
      <c r="K3190">
        <v>1.0983769999999999</v>
      </c>
      <c r="L3190">
        <v>197.94569999999999</v>
      </c>
      <c r="M3190">
        <v>0.2847653</v>
      </c>
      <c r="N3190">
        <v>0</v>
      </c>
      <c r="O3190">
        <v>-0.95849139999999999</v>
      </c>
      <c r="P3190">
        <v>0.2345805</v>
      </c>
      <c r="Q3190">
        <v>2.729053E-2</v>
      </c>
      <c r="R3190">
        <v>-0.97171350000000001</v>
      </c>
      <c r="S3190">
        <v>0.11853030000000001</v>
      </c>
      <c r="T3190">
        <v>-9.3055250000000006E-2</v>
      </c>
      <c r="U3190">
        <v>-3.0639949999999998</v>
      </c>
      <c r="V3190">
        <v>5.2524670000000002E-2</v>
      </c>
      <c r="W3190">
        <v>4.0690940000000002E-2</v>
      </c>
      <c r="X3190">
        <v>0.99779030000000002</v>
      </c>
      <c r="Y3190">
        <v>0.24753989999999901</v>
      </c>
      <c r="Z3190">
        <v>2.7991909999999998E-2</v>
      </c>
      <c r="AA3190">
        <v>0.96847329999999998</v>
      </c>
      <c r="AB3190">
        <v>28</v>
      </c>
      <c r="AC3190">
        <v>1.3351000000000099</v>
      </c>
      <c r="AD3190">
        <v>-1.098378660504</v>
      </c>
      <c r="AE3190">
        <v>-35.925599999999903</v>
      </c>
      <c r="AF3190">
        <v>8.9432426683916297</v>
      </c>
      <c r="AG3190">
        <v>-1.098378660504</v>
      </c>
      <c r="AH3190">
        <v>34.785631241459598</v>
      </c>
      <c r="AI3190">
        <v>91.751623955750105</v>
      </c>
      <c r="AJ3190">
        <v>75.581751258498102</v>
      </c>
      <c r="AK3190">
        <v>35.933663408764801</v>
      </c>
    </row>
    <row r="3191" spans="1:37" x14ac:dyDescent="0.2">
      <c r="A3191" t="str">
        <f>"20200111153500040"</f>
        <v>20200111153500040</v>
      </c>
      <c r="B3191" t="str">
        <f>"1578728100029536"</f>
        <v>1578728100029536</v>
      </c>
      <c r="C3191" t="s">
        <v>37</v>
      </c>
      <c r="D3191">
        <v>4.8805670000000001</v>
      </c>
      <c r="E3191">
        <v>0.57468540000000001</v>
      </c>
      <c r="F3191" t="s">
        <v>39</v>
      </c>
      <c r="G3191">
        <v>-191.92930000000001</v>
      </c>
      <c r="H3191" s="1">
        <v>-2.0858730000000001E-6</v>
      </c>
      <c r="I3191">
        <v>162.91829999999999</v>
      </c>
      <c r="J3191">
        <v>-193.2167</v>
      </c>
      <c r="K3191">
        <v>1.09849</v>
      </c>
      <c r="L3191">
        <v>197.77690000000001</v>
      </c>
      <c r="M3191">
        <v>0.27991459999999901</v>
      </c>
      <c r="N3191">
        <v>0</v>
      </c>
      <c r="O3191">
        <v>-0.95991949999999904</v>
      </c>
      <c r="P3191">
        <v>0.23100229999999899</v>
      </c>
      <c r="Q3191">
        <v>2.786711E-2</v>
      </c>
      <c r="R3191">
        <v>-0.97255400000000003</v>
      </c>
      <c r="S3191">
        <v>0.11645510000000001</v>
      </c>
      <c r="T3191">
        <v>-9.6013780000000007E-2</v>
      </c>
      <c r="U3191">
        <v>-3.06189</v>
      </c>
      <c r="V3191">
        <v>5.1144059999999998E-2</v>
      </c>
      <c r="W3191">
        <v>4.1283149999999998E-2</v>
      </c>
      <c r="X3191">
        <v>0.99783770000000005</v>
      </c>
      <c r="Y3191">
        <v>0.24326869999999901</v>
      </c>
      <c r="Z3191">
        <v>2.898502E-2</v>
      </c>
      <c r="AA3191">
        <v>0.96952579999999999</v>
      </c>
      <c r="AB3191">
        <v>28</v>
      </c>
      <c r="AC3191">
        <v>1.2873999999999901</v>
      </c>
      <c r="AD3191">
        <v>-1.0984920858730001</v>
      </c>
      <c r="AE3191">
        <v>-34.858600000000003</v>
      </c>
      <c r="AF3191">
        <v>8.5140496880880399</v>
      </c>
      <c r="AG3191">
        <v>-1.0984920858730001</v>
      </c>
      <c r="AH3191">
        <v>33.791723338480999</v>
      </c>
      <c r="AI3191">
        <v>91.805511808240794</v>
      </c>
      <c r="AJ3191">
        <v>75.858291551368893</v>
      </c>
      <c r="AK3191">
        <v>34.865115705220298</v>
      </c>
    </row>
    <row r="3192" spans="1:37" x14ac:dyDescent="0.2">
      <c r="A3192" t="str">
        <f>"20200111153500054"</f>
        <v>20200111153500054</v>
      </c>
      <c r="B3192" t="str">
        <f>"1578728100049056"</f>
        <v>1578728100049056</v>
      </c>
      <c r="C3192" t="s">
        <v>37</v>
      </c>
      <c r="D3192">
        <v>4.86599</v>
      </c>
      <c r="E3192">
        <v>0.57318740000000001</v>
      </c>
      <c r="F3192" t="s">
        <v>39</v>
      </c>
      <c r="G3192">
        <v>-191.94820000000001</v>
      </c>
      <c r="H3192" s="1">
        <v>-2.2474170000000001E-6</v>
      </c>
      <c r="I3192">
        <v>163.24940000000001</v>
      </c>
      <c r="J3192">
        <v>-193.1688</v>
      </c>
      <c r="K3192">
        <v>1.0986149999999999</v>
      </c>
      <c r="L3192">
        <v>197.59200000000001</v>
      </c>
      <c r="M3192">
        <v>0.27471420000000002</v>
      </c>
      <c r="N3192">
        <v>0</v>
      </c>
      <c r="O3192">
        <v>-0.96142099999999897</v>
      </c>
      <c r="P3192">
        <v>0.22692199999999901</v>
      </c>
      <c r="Q3192">
        <v>2.81579E-2</v>
      </c>
      <c r="R3192">
        <v>-0.97350590000000004</v>
      </c>
      <c r="S3192">
        <v>0.112442</v>
      </c>
      <c r="T3192">
        <v>-9.7377539999999999E-2</v>
      </c>
      <c r="U3192">
        <v>-3.0607449999999998</v>
      </c>
      <c r="V3192">
        <v>4.9916040000000002E-2</v>
      </c>
      <c r="W3192">
        <v>4.1586150000000002E-2</v>
      </c>
      <c r="X3192">
        <v>0.99788729999999903</v>
      </c>
      <c r="Y3192">
        <v>0.23927199999999901</v>
      </c>
      <c r="Z3192">
        <v>2.9495070000000002E-2</v>
      </c>
      <c r="AA3192">
        <v>0.97050449999999999</v>
      </c>
      <c r="AB3192">
        <v>28</v>
      </c>
      <c r="AC3192">
        <v>1.2205999999999899</v>
      </c>
      <c r="AD3192">
        <v>-1.098617247417</v>
      </c>
      <c r="AE3192">
        <v>-34.342599999999997</v>
      </c>
      <c r="AF3192">
        <v>8.2532875439439994</v>
      </c>
      <c r="AG3192">
        <v>-1.098617247417</v>
      </c>
      <c r="AH3192">
        <v>33.322320745399203</v>
      </c>
      <c r="AI3192">
        <v>91.832977760054305</v>
      </c>
      <c r="AJ3192">
        <v>76.088907153198406</v>
      </c>
      <c r="AK3192">
        <v>34.346772410207699</v>
      </c>
    </row>
    <row r="3193" spans="1:37" x14ac:dyDescent="0.2">
      <c r="A3193" t="str">
        <f>"20200111153500070"</f>
        <v>20200111153500070</v>
      </c>
      <c r="B3193" t="str">
        <f>"1578728100058816"</f>
        <v>1578728100058816</v>
      </c>
      <c r="C3193" t="s">
        <v>37</v>
      </c>
      <c r="D3193">
        <v>4.8518160000000004</v>
      </c>
      <c r="E3193">
        <v>0.57255400000000001</v>
      </c>
      <c r="F3193" t="s">
        <v>39</v>
      </c>
      <c r="G3193">
        <v>-191.96870000000001</v>
      </c>
      <c r="H3193" s="1">
        <v>-2.8668009999999899E-6</v>
      </c>
      <c r="I3193">
        <v>164.54810000000001</v>
      </c>
      <c r="J3193">
        <v>-193.1223</v>
      </c>
      <c r="K3193">
        <v>1.098732</v>
      </c>
      <c r="L3193">
        <v>197.40899999999999</v>
      </c>
      <c r="M3193">
        <v>0.2696578</v>
      </c>
      <c r="N3193">
        <v>0</v>
      </c>
      <c r="O3193">
        <v>-0.96285180000000004</v>
      </c>
      <c r="P3193">
        <v>0.2245481</v>
      </c>
      <c r="Q3193">
        <v>2.7985039999999999E-2</v>
      </c>
      <c r="R3193">
        <v>-0.97406109999999901</v>
      </c>
      <c r="S3193">
        <v>0.111083999999999</v>
      </c>
      <c r="T3193">
        <v>-0.1016924</v>
      </c>
      <c r="U3193">
        <v>-3.0586700000000002</v>
      </c>
      <c r="V3193">
        <v>4.7089499999999999E-2</v>
      </c>
      <c r="W3193">
        <v>4.1450359999999999E-2</v>
      </c>
      <c r="X3193">
        <v>0.99803030000000004</v>
      </c>
      <c r="Y3193">
        <v>0.23457399999999901</v>
      </c>
      <c r="Z3193">
        <v>3.0911830000000001E-2</v>
      </c>
      <c r="AA3193">
        <v>0.97160669999999905</v>
      </c>
      <c r="AB3193">
        <v>28</v>
      </c>
      <c r="AC3193">
        <v>1.15359999999998</v>
      </c>
      <c r="AD3193">
        <v>-1.098734866801</v>
      </c>
      <c r="AE3193">
        <v>-32.860900000000001</v>
      </c>
      <c r="AF3193">
        <v>7.74258625973457</v>
      </c>
      <c r="AG3193">
        <v>-1.098734866801</v>
      </c>
      <c r="AH3193">
        <v>31.918826749131401</v>
      </c>
      <c r="AI3193">
        <v>91.915981754555403</v>
      </c>
      <c r="AJ3193">
        <v>76.365055865549806</v>
      </c>
      <c r="AK3193">
        <v>32.8628416503811</v>
      </c>
    </row>
    <row r="3194" spans="1:37" x14ac:dyDescent="0.2">
      <c r="A3194" t="str">
        <f>"20200111153500092"</f>
        <v>20200111153500092</v>
      </c>
      <c r="B3194" t="str">
        <f>"1578728100078879"</f>
        <v>1578728100078879</v>
      </c>
      <c r="C3194" t="s">
        <v>37</v>
      </c>
      <c r="D3194">
        <v>4.8439249999999996</v>
      </c>
      <c r="E3194">
        <v>0.57190799999999997</v>
      </c>
      <c r="F3194" t="s">
        <v>39</v>
      </c>
      <c r="G3194">
        <v>-191.96969999999999</v>
      </c>
      <c r="H3194" s="1">
        <v>-3.0260770000000001E-6</v>
      </c>
      <c r="I3194">
        <v>164.8845</v>
      </c>
      <c r="J3194">
        <v>-193.05269999999999</v>
      </c>
      <c r="K3194">
        <v>1.098916</v>
      </c>
      <c r="L3194">
        <v>197.1284</v>
      </c>
      <c r="M3194">
        <v>0.26207839999999999</v>
      </c>
      <c r="N3194">
        <v>0</v>
      </c>
      <c r="O3194">
        <v>-0.96494279999999999</v>
      </c>
      <c r="P3194">
        <v>0.2198098</v>
      </c>
      <c r="Q3194">
        <v>2.734907E-2</v>
      </c>
      <c r="R3194">
        <v>-0.97515949999999996</v>
      </c>
      <c r="S3194">
        <v>0.108367899999999</v>
      </c>
      <c r="T3194">
        <v>-0.1033005</v>
      </c>
      <c r="U3194">
        <v>-3.057877</v>
      </c>
      <c r="V3194">
        <v>4.4068699999999898E-2</v>
      </c>
      <c r="W3194">
        <v>4.0849110000000001E-2</v>
      </c>
      <c r="X3194">
        <v>0.998193</v>
      </c>
      <c r="Y3194">
        <v>0.22777790000000001</v>
      </c>
      <c r="Z3194">
        <v>3.1541470000000002E-2</v>
      </c>
      <c r="AA3194">
        <v>0.97320209999999996</v>
      </c>
      <c r="AB3194">
        <v>28</v>
      </c>
      <c r="AC3194">
        <v>1.08299999999999</v>
      </c>
      <c r="AD3194">
        <v>-1.0989190260770001</v>
      </c>
      <c r="AE3194">
        <v>-32.243899999999996</v>
      </c>
      <c r="AF3194">
        <v>7.3975555345393298</v>
      </c>
      <c r="AG3194">
        <v>-1.0989190260770001</v>
      </c>
      <c r="AH3194">
        <v>31.364105266435601</v>
      </c>
      <c r="AI3194">
        <v>91.9531304520155</v>
      </c>
      <c r="AJ3194">
        <v>76.728731581981407</v>
      </c>
      <c r="AK3194">
        <v>32.243426463025301</v>
      </c>
    </row>
    <row r="3195" spans="1:37" x14ac:dyDescent="0.2">
      <c r="A3195" t="str">
        <f>"20200111153500107"</f>
        <v>20200111153500107</v>
      </c>
      <c r="B3195" t="str">
        <f>"1578728100099374"</f>
        <v>1578728100099374</v>
      </c>
      <c r="C3195" t="s">
        <v>37</v>
      </c>
      <c r="D3195">
        <v>4.8715719999999996</v>
      </c>
      <c r="E3195">
        <v>0.5556219</v>
      </c>
      <c r="F3195" t="s">
        <v>39</v>
      </c>
      <c r="G3195">
        <v>-192.04499999999999</v>
      </c>
      <c r="H3195" s="1">
        <v>-3.442243E-6</v>
      </c>
      <c r="I3195">
        <v>165.7225</v>
      </c>
      <c r="J3195">
        <v>-193.00989999999999</v>
      </c>
      <c r="K3195">
        <v>1.099037</v>
      </c>
      <c r="L3195">
        <v>196.95150000000001</v>
      </c>
      <c r="M3195">
        <v>0.25742689999999901</v>
      </c>
      <c r="N3195">
        <v>0</v>
      </c>
      <c r="O3195">
        <v>-0.96619449999999996</v>
      </c>
      <c r="P3195">
        <v>0.21662399999999901</v>
      </c>
      <c r="Q3195">
        <v>2.7364019999999999E-2</v>
      </c>
      <c r="R3195">
        <v>-0.97587179999999996</v>
      </c>
      <c r="S3195">
        <v>9.8098749999999998E-2</v>
      </c>
      <c r="T3195">
        <v>-0.1069779</v>
      </c>
      <c r="U3195">
        <v>-3.057312</v>
      </c>
      <c r="V3195">
        <v>4.2506889999999999E-2</v>
      </c>
      <c r="W3195">
        <v>4.0878650000000002E-2</v>
      </c>
      <c r="X3195">
        <v>0.99825949999999997</v>
      </c>
      <c r="Y3195">
        <v>0.22634679999999999</v>
      </c>
      <c r="Z3195">
        <v>3.2741930000000002E-2</v>
      </c>
      <c r="AA3195">
        <v>0.97349629999999998</v>
      </c>
      <c r="AB3195">
        <v>28</v>
      </c>
      <c r="AC3195">
        <v>0.96489999999999998</v>
      </c>
      <c r="AD3195">
        <v>-1.099040442243</v>
      </c>
      <c r="AE3195">
        <v>-31.228999999999999</v>
      </c>
      <c r="AF3195">
        <v>7.0988290671590901</v>
      </c>
      <c r="AG3195">
        <v>-1.099040442243</v>
      </c>
      <c r="AH3195">
        <v>30.387115616707799</v>
      </c>
      <c r="AI3195">
        <v>92.017105434389293</v>
      </c>
      <c r="AJ3195">
        <v>76.850775430410707</v>
      </c>
      <c r="AK3195">
        <v>31.224638661185399</v>
      </c>
    </row>
    <row r="3196" spans="1:37" x14ac:dyDescent="0.2">
      <c r="A3196" t="str">
        <f>"20200111153500120"</f>
        <v>20200111153500120</v>
      </c>
      <c r="B3196" t="str">
        <f>"1578728100109135"</f>
        <v>1578728100109135</v>
      </c>
      <c r="C3196" t="s">
        <v>37</v>
      </c>
      <c r="D3196">
        <v>4.9015000000000004</v>
      </c>
      <c r="E3196">
        <v>0.55520209999999903</v>
      </c>
      <c r="F3196" t="s">
        <v>39</v>
      </c>
      <c r="G3196">
        <v>-191.65119999999999</v>
      </c>
      <c r="H3196" s="1">
        <v>-3.92613E-6</v>
      </c>
      <c r="I3196">
        <v>177.71690000000001</v>
      </c>
      <c r="J3196">
        <v>-192.96969999999999</v>
      </c>
      <c r="K3196">
        <v>1.099159</v>
      </c>
      <c r="L3196">
        <v>196.78270000000001</v>
      </c>
      <c r="M3196">
        <v>0.2530596</v>
      </c>
      <c r="N3196">
        <v>0</v>
      </c>
      <c r="O3196">
        <v>-0.96734769999999903</v>
      </c>
      <c r="P3196">
        <v>0.21325939999999999</v>
      </c>
      <c r="Q3196">
        <v>2.719009E-2</v>
      </c>
      <c r="R3196">
        <v>-0.97661719999999896</v>
      </c>
      <c r="S3196">
        <v>0.21414179999999899</v>
      </c>
      <c r="T3196">
        <v>-0.173216799999999</v>
      </c>
      <c r="U3196">
        <v>-3.0315089999999998</v>
      </c>
      <c r="V3196">
        <v>4.142407E-2</v>
      </c>
      <c r="W3196">
        <v>4.0712379999999999E-2</v>
      </c>
      <c r="X3196">
        <v>0.99831190000000003</v>
      </c>
      <c r="Y3196">
        <v>0.1843882</v>
      </c>
      <c r="Z3196">
        <v>5.3714449999999997E-2</v>
      </c>
      <c r="AA3196">
        <v>0.98138459999999905</v>
      </c>
      <c r="AB3196">
        <v>28</v>
      </c>
      <c r="AC3196">
        <v>1.3185</v>
      </c>
      <c r="AD3196">
        <v>-1.09916292613</v>
      </c>
      <c r="AE3196">
        <v>-19.065799999999999</v>
      </c>
      <c r="AF3196">
        <v>3.5379864364905802</v>
      </c>
      <c r="AG3196">
        <v>-1.09916292613</v>
      </c>
      <c r="AH3196">
        <v>18.716875862520101</v>
      </c>
      <c r="AI3196">
        <v>93.302528040080503</v>
      </c>
      <c r="AJ3196">
        <v>79.295873876967406</v>
      </c>
      <c r="AK3196">
        <v>19.080014392446301</v>
      </c>
    </row>
    <row r="3197" spans="1:37" x14ac:dyDescent="0.2">
      <c r="A3197" t="str">
        <f>"20200111153500135"</f>
        <v>20200111153500135</v>
      </c>
      <c r="B3197" t="str">
        <f>"1578728100129631"</f>
        <v>1578728100129631</v>
      </c>
      <c r="C3197" t="s">
        <v>37</v>
      </c>
      <c r="D3197">
        <v>4.8499629999999998</v>
      </c>
      <c r="E3197">
        <v>0.55430469999999998</v>
      </c>
      <c r="F3197" t="s">
        <v>39</v>
      </c>
      <c r="G3197">
        <v>-191.68530000000001</v>
      </c>
      <c r="H3197" s="1">
        <v>-4.0367909999999996E-6</v>
      </c>
      <c r="I3197">
        <v>177.97059999999999</v>
      </c>
      <c r="J3197">
        <v>-192.92869999999999</v>
      </c>
      <c r="K3197">
        <v>1.099283</v>
      </c>
      <c r="L3197">
        <v>196.60679999999999</v>
      </c>
      <c r="M3197">
        <v>0.24862190000000001</v>
      </c>
      <c r="N3197">
        <v>0</v>
      </c>
      <c r="O3197">
        <v>-0.96849819999999998</v>
      </c>
      <c r="P3197">
        <v>0.2095592</v>
      </c>
      <c r="Q3197">
        <v>2.7438629999999999E-2</v>
      </c>
      <c r="R3197">
        <v>-0.97741100000000003</v>
      </c>
      <c r="S3197">
        <v>0.20697019999999999</v>
      </c>
      <c r="T3197">
        <v>-0.17713010000000001</v>
      </c>
      <c r="U3197">
        <v>-3.0315699999999999</v>
      </c>
      <c r="V3197">
        <v>4.0616760000000002E-2</v>
      </c>
      <c r="W3197">
        <v>4.0962980000000003E-2</v>
      </c>
      <c r="X3197">
        <v>0.99833479999999997</v>
      </c>
      <c r="Y3197">
        <v>0.1821982</v>
      </c>
      <c r="Z3197">
        <v>5.5038990000000003E-2</v>
      </c>
      <c r="AA3197">
        <v>0.98172019999999904</v>
      </c>
      <c r="AB3197">
        <v>28</v>
      </c>
      <c r="AC3197">
        <v>1.2433999999999801</v>
      </c>
      <c r="AD3197">
        <v>-1.0992870367909999</v>
      </c>
      <c r="AE3197">
        <v>-18.636199999999999</v>
      </c>
      <c r="AF3197">
        <v>3.4176382741834299</v>
      </c>
      <c r="AG3197">
        <v>-1.0992870367909999</v>
      </c>
      <c r="AH3197">
        <v>18.296704045821699</v>
      </c>
      <c r="AI3197">
        <v>93.379943987833499</v>
      </c>
      <c r="AJ3197">
        <v>79.419657493940804</v>
      </c>
      <c r="AK3197">
        <v>18.645590961479598</v>
      </c>
    </row>
    <row r="3198" spans="1:37" x14ac:dyDescent="0.2">
      <c r="A3198" t="str">
        <f>"20200111153500148"</f>
        <v>20200111153500148</v>
      </c>
      <c r="B3198" t="str">
        <f>"1578728100139391"</f>
        <v>1578728100139391</v>
      </c>
      <c r="C3198" t="s">
        <v>37</v>
      </c>
      <c r="D3198">
        <v>4.8321589999999999</v>
      </c>
      <c r="E3198">
        <v>0.55378119999999997</v>
      </c>
      <c r="F3198" t="s">
        <v>39</v>
      </c>
      <c r="G3198">
        <v>-191.68029999999999</v>
      </c>
      <c r="H3198" s="1">
        <v>-4.0155010000000002E-6</v>
      </c>
      <c r="I3198">
        <v>177.91069999999999</v>
      </c>
      <c r="J3198">
        <v>-192.89080000000001</v>
      </c>
      <c r="K3198">
        <v>1.0993999999999999</v>
      </c>
      <c r="L3198">
        <v>196.4409</v>
      </c>
      <c r="M3198">
        <v>0.244509</v>
      </c>
      <c r="N3198">
        <v>0</v>
      </c>
      <c r="O3198">
        <v>-0.96954509999999905</v>
      </c>
      <c r="P3198">
        <v>0.20707529999999899</v>
      </c>
      <c r="Q3198">
        <v>2.889715E-2</v>
      </c>
      <c r="R3198">
        <v>-0.9778985</v>
      </c>
      <c r="S3198">
        <v>0.20239260000000001</v>
      </c>
      <c r="T3198">
        <v>-0.1782118</v>
      </c>
      <c r="U3198">
        <v>-3.030945</v>
      </c>
      <c r="V3198">
        <v>3.8912889999999999E-2</v>
      </c>
      <c r="W3198">
        <v>4.2436080000000001E-2</v>
      </c>
      <c r="X3198">
        <v>0.99834109999999998</v>
      </c>
      <c r="Y3198">
        <v>0.17948789999999901</v>
      </c>
      <c r="Z3198">
        <v>5.5494179999999997E-2</v>
      </c>
      <c r="AA3198">
        <v>0.98219369999999995</v>
      </c>
      <c r="AB3198">
        <v>28</v>
      </c>
      <c r="AC3198">
        <v>1.2105000000000199</v>
      </c>
      <c r="AD3198">
        <v>-1.0994040155010001</v>
      </c>
      <c r="AE3198">
        <v>-18.530200000000001</v>
      </c>
      <c r="AF3198">
        <v>3.3457707601535698</v>
      </c>
      <c r="AG3198">
        <v>-1.0994040155010001</v>
      </c>
      <c r="AH3198">
        <v>18.199854742715999</v>
      </c>
      <c r="AI3198">
        <v>93.400044062049105</v>
      </c>
      <c r="AJ3198">
        <v>79.583334548036603</v>
      </c>
      <c r="AK3198">
        <v>18.537464331044902</v>
      </c>
    </row>
    <row r="3199" spans="1:37" x14ac:dyDescent="0.2">
      <c r="A3199" t="str">
        <f>"20200111153500164"</f>
        <v>20200111153500164</v>
      </c>
      <c r="B3199" t="str">
        <f>"1578728100158911"</f>
        <v>1578728100158911</v>
      </c>
      <c r="C3199" t="s">
        <v>37</v>
      </c>
      <c r="D3199">
        <v>4.9044829999999999</v>
      </c>
      <c r="E3199">
        <v>0.55339649999999996</v>
      </c>
      <c r="F3199" t="s">
        <v>39</v>
      </c>
      <c r="G3199">
        <v>-191.6377</v>
      </c>
      <c r="H3199" s="1">
        <v>-3.7607689999999998E-6</v>
      </c>
      <c r="I3199">
        <v>177.3398</v>
      </c>
      <c r="J3199">
        <v>-192.84700000000001</v>
      </c>
      <c r="K3199">
        <v>1.0995280000000001</v>
      </c>
      <c r="L3199">
        <v>196.24610000000001</v>
      </c>
      <c r="M3199">
        <v>0.23975460000000001</v>
      </c>
      <c r="N3199">
        <v>0</v>
      </c>
      <c r="O3199">
        <v>-0.97073189999999998</v>
      </c>
      <c r="P3199">
        <v>0.2027716</v>
      </c>
      <c r="Q3199">
        <v>2.9342900000000002E-2</v>
      </c>
      <c r="R3199">
        <v>-0.9787863</v>
      </c>
      <c r="S3199">
        <v>0.19883729999999999</v>
      </c>
      <c r="T3199">
        <v>-0.1744473</v>
      </c>
      <c r="U3199">
        <v>-3.030853</v>
      </c>
      <c r="V3199">
        <v>3.8401299999999999E-2</v>
      </c>
      <c r="W3199">
        <v>4.2878180000000002E-2</v>
      </c>
      <c r="X3199">
        <v>0.99834199999999995</v>
      </c>
      <c r="Y3199">
        <v>0.17580689999999999</v>
      </c>
      <c r="Z3199">
        <v>5.4450140000000001E-2</v>
      </c>
      <c r="AA3199">
        <v>0.98291770000000001</v>
      </c>
      <c r="AB3199">
        <v>28</v>
      </c>
      <c r="AC3199">
        <v>1.20930000000001</v>
      </c>
      <c r="AD3199">
        <v>-1.0995317607690001</v>
      </c>
      <c r="AE3199">
        <v>-18.906300000000002</v>
      </c>
      <c r="AF3199">
        <v>3.3480201181656599</v>
      </c>
      <c r="AG3199">
        <v>-1.0995317607690001</v>
      </c>
      <c r="AH3199">
        <v>18.582130386090402</v>
      </c>
      <c r="AI3199">
        <v>93.332786645480297</v>
      </c>
      <c r="AJ3199">
        <v>79.786359950862405</v>
      </c>
      <c r="AK3199">
        <v>18.913322777614901</v>
      </c>
    </row>
    <row r="3200" spans="1:37" x14ac:dyDescent="0.2">
      <c r="A3200" t="str">
        <f>"20200111153500177"</f>
        <v>20200111153500177</v>
      </c>
      <c r="B3200" t="str">
        <f>"1578728100169653"</f>
        <v>1578728100169653</v>
      </c>
      <c r="C3200" t="s">
        <v>37</v>
      </c>
      <c r="D3200">
        <v>4.8706120000000004</v>
      </c>
      <c r="E3200">
        <v>0.55321580000000004</v>
      </c>
      <c r="F3200" t="s">
        <v>39</v>
      </c>
      <c r="G3200">
        <v>-191.66159999999999</v>
      </c>
      <c r="H3200" s="1">
        <v>-3.7032649999999999E-6</v>
      </c>
      <c r="I3200">
        <v>177.1909</v>
      </c>
      <c r="J3200">
        <v>-192.80969999999999</v>
      </c>
      <c r="K3200">
        <v>1.099631</v>
      </c>
      <c r="L3200">
        <v>196.07730000000001</v>
      </c>
      <c r="M3200">
        <v>0.23570140000000001</v>
      </c>
      <c r="N3200">
        <v>0</v>
      </c>
      <c r="O3200">
        <v>-0.97172420000000004</v>
      </c>
      <c r="P3200">
        <v>0.1994629</v>
      </c>
      <c r="Q3200">
        <v>3.0269629999999999E-2</v>
      </c>
      <c r="R3200">
        <v>-0.97943780000000003</v>
      </c>
      <c r="S3200">
        <v>0.18856809999999999</v>
      </c>
      <c r="T3200">
        <v>-0.17490849999999999</v>
      </c>
      <c r="U3200">
        <v>-3.0312039999999998</v>
      </c>
      <c r="V3200">
        <v>3.7602730000000001E-2</v>
      </c>
      <c r="W3200">
        <v>4.380618E-2</v>
      </c>
      <c r="X3200">
        <v>0.99833209999999994</v>
      </c>
      <c r="Y3200">
        <v>0.17502309999999999</v>
      </c>
      <c r="Z3200">
        <v>5.4682149999999999E-2</v>
      </c>
      <c r="AA3200">
        <v>0.98304460000000005</v>
      </c>
      <c r="AB3200">
        <v>28</v>
      </c>
      <c r="AC3200">
        <v>1.1480999999999899</v>
      </c>
      <c r="AD3200">
        <v>-1.099634703265</v>
      </c>
      <c r="AE3200">
        <v>-18.886399999999998</v>
      </c>
      <c r="AF3200">
        <v>3.3250126232716601</v>
      </c>
      <c r="AG3200">
        <v>-1.099634703265</v>
      </c>
      <c r="AH3200">
        <v>18.562120943942599</v>
      </c>
      <c r="AI3200">
        <v>93.337288508408804</v>
      </c>
      <c r="AJ3200">
        <v>79.844376670128</v>
      </c>
      <c r="AK3200">
        <v>18.889606649242101</v>
      </c>
    </row>
    <row r="3201" spans="1:37" x14ac:dyDescent="0.2">
      <c r="A3201" t="str">
        <f>"20200111153500193"</f>
        <v>20200111153500193</v>
      </c>
      <c r="B3201" t="str">
        <f>"1578728100179412"</f>
        <v>1578728100179412</v>
      </c>
      <c r="C3201" t="s">
        <v>37</v>
      </c>
      <c r="D3201">
        <v>4.7911250000000001</v>
      </c>
      <c r="E3201">
        <v>0.55352500000000004</v>
      </c>
      <c r="F3201" t="s">
        <v>39</v>
      </c>
      <c r="G3201">
        <v>-191.66050000000001</v>
      </c>
      <c r="H3201" s="1">
        <v>-3.502134E-6</v>
      </c>
      <c r="I3201">
        <v>176.72280000000001</v>
      </c>
      <c r="J3201">
        <v>-192.77099999999999</v>
      </c>
      <c r="K3201">
        <v>1.099728</v>
      </c>
      <c r="L3201">
        <v>195.89760000000001</v>
      </c>
      <c r="M3201">
        <v>0.23146849999999999</v>
      </c>
      <c r="N3201">
        <v>0</v>
      </c>
      <c r="O3201">
        <v>-0.97274139999999998</v>
      </c>
      <c r="P3201">
        <v>0.19670000000000001</v>
      </c>
      <c r="Q3201">
        <v>3.1100550000000001E-2</v>
      </c>
      <c r="R3201">
        <v>-0.97997049999999997</v>
      </c>
      <c r="S3201">
        <v>0.1800079</v>
      </c>
      <c r="T3201">
        <v>-0.17224349999999999</v>
      </c>
      <c r="U3201">
        <v>-3.031631</v>
      </c>
      <c r="V3201">
        <v>3.606533E-2</v>
      </c>
      <c r="W3201">
        <v>4.4646980000000003E-2</v>
      </c>
      <c r="X3201">
        <v>0.99835160000000001</v>
      </c>
      <c r="Y3201">
        <v>0.17350789999999999</v>
      </c>
      <c r="Z3201">
        <v>5.3942110000000001E-2</v>
      </c>
      <c r="AA3201">
        <v>0.98335409999999901</v>
      </c>
      <c r="AB3201">
        <v>28</v>
      </c>
      <c r="AC3201">
        <v>1.1104999999999701</v>
      </c>
      <c r="AD3201">
        <v>-1.0997315021339999</v>
      </c>
      <c r="AE3201">
        <v>-19.174800000000001</v>
      </c>
      <c r="AF3201">
        <v>3.3474885658171201</v>
      </c>
      <c r="AG3201">
        <v>-1.0997315021339999</v>
      </c>
      <c r="AH3201">
        <v>18.849231011269801</v>
      </c>
      <c r="AI3201">
        <v>93.287727101780206</v>
      </c>
      <c r="AJ3201">
        <v>79.929673572124599</v>
      </c>
      <c r="AK3201">
        <v>19.175729420057898</v>
      </c>
    </row>
    <row r="3202" spans="1:37" x14ac:dyDescent="0.2">
      <c r="A3202" t="str">
        <f>"20200111153500207"</f>
        <v>20200111153500207</v>
      </c>
      <c r="B3202" t="str">
        <f>"1578728100198932"</f>
        <v>1578728100198932</v>
      </c>
      <c r="C3202" t="s">
        <v>37</v>
      </c>
      <c r="D3202">
        <v>4.760643</v>
      </c>
      <c r="E3202">
        <v>0.5536124</v>
      </c>
      <c r="F3202" t="s">
        <v>39</v>
      </c>
      <c r="G3202">
        <v>-191.65599999999901</v>
      </c>
      <c r="H3202" s="1">
        <v>-3.14851299999999E-6</v>
      </c>
      <c r="I3202">
        <v>175.90129999999999</v>
      </c>
      <c r="J3202">
        <v>-192.73269999999999</v>
      </c>
      <c r="K3202">
        <v>1.099809</v>
      </c>
      <c r="L3202">
        <v>195.71690000000001</v>
      </c>
      <c r="M3202">
        <v>0.2272557</v>
      </c>
      <c r="N3202">
        <v>0</v>
      </c>
      <c r="O3202">
        <v>-0.97373460000000001</v>
      </c>
      <c r="P3202">
        <v>0.19319159999999999</v>
      </c>
      <c r="Q3202">
        <v>3.1731330000000002E-2</v>
      </c>
      <c r="R3202">
        <v>-0.98064779999999996</v>
      </c>
      <c r="S3202">
        <v>0.1690979</v>
      </c>
      <c r="T3202">
        <v>-0.16678670000000001</v>
      </c>
      <c r="U3202">
        <v>-3.0326689999999998</v>
      </c>
      <c r="V3202">
        <v>3.5310670000000002E-2</v>
      </c>
      <c r="W3202">
        <v>4.5276719999999999E-2</v>
      </c>
      <c r="X3202">
        <v>0.99835019999999997</v>
      </c>
      <c r="Y3202">
        <v>0.17278579999999999</v>
      </c>
      <c r="Z3202">
        <v>5.2310490000000001E-2</v>
      </c>
      <c r="AA3202">
        <v>0.98356939999999904</v>
      </c>
      <c r="AB3202">
        <v>28</v>
      </c>
      <c r="AC3202">
        <v>1.07670000000001</v>
      </c>
      <c r="AD3202">
        <v>-1.0998121485129999</v>
      </c>
      <c r="AE3202">
        <v>-19.8156</v>
      </c>
      <c r="AF3202">
        <v>3.4445465131688899</v>
      </c>
      <c r="AG3202">
        <v>-1.0998121485129999</v>
      </c>
      <c r="AH3202">
        <v>19.481897035463302</v>
      </c>
      <c r="AI3202">
        <v>93.181843748903205</v>
      </c>
      <c r="AJ3202">
        <v>79.973297791114106</v>
      </c>
      <c r="AK3202">
        <v>19.814610759331</v>
      </c>
    </row>
    <row r="3203" spans="1:37" x14ac:dyDescent="0.2">
      <c r="A3203" t="str">
        <f>"20200111153500221"</f>
        <v>20200111153500221</v>
      </c>
      <c r="B3203" t="str">
        <f>"1578728100209668"</f>
        <v>1578728100209668</v>
      </c>
      <c r="C3203" t="s">
        <v>37</v>
      </c>
      <c r="D3203">
        <v>4.7946770000000001</v>
      </c>
      <c r="E3203">
        <v>0.55359609999999904</v>
      </c>
      <c r="F3203" t="s">
        <v>39</v>
      </c>
      <c r="G3203">
        <v>-191.64830000000001</v>
      </c>
      <c r="H3203" s="1">
        <v>-2.69554199999999E-6</v>
      </c>
      <c r="I3203">
        <v>174.8502</v>
      </c>
      <c r="J3203">
        <v>-192.6978</v>
      </c>
      <c r="K3203">
        <v>1.0998749999999999</v>
      </c>
      <c r="L3203">
        <v>195.54920000000001</v>
      </c>
      <c r="M3203">
        <v>0.22338040000000001</v>
      </c>
      <c r="N3203">
        <v>0</v>
      </c>
      <c r="O3203">
        <v>-0.97463109999999997</v>
      </c>
      <c r="P3203">
        <v>0.1900329</v>
      </c>
      <c r="Q3203">
        <v>3.1961690000000001E-2</v>
      </c>
      <c r="R3203">
        <v>-0.98125769999999901</v>
      </c>
      <c r="S3203">
        <v>0.15763849999999999</v>
      </c>
      <c r="T3203">
        <v>-0.15987689999999999</v>
      </c>
      <c r="U3203">
        <v>-3.0333399999999999</v>
      </c>
      <c r="V3203">
        <v>3.4547370000000001E-2</v>
      </c>
      <c r="W3203">
        <v>4.5507270000000002E-2</v>
      </c>
      <c r="X3203">
        <v>0.99836650000000005</v>
      </c>
      <c r="Y3203">
        <v>0.17257910000000001</v>
      </c>
      <c r="Z3203">
        <v>5.0214490000000001E-2</v>
      </c>
      <c r="AA3203">
        <v>0.98371489999999995</v>
      </c>
      <c r="AB3203">
        <v>28</v>
      </c>
      <c r="AC3203">
        <v>1.0494999999999901</v>
      </c>
      <c r="AD3203">
        <v>-1.099877695542</v>
      </c>
      <c r="AE3203">
        <v>-20.699000000000002</v>
      </c>
      <c r="AF3203">
        <v>3.5911138825276598</v>
      </c>
      <c r="AG3203">
        <v>-1.099877695542</v>
      </c>
      <c r="AH3203">
        <v>20.353001572289202</v>
      </c>
      <c r="AI3203">
        <v>93.046295427208904</v>
      </c>
      <c r="AJ3203">
        <v>79.993637172372999</v>
      </c>
      <c r="AK3203">
        <v>20.696630229678401</v>
      </c>
    </row>
    <row r="3204" spans="1:37" x14ac:dyDescent="0.2">
      <c r="A3204" t="str">
        <f>"20200111153500234"</f>
        <v>20200111153500234</v>
      </c>
      <c r="B3204" t="str">
        <f>"1578728100229187"</f>
        <v>1578728100229187</v>
      </c>
      <c r="C3204" t="s">
        <v>37</v>
      </c>
      <c r="D3204">
        <v>4.7567019999999998</v>
      </c>
      <c r="E3204">
        <v>0.55339609999999995</v>
      </c>
      <c r="F3204" t="s">
        <v>39</v>
      </c>
      <c r="G3204">
        <v>-191.66419999999999</v>
      </c>
      <c r="H3204" s="1">
        <v>-2.4759159999999999E-6</v>
      </c>
      <c r="I3204">
        <v>174.32839999999999</v>
      </c>
      <c r="J3204">
        <v>-192.6652</v>
      </c>
      <c r="K3204">
        <v>1.099923</v>
      </c>
      <c r="L3204">
        <v>195.38929999999999</v>
      </c>
      <c r="M3204">
        <v>0.21971879999999999</v>
      </c>
      <c r="N3204">
        <v>0</v>
      </c>
      <c r="O3204">
        <v>-0.97546309999999903</v>
      </c>
      <c r="P3204">
        <v>0.18700029999999901</v>
      </c>
      <c r="Q3204">
        <v>3.2160069999999999E-2</v>
      </c>
      <c r="R3204">
        <v>-0.98183299999999996</v>
      </c>
      <c r="S3204">
        <v>0.14776610000000001</v>
      </c>
      <c r="T3204">
        <v>-0.1572432</v>
      </c>
      <c r="U3204">
        <v>-3.0338289999999999</v>
      </c>
      <c r="V3204">
        <v>3.3877810000000001E-2</v>
      </c>
      <c r="W3204">
        <v>4.5704950000000001E-2</v>
      </c>
      <c r="X3204">
        <v>0.99838039999999995</v>
      </c>
      <c r="Y3204">
        <v>0.1720795</v>
      </c>
      <c r="Z3204">
        <v>4.9451950000000001E-2</v>
      </c>
      <c r="AA3204">
        <v>0.98384099999999997</v>
      </c>
      <c r="AB3204">
        <v>28</v>
      </c>
      <c r="AC3204">
        <v>1.0009999999999999</v>
      </c>
      <c r="AD3204">
        <v>-1.099925475916</v>
      </c>
      <c r="AE3204">
        <v>-21.0609</v>
      </c>
      <c r="AF3204">
        <v>3.6414839093700602</v>
      </c>
      <c r="AG3204">
        <v>-1.099925475916</v>
      </c>
      <c r="AH3204">
        <v>20.709738633668099</v>
      </c>
      <c r="AI3204">
        <v>92.994357363333407</v>
      </c>
      <c r="AJ3204">
        <v>80.027375574013107</v>
      </c>
      <c r="AK3204">
        <v>21.056198977726599</v>
      </c>
    </row>
    <row r="3205" spans="1:37" x14ac:dyDescent="0.2">
      <c r="A3205" t="str">
        <f>"20200111153500248"</f>
        <v>20200111153500248</v>
      </c>
      <c r="B3205" t="str">
        <f>"1578728100238948"</f>
        <v>1578728100238948</v>
      </c>
      <c r="C3205" t="s">
        <v>37</v>
      </c>
      <c r="D3205">
        <v>4.7693139999999996</v>
      </c>
      <c r="E3205">
        <v>0.55328080000000002</v>
      </c>
      <c r="F3205" t="s">
        <v>39</v>
      </c>
      <c r="G3205">
        <v>-191.673</v>
      </c>
      <c r="H3205" s="1">
        <v>-2.2816030000000002E-6</v>
      </c>
      <c r="I3205">
        <v>173.8699</v>
      </c>
      <c r="J3205">
        <v>-192.62899999999999</v>
      </c>
      <c r="K3205">
        <v>1.09996</v>
      </c>
      <c r="L3205">
        <v>195.2079</v>
      </c>
      <c r="M3205">
        <v>0.21558289999999899</v>
      </c>
      <c r="N3205">
        <v>0</v>
      </c>
      <c r="O3205">
        <v>-0.97638599999999998</v>
      </c>
      <c r="P3205">
        <v>0.18356500000000001</v>
      </c>
      <c r="Q3205">
        <v>3.0939080000000001E-2</v>
      </c>
      <c r="R3205">
        <v>-0.98252090000000003</v>
      </c>
      <c r="S3205">
        <v>0.13989260000000001</v>
      </c>
      <c r="T3205">
        <v>-0.15507509999999999</v>
      </c>
      <c r="U3205">
        <v>-3.0339509999999899</v>
      </c>
      <c r="V3205">
        <v>3.3127080000000003E-2</v>
      </c>
      <c r="W3205">
        <v>4.4483109999999999E-2</v>
      </c>
      <c r="X3205">
        <v>0.99846080000000004</v>
      </c>
      <c r="Y3205">
        <v>0.17045250000000001</v>
      </c>
      <c r="Z3205">
        <v>4.8850299999999999E-2</v>
      </c>
      <c r="AA3205">
        <v>0.98415429999999904</v>
      </c>
      <c r="AB3205">
        <v>28</v>
      </c>
      <c r="AC3205">
        <v>0.95600000000001695</v>
      </c>
      <c r="AD3205">
        <v>-1.0999622816029999</v>
      </c>
      <c r="AE3205">
        <v>-21.337999999999901</v>
      </c>
      <c r="AF3205">
        <v>3.6573399937021098</v>
      </c>
      <c r="AG3205">
        <v>-1.0999622816029999</v>
      </c>
      <c r="AH3205">
        <v>20.9866100737087</v>
      </c>
      <c r="AI3205">
        <v>92.955806479710603</v>
      </c>
      <c r="AJ3205">
        <v>80.114333422783204</v>
      </c>
      <c r="AK3205">
        <v>21.3312881757378</v>
      </c>
    </row>
    <row r="3206" spans="1:37" x14ac:dyDescent="0.2">
      <c r="A3206" t="str">
        <f>"20200111153500264"</f>
        <v>20200111153500264</v>
      </c>
      <c r="B3206" t="str">
        <f>"1578728100259444"</f>
        <v>1578728100259444</v>
      </c>
      <c r="C3206" t="s">
        <v>37</v>
      </c>
      <c r="D3206">
        <v>4.886177</v>
      </c>
      <c r="E3206">
        <v>0.55314700000000006</v>
      </c>
      <c r="F3206" t="s">
        <v>39</v>
      </c>
      <c r="G3206">
        <v>-191.72720000000001</v>
      </c>
      <c r="H3206" s="1">
        <v>-2.427965E-6</v>
      </c>
      <c r="I3206">
        <v>174.17750000000001</v>
      </c>
      <c r="J3206">
        <v>-192.59200000000001</v>
      </c>
      <c r="K3206">
        <v>1.0999909999999999</v>
      </c>
      <c r="L3206">
        <v>195.0189</v>
      </c>
      <c r="M3206">
        <v>0.21128539999999901</v>
      </c>
      <c r="N3206">
        <v>0</v>
      </c>
      <c r="O3206">
        <v>-0.977325</v>
      </c>
      <c r="P3206">
        <v>0.1796053</v>
      </c>
      <c r="Q3206">
        <v>3.0283279999999999E-2</v>
      </c>
      <c r="R3206">
        <v>-0.98327260000000005</v>
      </c>
      <c r="S3206">
        <v>0.1300964</v>
      </c>
      <c r="T3206">
        <v>-0.1586919</v>
      </c>
      <c r="U3206">
        <v>-3.0340729999999998</v>
      </c>
      <c r="V3206">
        <v>3.2749159999999999E-2</v>
      </c>
      <c r="W3206">
        <v>4.3822390000000003E-2</v>
      </c>
      <c r="X3206">
        <v>0.99850239999999901</v>
      </c>
      <c r="Y3206">
        <v>0.169293</v>
      </c>
      <c r="Z3206">
        <v>5.0066520000000003E-2</v>
      </c>
      <c r="AA3206">
        <v>0.98429330000000004</v>
      </c>
      <c r="AB3206">
        <v>28</v>
      </c>
      <c r="AC3206">
        <v>0.86480000000000201</v>
      </c>
      <c r="AD3206">
        <v>-1.0999934279649899</v>
      </c>
      <c r="AE3206">
        <v>-20.8414</v>
      </c>
      <c r="AF3206">
        <v>3.5487700207579498</v>
      </c>
      <c r="AG3206">
        <v>-1.0999934279649899</v>
      </c>
      <c r="AH3206">
        <v>20.496539960760501</v>
      </c>
      <c r="AI3206">
        <v>93.027010928571599</v>
      </c>
      <c r="AJ3206">
        <v>80.1771929335886</v>
      </c>
      <c r="AK3206">
        <v>20.8305521905889</v>
      </c>
    </row>
    <row r="3207" spans="1:37" x14ac:dyDescent="0.2">
      <c r="A3207" t="str">
        <f>"20200111153500277"</f>
        <v>20200111153500277</v>
      </c>
      <c r="B3207" t="str">
        <f>"1578728100269204"</f>
        <v>1578728100269204</v>
      </c>
      <c r="C3207" t="s">
        <v>37</v>
      </c>
      <c r="D3207">
        <v>4.8775259999999996</v>
      </c>
      <c r="E3207">
        <v>0.56343900000000002</v>
      </c>
      <c r="F3207" t="s">
        <v>39</v>
      </c>
      <c r="G3207">
        <v>-191.78139999999999</v>
      </c>
      <c r="H3207" s="1">
        <v>-2.483383E-6</v>
      </c>
      <c r="I3207">
        <v>174.2731</v>
      </c>
      <c r="J3207">
        <v>-192.5591</v>
      </c>
      <c r="K3207">
        <v>1.100009</v>
      </c>
      <c r="L3207">
        <v>194.84700000000001</v>
      </c>
      <c r="M3207">
        <v>0.20738200000000001</v>
      </c>
      <c r="N3207">
        <v>0</v>
      </c>
      <c r="O3207">
        <v>-0.9781609</v>
      </c>
      <c r="P3207">
        <v>0.17609240000000001</v>
      </c>
      <c r="Q3207">
        <v>2.9117759999999999E-2</v>
      </c>
      <c r="R3207">
        <v>-0.98394329999999997</v>
      </c>
      <c r="S3207">
        <v>0.11856079999999999</v>
      </c>
      <c r="T3207">
        <v>-0.160888</v>
      </c>
      <c r="U3207">
        <v>-3.034348</v>
      </c>
      <c r="V3207">
        <v>3.2319590000000002E-2</v>
      </c>
      <c r="W3207">
        <v>4.2652849999999999E-2</v>
      </c>
      <c r="X3207">
        <v>0.99856699999999998</v>
      </c>
      <c r="Y3207">
        <v>0.16909929999999901</v>
      </c>
      <c r="Z3207">
        <v>5.082362E-2</v>
      </c>
      <c r="AA3207">
        <v>0.98428769999999999</v>
      </c>
      <c r="AB3207">
        <v>28</v>
      </c>
      <c r="AC3207">
        <v>0.77770000000000905</v>
      </c>
      <c r="AD3207">
        <v>-1.1000114833829999</v>
      </c>
      <c r="AE3207">
        <v>-20.573899999999998</v>
      </c>
      <c r="AF3207">
        <v>3.49630040996179</v>
      </c>
      <c r="AG3207">
        <v>-1.1000114833829999</v>
      </c>
      <c r="AH3207">
        <v>20.2300848844264</v>
      </c>
      <c r="AI3207">
        <v>93.067016024590203</v>
      </c>
      <c r="AJ3207">
        <v>80.194615301299507</v>
      </c>
      <c r="AK3207">
        <v>20.5594376443368</v>
      </c>
    </row>
    <row r="3208" spans="1:37" x14ac:dyDescent="0.2">
      <c r="A3208" t="str">
        <f>"20200111153500293"</f>
        <v>20200111153500293</v>
      </c>
      <c r="B3208" t="str">
        <f>"1578728100289700"</f>
        <v>1578728100289700</v>
      </c>
      <c r="C3208" t="s">
        <v>37</v>
      </c>
      <c r="D3208">
        <v>4.8063449999999897</v>
      </c>
      <c r="E3208">
        <v>0.56261380000000005</v>
      </c>
      <c r="F3208" t="s">
        <v>39</v>
      </c>
      <c r="G3208">
        <v>-192.35910000000001</v>
      </c>
      <c r="H3208" s="1">
        <v>-1.7656999999999899E-6</v>
      </c>
      <c r="I3208">
        <v>172.24180000000001</v>
      </c>
      <c r="J3208">
        <v>-192.52350000000001</v>
      </c>
      <c r="K3208">
        <v>1.1000099999999999</v>
      </c>
      <c r="L3208">
        <v>194.65599999999901</v>
      </c>
      <c r="M3208">
        <v>0.2030487</v>
      </c>
      <c r="N3208">
        <v>0</v>
      </c>
      <c r="O3208">
        <v>-0.97906990000000005</v>
      </c>
      <c r="P3208">
        <v>0.1720015</v>
      </c>
      <c r="Q3208">
        <v>2.5949090000000001E-2</v>
      </c>
      <c r="R3208">
        <v>-0.98475509999999999</v>
      </c>
      <c r="S3208">
        <v>2.6962280000000002E-2</v>
      </c>
      <c r="T3208">
        <v>-0.14834610000000001</v>
      </c>
      <c r="U3208">
        <v>-3.048508</v>
      </c>
      <c r="V3208">
        <v>3.2026150000000003E-2</v>
      </c>
      <c r="W3208">
        <v>3.9480260000000003E-2</v>
      </c>
      <c r="X3208">
        <v>0.99870700000000001</v>
      </c>
      <c r="Y3208">
        <v>0.1944081</v>
      </c>
      <c r="Z3208">
        <v>4.6621830000000003E-2</v>
      </c>
      <c r="AA3208">
        <v>0.97981209999999996</v>
      </c>
      <c r="AB3208">
        <v>28</v>
      </c>
      <c r="AC3208">
        <v>0.16439999999999999</v>
      </c>
      <c r="AD3208">
        <v>-1.1000117656999999</v>
      </c>
      <c r="AE3208">
        <v>-22.414199999999902</v>
      </c>
      <c r="AF3208">
        <v>4.3800906616132096</v>
      </c>
      <c r="AG3208">
        <v>-1.1000117656999999</v>
      </c>
      <c r="AH3208">
        <v>21.927764538122901</v>
      </c>
      <c r="AI3208">
        <v>92.816305501492593</v>
      </c>
      <c r="AJ3208">
        <v>78.703791724357302</v>
      </c>
      <c r="AK3208">
        <v>22.387989586561599</v>
      </c>
    </row>
    <row r="3209" spans="1:37" x14ac:dyDescent="0.2">
      <c r="A3209" t="str">
        <f>"20200111153500306"</f>
        <v>20200111153500306</v>
      </c>
      <c r="B3209" t="str">
        <f>"1578728100299460"</f>
        <v>1578728100299460</v>
      </c>
      <c r="C3209" t="s">
        <v>37</v>
      </c>
      <c r="D3209">
        <v>4.8247809999999998</v>
      </c>
      <c r="E3209">
        <v>0.56184919999999905</v>
      </c>
      <c r="F3209" t="s">
        <v>39</v>
      </c>
      <c r="G3209">
        <v>-192.3734</v>
      </c>
      <c r="H3209" s="1">
        <v>-1.7215039999999899E-6</v>
      </c>
      <c r="I3209">
        <v>172.12989999999999</v>
      </c>
      <c r="J3209">
        <v>-192.49350000000001</v>
      </c>
      <c r="K3209">
        <v>1.1000209999999999</v>
      </c>
      <c r="L3209">
        <v>194.49160000000001</v>
      </c>
      <c r="M3209">
        <v>0.1993132</v>
      </c>
      <c r="N3209">
        <v>0</v>
      </c>
      <c r="O3209">
        <v>-0.97983709999999902</v>
      </c>
      <c r="P3209">
        <v>0.16814000000000001</v>
      </c>
      <c r="Q3209">
        <v>2.490272E-2</v>
      </c>
      <c r="R3209">
        <v>-0.98544880000000001</v>
      </c>
      <c r="S3209">
        <v>2.029419E-2</v>
      </c>
      <c r="T3209">
        <v>-0.14878429999999901</v>
      </c>
      <c r="U3209">
        <v>-3.0468139999999999</v>
      </c>
      <c r="V3209">
        <v>3.2123779999999998E-2</v>
      </c>
      <c r="W3209">
        <v>3.8424880000000002E-2</v>
      </c>
      <c r="X3209">
        <v>0.99874499999999999</v>
      </c>
      <c r="Y3209">
        <v>0.19280629999999899</v>
      </c>
      <c r="Z3209">
        <v>4.6849219999999997E-2</v>
      </c>
      <c r="AA3209">
        <v>0.98011780000000004</v>
      </c>
      <c r="AB3209">
        <v>28</v>
      </c>
      <c r="AC3209">
        <v>0.12010000000000701</v>
      </c>
      <c r="AD3209">
        <v>-1.1000227215039999</v>
      </c>
      <c r="AE3209">
        <v>-22.361699999999999</v>
      </c>
      <c r="AF3209">
        <v>4.3292474962274303</v>
      </c>
      <c r="AG3209">
        <v>-1.1000227215039999</v>
      </c>
      <c r="AH3209">
        <v>21.883928419170701</v>
      </c>
      <c r="AI3209">
        <v>92.823002208549099</v>
      </c>
      <c r="AJ3209">
        <v>78.8097932464227</v>
      </c>
      <c r="AK3209">
        <v>22.3351462257761</v>
      </c>
    </row>
    <row r="3210" spans="1:37" x14ac:dyDescent="0.2">
      <c r="A3210" t="str">
        <f>"20200111153500318"</f>
        <v>20200111153500318</v>
      </c>
      <c r="B3210" t="str">
        <f>"1578728100309220"</f>
        <v>1578728100309220</v>
      </c>
      <c r="C3210" t="s">
        <v>37</v>
      </c>
      <c r="D3210">
        <v>4.8395349999999997</v>
      </c>
      <c r="E3210">
        <v>0.56111440000000001</v>
      </c>
      <c r="F3210" t="s">
        <v>39</v>
      </c>
      <c r="G3210">
        <v>-192.39080000000001</v>
      </c>
      <c r="H3210" s="1">
        <v>-1.8343360000000001E-6</v>
      </c>
      <c r="I3210">
        <v>172.38220000000001</v>
      </c>
      <c r="J3210">
        <v>-192.46559999999999</v>
      </c>
      <c r="K3210">
        <v>1.1000319999999999</v>
      </c>
      <c r="L3210">
        <v>194.3366</v>
      </c>
      <c r="M3210">
        <v>0.19578909999999999</v>
      </c>
      <c r="N3210">
        <v>0</v>
      </c>
      <c r="O3210">
        <v>-0.98054739999999996</v>
      </c>
      <c r="P3210">
        <v>0.1646089</v>
      </c>
      <c r="Q3210">
        <v>2.4363889999999999E-2</v>
      </c>
      <c r="R3210">
        <v>-0.98605830000000005</v>
      </c>
      <c r="S3210">
        <v>1.41448999999999E-2</v>
      </c>
      <c r="T3210">
        <v>-0.15153440000000001</v>
      </c>
      <c r="U3210">
        <v>-3.0457000000000001</v>
      </c>
      <c r="V3210">
        <v>3.2105830000000002E-2</v>
      </c>
      <c r="W3210">
        <v>3.787977E-2</v>
      </c>
      <c r="X3210">
        <v>0.99876640000000005</v>
      </c>
      <c r="Y3210">
        <v>0.191254799999999</v>
      </c>
      <c r="Z3210">
        <v>4.7791130000000001E-2</v>
      </c>
      <c r="AA3210">
        <v>0.98037619999999903</v>
      </c>
      <c r="AB3210">
        <v>28</v>
      </c>
      <c r="AC3210">
        <v>7.4799999999981895E-2</v>
      </c>
      <c r="AD3210">
        <v>-1.1000338343359899</v>
      </c>
      <c r="AE3210">
        <v>-21.9544</v>
      </c>
      <c r="AF3210">
        <v>4.21491431695818</v>
      </c>
      <c r="AG3210">
        <v>-1.1000338343359899</v>
      </c>
      <c r="AH3210">
        <v>21.490107169776401</v>
      </c>
      <c r="AI3210">
        <v>92.875601212101799</v>
      </c>
      <c r="AJ3210">
        <v>78.903278732535398</v>
      </c>
      <c r="AK3210">
        <v>21.927158577993101</v>
      </c>
    </row>
    <row r="3211" spans="1:37" x14ac:dyDescent="0.2">
      <c r="A3211" t="str">
        <f>"20200111153500331"</f>
        <v>20200111153500331</v>
      </c>
      <c r="B3211" t="str">
        <f>"1578728100318980"</f>
        <v>1578728100318980</v>
      </c>
      <c r="C3211" t="s">
        <v>37</v>
      </c>
      <c r="D3211">
        <v>4.8423129999999999</v>
      </c>
      <c r="E3211">
        <v>0.56012079999999997</v>
      </c>
      <c r="F3211" t="s">
        <v>39</v>
      </c>
      <c r="G3211">
        <v>-192.40099999999899</v>
      </c>
      <c r="H3211" s="1">
        <v>-1.7769929999999999E-6</v>
      </c>
      <c r="I3211">
        <v>172.24209999999999</v>
      </c>
      <c r="J3211">
        <v>-192.4383</v>
      </c>
      <c r="K3211">
        <v>1.100042</v>
      </c>
      <c r="L3211">
        <v>194.17959999999999</v>
      </c>
      <c r="M3211">
        <v>0.19221079999999999</v>
      </c>
      <c r="N3211">
        <v>0</v>
      </c>
      <c r="O3211">
        <v>-0.9812554</v>
      </c>
      <c r="P3211">
        <v>0.16136989999999901</v>
      </c>
      <c r="Q3211">
        <v>2.4290579999999999E-2</v>
      </c>
      <c r="R3211">
        <v>-0.986595</v>
      </c>
      <c r="S3211">
        <v>8.8958739999999998E-3</v>
      </c>
      <c r="T3211">
        <v>-0.15158740000000001</v>
      </c>
      <c r="U3211">
        <v>-3.04467799999999</v>
      </c>
      <c r="V3211">
        <v>3.1740749999999998E-2</v>
      </c>
      <c r="W3211">
        <v>3.7803999999999997E-2</v>
      </c>
      <c r="X3211">
        <v>0.99878099999999903</v>
      </c>
      <c r="Y3211">
        <v>0.18936249999999999</v>
      </c>
      <c r="Z3211">
        <v>4.7885749999999998E-2</v>
      </c>
      <c r="AA3211">
        <v>0.98073889999999997</v>
      </c>
      <c r="AB3211">
        <v>28</v>
      </c>
      <c r="AC3211">
        <v>3.7300000000016098E-2</v>
      </c>
      <c r="AD3211">
        <v>-1.100043776993</v>
      </c>
      <c r="AE3211">
        <v>-21.9375</v>
      </c>
      <c r="AF3211">
        <v>4.1699415685641403</v>
      </c>
      <c r="AG3211">
        <v>-1.100043776993</v>
      </c>
      <c r="AH3211">
        <v>21.4815220581402</v>
      </c>
      <c r="AI3211">
        <v>92.877862539560894</v>
      </c>
      <c r="AJ3211">
        <v>79.014504659284</v>
      </c>
      <c r="AK3211">
        <v>21.910141463050898</v>
      </c>
    </row>
    <row r="3212" spans="1:37" x14ac:dyDescent="0.2">
      <c r="A3212" t="str">
        <f>"20200111153500345"</f>
        <v>20200111153500345</v>
      </c>
      <c r="B3212" t="str">
        <f>"1578728100339476"</f>
        <v>1578728100339476</v>
      </c>
      <c r="C3212" t="s">
        <v>37</v>
      </c>
      <c r="D3212">
        <v>4.8205220000000004</v>
      </c>
      <c r="E3212">
        <v>0.55844090000000002</v>
      </c>
      <c r="F3212" t="s">
        <v>39</v>
      </c>
      <c r="G3212">
        <v>-192.3886</v>
      </c>
      <c r="H3212" s="1">
        <v>-1.4761130000000001E-6</v>
      </c>
      <c r="I3212">
        <v>171.54849999999999</v>
      </c>
      <c r="J3212">
        <v>-192.41130000000001</v>
      </c>
      <c r="K3212">
        <v>1.1000509999999999</v>
      </c>
      <c r="L3212">
        <v>194.02209999999999</v>
      </c>
      <c r="M3212">
        <v>0.18861849999999999</v>
      </c>
      <c r="N3212">
        <v>0</v>
      </c>
      <c r="O3212">
        <v>-0.9819523</v>
      </c>
      <c r="P3212">
        <v>0.15783749999999999</v>
      </c>
      <c r="Q3212">
        <v>2.4603679999999999E-2</v>
      </c>
      <c r="R3212">
        <v>-0.9871588</v>
      </c>
      <c r="S3212">
        <v>6.6833500000000002E-3</v>
      </c>
      <c r="T3212">
        <v>-0.147928799999999</v>
      </c>
      <c r="U3212">
        <v>-3.04332</v>
      </c>
      <c r="V3212">
        <v>3.166207E-2</v>
      </c>
      <c r="W3212">
        <v>3.8111819999999998E-2</v>
      </c>
      <c r="X3212">
        <v>0.99877169999999904</v>
      </c>
      <c r="Y3212">
        <v>0.18648010000000001</v>
      </c>
      <c r="Z3212">
        <v>4.681768E-2</v>
      </c>
      <c r="AA3212">
        <v>0.98134259999999995</v>
      </c>
      <c r="AB3212">
        <v>28</v>
      </c>
      <c r="AC3212">
        <v>2.2700000000014601E-2</v>
      </c>
      <c r="AD3212">
        <v>-1.1000524761129999</v>
      </c>
      <c r="AE3212">
        <v>-22.473600000000001</v>
      </c>
      <c r="AF3212">
        <v>4.2069730514305999</v>
      </c>
      <c r="AG3212">
        <v>-1.1000524761129999</v>
      </c>
      <c r="AH3212">
        <v>22.021649111373399</v>
      </c>
      <c r="AI3212">
        <v>92.8090167269158</v>
      </c>
      <c r="AJ3212">
        <v>79.184639872437401</v>
      </c>
      <c r="AK3212">
        <v>22.446865422372898</v>
      </c>
    </row>
    <row r="3213" spans="1:37" x14ac:dyDescent="0.2">
      <c r="A3213" t="str">
        <f>"20200111153500360"</f>
        <v>20200111153500360</v>
      </c>
      <c r="B3213" t="str">
        <f>"1578728100349236"</f>
        <v>1578728100349236</v>
      </c>
      <c r="C3213" t="s">
        <v>37</v>
      </c>
      <c r="D3213">
        <v>4.794168</v>
      </c>
      <c r="E3213">
        <v>0.55817289999999997</v>
      </c>
      <c r="F3213" t="s">
        <v>39</v>
      </c>
      <c r="G3213">
        <v>-192.345</v>
      </c>
      <c r="H3213" s="1">
        <v>-1.414139E-6</v>
      </c>
      <c r="I3213">
        <v>171.43109999999999</v>
      </c>
      <c r="J3213">
        <v>-192.37950000000001</v>
      </c>
      <c r="K3213">
        <v>1.100066</v>
      </c>
      <c r="L3213">
        <v>193.8322</v>
      </c>
      <c r="M3213">
        <v>0.1842791</v>
      </c>
      <c r="N3213">
        <v>0</v>
      </c>
      <c r="O3213">
        <v>-0.98277610000000004</v>
      </c>
      <c r="P3213">
        <v>0.1537586</v>
      </c>
      <c r="Q3213">
        <v>2.6064710000000001E-2</v>
      </c>
      <c r="R3213">
        <v>-0.9877648</v>
      </c>
      <c r="S3213">
        <v>8.926392E-3</v>
      </c>
      <c r="T3213">
        <v>-0.14809330000000001</v>
      </c>
      <c r="U3213">
        <v>-3.04129</v>
      </c>
      <c r="V3213">
        <v>3.1385040000000003E-2</v>
      </c>
      <c r="W3213">
        <v>3.9568409999999998E-2</v>
      </c>
      <c r="X3213">
        <v>0.9987239</v>
      </c>
      <c r="Y3213">
        <v>0.18141270000000001</v>
      </c>
      <c r="Z3213">
        <v>4.6983949999999997E-2</v>
      </c>
      <c r="AA3213">
        <v>0.98228400000000005</v>
      </c>
      <c r="AB3213">
        <v>28</v>
      </c>
      <c r="AC3213">
        <v>3.4500000000008399E-2</v>
      </c>
      <c r="AD3213">
        <v>-1.1000674141390001</v>
      </c>
      <c r="AE3213">
        <v>-22.4011</v>
      </c>
      <c r="AF3213">
        <v>4.0846920858995199</v>
      </c>
      <c r="AG3213">
        <v>-1.1000674141390001</v>
      </c>
      <c r="AH3213">
        <v>21.970757665080001</v>
      </c>
      <c r="AI3213">
        <v>92.818173413686907</v>
      </c>
      <c r="AJ3213">
        <v>79.4681027579648</v>
      </c>
      <c r="AK3213">
        <v>22.3742944051859</v>
      </c>
    </row>
    <row r="3214" spans="1:37" x14ac:dyDescent="0.2">
      <c r="A3214" t="str">
        <f>"20200111153500372"</f>
        <v>20200111153500372</v>
      </c>
      <c r="B3214" t="str">
        <f>"1578728100369732"</f>
        <v>1578728100369732</v>
      </c>
      <c r="C3214" t="s">
        <v>37</v>
      </c>
      <c r="D3214">
        <v>4.7788459999999997</v>
      </c>
      <c r="E3214">
        <v>0.55733299999999997</v>
      </c>
      <c r="F3214" t="s">
        <v>39</v>
      </c>
      <c r="G3214">
        <v>-192.38890000000001</v>
      </c>
      <c r="H3214" s="1">
        <v>-5.10090899999999E-6</v>
      </c>
      <c r="I3214">
        <v>169.4657</v>
      </c>
      <c r="J3214">
        <v>-192.35329999999999</v>
      </c>
      <c r="K3214">
        <v>1.100077</v>
      </c>
      <c r="L3214">
        <v>193.6712</v>
      </c>
      <c r="M3214">
        <v>0.18059829999999999</v>
      </c>
      <c r="N3214">
        <v>0</v>
      </c>
      <c r="O3214">
        <v>-0.98345930000000004</v>
      </c>
      <c r="P3214">
        <v>0.15030539999999901</v>
      </c>
      <c r="Q3214">
        <v>2.6747239999999999E-2</v>
      </c>
      <c r="R3214">
        <v>-0.988278199999999</v>
      </c>
      <c r="S3214">
        <v>-1.1749269999999899E-3</v>
      </c>
      <c r="T3214">
        <v>-0.13729059999999901</v>
      </c>
      <c r="U3214">
        <v>-3.0409700000000002</v>
      </c>
      <c r="V3214">
        <v>3.114045E-2</v>
      </c>
      <c r="W3214">
        <v>4.024879E-2</v>
      </c>
      <c r="X3214">
        <v>0.99870429999999999</v>
      </c>
      <c r="Y3214">
        <v>0.18099379999999901</v>
      </c>
      <c r="Z3214">
        <v>4.3616349999999998E-2</v>
      </c>
      <c r="AA3214">
        <v>0.98251659999999996</v>
      </c>
      <c r="AB3214">
        <v>28</v>
      </c>
      <c r="AC3214">
        <v>-3.56000000000165E-2</v>
      </c>
      <c r="AD3214">
        <v>-1.100082100909</v>
      </c>
      <c r="AE3214">
        <v>-24.205500000000001</v>
      </c>
      <c r="AF3214">
        <v>4.3978228973792399</v>
      </c>
      <c r="AG3214">
        <v>-1.100082100909</v>
      </c>
      <c r="AH3214">
        <v>23.751921360842601</v>
      </c>
      <c r="AI3214">
        <v>92.6075300912062</v>
      </c>
      <c r="AJ3214">
        <v>79.510111412282697</v>
      </c>
      <c r="AK3214">
        <v>24.180669866591799</v>
      </c>
    </row>
    <row r="3215" spans="1:37" x14ac:dyDescent="0.2">
      <c r="A3215" t="str">
        <f>"20200111153500386"</f>
        <v>20200111153500386</v>
      </c>
      <c r="B3215" t="str">
        <f>"1578728100379492"</f>
        <v>1578728100379492</v>
      </c>
      <c r="C3215" t="s">
        <v>37</v>
      </c>
      <c r="D3215">
        <v>4.7588589999999904</v>
      </c>
      <c r="E3215">
        <v>0.55715249999999905</v>
      </c>
      <c r="F3215" t="s">
        <v>39</v>
      </c>
      <c r="G3215">
        <v>-192.3939</v>
      </c>
      <c r="H3215" s="1">
        <v>-4.5671599999999998E-6</v>
      </c>
      <c r="I3215">
        <v>168.0735</v>
      </c>
      <c r="J3215">
        <v>-192.32810000000001</v>
      </c>
      <c r="K3215">
        <v>1.100087</v>
      </c>
      <c r="L3215">
        <v>193.51249999999999</v>
      </c>
      <c r="M3215">
        <v>0.1769667</v>
      </c>
      <c r="N3215">
        <v>0</v>
      </c>
      <c r="O3215">
        <v>-0.98411909999999903</v>
      </c>
      <c r="P3215">
        <v>0.14697779999999999</v>
      </c>
      <c r="Q3215">
        <v>2.7652280000000001E-2</v>
      </c>
      <c r="R3215">
        <v>-0.9887534</v>
      </c>
      <c r="S3215">
        <v>-4.8217770000000002E-3</v>
      </c>
      <c r="T3215">
        <v>-0.13064039999999999</v>
      </c>
      <c r="U3215">
        <v>-3.03987099999999</v>
      </c>
      <c r="V3215">
        <v>3.0820899999999998E-2</v>
      </c>
      <c r="W3215">
        <v>4.1151649999999998E-2</v>
      </c>
      <c r="X3215">
        <v>0.99867739999999905</v>
      </c>
      <c r="Y3215">
        <v>0.178541899999999</v>
      </c>
      <c r="Z3215">
        <v>4.157462E-2</v>
      </c>
      <c r="AA3215">
        <v>0.98305359999999997</v>
      </c>
      <c r="AB3215">
        <v>28</v>
      </c>
      <c r="AC3215">
        <v>-6.5799999999995806E-2</v>
      </c>
      <c r="AD3215">
        <v>-1.10009156716</v>
      </c>
      <c r="AE3215">
        <v>-25.439</v>
      </c>
      <c r="AF3215">
        <v>4.5585255534609503</v>
      </c>
      <c r="AG3215">
        <v>-1.10009156716</v>
      </c>
      <c r="AH3215">
        <v>24.979056528451899</v>
      </c>
      <c r="AI3215">
        <v>92.480789216866995</v>
      </c>
      <c r="AJ3215">
        <v>79.657680856133894</v>
      </c>
      <c r="AK3215">
        <v>25.4154209433818</v>
      </c>
    </row>
    <row r="3216" spans="1:37" x14ac:dyDescent="0.2">
      <c r="A3216" t="str">
        <f>"20200111153500399"</f>
        <v>20200111153500399</v>
      </c>
      <c r="B3216" t="str">
        <f>"1578728100389252"</f>
        <v>1578728100389252</v>
      </c>
      <c r="C3216" t="s">
        <v>37</v>
      </c>
      <c r="D3216">
        <v>4.7477640000000001</v>
      </c>
      <c r="E3216">
        <v>0.55719439999999998</v>
      </c>
      <c r="F3216" t="s">
        <v>39</v>
      </c>
      <c r="G3216">
        <v>-192.44730000000001</v>
      </c>
      <c r="H3216" s="1">
        <v>-4.0522220000000001E-6</v>
      </c>
      <c r="I3216">
        <v>166.78649999999999</v>
      </c>
      <c r="J3216">
        <v>-192.3031</v>
      </c>
      <c r="K3216">
        <v>1.100098</v>
      </c>
      <c r="L3216">
        <v>193.3527</v>
      </c>
      <c r="M3216">
        <v>0.17330760000000001</v>
      </c>
      <c r="N3216">
        <v>0</v>
      </c>
      <c r="O3216">
        <v>-0.98477000000000003</v>
      </c>
      <c r="P3216">
        <v>0.14391029999999999</v>
      </c>
      <c r="Q3216">
        <v>2.8066130000000002E-2</v>
      </c>
      <c r="R3216">
        <v>-0.98919269999999904</v>
      </c>
      <c r="S3216">
        <v>-1.35497999999999E-2</v>
      </c>
      <c r="T3216">
        <v>-0.1251178</v>
      </c>
      <c r="U3216">
        <v>-3.0396580000000002</v>
      </c>
      <c r="V3216">
        <v>3.020832E-2</v>
      </c>
      <c r="W3216">
        <v>4.1568050000000002E-2</v>
      </c>
      <c r="X3216">
        <v>0.99867890000000004</v>
      </c>
      <c r="Y3216">
        <v>0.177708</v>
      </c>
      <c r="Z3216">
        <v>3.9865909999999997E-2</v>
      </c>
      <c r="AA3216">
        <v>0.98327540000000002</v>
      </c>
      <c r="AB3216">
        <v>28</v>
      </c>
      <c r="AC3216">
        <v>-0.14420000000001201</v>
      </c>
      <c r="AD3216">
        <v>-1.100102052222</v>
      </c>
      <c r="AE3216">
        <v>-26.566199999999998</v>
      </c>
      <c r="AF3216">
        <v>4.7384599802099601</v>
      </c>
      <c r="AG3216">
        <v>-1.100102052222</v>
      </c>
      <c r="AH3216">
        <v>26.094377468068899</v>
      </c>
      <c r="AI3216">
        <v>92.375280651137004</v>
      </c>
      <c r="AJ3216">
        <v>79.707847843736999</v>
      </c>
      <c r="AK3216">
        <v>26.543921393709201</v>
      </c>
    </row>
    <row r="3217" spans="1:37" x14ac:dyDescent="0.2">
      <c r="A3217" t="str">
        <f>"20200111153500412"</f>
        <v>20200111153500412</v>
      </c>
      <c r="B3217" t="str">
        <f>"1578728100399012"</f>
        <v>1578728100399012</v>
      </c>
      <c r="C3217" t="s">
        <v>37</v>
      </c>
      <c r="D3217">
        <v>4.6372019999999896</v>
      </c>
      <c r="E3217">
        <v>0.55714669999999999</v>
      </c>
      <c r="F3217" t="s">
        <v>39</v>
      </c>
      <c r="G3217">
        <v>-192.5163</v>
      </c>
      <c r="H3217" s="1">
        <v>-3.4004270000000002E-6</v>
      </c>
      <c r="I3217">
        <v>165.36879999999999</v>
      </c>
      <c r="J3217">
        <v>-192.2775</v>
      </c>
      <c r="K3217">
        <v>1.100112</v>
      </c>
      <c r="L3217">
        <v>193.18209999999999</v>
      </c>
      <c r="M3217">
        <v>0.1694128</v>
      </c>
      <c r="N3217">
        <v>0</v>
      </c>
      <c r="O3217">
        <v>-0.98544779999999998</v>
      </c>
      <c r="P3217">
        <v>0.14036409999999999</v>
      </c>
      <c r="Q3217">
        <v>2.869029E-2</v>
      </c>
      <c r="R3217">
        <v>-0.98968449999999997</v>
      </c>
      <c r="S3217">
        <v>-2.3147580000000001E-2</v>
      </c>
      <c r="T3217">
        <v>-0.1194896</v>
      </c>
      <c r="U3217">
        <v>-3.03952</v>
      </c>
      <c r="V3217">
        <v>2.9842009999999999E-2</v>
      </c>
      <c r="W3217">
        <v>4.2191199999999998E-2</v>
      </c>
      <c r="X3217">
        <v>0.99866379999999999</v>
      </c>
      <c r="Y3217">
        <v>0.17692269999999999</v>
      </c>
      <c r="Z3217">
        <v>3.8119390000000003E-2</v>
      </c>
      <c r="AA3217">
        <v>0.98348630000000004</v>
      </c>
      <c r="AB3217">
        <v>28</v>
      </c>
      <c r="AC3217">
        <v>-0.23879999999999699</v>
      </c>
      <c r="AD3217">
        <v>-1.100115400427</v>
      </c>
      <c r="AE3217">
        <v>-27.813300000000002</v>
      </c>
      <c r="AF3217">
        <v>4.94000082465777</v>
      </c>
      <c r="AG3217">
        <v>-1.100115400427</v>
      </c>
      <c r="AH3217">
        <v>27.327975307802799</v>
      </c>
      <c r="AI3217">
        <v>92.268528269790593</v>
      </c>
      <c r="AJ3217">
        <v>79.753455708957105</v>
      </c>
      <c r="AK3217">
        <v>27.792662637209698</v>
      </c>
    </row>
    <row r="3218" spans="1:37" x14ac:dyDescent="0.2">
      <c r="A3218" t="str">
        <f>"20200111153500428"</f>
        <v>20200111153500428</v>
      </c>
      <c r="B3218" t="str">
        <f>"1578728100419508"</f>
        <v>1578728100419508</v>
      </c>
      <c r="C3218" t="s">
        <v>37</v>
      </c>
      <c r="D3218">
        <v>4.7475019999999999</v>
      </c>
      <c r="E3218">
        <v>0.5567221</v>
      </c>
      <c r="F3218" t="s">
        <v>39</v>
      </c>
      <c r="G3218">
        <v>-192.57919999999999</v>
      </c>
      <c r="H3218" s="1">
        <v>-3.7312430000000001E-6</v>
      </c>
      <c r="I3218">
        <v>166.03319999999999</v>
      </c>
      <c r="J3218">
        <v>-192.24979999999999</v>
      </c>
      <c r="K3218">
        <v>1.100131</v>
      </c>
      <c r="L3218">
        <v>192.9941</v>
      </c>
      <c r="M3218">
        <v>0.1651292</v>
      </c>
      <c r="N3218">
        <v>0</v>
      </c>
      <c r="O3218">
        <v>-0.98617479999999902</v>
      </c>
      <c r="P3218">
        <v>0.13645889999999999</v>
      </c>
      <c r="Q3218">
        <v>2.8986379999999999E-2</v>
      </c>
      <c r="R3218">
        <v>-0.99022149999999998</v>
      </c>
      <c r="S3218">
        <v>-3.3782960000000001E-2</v>
      </c>
      <c r="T3218">
        <v>-0.123169899999999</v>
      </c>
      <c r="U3218">
        <v>-3.039612</v>
      </c>
      <c r="V3218">
        <v>2.9442220000000002E-2</v>
      </c>
      <c r="W3218">
        <v>4.2487049999999998E-2</v>
      </c>
      <c r="X3218">
        <v>0.99866309999999903</v>
      </c>
      <c r="Y3218">
        <v>0.17608599999999999</v>
      </c>
      <c r="Z3218">
        <v>3.9336889999999999E-2</v>
      </c>
      <c r="AA3218">
        <v>0.98358849999999998</v>
      </c>
      <c r="AB3218">
        <v>28</v>
      </c>
      <c r="AC3218">
        <v>-0.32939999999999198</v>
      </c>
      <c r="AD3218">
        <v>-1.1001347312430001</v>
      </c>
      <c r="AE3218">
        <v>-26.960899999999999</v>
      </c>
      <c r="AF3218">
        <v>4.7693955265313903</v>
      </c>
      <c r="AG3218">
        <v>-1.1001347312430001</v>
      </c>
      <c r="AH3218">
        <v>26.492205228864002</v>
      </c>
      <c r="AI3218">
        <v>92.340359025751596</v>
      </c>
      <c r="AJ3218">
        <v>79.794353356723406</v>
      </c>
      <c r="AK3218">
        <v>26.940571040785901</v>
      </c>
    </row>
    <row r="3219" spans="1:37" x14ac:dyDescent="0.2">
      <c r="A3219" t="str">
        <f>"20200111153500441"</f>
        <v>20200111153500441</v>
      </c>
      <c r="B3219" t="str">
        <f>"1578728100429267"</f>
        <v>1578728100429267</v>
      </c>
      <c r="C3219" t="s">
        <v>37</v>
      </c>
      <c r="D3219">
        <v>4.746715</v>
      </c>
      <c r="E3219">
        <v>0.55658560000000001</v>
      </c>
      <c r="F3219" t="s">
        <v>39</v>
      </c>
      <c r="G3219">
        <v>-192.6465</v>
      </c>
      <c r="H3219" s="1">
        <v>-2.9775319999999999E-6</v>
      </c>
      <c r="I3219">
        <v>164.4008</v>
      </c>
      <c r="J3219">
        <v>-192.2261</v>
      </c>
      <c r="K3219">
        <v>1.100147</v>
      </c>
      <c r="L3219">
        <v>192.82910000000001</v>
      </c>
      <c r="M3219">
        <v>0.16137989999999999</v>
      </c>
      <c r="N3219">
        <v>0</v>
      </c>
      <c r="O3219">
        <v>-0.98679519999999998</v>
      </c>
      <c r="P3219">
        <v>0.13294839999999999</v>
      </c>
      <c r="Q3219">
        <v>2.9351269999999999E-2</v>
      </c>
      <c r="R3219">
        <v>-0.99068809999999996</v>
      </c>
      <c r="S3219">
        <v>-4.2160030000000001E-2</v>
      </c>
      <c r="T3219">
        <v>-0.116920699999999</v>
      </c>
      <c r="U3219">
        <v>-3.0388489999999999</v>
      </c>
      <c r="V3219">
        <v>2.9186730000000001E-2</v>
      </c>
      <c r="W3219">
        <v>4.2850550000000001E-2</v>
      </c>
      <c r="X3219">
        <v>0.99865509999999902</v>
      </c>
      <c r="Y3219">
        <v>0.17505960000000001</v>
      </c>
      <c r="Z3219">
        <v>3.7392050000000003E-2</v>
      </c>
      <c r="AA3219">
        <v>0.98384760000000004</v>
      </c>
      <c r="AB3219">
        <v>28</v>
      </c>
      <c r="AC3219">
        <v>-0.4204</v>
      </c>
      <c r="AD3219">
        <v>-1.1001499775320001</v>
      </c>
      <c r="AE3219">
        <v>-28.4283</v>
      </c>
      <c r="AF3219">
        <v>4.9956047465106801</v>
      </c>
      <c r="AG3219">
        <v>-1.1001499775320001</v>
      </c>
      <c r="AH3219">
        <v>27.945906250218599</v>
      </c>
      <c r="AI3219">
        <v>92.219262481185496</v>
      </c>
      <c r="AJ3219">
        <v>79.864869056383299</v>
      </c>
      <c r="AK3219">
        <v>28.410210715558399</v>
      </c>
    </row>
    <row r="3220" spans="1:37" x14ac:dyDescent="0.2">
      <c r="A3220" t="str">
        <f>"20200111153500454"</f>
        <v>20200111153500454</v>
      </c>
      <c r="B3220" t="str">
        <f>"1578728100449765"</f>
        <v>1578728100449765</v>
      </c>
      <c r="C3220" t="s">
        <v>37</v>
      </c>
      <c r="D3220">
        <v>4.7418740000000001</v>
      </c>
      <c r="E3220">
        <v>0.55643940000000003</v>
      </c>
      <c r="F3220" t="s">
        <v>39</v>
      </c>
      <c r="G3220">
        <v>-192.72319999999999</v>
      </c>
      <c r="H3220" s="1">
        <v>-2.6342359999999998E-6</v>
      </c>
      <c r="I3220">
        <v>163.63149999999999</v>
      </c>
      <c r="J3220">
        <v>-192.20410000000001</v>
      </c>
      <c r="K3220">
        <v>1.100169</v>
      </c>
      <c r="L3220">
        <v>192.6705</v>
      </c>
      <c r="M3220">
        <v>0.1577974</v>
      </c>
      <c r="N3220">
        <v>0</v>
      </c>
      <c r="O3220">
        <v>-0.98737450000000004</v>
      </c>
      <c r="P3220">
        <v>0.1291002</v>
      </c>
      <c r="Q3220">
        <v>2.9507869999999999E-2</v>
      </c>
      <c r="R3220">
        <v>-0.99119259999999998</v>
      </c>
      <c r="S3220">
        <v>-5.1727290000000002E-2</v>
      </c>
      <c r="T3220">
        <v>-0.1144902</v>
      </c>
      <c r="U3220">
        <v>-3.0385279999999999</v>
      </c>
      <c r="V3220">
        <v>2.9439170000000001E-2</v>
      </c>
      <c r="W3220">
        <v>4.3000139999999999E-2</v>
      </c>
      <c r="X3220">
        <v>0.99864129999999995</v>
      </c>
      <c r="Y3220">
        <v>0.174585299999999</v>
      </c>
      <c r="Z3220">
        <v>3.6653070000000003E-2</v>
      </c>
      <c r="AA3220">
        <v>0.98395959999999905</v>
      </c>
      <c r="AB3220">
        <v>28</v>
      </c>
      <c r="AC3220">
        <v>-0.51909999999998002</v>
      </c>
      <c r="AD3220">
        <v>-1.100171634236</v>
      </c>
      <c r="AE3220">
        <v>-29.039000000000001</v>
      </c>
      <c r="AF3220">
        <v>5.0880121568248899</v>
      </c>
      <c r="AG3220">
        <v>-1.100171634236</v>
      </c>
      <c r="AH3220">
        <v>28.552225187904298</v>
      </c>
      <c r="AI3220">
        <v>92.172433897611299</v>
      </c>
      <c r="AJ3220">
        <v>79.895942370347996</v>
      </c>
      <c r="AK3220">
        <v>29.022884221137801</v>
      </c>
    </row>
    <row r="3221" spans="1:37" x14ac:dyDescent="0.2">
      <c r="A3221" t="str">
        <f>"20200111153500467"</f>
        <v>20200111153500467</v>
      </c>
      <c r="B3221" t="str">
        <f>"1578728100459524"</f>
        <v>1578728100459524</v>
      </c>
      <c r="C3221" t="s">
        <v>37</v>
      </c>
      <c r="D3221">
        <v>4.742883</v>
      </c>
      <c r="E3221">
        <v>0.55631960000000003</v>
      </c>
      <c r="F3221" t="s">
        <v>39</v>
      </c>
      <c r="G3221">
        <v>-192.80539999999999</v>
      </c>
      <c r="H3221" s="1">
        <v>-2.49493E-6</v>
      </c>
      <c r="I3221">
        <v>163.29050000000001</v>
      </c>
      <c r="J3221">
        <v>-192.18260000000001</v>
      </c>
      <c r="K3221">
        <v>1.1001920000000001</v>
      </c>
      <c r="L3221">
        <v>192.5119</v>
      </c>
      <c r="M3221">
        <v>0.15423149999999999</v>
      </c>
      <c r="N3221">
        <v>0</v>
      </c>
      <c r="O3221">
        <v>-0.98793790000000004</v>
      </c>
      <c r="P3221">
        <v>0.12579489999999999</v>
      </c>
      <c r="Q3221">
        <v>2.9649099999999901E-2</v>
      </c>
      <c r="R3221">
        <v>-0.99161339999999998</v>
      </c>
      <c r="S3221">
        <v>-6.2179570000000003E-2</v>
      </c>
      <c r="T3221">
        <v>-0.113767699999999</v>
      </c>
      <c r="U3221">
        <v>-3.0381619999999998</v>
      </c>
      <c r="V3221">
        <v>2.9161079999999999E-2</v>
      </c>
      <c r="W3221">
        <v>4.3140669999999999E-2</v>
      </c>
      <c r="X3221">
        <v>0.99864330000000001</v>
      </c>
      <c r="Y3221">
        <v>0.1744165</v>
      </c>
      <c r="Z3221">
        <v>3.6457440000000001E-2</v>
      </c>
      <c r="AA3221">
        <v>0.9839968</v>
      </c>
      <c r="AB3221">
        <v>28</v>
      </c>
      <c r="AC3221">
        <v>-0.62279999999998303</v>
      </c>
      <c r="AD3221">
        <v>-1.10019449492999</v>
      </c>
      <c r="AE3221">
        <v>-29.2213999999999</v>
      </c>
      <c r="AF3221">
        <v>5.1153902063589598</v>
      </c>
      <c r="AG3221">
        <v>-1.10019449492999</v>
      </c>
      <c r="AH3221">
        <v>28.7349118747861</v>
      </c>
      <c r="AI3221">
        <v>92.158747304520404</v>
      </c>
      <c r="AJ3221">
        <v>79.9059471399937</v>
      </c>
      <c r="AK3221">
        <v>29.2074101101366</v>
      </c>
    </row>
    <row r="3222" spans="1:37" x14ac:dyDescent="0.2">
      <c r="A3222" t="str">
        <f>"20200111153500481"</f>
        <v>20200111153500481</v>
      </c>
      <c r="B3222" t="str">
        <f>"1578728100469491"</f>
        <v>1578728100469491</v>
      </c>
      <c r="C3222" t="s">
        <v>37</v>
      </c>
      <c r="D3222">
        <v>4.7254509999999996</v>
      </c>
      <c r="E3222">
        <v>0.55610809999999999</v>
      </c>
      <c r="F3222" t="s">
        <v>39</v>
      </c>
      <c r="G3222">
        <v>-192.874</v>
      </c>
      <c r="H3222" s="1">
        <v>-2.3987099999999999E-6</v>
      </c>
      <c r="I3222">
        <v>163.04830000000001</v>
      </c>
      <c r="J3222">
        <v>-192.15989999999999</v>
      </c>
      <c r="K3222">
        <v>1.1002239999999901</v>
      </c>
      <c r="L3222">
        <v>192.34099999999901</v>
      </c>
      <c r="M3222">
        <v>0.1504105</v>
      </c>
      <c r="N3222">
        <v>0</v>
      </c>
      <c r="O3222">
        <v>-0.98852700000000004</v>
      </c>
      <c r="P3222">
        <v>0.1219407</v>
      </c>
      <c r="Q3222">
        <v>2.8892649999999999E-2</v>
      </c>
      <c r="R3222">
        <v>-0.99211700000000003</v>
      </c>
      <c r="S3222">
        <v>-7.1289060000000001E-2</v>
      </c>
      <c r="T3222">
        <v>-0.11343549999999999</v>
      </c>
      <c r="U3222">
        <v>-3.0378419999999999</v>
      </c>
      <c r="V3222">
        <v>2.9171610000000001E-2</v>
      </c>
      <c r="W3222">
        <v>4.237987E-2</v>
      </c>
      <c r="X3222">
        <v>0.998675599999999</v>
      </c>
      <c r="Y3222">
        <v>0.17356060000000001</v>
      </c>
      <c r="Z3222">
        <v>3.6389520000000002E-2</v>
      </c>
      <c r="AA3222">
        <v>0.98415059999999999</v>
      </c>
      <c r="AB3222">
        <v>28</v>
      </c>
      <c r="AC3222">
        <v>-0.71410000000003004</v>
      </c>
      <c r="AD3222">
        <v>-1.1002263987099901</v>
      </c>
      <c r="AE3222">
        <v>-29.2926999999999</v>
      </c>
      <c r="AF3222">
        <v>5.1051274643757303</v>
      </c>
      <c r="AG3222">
        <v>-1.1002263987099901</v>
      </c>
      <c r="AH3222">
        <v>28.811351926620201</v>
      </c>
      <c r="AI3222">
        <v>92.153394524482394</v>
      </c>
      <c r="AJ3222">
        <v>79.951965876235406</v>
      </c>
      <c r="AK3222">
        <v>29.280826907645601</v>
      </c>
    </row>
    <row r="3223" spans="1:37" x14ac:dyDescent="0.2">
      <c r="A3223" t="str">
        <f>"20200111153500494"</f>
        <v>20200111153500494</v>
      </c>
      <c r="B3223" t="str">
        <f>"1578728100488994"</f>
        <v>1578728100488994</v>
      </c>
      <c r="C3223" t="s">
        <v>37</v>
      </c>
      <c r="D3223">
        <v>4.7263279999999996</v>
      </c>
      <c r="E3223">
        <v>0.55556569999999905</v>
      </c>
      <c r="F3223" t="s">
        <v>39</v>
      </c>
      <c r="G3223">
        <v>-192.9425</v>
      </c>
      <c r="H3223" s="1">
        <v>-2.480363E-6</v>
      </c>
      <c r="I3223">
        <v>163.1825</v>
      </c>
      <c r="J3223">
        <v>-192.1379</v>
      </c>
      <c r="K3223">
        <v>1.1002590000000001</v>
      </c>
      <c r="L3223">
        <v>192.16890000000001</v>
      </c>
      <c r="M3223">
        <v>0.1465989</v>
      </c>
      <c r="N3223">
        <v>0</v>
      </c>
      <c r="O3223">
        <v>-0.98909950000000002</v>
      </c>
      <c r="P3223">
        <v>0.1178385</v>
      </c>
      <c r="Q3223">
        <v>2.753427E-2</v>
      </c>
      <c r="R3223">
        <v>-0.99265099999999995</v>
      </c>
      <c r="S3223">
        <v>-8.151245E-2</v>
      </c>
      <c r="T3223">
        <v>-0.1146007</v>
      </c>
      <c r="U3223">
        <v>-3.0371860000000002</v>
      </c>
      <c r="V3223">
        <v>2.9436469999999999E-2</v>
      </c>
      <c r="W3223">
        <v>4.1015389999999999E-2</v>
      </c>
      <c r="X3223">
        <v>0.99872479999999997</v>
      </c>
      <c r="Y3223">
        <v>0.1730796</v>
      </c>
      <c r="Z3223">
        <v>3.6803099999999998E-2</v>
      </c>
      <c r="AA3223">
        <v>0.98421999999999998</v>
      </c>
      <c r="AB3223">
        <v>28</v>
      </c>
      <c r="AC3223">
        <v>-0.80459999999999299</v>
      </c>
      <c r="AD3223">
        <v>-1.100261480363</v>
      </c>
      <c r="AE3223">
        <v>-28.9864</v>
      </c>
      <c r="AF3223">
        <v>5.0384317752833301</v>
      </c>
      <c r="AG3223">
        <v>-1.100261480363</v>
      </c>
      <c r="AH3223">
        <v>28.514155068205699</v>
      </c>
      <c r="AI3223">
        <v>92.176070323887004</v>
      </c>
      <c r="AJ3223">
        <v>79.979311200569001</v>
      </c>
      <c r="AK3223">
        <v>28.976773618417798</v>
      </c>
    </row>
    <row r="3224" spans="1:37" x14ac:dyDescent="0.2">
      <c r="A3224" t="str">
        <f>"20200111153500511"</f>
        <v>20200111153500511</v>
      </c>
      <c r="B3224" t="str">
        <f>"1578728100499730"</f>
        <v>1578728100499730</v>
      </c>
      <c r="C3224" t="s">
        <v>37</v>
      </c>
      <c r="D3224">
        <v>4.7118519999999897</v>
      </c>
      <c r="E3224">
        <v>0.55530869999999999</v>
      </c>
      <c r="F3224" t="s">
        <v>39</v>
      </c>
      <c r="G3224">
        <v>-192.97309999999999</v>
      </c>
      <c r="H3224" s="1">
        <v>-2.791759E-6</v>
      </c>
      <c r="I3224">
        <v>163.82399999999899</v>
      </c>
      <c r="J3224">
        <v>-192.11359999999999</v>
      </c>
      <c r="K3224">
        <v>1.1003080000000001</v>
      </c>
      <c r="L3224">
        <v>191.97309999999999</v>
      </c>
      <c r="M3224">
        <v>0.142314</v>
      </c>
      <c r="N3224">
        <v>0</v>
      </c>
      <c r="O3224">
        <v>-0.98972510000000002</v>
      </c>
      <c r="P3224">
        <v>0.11287609999999999</v>
      </c>
      <c r="Q3224">
        <v>2.6648970000000001E-2</v>
      </c>
      <c r="R3224">
        <v>-0.99325160000000001</v>
      </c>
      <c r="S3224">
        <v>-8.9462280000000005E-2</v>
      </c>
      <c r="T3224">
        <v>-0.11785229999999999</v>
      </c>
      <c r="U3224">
        <v>-3.0361020000000001</v>
      </c>
      <c r="V3224">
        <v>3.00909E-2</v>
      </c>
      <c r="W3224">
        <v>4.0118719999999997E-2</v>
      </c>
      <c r="X3224">
        <v>0.99874169999999995</v>
      </c>
      <c r="Y3224">
        <v>0.1713972</v>
      </c>
      <c r="Z3224">
        <v>3.7899960000000003E-2</v>
      </c>
      <c r="AA3224">
        <v>0.98447280000000004</v>
      </c>
      <c r="AB3224">
        <v>28</v>
      </c>
      <c r="AC3224">
        <v>-0.85949999999999704</v>
      </c>
      <c r="AD3224">
        <v>-1.100310791759</v>
      </c>
      <c r="AE3224">
        <v>-28.149100000000001</v>
      </c>
      <c r="AF3224">
        <v>4.8497403711696903</v>
      </c>
      <c r="AG3224">
        <v>-1.100310791759</v>
      </c>
      <c r="AH3224">
        <v>27.6979196832798</v>
      </c>
      <c r="AI3224">
        <v>92.240846299729796</v>
      </c>
      <c r="AJ3224">
        <v>80.068527162429007</v>
      </c>
      <c r="AK3224">
        <v>28.140814136901401</v>
      </c>
    </row>
    <row r="3225" spans="1:37" x14ac:dyDescent="0.2">
      <c r="A3225" t="str">
        <f>"20200111153500525"</f>
        <v>20200111153500525</v>
      </c>
      <c r="B3225" t="str">
        <f>"1578728100519249"</f>
        <v>1578728100519249</v>
      </c>
      <c r="C3225" t="s">
        <v>37</v>
      </c>
      <c r="D3225">
        <v>4.7006170000000003</v>
      </c>
      <c r="E3225">
        <v>0.55474869999999898</v>
      </c>
      <c r="F3225" t="s">
        <v>39</v>
      </c>
      <c r="G3225">
        <v>-193.04509999999999</v>
      </c>
      <c r="H3225" s="1">
        <v>-3.07324099999999E-6</v>
      </c>
      <c r="I3225">
        <v>164.37899999999999</v>
      </c>
      <c r="J3225">
        <v>-192.0926</v>
      </c>
      <c r="K3225">
        <v>1.1003609999999999</v>
      </c>
      <c r="L3225">
        <v>191.7989</v>
      </c>
      <c r="M3225">
        <v>0.1385477</v>
      </c>
      <c r="N3225">
        <v>0</v>
      </c>
      <c r="O3225">
        <v>-0.99025940000000001</v>
      </c>
      <c r="P3225">
        <v>0.1085996</v>
      </c>
      <c r="Q3225">
        <v>2.5740969999999998E-2</v>
      </c>
      <c r="R3225">
        <v>-0.99375219999999898</v>
      </c>
      <c r="S3225">
        <v>-0.10246279999999899</v>
      </c>
      <c r="T3225">
        <v>-0.12103179999999999</v>
      </c>
      <c r="U3225">
        <v>-3.0352939999999999</v>
      </c>
      <c r="V3225">
        <v>3.057851E-2</v>
      </c>
      <c r="W3225">
        <v>3.9202010000000002E-2</v>
      </c>
      <c r="X3225">
        <v>0.99876330000000002</v>
      </c>
      <c r="Y3225">
        <v>0.17186789999999999</v>
      </c>
      <c r="Z3225">
        <v>3.8958819999999998E-2</v>
      </c>
      <c r="AA3225">
        <v>0.98434940000000004</v>
      </c>
      <c r="AB3225">
        <v>28</v>
      </c>
      <c r="AC3225">
        <v>-0.95249999999998602</v>
      </c>
      <c r="AD3225">
        <v>-1.1003640732410001</v>
      </c>
      <c r="AE3225">
        <v>-27.419899999999899</v>
      </c>
      <c r="AF3225">
        <v>4.7350225405863</v>
      </c>
      <c r="AG3225">
        <v>-1.1003640732410001</v>
      </c>
      <c r="AH3225">
        <v>26.9800289432353</v>
      </c>
      <c r="AI3225">
        <v>92.300360236536804</v>
      </c>
      <c r="AJ3225">
        <v>80.045903662175505</v>
      </c>
      <c r="AK3225">
        <v>27.4144706556839</v>
      </c>
    </row>
    <row r="3226" spans="1:37" x14ac:dyDescent="0.2">
      <c r="A3226" t="str">
        <f>"20200111153500540"</f>
        <v>20200111153500540</v>
      </c>
      <c r="B3226" t="str">
        <f>"1578728100529010"</f>
        <v>1578728100529010</v>
      </c>
      <c r="C3226" t="s">
        <v>37</v>
      </c>
      <c r="D3226">
        <v>4.672631</v>
      </c>
      <c r="E3226">
        <v>0.5543981</v>
      </c>
      <c r="F3226" t="s">
        <v>39</v>
      </c>
      <c r="G3226">
        <v>-193.07470000000001</v>
      </c>
      <c r="H3226" s="1">
        <v>-3.3480040000000001E-6</v>
      </c>
      <c r="I3226">
        <v>164.9436</v>
      </c>
      <c r="J3226">
        <v>-192.07130000000001</v>
      </c>
      <c r="K3226">
        <v>1.1004240000000001</v>
      </c>
      <c r="L3226">
        <v>191.6174</v>
      </c>
      <c r="M3226">
        <v>0.13467579999999901</v>
      </c>
      <c r="N3226">
        <v>0</v>
      </c>
      <c r="O3226">
        <v>-0.99079379999999995</v>
      </c>
      <c r="P3226">
        <v>0.1033452</v>
      </c>
      <c r="Q3226">
        <v>2.4847600000000001E-2</v>
      </c>
      <c r="R3226">
        <v>-0.99433549999999904</v>
      </c>
      <c r="S3226">
        <v>-0.110961899999999</v>
      </c>
      <c r="T3226">
        <v>-0.124324399999999</v>
      </c>
      <c r="U3226">
        <v>-3.0342410000000002</v>
      </c>
      <c r="V3226">
        <v>3.1941230000000001E-2</v>
      </c>
      <c r="W3226">
        <v>3.8290020000000001E-2</v>
      </c>
      <c r="X3226">
        <v>0.99875609999999904</v>
      </c>
      <c r="Y3226">
        <v>0.17078070000000001</v>
      </c>
      <c r="Z3226">
        <v>4.0065459999999997E-2</v>
      </c>
      <c r="AA3226">
        <v>0.98449409999999904</v>
      </c>
      <c r="AB3226">
        <v>27</v>
      </c>
      <c r="AC3226">
        <v>-1.0033999999999901</v>
      </c>
      <c r="AD3226">
        <v>-1.1004273480040001</v>
      </c>
      <c r="AE3226">
        <v>-26.6738</v>
      </c>
      <c r="AF3226">
        <v>4.57913125166115</v>
      </c>
      <c r="AG3226">
        <v>-1.1004273480040001</v>
      </c>
      <c r="AH3226">
        <v>26.250985782490901</v>
      </c>
      <c r="AI3226">
        <v>92.364737016076106</v>
      </c>
      <c r="AJ3226">
        <v>80.105081798073797</v>
      </c>
      <c r="AK3226">
        <v>26.670088824762399</v>
      </c>
    </row>
    <row r="3227" spans="1:37" x14ac:dyDescent="0.2">
      <c r="A3227" t="str">
        <f>"20200111153500554"</f>
        <v>20200111153500554</v>
      </c>
      <c r="B3227" t="str">
        <f>"1578728100549506"</f>
        <v>1578728100549506</v>
      </c>
      <c r="C3227" t="s">
        <v>37</v>
      </c>
      <c r="D3227">
        <v>4.6872089999999904</v>
      </c>
      <c r="E3227">
        <v>0.553732</v>
      </c>
      <c r="F3227" t="s">
        <v>39</v>
      </c>
      <c r="G3227">
        <v>-193.1337</v>
      </c>
      <c r="H3227" s="1">
        <v>-3.6594839999999998E-6</v>
      </c>
      <c r="I3227">
        <v>165.5693</v>
      </c>
      <c r="J3227">
        <v>-192.05160000000001</v>
      </c>
      <c r="K3227">
        <v>1.1004969999999901</v>
      </c>
      <c r="L3227">
        <v>191.4425</v>
      </c>
      <c r="M3227">
        <v>0.1310268</v>
      </c>
      <c r="N3227">
        <v>0</v>
      </c>
      <c r="O3227">
        <v>-0.99128309999999997</v>
      </c>
      <c r="P3227">
        <v>9.8640720000000001E-2</v>
      </c>
      <c r="Q3227">
        <v>2.4505369999999999E-2</v>
      </c>
      <c r="R3227">
        <v>-0.99482169999999903</v>
      </c>
      <c r="S3227">
        <v>-0.12370299999999999</v>
      </c>
      <c r="T3227">
        <v>-0.12813740000000001</v>
      </c>
      <c r="U3227">
        <v>-3.0331269999999999</v>
      </c>
      <c r="V3227">
        <v>3.2978899999999998E-2</v>
      </c>
      <c r="W3227">
        <v>3.7933139999999997E-2</v>
      </c>
      <c r="X3227">
        <v>0.99873599999999996</v>
      </c>
      <c r="Y3227">
        <v>0.1712931</v>
      </c>
      <c r="Z3227">
        <v>4.1332929999999997E-2</v>
      </c>
      <c r="AA3227">
        <v>0.98435269999999997</v>
      </c>
      <c r="AB3227">
        <v>27</v>
      </c>
      <c r="AC3227">
        <v>-1.0820999999999901</v>
      </c>
      <c r="AD3227">
        <v>-1.1005006594840001</v>
      </c>
      <c r="AE3227">
        <v>-25.873200000000001</v>
      </c>
      <c r="AF3227">
        <v>4.4551275779144204</v>
      </c>
      <c r="AG3227">
        <v>-1.1005006594840001</v>
      </c>
      <c r="AH3227">
        <v>25.462317246260699</v>
      </c>
      <c r="AI3227">
        <v>92.437837449170303</v>
      </c>
      <c r="AJ3227">
        <v>80.075453020490201</v>
      </c>
      <c r="AK3227">
        <v>25.872550376533201</v>
      </c>
    </row>
    <row r="3228" spans="1:37" x14ac:dyDescent="0.2">
      <c r="A3228" t="str">
        <f>"20200111153500567"</f>
        <v>20200111153500567</v>
      </c>
      <c r="B3228" t="str">
        <f>"1578728100559265"</f>
        <v>1578728100559265</v>
      </c>
      <c r="C3228" t="s">
        <v>37</v>
      </c>
      <c r="D3228">
        <v>4.7307129999999997</v>
      </c>
      <c r="E3228">
        <v>0.55331560000000002</v>
      </c>
      <c r="F3228" t="s">
        <v>39</v>
      </c>
      <c r="G3228">
        <v>-193.19040000000001</v>
      </c>
      <c r="H3228" s="1">
        <v>-3.5824300000000002E-6</v>
      </c>
      <c r="I3228">
        <v>165.37440000000001</v>
      </c>
      <c r="J3228">
        <v>-192.03380000000001</v>
      </c>
      <c r="K3228">
        <v>1.100568</v>
      </c>
      <c r="L3228">
        <v>191.28030000000001</v>
      </c>
      <c r="M3228">
        <v>0.1276989</v>
      </c>
      <c r="N3228">
        <v>0</v>
      </c>
      <c r="O3228">
        <v>-0.99171730000000002</v>
      </c>
      <c r="P3228">
        <v>9.4010919999999998E-2</v>
      </c>
      <c r="Q3228">
        <v>2.4201879999999999E-2</v>
      </c>
      <c r="R3228">
        <v>-0.99527710000000003</v>
      </c>
      <c r="S3228">
        <v>-0.13244629999999999</v>
      </c>
      <c r="T3228">
        <v>-0.1279961</v>
      </c>
      <c r="U3228">
        <v>-3.0319060000000002</v>
      </c>
      <c r="V3228">
        <v>3.4264969999999999E-2</v>
      </c>
      <c r="W3228">
        <v>3.7612930000000003E-2</v>
      </c>
      <c r="X3228">
        <v>0.998704699999999</v>
      </c>
      <c r="Y3228">
        <v>0.17083609999999999</v>
      </c>
      <c r="Z3228">
        <v>4.133067E-2</v>
      </c>
      <c r="AA3228">
        <v>0.98443219999999998</v>
      </c>
      <c r="AB3228">
        <v>27</v>
      </c>
      <c r="AC3228">
        <v>-1.1565999999999901</v>
      </c>
      <c r="AD3228">
        <v>-1.10057158242999</v>
      </c>
      <c r="AE3228">
        <v>-25.905899999999999</v>
      </c>
      <c r="AF3228">
        <v>4.4475867685258699</v>
      </c>
      <c r="AG3228">
        <v>-1.10057158242999</v>
      </c>
      <c r="AH3228">
        <v>25.5001247908035</v>
      </c>
      <c r="AI3228">
        <v>92.434612872759203</v>
      </c>
      <c r="AJ3228">
        <v>80.106317916885203</v>
      </c>
      <c r="AK3228">
        <v>25.908466767027601</v>
      </c>
    </row>
    <row r="3229" spans="1:37" x14ac:dyDescent="0.2">
      <c r="A3229" t="str">
        <f>"20200111153500587"</f>
        <v>20200111153500587</v>
      </c>
      <c r="B3229" t="str">
        <f>"1578728100579474"</f>
        <v>1578728100579474</v>
      </c>
      <c r="C3229" t="s">
        <v>37</v>
      </c>
      <c r="D3229">
        <v>4.8337240000000001</v>
      </c>
      <c r="E3229">
        <v>0.55328489999999997</v>
      </c>
      <c r="F3229" t="s">
        <v>39</v>
      </c>
      <c r="G3229">
        <v>-193.2655</v>
      </c>
      <c r="H3229" s="1">
        <v>-3.5080429999999998E-6</v>
      </c>
      <c r="I3229">
        <v>165.1747</v>
      </c>
      <c r="J3229">
        <v>-192.00899999999999</v>
      </c>
      <c r="K3229">
        <v>1.100678</v>
      </c>
      <c r="L3229">
        <v>191.04669999999999</v>
      </c>
      <c r="M3229">
        <v>0.1230174</v>
      </c>
      <c r="N3229">
        <v>0</v>
      </c>
      <c r="O3229">
        <v>-0.992309</v>
      </c>
      <c r="P3229">
        <v>8.6991849999999996E-2</v>
      </c>
      <c r="Q3229">
        <v>2.3367969999999998E-2</v>
      </c>
      <c r="R3229">
        <v>-0.99593500000000001</v>
      </c>
      <c r="S3229">
        <v>-0.14300539999999901</v>
      </c>
      <c r="T3229">
        <v>-0.12777759999999999</v>
      </c>
      <c r="U3229">
        <v>-3.0308839999999999</v>
      </c>
      <c r="V3229">
        <v>3.6576520000000001E-2</v>
      </c>
      <c r="W3229">
        <v>3.6751399999999997E-2</v>
      </c>
      <c r="X3229">
        <v>0.99865479999999995</v>
      </c>
      <c r="Y3229">
        <v>0.1696233</v>
      </c>
      <c r="Z3229">
        <v>4.1312620000000001E-2</v>
      </c>
      <c r="AA3229">
        <v>0.98464269999999998</v>
      </c>
      <c r="AB3229">
        <v>27</v>
      </c>
      <c r="AC3229">
        <v>-1.25649999999998</v>
      </c>
      <c r="AD3229">
        <v>-1.1006815080429999</v>
      </c>
      <c r="AE3229">
        <v>-25.8719999999999</v>
      </c>
      <c r="AF3229">
        <v>4.4219776747010604</v>
      </c>
      <c r="AG3229">
        <v>-1.1006815080429999</v>
      </c>
      <c r="AH3229">
        <v>25.474866772943599</v>
      </c>
      <c r="AI3229">
        <v>92.437609186897902</v>
      </c>
      <c r="AJ3229">
        <v>80.152606056405205</v>
      </c>
      <c r="AK3229">
        <v>25.8792237796447</v>
      </c>
    </row>
    <row r="3230" spans="1:37" x14ac:dyDescent="0.2">
      <c r="A3230" t="str">
        <f>"20200111153500600"</f>
        <v>20200111153500600</v>
      </c>
      <c r="B3230" t="str">
        <f>"1578728100589235"</f>
        <v>1578728100589235</v>
      </c>
      <c r="C3230" t="s">
        <v>37</v>
      </c>
      <c r="D3230">
        <v>4.8021269999999996</v>
      </c>
      <c r="E3230">
        <v>0.55328489999999997</v>
      </c>
      <c r="F3230" t="s">
        <v>39</v>
      </c>
      <c r="G3230">
        <v>-193.40710000000001</v>
      </c>
      <c r="H3230" s="1">
        <v>-3.5437590000000002E-6</v>
      </c>
      <c r="I3230">
        <v>165.17060000000001</v>
      </c>
      <c r="J3230">
        <v>-191.99080000000001</v>
      </c>
      <c r="K3230">
        <v>1.1007690000000001</v>
      </c>
      <c r="L3230">
        <v>190.8708</v>
      </c>
      <c r="M3230">
        <v>0.1195823</v>
      </c>
      <c r="N3230">
        <v>0</v>
      </c>
      <c r="O3230">
        <v>-0.99272890000000003</v>
      </c>
      <c r="P3230">
        <v>8.2572880000000001E-2</v>
      </c>
      <c r="Q3230">
        <v>2.2778670000000001E-2</v>
      </c>
      <c r="R3230">
        <v>-0.99632459999999901</v>
      </c>
      <c r="S3230">
        <v>-0.16369629999999999</v>
      </c>
      <c r="T3230">
        <v>-0.12886819999999999</v>
      </c>
      <c r="U3230">
        <v>-3.0295869999999998</v>
      </c>
      <c r="V3230">
        <v>3.7537439999999998E-2</v>
      </c>
      <c r="W3230">
        <v>3.6150990000000001E-2</v>
      </c>
      <c r="X3230">
        <v>0.99864109999999995</v>
      </c>
      <c r="Y3230">
        <v>0.17293800000000001</v>
      </c>
      <c r="Z3230">
        <v>4.168968E-2</v>
      </c>
      <c r="AA3230">
        <v>0.98404999999999998</v>
      </c>
      <c r="AB3230">
        <v>27</v>
      </c>
      <c r="AC3230">
        <v>-1.4162999999999999</v>
      </c>
      <c r="AD3230">
        <v>-1.1007725437589999</v>
      </c>
      <c r="AE3230">
        <v>-25.700199999999899</v>
      </c>
      <c r="AF3230">
        <v>4.4715369453784897</v>
      </c>
      <c r="AG3230">
        <v>-1.1007725437589999</v>
      </c>
      <c r="AH3230">
        <v>25.3000943670806</v>
      </c>
      <c r="AI3230">
        <v>92.453314964077705</v>
      </c>
      <c r="AJ3230">
        <v>79.9770547305706</v>
      </c>
      <c r="AK3230">
        <v>25.7157756606749</v>
      </c>
    </row>
    <row r="3231" spans="1:37" x14ac:dyDescent="0.2">
      <c r="A3231" t="str">
        <f>"20200111153500614"</f>
        <v>20200111153500614</v>
      </c>
      <c r="B3231" t="str">
        <f>"1578728100609731"</f>
        <v>1578728100609731</v>
      </c>
      <c r="C3231" t="s">
        <v>37</v>
      </c>
      <c r="D3231">
        <v>5.0108750000000004</v>
      </c>
      <c r="E3231">
        <v>0.61099349999999997</v>
      </c>
      <c r="F3231" t="s">
        <v>39</v>
      </c>
      <c r="G3231">
        <v>-193.47909999999999</v>
      </c>
      <c r="H3231" s="1">
        <v>-3.6713959999999898E-6</v>
      </c>
      <c r="I3231">
        <v>165.40010000000001</v>
      </c>
      <c r="J3231">
        <v>-191.9735</v>
      </c>
      <c r="K3231">
        <v>1.1008719999999901</v>
      </c>
      <c r="L3231">
        <v>190.697</v>
      </c>
      <c r="M3231">
        <v>0.11630399999999901</v>
      </c>
      <c r="N3231">
        <v>0</v>
      </c>
      <c r="O3231">
        <v>-0.99311870000000002</v>
      </c>
      <c r="P3231">
        <v>7.8035740000000006E-2</v>
      </c>
      <c r="Q3231">
        <v>2.2112099999999999E-2</v>
      </c>
      <c r="R3231">
        <v>-0.99670559999999997</v>
      </c>
      <c r="S3231">
        <v>-0.1769714</v>
      </c>
      <c r="T3231">
        <v>-0.1308926</v>
      </c>
      <c r="U3231">
        <v>-3.0287169999999999</v>
      </c>
      <c r="V3231">
        <v>3.8772969999999997E-2</v>
      </c>
      <c r="W3231">
        <v>3.5471450000000002E-2</v>
      </c>
      <c r="X3231">
        <v>0.99861819999999901</v>
      </c>
      <c r="Y3231">
        <v>0.17399909999999999</v>
      </c>
      <c r="Z3231">
        <v>4.2371470000000001E-2</v>
      </c>
      <c r="AA3231">
        <v>0.98383379999999998</v>
      </c>
      <c r="AB3231">
        <v>27</v>
      </c>
      <c r="AC3231">
        <v>-1.5055999999999801</v>
      </c>
      <c r="AD3231">
        <v>-1.100875671396</v>
      </c>
      <c r="AE3231">
        <v>-25.296899999999901</v>
      </c>
      <c r="AF3231">
        <v>4.42942974086984</v>
      </c>
      <c r="AG3231">
        <v>-1.100875671396</v>
      </c>
      <c r="AH3231">
        <v>24.903074563038</v>
      </c>
      <c r="AI3231">
        <v>92.492129284504998</v>
      </c>
      <c r="AJ3231">
        <v>79.914458741365195</v>
      </c>
      <c r="AK3231">
        <v>25.317877039068701</v>
      </c>
    </row>
    <row r="3232" spans="1:37" x14ac:dyDescent="0.2">
      <c r="A3232" t="str">
        <f>"20200111153500629"</f>
        <v>20200111153500629</v>
      </c>
      <c r="B3232" t="str">
        <f>"1578728100619491"</f>
        <v>1578728100619491</v>
      </c>
      <c r="C3232" t="s">
        <v>37</v>
      </c>
      <c r="D3232">
        <v>4.9813799999999997</v>
      </c>
      <c r="E3232">
        <v>0.61234929999999999</v>
      </c>
      <c r="F3232" t="s">
        <v>51</v>
      </c>
      <c r="G3232">
        <v>-205.523</v>
      </c>
      <c r="H3232">
        <v>7.9987939999999993E-2</v>
      </c>
      <c r="I3232">
        <v>126.77719999999999</v>
      </c>
      <c r="J3232">
        <v>-191.9564</v>
      </c>
      <c r="K3232">
        <v>1.100981</v>
      </c>
      <c r="L3232">
        <v>190.5204</v>
      </c>
      <c r="M3232">
        <v>0.113072699999999</v>
      </c>
      <c r="N3232">
        <v>0</v>
      </c>
      <c r="O3232">
        <v>-0.99349179999999904</v>
      </c>
      <c r="P3232">
        <v>7.2775569999999998E-2</v>
      </c>
      <c r="Q3232">
        <v>2.0410620000000001E-2</v>
      </c>
      <c r="R3232">
        <v>-0.99713969999999896</v>
      </c>
      <c r="S3232">
        <v>-0.64903259999999996</v>
      </c>
      <c r="T3232">
        <v>-4.8901199999999902E-2</v>
      </c>
      <c r="U3232">
        <v>-3.0618129999999999</v>
      </c>
      <c r="V3232">
        <v>4.0772019999999999E-2</v>
      </c>
      <c r="W3232">
        <v>3.3749670000000002E-2</v>
      </c>
      <c r="X3232">
        <v>0.99859830000000005</v>
      </c>
      <c r="Y3232">
        <v>0.31663930000000001</v>
      </c>
      <c r="Z3232">
        <v>1.5234950000000001E-2</v>
      </c>
      <c r="AA3232">
        <v>0.94842369999999898</v>
      </c>
      <c r="AB3232">
        <v>27</v>
      </c>
      <c r="AC3232">
        <v>-13.5665999999999</v>
      </c>
      <c r="AD3232">
        <v>-1.0209930599999999</v>
      </c>
      <c r="AE3232">
        <v>-63.743200000000002</v>
      </c>
      <c r="AF3232">
        <v>20.6827963250627</v>
      </c>
      <c r="AG3232">
        <v>-1.0209930599999999</v>
      </c>
      <c r="AH3232">
        <v>61.784998435011502</v>
      </c>
      <c r="AI3232">
        <v>90.897764931807401</v>
      </c>
      <c r="AJ3232">
        <v>71.491806565127305</v>
      </c>
      <c r="AK3232">
        <v>65.162922910708701</v>
      </c>
    </row>
    <row r="3233" spans="1:37" x14ac:dyDescent="0.2">
      <c r="A3233" t="str">
        <f>"20200111153500644"</f>
        <v>20200111153500644</v>
      </c>
      <c r="B3233" t="str">
        <f>"1578728100639011"</f>
        <v>1578728100639011</v>
      </c>
      <c r="C3233" t="s">
        <v>37</v>
      </c>
      <c r="D3233">
        <v>4.9607939999999999</v>
      </c>
      <c r="E3233">
        <v>0.60781969999999996</v>
      </c>
      <c r="F3233" t="s">
        <v>51</v>
      </c>
      <c r="G3233">
        <v>-202.79939999999999</v>
      </c>
      <c r="H3233" s="1">
        <v>-8.902366E-6</v>
      </c>
      <c r="I3233">
        <v>141.45590000000001</v>
      </c>
      <c r="J3233">
        <v>-191.93870000000001</v>
      </c>
      <c r="K3233">
        <v>1.10111</v>
      </c>
      <c r="L3233">
        <v>190.33250000000001</v>
      </c>
      <c r="M3233">
        <v>0.1097413</v>
      </c>
      <c r="N3233">
        <v>0</v>
      </c>
      <c r="O3233">
        <v>-0.99386559999999902</v>
      </c>
      <c r="P3233">
        <v>6.8612989999999999E-2</v>
      </c>
      <c r="Q3233">
        <v>2.022527E-2</v>
      </c>
      <c r="R3233">
        <v>-0.99743869999999901</v>
      </c>
      <c r="S3233">
        <v>-0.67610170000000003</v>
      </c>
      <c r="T3233">
        <v>-6.8651199999999996E-2</v>
      </c>
      <c r="U3233">
        <v>-3.0593720000000002</v>
      </c>
      <c r="V3233">
        <v>4.158013E-2</v>
      </c>
      <c r="W3233">
        <v>3.3557620000000003E-2</v>
      </c>
      <c r="X3233">
        <v>0.99857149999999995</v>
      </c>
      <c r="Y3233">
        <v>0.32159919999999997</v>
      </c>
      <c r="Z3233">
        <v>2.1376220000000001E-2</v>
      </c>
      <c r="AA3233">
        <v>0.94663459999999999</v>
      </c>
      <c r="AB3233">
        <v>27</v>
      </c>
      <c r="AC3233">
        <v>-10.8606999999999</v>
      </c>
      <c r="AD3233">
        <v>-1.101118902366</v>
      </c>
      <c r="AE3233">
        <v>-48.876600000000003</v>
      </c>
      <c r="AF3233">
        <v>16.151565148442199</v>
      </c>
      <c r="AG3233">
        <v>-1.101118902366</v>
      </c>
      <c r="AH3233">
        <v>47.366450233658803</v>
      </c>
      <c r="AI3233">
        <v>91.260463519063705</v>
      </c>
      <c r="AJ3233">
        <v>71.171051088404496</v>
      </c>
      <c r="AK3233">
        <v>50.056629204524</v>
      </c>
    </row>
    <row r="3234" spans="1:37" x14ac:dyDescent="0.2">
      <c r="A3234" t="str">
        <f>"20200111153500656"</f>
        <v>20200111153500656</v>
      </c>
      <c r="B3234" t="str">
        <f>"1578728100649748"</f>
        <v>1578728100649748</v>
      </c>
      <c r="C3234" t="s">
        <v>37</v>
      </c>
      <c r="D3234">
        <v>5.0436230000000002</v>
      </c>
      <c r="E3234">
        <v>0.60667419999999905</v>
      </c>
      <c r="F3234" t="s">
        <v>39</v>
      </c>
      <c r="G3234">
        <v>-197.5052</v>
      </c>
      <c r="H3234" s="1">
        <v>-4.023986E-6</v>
      </c>
      <c r="I3234">
        <v>164.298</v>
      </c>
      <c r="J3234">
        <v>-191.92400000000001</v>
      </c>
      <c r="K3234">
        <v>1.1012309999999901</v>
      </c>
      <c r="L3234">
        <v>190.17339999999999</v>
      </c>
      <c r="M3234">
        <v>0.10701089999999901</v>
      </c>
      <c r="N3234">
        <v>0</v>
      </c>
      <c r="O3234">
        <v>-0.99416319999999903</v>
      </c>
      <c r="P3234">
        <v>6.4792459999999996E-2</v>
      </c>
      <c r="Q3234">
        <v>1.9721300000000001E-2</v>
      </c>
      <c r="R3234">
        <v>-0.99770409999999898</v>
      </c>
      <c r="S3234">
        <v>-0.65325929999999999</v>
      </c>
      <c r="T3234">
        <v>-0.12922059999999999</v>
      </c>
      <c r="U3234">
        <v>-3.05526699999999</v>
      </c>
      <c r="V3234">
        <v>4.2648709999999999E-2</v>
      </c>
      <c r="W3234">
        <v>3.3044820000000003E-2</v>
      </c>
      <c r="X3234">
        <v>0.99854349999999903</v>
      </c>
      <c r="Y3234">
        <v>0.31236900000000001</v>
      </c>
      <c r="Z3234">
        <v>4.0378299999999999E-2</v>
      </c>
      <c r="AA3234">
        <v>0.94910229999999995</v>
      </c>
      <c r="AB3234">
        <v>27</v>
      </c>
      <c r="AC3234">
        <v>-5.5811999999999902</v>
      </c>
      <c r="AD3234">
        <v>-1.10123502398599</v>
      </c>
      <c r="AE3234">
        <v>-25.8753999999999</v>
      </c>
      <c r="AF3234">
        <v>8.3039840913929499</v>
      </c>
      <c r="AG3234">
        <v>-1.10123502398599</v>
      </c>
      <c r="AH3234">
        <v>25.0860680841744</v>
      </c>
      <c r="AI3234">
        <v>92.386385865979904</v>
      </c>
      <c r="AJ3234">
        <v>71.684436353787106</v>
      </c>
      <c r="AK3234">
        <v>26.447678202292</v>
      </c>
    </row>
    <row r="3235" spans="1:37" x14ac:dyDescent="0.2">
      <c r="A3235" t="str">
        <f>"20200111153500670"</f>
        <v>20200111153500670</v>
      </c>
      <c r="B3235" t="str">
        <f>"1578728100659507"</f>
        <v>1578728100659507</v>
      </c>
      <c r="C3235" t="s">
        <v>37</v>
      </c>
      <c r="D3235">
        <v>4.9509480000000003</v>
      </c>
      <c r="E3235">
        <v>0.60522940000000003</v>
      </c>
      <c r="F3235" t="s">
        <v>39</v>
      </c>
      <c r="G3235">
        <v>-197.50059999999999</v>
      </c>
      <c r="H3235" s="1">
        <v>-3.9938499999999999E-6</v>
      </c>
      <c r="I3235">
        <v>164.2217</v>
      </c>
      <c r="J3235">
        <v>-191.91050000000001</v>
      </c>
      <c r="K3235">
        <v>1.101348</v>
      </c>
      <c r="L3235">
        <v>190.02160000000001</v>
      </c>
      <c r="M3235">
        <v>0.10453079999999999</v>
      </c>
      <c r="N3235">
        <v>0</v>
      </c>
      <c r="O3235">
        <v>-0.99442730000000001</v>
      </c>
      <c r="P3235">
        <v>6.1288620000000002E-2</v>
      </c>
      <c r="Q3235">
        <v>1.961647E-2</v>
      </c>
      <c r="R3235">
        <v>-0.99792760000000003</v>
      </c>
      <c r="S3235">
        <v>-0.65583800000000003</v>
      </c>
      <c r="T3235">
        <v>-0.12951209999999999</v>
      </c>
      <c r="U3235">
        <v>-3.0520779999999998</v>
      </c>
      <c r="V3235">
        <v>4.365455E-2</v>
      </c>
      <c r="W3235">
        <v>3.2932830000000003E-2</v>
      </c>
      <c r="X3235">
        <v>0.99850369999999999</v>
      </c>
      <c r="Y3235">
        <v>0.31096750000000001</v>
      </c>
      <c r="Z3235">
        <v>4.0533260000000002E-2</v>
      </c>
      <c r="AA3235">
        <v>0.94955579999999995</v>
      </c>
      <c r="AB3235">
        <v>27</v>
      </c>
      <c r="AC3235">
        <v>-5.5900999999999703</v>
      </c>
      <c r="AD3235">
        <v>-1.10135199385</v>
      </c>
      <c r="AE3235">
        <v>-25.799900000000001</v>
      </c>
      <c r="AF3235">
        <v>8.2422607370938703</v>
      </c>
      <c r="AG3235">
        <v>-1.10135199385</v>
      </c>
      <c r="AH3235">
        <v>25.030572559962099</v>
      </c>
      <c r="AI3235">
        <v>92.393156570946005</v>
      </c>
      <c r="AJ3235">
        <v>71.773919493016706</v>
      </c>
      <c r="AK3235">
        <v>26.375697165233799</v>
      </c>
    </row>
    <row r="3236" spans="1:37" x14ac:dyDescent="0.2">
      <c r="A3236" t="str">
        <f>"20200111153500684"</f>
        <v>20200111153500684</v>
      </c>
      <c r="B3236" t="str">
        <f>"1578728100679027"</f>
        <v>1578728100679027</v>
      </c>
      <c r="C3236" t="s">
        <v>37</v>
      </c>
      <c r="D3236">
        <v>4.9573460000000003</v>
      </c>
      <c r="E3236">
        <v>0.60246129999999998</v>
      </c>
      <c r="F3236" t="s">
        <v>39</v>
      </c>
      <c r="G3236">
        <v>-197.012</v>
      </c>
      <c r="H3236" s="1">
        <v>-4.6961340000000003E-6</v>
      </c>
      <c r="I3236">
        <v>166.27619999999999</v>
      </c>
      <c r="J3236">
        <v>-191.8946</v>
      </c>
      <c r="K3236">
        <v>1.1014969999999999</v>
      </c>
      <c r="L3236">
        <v>189.84030000000001</v>
      </c>
      <c r="M3236">
        <v>0.1016522</v>
      </c>
      <c r="N3236">
        <v>0</v>
      </c>
      <c r="O3236">
        <v>-0.99472590000000005</v>
      </c>
      <c r="P3236">
        <v>5.6715870000000002E-2</v>
      </c>
      <c r="Q3236">
        <v>2.083633E-2</v>
      </c>
      <c r="R3236">
        <v>-0.99817319999999998</v>
      </c>
      <c r="S3236">
        <v>-0.65510559999999995</v>
      </c>
      <c r="T3236">
        <v>-0.14142939999999901</v>
      </c>
      <c r="U3236">
        <v>-3.049255</v>
      </c>
      <c r="V3236">
        <v>4.5335750000000001E-2</v>
      </c>
      <c r="W3236">
        <v>3.4139499999999899E-2</v>
      </c>
      <c r="X3236">
        <v>0.99838830000000001</v>
      </c>
      <c r="Y3236">
        <v>0.30814369999999902</v>
      </c>
      <c r="Z3236">
        <v>4.4338269999999999E-2</v>
      </c>
      <c r="AA3236">
        <v>0.95030609999999904</v>
      </c>
      <c r="AB3236">
        <v>27</v>
      </c>
      <c r="AC3236">
        <v>-5.1173999999999999</v>
      </c>
      <c r="AD3236">
        <v>-1.1015016961339901</v>
      </c>
      <c r="AE3236">
        <v>-23.5641</v>
      </c>
      <c r="AF3236">
        <v>7.4708644881282904</v>
      </c>
      <c r="AG3236">
        <v>-1.1015016961339901</v>
      </c>
      <c r="AH3236">
        <v>22.874040693346199</v>
      </c>
      <c r="AI3236">
        <v>92.620910092924802</v>
      </c>
      <c r="AJ3236">
        <v>71.912503101199107</v>
      </c>
      <c r="AK3236">
        <v>24.088355274435401</v>
      </c>
    </row>
    <row r="3237" spans="1:37" x14ac:dyDescent="0.2">
      <c r="A3237" t="str">
        <f>"20200111153500697"</f>
        <v>20200111153500697</v>
      </c>
      <c r="B3237" t="str">
        <f>"1578728100688787"</f>
        <v>1578728100688787</v>
      </c>
      <c r="C3237" t="s">
        <v>37</v>
      </c>
      <c r="D3237">
        <v>5.0432449999999998</v>
      </c>
      <c r="E3237">
        <v>0.6019137</v>
      </c>
      <c r="F3237" t="s">
        <v>39</v>
      </c>
      <c r="G3237">
        <v>-196.43819999999999</v>
      </c>
      <c r="H3237" s="1">
        <v>-5.429251E-6</v>
      </c>
      <c r="I3237">
        <v>168.4503</v>
      </c>
      <c r="J3237">
        <v>-191.88059999999999</v>
      </c>
      <c r="K3237">
        <v>1.1016330000000001</v>
      </c>
      <c r="L3237">
        <v>189.67670000000001</v>
      </c>
      <c r="M3237">
        <v>9.9149260000000003E-2</v>
      </c>
      <c r="N3237">
        <v>0</v>
      </c>
      <c r="O3237">
        <v>-0.99497849999999999</v>
      </c>
      <c r="P3237">
        <v>5.34841E-2</v>
      </c>
      <c r="Q3237">
        <v>2.1195599999999998E-2</v>
      </c>
      <c r="R3237">
        <v>-0.9983436</v>
      </c>
      <c r="S3237">
        <v>-0.64692689999999997</v>
      </c>
      <c r="T3237">
        <v>-0.15683239999999901</v>
      </c>
      <c r="U3237">
        <v>-3.0455169999999998</v>
      </c>
      <c r="V3237">
        <v>4.6047480000000002E-2</v>
      </c>
      <c r="W3237">
        <v>3.4495489999999997E-2</v>
      </c>
      <c r="X3237">
        <v>0.99834349999999905</v>
      </c>
      <c r="Y3237">
        <v>0.30349709999999902</v>
      </c>
      <c r="Z3237">
        <v>4.9285059999999999E-2</v>
      </c>
      <c r="AA3237">
        <v>0.95155689999999904</v>
      </c>
      <c r="AB3237">
        <v>27</v>
      </c>
      <c r="AC3237">
        <v>-4.5575999999999999</v>
      </c>
      <c r="AD3237">
        <v>-1.101638429251</v>
      </c>
      <c r="AE3237">
        <v>-21.226400000000002</v>
      </c>
      <c r="AF3237">
        <v>6.6228645553223604</v>
      </c>
      <c r="AG3237">
        <v>-1.101638429251</v>
      </c>
      <c r="AH3237">
        <v>20.616778793555799</v>
      </c>
      <c r="AI3237">
        <v>92.912332155484094</v>
      </c>
      <c r="AJ3237">
        <v>72.1910792232175</v>
      </c>
      <c r="AK3237">
        <v>21.682423987399599</v>
      </c>
    </row>
    <row r="3238" spans="1:37" x14ac:dyDescent="0.2">
      <c r="A3238" t="str">
        <f>"20200111153500711"</f>
        <v>20200111153500711</v>
      </c>
      <c r="B3238" t="str">
        <f>"1578728100699523"</f>
        <v>1578728100699523</v>
      </c>
      <c r="C3238" t="s">
        <v>37</v>
      </c>
      <c r="D3238">
        <v>5.0328629999999999</v>
      </c>
      <c r="E3238">
        <v>0.60122399999999998</v>
      </c>
      <c r="F3238" t="s">
        <v>39</v>
      </c>
      <c r="G3238">
        <v>-196.5831</v>
      </c>
      <c r="H3238" s="1">
        <v>-5.1826500000000003E-6</v>
      </c>
      <c r="I3238">
        <v>167.74119999999999</v>
      </c>
      <c r="J3238">
        <v>-191.86770000000001</v>
      </c>
      <c r="K3238">
        <v>1.1017569999999901</v>
      </c>
      <c r="L3238">
        <v>189.52189999999999</v>
      </c>
      <c r="M3238">
        <v>9.6903600000000006E-2</v>
      </c>
      <c r="N3238">
        <v>0</v>
      </c>
      <c r="O3238">
        <v>-0.99519999999999997</v>
      </c>
      <c r="P3238">
        <v>5.1011300000000002E-2</v>
      </c>
      <c r="Q3238">
        <v>2.170387E-2</v>
      </c>
      <c r="R3238">
        <v>-0.99846259999999998</v>
      </c>
      <c r="S3238">
        <v>-0.65238949999999996</v>
      </c>
      <c r="T3238">
        <v>-0.1528331</v>
      </c>
      <c r="U3238">
        <v>-3.043167</v>
      </c>
      <c r="V3238">
        <v>4.6260059999999999E-2</v>
      </c>
      <c r="W3238">
        <v>3.5004439999999998E-2</v>
      </c>
      <c r="X3238">
        <v>0.99831589999999903</v>
      </c>
      <c r="Y3238">
        <v>0.30314249999999998</v>
      </c>
      <c r="Z3238">
        <v>4.8078040000000002E-2</v>
      </c>
      <c r="AA3238">
        <v>0.95173159999999901</v>
      </c>
      <c r="AB3238">
        <v>27</v>
      </c>
      <c r="AC3238">
        <v>-4.7153999999999803</v>
      </c>
      <c r="AD3238">
        <v>-1.1017621826499999</v>
      </c>
      <c r="AE3238">
        <v>-21.7807</v>
      </c>
      <c r="AF3238">
        <v>6.7874393841910301</v>
      </c>
      <c r="AG3238">
        <v>-1.1017621826499999</v>
      </c>
      <c r="AH3238">
        <v>21.169451303045498</v>
      </c>
      <c r="AI3238">
        <v>92.837248279938095</v>
      </c>
      <c r="AJ3238">
        <v>72.222889843748504</v>
      </c>
      <c r="AK3238">
        <v>22.258231775529701</v>
      </c>
    </row>
    <row r="3239" spans="1:37" x14ac:dyDescent="0.2">
      <c r="A3239" t="str">
        <f>"20200111153500723"</f>
        <v>20200111153500723</v>
      </c>
      <c r="B3239" t="str">
        <f>"1578728100719043"</f>
        <v>1578728100719043</v>
      </c>
      <c r="C3239" t="s">
        <v>37</v>
      </c>
      <c r="D3239">
        <v>4.9864379999999997</v>
      </c>
      <c r="E3239">
        <v>0.59957950000000004</v>
      </c>
      <c r="F3239" t="s">
        <v>39</v>
      </c>
      <c r="G3239">
        <v>-196.70570000000001</v>
      </c>
      <c r="H3239" s="1">
        <v>-4.9347749999999997E-6</v>
      </c>
      <c r="I3239">
        <v>167.03909999999999</v>
      </c>
      <c r="J3239">
        <v>-191.85480000000001</v>
      </c>
      <c r="K3239">
        <v>1.1018790000000001</v>
      </c>
      <c r="L3239">
        <v>189.36429999999999</v>
      </c>
      <c r="M3239">
        <v>9.4670489999999996E-2</v>
      </c>
      <c r="N3239">
        <v>0</v>
      </c>
      <c r="O3239">
        <v>-0.99541499999999905</v>
      </c>
      <c r="P3239">
        <v>4.8204110000000001E-2</v>
      </c>
      <c r="Q3239">
        <v>2.2223739999999999E-2</v>
      </c>
      <c r="R3239">
        <v>-0.99859039999999999</v>
      </c>
      <c r="S3239">
        <v>-0.65443419999999997</v>
      </c>
      <c r="T3239">
        <v>-0.14903649999999999</v>
      </c>
      <c r="U3239">
        <v>-3.0412750000000002</v>
      </c>
      <c r="V3239">
        <v>4.6819779999999998E-2</v>
      </c>
      <c r="W3239">
        <v>3.5522440000000002E-2</v>
      </c>
      <c r="X3239">
        <v>0.99827149999999998</v>
      </c>
      <c r="Y3239">
        <v>0.30174899999999999</v>
      </c>
      <c r="Z3239">
        <v>4.6938109999999998E-2</v>
      </c>
      <c r="AA3239">
        <v>0.9522313</v>
      </c>
      <c r="AB3239">
        <v>27</v>
      </c>
      <c r="AC3239">
        <v>-4.8508999999999904</v>
      </c>
      <c r="AD3239">
        <v>-1.101883934775</v>
      </c>
      <c r="AE3239">
        <v>-22.325199999999899</v>
      </c>
      <c r="AF3239">
        <v>6.9267306809339697</v>
      </c>
      <c r="AG3239">
        <v>-1.101883934775</v>
      </c>
      <c r="AH3239">
        <v>21.715117737391701</v>
      </c>
      <c r="AI3239">
        <v>92.767686459298503</v>
      </c>
      <c r="AJ3239">
        <v>72.308255607786194</v>
      </c>
      <c r="AK3239">
        <v>22.819730157929001</v>
      </c>
    </row>
    <row r="3240" spans="1:37" x14ac:dyDescent="0.2">
      <c r="A3240" t="str">
        <f>"20200111153500740"</f>
        <v>20200111153500740</v>
      </c>
      <c r="B3240" t="str">
        <f>"1578728100728803"</f>
        <v>1578728100728803</v>
      </c>
      <c r="C3240" t="s">
        <v>37</v>
      </c>
      <c r="D3240">
        <v>5.0622299999999996</v>
      </c>
      <c r="E3240">
        <v>0.59893739999999995</v>
      </c>
      <c r="F3240" t="s">
        <v>39</v>
      </c>
      <c r="G3240">
        <v>-196.5419</v>
      </c>
      <c r="H3240" s="1">
        <v>-5.0611069999999997E-6</v>
      </c>
      <c r="I3240">
        <v>167.44370000000001</v>
      </c>
      <c r="J3240">
        <v>-191.8389</v>
      </c>
      <c r="K3240">
        <v>1.102023</v>
      </c>
      <c r="L3240">
        <v>189.16480000000001</v>
      </c>
      <c r="M3240">
        <v>9.1951430000000001E-2</v>
      </c>
      <c r="N3240">
        <v>0</v>
      </c>
      <c r="O3240">
        <v>-0.99567000000000005</v>
      </c>
      <c r="P3240">
        <v>4.4910409999999998E-2</v>
      </c>
      <c r="Q3240">
        <v>2.321229E-2</v>
      </c>
      <c r="R3240">
        <v>-0.99872139999999998</v>
      </c>
      <c r="S3240">
        <v>-0.64981080000000002</v>
      </c>
      <c r="T3240">
        <v>-0.1527636</v>
      </c>
      <c r="U3240">
        <v>-3.0390320000000002</v>
      </c>
      <c r="V3240">
        <v>4.7378780000000002E-2</v>
      </c>
      <c r="W3240">
        <v>3.6508850000000002E-2</v>
      </c>
      <c r="X3240">
        <v>0.99820959999999903</v>
      </c>
      <c r="Y3240">
        <v>0.29788989999999999</v>
      </c>
      <c r="Z3240">
        <v>4.8200470000000002E-2</v>
      </c>
      <c r="AA3240">
        <v>0.95338259999999897</v>
      </c>
      <c r="AB3240">
        <v>27</v>
      </c>
      <c r="AC3240">
        <v>-4.7030000000000003</v>
      </c>
      <c r="AD3240">
        <v>-1.1020280611069999</v>
      </c>
      <c r="AE3240">
        <v>-21.7211</v>
      </c>
      <c r="AF3240">
        <v>6.6641582620704902</v>
      </c>
      <c r="AG3240">
        <v>-1.1020280611069999</v>
      </c>
      <c r="AH3240">
        <v>21.144582907051401</v>
      </c>
      <c r="AI3240">
        <v>92.845733752771494</v>
      </c>
      <c r="AJ3240">
        <v>72.5066625999807</v>
      </c>
      <c r="AK3240">
        <v>22.197271397686698</v>
      </c>
    </row>
    <row r="3241" spans="1:37" x14ac:dyDescent="0.2">
      <c r="A3241" t="str">
        <f>"20200111153500753"</f>
        <v>20200111153500753</v>
      </c>
      <c r="B3241" t="str">
        <f>"1578728100749299"</f>
        <v>1578728100749299</v>
      </c>
      <c r="C3241" t="s">
        <v>37</v>
      </c>
      <c r="D3241">
        <v>5.113518</v>
      </c>
      <c r="E3241">
        <v>0.59775219999999996</v>
      </c>
      <c r="F3241" t="s">
        <v>39</v>
      </c>
      <c r="G3241">
        <v>-196.63210000000001</v>
      </c>
      <c r="H3241" s="1">
        <v>-4.8775859999999997E-6</v>
      </c>
      <c r="I3241">
        <v>166.92410000000001</v>
      </c>
      <c r="J3241">
        <v>-191.8262</v>
      </c>
      <c r="K3241">
        <v>1.102123</v>
      </c>
      <c r="L3241">
        <v>189.00110000000001</v>
      </c>
      <c r="M3241">
        <v>8.9820789999999998E-2</v>
      </c>
      <c r="N3241">
        <v>0</v>
      </c>
      <c r="O3241">
        <v>-0.99586479999999999</v>
      </c>
      <c r="P3241">
        <v>4.2077999999999997E-2</v>
      </c>
      <c r="Q3241">
        <v>2.3832430000000002E-2</v>
      </c>
      <c r="R3241">
        <v>-0.99883040000000001</v>
      </c>
      <c r="S3241">
        <v>-0.65447999999999995</v>
      </c>
      <c r="T3241">
        <v>-0.15047369999999999</v>
      </c>
      <c r="U3241">
        <v>-3.03678899999999</v>
      </c>
      <c r="V3241">
        <v>4.8068140000000002E-2</v>
      </c>
      <c r="W3241">
        <v>3.7124509999999999E-2</v>
      </c>
      <c r="X3241">
        <v>0.99815390000000004</v>
      </c>
      <c r="Y3241">
        <v>0.29739969999999999</v>
      </c>
      <c r="Z3241">
        <v>4.7524410000000003E-2</v>
      </c>
      <c r="AA3241">
        <v>0.95356949999999996</v>
      </c>
      <c r="AB3241">
        <v>27</v>
      </c>
      <c r="AC3241">
        <v>-4.8059000000000003</v>
      </c>
      <c r="AD3241">
        <v>-1.1021278775859999</v>
      </c>
      <c r="AE3241">
        <v>-22.076999999999899</v>
      </c>
      <c r="AF3241">
        <v>6.7535584812569596</v>
      </c>
      <c r="AG3241">
        <v>-1.1021278775859999</v>
      </c>
      <c r="AH3241">
        <v>21.504867433937399</v>
      </c>
      <c r="AI3241">
        <v>92.799285237592002</v>
      </c>
      <c r="AJ3241">
        <v>72.565213216460506</v>
      </c>
      <c r="AK3241">
        <v>22.5673339446539</v>
      </c>
    </row>
    <row r="3242" spans="1:37" x14ac:dyDescent="0.2">
      <c r="A3242" t="str">
        <f>"20200111153500765"</f>
        <v>20200111153500765</v>
      </c>
      <c r="B3242" t="str">
        <f>"1578728100759059"</f>
        <v>1578728100759059</v>
      </c>
      <c r="C3242" t="s">
        <v>37</v>
      </c>
      <c r="D3242">
        <v>4.9980869999999999</v>
      </c>
      <c r="E3242">
        <v>0.596711199999999</v>
      </c>
      <c r="F3242" t="s">
        <v>39</v>
      </c>
      <c r="G3242">
        <v>-196.70519999999999</v>
      </c>
      <c r="H3242" s="1">
        <v>-4.6697569999999996E-6</v>
      </c>
      <c r="I3242">
        <v>166.3492</v>
      </c>
      <c r="J3242">
        <v>-191.8152</v>
      </c>
      <c r="K3242">
        <v>1.102201</v>
      </c>
      <c r="L3242">
        <v>188.85679999999999</v>
      </c>
      <c r="M3242">
        <v>8.7982580000000005E-2</v>
      </c>
      <c r="N3242">
        <v>0</v>
      </c>
      <c r="O3242">
        <v>-0.99602900000000005</v>
      </c>
      <c r="P3242">
        <v>4.0135480000000001E-2</v>
      </c>
      <c r="Q3242">
        <v>2.4344790000000002E-2</v>
      </c>
      <c r="R3242">
        <v>-0.99889789999999901</v>
      </c>
      <c r="S3242">
        <v>-0.65362549999999997</v>
      </c>
      <c r="T3242">
        <v>-0.147647</v>
      </c>
      <c r="U3242">
        <v>-3.0345759999999999</v>
      </c>
      <c r="V3242">
        <v>4.8162299999999998E-2</v>
      </c>
      <c r="W3242">
        <v>3.7636749999999997E-2</v>
      </c>
      <c r="X3242">
        <v>0.99813019999999997</v>
      </c>
      <c r="Y3242">
        <v>0.29553209999999902</v>
      </c>
      <c r="Z3242">
        <v>4.6694079999999999E-2</v>
      </c>
      <c r="AA3242">
        <v>0.95419100000000001</v>
      </c>
      <c r="AB3242">
        <v>27</v>
      </c>
      <c r="AC3242">
        <v>-4.8899999999999801</v>
      </c>
      <c r="AD3242">
        <v>-1.102205669757</v>
      </c>
      <c r="AE3242">
        <v>-22.5076</v>
      </c>
      <c r="AF3242">
        <v>6.8358392286932999</v>
      </c>
      <c r="AG3242">
        <v>-1.102205669757</v>
      </c>
      <c r="AH3242">
        <v>21.939782720007301</v>
      </c>
      <c r="AI3242">
        <v>92.746006595574002</v>
      </c>
      <c r="AJ3242">
        <v>72.694387111538504</v>
      </c>
      <c r="AK3242">
        <v>23.006469114145201</v>
      </c>
    </row>
    <row r="3243" spans="1:37" x14ac:dyDescent="0.2">
      <c r="A3243" t="str">
        <f>"20200111153500777"</f>
        <v>20200111153500777</v>
      </c>
      <c r="B3243" t="str">
        <f>"1578728100768819"</f>
        <v>1578728100768819</v>
      </c>
      <c r="C3243" t="s">
        <v>37</v>
      </c>
      <c r="D3243">
        <v>5.0838229999999998</v>
      </c>
      <c r="E3243">
        <v>0.59609809999999996</v>
      </c>
      <c r="F3243" t="s">
        <v>39</v>
      </c>
      <c r="G3243">
        <v>-196.50559999999999</v>
      </c>
      <c r="H3243" s="1">
        <v>-4.8894229999999997E-6</v>
      </c>
      <c r="I3243">
        <v>167.01339999999999</v>
      </c>
      <c r="J3243">
        <v>-191.80359999999999</v>
      </c>
      <c r="K3243">
        <v>1.1022799999999999</v>
      </c>
      <c r="L3243">
        <v>188.70179999999999</v>
      </c>
      <c r="M3243">
        <v>8.6045189999999994E-2</v>
      </c>
      <c r="N3243">
        <v>0</v>
      </c>
      <c r="O3243">
        <v>-0.99619829999999998</v>
      </c>
      <c r="P3243">
        <v>3.8331299999999999E-2</v>
      </c>
      <c r="Q3243">
        <v>2.483575E-2</v>
      </c>
      <c r="R3243">
        <v>-0.99895679999999998</v>
      </c>
      <c r="S3243">
        <v>-0.65132139999999905</v>
      </c>
      <c r="T3243">
        <v>-0.15305550000000001</v>
      </c>
      <c r="U3243">
        <v>-3.0332340000000002</v>
      </c>
      <c r="V3243">
        <v>4.8018900000000003E-2</v>
      </c>
      <c r="W3243">
        <v>3.812803E-2</v>
      </c>
      <c r="X3243">
        <v>0.99811849999999902</v>
      </c>
      <c r="Y3243">
        <v>0.29304970000000002</v>
      </c>
      <c r="Z3243">
        <v>4.8456840000000001E-2</v>
      </c>
      <c r="AA3243">
        <v>0.95486849999999901</v>
      </c>
      <c r="AB3243">
        <v>27</v>
      </c>
      <c r="AC3243">
        <v>-4.7019999999999902</v>
      </c>
      <c r="AD3243">
        <v>-1.102284889423</v>
      </c>
      <c r="AE3243">
        <v>-21.688400000000001</v>
      </c>
      <c r="AF3243">
        <v>6.53479152200567</v>
      </c>
      <c r="AG3243">
        <v>-1.102284889423</v>
      </c>
      <c r="AH3243">
        <v>21.1511441219528</v>
      </c>
      <c r="AI3243">
        <v>92.850538763764902</v>
      </c>
      <c r="AJ3243">
        <v>72.831106207530595</v>
      </c>
      <c r="AK3243">
        <v>22.165049737845099</v>
      </c>
    </row>
    <row r="3244" spans="1:37" x14ac:dyDescent="0.2">
      <c r="A3244" t="str">
        <f>"20200111153500790"</f>
        <v>20200111153500790</v>
      </c>
      <c r="B3244" t="str">
        <f>"1578728100779555"</f>
        <v>1578728100779555</v>
      </c>
      <c r="C3244" t="s">
        <v>37</v>
      </c>
      <c r="D3244">
        <v>4.8066490000000002</v>
      </c>
      <c r="E3244">
        <v>0.59634860000000001</v>
      </c>
      <c r="F3244" t="s">
        <v>39</v>
      </c>
      <c r="G3244">
        <v>-196.56720000000001</v>
      </c>
      <c r="H3244" s="1">
        <v>-4.7221929999999901E-6</v>
      </c>
      <c r="I3244">
        <v>166.54949999999999</v>
      </c>
      <c r="J3244">
        <v>-191.7929</v>
      </c>
      <c r="K3244">
        <v>1.102341</v>
      </c>
      <c r="L3244">
        <v>188.55529999999999</v>
      </c>
      <c r="M3244">
        <v>8.4272540000000007E-2</v>
      </c>
      <c r="N3244">
        <v>0</v>
      </c>
      <c r="O3244">
        <v>-0.99634990000000001</v>
      </c>
      <c r="P3244">
        <v>3.6835930000000003E-2</v>
      </c>
      <c r="Q3244">
        <v>2.576616E-2</v>
      </c>
      <c r="R3244">
        <v>-0.99898949999999997</v>
      </c>
      <c r="S3244">
        <v>-0.65197749999999999</v>
      </c>
      <c r="T3244">
        <v>-0.1508641</v>
      </c>
      <c r="U3244">
        <v>-3.031876</v>
      </c>
      <c r="V3244">
        <v>4.773529E-2</v>
      </c>
      <c r="W3244">
        <v>3.9058589999999997E-2</v>
      </c>
      <c r="X3244">
        <v>0.99809599999999898</v>
      </c>
      <c r="Y3244">
        <v>0.29164040000000002</v>
      </c>
      <c r="Z3244">
        <v>4.7806309999999998E-2</v>
      </c>
      <c r="AA3244">
        <v>0.95533259999999898</v>
      </c>
      <c r="AB3244">
        <v>27</v>
      </c>
      <c r="AC3244">
        <v>-4.77430000000001</v>
      </c>
      <c r="AD3244">
        <v>-1.102345722193</v>
      </c>
      <c r="AE3244">
        <v>-22.005799999999901</v>
      </c>
      <c r="AF3244">
        <v>6.59616167857686</v>
      </c>
      <c r="AG3244">
        <v>-1.102345722193</v>
      </c>
      <c r="AH3244">
        <v>21.473662981062599</v>
      </c>
      <c r="AI3244">
        <v>92.809355750235</v>
      </c>
      <c r="AJ3244">
        <v>72.924377297850597</v>
      </c>
      <c r="AK3244">
        <v>22.490947441257799</v>
      </c>
    </row>
    <row r="3245" spans="1:37" x14ac:dyDescent="0.2">
      <c r="A3245" t="str">
        <f>"20200111153500802"</f>
        <v>20200111153500802</v>
      </c>
      <c r="B3245" t="str">
        <f>"1578728100799075"</f>
        <v>1578728100799075</v>
      </c>
      <c r="C3245" t="s">
        <v>37</v>
      </c>
      <c r="D3245">
        <v>4.7602630000000001</v>
      </c>
      <c r="E3245">
        <v>0.5968888</v>
      </c>
      <c r="F3245" t="s">
        <v>39</v>
      </c>
      <c r="G3245">
        <v>-196.88650000000001</v>
      </c>
      <c r="H3245" s="1">
        <v>-4.2242860000000004E-6</v>
      </c>
      <c r="I3245">
        <v>165.1054</v>
      </c>
      <c r="J3245">
        <v>-191.7818</v>
      </c>
      <c r="K3245">
        <v>1.1024</v>
      </c>
      <c r="L3245">
        <v>188.39959999999999</v>
      </c>
      <c r="M3245">
        <v>8.2409200000000002E-2</v>
      </c>
      <c r="N3245">
        <v>0</v>
      </c>
      <c r="O3245">
        <v>-0.99650569999999905</v>
      </c>
      <c r="P3245">
        <v>3.5172540000000002E-2</v>
      </c>
      <c r="Q3245">
        <v>2.603538E-2</v>
      </c>
      <c r="R3245">
        <v>-0.99904190000000004</v>
      </c>
      <c r="S3245">
        <v>-0.65837100000000004</v>
      </c>
      <c r="T3245">
        <v>-0.1424831</v>
      </c>
      <c r="U3245">
        <v>-3.0310060000000001</v>
      </c>
      <c r="V3245">
        <v>4.7526180000000001E-2</v>
      </c>
      <c r="W3245">
        <v>3.9327790000000001E-2</v>
      </c>
      <c r="X3245">
        <v>0.99809550000000002</v>
      </c>
      <c r="Y3245">
        <v>0.2918598</v>
      </c>
      <c r="Z3245">
        <v>4.5168489999999999E-2</v>
      </c>
      <c r="AA3245">
        <v>0.95539399999999997</v>
      </c>
      <c r="AB3245">
        <v>27</v>
      </c>
      <c r="AC3245">
        <v>-5.1047000000000002</v>
      </c>
      <c r="AD3245">
        <v>-1.1024042242859999</v>
      </c>
      <c r="AE3245">
        <v>-23.294199999999901</v>
      </c>
      <c r="AF3245">
        <v>6.99222486136585</v>
      </c>
      <c r="AG3245">
        <v>-1.1024042242859999</v>
      </c>
      <c r="AH3245">
        <v>22.745630050252299</v>
      </c>
      <c r="AI3245">
        <v>92.652449420697195</v>
      </c>
      <c r="AJ3245">
        <v>72.912069660463899</v>
      </c>
      <c r="AK3245">
        <v>23.821632814913599</v>
      </c>
    </row>
    <row r="3246" spans="1:37" x14ac:dyDescent="0.2">
      <c r="A3246" t="str">
        <f>"20200111153500818"</f>
        <v>20200111153500818</v>
      </c>
      <c r="B3246" t="str">
        <f>"1578728100808834"</f>
        <v>1578728100808834</v>
      </c>
      <c r="C3246" t="s">
        <v>37</v>
      </c>
      <c r="D3246">
        <v>4.789561</v>
      </c>
      <c r="E3246">
        <v>0.59709209999999902</v>
      </c>
      <c r="F3246" t="s">
        <v>39</v>
      </c>
      <c r="G3246">
        <v>-197.4452</v>
      </c>
      <c r="H3246" s="1">
        <v>-3.402836E-6</v>
      </c>
      <c r="I3246">
        <v>162.70820000000001</v>
      </c>
      <c r="J3246">
        <v>-191.76840000000001</v>
      </c>
      <c r="K3246">
        <v>1.10246</v>
      </c>
      <c r="L3246">
        <v>188.20689999999999</v>
      </c>
      <c r="M3246">
        <v>8.0142770000000002E-2</v>
      </c>
      <c r="N3246">
        <v>0</v>
      </c>
      <c r="O3246">
        <v>-0.99669089999999905</v>
      </c>
      <c r="P3246">
        <v>3.3534340000000003E-2</v>
      </c>
      <c r="Q3246">
        <v>2.615986E-2</v>
      </c>
      <c r="R3246">
        <v>-0.99909559999999997</v>
      </c>
      <c r="S3246">
        <v>-0.66787719999999995</v>
      </c>
      <c r="T3246">
        <v>-0.1300055</v>
      </c>
      <c r="U3246">
        <v>-3.0297700000000001</v>
      </c>
      <c r="V3246">
        <v>4.6887280000000003E-2</v>
      </c>
      <c r="W3246">
        <v>3.9454049999999997E-2</v>
      </c>
      <c r="X3246">
        <v>0.99812069999999997</v>
      </c>
      <c r="Y3246">
        <v>0.29266329999999902</v>
      </c>
      <c r="Z3246">
        <v>4.1229780000000001E-2</v>
      </c>
      <c r="AA3246">
        <v>0.95532629999999996</v>
      </c>
      <c r="AB3246">
        <v>27</v>
      </c>
      <c r="AC3246">
        <v>-5.6767999999999796</v>
      </c>
      <c r="AD3246">
        <v>-1.1024634028360001</v>
      </c>
      <c r="AE3246">
        <v>-25.4986999999999</v>
      </c>
      <c r="AF3246">
        <v>7.6885675342842204</v>
      </c>
      <c r="AG3246">
        <v>-1.1024634028360001</v>
      </c>
      <c r="AH3246">
        <v>24.9172895197167</v>
      </c>
      <c r="AI3246">
        <v>92.420909012888401</v>
      </c>
      <c r="AJ3246">
        <v>72.851680504567099</v>
      </c>
      <c r="AK3246">
        <v>26.099824008855499</v>
      </c>
    </row>
    <row r="3247" spans="1:37" x14ac:dyDescent="0.2">
      <c r="A3247" t="str">
        <f>"20200111153500831"</f>
        <v>20200111153500831</v>
      </c>
      <c r="B3247" t="str">
        <f>"1578728100819571"</f>
        <v>1578728100819571</v>
      </c>
      <c r="C3247" t="s">
        <v>37</v>
      </c>
      <c r="D3247">
        <v>4.8072860000000004</v>
      </c>
      <c r="E3247">
        <v>0.59727940000000002</v>
      </c>
      <c r="F3247" t="s">
        <v>39</v>
      </c>
      <c r="G3247">
        <v>-197.70760000000001</v>
      </c>
      <c r="H3247" s="1">
        <v>-2.9719770000000001E-6</v>
      </c>
      <c r="I3247">
        <v>161.5403</v>
      </c>
      <c r="J3247">
        <v>-191.75839999999999</v>
      </c>
      <c r="K3247">
        <v>1.102495</v>
      </c>
      <c r="L3247">
        <v>188.0583</v>
      </c>
      <c r="M3247">
        <v>7.8421589999999999E-2</v>
      </c>
      <c r="N3247">
        <v>0</v>
      </c>
      <c r="O3247">
        <v>-0.99682769999999998</v>
      </c>
      <c r="P3247">
        <v>3.2297810000000003E-2</v>
      </c>
      <c r="Q3247">
        <v>2.5996189999999999E-2</v>
      </c>
      <c r="R3247">
        <v>-0.99914040000000004</v>
      </c>
      <c r="S3247">
        <v>-0.67454530000000001</v>
      </c>
      <c r="T3247">
        <v>-0.12521160000000001</v>
      </c>
      <c r="U3247">
        <v>-3.0286409999999999</v>
      </c>
      <c r="V3247">
        <v>4.6394659999999997E-2</v>
      </c>
      <c r="W3247">
        <v>3.929063E-2</v>
      </c>
      <c r="X3247">
        <v>0.99815019999999999</v>
      </c>
      <c r="Y3247">
        <v>0.29310530000000001</v>
      </c>
      <c r="Z3247">
        <v>3.9722769999999998E-2</v>
      </c>
      <c r="AA3247">
        <v>0.95525459999999995</v>
      </c>
      <c r="AB3247">
        <v>27</v>
      </c>
      <c r="AC3247">
        <v>-5.94920000000001</v>
      </c>
      <c r="AD3247">
        <v>-1.1024979719769901</v>
      </c>
      <c r="AE3247">
        <v>-26.518000000000001</v>
      </c>
      <c r="AF3247">
        <v>7.9974890732637904</v>
      </c>
      <c r="AG3247">
        <v>-1.1024979719769901</v>
      </c>
      <c r="AH3247">
        <v>25.927060332424499</v>
      </c>
      <c r="AI3247">
        <v>92.326868535212498</v>
      </c>
      <c r="AJ3247">
        <v>72.857041743009106</v>
      </c>
      <c r="AK3247">
        <v>27.154885209412399</v>
      </c>
    </row>
    <row r="3248" spans="1:37" x14ac:dyDescent="0.2">
      <c r="A3248" t="str">
        <f>"20200111153500845"</f>
        <v>20200111153500845</v>
      </c>
      <c r="B3248" t="str">
        <f>"1578728100839091"</f>
        <v>1578728100839091</v>
      </c>
      <c r="C3248" t="s">
        <v>37</v>
      </c>
      <c r="D3248">
        <v>4.7713729999999996</v>
      </c>
      <c r="E3248">
        <v>0.59750490000000001</v>
      </c>
      <c r="F3248" t="s">
        <v>39</v>
      </c>
      <c r="G3248">
        <v>-197.86709999999999</v>
      </c>
      <c r="H3248" s="1">
        <v>-2.6843829999999998E-6</v>
      </c>
      <c r="I3248">
        <v>160.84209999999999</v>
      </c>
      <c r="J3248">
        <v>-191.74680000000001</v>
      </c>
      <c r="K3248">
        <v>1.10253</v>
      </c>
      <c r="L3248">
        <v>187.8826</v>
      </c>
      <c r="M3248">
        <v>7.6394970000000006E-2</v>
      </c>
      <c r="N3248">
        <v>0</v>
      </c>
      <c r="O3248">
        <v>-0.99698529999999996</v>
      </c>
      <c r="P3248">
        <v>3.0835959999999999E-2</v>
      </c>
      <c r="Q3248">
        <v>2.539665E-2</v>
      </c>
      <c r="R3248">
        <v>-0.99920229999999999</v>
      </c>
      <c r="S3248">
        <v>-0.67958069999999904</v>
      </c>
      <c r="T3248">
        <v>-0.1226501</v>
      </c>
      <c r="U3248">
        <v>-3.0277250000000002</v>
      </c>
      <c r="V3248">
        <v>4.5819739999999998E-2</v>
      </c>
      <c r="W3248">
        <v>3.869218E-2</v>
      </c>
      <c r="X3248">
        <v>0.99820010000000003</v>
      </c>
      <c r="Y3248">
        <v>0.29274309999999998</v>
      </c>
      <c r="Z3248">
        <v>3.8927679999999999E-2</v>
      </c>
      <c r="AA3248">
        <v>0.95539839999999998</v>
      </c>
      <c r="AB3248">
        <v>27</v>
      </c>
      <c r="AC3248">
        <v>-6.1202999999999799</v>
      </c>
      <c r="AD3248">
        <v>-1.1025326843829999</v>
      </c>
      <c r="AE3248">
        <v>-27.040500000000002</v>
      </c>
      <c r="AF3248">
        <v>8.1554618561068004</v>
      </c>
      <c r="AG3248">
        <v>-1.1025326843829999</v>
      </c>
      <c r="AH3248">
        <v>26.452027381943498</v>
      </c>
      <c r="AI3248">
        <v>92.280906518179194</v>
      </c>
      <c r="AJ3248">
        <v>72.8648725739464</v>
      </c>
      <c r="AK3248">
        <v>27.702651299498999</v>
      </c>
    </row>
    <row r="3249" spans="1:37" x14ac:dyDescent="0.2">
      <c r="A3249" t="str">
        <f>"20200111153500859"</f>
        <v>20200111153500859</v>
      </c>
      <c r="B3249" t="str">
        <f>"1578728100848851"</f>
        <v>1578728100848851</v>
      </c>
      <c r="C3249" t="s">
        <v>37</v>
      </c>
      <c r="D3249">
        <v>4.8170849999999996</v>
      </c>
      <c r="E3249">
        <v>0.5975857</v>
      </c>
      <c r="F3249" t="s">
        <v>39</v>
      </c>
      <c r="G3249">
        <v>-198.08420000000001</v>
      </c>
      <c r="H3249" s="1">
        <v>-2.3065549999999999E-6</v>
      </c>
      <c r="I3249">
        <v>159.92070000000001</v>
      </c>
      <c r="J3249">
        <v>-191.73570000000001</v>
      </c>
      <c r="K3249">
        <v>1.1025579999999999</v>
      </c>
      <c r="L3249">
        <v>187.7097</v>
      </c>
      <c r="M3249">
        <v>7.4410399999999904E-2</v>
      </c>
      <c r="N3249">
        <v>0</v>
      </c>
      <c r="O3249">
        <v>-0.99713549999999995</v>
      </c>
      <c r="P3249">
        <v>2.9044150000000001E-2</v>
      </c>
      <c r="Q3249">
        <v>2.460182E-2</v>
      </c>
      <c r="R3249">
        <v>-0.99927569999999999</v>
      </c>
      <c r="S3249">
        <v>-0.68595890000000004</v>
      </c>
      <c r="T3249">
        <v>-0.11933820000000001</v>
      </c>
      <c r="U3249">
        <v>-3.0265960000000001</v>
      </c>
      <c r="V3249">
        <v>4.5616909999999997E-2</v>
      </c>
      <c r="W3249">
        <v>3.789501E-2</v>
      </c>
      <c r="X3249">
        <v>0.99824000000000002</v>
      </c>
      <c r="Y3249">
        <v>0.29284099999999902</v>
      </c>
      <c r="Z3249">
        <v>3.7891439999999998E-2</v>
      </c>
      <c r="AA3249">
        <v>0.95541010000000004</v>
      </c>
      <c r="AB3249">
        <v>27</v>
      </c>
      <c r="AC3249">
        <v>-6.3484999999999996</v>
      </c>
      <c r="AD3249">
        <v>-1.102560306555</v>
      </c>
      <c r="AE3249">
        <v>-27.788999999999898</v>
      </c>
      <c r="AF3249">
        <v>8.38633069105388</v>
      </c>
      <c r="AG3249">
        <v>-1.102560306555</v>
      </c>
      <c r="AH3249">
        <v>27.1988161078086</v>
      </c>
      <c r="AI3249">
        <v>92.218385060668297</v>
      </c>
      <c r="AJ3249">
        <v>72.863669598746597</v>
      </c>
      <c r="AK3249">
        <v>28.483710772223699</v>
      </c>
    </row>
    <row r="3250" spans="1:37" x14ac:dyDescent="0.2">
      <c r="A3250" t="str">
        <f>"20200111153500875"</f>
        <v>20200111153500875</v>
      </c>
      <c r="B3250" t="str">
        <f>"1578728100869346"</f>
        <v>1578728100869346</v>
      </c>
      <c r="C3250" t="s">
        <v>37</v>
      </c>
      <c r="D3250">
        <v>4.8422809999999998</v>
      </c>
      <c r="E3250">
        <v>0.5976593</v>
      </c>
      <c r="F3250" t="s">
        <v>39</v>
      </c>
      <c r="G3250">
        <v>-198.09829999999999</v>
      </c>
      <c r="H3250" s="1">
        <v>-2.297905E-6</v>
      </c>
      <c r="I3250">
        <v>159.89439999999999</v>
      </c>
      <c r="J3250">
        <v>-191.7242</v>
      </c>
      <c r="K3250">
        <v>1.102573</v>
      </c>
      <c r="L3250">
        <v>187.52209999999999</v>
      </c>
      <c r="M3250">
        <v>7.2260489999999997E-2</v>
      </c>
      <c r="N3250">
        <v>0</v>
      </c>
      <c r="O3250">
        <v>-0.99729349999999894</v>
      </c>
      <c r="P3250">
        <v>2.8377960000000001E-2</v>
      </c>
      <c r="Q3250">
        <v>2.376547E-2</v>
      </c>
      <c r="R3250">
        <v>-0.99931499999999995</v>
      </c>
      <c r="S3250">
        <v>-0.69200130000000004</v>
      </c>
      <c r="T3250">
        <v>-0.119915699999999</v>
      </c>
      <c r="U3250">
        <v>-3.025223</v>
      </c>
      <c r="V3250">
        <v>4.4124410000000003E-2</v>
      </c>
      <c r="W3250">
        <v>3.7064E-2</v>
      </c>
      <c r="X3250">
        <v>0.99833830000000001</v>
      </c>
      <c r="Y3250">
        <v>0.29268569999999999</v>
      </c>
      <c r="Z3250">
        <v>3.8093250000000002E-2</v>
      </c>
      <c r="AA3250">
        <v>0.95544959999999901</v>
      </c>
      <c r="AB3250">
        <v>27</v>
      </c>
      <c r="AC3250">
        <v>-6.3740999999999897</v>
      </c>
      <c r="AD3250">
        <v>-1.1025752979050001</v>
      </c>
      <c r="AE3250">
        <v>-27.627700000000001</v>
      </c>
      <c r="AF3250">
        <v>8.3413949323946692</v>
      </c>
      <c r="AG3250">
        <v>-1.1025752979050001</v>
      </c>
      <c r="AH3250">
        <v>27.053913727292201</v>
      </c>
      <c r="AI3250">
        <v>92.230291159050793</v>
      </c>
      <c r="AJ3250">
        <v>72.864167346673199</v>
      </c>
      <c r="AK3250">
        <v>28.332115869971599</v>
      </c>
    </row>
    <row r="3251" spans="1:37" x14ac:dyDescent="0.2">
      <c r="A3251" t="str">
        <f>"20200111153500888"</f>
        <v>20200111153500888</v>
      </c>
      <c r="B3251" t="str">
        <f>"1578728100879107"</f>
        <v>1578728100879107</v>
      </c>
      <c r="C3251" t="s">
        <v>37</v>
      </c>
      <c r="D3251">
        <v>4.8210110000000004</v>
      </c>
      <c r="E3251">
        <v>0.59764719999999905</v>
      </c>
      <c r="F3251" t="s">
        <v>51</v>
      </c>
      <c r="G3251">
        <v>-198.149</v>
      </c>
      <c r="H3251" s="1">
        <v>-1.495786E-5</v>
      </c>
      <c r="I3251">
        <v>159.53829999999999</v>
      </c>
      <c r="J3251">
        <v>-191.7139</v>
      </c>
      <c r="K3251">
        <v>1.1025860000000001</v>
      </c>
      <c r="L3251">
        <v>187.35130000000001</v>
      </c>
      <c r="M3251">
        <v>7.0304619999999998E-2</v>
      </c>
      <c r="N3251">
        <v>0</v>
      </c>
      <c r="O3251">
        <v>-0.99743359999999903</v>
      </c>
      <c r="P3251">
        <v>2.6818519999999998E-2</v>
      </c>
      <c r="Q3251">
        <v>2.365039E-2</v>
      </c>
      <c r="R3251">
        <v>-0.99936059999999904</v>
      </c>
      <c r="S3251">
        <v>-0.69442749999999998</v>
      </c>
      <c r="T3251">
        <v>-0.119172499999999</v>
      </c>
      <c r="U3251">
        <v>-3.0246119999999999</v>
      </c>
      <c r="V3251">
        <v>4.372272E-2</v>
      </c>
      <c r="W3251">
        <v>3.6947250000000001E-2</v>
      </c>
      <c r="X3251">
        <v>0.99836029999999998</v>
      </c>
      <c r="Y3251">
        <v>0.29158249999999902</v>
      </c>
      <c r="Z3251">
        <v>3.7876359999999998E-2</v>
      </c>
      <c r="AA3251">
        <v>0.95579550000000002</v>
      </c>
      <c r="AB3251">
        <v>27</v>
      </c>
      <c r="AC3251">
        <v>-6.4351000000000003</v>
      </c>
      <c r="AD3251">
        <v>-1.10260095786</v>
      </c>
      <c r="AE3251">
        <v>-27.812999999999999</v>
      </c>
      <c r="AF3251">
        <v>8.3622613406427995</v>
      </c>
      <c r="AG3251">
        <v>-1.10260095786</v>
      </c>
      <c r="AH3251">
        <v>27.2510557298362</v>
      </c>
      <c r="AI3251">
        <v>92.215134877444697</v>
      </c>
      <c r="AJ3251">
        <v>72.940840019085599</v>
      </c>
      <c r="AK3251">
        <v>28.526534700031799</v>
      </c>
    </row>
    <row r="3252" spans="1:37" x14ac:dyDescent="0.2">
      <c r="A3252" t="str">
        <f>"20200111153500902"</f>
        <v>20200111153500902</v>
      </c>
      <c r="B3252" t="str">
        <f>"1578728100899603"</f>
        <v>1578728100899603</v>
      </c>
      <c r="C3252" t="s">
        <v>37</v>
      </c>
      <c r="D3252">
        <v>4.8538800000000002</v>
      </c>
      <c r="E3252">
        <v>0.59756379999999998</v>
      </c>
      <c r="F3252" t="s">
        <v>51</v>
      </c>
      <c r="G3252">
        <v>-198.23089999999999</v>
      </c>
      <c r="H3252" s="1">
        <v>-1.4864469999999999E-5</v>
      </c>
      <c r="I3252">
        <v>159.1671</v>
      </c>
      <c r="J3252">
        <v>-191.7046</v>
      </c>
      <c r="K3252">
        <v>1.102598</v>
      </c>
      <c r="L3252">
        <v>187.1919</v>
      </c>
      <c r="M3252">
        <v>6.8476770000000006E-2</v>
      </c>
      <c r="N3252">
        <v>0</v>
      </c>
      <c r="O3252">
        <v>-0.99756060000000002</v>
      </c>
      <c r="P3252">
        <v>2.5613009999999999E-2</v>
      </c>
      <c r="Q3252">
        <v>2.363699E-2</v>
      </c>
      <c r="R3252">
        <v>-0.99939239999999996</v>
      </c>
      <c r="S3252">
        <v>-0.69911190000000001</v>
      </c>
      <c r="T3252">
        <v>-0.118282199999999</v>
      </c>
      <c r="U3252">
        <v>-3.0234830000000001</v>
      </c>
      <c r="V3252">
        <v>4.3096530000000001E-2</v>
      </c>
      <c r="W3252">
        <v>3.6933430000000003E-2</v>
      </c>
      <c r="X3252">
        <v>0.99838799999999905</v>
      </c>
      <c r="Y3252">
        <v>0.29131609999999902</v>
      </c>
      <c r="Z3252">
        <v>3.7609980000000001E-2</v>
      </c>
      <c r="AA3252">
        <v>0.9558873</v>
      </c>
      <c r="AB3252">
        <v>27</v>
      </c>
      <c r="AC3252">
        <v>-6.5262999999999902</v>
      </c>
      <c r="AD3252">
        <v>-1.10261286447</v>
      </c>
      <c r="AE3252">
        <v>-28.024799999999999</v>
      </c>
      <c r="AF3252">
        <v>8.41784200626347</v>
      </c>
      <c r="AG3252">
        <v>-1.10261286447</v>
      </c>
      <c r="AH3252">
        <v>27.471726872777001</v>
      </c>
      <c r="AI3252">
        <v>92.197654457060295</v>
      </c>
      <c r="AJ3252">
        <v>72.963972930164601</v>
      </c>
      <c r="AK3252">
        <v>28.7536362316797</v>
      </c>
    </row>
    <row r="3253" spans="1:37" x14ac:dyDescent="0.2">
      <c r="A3253" t="str">
        <f>"20200111153500914"</f>
        <v>20200111153500914</v>
      </c>
      <c r="B3253" t="str">
        <f>"1578728100909363"</f>
        <v>1578728100909363</v>
      </c>
      <c r="C3253" t="s">
        <v>37</v>
      </c>
      <c r="D3253">
        <v>4.8616269999999897</v>
      </c>
      <c r="E3253">
        <v>0.59732220000000003</v>
      </c>
      <c r="F3253" t="s">
        <v>51</v>
      </c>
      <c r="G3253">
        <v>-198.3192</v>
      </c>
      <c r="H3253" s="1">
        <v>-1.47513899999999E-5</v>
      </c>
      <c r="I3253">
        <v>158.71770000000001</v>
      </c>
      <c r="J3253">
        <v>-191.6962</v>
      </c>
      <c r="K3253">
        <v>1.1026049999999901</v>
      </c>
      <c r="L3253">
        <v>187.04069999999999</v>
      </c>
      <c r="M3253">
        <v>6.6740149999999998E-2</v>
      </c>
      <c r="N3253">
        <v>0</v>
      </c>
      <c r="O3253">
        <v>-0.99767850000000002</v>
      </c>
      <c r="P3253">
        <v>2.4202850000000001E-2</v>
      </c>
      <c r="Q3253">
        <v>2.3660359999999998E-2</v>
      </c>
      <c r="R3253">
        <v>-0.99942719999999896</v>
      </c>
      <c r="S3253">
        <v>-0.70214840000000001</v>
      </c>
      <c r="T3253">
        <v>-0.117044699999999</v>
      </c>
      <c r="U3253">
        <v>-3.0225979999999999</v>
      </c>
      <c r="V3253">
        <v>4.276688E-2</v>
      </c>
      <c r="W3253">
        <v>3.6955349999999998E-2</v>
      </c>
      <c r="X3253">
        <v>0.99840130000000005</v>
      </c>
      <c r="Y3253">
        <v>0.29062690000000002</v>
      </c>
      <c r="Z3253">
        <v>3.7234290000000003E-2</v>
      </c>
      <c r="AA3253">
        <v>0.95611170000000001</v>
      </c>
      <c r="AB3253">
        <v>27</v>
      </c>
      <c r="AC3253">
        <v>-6.6229999999999896</v>
      </c>
      <c r="AD3253">
        <v>-1.10261975138999</v>
      </c>
      <c r="AE3253">
        <v>-28.322999999999901</v>
      </c>
      <c r="AF3253">
        <v>8.4864902240240898</v>
      </c>
      <c r="AG3253">
        <v>-1.10261975138999</v>
      </c>
      <c r="AH3253">
        <v>27.777862267495099</v>
      </c>
      <c r="AI3253">
        <v>92.174021633719704</v>
      </c>
      <c r="AJ3253">
        <v>73.011421517395803</v>
      </c>
      <c r="AK3253">
        <v>29.0662333092979</v>
      </c>
    </row>
    <row r="3254" spans="1:37" x14ac:dyDescent="0.2">
      <c r="A3254" t="str">
        <f>"20200111153500929"</f>
        <v>20200111153500929</v>
      </c>
      <c r="B3254" t="str">
        <f>"1578728100919123"</f>
        <v>1578728100919123</v>
      </c>
      <c r="C3254" t="s">
        <v>37</v>
      </c>
      <c r="D3254">
        <v>4.71854</v>
      </c>
      <c r="E3254">
        <v>0.59732220000000003</v>
      </c>
      <c r="F3254" t="s">
        <v>51</v>
      </c>
      <c r="G3254">
        <v>-198.26730000000001</v>
      </c>
      <c r="H3254" s="1">
        <v>-1.47844E-5</v>
      </c>
      <c r="I3254">
        <v>158.84889999999999</v>
      </c>
      <c r="J3254">
        <v>-191.68620000000001</v>
      </c>
      <c r="K3254">
        <v>1.1026049999999901</v>
      </c>
      <c r="L3254">
        <v>186.85640000000001</v>
      </c>
      <c r="M3254">
        <v>6.4617930000000004E-2</v>
      </c>
      <c r="N3254">
        <v>0</v>
      </c>
      <c r="O3254">
        <v>-0.99781819999999899</v>
      </c>
      <c r="P3254">
        <v>2.271869E-2</v>
      </c>
      <c r="Q3254">
        <v>2.400147E-2</v>
      </c>
      <c r="R3254">
        <v>-0.99945379999999995</v>
      </c>
      <c r="S3254">
        <v>-0.70428469999999999</v>
      </c>
      <c r="T3254">
        <v>-0.118177399999999</v>
      </c>
      <c r="U3254">
        <v>-3.0215610000000002</v>
      </c>
      <c r="V3254">
        <v>4.2126799999999999E-2</v>
      </c>
      <c r="W3254">
        <v>3.729557E-2</v>
      </c>
      <c r="X3254">
        <v>0.99841589999999902</v>
      </c>
      <c r="Y3254">
        <v>0.2893019</v>
      </c>
      <c r="Z3254">
        <v>3.761954E-2</v>
      </c>
      <c r="AA3254">
        <v>0.95649839999999997</v>
      </c>
      <c r="AB3254">
        <v>27</v>
      </c>
      <c r="AC3254">
        <v>-6.5810999999999904</v>
      </c>
      <c r="AD3254">
        <v>-1.1026197844000001</v>
      </c>
      <c r="AE3254">
        <v>-28.0075</v>
      </c>
      <c r="AF3254">
        <v>8.36500959030014</v>
      </c>
      <c r="AG3254">
        <v>-1.1026197844000001</v>
      </c>
      <c r="AH3254">
        <v>27.483292268779099</v>
      </c>
      <c r="AI3254">
        <v>92.198002206958705</v>
      </c>
      <c r="AJ3254">
        <v>73.071476963118002</v>
      </c>
      <c r="AK3254">
        <v>28.749269725784298</v>
      </c>
    </row>
    <row r="3255" spans="1:37" x14ac:dyDescent="0.2">
      <c r="A3255" t="str">
        <f>"20200111153500944"</f>
        <v>20200111153500944</v>
      </c>
      <c r="B3255" t="str">
        <f>"1578728100939619"</f>
        <v>1578728100939619</v>
      </c>
      <c r="C3255" t="s">
        <v>37</v>
      </c>
      <c r="D3255">
        <v>4.8315219999999997</v>
      </c>
      <c r="E3255">
        <v>0.55605729999999998</v>
      </c>
      <c r="F3255" t="s">
        <v>51</v>
      </c>
      <c r="G3255">
        <v>-198.35149999999999</v>
      </c>
      <c r="H3255" s="1">
        <v>-1.468578E-5</v>
      </c>
      <c r="I3255">
        <v>158.45689999999999</v>
      </c>
      <c r="J3255">
        <v>-191.67740000000001</v>
      </c>
      <c r="K3255">
        <v>1.102608</v>
      </c>
      <c r="L3255">
        <v>186.68879999999999</v>
      </c>
      <c r="M3255">
        <v>6.268348E-2</v>
      </c>
      <c r="N3255">
        <v>0</v>
      </c>
      <c r="O3255">
        <v>-0.99794159999999899</v>
      </c>
      <c r="P3255">
        <v>2.093078E-2</v>
      </c>
      <c r="Q3255">
        <v>2.4462770000000002E-2</v>
      </c>
      <c r="R3255">
        <v>-0.99948130000000002</v>
      </c>
      <c r="S3255">
        <v>-0.70892330000000003</v>
      </c>
      <c r="T3255">
        <v>-0.1172748</v>
      </c>
      <c r="U3255">
        <v>-3.0205690000000001</v>
      </c>
      <c r="V3255">
        <v>4.1979130000000003E-2</v>
      </c>
      <c r="W3255">
        <v>3.7753019999999998E-2</v>
      </c>
      <c r="X3255">
        <v>0.99840499999999899</v>
      </c>
      <c r="Y3255">
        <v>0.28891079999999902</v>
      </c>
      <c r="Z3255">
        <v>3.7347470000000001E-2</v>
      </c>
      <c r="AA3255">
        <v>0.95662719999999901</v>
      </c>
      <c r="AB3255">
        <v>27</v>
      </c>
      <c r="AC3255">
        <v>-6.6740999999999797</v>
      </c>
      <c r="AD3255">
        <v>-1.1026226857799999</v>
      </c>
      <c r="AE3255">
        <v>-28.2319</v>
      </c>
      <c r="AF3255">
        <v>8.4186468516723796</v>
      </c>
      <c r="AG3255">
        <v>-1.1026226857799999</v>
      </c>
      <c r="AH3255">
        <v>27.7179342473923</v>
      </c>
      <c r="AI3255">
        <v>92.179807852380506</v>
      </c>
      <c r="AJ3255">
        <v>73.105119992304694</v>
      </c>
      <c r="AK3255">
        <v>28.989192305808299</v>
      </c>
    </row>
    <row r="3256" spans="1:37" x14ac:dyDescent="0.2">
      <c r="A3256" t="str">
        <f>"20200111153500956"</f>
        <v>20200111153500956</v>
      </c>
      <c r="B3256" t="str">
        <f>"1578728100949378"</f>
        <v>1578728100949378</v>
      </c>
      <c r="C3256" t="s">
        <v>37</v>
      </c>
      <c r="D3256">
        <v>4.779579</v>
      </c>
      <c r="E3256">
        <v>0.55449550000000003</v>
      </c>
      <c r="F3256" t="s">
        <v>39</v>
      </c>
      <c r="G3256">
        <v>-194.24969999999999</v>
      </c>
      <c r="H3256" s="1">
        <v>-4.32154999999999E-6</v>
      </c>
      <c r="I3256">
        <v>166.57669999999999</v>
      </c>
      <c r="J3256">
        <v>-191.6695</v>
      </c>
      <c r="K3256">
        <v>1.102611</v>
      </c>
      <c r="L3256">
        <v>186.53380000000001</v>
      </c>
      <c r="M3256">
        <v>6.089145E-2</v>
      </c>
      <c r="N3256">
        <v>0</v>
      </c>
      <c r="O3256">
        <v>-0.99805279999999996</v>
      </c>
      <c r="P3256">
        <v>1.9516430000000001E-2</v>
      </c>
      <c r="Q3256">
        <v>2.4812560000000001E-2</v>
      </c>
      <c r="R3256">
        <v>-0.99950190000000005</v>
      </c>
      <c r="S3256">
        <v>-0.38545229999999903</v>
      </c>
      <c r="T3256">
        <v>-0.16522039999999999</v>
      </c>
      <c r="U3256">
        <v>-3.013687</v>
      </c>
      <c r="V3256">
        <v>4.1600499999999999E-2</v>
      </c>
      <c r="W3256">
        <v>3.810181E-2</v>
      </c>
      <c r="X3256">
        <v>0.9984075</v>
      </c>
      <c r="Y3256">
        <v>0.18685109999999999</v>
      </c>
      <c r="Z3256">
        <v>5.3887579999999997E-2</v>
      </c>
      <c r="AA3256">
        <v>0.98090919999999904</v>
      </c>
      <c r="AB3256">
        <v>27</v>
      </c>
      <c r="AC3256">
        <v>-2.5801999999999898</v>
      </c>
      <c r="AD3256">
        <v>-1.1026153215500001</v>
      </c>
      <c r="AE3256">
        <v>-19.957100000000001</v>
      </c>
      <c r="AF3256">
        <v>3.77939229254646</v>
      </c>
      <c r="AG3256">
        <v>-1.1026153215500001</v>
      </c>
      <c r="AH3256">
        <v>19.703777602575698</v>
      </c>
      <c r="AI3256">
        <v>93.145682018746399</v>
      </c>
      <c r="AJ3256">
        <v>79.141944146602597</v>
      </c>
      <c r="AK3256">
        <v>20.093243104587199</v>
      </c>
    </row>
    <row r="3257" spans="1:37" x14ac:dyDescent="0.2">
      <c r="A3257" t="str">
        <f>"20200111153500968"</f>
        <v>20200111153500968</v>
      </c>
      <c r="B3257" t="str">
        <f>"1578728100959139"</f>
        <v>1578728100959139</v>
      </c>
      <c r="C3257" t="s">
        <v>37</v>
      </c>
      <c r="D3257">
        <v>4.8036820000000002</v>
      </c>
      <c r="E3257">
        <v>0.55329359999999905</v>
      </c>
      <c r="F3257" t="s">
        <v>39</v>
      </c>
      <c r="G3257">
        <v>-194.1763</v>
      </c>
      <c r="H3257" s="1">
        <v>-4.2862480000000002E-6</v>
      </c>
      <c r="I3257">
        <v>166.51859999999999</v>
      </c>
      <c r="J3257">
        <v>-191.66239999999999</v>
      </c>
      <c r="K3257">
        <v>1.1026199999999999</v>
      </c>
      <c r="L3257">
        <v>186.38589999999999</v>
      </c>
      <c r="M3257">
        <v>5.9175760000000001E-2</v>
      </c>
      <c r="N3257">
        <v>0</v>
      </c>
      <c r="O3257">
        <v>-0.99815599999999904</v>
      </c>
      <c r="P3257">
        <v>1.8146240000000001E-2</v>
      </c>
      <c r="Q3257">
        <v>2.5464190000000001E-2</v>
      </c>
      <c r="R3257">
        <v>-0.99951119999999904</v>
      </c>
      <c r="S3257">
        <v>-0.37736510000000001</v>
      </c>
      <c r="T3257">
        <v>-0.16598199999999999</v>
      </c>
      <c r="U3257">
        <v>-3.012985</v>
      </c>
      <c r="V3257">
        <v>4.1255559999999997E-2</v>
      </c>
      <c r="W3257">
        <v>3.875174E-2</v>
      </c>
      <c r="X3257">
        <v>0.99839690000000003</v>
      </c>
      <c r="Y3257">
        <v>0.18259629999999999</v>
      </c>
      <c r="Z3257">
        <v>5.4187199999999998E-2</v>
      </c>
      <c r="AA3257">
        <v>0.98169359999999894</v>
      </c>
      <c r="AB3257">
        <v>27</v>
      </c>
      <c r="AC3257">
        <v>-2.5139</v>
      </c>
      <c r="AD3257">
        <v>-1.102624286248</v>
      </c>
      <c r="AE3257">
        <v>-19.8673</v>
      </c>
      <c r="AF3257">
        <v>3.6741251870883298</v>
      </c>
      <c r="AG3257">
        <v>-1.102624286248</v>
      </c>
      <c r="AH3257">
        <v>19.624208491257001</v>
      </c>
      <c r="AI3257">
        <v>93.1610823584152</v>
      </c>
      <c r="AJ3257">
        <v>79.395615351901498</v>
      </c>
      <c r="AK3257">
        <v>19.9956128967167</v>
      </c>
    </row>
    <row r="3258" spans="1:37" x14ac:dyDescent="0.2">
      <c r="A3258" t="str">
        <f>"20200111153500980"</f>
        <v>20200111153500980</v>
      </c>
      <c r="B3258" t="str">
        <f>"1578728100968899"</f>
        <v>1578728100968899</v>
      </c>
      <c r="C3258" t="s">
        <v>37</v>
      </c>
      <c r="D3258">
        <v>4.7882800000000003</v>
      </c>
      <c r="E3258">
        <v>0.55329359999999905</v>
      </c>
      <c r="F3258" t="s">
        <v>39</v>
      </c>
      <c r="G3258">
        <v>-194.23840000000001</v>
      </c>
      <c r="H3258" s="1">
        <v>-3.9162830000000003E-6</v>
      </c>
      <c r="I3258">
        <v>165.5265</v>
      </c>
      <c r="J3258">
        <v>-191.65549999999999</v>
      </c>
      <c r="K3258">
        <v>1.102622</v>
      </c>
      <c r="L3258">
        <v>186.24039999999999</v>
      </c>
      <c r="M3258">
        <v>5.7486099999999998E-2</v>
      </c>
      <c r="N3258">
        <v>0</v>
      </c>
      <c r="O3258">
        <v>-0.99825469999999905</v>
      </c>
      <c r="P3258">
        <v>1.6829239999999999E-2</v>
      </c>
      <c r="Q3258">
        <v>2.6085319999999999E-2</v>
      </c>
      <c r="R3258">
        <v>-0.99951829999999997</v>
      </c>
      <c r="S3258">
        <v>-0.37200929999999999</v>
      </c>
      <c r="T3258">
        <v>-0.1592296</v>
      </c>
      <c r="U3258">
        <v>-3.0122990000000001</v>
      </c>
      <c r="V3258">
        <v>4.0883570000000001E-2</v>
      </c>
      <c r="W3258">
        <v>3.9371629999999998E-2</v>
      </c>
      <c r="X3258">
        <v>0.99838789999999999</v>
      </c>
      <c r="Y3258">
        <v>0.179254</v>
      </c>
      <c r="Z3258">
        <v>5.2030390000000003E-2</v>
      </c>
      <c r="AA3258">
        <v>0.98242600000000002</v>
      </c>
      <c r="AB3258">
        <v>27</v>
      </c>
      <c r="AC3258">
        <v>-2.58290000000002</v>
      </c>
      <c r="AD3258">
        <v>-1.1026259162829899</v>
      </c>
      <c r="AE3258">
        <v>-20.713899999999899</v>
      </c>
      <c r="AF3258">
        <v>3.7590098250653701</v>
      </c>
      <c r="AG3258">
        <v>-1.1026259162829899</v>
      </c>
      <c r="AH3258">
        <v>20.474018705792702</v>
      </c>
      <c r="AI3258">
        <v>93.032096254107799</v>
      </c>
      <c r="AJ3258">
        <v>79.596415019400695</v>
      </c>
      <c r="AK3258">
        <v>20.845416300504699</v>
      </c>
    </row>
    <row r="3259" spans="1:37" x14ac:dyDescent="0.2">
      <c r="A3259" t="str">
        <f>"20200111153500997"</f>
        <v>20200111153500997</v>
      </c>
      <c r="B3259" t="str">
        <f>"1578728100989394"</f>
        <v>1578728100989394</v>
      </c>
      <c r="C3259" t="s">
        <v>37</v>
      </c>
      <c r="D3259">
        <v>4.8680159999999999</v>
      </c>
      <c r="E3259">
        <v>0.51007530000000001</v>
      </c>
      <c r="F3259" t="s">
        <v>39</v>
      </c>
      <c r="G3259">
        <v>-194.29089999999999</v>
      </c>
      <c r="H3259" s="1">
        <v>-3.757599E-6</v>
      </c>
      <c r="I3259">
        <v>165.12549999999999</v>
      </c>
      <c r="J3259">
        <v>-191.6465</v>
      </c>
      <c r="K3259">
        <v>1.1026260000000001</v>
      </c>
      <c r="L3259">
        <v>186.0394</v>
      </c>
      <c r="M3259">
        <v>5.5146220000000003E-2</v>
      </c>
      <c r="N3259">
        <v>0</v>
      </c>
      <c r="O3259">
        <v>-0.99838669999999996</v>
      </c>
      <c r="P3259">
        <v>1.4510459999999999E-2</v>
      </c>
      <c r="Q3259">
        <v>2.6414770000000001E-2</v>
      </c>
      <c r="R3259">
        <v>-0.99954599999999905</v>
      </c>
      <c r="S3259">
        <v>-0.37593080000000001</v>
      </c>
      <c r="T3259">
        <v>-0.15728200000000001</v>
      </c>
      <c r="U3259">
        <v>-3.0119020000000001</v>
      </c>
      <c r="V3259">
        <v>4.0861099999999997E-2</v>
      </c>
      <c r="W3259">
        <v>3.9697540000000003E-2</v>
      </c>
      <c r="X3259">
        <v>0.99837589999999998</v>
      </c>
      <c r="Y3259">
        <v>0.17822750000000001</v>
      </c>
      <c r="Z3259">
        <v>5.1413449999999999E-2</v>
      </c>
      <c r="AA3259">
        <v>0.982645199999999</v>
      </c>
      <c r="AB3259">
        <v>27</v>
      </c>
      <c r="AC3259">
        <v>-2.6443999999999899</v>
      </c>
      <c r="AD3259">
        <v>-1.1026297575990001</v>
      </c>
      <c r="AE3259">
        <v>-20.913900000000002</v>
      </c>
      <c r="AF3259">
        <v>3.7834520995355598</v>
      </c>
      <c r="AG3259">
        <v>-1.1026297575990001</v>
      </c>
      <c r="AH3259">
        <v>20.6796497217425</v>
      </c>
      <c r="AI3259">
        <v>93.002354084808999</v>
      </c>
      <c r="AJ3259">
        <v>79.632097412614598</v>
      </c>
      <c r="AK3259">
        <v>21.051798374148099</v>
      </c>
    </row>
    <row r="3260" spans="1:37" x14ac:dyDescent="0.2">
      <c r="A3260" t="str">
        <f>"20200111153501010"</f>
        <v>20200111153501010</v>
      </c>
      <c r="B3260" t="str">
        <f>"1578728100999155"</f>
        <v>1578728100999155</v>
      </c>
      <c r="C3260" t="s">
        <v>37</v>
      </c>
      <c r="D3260">
        <v>4.8163210000000003</v>
      </c>
      <c r="E3260">
        <v>0.50970289999999996</v>
      </c>
      <c r="F3260" t="s">
        <v>39</v>
      </c>
      <c r="G3260">
        <v>-191.89680000000001</v>
      </c>
      <c r="H3260" s="1">
        <v>-3.7430189999999999E-6</v>
      </c>
      <c r="I3260">
        <v>166.44220000000001</v>
      </c>
      <c r="J3260">
        <v>-191.6397</v>
      </c>
      <c r="K3260">
        <v>1.102624</v>
      </c>
      <c r="L3260">
        <v>185.88099999999901</v>
      </c>
      <c r="M3260">
        <v>5.3300380000000001E-2</v>
      </c>
      <c r="N3260">
        <v>0</v>
      </c>
      <c r="O3260">
        <v>-0.99848689999999996</v>
      </c>
      <c r="P3260">
        <v>1.2519000000000001E-2</v>
      </c>
      <c r="Q3260">
        <v>2.6655350000000001E-2</v>
      </c>
      <c r="R3260">
        <v>-0.99956639999999997</v>
      </c>
      <c r="S3260">
        <v>-3.8406370000000002E-2</v>
      </c>
      <c r="T3260">
        <v>-0.1691542</v>
      </c>
      <c r="U3260">
        <v>-3.0063930000000001</v>
      </c>
      <c r="V3260">
        <v>4.1005569999999998E-2</v>
      </c>
      <c r="W3260">
        <v>3.993385E-2</v>
      </c>
      <c r="X3260">
        <v>0.99836059999999904</v>
      </c>
      <c r="Y3260">
        <v>6.6036429999999993E-2</v>
      </c>
      <c r="Z3260">
        <v>5.5992630000000002E-2</v>
      </c>
      <c r="AA3260">
        <v>0.99624500000000005</v>
      </c>
      <c r="AB3260">
        <v>27</v>
      </c>
      <c r="AC3260">
        <v>-0.25710000000000799</v>
      </c>
      <c r="AD3260">
        <v>-1.1026277430189999</v>
      </c>
      <c r="AE3260">
        <v>-19.438799999999901</v>
      </c>
      <c r="AF3260">
        <v>1.28877877980758</v>
      </c>
      <c r="AG3260">
        <v>-1.1026277430189999</v>
      </c>
      <c r="AH3260">
        <v>19.3352580135948</v>
      </c>
      <c r="AI3260">
        <v>93.256648800636995</v>
      </c>
      <c r="AJ3260">
        <v>86.186628548567697</v>
      </c>
      <c r="AK3260">
        <v>19.409506462948499</v>
      </c>
    </row>
    <row r="3261" spans="1:37" x14ac:dyDescent="0.2">
      <c r="A3261" t="str">
        <f>"20200111153501024"</f>
        <v>20200111153501024</v>
      </c>
      <c r="B3261" t="str">
        <f>"1578728101019651"</f>
        <v>1578728101019651</v>
      </c>
      <c r="C3261" t="s">
        <v>37</v>
      </c>
      <c r="D3261">
        <v>4.764373</v>
      </c>
      <c r="E3261">
        <v>0.51032599999999995</v>
      </c>
      <c r="F3261" t="s">
        <v>39</v>
      </c>
      <c r="G3261">
        <v>-191.9109</v>
      </c>
      <c r="H3261" s="1">
        <v>-3.5934359999999999E-6</v>
      </c>
      <c r="I3261">
        <v>166.11789999999999</v>
      </c>
      <c r="J3261">
        <v>-191.63290000000001</v>
      </c>
      <c r="K3261">
        <v>1.102625</v>
      </c>
      <c r="L3261">
        <v>185.71459999999999</v>
      </c>
      <c r="M3261">
        <v>5.136247E-2</v>
      </c>
      <c r="N3261">
        <v>0</v>
      </c>
      <c r="O3261">
        <v>-0.99858860000000005</v>
      </c>
      <c r="P3261">
        <v>1.039354E-2</v>
      </c>
      <c r="Q3261">
        <v>2.648729E-2</v>
      </c>
      <c r="R3261">
        <v>-0.99959519999999902</v>
      </c>
      <c r="S3261">
        <v>-4.1244509999999998E-2</v>
      </c>
      <c r="T3261">
        <v>-0.16772819999999999</v>
      </c>
      <c r="U3261">
        <v>-3.0063019999999998</v>
      </c>
      <c r="V3261">
        <v>4.119018E-2</v>
      </c>
      <c r="W3261">
        <v>3.9761850000000001E-2</v>
      </c>
      <c r="X3261">
        <v>0.99835989999999997</v>
      </c>
      <c r="Y3261">
        <v>6.5041009999999996E-2</v>
      </c>
      <c r="Z3261">
        <v>5.553371E-2</v>
      </c>
      <c r="AA3261">
        <v>0.99633609999999995</v>
      </c>
      <c r="AB3261">
        <v>27</v>
      </c>
      <c r="AC3261">
        <v>-0.27799999999999098</v>
      </c>
      <c r="AD3261">
        <v>-1.1026285934360001</v>
      </c>
      <c r="AE3261">
        <v>-19.596699999999998</v>
      </c>
      <c r="AF3261">
        <v>1.2802077207128</v>
      </c>
      <c r="AG3261">
        <v>-1.1026285934360001</v>
      </c>
      <c r="AH3261">
        <v>19.494843412634498</v>
      </c>
      <c r="AI3261">
        <v>93.230258145166502</v>
      </c>
      <c r="AJ3261">
        <v>86.242835591859006</v>
      </c>
      <c r="AK3261">
        <v>19.567923786298199</v>
      </c>
    </row>
    <row r="3262" spans="1:37" x14ac:dyDescent="0.2">
      <c r="A3262" t="str">
        <f>"20200111153501036"</f>
        <v>20200111153501036</v>
      </c>
      <c r="B3262" t="str">
        <f>"1578728101029410"</f>
        <v>1578728101029410</v>
      </c>
      <c r="C3262" t="s">
        <v>37</v>
      </c>
      <c r="D3262">
        <v>4.8285200000000001</v>
      </c>
      <c r="E3262">
        <v>0.51101759999999996</v>
      </c>
      <c r="F3262" t="s">
        <v>40</v>
      </c>
      <c r="G3262">
        <v>-191.6491</v>
      </c>
      <c r="H3262">
        <v>1.0522009999999999</v>
      </c>
      <c r="I3262">
        <v>184.79300000000001</v>
      </c>
      <c r="J3262">
        <v>-191.62690000000001</v>
      </c>
      <c r="K3262">
        <v>1.1026260000000001</v>
      </c>
      <c r="L3262">
        <v>185.56190000000001</v>
      </c>
      <c r="M3262">
        <v>4.9585070000000002E-2</v>
      </c>
      <c r="N3262">
        <v>0</v>
      </c>
      <c r="O3262">
        <v>-0.99867839999999997</v>
      </c>
      <c r="P3262">
        <v>8.2453100000000005E-3</v>
      </c>
      <c r="Q3262">
        <v>2.6153039999999999E-2</v>
      </c>
      <c r="R3262">
        <v>-0.99962390000000001</v>
      </c>
      <c r="S3262">
        <v>-5.2444459999999998E-2</v>
      </c>
      <c r="T3262">
        <v>-0.1644632</v>
      </c>
      <c r="U3262">
        <v>-3.006119</v>
      </c>
      <c r="V3262">
        <v>4.1557339999999998E-2</v>
      </c>
      <c r="W3262">
        <v>3.9422609999999997E-2</v>
      </c>
      <c r="X3262">
        <v>0.99835810000000003</v>
      </c>
      <c r="Y3262">
        <v>6.6977839999999997E-2</v>
      </c>
      <c r="Z3262">
        <v>5.4461530000000001E-2</v>
      </c>
      <c r="AA3262">
        <v>0.99626700000000001</v>
      </c>
      <c r="AB3262">
        <v>27</v>
      </c>
      <c r="AC3262">
        <v>-2.2199999999997999E-2</v>
      </c>
      <c r="AD3262">
        <v>-5.0425000000000102E-2</v>
      </c>
      <c r="AE3262">
        <v>-0.76890000000000203</v>
      </c>
      <c r="AF3262">
        <v>6.0044107595673399E-2</v>
      </c>
      <c r="AG3262">
        <v>-5.0425000000000102E-2</v>
      </c>
      <c r="AH3262">
        <v>0.76357186083086004</v>
      </c>
      <c r="AI3262">
        <v>93.766636714434895</v>
      </c>
      <c r="AJ3262">
        <v>85.503751207025203</v>
      </c>
      <c r="AK3262">
        <v>0.76758710393978302</v>
      </c>
    </row>
    <row r="3263" spans="1:37" x14ac:dyDescent="0.2">
      <c r="A3263" t="str">
        <f>"20200111153501048"</f>
        <v>20200111153501048</v>
      </c>
      <c r="B3263" t="str">
        <f>"1578728101039171"</f>
        <v>1578728101039171</v>
      </c>
      <c r="C3263" t="s">
        <v>37</v>
      </c>
      <c r="D3263">
        <v>4.784713</v>
      </c>
      <c r="E3263">
        <v>0.5112814</v>
      </c>
      <c r="F3263" t="s">
        <v>39</v>
      </c>
      <c r="G3263">
        <v>-192.06569999999999</v>
      </c>
      <c r="H3263" s="1">
        <v>-3.1367770000000002E-6</v>
      </c>
      <c r="I3263">
        <v>165.06469999999999</v>
      </c>
      <c r="J3263">
        <v>-191.6215</v>
      </c>
      <c r="K3263">
        <v>1.1026279999999999</v>
      </c>
      <c r="L3263">
        <v>185.41399999999999</v>
      </c>
      <c r="M3263">
        <v>4.7868389999999997E-2</v>
      </c>
      <c r="N3263">
        <v>0</v>
      </c>
      <c r="O3263">
        <v>-0.99876219999999905</v>
      </c>
      <c r="P3263">
        <v>5.9239660000000001E-3</v>
      </c>
      <c r="Q3263">
        <v>2.6022010000000002E-2</v>
      </c>
      <c r="R3263">
        <v>-0.99964390000000003</v>
      </c>
      <c r="S3263">
        <v>-6.4346310000000004E-2</v>
      </c>
      <c r="T3263">
        <v>-0.1616995</v>
      </c>
      <c r="U3263">
        <v>-3.0059049999999998</v>
      </c>
      <c r="V3263">
        <v>4.2158929999999997E-2</v>
      </c>
      <c r="W3263">
        <v>3.9285859999999999E-2</v>
      </c>
      <c r="X3263">
        <v>0.99833819999999995</v>
      </c>
      <c r="Y3263">
        <v>6.9208179999999994E-2</v>
      </c>
      <c r="Z3263">
        <v>5.3553410000000003E-2</v>
      </c>
      <c r="AA3263">
        <v>0.99616380000000004</v>
      </c>
      <c r="AB3263">
        <v>27</v>
      </c>
      <c r="AC3263">
        <v>-0.44419999999999499</v>
      </c>
      <c r="AD3263">
        <v>-1.1026311367770001</v>
      </c>
      <c r="AE3263">
        <v>-20.349299999999999</v>
      </c>
      <c r="AF3263">
        <v>1.41371916024573</v>
      </c>
      <c r="AG3263">
        <v>-1.1026311367770001</v>
      </c>
      <c r="AH3263">
        <v>20.245290648710601</v>
      </c>
      <c r="AI3263">
        <v>93.109895617483303</v>
      </c>
      <c r="AJ3263">
        <v>86.005546677005498</v>
      </c>
      <c r="AK3263">
        <v>20.324521906765799</v>
      </c>
    </row>
    <row r="3264" spans="1:37" x14ac:dyDescent="0.2">
      <c r="A3264" t="str">
        <f>"20200111153501064"</f>
        <v>20200111153501064</v>
      </c>
      <c r="B3264" t="str">
        <f>"1578728101059667"</f>
        <v>1578728101059667</v>
      </c>
      <c r="C3264" t="s">
        <v>37</v>
      </c>
      <c r="D3264">
        <v>4.801679</v>
      </c>
      <c r="E3264">
        <v>0.51163139999999996</v>
      </c>
      <c r="F3264" t="s">
        <v>39</v>
      </c>
      <c r="G3264">
        <v>-192.12520000000001</v>
      </c>
      <c r="H3264" s="1">
        <v>-3.0192170000000001E-6</v>
      </c>
      <c r="I3264">
        <v>164.7825</v>
      </c>
      <c r="J3264">
        <v>-191.61490000000001</v>
      </c>
      <c r="K3264">
        <v>1.102633</v>
      </c>
      <c r="L3264">
        <v>185.23070000000001</v>
      </c>
      <c r="M3264">
        <v>4.5748549999999999E-2</v>
      </c>
      <c r="N3264">
        <v>0</v>
      </c>
      <c r="O3264">
        <v>-0.99886160000000002</v>
      </c>
      <c r="P3264">
        <v>2.2411319999999998E-3</v>
      </c>
      <c r="Q3264">
        <v>2.5883E-2</v>
      </c>
      <c r="R3264">
        <v>-0.99966259999999996</v>
      </c>
      <c r="S3264">
        <v>-7.3379520000000004E-2</v>
      </c>
      <c r="T3264">
        <v>-0.16063669999999999</v>
      </c>
      <c r="U3264">
        <v>-3.0056919999999998</v>
      </c>
      <c r="V3264">
        <v>4.3717359999999997E-2</v>
      </c>
      <c r="W3264">
        <v>3.9135299999999998E-2</v>
      </c>
      <c r="X3264">
        <v>0.99827710000000003</v>
      </c>
      <c r="Y3264">
        <v>7.0085090000000003E-2</v>
      </c>
      <c r="Z3264">
        <v>5.3210649999999998E-2</v>
      </c>
      <c r="AA3264">
        <v>0.99612080000000003</v>
      </c>
      <c r="AB3264">
        <v>27</v>
      </c>
      <c r="AC3264">
        <v>-0.51029999999999998</v>
      </c>
      <c r="AD3264">
        <v>-1.1026360192169999</v>
      </c>
      <c r="AE3264">
        <v>-20.4482</v>
      </c>
      <c r="AF3264">
        <v>1.4411386852306101</v>
      </c>
      <c r="AG3264">
        <v>-1.1026360192169999</v>
      </c>
      <c r="AH3264">
        <v>20.3443199549626</v>
      </c>
      <c r="AI3264">
        <v>93.094582998579696</v>
      </c>
      <c r="AJ3264">
        <v>85.948084449137298</v>
      </c>
      <c r="AK3264">
        <v>20.425083630938499</v>
      </c>
    </row>
    <row r="3265" spans="1:37" x14ac:dyDescent="0.2">
      <c r="A3265" t="str">
        <f>"20200111153501077"</f>
        <v>20200111153501077</v>
      </c>
      <c r="B3265" t="str">
        <f>"1578728101069428"</f>
        <v>1578728101069428</v>
      </c>
      <c r="C3265" t="s">
        <v>37</v>
      </c>
      <c r="D3265">
        <v>4.812125</v>
      </c>
      <c r="E3265">
        <v>0.51192950000000004</v>
      </c>
      <c r="F3265" t="s">
        <v>39</v>
      </c>
      <c r="G3265">
        <v>-192.20509999999999</v>
      </c>
      <c r="H3265" s="1">
        <v>-3.05969299999999E-6</v>
      </c>
      <c r="I3265">
        <v>164.82310000000001</v>
      </c>
      <c r="J3265">
        <v>-191.6097</v>
      </c>
      <c r="K3265">
        <v>1.102643</v>
      </c>
      <c r="L3265">
        <v>185.0752</v>
      </c>
      <c r="M3265">
        <v>4.3955590000000003E-2</v>
      </c>
      <c r="N3265">
        <v>0</v>
      </c>
      <c r="O3265">
        <v>-0.998942199999999</v>
      </c>
      <c r="P3265">
        <v>-4.5143529999999899E-4</v>
      </c>
      <c r="Q3265">
        <v>2.5985649999999999E-2</v>
      </c>
      <c r="R3265">
        <v>-0.9996623</v>
      </c>
      <c r="S3265">
        <v>-8.6914060000000001E-2</v>
      </c>
      <c r="T3265">
        <v>-0.16238449999999999</v>
      </c>
      <c r="U3265">
        <v>-3.005417</v>
      </c>
      <c r="V3265">
        <v>4.4614319999999999E-2</v>
      </c>
      <c r="W3265">
        <v>3.9230590000000003E-2</v>
      </c>
      <c r="X3265">
        <v>0.9982337</v>
      </c>
      <c r="Y3265">
        <v>7.277836E-2</v>
      </c>
      <c r="Z3265">
        <v>5.3790930000000001E-2</v>
      </c>
      <c r="AA3265">
        <v>0.99589649999999996</v>
      </c>
      <c r="AB3265">
        <v>27</v>
      </c>
      <c r="AC3265">
        <v>-0.59539999999998305</v>
      </c>
      <c r="AD3265">
        <v>-1.1026460596929999</v>
      </c>
      <c r="AE3265">
        <v>-20.252099999999899</v>
      </c>
      <c r="AF3265">
        <v>1.48071303981427</v>
      </c>
      <c r="AG3265">
        <v>-1.1026460596929999</v>
      </c>
      <c r="AH3265">
        <v>20.146678347645899</v>
      </c>
      <c r="AI3265">
        <v>93.124314443724103</v>
      </c>
      <c r="AJ3265">
        <v>85.796510945448901</v>
      </c>
      <c r="AK3265">
        <v>20.231089636565301</v>
      </c>
    </row>
    <row r="3266" spans="1:37" x14ac:dyDescent="0.2">
      <c r="A3266" t="str">
        <f>"20200111153501090"</f>
        <v>20200111153501090</v>
      </c>
      <c r="B3266" t="str">
        <f>"1578728101079187"</f>
        <v>1578728101079187</v>
      </c>
      <c r="C3266" t="s">
        <v>37</v>
      </c>
      <c r="D3266">
        <v>4.7861159999999998</v>
      </c>
      <c r="E3266">
        <v>0.51210059999999902</v>
      </c>
      <c r="F3266" t="s">
        <v>39</v>
      </c>
      <c r="G3266">
        <v>-192.2704</v>
      </c>
      <c r="H3266" s="1">
        <v>-3.0059549999999999E-6</v>
      </c>
      <c r="I3266">
        <v>164.67269999999999</v>
      </c>
      <c r="J3266">
        <v>-191.60480000000001</v>
      </c>
      <c r="K3266">
        <v>1.1026559999999901</v>
      </c>
      <c r="L3266">
        <v>184.91759999999999</v>
      </c>
      <c r="M3266">
        <v>4.215091E-2</v>
      </c>
      <c r="N3266">
        <v>0</v>
      </c>
      <c r="O3266">
        <v>-0.99901989999999996</v>
      </c>
      <c r="P3266">
        <v>-2.9377520000000001E-3</v>
      </c>
      <c r="Q3266">
        <v>2.6080969999999998E-2</v>
      </c>
      <c r="R3266">
        <v>-0.99965559999999998</v>
      </c>
      <c r="S3266">
        <v>-9.732056E-2</v>
      </c>
      <c r="T3266">
        <v>-0.16241439999999999</v>
      </c>
      <c r="U3266">
        <v>-3.005188</v>
      </c>
      <c r="V3266">
        <v>4.529333E-2</v>
      </c>
      <c r="W3266">
        <v>3.9320170000000002E-2</v>
      </c>
      <c r="X3266">
        <v>0.99819959999999996</v>
      </c>
      <c r="Y3266">
        <v>7.4424100000000007E-2</v>
      </c>
      <c r="Z3266">
        <v>5.3805070000000003E-2</v>
      </c>
      <c r="AA3266">
        <v>0.9957741</v>
      </c>
      <c r="AB3266">
        <v>27</v>
      </c>
      <c r="AC3266">
        <v>-0.66559999999998298</v>
      </c>
      <c r="AD3266">
        <v>-1.1026590059550001</v>
      </c>
      <c r="AE3266">
        <v>-20.244900000000001</v>
      </c>
      <c r="AF3266">
        <v>1.5139408697438299</v>
      </c>
      <c r="AG3266">
        <v>-1.1026590059550001</v>
      </c>
      <c r="AH3266">
        <v>20.139166693308599</v>
      </c>
      <c r="AI3266">
        <v>93.1251273185066</v>
      </c>
      <c r="AJ3266">
        <v>85.700935495761797</v>
      </c>
      <c r="AK3266">
        <v>20.2260700320494</v>
      </c>
    </row>
    <row r="3267" spans="1:37" x14ac:dyDescent="0.2">
      <c r="A3267" t="str">
        <f>"20200111153501103"</f>
        <v>20200111153501103</v>
      </c>
      <c r="B3267" t="str">
        <f>"1578728101099683"</f>
        <v>1578728101099683</v>
      </c>
      <c r="C3267" t="s">
        <v>37</v>
      </c>
      <c r="D3267">
        <v>4.802276</v>
      </c>
      <c r="E3267">
        <v>0.5120422</v>
      </c>
      <c r="F3267" t="s">
        <v>39</v>
      </c>
      <c r="G3267">
        <v>-192.32140000000001</v>
      </c>
      <c r="H3267" s="1">
        <v>-2.9947669999999998E-6</v>
      </c>
      <c r="I3267">
        <v>164.62029999999999</v>
      </c>
      <c r="J3267">
        <v>-191.6003</v>
      </c>
      <c r="K3267">
        <v>1.102671</v>
      </c>
      <c r="L3267">
        <v>184.76759999999999</v>
      </c>
      <c r="M3267">
        <v>4.0439790000000003E-2</v>
      </c>
      <c r="N3267">
        <v>0</v>
      </c>
      <c r="O3267">
        <v>-0.999090699999999</v>
      </c>
      <c r="P3267">
        <v>-5.62618199999999E-3</v>
      </c>
      <c r="Q3267">
        <v>2.6413949999999999E-2</v>
      </c>
      <c r="R3267">
        <v>-0.99963539999999995</v>
      </c>
      <c r="S3267">
        <v>-0.10609439999999901</v>
      </c>
      <c r="T3267">
        <v>-0.16324739999999999</v>
      </c>
      <c r="U3267">
        <v>-3.0049899999999998</v>
      </c>
      <c r="V3267">
        <v>4.626889E-2</v>
      </c>
      <c r="W3267">
        <v>3.9646069999999999E-2</v>
      </c>
      <c r="X3267">
        <v>0.99814190000000003</v>
      </c>
      <c r="Y3267">
        <v>7.5621740000000007E-2</v>
      </c>
      <c r="Z3267">
        <v>5.4084420000000001E-2</v>
      </c>
      <c r="AA3267">
        <v>0.99566869999999996</v>
      </c>
      <c r="AB3267">
        <v>27</v>
      </c>
      <c r="AC3267">
        <v>-0.72110000000000696</v>
      </c>
      <c r="AD3267">
        <v>-1.1026739947669999</v>
      </c>
      <c r="AE3267">
        <v>-20.147300000000001</v>
      </c>
      <c r="AF3267">
        <v>1.53075748615998</v>
      </c>
      <c r="AG3267">
        <v>-1.1026739947669999</v>
      </c>
      <c r="AH3267">
        <v>20.041695366689201</v>
      </c>
      <c r="AI3267">
        <v>93.140053952631305</v>
      </c>
      <c r="AJ3267">
        <v>85.632306232984703</v>
      </c>
      <c r="AK3267">
        <v>20.130292138748</v>
      </c>
    </row>
    <row r="3268" spans="1:37" x14ac:dyDescent="0.2">
      <c r="A3268" t="str">
        <f>"20200111153501116"</f>
        <v>20200111153501116</v>
      </c>
      <c r="B3268" t="str">
        <f>"1578728101109442"</f>
        <v>1578728101109442</v>
      </c>
      <c r="C3268" t="s">
        <v>37</v>
      </c>
      <c r="D3268">
        <v>4.8107660000000001</v>
      </c>
      <c r="E3268">
        <v>0.51206309999999999</v>
      </c>
      <c r="F3268" t="s">
        <v>40</v>
      </c>
      <c r="G3268">
        <v>-191.63550000000001</v>
      </c>
      <c r="H3268">
        <v>1.0521609999999999</v>
      </c>
      <c r="I3268">
        <v>183.839</v>
      </c>
      <c r="J3268">
        <v>-191.59559999999999</v>
      </c>
      <c r="K3268">
        <v>1.102689</v>
      </c>
      <c r="L3268">
        <v>184.6046</v>
      </c>
      <c r="M3268">
        <v>3.8591220000000002E-2</v>
      </c>
      <c r="N3268">
        <v>0</v>
      </c>
      <c r="O3268">
        <v>-0.99916389999999999</v>
      </c>
      <c r="P3268">
        <v>-8.1611930000000006E-3</v>
      </c>
      <c r="Q3268">
        <v>2.6560799999999999E-2</v>
      </c>
      <c r="R3268">
        <v>-0.99961390000000006</v>
      </c>
      <c r="S3268">
        <v>-0.1135864</v>
      </c>
      <c r="T3268">
        <v>-0.16343360000000001</v>
      </c>
      <c r="U3268">
        <v>-3.0047609999999998</v>
      </c>
      <c r="V3268">
        <v>4.6952859999999999E-2</v>
      </c>
      <c r="W3268">
        <v>3.978806E-2</v>
      </c>
      <c r="X3268">
        <v>0.9981044</v>
      </c>
      <c r="Y3268">
        <v>7.6258670000000001E-2</v>
      </c>
      <c r="Z3268">
        <v>5.4152190000000003E-2</v>
      </c>
      <c r="AA3268">
        <v>0.99561650000000002</v>
      </c>
      <c r="AB3268">
        <v>27</v>
      </c>
      <c r="AC3268">
        <v>-3.9900000000017102E-2</v>
      </c>
      <c r="AD3268">
        <v>-5.0527999999999899E-2</v>
      </c>
      <c r="AE3268">
        <v>-0.76559999999997697</v>
      </c>
      <c r="AF3268">
        <v>6.9118158449388706E-2</v>
      </c>
      <c r="AG3268">
        <v>-5.0527999999999899E-2</v>
      </c>
      <c r="AH3268">
        <v>0.76018745852318703</v>
      </c>
      <c r="AI3268">
        <v>93.787155719062099</v>
      </c>
      <c r="AJ3268">
        <v>84.804808040922197</v>
      </c>
      <c r="AK3268">
        <v>0.76499370631880204</v>
      </c>
    </row>
    <row r="3269" spans="1:37" x14ac:dyDescent="0.2">
      <c r="A3269" t="str">
        <f>"20200111153501131"</f>
        <v>20200111153501131</v>
      </c>
      <c r="B3269" t="str">
        <f>"1578728101119203"</f>
        <v>1578728101119203</v>
      </c>
      <c r="C3269" t="s">
        <v>37</v>
      </c>
      <c r="D3269">
        <v>4.8106679999999997</v>
      </c>
      <c r="E3269">
        <v>0.51185499999999995</v>
      </c>
      <c r="F3269" t="s">
        <v>39</v>
      </c>
      <c r="G3269">
        <v>-192.42310000000001</v>
      </c>
      <c r="H3269" s="1">
        <v>-2.782008E-6</v>
      </c>
      <c r="I3269">
        <v>164.113</v>
      </c>
      <c r="J3269">
        <v>-191.5909</v>
      </c>
      <c r="K3269">
        <v>1.1027069999999899</v>
      </c>
      <c r="L3269">
        <v>184.42500000000001</v>
      </c>
      <c r="M3269">
        <v>3.6570279999999997E-2</v>
      </c>
      <c r="N3269">
        <v>0</v>
      </c>
      <c r="O3269">
        <v>-0.99923989999999996</v>
      </c>
      <c r="P3269">
        <v>-1.211548E-2</v>
      </c>
      <c r="Q3269">
        <v>2.7130020000000001E-2</v>
      </c>
      <c r="R3269">
        <v>-0.99955859999999996</v>
      </c>
      <c r="S3269">
        <v>-0.1213226</v>
      </c>
      <c r="T3269">
        <v>-0.16167429999999999</v>
      </c>
      <c r="U3269">
        <v>-3.0044400000000002</v>
      </c>
      <c r="V3269">
        <v>4.8884120000000003E-2</v>
      </c>
      <c r="W3269">
        <v>4.0344089999999999E-2</v>
      </c>
      <c r="X3269">
        <v>0.99798940000000003</v>
      </c>
      <c r="Y3269">
        <v>7.6807009999999995E-2</v>
      </c>
      <c r="Z3269">
        <v>5.3578979999999998E-2</v>
      </c>
      <c r="AA3269">
        <v>0.99560530000000003</v>
      </c>
      <c r="AB3269">
        <v>27</v>
      </c>
      <c r="AC3269">
        <v>-0.83220000000000005</v>
      </c>
      <c r="AD3269">
        <v>-1.1027097820080001</v>
      </c>
      <c r="AE3269">
        <v>-20.312000000000001</v>
      </c>
      <c r="AF3269">
        <v>1.5699072904773399</v>
      </c>
      <c r="AG3269">
        <v>-1.1027097820080001</v>
      </c>
      <c r="AH3269">
        <v>20.208514184314801</v>
      </c>
      <c r="AI3269">
        <v>93.1139742726577</v>
      </c>
      <c r="AJ3269">
        <v>85.557874012548197</v>
      </c>
      <c r="AK3269">
        <v>20.2993749485466</v>
      </c>
    </row>
    <row r="3270" spans="1:37" x14ac:dyDescent="0.2">
      <c r="A3270" t="str">
        <f>"20200111153501145"</f>
        <v>20200111153501145</v>
      </c>
      <c r="B3270" t="str">
        <f>"1578728101139699"</f>
        <v>1578728101139699</v>
      </c>
      <c r="C3270" t="s">
        <v>37</v>
      </c>
      <c r="D3270">
        <v>4.8124440000000002</v>
      </c>
      <c r="E3270">
        <v>0.51163570000000003</v>
      </c>
      <c r="F3270" t="s">
        <v>39</v>
      </c>
      <c r="G3270">
        <v>-192.50219999999999</v>
      </c>
      <c r="H3270" s="1">
        <v>-2.5531099999999899E-6</v>
      </c>
      <c r="I3270">
        <v>163.58420000000001</v>
      </c>
      <c r="J3270">
        <v>-191.58699999999999</v>
      </c>
      <c r="K3270">
        <v>1.102725</v>
      </c>
      <c r="L3270">
        <v>184.2655</v>
      </c>
      <c r="M3270">
        <v>3.4785959999999998E-2</v>
      </c>
      <c r="N3270">
        <v>0</v>
      </c>
      <c r="O3270">
        <v>-0.99930370000000002</v>
      </c>
      <c r="P3270">
        <v>-1.474229E-2</v>
      </c>
      <c r="Q3270">
        <v>2.72605E-2</v>
      </c>
      <c r="R3270">
        <v>-0.99952009999999902</v>
      </c>
      <c r="S3270">
        <v>-0.13134770000000001</v>
      </c>
      <c r="T3270">
        <v>-0.15894729999999899</v>
      </c>
      <c r="U3270">
        <v>-3.0040439999999999</v>
      </c>
      <c r="V3270">
        <v>4.9724169999999998E-2</v>
      </c>
      <c r="W3270">
        <v>4.0468909999999997E-2</v>
      </c>
      <c r="X3270">
        <v>0.99794269999999996</v>
      </c>
      <c r="Y3270">
        <v>7.8350589999999998E-2</v>
      </c>
      <c r="Z3270">
        <v>5.2682920000000001E-2</v>
      </c>
      <c r="AA3270">
        <v>0.99553289999999905</v>
      </c>
      <c r="AB3270">
        <v>27</v>
      </c>
      <c r="AC3270">
        <v>-0.91519999999997004</v>
      </c>
      <c r="AD3270">
        <v>-1.10272755311</v>
      </c>
      <c r="AE3270">
        <v>-20.6813</v>
      </c>
      <c r="AF3270">
        <v>1.62950670111271</v>
      </c>
      <c r="AG3270">
        <v>-1.10272755311</v>
      </c>
      <c r="AH3270">
        <v>20.578551082647</v>
      </c>
      <c r="AI3270">
        <v>93.057779503745394</v>
      </c>
      <c r="AJ3270">
        <v>85.472497073797499</v>
      </c>
      <c r="AK3270">
        <v>20.672398622474098</v>
      </c>
    </row>
    <row r="3271" spans="1:37" x14ac:dyDescent="0.2">
      <c r="A3271" t="str">
        <f>"20200111153501158"</f>
        <v>20200111153501158</v>
      </c>
      <c r="B3271" t="str">
        <f>"1578728101149458"</f>
        <v>1578728101149458</v>
      </c>
      <c r="C3271" t="s">
        <v>37</v>
      </c>
      <c r="D3271">
        <v>4.7904169999999997</v>
      </c>
      <c r="E3271">
        <v>0.51145039999999997</v>
      </c>
      <c r="F3271" t="s">
        <v>39</v>
      </c>
      <c r="G3271">
        <v>-192.5462</v>
      </c>
      <c r="H3271" s="1">
        <v>-2.430191E-6</v>
      </c>
      <c r="I3271">
        <v>163.29939999999999</v>
      </c>
      <c r="J3271">
        <v>-191.58320000000001</v>
      </c>
      <c r="K3271">
        <v>1.102743</v>
      </c>
      <c r="L3271">
        <v>184.0984</v>
      </c>
      <c r="M3271">
        <v>3.292846E-2</v>
      </c>
      <c r="N3271">
        <v>0</v>
      </c>
      <c r="O3271">
        <v>-0.99936669999999905</v>
      </c>
      <c r="P3271">
        <v>-1.7448249999999998E-2</v>
      </c>
      <c r="Q3271">
        <v>2.7572880000000001E-2</v>
      </c>
      <c r="R3271">
        <v>-0.99946759999999901</v>
      </c>
      <c r="S3271">
        <v>-0.13742070000000001</v>
      </c>
      <c r="T3271">
        <v>-0.15798280000000001</v>
      </c>
      <c r="U3271">
        <v>-3.0037229999999999</v>
      </c>
      <c r="V3271">
        <v>5.0571049999999999E-2</v>
      </c>
      <c r="W3271">
        <v>4.0775739999999998E-2</v>
      </c>
      <c r="X3271">
        <v>0.99788770000000004</v>
      </c>
      <c r="Y3271">
        <v>7.8511739999999997E-2</v>
      </c>
      <c r="Z3271">
        <v>5.2371939999999999E-2</v>
      </c>
      <c r="AA3271">
        <v>0.99553659999999999</v>
      </c>
      <c r="AB3271">
        <v>27</v>
      </c>
      <c r="AC3271">
        <v>-0.96299999999999397</v>
      </c>
      <c r="AD3271">
        <v>-1.102745430191</v>
      </c>
      <c r="AE3271">
        <v>-20.798999999999999</v>
      </c>
      <c r="AF3271">
        <v>1.6428109101669399</v>
      </c>
      <c r="AG3271">
        <v>-1.102745430191</v>
      </c>
      <c r="AH3271">
        <v>20.697947780199701</v>
      </c>
      <c r="AI3271">
        <v>93.040178528844393</v>
      </c>
      <c r="AJ3271">
        <v>85.461906626784</v>
      </c>
      <c r="AK3271">
        <v>20.792304285053302</v>
      </c>
    </row>
    <row r="3272" spans="1:37" x14ac:dyDescent="0.2">
      <c r="A3272" t="str">
        <f>"20200111153501171"</f>
        <v>20200111153501171</v>
      </c>
      <c r="B3272" t="str">
        <f>"1578728101159219"</f>
        <v>1578728101159219</v>
      </c>
      <c r="C3272" t="s">
        <v>37</v>
      </c>
      <c r="D3272">
        <v>4.8099400000000001</v>
      </c>
      <c r="E3272">
        <v>0.5112833</v>
      </c>
      <c r="F3272" t="s">
        <v>39</v>
      </c>
      <c r="G3272">
        <v>-192.5932</v>
      </c>
      <c r="H3272" s="1">
        <v>-2.313663E-6</v>
      </c>
      <c r="I3272">
        <v>163.0265</v>
      </c>
      <c r="J3272">
        <v>-191.57990000000001</v>
      </c>
      <c r="K3272">
        <v>1.1027639999999901</v>
      </c>
      <c r="L3272">
        <v>183.93860000000001</v>
      </c>
      <c r="M3272">
        <v>3.1172640000000001E-2</v>
      </c>
      <c r="N3272">
        <v>0</v>
      </c>
      <c r="O3272">
        <v>-0.999422899999999</v>
      </c>
      <c r="P3272">
        <v>-1.9812980000000001E-2</v>
      </c>
      <c r="Q3272">
        <v>2.7912719999999999E-2</v>
      </c>
      <c r="R3272">
        <v>-0.99941409999999997</v>
      </c>
      <c r="S3272">
        <v>-0.1439667</v>
      </c>
      <c r="T3272">
        <v>-0.15717590000000001</v>
      </c>
      <c r="U3272">
        <v>-3.0034179999999999</v>
      </c>
      <c r="V3272">
        <v>5.1178960000000003E-2</v>
      </c>
      <c r="W3272">
        <v>4.111211E-2</v>
      </c>
      <c r="X3272">
        <v>0.99784289999999998</v>
      </c>
      <c r="Y3272">
        <v>7.8930609999999998E-2</v>
      </c>
      <c r="Z3272">
        <v>5.2111350000000001E-2</v>
      </c>
      <c r="AA3272">
        <v>0.99551710000000004</v>
      </c>
      <c r="AB3272">
        <v>27</v>
      </c>
      <c r="AC3272">
        <v>-1.0132999999999801</v>
      </c>
      <c r="AD3272">
        <v>-1.1027663136629999</v>
      </c>
      <c r="AE3272">
        <v>-20.912099999999999</v>
      </c>
      <c r="AF3272">
        <v>1.6601464579926799</v>
      </c>
      <c r="AG3272">
        <v>-1.1027663136629999</v>
      </c>
      <c r="AH3272">
        <v>20.812604691924601</v>
      </c>
      <c r="AI3272">
        <v>93.023424041156304</v>
      </c>
      <c r="AJ3272">
        <v>85.439378420311101</v>
      </c>
      <c r="AK3272">
        <v>20.907814181947799</v>
      </c>
    </row>
    <row r="3273" spans="1:37" x14ac:dyDescent="0.2">
      <c r="A3273" t="str">
        <f>"20200111153501188"</f>
        <v>20200111153501188</v>
      </c>
      <c r="B3273" t="str">
        <f>"1578728101179715"</f>
        <v>1578728101179715</v>
      </c>
      <c r="C3273" t="s">
        <v>37</v>
      </c>
      <c r="D3273">
        <v>4.7995650000000003</v>
      </c>
      <c r="E3273">
        <v>0.51083579999999995</v>
      </c>
      <c r="F3273" t="s">
        <v>39</v>
      </c>
      <c r="G3273">
        <v>-192.6353</v>
      </c>
      <c r="H3273" s="1">
        <v>-2.20579499999999E-6</v>
      </c>
      <c r="I3273">
        <v>162.77459999999999</v>
      </c>
      <c r="J3273">
        <v>-191.57599999999999</v>
      </c>
      <c r="K3273">
        <v>1.102786</v>
      </c>
      <c r="L3273">
        <v>183.7364</v>
      </c>
      <c r="M3273">
        <v>2.8968480000000001E-2</v>
      </c>
      <c r="N3273">
        <v>0</v>
      </c>
      <c r="O3273">
        <v>-0.99948930000000002</v>
      </c>
      <c r="P3273">
        <v>-2.2894009999999999E-2</v>
      </c>
      <c r="Q3273">
        <v>2.8375709999999998E-2</v>
      </c>
      <c r="R3273">
        <v>-0.99933519999999898</v>
      </c>
      <c r="S3273">
        <v>-0.14976500000000001</v>
      </c>
      <c r="T3273">
        <v>-0.15648049999999999</v>
      </c>
      <c r="U3273">
        <v>-3.0031430000000001</v>
      </c>
      <c r="V3273">
        <v>5.2054690000000001E-2</v>
      </c>
      <c r="W3273">
        <v>4.1569000000000002E-2</v>
      </c>
      <c r="X3273">
        <v>0.99777870000000002</v>
      </c>
      <c r="Y3273">
        <v>7.8654589999999996E-2</v>
      </c>
      <c r="Z3273">
        <v>5.1889440000000002E-2</v>
      </c>
      <c r="AA3273">
        <v>0.99555059999999995</v>
      </c>
      <c r="AB3273">
        <v>27</v>
      </c>
      <c r="AC3273">
        <v>-1.0592999999999999</v>
      </c>
      <c r="AD3273">
        <v>-1.102788205795</v>
      </c>
      <c r="AE3273">
        <v>-20.9618</v>
      </c>
      <c r="AF3273">
        <v>1.66155504031986</v>
      </c>
      <c r="AG3273">
        <v>-1.102788205795</v>
      </c>
      <c r="AH3273">
        <v>20.864710929925401</v>
      </c>
      <c r="AI3273">
        <v>93.015978644044907</v>
      </c>
      <c r="AJ3273">
        <v>85.446876267939302</v>
      </c>
      <c r="AK3273">
        <v>20.959796496345099</v>
      </c>
    </row>
    <row r="3274" spans="1:37" x14ac:dyDescent="0.2">
      <c r="A3274" t="str">
        <f>"20200111153501203"</f>
        <v>20200111153501203</v>
      </c>
      <c r="B3274" t="str">
        <f>"1578728101199235"</f>
        <v>1578728101199235</v>
      </c>
      <c r="C3274" t="s">
        <v>37</v>
      </c>
      <c r="D3274">
        <v>4.7868820000000003</v>
      </c>
      <c r="E3274">
        <v>0.51035699999999995</v>
      </c>
      <c r="F3274" t="s">
        <v>39</v>
      </c>
      <c r="G3274">
        <v>-192.6833</v>
      </c>
      <c r="H3274" s="1">
        <v>-2.0096670000000002E-6</v>
      </c>
      <c r="I3274">
        <v>162.33269999999999</v>
      </c>
      <c r="J3274">
        <v>-191.57299999999901</v>
      </c>
      <c r="K3274">
        <v>1.1028100000000001</v>
      </c>
      <c r="L3274">
        <v>183.5668</v>
      </c>
      <c r="M3274">
        <v>2.7137359999999999E-2</v>
      </c>
      <c r="N3274">
        <v>0</v>
      </c>
      <c r="O3274">
        <v>-0.99954089999999995</v>
      </c>
      <c r="P3274">
        <v>-2.502998E-2</v>
      </c>
      <c r="Q3274">
        <v>2.8236290000000001E-2</v>
      </c>
      <c r="R3274">
        <v>-0.99928809999999901</v>
      </c>
      <c r="S3274">
        <v>-0.15534970000000001</v>
      </c>
      <c r="T3274">
        <v>-0.15471660000000001</v>
      </c>
      <c r="U3274">
        <v>-3.002853</v>
      </c>
      <c r="V3274">
        <v>5.235679E-2</v>
      </c>
      <c r="W3274">
        <v>4.1428449999999999E-2</v>
      </c>
      <c r="X3274">
        <v>0.99776880000000001</v>
      </c>
      <c r="Y3274">
        <v>7.8681340000000002E-2</v>
      </c>
      <c r="Z3274">
        <v>5.1312499999999997E-2</v>
      </c>
      <c r="AA3274">
        <v>0.99557830000000003</v>
      </c>
      <c r="AB3274">
        <v>27</v>
      </c>
      <c r="AC3274">
        <v>-1.11030000000002</v>
      </c>
      <c r="AD3274">
        <v>-1.102812009667</v>
      </c>
      <c r="AE3274">
        <v>-21.234100000000002</v>
      </c>
      <c r="AF3274">
        <v>1.68165712125357</v>
      </c>
      <c r="AG3274">
        <v>-1.102812009667</v>
      </c>
      <c r="AH3274">
        <v>21.139280714123501</v>
      </c>
      <c r="AI3274">
        <v>92.976959952680801</v>
      </c>
      <c r="AJ3274">
        <v>85.451625155765697</v>
      </c>
      <c r="AK3274">
        <v>21.234720485860901</v>
      </c>
    </row>
    <row r="3275" spans="1:37" x14ac:dyDescent="0.2">
      <c r="A3275" t="str">
        <f>"20200111153501216"</f>
        <v>20200111153501216</v>
      </c>
      <c r="B3275" t="str">
        <f>"1578728101208995"</f>
        <v>1578728101208995</v>
      </c>
      <c r="C3275" t="s">
        <v>37</v>
      </c>
      <c r="D3275">
        <v>4.7860529999999999</v>
      </c>
      <c r="E3275">
        <v>0.51008549999999997</v>
      </c>
      <c r="F3275" t="s">
        <v>39</v>
      </c>
      <c r="G3275">
        <v>-192.6944</v>
      </c>
      <c r="H3275" s="1">
        <v>-1.9644569999999999E-6</v>
      </c>
      <c r="I3275">
        <v>162.23079999999999</v>
      </c>
      <c r="J3275">
        <v>-191.5703</v>
      </c>
      <c r="K3275">
        <v>1.102833</v>
      </c>
      <c r="L3275">
        <v>183.3929</v>
      </c>
      <c r="M3275">
        <v>2.527896E-2</v>
      </c>
      <c r="N3275">
        <v>0</v>
      </c>
      <c r="O3275">
        <v>-0.99958939999999996</v>
      </c>
      <c r="P3275">
        <v>-2.7288449999999999E-2</v>
      </c>
      <c r="Q3275">
        <v>2.8078769999999999E-2</v>
      </c>
      <c r="R3275">
        <v>-0.99923340000000005</v>
      </c>
      <c r="S3275">
        <v>-0.15780639999999899</v>
      </c>
      <c r="T3275">
        <v>-0.15519769999999999</v>
      </c>
      <c r="U3275">
        <v>-3.00259399999999</v>
      </c>
      <c r="V3275">
        <v>5.2753969999999997E-2</v>
      </c>
      <c r="W3275">
        <v>4.1268859999999997E-2</v>
      </c>
      <c r="X3275">
        <v>0.99775449999999999</v>
      </c>
      <c r="Y3275">
        <v>7.7644240000000003E-2</v>
      </c>
      <c r="Z3275">
        <v>5.1480869999999998E-2</v>
      </c>
      <c r="AA3275">
        <v>0.99565110000000001</v>
      </c>
      <c r="AB3275">
        <v>27</v>
      </c>
      <c r="AC3275">
        <v>-1.1240999999999901</v>
      </c>
      <c r="AD3275">
        <v>-1.1028349644569999</v>
      </c>
      <c r="AE3275">
        <v>-21.162099999999999</v>
      </c>
      <c r="AF3275">
        <v>1.6542652092802299</v>
      </c>
      <c r="AG3275">
        <v>-1.1028349644569999</v>
      </c>
      <c r="AH3275">
        <v>21.069856189415599</v>
      </c>
      <c r="AI3275">
        <v>92.987056325631798</v>
      </c>
      <c r="AJ3275">
        <v>85.510725191640503</v>
      </c>
      <c r="AK3275">
        <v>21.163451471442901</v>
      </c>
    </row>
    <row r="3276" spans="1:37" x14ac:dyDescent="0.2">
      <c r="A3276" t="str">
        <f>"20200111153501231"</f>
        <v>20200111153501231</v>
      </c>
      <c r="B3276" t="str">
        <f>"1578728101219731"</f>
        <v>1578728101219731</v>
      </c>
      <c r="C3276" t="s">
        <v>37</v>
      </c>
      <c r="D3276">
        <v>4.7912349999999897</v>
      </c>
      <c r="E3276">
        <v>0.50982299999999903</v>
      </c>
      <c r="F3276" t="s">
        <v>39</v>
      </c>
      <c r="G3276">
        <v>-192.7199</v>
      </c>
      <c r="H3276" s="1">
        <v>-1.928851E-6</v>
      </c>
      <c r="I3276">
        <v>162.14109999999999</v>
      </c>
      <c r="J3276">
        <v>-191.56799999999899</v>
      </c>
      <c r="K3276">
        <v>1.1028530000000001</v>
      </c>
      <c r="L3276">
        <v>183.22309999999999</v>
      </c>
      <c r="M3276">
        <v>2.3485579999999999E-2</v>
      </c>
      <c r="N3276">
        <v>0</v>
      </c>
      <c r="O3276">
        <v>-0.99963310000000005</v>
      </c>
      <c r="P3276">
        <v>-2.9620400000000002E-2</v>
      </c>
      <c r="Q3276">
        <v>2.7668499999999999E-2</v>
      </c>
      <c r="R3276">
        <v>-0.99917829999999996</v>
      </c>
      <c r="S3276">
        <v>-0.1623993</v>
      </c>
      <c r="T3276">
        <v>-0.15579689999999999</v>
      </c>
      <c r="U3276">
        <v>-3.0022279999999899</v>
      </c>
      <c r="V3276">
        <v>5.3288549999999997E-2</v>
      </c>
      <c r="W3276">
        <v>4.0856259999999998E-2</v>
      </c>
      <c r="X3276">
        <v>0.99774300000000005</v>
      </c>
      <c r="Y3276">
        <v>7.7380229999999994E-2</v>
      </c>
      <c r="Z3276">
        <v>5.1687199999999899E-2</v>
      </c>
      <c r="AA3276">
        <v>0.99566100000000002</v>
      </c>
      <c r="AB3276">
        <v>27</v>
      </c>
      <c r="AC3276">
        <v>-1.1519000000000099</v>
      </c>
      <c r="AD3276">
        <v>-1.1028549288509999</v>
      </c>
      <c r="AE3276">
        <v>-21.081999999999901</v>
      </c>
      <c r="AF3276">
        <v>1.6422694268550699</v>
      </c>
      <c r="AG3276">
        <v>-1.1028549288509999</v>
      </c>
      <c r="AH3276">
        <v>20.991852954540999</v>
      </c>
      <c r="AI3276">
        <v>92.998255039653799</v>
      </c>
      <c r="AJ3276">
        <v>85.526653162605498</v>
      </c>
      <c r="AK3276">
        <v>21.084857797233202</v>
      </c>
    </row>
    <row r="3277" spans="1:37" x14ac:dyDescent="0.2">
      <c r="A3277" t="str">
        <f>"20200111153501247"</f>
        <v>20200111153501247</v>
      </c>
      <c r="B3277" t="str">
        <f>"1578728101239252"</f>
        <v>1578728101239252</v>
      </c>
      <c r="C3277" t="s">
        <v>37</v>
      </c>
      <c r="D3277">
        <v>4.9004750000000001</v>
      </c>
      <c r="E3277">
        <v>0.5099766</v>
      </c>
      <c r="F3277" t="s">
        <v>39</v>
      </c>
      <c r="G3277">
        <v>-192.74610000000001</v>
      </c>
      <c r="H3277" s="1">
        <v>-1.9098060000000001E-6</v>
      </c>
      <c r="I3277">
        <v>162.08600000000001</v>
      </c>
      <c r="J3277">
        <v>-191.5658</v>
      </c>
      <c r="K3277">
        <v>1.1028819999999999</v>
      </c>
      <c r="L3277">
        <v>183.03899999999999</v>
      </c>
      <c r="M3277">
        <v>2.156104E-2</v>
      </c>
      <c r="N3277">
        <v>0</v>
      </c>
      <c r="O3277">
        <v>-0.99967689999999998</v>
      </c>
      <c r="P3277">
        <v>-3.1755209999999999E-2</v>
      </c>
      <c r="Q3277">
        <v>2.7733310000000001E-2</v>
      </c>
      <c r="R3277">
        <v>-0.99911139999999998</v>
      </c>
      <c r="S3277">
        <v>-0.16731260000000001</v>
      </c>
      <c r="T3277">
        <v>-0.1566256</v>
      </c>
      <c r="U3277">
        <v>-3.001846</v>
      </c>
      <c r="V3277">
        <v>5.349723E-2</v>
      </c>
      <c r="W3277">
        <v>4.092105E-2</v>
      </c>
      <c r="X3277">
        <v>0.99772919999999998</v>
      </c>
      <c r="Y3277">
        <v>7.7091569999999998E-2</v>
      </c>
      <c r="Z3277">
        <v>5.1969609999999999E-2</v>
      </c>
      <c r="AA3277">
        <v>0.99566860000000001</v>
      </c>
      <c r="AB3277">
        <v>27</v>
      </c>
      <c r="AC3277">
        <v>-1.1803000000000099</v>
      </c>
      <c r="AD3277">
        <v>-1.1028839098059999</v>
      </c>
      <c r="AE3277">
        <v>-20.952999999999999</v>
      </c>
      <c r="AF3277">
        <v>1.62734060175031</v>
      </c>
      <c r="AG3277">
        <v>-1.1028839098059999</v>
      </c>
      <c r="AH3277">
        <v>20.865052474986001</v>
      </c>
      <c r="AI3277">
        <v>93.016577636163404</v>
      </c>
      <c r="AJ3277">
        <v>85.540323884859404</v>
      </c>
      <c r="AK3277">
        <v>20.9574570293377</v>
      </c>
    </row>
    <row r="3278" spans="1:37" x14ac:dyDescent="0.2">
      <c r="A3278" t="str">
        <f>"20200111153501259"</f>
        <v>20200111153501259</v>
      </c>
      <c r="B3278" t="str">
        <f>"1578728101249011"</f>
        <v>1578728101249011</v>
      </c>
      <c r="C3278" t="s">
        <v>37</v>
      </c>
      <c r="D3278">
        <v>4.7470080000000001</v>
      </c>
      <c r="E3278">
        <v>0.55327819999999905</v>
      </c>
      <c r="F3278" t="s">
        <v>39</v>
      </c>
      <c r="G3278">
        <v>-192.78899999999999</v>
      </c>
      <c r="H3278" s="1">
        <v>-1.9091110000000002E-6</v>
      </c>
      <c r="I3278">
        <v>162.06039999999999</v>
      </c>
      <c r="J3278">
        <v>-191.5642</v>
      </c>
      <c r="K3278">
        <v>1.1029059999999999</v>
      </c>
      <c r="L3278">
        <v>182.88749999999999</v>
      </c>
      <c r="M3278">
        <v>1.999136E-2</v>
      </c>
      <c r="N3278">
        <v>0</v>
      </c>
      <c r="O3278">
        <v>-0.99970939999999997</v>
      </c>
      <c r="P3278">
        <v>-3.3603260000000003E-2</v>
      </c>
      <c r="Q3278">
        <v>2.7623829999999999E-2</v>
      </c>
      <c r="R3278">
        <v>-0.99905390000000005</v>
      </c>
      <c r="S3278">
        <v>-0.17500309999999999</v>
      </c>
      <c r="T3278">
        <v>-0.1577953</v>
      </c>
      <c r="U3278">
        <v>-3.0015109999999998</v>
      </c>
      <c r="V3278">
        <v>5.3773500000000002E-2</v>
      </c>
      <c r="W3278">
        <v>4.0810510000000001E-2</v>
      </c>
      <c r="X3278">
        <v>0.99771889999999996</v>
      </c>
      <c r="Y3278">
        <v>7.8073879999999998E-2</v>
      </c>
      <c r="Z3278">
        <v>5.2359240000000001E-2</v>
      </c>
      <c r="AA3278">
        <v>0.99557169999999895</v>
      </c>
      <c r="AB3278">
        <v>27</v>
      </c>
      <c r="AC3278">
        <v>-1.2248000000000101</v>
      </c>
      <c r="AD3278">
        <v>-1.1029079091109999</v>
      </c>
      <c r="AE3278">
        <v>-20.827100000000002</v>
      </c>
      <c r="AF3278">
        <v>1.6363819656398899</v>
      </c>
      <c r="AG3278">
        <v>-1.1029079091109999</v>
      </c>
      <c r="AH3278">
        <v>20.740487749341298</v>
      </c>
      <c r="AI3278">
        <v>93.034513400408898</v>
      </c>
      <c r="AJ3278">
        <v>85.488825480932107</v>
      </c>
      <c r="AK3278">
        <v>20.834154263469099</v>
      </c>
    </row>
    <row r="3279" spans="1:37" x14ac:dyDescent="0.2">
      <c r="A3279" t="str">
        <f>"20200111153501272"</f>
        <v>20200111153501272</v>
      </c>
      <c r="B3279" t="str">
        <f>"1578728101269507"</f>
        <v>1578728101269507</v>
      </c>
      <c r="C3279" t="s">
        <v>37</v>
      </c>
      <c r="D3279">
        <v>4.8491589999999896</v>
      </c>
      <c r="E3279">
        <v>0.56959589999999904</v>
      </c>
      <c r="F3279" t="s">
        <v>39</v>
      </c>
      <c r="G3279">
        <v>-194.47810000000001</v>
      </c>
      <c r="H3279" s="1">
        <v>-4.2606709999999902E-6</v>
      </c>
      <c r="I3279">
        <v>166.31270000000001</v>
      </c>
      <c r="J3279">
        <v>-191.56280000000001</v>
      </c>
      <c r="K3279">
        <v>1.10293</v>
      </c>
      <c r="L3279">
        <v>182.7251</v>
      </c>
      <c r="M3279">
        <v>1.8335839999999999E-2</v>
      </c>
      <c r="N3279">
        <v>0</v>
      </c>
      <c r="O3279">
        <v>-0.99974099999999999</v>
      </c>
      <c r="P3279">
        <v>-3.528535E-2</v>
      </c>
      <c r="Q3279">
        <v>2.7692089999999999E-2</v>
      </c>
      <c r="R3279">
        <v>-0.99899359999999904</v>
      </c>
      <c r="S3279">
        <v>-0.52575680000000002</v>
      </c>
      <c r="T3279">
        <v>-0.1990027</v>
      </c>
      <c r="U3279">
        <v>-2.9906769999999998</v>
      </c>
      <c r="V3279">
        <v>5.3798949999999998E-2</v>
      </c>
      <c r="W3279">
        <v>4.0879119999999998E-2</v>
      </c>
      <c r="X3279">
        <v>0.99771469999999995</v>
      </c>
      <c r="Y3279">
        <v>0.19080529999999901</v>
      </c>
      <c r="Z3279">
        <v>6.5269190000000005E-2</v>
      </c>
      <c r="AA3279">
        <v>0.97945559999999998</v>
      </c>
      <c r="AB3279">
        <v>27</v>
      </c>
      <c r="AC3279">
        <v>-2.9152999999999998</v>
      </c>
      <c r="AD3279">
        <v>-1.102934260671</v>
      </c>
      <c r="AE3279">
        <v>-16.412399999999899</v>
      </c>
      <c r="AF3279">
        <v>3.2017553836703301</v>
      </c>
      <c r="AG3279">
        <v>-1.102934260671</v>
      </c>
      <c r="AH3279">
        <v>16.284887663238901</v>
      </c>
      <c r="AI3279">
        <v>93.802013986760201</v>
      </c>
      <c r="AJ3279">
        <v>78.877006386549198</v>
      </c>
      <c r="AK3279">
        <v>16.633257880659901</v>
      </c>
    </row>
    <row r="3280" spans="1:37" x14ac:dyDescent="0.2">
      <c r="A3280" t="str">
        <f>"20200111153501288"</f>
        <v>20200111153501288</v>
      </c>
      <c r="B3280" t="str">
        <f>"1578728101279267"</f>
        <v>1578728101279267</v>
      </c>
      <c r="C3280" t="s">
        <v>37</v>
      </c>
      <c r="D3280">
        <v>4.7883040000000001</v>
      </c>
      <c r="E3280">
        <v>0.57217450000000003</v>
      </c>
      <c r="F3280" t="s">
        <v>39</v>
      </c>
      <c r="G3280">
        <v>-195.5942</v>
      </c>
      <c r="H3280" s="1">
        <v>-3.7685969999999999E-6</v>
      </c>
      <c r="I3280">
        <v>164.51570000000001</v>
      </c>
      <c r="J3280">
        <v>-191.5616</v>
      </c>
      <c r="K3280">
        <v>1.1029549999999999</v>
      </c>
      <c r="L3280">
        <v>182.54679999999999</v>
      </c>
      <c r="M3280">
        <v>1.6536559999999999E-2</v>
      </c>
      <c r="N3280">
        <v>0</v>
      </c>
      <c r="O3280">
        <v>-0.99977249999999995</v>
      </c>
      <c r="P3280">
        <v>-3.7026490000000002E-2</v>
      </c>
      <c r="Q3280">
        <v>2.7698130000000001E-2</v>
      </c>
      <c r="R3280">
        <v>-0.99893050000000005</v>
      </c>
      <c r="S3280">
        <v>-0.66078190000000003</v>
      </c>
      <c r="T3280">
        <v>-0.18078169999999999</v>
      </c>
      <c r="U3280">
        <v>-2.9847109999999999</v>
      </c>
      <c r="V3280">
        <v>5.3739460000000003E-2</v>
      </c>
      <c r="W3280">
        <v>4.0886749999999999E-2</v>
      </c>
      <c r="X3280">
        <v>0.99771759999999998</v>
      </c>
      <c r="Y3280">
        <v>0.23189679999999999</v>
      </c>
      <c r="Z3280">
        <v>5.8911289999999998E-2</v>
      </c>
      <c r="AA3280">
        <v>0.97095489999999995</v>
      </c>
      <c r="AB3280">
        <v>27</v>
      </c>
      <c r="AC3280">
        <v>-4.0326000000000004</v>
      </c>
      <c r="AD3280">
        <v>-1.1029587685969999</v>
      </c>
      <c r="AE3280">
        <v>-18.031099999999899</v>
      </c>
      <c r="AF3280">
        <v>4.3148718495876501</v>
      </c>
      <c r="AG3280">
        <v>-1.1029587685969999</v>
      </c>
      <c r="AH3280">
        <v>17.898162433279001</v>
      </c>
      <c r="AI3280">
        <v>93.428368056820005</v>
      </c>
      <c r="AJ3280">
        <v>76.445823654502405</v>
      </c>
      <c r="AK3280">
        <v>18.443938180649699</v>
      </c>
    </row>
    <row r="3281" spans="1:37" x14ac:dyDescent="0.2">
      <c r="A3281" t="str">
        <f>"20200111153501302"</f>
        <v>20200111153501302</v>
      </c>
      <c r="B3281" t="str">
        <f>"1578728101299763"</f>
        <v>1578728101299763</v>
      </c>
      <c r="C3281" t="s">
        <v>37</v>
      </c>
      <c r="D3281">
        <v>4.7936649999999998</v>
      </c>
      <c r="E3281">
        <v>0.57409390000000005</v>
      </c>
      <c r="F3281" t="s">
        <v>39</v>
      </c>
      <c r="G3281">
        <v>-195.8563</v>
      </c>
      <c r="H3281" s="1">
        <v>-3.5769999999999998E-6</v>
      </c>
      <c r="I3281">
        <v>163.89570000000001</v>
      </c>
      <c r="J3281">
        <v>-191.56059999999999</v>
      </c>
      <c r="K3281">
        <v>1.102984</v>
      </c>
      <c r="L3281">
        <v>182.37599999999901</v>
      </c>
      <c r="M3281">
        <v>1.483144E-2</v>
      </c>
      <c r="N3281">
        <v>0</v>
      </c>
      <c r="O3281">
        <v>-0.99979959999999901</v>
      </c>
      <c r="P3281">
        <v>-3.9096199999999998E-2</v>
      </c>
      <c r="Q3281">
        <v>2.7320649999999998E-2</v>
      </c>
      <c r="R3281">
        <v>-0.99886229999999998</v>
      </c>
      <c r="S3281">
        <v>-0.68681340000000002</v>
      </c>
      <c r="T3281">
        <v>-0.1763836</v>
      </c>
      <c r="U3281">
        <v>-2.982666</v>
      </c>
      <c r="V3281">
        <v>5.4100959999999997E-2</v>
      </c>
      <c r="W3281">
        <v>4.0508450000000001E-2</v>
      </c>
      <c r="X3281">
        <v>0.99771339999999997</v>
      </c>
      <c r="Y3281">
        <v>0.23845520000000001</v>
      </c>
      <c r="Z3281">
        <v>5.7423019999999998E-2</v>
      </c>
      <c r="AA3281">
        <v>0.96945429999999999</v>
      </c>
      <c r="AB3281">
        <v>27</v>
      </c>
      <c r="AC3281">
        <v>-4.2957000000000098</v>
      </c>
      <c r="AD3281">
        <v>-1.1029875769999999</v>
      </c>
      <c r="AE3281">
        <v>-18.4802999999999</v>
      </c>
      <c r="AF3281">
        <v>4.5539509820487796</v>
      </c>
      <c r="AG3281">
        <v>-1.1029875769999999</v>
      </c>
      <c r="AH3281">
        <v>18.3525249840479</v>
      </c>
      <c r="AI3281">
        <v>93.338341874912501</v>
      </c>
      <c r="AJ3281">
        <v>76.064232730380695</v>
      </c>
      <c r="AK3281">
        <v>18.941230805626699</v>
      </c>
    </row>
    <row r="3282" spans="1:37" x14ac:dyDescent="0.2">
      <c r="A3282" t="str">
        <f>"20200111153501314"</f>
        <v>20200111153501314</v>
      </c>
      <c r="B3282" t="str">
        <f>"1578728101309524"</f>
        <v>1578728101309524</v>
      </c>
      <c r="C3282" t="s">
        <v>37</v>
      </c>
      <c r="D3282">
        <v>4.8002219999999998</v>
      </c>
      <c r="E3282">
        <v>0.57456759999999996</v>
      </c>
      <c r="F3282" t="s">
        <v>39</v>
      </c>
      <c r="G3282">
        <v>-195.89869999999999</v>
      </c>
      <c r="H3282" s="1">
        <v>-3.6710230000000001E-6</v>
      </c>
      <c r="I3282">
        <v>164.12090000000001</v>
      </c>
      <c r="J3282">
        <v>-191.5599</v>
      </c>
      <c r="K3282">
        <v>1.1030089999999999</v>
      </c>
      <c r="L3282">
        <v>182.2216</v>
      </c>
      <c r="M3282">
        <v>1.331122E-2</v>
      </c>
      <c r="N3282">
        <v>0</v>
      </c>
      <c r="O3282">
        <v>-0.99982070000000001</v>
      </c>
      <c r="P3282">
        <v>-4.066463E-2</v>
      </c>
      <c r="Q3282">
        <v>2.7049500000000001E-2</v>
      </c>
      <c r="R3282">
        <v>-0.99880669999999905</v>
      </c>
      <c r="S3282">
        <v>-0.70831299999999997</v>
      </c>
      <c r="T3282">
        <v>-0.1800911</v>
      </c>
      <c r="U3282">
        <v>-2.9806059999999999</v>
      </c>
      <c r="V3282">
        <v>5.4147029999999999E-2</v>
      </c>
      <c r="W3282">
        <v>4.0238309999999999E-2</v>
      </c>
      <c r="X3282">
        <v>0.99772190000000005</v>
      </c>
      <c r="Y3282">
        <v>0.243735799999999</v>
      </c>
      <c r="Z3282">
        <v>5.8580689999999998E-2</v>
      </c>
      <c r="AA3282">
        <v>0.96807089999999996</v>
      </c>
      <c r="AB3282">
        <v>27</v>
      </c>
      <c r="AC3282">
        <v>-4.3387999999999902</v>
      </c>
      <c r="AD3282">
        <v>-1.1030126710229999</v>
      </c>
      <c r="AE3282">
        <v>-18.1006999999999</v>
      </c>
      <c r="AF3282">
        <v>4.5633550154022</v>
      </c>
      <c r="AG3282">
        <v>-1.1030126710229999</v>
      </c>
      <c r="AH3282">
        <v>17.9782034800802</v>
      </c>
      <c r="AI3282">
        <v>93.403200261665901</v>
      </c>
      <c r="AJ3282">
        <v>75.757565757602293</v>
      </c>
      <c r="AK3282">
        <v>18.5810830233386</v>
      </c>
    </row>
    <row r="3283" spans="1:37" x14ac:dyDescent="0.2">
      <c r="A3283" t="str">
        <f>"20200111153501327"</f>
        <v>20200111153501327</v>
      </c>
      <c r="B3283" t="str">
        <f>"1578728101319283"</f>
        <v>1578728101319283</v>
      </c>
      <c r="C3283" t="s">
        <v>37</v>
      </c>
      <c r="D3283">
        <v>4.8058009999999998</v>
      </c>
      <c r="E3283">
        <v>0.57493640000000001</v>
      </c>
      <c r="F3283" t="s">
        <v>39</v>
      </c>
      <c r="G3283">
        <v>-196.02109999999999</v>
      </c>
      <c r="H3283" s="1">
        <v>-3.52303E-6</v>
      </c>
      <c r="I3283">
        <v>163.679</v>
      </c>
      <c r="J3283">
        <v>-191.55959999999999</v>
      </c>
      <c r="K3283">
        <v>1.10303</v>
      </c>
      <c r="L3283">
        <v>182.0761</v>
      </c>
      <c r="M3283">
        <v>1.1895620000000001E-2</v>
      </c>
      <c r="N3283">
        <v>0</v>
      </c>
      <c r="O3283">
        <v>-0.99983880000000003</v>
      </c>
      <c r="P3283">
        <v>-4.2448079999999999E-2</v>
      </c>
      <c r="Q3283">
        <v>2.663981E-2</v>
      </c>
      <c r="R3283">
        <v>-0.99874390000000002</v>
      </c>
      <c r="S3283">
        <v>-0.71676640000000003</v>
      </c>
      <c r="T3283">
        <v>-0.17721879999999901</v>
      </c>
      <c r="U3283">
        <v>-2.9792019999999999</v>
      </c>
      <c r="V3283">
        <v>5.4512159999999997E-2</v>
      </c>
      <c r="W3283">
        <v>3.9827609999999999E-2</v>
      </c>
      <c r="X3283">
        <v>0.99771849999999995</v>
      </c>
      <c r="Y3283">
        <v>0.24507609999999999</v>
      </c>
      <c r="Z3283">
        <v>5.7648900000000003E-2</v>
      </c>
      <c r="AA3283">
        <v>0.96778829999999905</v>
      </c>
      <c r="AB3283">
        <v>27</v>
      </c>
      <c r="AC3283">
        <v>-4.4615</v>
      </c>
      <c r="AD3283">
        <v>-1.1030335230299999</v>
      </c>
      <c r="AE3283">
        <v>-18.397099999999899</v>
      </c>
      <c r="AF3283">
        <v>4.6642132312397102</v>
      </c>
      <c r="AG3283">
        <v>-1.1030335230299999</v>
      </c>
      <c r="AH3283">
        <v>18.280655248598499</v>
      </c>
      <c r="AI3283">
        <v>93.346035295322906</v>
      </c>
      <c r="AJ3283">
        <v>75.686661169016205</v>
      </c>
      <c r="AK3283">
        <v>18.8985164586406</v>
      </c>
    </row>
    <row r="3284" spans="1:37" x14ac:dyDescent="0.2">
      <c r="A3284" t="str">
        <f>"20200111153501343"</f>
        <v>20200111153501343</v>
      </c>
      <c r="B3284" t="str">
        <f>"1578728101339778"</f>
        <v>1578728101339778</v>
      </c>
      <c r="C3284" t="s">
        <v>37</v>
      </c>
      <c r="D3284">
        <v>4.7803059999999897</v>
      </c>
      <c r="E3284">
        <v>0.57511140000000005</v>
      </c>
      <c r="F3284" t="s">
        <v>39</v>
      </c>
      <c r="G3284">
        <v>-196.18469999999999</v>
      </c>
      <c r="H3284" s="1">
        <v>-3.2928789999999999E-6</v>
      </c>
      <c r="I3284">
        <v>163.07640000000001</v>
      </c>
      <c r="J3284">
        <v>-191.55930000000001</v>
      </c>
      <c r="K3284">
        <v>1.103062</v>
      </c>
      <c r="L3284">
        <v>181.88380000000001</v>
      </c>
      <c r="M3284">
        <v>1.0044269999999999E-2</v>
      </c>
      <c r="N3284">
        <v>0</v>
      </c>
      <c r="O3284">
        <v>-0.9998591</v>
      </c>
      <c r="P3284">
        <v>-4.4630679999999999E-2</v>
      </c>
      <c r="Q3284">
        <v>2.6240099999999999E-2</v>
      </c>
      <c r="R3284">
        <v>-0.99865899999999996</v>
      </c>
      <c r="S3284">
        <v>-0.72483830000000005</v>
      </c>
      <c r="T3284">
        <v>-0.17286489999999999</v>
      </c>
      <c r="U3284">
        <v>-2.9775849999999999</v>
      </c>
      <c r="V3284">
        <v>5.4840769999999997E-2</v>
      </c>
      <c r="W3284">
        <v>3.9427379999999998E-2</v>
      </c>
      <c r="X3284">
        <v>0.99771639999999995</v>
      </c>
      <c r="Y3284">
        <v>0.245897899999999</v>
      </c>
      <c r="Z3284">
        <v>5.6245070000000001E-2</v>
      </c>
      <c r="AA3284">
        <v>0.96766249999999998</v>
      </c>
      <c r="AB3284">
        <v>27</v>
      </c>
      <c r="AC3284">
        <v>-4.6253999999999804</v>
      </c>
      <c r="AD3284">
        <v>-1.1030652928789999</v>
      </c>
      <c r="AE3284">
        <v>-18.807400000000001</v>
      </c>
      <c r="AF3284">
        <v>4.79852534187998</v>
      </c>
      <c r="AG3284">
        <v>-1.1030652928789999</v>
      </c>
      <c r="AH3284">
        <v>18.699333082453101</v>
      </c>
      <c r="AI3284">
        <v>93.270223977906696</v>
      </c>
      <c r="AJ3284">
        <v>75.607610241336502</v>
      </c>
      <c r="AK3284">
        <v>19.3366919669716</v>
      </c>
    </row>
    <row r="3285" spans="1:37" x14ac:dyDescent="0.2">
      <c r="A3285" t="str">
        <f>"20200111153501357"</f>
        <v>20200111153501357</v>
      </c>
      <c r="B3285" t="str">
        <f>"1578728101349539"</f>
        <v>1578728101349539</v>
      </c>
      <c r="C3285" t="s">
        <v>37</v>
      </c>
      <c r="D3285">
        <v>4.7978329999999998</v>
      </c>
      <c r="E3285">
        <v>0.57517839999999998</v>
      </c>
      <c r="F3285" t="s">
        <v>39</v>
      </c>
      <c r="G3285">
        <v>-196.26609999999999</v>
      </c>
      <c r="H3285" s="1">
        <v>-3.1667829999999899E-6</v>
      </c>
      <c r="I3285">
        <v>162.7638</v>
      </c>
      <c r="J3285">
        <v>-191.55940000000001</v>
      </c>
      <c r="K3285">
        <v>1.1030869999999999</v>
      </c>
      <c r="L3285">
        <v>181.7199</v>
      </c>
      <c r="M3285">
        <v>8.4866439999999998E-3</v>
      </c>
      <c r="N3285">
        <v>0</v>
      </c>
      <c r="O3285">
        <v>-0.99987359999999903</v>
      </c>
      <c r="P3285">
        <v>-4.6394350000000001E-2</v>
      </c>
      <c r="Q3285">
        <v>2.6180709999999999E-2</v>
      </c>
      <c r="R3285">
        <v>-0.99858029999999998</v>
      </c>
      <c r="S3285">
        <v>-0.73255919999999997</v>
      </c>
      <c r="T3285">
        <v>-0.17167939999999901</v>
      </c>
      <c r="U3285">
        <v>-2.9758</v>
      </c>
      <c r="V3285">
        <v>5.5046039999999997E-2</v>
      </c>
      <c r="W3285">
        <v>3.9367819999999998E-2</v>
      </c>
      <c r="X3285">
        <v>0.99770740000000002</v>
      </c>
      <c r="Y3285">
        <v>0.246894999999999</v>
      </c>
      <c r="Z3285">
        <v>5.5870139999999999E-2</v>
      </c>
      <c r="AA3285">
        <v>0.96743029999999997</v>
      </c>
      <c r="AB3285">
        <v>27</v>
      </c>
      <c r="AC3285">
        <v>-4.7066999999999801</v>
      </c>
      <c r="AD3285">
        <v>-1.103090166783</v>
      </c>
      <c r="AE3285">
        <v>-18.9560999999999</v>
      </c>
      <c r="AF3285">
        <v>4.8519427023421002</v>
      </c>
      <c r="AG3285">
        <v>-1.103090166783</v>
      </c>
      <c r="AH3285">
        <v>18.8553276959309</v>
      </c>
      <c r="AI3285">
        <v>93.242745779419295</v>
      </c>
      <c r="AJ3285">
        <v>75.569451358859396</v>
      </c>
      <c r="AK3285">
        <v>19.500808660765902</v>
      </c>
    </row>
    <row r="3286" spans="1:37" x14ac:dyDescent="0.2">
      <c r="A3286" t="str">
        <f>"20200111153501369"</f>
        <v>20200111153501369</v>
      </c>
      <c r="B3286" t="str">
        <f>"1578728101359298"</f>
        <v>1578728101359298</v>
      </c>
      <c r="C3286" t="s">
        <v>37</v>
      </c>
      <c r="D3286">
        <v>4.7892070000000002</v>
      </c>
      <c r="E3286">
        <v>0.57518910000000001</v>
      </c>
      <c r="F3286" t="s">
        <v>39</v>
      </c>
      <c r="G3286">
        <v>-196.29050000000001</v>
      </c>
      <c r="H3286" s="1">
        <v>-3.12269099999999E-6</v>
      </c>
      <c r="I3286">
        <v>162.6568</v>
      </c>
      <c r="J3286">
        <v>-191.55969999999999</v>
      </c>
      <c r="K3286">
        <v>1.1031059999999999</v>
      </c>
      <c r="L3286">
        <v>181.58070000000001</v>
      </c>
      <c r="M3286">
        <v>7.1825919999999998E-3</v>
      </c>
      <c r="N3286">
        <v>0</v>
      </c>
      <c r="O3286">
        <v>-0.99988379999999999</v>
      </c>
      <c r="P3286">
        <v>-4.7714619999999999E-2</v>
      </c>
      <c r="Q3286">
        <v>2.6168540000000001E-2</v>
      </c>
      <c r="R3286">
        <v>-0.99851819999999902</v>
      </c>
      <c r="S3286">
        <v>-0.73822019999999899</v>
      </c>
      <c r="T3286">
        <v>-0.17212069999999999</v>
      </c>
      <c r="U3286">
        <v>-2.9745029999999999</v>
      </c>
      <c r="V3286">
        <v>5.5062E-2</v>
      </c>
      <c r="W3286">
        <v>3.9356380000000003E-2</v>
      </c>
      <c r="X3286">
        <v>0.99770700000000001</v>
      </c>
      <c r="Y3286">
        <v>0.2474623</v>
      </c>
      <c r="Z3286">
        <v>5.6021139999999997E-2</v>
      </c>
      <c r="AA3286">
        <v>0.96727659999999904</v>
      </c>
      <c r="AB3286">
        <v>27</v>
      </c>
      <c r="AC3286">
        <v>-4.7308000000000101</v>
      </c>
      <c r="AD3286">
        <v>-1.1031091226909999</v>
      </c>
      <c r="AE3286">
        <v>-18.9239</v>
      </c>
      <c r="AF3286">
        <v>4.8510987114116704</v>
      </c>
      <c r="AG3286">
        <v>-1.1031091226909999</v>
      </c>
      <c r="AH3286">
        <v>18.8292120603708</v>
      </c>
      <c r="AI3286">
        <v>93.247045271062404</v>
      </c>
      <c r="AJ3286">
        <v>75.552682258194494</v>
      </c>
      <c r="AK3286">
        <v>19.475349425847</v>
      </c>
    </row>
    <row r="3287" spans="1:37" x14ac:dyDescent="0.2">
      <c r="A3287" t="str">
        <f>"20200111153501381"</f>
        <v>20200111153501381</v>
      </c>
      <c r="B3287" t="str">
        <f>"1578728101369059"</f>
        <v>1578728101369059</v>
      </c>
      <c r="C3287" t="s">
        <v>37</v>
      </c>
      <c r="D3287">
        <v>4.7979059999999896</v>
      </c>
      <c r="E3287">
        <v>0.57521489999999997</v>
      </c>
      <c r="F3287" t="s">
        <v>39</v>
      </c>
      <c r="G3287">
        <v>-196.33619999999999</v>
      </c>
      <c r="H3287" s="1">
        <v>-3.0343689999999999E-6</v>
      </c>
      <c r="I3287">
        <v>162.4443</v>
      </c>
      <c r="J3287">
        <v>-191.56010000000001</v>
      </c>
      <c r="K3287">
        <v>1.1031299999999999</v>
      </c>
      <c r="L3287">
        <v>181.4288</v>
      </c>
      <c r="M3287">
        <v>5.7688230000000002E-3</v>
      </c>
      <c r="N3287">
        <v>0</v>
      </c>
      <c r="O3287">
        <v>-0.99989280000000003</v>
      </c>
      <c r="P3287">
        <v>-4.9487699999999898E-2</v>
      </c>
      <c r="Q3287">
        <v>2.6324650000000002E-2</v>
      </c>
      <c r="R3287">
        <v>-0.99842759999999997</v>
      </c>
      <c r="S3287">
        <v>-0.7421875</v>
      </c>
      <c r="T3287">
        <v>-0.171405</v>
      </c>
      <c r="U3287">
        <v>-2.9734799999999999</v>
      </c>
      <c r="V3287">
        <v>5.5421770000000002E-2</v>
      </c>
      <c r="W3287">
        <v>3.9511240000000003E-2</v>
      </c>
      <c r="X3287">
        <v>0.99768099999999904</v>
      </c>
      <c r="Y3287">
        <v>0.24738859999999999</v>
      </c>
      <c r="Z3287">
        <v>5.5799960000000003E-2</v>
      </c>
      <c r="AA3287">
        <v>0.96730830000000001</v>
      </c>
      <c r="AB3287">
        <v>27</v>
      </c>
      <c r="AC3287">
        <v>-4.77609999999998</v>
      </c>
      <c r="AD3287">
        <v>-1.103133034369</v>
      </c>
      <c r="AE3287">
        <v>-18.984500000000001</v>
      </c>
      <c r="AF3287">
        <v>4.8700839556920998</v>
      </c>
      <c r="AG3287">
        <v>-1.103133034369</v>
      </c>
      <c r="AH3287">
        <v>18.896623838210299</v>
      </c>
      <c r="AI3287">
        <v>93.235489628587601</v>
      </c>
      <c r="AJ3287">
        <v>75.548083299455499</v>
      </c>
      <c r="AK3287">
        <v>19.545255503825501</v>
      </c>
    </row>
    <row r="3288" spans="1:37" x14ac:dyDescent="0.2">
      <c r="A3288" t="str">
        <f>"20200111153501394"</f>
        <v>20200111153501394</v>
      </c>
      <c r="B3288" t="str">
        <f>"1578728101389555"</f>
        <v>1578728101389555</v>
      </c>
      <c r="C3288" t="s">
        <v>37</v>
      </c>
      <c r="D3288">
        <v>4.7777479999999999</v>
      </c>
      <c r="E3288">
        <v>0.57522799999999996</v>
      </c>
      <c r="F3288" t="s">
        <v>39</v>
      </c>
      <c r="G3288">
        <v>-196.4049</v>
      </c>
      <c r="H3288" s="1">
        <v>-2.9229840000000002E-6</v>
      </c>
      <c r="I3288">
        <v>162.16999999999999</v>
      </c>
      <c r="J3288">
        <v>-191.5608</v>
      </c>
      <c r="K3288">
        <v>1.1031549999999899</v>
      </c>
      <c r="L3288">
        <v>181.27279999999999</v>
      </c>
      <c r="M3288">
        <v>4.33709099999999E-3</v>
      </c>
      <c r="N3288">
        <v>0</v>
      </c>
      <c r="O3288">
        <v>-0.99990020000000002</v>
      </c>
      <c r="P3288">
        <v>-5.1370939999999997E-2</v>
      </c>
      <c r="Q3288">
        <v>2.653322E-2</v>
      </c>
      <c r="R3288">
        <v>-0.99832699999999996</v>
      </c>
      <c r="S3288">
        <v>-0.74768069999999998</v>
      </c>
      <c r="T3288">
        <v>-0.1702427</v>
      </c>
      <c r="U3288">
        <v>-2.972153</v>
      </c>
      <c r="V3288">
        <v>5.5874010000000002E-2</v>
      </c>
      <c r="W3288">
        <v>3.971802E-2</v>
      </c>
      <c r="X3288">
        <v>0.99764750000000002</v>
      </c>
      <c r="Y3288">
        <v>0.24779000000000001</v>
      </c>
      <c r="Z3288">
        <v>5.5432240000000001E-2</v>
      </c>
      <c r="AA3288">
        <v>0.96722659999999905</v>
      </c>
      <c r="AB3288">
        <v>27</v>
      </c>
      <c r="AC3288">
        <v>-4.8440999999999903</v>
      </c>
      <c r="AD3288">
        <v>-1.1031579229839901</v>
      </c>
      <c r="AE3288">
        <v>-19.102799999999998</v>
      </c>
      <c r="AF3288">
        <v>4.91152273347668</v>
      </c>
      <c r="AG3288">
        <v>-1.1031579229839901</v>
      </c>
      <c r="AH3288">
        <v>19.0220055283942</v>
      </c>
      <c r="AI3288">
        <v>93.213908304635297</v>
      </c>
      <c r="AJ3288">
        <v>75.522312665739307</v>
      </c>
      <c r="AK3288">
        <v>19.6768063284355</v>
      </c>
    </row>
    <row r="3289" spans="1:37" x14ac:dyDescent="0.2">
      <c r="A3289" t="str">
        <f>"20200111153501411"</f>
        <v>20200111153501411</v>
      </c>
      <c r="B3289" t="str">
        <f>"1578728101399315"</f>
        <v>1578728101399315</v>
      </c>
      <c r="C3289" t="s">
        <v>37</v>
      </c>
      <c r="D3289">
        <v>4.828519</v>
      </c>
      <c r="E3289">
        <v>0.57517469999999904</v>
      </c>
      <c r="F3289" t="s">
        <v>39</v>
      </c>
      <c r="G3289">
        <v>-196.46619999999999</v>
      </c>
      <c r="H3289" s="1">
        <v>-2.8223769999999999E-6</v>
      </c>
      <c r="I3289">
        <v>161.92259999999999</v>
      </c>
      <c r="J3289">
        <v>-191.56190000000001</v>
      </c>
      <c r="K3289">
        <v>1.1031839999999999</v>
      </c>
      <c r="L3289">
        <v>181.09110000000001</v>
      </c>
      <c r="M3289">
        <v>2.6915859999999902E-3</v>
      </c>
      <c r="N3289">
        <v>0</v>
      </c>
      <c r="O3289">
        <v>-0.99990599999999996</v>
      </c>
      <c r="P3289">
        <v>-5.4498079999999997E-2</v>
      </c>
      <c r="Q3289">
        <v>2.7121579999999999E-2</v>
      </c>
      <c r="R3289">
        <v>-0.99814579999999997</v>
      </c>
      <c r="S3289">
        <v>-0.75311280000000003</v>
      </c>
      <c r="T3289">
        <v>-0.16936409999999999</v>
      </c>
      <c r="U3289">
        <v>-2.970764</v>
      </c>
      <c r="V3289">
        <v>5.735796E-2</v>
      </c>
      <c r="W3289">
        <v>4.0299769999999999E-2</v>
      </c>
      <c r="X3289">
        <v>0.99753999999999998</v>
      </c>
      <c r="Y3289">
        <v>0.24796899999999999</v>
      </c>
      <c r="Z3289">
        <v>5.5159060000000003E-2</v>
      </c>
      <c r="AA3289">
        <v>0.96719639999999996</v>
      </c>
      <c r="AB3289">
        <v>27</v>
      </c>
      <c r="AC3289">
        <v>-4.9042999999999699</v>
      </c>
      <c r="AD3289">
        <v>-1.1031868223769901</v>
      </c>
      <c r="AE3289">
        <v>-19.168500000000002</v>
      </c>
      <c r="AF3289">
        <v>4.9405217563153299</v>
      </c>
      <c r="AG3289">
        <v>-1.1031868223769901</v>
      </c>
      <c r="AH3289">
        <v>19.095864906663</v>
      </c>
      <c r="AI3289">
        <v>93.201184662401602</v>
      </c>
      <c r="AJ3289">
        <v>75.494388689141999</v>
      </c>
      <c r="AK3289">
        <v>19.755450714251399</v>
      </c>
    </row>
    <row r="3290" spans="1:37" x14ac:dyDescent="0.2">
      <c r="A3290" t="str">
        <f>"20200111153501424"</f>
        <v>20200111153501424</v>
      </c>
      <c r="B3290" t="str">
        <f>"1578728101419812"</f>
        <v>1578728101419812</v>
      </c>
      <c r="C3290" t="s">
        <v>37</v>
      </c>
      <c r="D3290">
        <v>4.8648300000000004</v>
      </c>
      <c r="E3290">
        <v>0.57503859999999996</v>
      </c>
      <c r="F3290" t="s">
        <v>39</v>
      </c>
      <c r="G3290">
        <v>-196.54990000000001</v>
      </c>
      <c r="H3290" s="1">
        <v>-2.7175420000000001E-6</v>
      </c>
      <c r="I3290">
        <v>161.65369999999999</v>
      </c>
      <c r="J3290">
        <v>-191.56299999999999</v>
      </c>
      <c r="K3290">
        <v>1.10321</v>
      </c>
      <c r="L3290">
        <v>180.9246</v>
      </c>
      <c r="M3290">
        <v>1.2023030000000001E-3</v>
      </c>
      <c r="N3290">
        <v>0</v>
      </c>
      <c r="O3290">
        <v>-0.99990879999999904</v>
      </c>
      <c r="P3290">
        <v>-5.6925629999999998E-2</v>
      </c>
      <c r="Q3290">
        <v>2.7006539999999999E-2</v>
      </c>
      <c r="R3290">
        <v>-0.99801309999999999</v>
      </c>
      <c r="S3290">
        <v>-0.761795</v>
      </c>
      <c r="T3290">
        <v>-0.16848469999999999</v>
      </c>
      <c r="U3290">
        <v>-2.9685820000000001</v>
      </c>
      <c r="V3290">
        <v>5.8295909999999999E-2</v>
      </c>
      <c r="W3290">
        <v>4.0181139999999997E-2</v>
      </c>
      <c r="X3290">
        <v>0.9974904</v>
      </c>
      <c r="Y3290">
        <v>0.2493551</v>
      </c>
      <c r="Z3290">
        <v>5.4883380000000002E-2</v>
      </c>
      <c r="AA3290">
        <v>0.96685560000000004</v>
      </c>
      <c r="AB3290">
        <v>26</v>
      </c>
      <c r="AC3290">
        <v>-4.9869000000000199</v>
      </c>
      <c r="AD3290">
        <v>-1.1032127175419999</v>
      </c>
      <c r="AE3290">
        <v>-19.270900000000001</v>
      </c>
      <c r="AF3290">
        <v>4.9947261832725003</v>
      </c>
      <c r="AG3290">
        <v>-1.1032127175419999</v>
      </c>
      <c r="AH3290">
        <v>19.205897050863399</v>
      </c>
      <c r="AI3290">
        <v>93.181922855411401</v>
      </c>
      <c r="AJ3290">
        <v>75.422450342640303</v>
      </c>
      <c r="AK3290">
        <v>19.8753830019544</v>
      </c>
    </row>
    <row r="3291" spans="1:37" x14ac:dyDescent="0.2">
      <c r="A3291" t="str">
        <f>"20200111153501436"</f>
        <v>20200111153501436</v>
      </c>
      <c r="B3291" t="str">
        <f>"1578728101429570"</f>
        <v>1578728101429570</v>
      </c>
      <c r="C3291" t="s">
        <v>37</v>
      </c>
      <c r="D3291">
        <v>4.804519</v>
      </c>
      <c r="E3291">
        <v>0.57499029999999995</v>
      </c>
      <c r="F3291" t="s">
        <v>39</v>
      </c>
      <c r="G3291">
        <v>-196.58930000000001</v>
      </c>
      <c r="H3291" s="1">
        <v>-2.655331E-6</v>
      </c>
      <c r="I3291">
        <v>161.5</v>
      </c>
      <c r="J3291">
        <v>-191.5643</v>
      </c>
      <c r="K3291">
        <v>1.1032329999999999</v>
      </c>
      <c r="L3291">
        <v>180.7758</v>
      </c>
      <c r="M3291">
        <v>-1.130101E-4</v>
      </c>
      <c r="N3291">
        <v>0</v>
      </c>
      <c r="O3291">
        <v>-0.99990949999999901</v>
      </c>
      <c r="P3291">
        <v>-5.9166749999999997E-2</v>
      </c>
      <c r="Q3291">
        <v>2.6924750000000001E-2</v>
      </c>
      <c r="R3291">
        <v>-0.99788500000000002</v>
      </c>
      <c r="S3291">
        <v>-0.76766969999999901</v>
      </c>
      <c r="T3291">
        <v>-0.16849549999999999</v>
      </c>
      <c r="U3291">
        <v>-2.9667659999999998</v>
      </c>
      <c r="V3291">
        <v>5.9221610000000001E-2</v>
      </c>
      <c r="W3291">
        <v>4.0095850000000002E-2</v>
      </c>
      <c r="X3291">
        <v>0.99743930000000003</v>
      </c>
      <c r="Y3291">
        <v>0.25001869999999998</v>
      </c>
      <c r="Z3291">
        <v>5.4901320000000003E-2</v>
      </c>
      <c r="AA3291">
        <v>0.96668330000000002</v>
      </c>
      <c r="AB3291">
        <v>26</v>
      </c>
      <c r="AC3291">
        <v>-5.0250000000000004</v>
      </c>
      <c r="AD3291">
        <v>-1.1032356553309901</v>
      </c>
      <c r="AE3291">
        <v>-19.2758</v>
      </c>
      <c r="AF3291">
        <v>5.0074619906841997</v>
      </c>
      <c r="AG3291">
        <v>-1.1032356553309901</v>
      </c>
      <c r="AH3291">
        <v>19.217422083135599</v>
      </c>
      <c r="AI3291">
        <v>93.179692446316295</v>
      </c>
      <c r="AJ3291">
        <v>75.395257917830804</v>
      </c>
      <c r="AK3291">
        <v>19.889723879951902</v>
      </c>
    </row>
    <row r="3292" spans="1:37" x14ac:dyDescent="0.2">
      <c r="A3292" t="str">
        <f>"20200111153501449"</f>
        <v>20200111153501449</v>
      </c>
      <c r="B3292" t="str">
        <f>"1578728101439330"</f>
        <v>1578728101439330</v>
      </c>
      <c r="C3292" t="s">
        <v>37</v>
      </c>
      <c r="D3292">
        <v>4.813491</v>
      </c>
      <c r="E3292">
        <v>0.57486289999999995</v>
      </c>
      <c r="F3292" t="s">
        <v>39</v>
      </c>
      <c r="G3292">
        <v>-196.63200000000001</v>
      </c>
      <c r="H3292" s="1">
        <v>-2.59858499999999E-6</v>
      </c>
      <c r="I3292">
        <v>161.35589999999999</v>
      </c>
      <c r="J3292">
        <v>-191.56569999999999</v>
      </c>
      <c r="K3292">
        <v>1.1032569999999999</v>
      </c>
      <c r="L3292">
        <v>180.63200000000001</v>
      </c>
      <c r="M3292">
        <v>-1.3585979999999999E-3</v>
      </c>
      <c r="N3292">
        <v>0</v>
      </c>
      <c r="O3292">
        <v>-0.99990869999999998</v>
      </c>
      <c r="P3292">
        <v>-6.1593620000000002E-2</v>
      </c>
      <c r="Q3292">
        <v>2.69432E-2</v>
      </c>
      <c r="R3292">
        <v>-0.99773780000000001</v>
      </c>
      <c r="S3292">
        <v>-0.77374270000000001</v>
      </c>
      <c r="T3292">
        <v>-0.168442799999999</v>
      </c>
      <c r="U3292">
        <v>-2.965042</v>
      </c>
      <c r="V3292">
        <v>6.0403249999999999E-2</v>
      </c>
      <c r="W3292">
        <v>4.010967E-2</v>
      </c>
      <c r="X3292">
        <v>0.99736789999999997</v>
      </c>
      <c r="Y3292">
        <v>0.25080360000000002</v>
      </c>
      <c r="Z3292">
        <v>5.4895399999999997E-2</v>
      </c>
      <c r="AA3292">
        <v>0.96648020000000001</v>
      </c>
      <c r="AB3292">
        <v>26</v>
      </c>
      <c r="AC3292">
        <v>-5.0663000000000098</v>
      </c>
      <c r="AD3292">
        <v>-1.103259598585</v>
      </c>
      <c r="AE3292">
        <v>-19.2761</v>
      </c>
      <c r="AF3292">
        <v>5.0247081171248098</v>
      </c>
      <c r="AG3292">
        <v>-1.103259598585</v>
      </c>
      <c r="AH3292">
        <v>19.2240608361654</v>
      </c>
      <c r="AI3292">
        <v>93.178039971811202</v>
      </c>
      <c r="AJ3292">
        <v>75.351961663919099</v>
      </c>
      <c r="AK3292">
        <v>19.900487140689702</v>
      </c>
    </row>
    <row r="3293" spans="1:37" x14ac:dyDescent="0.2">
      <c r="A3293" t="str">
        <f>"20200111153501461"</f>
        <v>20200111153501461</v>
      </c>
      <c r="B3293" t="str">
        <f>"1578728101449091"</f>
        <v>1578728101449091</v>
      </c>
      <c r="C3293" t="s">
        <v>37</v>
      </c>
      <c r="D3293">
        <v>4.8046769999999999</v>
      </c>
      <c r="E3293">
        <v>0.57476450000000001</v>
      </c>
      <c r="F3293" t="s">
        <v>39</v>
      </c>
      <c r="G3293">
        <v>-196.65969999999999</v>
      </c>
      <c r="H3293" s="1">
        <v>-2.5669290000000001E-6</v>
      </c>
      <c r="I3293">
        <v>161.27330000000001</v>
      </c>
      <c r="J3293">
        <v>-191.56720000000001</v>
      </c>
      <c r="K3293">
        <v>1.103283</v>
      </c>
      <c r="L3293">
        <v>180.49019999999999</v>
      </c>
      <c r="M3293">
        <v>-2.576975E-3</v>
      </c>
      <c r="N3293">
        <v>0</v>
      </c>
      <c r="O3293">
        <v>-0.99990650000000003</v>
      </c>
      <c r="P3293">
        <v>-6.4173910000000001E-2</v>
      </c>
      <c r="Q3293">
        <v>2.6920309999999999E-2</v>
      </c>
      <c r="R3293">
        <v>-0.99757589999999996</v>
      </c>
      <c r="S3293">
        <v>-0.77972410000000003</v>
      </c>
      <c r="T3293">
        <v>-0.1688743</v>
      </c>
      <c r="U3293">
        <v>-2.9632109999999998</v>
      </c>
      <c r="V3293">
        <v>6.1765489999999999E-2</v>
      </c>
      <c r="W3293">
        <v>4.0082029999999998E-2</v>
      </c>
      <c r="X3293">
        <v>0.99728549999999905</v>
      </c>
      <c r="Y3293">
        <v>0.25159349999999903</v>
      </c>
      <c r="Z3293">
        <v>5.5048649999999998E-2</v>
      </c>
      <c r="AA3293">
        <v>0.96626619999999996</v>
      </c>
      <c r="AB3293">
        <v>26</v>
      </c>
      <c r="AC3293">
        <v>-5.0924999999999701</v>
      </c>
      <c r="AD3293">
        <v>-1.103285566929</v>
      </c>
      <c r="AE3293">
        <v>-19.2168999999999</v>
      </c>
      <c r="AF3293">
        <v>5.0274731336949996</v>
      </c>
      <c r="AG3293">
        <v>-1.103285566929</v>
      </c>
      <c r="AH3293">
        <v>19.1709164754898</v>
      </c>
      <c r="AI3293">
        <v>93.186229723652303</v>
      </c>
      <c r="AJ3293">
        <v>75.305376316465697</v>
      </c>
      <c r="AK3293">
        <v>19.849855507343701</v>
      </c>
    </row>
    <row r="3294" spans="1:37" x14ac:dyDescent="0.2">
      <c r="A3294" t="str">
        <f>"20200111153501478"</f>
        <v>20200111153501478</v>
      </c>
      <c r="B3294" t="str">
        <f>"1578728101469586"</f>
        <v>1578728101469586</v>
      </c>
      <c r="C3294" t="s">
        <v>37</v>
      </c>
      <c r="D3294">
        <v>4.7849259999999996</v>
      </c>
      <c r="E3294">
        <v>0.57461249999999997</v>
      </c>
      <c r="F3294" t="s">
        <v>39</v>
      </c>
      <c r="G3294">
        <v>-196.69970000000001</v>
      </c>
      <c r="H3294" s="1">
        <v>-2.525699E-6</v>
      </c>
      <c r="I3294">
        <v>161.1636</v>
      </c>
      <c r="J3294">
        <v>-191.56979999999999</v>
      </c>
      <c r="K3294">
        <v>1.1033280000000001</v>
      </c>
      <c r="L3294">
        <v>180.2783</v>
      </c>
      <c r="M3294">
        <v>-4.3542290000000003E-3</v>
      </c>
      <c r="N3294">
        <v>0</v>
      </c>
      <c r="O3294">
        <v>-0.99990020000000002</v>
      </c>
      <c r="P3294">
        <v>-6.8287039999999993E-2</v>
      </c>
      <c r="Q3294">
        <v>2.6935500000000001E-2</v>
      </c>
      <c r="R3294">
        <v>-0.99730209999999997</v>
      </c>
      <c r="S3294">
        <v>-0.78640750000000004</v>
      </c>
      <c r="T3294">
        <v>-0.16904669999999999</v>
      </c>
      <c r="U3294">
        <v>-2.9612579999999999</v>
      </c>
      <c r="V3294">
        <v>6.4102140000000002E-2</v>
      </c>
      <c r="W3294">
        <v>4.0089659999999999E-2</v>
      </c>
      <c r="X3294">
        <v>0.99713779999999996</v>
      </c>
      <c r="Y3294">
        <v>0.2520675</v>
      </c>
      <c r="Z3294">
        <v>5.5120139999999998E-2</v>
      </c>
      <c r="AA3294">
        <v>0.96613859999999996</v>
      </c>
      <c r="AB3294">
        <v>26</v>
      </c>
      <c r="AC3294">
        <v>-5.1299000000000197</v>
      </c>
      <c r="AD3294">
        <v>-1.103330525699</v>
      </c>
      <c r="AE3294">
        <v>-19.114699999999999</v>
      </c>
      <c r="AF3294">
        <v>5.03097812784985</v>
      </c>
      <c r="AG3294">
        <v>-1.103330525699</v>
      </c>
      <c r="AH3294">
        <v>19.0775657786312</v>
      </c>
      <c r="AI3294">
        <v>93.200765775518093</v>
      </c>
      <c r="AJ3294">
        <v>75.226763288335405</v>
      </c>
      <c r="AK3294">
        <v>19.760607156913</v>
      </c>
    </row>
    <row r="3295" spans="1:37" x14ac:dyDescent="0.2">
      <c r="A3295" t="str">
        <f>"20200111153501494"</f>
        <v>20200111153501494</v>
      </c>
      <c r="B3295" t="str">
        <f>"1578728101489107"</f>
        <v>1578728101489107</v>
      </c>
      <c r="C3295" t="s">
        <v>37</v>
      </c>
      <c r="D3295">
        <v>4.8067539999999997</v>
      </c>
      <c r="E3295">
        <v>0.57439779999999996</v>
      </c>
      <c r="F3295" t="s">
        <v>39</v>
      </c>
      <c r="G3295">
        <v>-196.7499</v>
      </c>
      <c r="H3295" s="1">
        <v>-2.4863939999999999E-6</v>
      </c>
      <c r="I3295">
        <v>161.0522</v>
      </c>
      <c r="J3295">
        <v>-191.57239999999999</v>
      </c>
      <c r="K3295">
        <v>1.103369</v>
      </c>
      <c r="L3295">
        <v>180.09229999999999</v>
      </c>
      <c r="M3295">
        <v>-5.8644959999999899E-3</v>
      </c>
      <c r="N3295">
        <v>0</v>
      </c>
      <c r="O3295">
        <v>-0.99989249999999996</v>
      </c>
      <c r="P3295">
        <v>-7.106113E-2</v>
      </c>
      <c r="Q3295">
        <v>2.6713400000000002E-2</v>
      </c>
      <c r="R3295">
        <v>-0.99711439999999996</v>
      </c>
      <c r="S3295">
        <v>-0.79701230000000001</v>
      </c>
      <c r="T3295">
        <v>-0.16975860000000001</v>
      </c>
      <c r="U3295">
        <v>-2.9581300000000001</v>
      </c>
      <c r="V3295">
        <v>6.536546E-2</v>
      </c>
      <c r="W3295">
        <v>3.986572E-2</v>
      </c>
      <c r="X3295">
        <v>0.99706469999999903</v>
      </c>
      <c r="Y3295">
        <v>0.25408739999999902</v>
      </c>
      <c r="Z3295">
        <v>5.5367239999999998E-2</v>
      </c>
      <c r="AA3295">
        <v>0.96559519999999999</v>
      </c>
      <c r="AB3295">
        <v>26</v>
      </c>
      <c r="AC3295">
        <v>-5.1775000000000002</v>
      </c>
      <c r="AD3295">
        <v>-1.1033714863940001</v>
      </c>
      <c r="AE3295">
        <v>-19.040099999999899</v>
      </c>
      <c r="AF3295">
        <v>5.0499492433841899</v>
      </c>
      <c r="AG3295">
        <v>-1.1033714863940001</v>
      </c>
      <c r="AH3295">
        <v>19.010692853707202</v>
      </c>
      <c r="AI3295">
        <v>93.210594092263705</v>
      </c>
      <c r="AJ3295">
        <v>75.123659363967505</v>
      </c>
      <c r="AK3295">
        <v>19.700910100189201</v>
      </c>
    </row>
    <row r="3296" spans="1:37" x14ac:dyDescent="0.2">
      <c r="A3296" t="str">
        <f>"20200111153501510"</f>
        <v>20200111153501510</v>
      </c>
      <c r="B3296" t="str">
        <f>"1578728101499842"</f>
        <v>1578728101499842</v>
      </c>
      <c r="C3296" t="s">
        <v>37</v>
      </c>
      <c r="D3296">
        <v>4.8111239999999897</v>
      </c>
      <c r="E3296">
        <v>0.57431239999999995</v>
      </c>
      <c r="F3296" t="s">
        <v>39</v>
      </c>
      <c r="G3296">
        <v>-196.7466</v>
      </c>
      <c r="H3296" s="1">
        <v>-2.4858139999999999E-6</v>
      </c>
      <c r="I3296">
        <v>161.05279999999999</v>
      </c>
      <c r="J3296">
        <v>-191.57509999999999</v>
      </c>
      <c r="K3296">
        <v>1.103416</v>
      </c>
      <c r="L3296">
        <v>179.9117</v>
      </c>
      <c r="M3296">
        <v>-7.2859919999999998E-3</v>
      </c>
      <c r="N3296">
        <v>0</v>
      </c>
      <c r="O3296">
        <v>-0.99988330000000003</v>
      </c>
      <c r="P3296">
        <v>-7.3811870000000002E-2</v>
      </c>
      <c r="Q3296">
        <v>2.6351179999999998E-2</v>
      </c>
      <c r="R3296">
        <v>-0.99692420000000004</v>
      </c>
      <c r="S3296">
        <v>-0.80334469999999902</v>
      </c>
      <c r="T3296">
        <v>-0.17130629999999999</v>
      </c>
      <c r="U3296">
        <v>-2.9560240000000002</v>
      </c>
      <c r="V3296">
        <v>6.66934E-2</v>
      </c>
      <c r="W3296">
        <v>3.9501710000000002E-2</v>
      </c>
      <c r="X3296">
        <v>0.99699130000000002</v>
      </c>
      <c r="Y3296">
        <v>0.254805</v>
      </c>
      <c r="Z3296">
        <v>5.5887270000000003E-2</v>
      </c>
      <c r="AA3296">
        <v>0.96537609999999996</v>
      </c>
      <c r="AB3296">
        <v>26</v>
      </c>
      <c r="AC3296">
        <v>-5.1715</v>
      </c>
      <c r="AD3296">
        <v>-1.1034184858139999</v>
      </c>
      <c r="AE3296">
        <v>-18.858899999999998</v>
      </c>
      <c r="AF3296">
        <v>5.01796780336847</v>
      </c>
      <c r="AG3296">
        <v>-1.1034184858139999</v>
      </c>
      <c r="AH3296">
        <v>18.836109901298599</v>
      </c>
      <c r="AI3296">
        <v>93.239812338066201</v>
      </c>
      <c r="AJ3296">
        <v>75.082768394565406</v>
      </c>
      <c r="AK3296">
        <v>19.524255925496401</v>
      </c>
    </row>
    <row r="3297" spans="1:37" x14ac:dyDescent="0.2">
      <c r="A3297" t="str">
        <f>"20200111153501525"</f>
        <v>20200111153501525</v>
      </c>
      <c r="B3297" t="str">
        <f>"1578728101519363"</f>
        <v>1578728101519363</v>
      </c>
      <c r="C3297" t="s">
        <v>37</v>
      </c>
      <c r="D3297">
        <v>4.8072080000000001</v>
      </c>
      <c r="E3297">
        <v>0.57395909999999895</v>
      </c>
      <c r="F3297" t="s">
        <v>39</v>
      </c>
      <c r="G3297">
        <v>-196.73929999999999</v>
      </c>
      <c r="H3297" s="1">
        <v>-2.5000959999999999E-6</v>
      </c>
      <c r="I3297">
        <v>161.08709999999999</v>
      </c>
      <c r="J3297">
        <v>-191.5779</v>
      </c>
      <c r="K3297">
        <v>1.103461</v>
      </c>
      <c r="L3297">
        <v>179.7329</v>
      </c>
      <c r="M3297">
        <v>-8.6461850000000007E-3</v>
      </c>
      <c r="N3297">
        <v>0</v>
      </c>
      <c r="O3297">
        <v>-0.99987230000000005</v>
      </c>
      <c r="P3297">
        <v>-7.7955529999999995E-2</v>
      </c>
      <c r="Q3297">
        <v>2.515717E-2</v>
      </c>
      <c r="R3297">
        <v>-0.99663930000000001</v>
      </c>
      <c r="S3297">
        <v>-0.81034849999999903</v>
      </c>
      <c r="T3297">
        <v>-0.17314299999999999</v>
      </c>
      <c r="U3297">
        <v>-2.9538570000000002</v>
      </c>
      <c r="V3297">
        <v>6.9473099999999996E-2</v>
      </c>
      <c r="W3297">
        <v>3.8301460000000002E-2</v>
      </c>
      <c r="X3297">
        <v>0.99684830000000002</v>
      </c>
      <c r="Y3297">
        <v>0.25578970000000001</v>
      </c>
      <c r="Z3297">
        <v>5.6498680000000003E-2</v>
      </c>
      <c r="AA3297">
        <v>0.9650801</v>
      </c>
      <c r="AB3297">
        <v>26</v>
      </c>
      <c r="AC3297">
        <v>-5.16139999999998</v>
      </c>
      <c r="AD3297">
        <v>-1.103463500096</v>
      </c>
      <c r="AE3297">
        <v>-18.645800000000001</v>
      </c>
      <c r="AF3297">
        <v>4.9837650574052104</v>
      </c>
      <c r="AG3297">
        <v>-1.103463500096</v>
      </c>
      <c r="AH3297">
        <v>18.6291320715182</v>
      </c>
      <c r="AI3297">
        <v>93.274948120405</v>
      </c>
      <c r="AJ3297">
        <v>75.022660095249506</v>
      </c>
      <c r="AK3297">
        <v>19.315799429004301</v>
      </c>
    </row>
    <row r="3298" spans="1:37" x14ac:dyDescent="0.2">
      <c r="A3298" t="str">
        <f>"20200111153501545"</f>
        <v>20200111153501545</v>
      </c>
      <c r="B3298" t="str">
        <f>"1578728101539860"</f>
        <v>1578728101539860</v>
      </c>
      <c r="C3298" t="s">
        <v>37</v>
      </c>
      <c r="D3298">
        <v>4.8002099999999999</v>
      </c>
      <c r="E3298">
        <v>0.57342389999999999</v>
      </c>
      <c r="F3298" t="s">
        <v>39</v>
      </c>
      <c r="G3298">
        <v>-196.6858</v>
      </c>
      <c r="H3298" s="1">
        <v>-2.6051740000000002E-6</v>
      </c>
      <c r="I3298">
        <v>161.33949999999999</v>
      </c>
      <c r="J3298">
        <v>-191.5821</v>
      </c>
      <c r="K3298">
        <v>1.1035280000000001</v>
      </c>
      <c r="L3298">
        <v>179.48949999999999</v>
      </c>
      <c r="M3298">
        <v>-1.040657E-2</v>
      </c>
      <c r="N3298">
        <v>0</v>
      </c>
      <c r="O3298">
        <v>-0.99985579999999996</v>
      </c>
      <c r="P3298">
        <v>-8.2197010000000001E-2</v>
      </c>
      <c r="Q3298">
        <v>2.3504810000000001E-2</v>
      </c>
      <c r="R3298">
        <v>-0.99633939999999999</v>
      </c>
      <c r="S3298">
        <v>-0.8193665</v>
      </c>
      <c r="T3298">
        <v>-0.17700739999999901</v>
      </c>
      <c r="U3298">
        <v>-2.9504999999999999</v>
      </c>
      <c r="V3298">
        <v>7.1948380000000006E-2</v>
      </c>
      <c r="W3298">
        <v>3.6648E-2</v>
      </c>
      <c r="X3298">
        <v>0.99673489999999998</v>
      </c>
      <c r="Y3298">
        <v>0.25708880000000001</v>
      </c>
      <c r="Z3298">
        <v>5.7783939999999999E-2</v>
      </c>
      <c r="AA3298">
        <v>0.96465869999999998</v>
      </c>
      <c r="AB3298">
        <v>26</v>
      </c>
      <c r="AC3298">
        <v>-5.1036999999999999</v>
      </c>
      <c r="AD3298">
        <v>-1.1035306051739999</v>
      </c>
      <c r="AE3298">
        <v>-18.149999999999999</v>
      </c>
      <c r="AF3298">
        <v>4.8977484892643197</v>
      </c>
      <c r="AG3298">
        <v>-1.1035306051739999</v>
      </c>
      <c r="AH3298">
        <v>18.139989322448201</v>
      </c>
      <c r="AI3298">
        <v>93.361182236074299</v>
      </c>
      <c r="AJ3298">
        <v>74.890568034216599</v>
      </c>
      <c r="AK3298">
        <v>18.8219269119604</v>
      </c>
    </row>
    <row r="3299" spans="1:37" x14ac:dyDescent="0.2">
      <c r="A3299" t="str">
        <f>"20200111153501559"</f>
        <v>20200111153501559</v>
      </c>
      <c r="B3299" t="str">
        <f>"1578728101549619"</f>
        <v>1578728101549619</v>
      </c>
      <c r="C3299" t="s">
        <v>37</v>
      </c>
      <c r="D3299">
        <v>4.8295649999999997</v>
      </c>
      <c r="E3299">
        <v>0.57318649999999904</v>
      </c>
      <c r="F3299" t="s">
        <v>39</v>
      </c>
      <c r="G3299">
        <v>-196.5881</v>
      </c>
      <c r="H3299" s="1">
        <v>-2.7291260000000001E-6</v>
      </c>
      <c r="I3299">
        <v>161.6568</v>
      </c>
      <c r="J3299">
        <v>-191.58500000000001</v>
      </c>
      <c r="K3299">
        <v>1.10358</v>
      </c>
      <c r="L3299">
        <v>179.32660000000001</v>
      </c>
      <c r="M3299">
        <v>-1.1535149999999999E-2</v>
      </c>
      <c r="N3299">
        <v>0</v>
      </c>
      <c r="O3299">
        <v>-0.99984340000000005</v>
      </c>
      <c r="P3299">
        <v>-8.453753E-2</v>
      </c>
      <c r="Q3299">
        <v>2.2617930000000001E-2</v>
      </c>
      <c r="R3299">
        <v>-0.99616389999999999</v>
      </c>
      <c r="S3299">
        <v>-0.82730099999999995</v>
      </c>
      <c r="T3299">
        <v>-0.18237200000000001</v>
      </c>
      <c r="U3299">
        <v>-2.9470830000000001</v>
      </c>
      <c r="V3299">
        <v>7.3157130000000001E-2</v>
      </c>
      <c r="W3299">
        <v>3.5764039999999997E-2</v>
      </c>
      <c r="X3299">
        <v>0.99667890000000003</v>
      </c>
      <c r="Y3299">
        <v>0.25866719999999999</v>
      </c>
      <c r="Z3299">
        <v>5.9560179999999997E-2</v>
      </c>
      <c r="AA3299">
        <v>0.9641286</v>
      </c>
      <c r="AB3299">
        <v>26</v>
      </c>
      <c r="AC3299">
        <v>-5.0030999999999803</v>
      </c>
      <c r="AD3299">
        <v>-1.1035827291260001</v>
      </c>
      <c r="AE3299">
        <v>-17.669799999999999</v>
      </c>
      <c r="AF3299">
        <v>4.7816572961725203</v>
      </c>
      <c r="AG3299">
        <v>-1.1035827291260001</v>
      </c>
      <c r="AH3299">
        <v>17.662557473169802</v>
      </c>
      <c r="AI3299">
        <v>93.451353910197298</v>
      </c>
      <c r="AJ3299">
        <v>74.851831564523494</v>
      </c>
      <c r="AK3299">
        <v>18.331614163272398</v>
      </c>
    </row>
    <row r="3300" spans="1:37" x14ac:dyDescent="0.2">
      <c r="A3300" t="str">
        <f>"20200111153501572"</f>
        <v>20200111153501572</v>
      </c>
      <c r="B3300" t="str">
        <f>"1578728101559380"</f>
        <v>1578728101559380</v>
      </c>
      <c r="C3300" t="s">
        <v>37</v>
      </c>
      <c r="D3300">
        <v>4.7905499999999996</v>
      </c>
      <c r="E3300">
        <v>0.57298859999999996</v>
      </c>
      <c r="F3300" t="s">
        <v>39</v>
      </c>
      <c r="G3300">
        <v>-196.53219999999999</v>
      </c>
      <c r="H3300" s="1">
        <v>-2.7913540000000001E-6</v>
      </c>
      <c r="I3300">
        <v>161.81979999999999</v>
      </c>
      <c r="J3300">
        <v>-191.58789999999999</v>
      </c>
      <c r="K3300">
        <v>1.1036319999999999</v>
      </c>
      <c r="L3300">
        <v>179.17949999999999</v>
      </c>
      <c r="M3300">
        <v>-1.2489409999999999E-2</v>
      </c>
      <c r="N3300">
        <v>0</v>
      </c>
      <c r="O3300">
        <v>-0.99983199999999905</v>
      </c>
      <c r="P3300">
        <v>-8.6544620000000003E-2</v>
      </c>
      <c r="Q3300">
        <v>2.1493350000000001E-2</v>
      </c>
      <c r="R3300">
        <v>-0.99601640000000002</v>
      </c>
      <c r="S3300">
        <v>-0.83226009999999995</v>
      </c>
      <c r="T3300">
        <v>-0.18565490000000001</v>
      </c>
      <c r="U3300">
        <v>-2.9451450000000001</v>
      </c>
      <c r="V3300">
        <v>7.420591E-2</v>
      </c>
      <c r="W3300">
        <v>3.4642260000000001E-2</v>
      </c>
      <c r="X3300">
        <v>0.996641</v>
      </c>
      <c r="Y3300">
        <v>0.25939669999999998</v>
      </c>
      <c r="Z3300">
        <v>6.0645930000000001E-2</v>
      </c>
      <c r="AA3300">
        <v>0.96386489999999903</v>
      </c>
      <c r="AB3300">
        <v>26</v>
      </c>
      <c r="AC3300">
        <v>-4.9442999999999904</v>
      </c>
      <c r="AD3300">
        <v>-1.1036347913539899</v>
      </c>
      <c r="AE3300">
        <v>-17.3597</v>
      </c>
      <c r="AF3300">
        <v>4.7094761869552499</v>
      </c>
      <c r="AG3300">
        <v>-1.1036347913539899</v>
      </c>
      <c r="AH3300">
        <v>17.355220937314598</v>
      </c>
      <c r="AI3300">
        <v>93.511924356708903</v>
      </c>
      <c r="AJ3300">
        <v>74.817934503890697</v>
      </c>
      <c r="AK3300">
        <v>18.016683087937899</v>
      </c>
    </row>
    <row r="3301" spans="1:37" x14ac:dyDescent="0.2">
      <c r="A3301" t="str">
        <f>"20200111153501584"</f>
        <v>20200111153501584</v>
      </c>
      <c r="B3301" t="str">
        <f>"1578728101579875"</f>
        <v>1578728101579875</v>
      </c>
      <c r="C3301" t="s">
        <v>37</v>
      </c>
      <c r="D3301">
        <v>4.8218329999999998</v>
      </c>
      <c r="E3301">
        <v>0.57254819999999995</v>
      </c>
      <c r="F3301" t="s">
        <v>39</v>
      </c>
      <c r="G3301">
        <v>-196.4622</v>
      </c>
      <c r="H3301" s="1">
        <v>-2.8710999999999999E-6</v>
      </c>
      <c r="I3301">
        <v>162.02789999999999</v>
      </c>
      <c r="J3301">
        <v>-191.5908</v>
      </c>
      <c r="K3301">
        <v>1.1036900000000001</v>
      </c>
      <c r="L3301">
        <v>179.0284</v>
      </c>
      <c r="M3301">
        <v>-1.343155E-2</v>
      </c>
      <c r="N3301">
        <v>0</v>
      </c>
      <c r="O3301">
        <v>-0.99981989999999998</v>
      </c>
      <c r="P3301">
        <v>-8.8540759999999996E-2</v>
      </c>
      <c r="Q3301">
        <v>2.0232440000000001E-2</v>
      </c>
      <c r="R3301">
        <v>-0.99586759999999996</v>
      </c>
      <c r="S3301">
        <v>-0.83650210000000003</v>
      </c>
      <c r="T3301">
        <v>-0.1893975</v>
      </c>
      <c r="U3301">
        <v>-2.9434200000000001</v>
      </c>
      <c r="V3301">
        <v>7.5255539999999996E-2</v>
      </c>
      <c r="W3301">
        <v>3.338605E-2</v>
      </c>
      <c r="X3301">
        <v>0.99660519999999997</v>
      </c>
      <c r="Y3301">
        <v>0.25989950000000001</v>
      </c>
      <c r="Z3301">
        <v>6.1881129999999999E-2</v>
      </c>
      <c r="AA3301">
        <v>0.96365089999999998</v>
      </c>
      <c r="AB3301">
        <v>26</v>
      </c>
      <c r="AC3301">
        <v>-4.8713999999999897</v>
      </c>
      <c r="AD3301">
        <v>-1.1036928711</v>
      </c>
      <c r="AE3301">
        <v>-17.000499999999999</v>
      </c>
      <c r="AF3301">
        <v>4.6245843395270798</v>
      </c>
      <c r="AG3301">
        <v>-1.1036928711</v>
      </c>
      <c r="AH3301">
        <v>16.9981952632996</v>
      </c>
      <c r="AI3301">
        <v>93.585047405880601</v>
      </c>
      <c r="AJ3301">
        <v>74.780298740224893</v>
      </c>
      <c r="AK3301">
        <v>17.650596603978499</v>
      </c>
    </row>
    <row r="3302" spans="1:37" x14ac:dyDescent="0.2">
      <c r="A3302" t="str">
        <f>"20200111153501596"</f>
        <v>20200111153501596</v>
      </c>
      <c r="B3302" t="str">
        <f>"1578728101589635"</f>
        <v>1578728101589635</v>
      </c>
      <c r="C3302" t="s">
        <v>37</v>
      </c>
      <c r="D3302">
        <v>4.8246409999999997</v>
      </c>
      <c r="E3302">
        <v>0.57236929999999997</v>
      </c>
      <c r="F3302" t="s">
        <v>39</v>
      </c>
      <c r="G3302">
        <v>-196.4023</v>
      </c>
      <c r="H3302" s="1">
        <v>-2.912558E-6</v>
      </c>
      <c r="I3302">
        <v>162.14940000000001</v>
      </c>
      <c r="J3302">
        <v>-191.59379999999999</v>
      </c>
      <c r="K3302">
        <v>1.103748</v>
      </c>
      <c r="L3302">
        <v>178.87979999999999</v>
      </c>
      <c r="M3302">
        <v>-1.4312689999999999E-2</v>
      </c>
      <c r="N3302">
        <v>0</v>
      </c>
      <c r="O3302">
        <v>-0.99980780000000002</v>
      </c>
      <c r="P3302">
        <v>-9.0145959999999997E-2</v>
      </c>
      <c r="Q3302">
        <v>1.9557350000000001E-2</v>
      </c>
      <c r="R3302">
        <v>-0.99573679999999998</v>
      </c>
      <c r="S3302">
        <v>-0.83857729999999997</v>
      </c>
      <c r="T3302">
        <v>-0.19235949999999999</v>
      </c>
      <c r="U3302">
        <v>-2.9417879999999998</v>
      </c>
      <c r="V3302">
        <v>7.5976799999999997E-2</v>
      </c>
      <c r="W3302">
        <v>3.2717410000000002E-2</v>
      </c>
      <c r="X3302">
        <v>0.99657269999999898</v>
      </c>
      <c r="Y3302">
        <v>0.25980110000000001</v>
      </c>
      <c r="Z3302">
        <v>6.2872150000000002E-2</v>
      </c>
      <c r="AA3302">
        <v>0.96361330000000001</v>
      </c>
      <c r="AB3302">
        <v>26</v>
      </c>
      <c r="AC3302">
        <v>-4.8085000000000004</v>
      </c>
      <c r="AD3302">
        <v>-1.1037509125579901</v>
      </c>
      <c r="AE3302">
        <v>-16.7303999999999</v>
      </c>
      <c r="AF3302">
        <v>4.5502354906076503</v>
      </c>
      <c r="AG3302">
        <v>-1.1037509125579901</v>
      </c>
      <c r="AH3302">
        <v>16.730253921746101</v>
      </c>
      <c r="AI3302">
        <v>93.642580821579699</v>
      </c>
      <c r="AJ3302">
        <v>74.784928316516897</v>
      </c>
      <c r="AK3302">
        <v>17.373091416988999</v>
      </c>
    </row>
    <row r="3303" spans="1:37" x14ac:dyDescent="0.2">
      <c r="A3303" t="str">
        <f>"20200111153501612"</f>
        <v>20200111153501612</v>
      </c>
      <c r="B3303" t="str">
        <f>"1578728101599395"</f>
        <v>1578728101599395</v>
      </c>
      <c r="C3303" t="s">
        <v>37</v>
      </c>
      <c r="D3303">
        <v>4.8217559999999997</v>
      </c>
      <c r="E3303">
        <v>0.57216849999999997</v>
      </c>
      <c r="F3303" t="s">
        <v>39</v>
      </c>
      <c r="G3303">
        <v>-196.3682</v>
      </c>
      <c r="H3303" s="1">
        <v>-2.9273349999999998E-6</v>
      </c>
      <c r="I3303">
        <v>162.19980000000001</v>
      </c>
      <c r="J3303">
        <v>-191.59729999999999</v>
      </c>
      <c r="K3303">
        <v>1.1038190000000001</v>
      </c>
      <c r="L3303">
        <v>178.71440000000001</v>
      </c>
      <c r="M3303">
        <v>-1.5187620000000001E-2</v>
      </c>
      <c r="N3303">
        <v>0</v>
      </c>
      <c r="O3303">
        <v>-0.99979479999999998</v>
      </c>
      <c r="P3303">
        <v>-9.2716880000000002E-2</v>
      </c>
      <c r="Q3303">
        <v>1.847416E-2</v>
      </c>
      <c r="R3303">
        <v>-0.99552149999999995</v>
      </c>
      <c r="S3303">
        <v>-0.84167479999999995</v>
      </c>
      <c r="T3303">
        <v>-0.1945781</v>
      </c>
      <c r="U3303">
        <v>-2.9404910000000002</v>
      </c>
      <c r="V3303">
        <v>7.7668730000000005E-2</v>
      </c>
      <c r="W3303">
        <v>3.1640790000000002E-2</v>
      </c>
      <c r="X3303">
        <v>0.99647699999999995</v>
      </c>
      <c r="Y3303">
        <v>0.2599939</v>
      </c>
      <c r="Z3303">
        <v>6.3609189999999996E-2</v>
      </c>
      <c r="AA3303">
        <v>0.96351290000000001</v>
      </c>
      <c r="AB3303">
        <v>26</v>
      </c>
      <c r="AC3303">
        <v>-4.7709000000000099</v>
      </c>
      <c r="AD3303">
        <v>-1.1038219273350001</v>
      </c>
      <c r="AE3303">
        <v>-16.514600000000002</v>
      </c>
      <c r="AF3303">
        <v>4.5009506343035399</v>
      </c>
      <c r="AG3303">
        <v>-1.1038219273350001</v>
      </c>
      <c r="AH3303">
        <v>16.517054433936099</v>
      </c>
      <c r="AI3303">
        <v>93.689215139578394</v>
      </c>
      <c r="AJ3303">
        <v>74.756830142542398</v>
      </c>
      <c r="AK3303">
        <v>17.1548846289712</v>
      </c>
    </row>
    <row r="3304" spans="1:37" x14ac:dyDescent="0.2">
      <c r="A3304" t="str">
        <f>"20200111153501625"</f>
        <v>20200111153501625</v>
      </c>
      <c r="B3304" t="str">
        <f>"1578728101618915"</f>
        <v>1578728101618915</v>
      </c>
      <c r="C3304" t="s">
        <v>37</v>
      </c>
      <c r="D3304">
        <v>4.8211209999999998</v>
      </c>
      <c r="E3304">
        <v>0.57185330000000001</v>
      </c>
      <c r="F3304" t="s">
        <v>39</v>
      </c>
      <c r="G3304">
        <v>-196.31379999999999</v>
      </c>
      <c r="H3304" s="1">
        <v>-2.9880360000000002E-6</v>
      </c>
      <c r="I3304">
        <v>162.35890000000001</v>
      </c>
      <c r="J3304">
        <v>-191.60059999999999</v>
      </c>
      <c r="K3304">
        <v>1.103909</v>
      </c>
      <c r="L3304">
        <v>178.55500000000001</v>
      </c>
      <c r="M3304">
        <v>-1.5956410000000001E-2</v>
      </c>
      <c r="N3304">
        <v>0</v>
      </c>
      <c r="O3304">
        <v>-0.99978279999999997</v>
      </c>
      <c r="P3304">
        <v>-9.4587589999999999E-2</v>
      </c>
      <c r="Q3304">
        <v>1.8314150000000001E-2</v>
      </c>
      <c r="R3304">
        <v>-0.99534829999999996</v>
      </c>
      <c r="S3304">
        <v>-0.84732059999999998</v>
      </c>
      <c r="T3304">
        <v>-0.19830029999999901</v>
      </c>
      <c r="U3304">
        <v>-2.9382630000000001</v>
      </c>
      <c r="V3304">
        <v>7.8768030000000003E-2</v>
      </c>
      <c r="W3304">
        <v>3.1491150000000002E-2</v>
      </c>
      <c r="X3304">
        <v>0.99639549999999999</v>
      </c>
      <c r="Y3304">
        <v>0.2611327</v>
      </c>
      <c r="Z3304">
        <v>6.48397E-2</v>
      </c>
      <c r="AA3304">
        <v>0.96312279999999995</v>
      </c>
      <c r="AB3304">
        <v>26</v>
      </c>
      <c r="AC3304">
        <v>-4.7131999999999996</v>
      </c>
      <c r="AD3304">
        <v>-1.103911988036</v>
      </c>
      <c r="AE3304">
        <v>-16.196100000000001</v>
      </c>
      <c r="AF3304">
        <v>4.4351494379030303</v>
      </c>
      <c r="AG3304">
        <v>-1.103911988036</v>
      </c>
      <c r="AH3304">
        <v>16.1998668063259</v>
      </c>
      <c r="AI3304">
        <v>93.7603352218635</v>
      </c>
      <c r="AJ3304">
        <v>74.688920090795406</v>
      </c>
      <c r="AK3304">
        <v>16.832256436870299</v>
      </c>
    </row>
    <row r="3305" spans="1:37" x14ac:dyDescent="0.2">
      <c r="A3305" t="str">
        <f>"20200111153501638"</f>
        <v>20200111153501638</v>
      </c>
      <c r="B3305" t="str">
        <f>"1578728101629651"</f>
        <v>1578728101629651</v>
      </c>
      <c r="C3305" t="s">
        <v>37</v>
      </c>
      <c r="D3305">
        <v>4.8620580000000002</v>
      </c>
      <c r="E3305">
        <v>0.57160809999999995</v>
      </c>
      <c r="F3305" t="s">
        <v>39</v>
      </c>
      <c r="G3305">
        <v>-196.28479999999999</v>
      </c>
      <c r="H3305" s="1">
        <v>-2.9864069999999999E-6</v>
      </c>
      <c r="I3305">
        <v>162.3717</v>
      </c>
      <c r="J3305">
        <v>-191.60390000000001</v>
      </c>
      <c r="K3305">
        <v>1.1040110000000001</v>
      </c>
      <c r="L3305">
        <v>178.39869999999999</v>
      </c>
      <c r="M3305">
        <v>-1.6636379999999999E-2</v>
      </c>
      <c r="N3305">
        <v>0</v>
      </c>
      <c r="O3305">
        <v>-0.99977179999999999</v>
      </c>
      <c r="P3305">
        <v>-9.6124920000000003E-2</v>
      </c>
      <c r="Q3305">
        <v>1.8190830000000002E-2</v>
      </c>
      <c r="R3305">
        <v>-0.99520330000000001</v>
      </c>
      <c r="S3305">
        <v>-0.85006709999999996</v>
      </c>
      <c r="T3305">
        <v>-0.20033419999999999</v>
      </c>
      <c r="U3305">
        <v>-2.93689</v>
      </c>
      <c r="V3305">
        <v>7.9621609999999995E-2</v>
      </c>
      <c r="W3305">
        <v>3.1381529999999998E-2</v>
      </c>
      <c r="X3305">
        <v>0.99633109999999903</v>
      </c>
      <c r="Y3305">
        <v>0.26141520000000001</v>
      </c>
      <c r="Z3305">
        <v>6.5519160000000007E-2</v>
      </c>
      <c r="AA3305">
        <v>0.96300019999999997</v>
      </c>
      <c r="AB3305">
        <v>26</v>
      </c>
      <c r="AC3305">
        <v>-4.6808999999999799</v>
      </c>
      <c r="AD3305">
        <v>-1.104013986407</v>
      </c>
      <c r="AE3305">
        <v>-16.026999999999902</v>
      </c>
      <c r="AF3305">
        <v>4.3943839884744502</v>
      </c>
      <c r="AG3305">
        <v>-1.104013986407</v>
      </c>
      <c r="AH3305">
        <v>16.0325650985877</v>
      </c>
      <c r="AI3305">
        <v>93.799507105196895</v>
      </c>
      <c r="AJ3305">
        <v>74.672172816019796</v>
      </c>
      <c r="AK3305">
        <v>16.660510231106201</v>
      </c>
    </row>
    <row r="3306" spans="1:37" x14ac:dyDescent="0.2">
      <c r="A3306" t="str">
        <f>"20200111153501651"</f>
        <v>20200111153501651</v>
      </c>
      <c r="B3306" t="str">
        <f>"1578728101639411"</f>
        <v>1578728101639411</v>
      </c>
      <c r="C3306" t="s">
        <v>37</v>
      </c>
      <c r="D3306">
        <v>4.8268899999999997</v>
      </c>
      <c r="E3306">
        <v>0.57137649999999995</v>
      </c>
      <c r="F3306" t="s">
        <v>39</v>
      </c>
      <c r="G3306">
        <v>-196.2852</v>
      </c>
      <c r="H3306" s="1">
        <v>-2.9404050000000002E-6</v>
      </c>
      <c r="I3306">
        <v>162.27420000000001</v>
      </c>
      <c r="J3306">
        <v>-191.607</v>
      </c>
      <c r="K3306">
        <v>1.1041129999999999</v>
      </c>
      <c r="L3306">
        <v>178.25460000000001</v>
      </c>
      <c r="M3306">
        <v>-1.714506E-2</v>
      </c>
      <c r="N3306">
        <v>0</v>
      </c>
      <c r="O3306">
        <v>-0.99976319999999996</v>
      </c>
      <c r="P3306">
        <v>-9.7462549999999995E-2</v>
      </c>
      <c r="Q3306">
        <v>1.8467709999999998E-2</v>
      </c>
      <c r="R3306">
        <v>-0.99506790000000001</v>
      </c>
      <c r="S3306">
        <v>-0.85232540000000001</v>
      </c>
      <c r="T3306">
        <v>-0.20100899999999999</v>
      </c>
      <c r="U3306">
        <v>-2.9358059999999999</v>
      </c>
      <c r="V3306">
        <v>8.0446820000000002E-2</v>
      </c>
      <c r="W3306">
        <v>3.1673199999999999E-2</v>
      </c>
      <c r="X3306">
        <v>0.99625560000000002</v>
      </c>
      <c r="Y3306">
        <v>0.26169809999999999</v>
      </c>
      <c r="Z3306">
        <v>6.5751790000000004E-2</v>
      </c>
      <c r="AA3306">
        <v>0.96290750000000003</v>
      </c>
      <c r="AB3306">
        <v>26</v>
      </c>
      <c r="AC3306">
        <v>-4.6782000000000004</v>
      </c>
      <c r="AD3306">
        <v>-1.1041159404049901</v>
      </c>
      <c r="AE3306">
        <v>-15.980399999999999</v>
      </c>
      <c r="AF3306">
        <v>4.3842258247880403</v>
      </c>
      <c r="AG3306">
        <v>-1.1041159404049901</v>
      </c>
      <c r="AH3306">
        <v>15.9879687847976</v>
      </c>
      <c r="AI3306">
        <v>93.810299830186494</v>
      </c>
      <c r="AJ3306">
        <v>74.665288879306004</v>
      </c>
      <c r="AK3306">
        <v>16.614922628656998</v>
      </c>
    </row>
    <row r="3307" spans="1:37" x14ac:dyDescent="0.2">
      <c r="A3307" t="str">
        <f>"20200111153501667"</f>
        <v>20200111153501667</v>
      </c>
      <c r="B3307" t="str">
        <f>"1578728101659906"</f>
        <v>1578728101659906</v>
      </c>
      <c r="C3307" t="s">
        <v>37</v>
      </c>
      <c r="D3307">
        <v>4.764157</v>
      </c>
      <c r="E3307">
        <v>0.57100200000000001</v>
      </c>
      <c r="F3307" t="s">
        <v>39</v>
      </c>
      <c r="G3307">
        <v>-196.32220000000001</v>
      </c>
      <c r="H3307" s="1">
        <v>-2.8483150000000001E-6</v>
      </c>
      <c r="I3307">
        <v>162.05850000000001</v>
      </c>
      <c r="J3307">
        <v>-191.6112</v>
      </c>
      <c r="K3307">
        <v>1.1042609999999999</v>
      </c>
      <c r="L3307">
        <v>178.05690000000001</v>
      </c>
      <c r="M3307">
        <v>-1.7743499999999999E-2</v>
      </c>
      <c r="N3307">
        <v>0</v>
      </c>
      <c r="O3307">
        <v>-0.9997528</v>
      </c>
      <c r="P3307">
        <v>-9.9795529999999993E-2</v>
      </c>
      <c r="Q3307">
        <v>1.8417630000000001E-2</v>
      </c>
      <c r="R3307">
        <v>-0.99483759999999999</v>
      </c>
      <c r="S3307">
        <v>-0.85444639999999905</v>
      </c>
      <c r="T3307">
        <v>-0.20007849999999999</v>
      </c>
      <c r="U3307">
        <v>-2.9349059999999998</v>
      </c>
      <c r="V3307">
        <v>8.2175410000000004E-2</v>
      </c>
      <c r="W3307">
        <v>3.1643659999999997E-2</v>
      </c>
      <c r="X3307">
        <v>0.99611539999999998</v>
      </c>
      <c r="Y3307">
        <v>0.26184659999999998</v>
      </c>
      <c r="Z3307">
        <v>6.5459119999999996E-2</v>
      </c>
      <c r="AA3307">
        <v>0.96288700000000005</v>
      </c>
      <c r="AB3307">
        <v>26</v>
      </c>
      <c r="AC3307">
        <v>-4.7110000000000101</v>
      </c>
      <c r="AD3307">
        <v>-1.104263848315</v>
      </c>
      <c r="AE3307">
        <v>-15.9984</v>
      </c>
      <c r="AF3307">
        <v>4.4070442883789802</v>
      </c>
      <c r="AG3307">
        <v>-1.104263848315</v>
      </c>
      <c r="AH3307">
        <v>16.009292036167299</v>
      </c>
      <c r="AI3307">
        <v>93.804720465161495</v>
      </c>
      <c r="AJ3307">
        <v>74.608813724789101</v>
      </c>
      <c r="AK3307">
        <v>16.641480388045998</v>
      </c>
    </row>
    <row r="3308" spans="1:37" x14ac:dyDescent="0.2">
      <c r="A3308" t="str">
        <f>"20200111153501680"</f>
        <v>20200111153501680</v>
      </c>
      <c r="B3308" t="str">
        <f>"1578728101669667"</f>
        <v>1578728101669667</v>
      </c>
      <c r="C3308" t="s">
        <v>37</v>
      </c>
      <c r="D3308">
        <v>4.8104620000000002</v>
      </c>
      <c r="E3308">
        <v>0.57077840000000002</v>
      </c>
      <c r="F3308" t="s">
        <v>39</v>
      </c>
      <c r="G3308">
        <v>-196.3415</v>
      </c>
      <c r="H3308" s="1">
        <v>-2.7736259999999999E-6</v>
      </c>
      <c r="I3308">
        <v>161.8897</v>
      </c>
      <c r="J3308">
        <v>-191.61429999999999</v>
      </c>
      <c r="K3308">
        <v>1.1043700000000001</v>
      </c>
      <c r="L3308">
        <v>177.91299999999899</v>
      </c>
      <c r="M3308">
        <v>-1.8105779999999998E-2</v>
      </c>
      <c r="N3308">
        <v>0</v>
      </c>
      <c r="O3308">
        <v>-0.99974629999999998</v>
      </c>
      <c r="P3308">
        <v>-0.1009789</v>
      </c>
      <c r="Q3308">
        <v>1.8035229999999999E-2</v>
      </c>
      <c r="R3308">
        <v>-0.99472519999999998</v>
      </c>
      <c r="S3308">
        <v>-0.85820010000000002</v>
      </c>
      <c r="T3308">
        <v>-0.2003441</v>
      </c>
      <c r="U3308">
        <v>-2.933182</v>
      </c>
      <c r="V3308">
        <v>8.2990540000000002E-2</v>
      </c>
      <c r="W3308">
        <v>3.1279540000000002E-2</v>
      </c>
      <c r="X3308">
        <v>0.99605929999999998</v>
      </c>
      <c r="Y3308">
        <v>0.26278220000000002</v>
      </c>
      <c r="Z3308">
        <v>6.556186E-2</v>
      </c>
      <c r="AA3308">
        <v>0.96262510000000001</v>
      </c>
      <c r="AB3308">
        <v>26</v>
      </c>
      <c r="AC3308">
        <v>-4.7272000000000096</v>
      </c>
      <c r="AD3308">
        <v>-1.1043727736260001</v>
      </c>
      <c r="AE3308">
        <v>-16.0232999999999</v>
      </c>
      <c r="AF3308">
        <v>4.4169822880411296</v>
      </c>
      <c r="AG3308">
        <v>-1.1043727736260001</v>
      </c>
      <c r="AH3308">
        <v>16.036191836694101</v>
      </c>
      <c r="AI3308">
        <v>93.798577409876302</v>
      </c>
      <c r="AJ3308">
        <v>74.600401364330096</v>
      </c>
      <c r="AK3308">
        <v>16.6699976118549</v>
      </c>
    </row>
    <row r="3309" spans="1:37" x14ac:dyDescent="0.2">
      <c r="A3309" t="str">
        <f>"20200111153501694"</f>
        <v>20200111153501694</v>
      </c>
      <c r="B3309" t="str">
        <f>"1578728101689188"</f>
        <v>1578728101689188</v>
      </c>
      <c r="C3309" t="s">
        <v>37</v>
      </c>
      <c r="D3309">
        <v>4.8160869999999996</v>
      </c>
      <c r="E3309">
        <v>0.57032119999999997</v>
      </c>
      <c r="F3309" t="s">
        <v>39</v>
      </c>
      <c r="G3309">
        <v>-196.32159999999999</v>
      </c>
      <c r="H3309" s="1">
        <v>-2.7533130000000001E-6</v>
      </c>
      <c r="I3309">
        <v>161.8579</v>
      </c>
      <c r="J3309">
        <v>-191.61760000000001</v>
      </c>
      <c r="K3309">
        <v>1.104487</v>
      </c>
      <c r="L3309">
        <v>177.7508</v>
      </c>
      <c r="M3309">
        <v>-1.8383710000000001E-2</v>
      </c>
      <c r="N3309">
        <v>0</v>
      </c>
      <c r="O3309">
        <v>-0.9997412</v>
      </c>
      <c r="P3309">
        <v>-0.1020953</v>
      </c>
      <c r="Q3309">
        <v>1.734989E-2</v>
      </c>
      <c r="R3309">
        <v>-0.99462340000000005</v>
      </c>
      <c r="S3309">
        <v>-0.85974119999999998</v>
      </c>
      <c r="T3309">
        <v>-0.20170250000000001</v>
      </c>
      <c r="U3309">
        <v>-2.9322970000000002</v>
      </c>
      <c r="V3309">
        <v>8.3821800000000002E-2</v>
      </c>
      <c r="W3309">
        <v>3.0614189999999999E-2</v>
      </c>
      <c r="X3309">
        <v>0.99601039999999996</v>
      </c>
      <c r="Y3309">
        <v>0.2630499</v>
      </c>
      <c r="Z3309">
        <v>6.6015710000000005E-2</v>
      </c>
      <c r="AA3309">
        <v>0.96252099999999996</v>
      </c>
      <c r="AB3309">
        <v>26</v>
      </c>
      <c r="AC3309">
        <v>-4.7039999999999704</v>
      </c>
      <c r="AD3309">
        <v>-1.104489753313</v>
      </c>
      <c r="AE3309">
        <v>-15.8928999999999</v>
      </c>
      <c r="AF3309">
        <v>4.3915070868125499</v>
      </c>
      <c r="AG3309">
        <v>-1.104489753313</v>
      </c>
      <c r="AH3309">
        <v>15.906065270433601</v>
      </c>
      <c r="AI3309">
        <v>93.829327938600599</v>
      </c>
      <c r="AJ3309">
        <v>74.565698339471695</v>
      </c>
      <c r="AK3309">
        <v>16.538081644978998</v>
      </c>
    </row>
    <row r="3310" spans="1:37" x14ac:dyDescent="0.2">
      <c r="A3310" t="str">
        <f>"20200111153501706"</f>
        <v>20200111153501706</v>
      </c>
      <c r="B3310" t="str">
        <f>"1578728101698947"</f>
        <v>1578728101698947</v>
      </c>
      <c r="C3310" t="s">
        <v>37</v>
      </c>
      <c r="D3310">
        <v>4.8619589999999997</v>
      </c>
      <c r="E3310">
        <v>0.57009009999999904</v>
      </c>
      <c r="F3310" t="s">
        <v>39</v>
      </c>
      <c r="G3310">
        <v>-196.2679</v>
      </c>
      <c r="H3310" s="1">
        <v>-2.7528409999999998E-6</v>
      </c>
      <c r="I3310">
        <v>161.88720000000001</v>
      </c>
      <c r="J3310">
        <v>-191.6208</v>
      </c>
      <c r="K3310">
        <v>1.1045929999999999</v>
      </c>
      <c r="L3310">
        <v>177.5958</v>
      </c>
      <c r="M3310">
        <v>-1.8572080000000001E-2</v>
      </c>
      <c r="N3310">
        <v>0</v>
      </c>
      <c r="O3310">
        <v>-0.99973789999999996</v>
      </c>
      <c r="P3310">
        <v>-0.10313659999999999</v>
      </c>
      <c r="Q3310">
        <v>1.667039E-2</v>
      </c>
      <c r="R3310">
        <v>-0.99452770000000001</v>
      </c>
      <c r="S3310">
        <v>-0.85935969999999995</v>
      </c>
      <c r="T3310">
        <v>-0.2041085</v>
      </c>
      <c r="U3310">
        <v>-2.9315799999999999</v>
      </c>
      <c r="V3310">
        <v>8.4668450000000006E-2</v>
      </c>
      <c r="W3310">
        <v>2.995312E-2</v>
      </c>
      <c r="X3310">
        <v>0.99595889999999998</v>
      </c>
      <c r="Y3310">
        <v>0.26280130000000002</v>
      </c>
      <c r="Z3310">
        <v>6.6818310000000006E-2</v>
      </c>
      <c r="AA3310">
        <v>0.96253349999999904</v>
      </c>
      <c r="AB3310">
        <v>26</v>
      </c>
      <c r="AC3310">
        <v>-4.6470999999999902</v>
      </c>
      <c r="AD3310">
        <v>-1.104595752841</v>
      </c>
      <c r="AE3310">
        <v>-15.708599999999899</v>
      </c>
      <c r="AF3310">
        <v>4.3348217027403297</v>
      </c>
      <c r="AG3310">
        <v>-1.104595752841</v>
      </c>
      <c r="AH3310">
        <v>15.720726828188299</v>
      </c>
      <c r="AI3310">
        <v>93.875055026213104</v>
      </c>
      <c r="AJ3310">
        <v>74.584377310183797</v>
      </c>
      <c r="AK3310">
        <v>16.344787027620299</v>
      </c>
    </row>
    <row r="3311" spans="1:37" x14ac:dyDescent="0.2">
      <c r="A3311" t="str">
        <f>"20200111153501720"</f>
        <v>20200111153501720</v>
      </c>
      <c r="B3311" t="str">
        <f>"1578728101709683"</f>
        <v>1578728101709683</v>
      </c>
      <c r="C3311" t="s">
        <v>37</v>
      </c>
      <c r="D3311">
        <v>4.8329199999999997</v>
      </c>
      <c r="E3311">
        <v>0.56986419999999904</v>
      </c>
      <c r="F3311" t="s">
        <v>39</v>
      </c>
      <c r="G3311">
        <v>-196.22970000000001</v>
      </c>
      <c r="H3311" s="1">
        <v>-2.7473829999999999E-6</v>
      </c>
      <c r="I3311">
        <v>161.89709999999999</v>
      </c>
      <c r="J3311">
        <v>-191.62389999999999</v>
      </c>
      <c r="K3311">
        <v>1.104692</v>
      </c>
      <c r="L3311">
        <v>177.4425</v>
      </c>
      <c r="M3311">
        <v>-1.8699589999999999E-2</v>
      </c>
      <c r="N3311">
        <v>0</v>
      </c>
      <c r="O3311">
        <v>-0.99973539999999905</v>
      </c>
      <c r="P3311">
        <v>-0.1037691</v>
      </c>
      <c r="Q3311">
        <v>1.5991970000000001E-2</v>
      </c>
      <c r="R3311">
        <v>-0.99447299999999905</v>
      </c>
      <c r="S3311">
        <v>-0.86042790000000002</v>
      </c>
      <c r="T3311">
        <v>-0.20621309999999901</v>
      </c>
      <c r="U3311">
        <v>-2.9307400000000001</v>
      </c>
      <c r="V3311">
        <v>8.5167259999999995E-2</v>
      </c>
      <c r="W3311">
        <v>2.9292039999999998E-2</v>
      </c>
      <c r="X3311">
        <v>0.99593600000000004</v>
      </c>
      <c r="Y3311">
        <v>0.26306249999999998</v>
      </c>
      <c r="Z3311">
        <v>6.7516430000000002E-2</v>
      </c>
      <c r="AA3311">
        <v>0.96241339999999997</v>
      </c>
      <c r="AB3311">
        <v>26</v>
      </c>
      <c r="AC3311">
        <v>-4.6058000000000101</v>
      </c>
      <c r="AD3311">
        <v>-1.104694747383</v>
      </c>
      <c r="AE3311">
        <v>-15.545400000000001</v>
      </c>
      <c r="AF3311">
        <v>4.2943399531949096</v>
      </c>
      <c r="AG3311">
        <v>-1.104694747383</v>
      </c>
      <c r="AH3311">
        <v>15.5565963347312</v>
      </c>
      <c r="AI3311">
        <v>93.915855028996305</v>
      </c>
      <c r="AJ3311">
        <v>74.568033060752995</v>
      </c>
      <c r="AK3311">
        <v>16.176198429800301</v>
      </c>
    </row>
    <row r="3312" spans="1:37" x14ac:dyDescent="0.2">
      <c r="A3312" t="str">
        <f>"20200111153501735"</f>
        <v>20200111153501735</v>
      </c>
      <c r="B3312" t="str">
        <f>"1578728101729203"</f>
        <v>1578728101729203</v>
      </c>
      <c r="C3312" t="s">
        <v>37</v>
      </c>
      <c r="D3312">
        <v>4.845421</v>
      </c>
      <c r="E3312">
        <v>0.55894860000000002</v>
      </c>
      <c r="F3312" t="s">
        <v>39</v>
      </c>
      <c r="G3312">
        <v>-196.18700000000001</v>
      </c>
      <c r="H3312" s="1">
        <v>-2.7396189999999999E-6</v>
      </c>
      <c r="I3312">
        <v>161.90469999999999</v>
      </c>
      <c r="J3312">
        <v>-191.62739999999999</v>
      </c>
      <c r="K3312">
        <v>1.1047910000000001</v>
      </c>
      <c r="L3312">
        <v>177.26179999999999</v>
      </c>
      <c r="M3312">
        <v>-1.873584E-2</v>
      </c>
      <c r="N3312">
        <v>0</v>
      </c>
      <c r="O3312">
        <v>-0.99973489999999998</v>
      </c>
      <c r="P3312">
        <v>-0.10476920000000001</v>
      </c>
      <c r="Q3312">
        <v>1.601091E-2</v>
      </c>
      <c r="R3312">
        <v>-0.99436780000000002</v>
      </c>
      <c r="S3312">
        <v>-0.86054989999999998</v>
      </c>
      <c r="T3312">
        <v>-0.20833179999999901</v>
      </c>
      <c r="U3312">
        <v>-2.930237</v>
      </c>
      <c r="V3312">
        <v>8.6126010000000003E-2</v>
      </c>
      <c r="W3312">
        <v>2.9327309999999999E-2</v>
      </c>
      <c r="X3312">
        <v>0.99585249999999903</v>
      </c>
      <c r="Y3312">
        <v>0.26309569999999999</v>
      </c>
      <c r="Z3312">
        <v>6.8217239999999998E-2</v>
      </c>
      <c r="AA3312">
        <v>0.96235499999999996</v>
      </c>
      <c r="AB3312">
        <v>26</v>
      </c>
      <c r="AC3312">
        <v>-4.5596000000000103</v>
      </c>
      <c r="AD3312">
        <v>-1.104793739619</v>
      </c>
      <c r="AE3312">
        <v>-15.357100000000001</v>
      </c>
      <c r="AF3312">
        <v>4.2508280539507597</v>
      </c>
      <c r="AG3312">
        <v>-1.104793739619</v>
      </c>
      <c r="AH3312">
        <v>15.3667530988027</v>
      </c>
      <c r="AI3312">
        <v>93.9638457675875</v>
      </c>
      <c r="AJ3312">
        <v>74.537225266002807</v>
      </c>
      <c r="AK3312">
        <v>15.9820902622566</v>
      </c>
    </row>
    <row r="3313" spans="1:37" x14ac:dyDescent="0.2">
      <c r="A3313" t="str">
        <f>"20200111153501747"</f>
        <v>20200111153501747</v>
      </c>
      <c r="B3313" t="str">
        <f>"1578728101738964"</f>
        <v>1578728101738964</v>
      </c>
      <c r="C3313" t="s">
        <v>37</v>
      </c>
      <c r="D3313">
        <v>4.7654719999999999</v>
      </c>
      <c r="E3313">
        <v>0.55897619999999903</v>
      </c>
      <c r="F3313" t="s">
        <v>39</v>
      </c>
      <c r="G3313">
        <v>-196.08029999999999</v>
      </c>
      <c r="H3313" s="1">
        <v>-2.01066499999999E-6</v>
      </c>
      <c r="I3313">
        <v>160.42269999999999</v>
      </c>
      <c r="J3313">
        <v>-191.6302</v>
      </c>
      <c r="K3313">
        <v>1.104859</v>
      </c>
      <c r="L3313">
        <v>177.1182</v>
      </c>
      <c r="M3313">
        <v>-1.8706420000000001E-2</v>
      </c>
      <c r="N3313">
        <v>0</v>
      </c>
      <c r="O3313">
        <v>-0.99973559999999995</v>
      </c>
      <c r="P3313">
        <v>-0.1048125</v>
      </c>
      <c r="Q3313">
        <v>1.6318079999999999E-2</v>
      </c>
      <c r="R3313">
        <v>-0.99435849999999903</v>
      </c>
      <c r="S3313">
        <v>-0.77697749999999999</v>
      </c>
      <c r="T3313">
        <v>-0.19277269999999999</v>
      </c>
      <c r="U3313">
        <v>-2.9382169999999999</v>
      </c>
      <c r="V3313">
        <v>8.6194110000000004E-2</v>
      </c>
      <c r="W3313">
        <v>2.9646169999999999E-2</v>
      </c>
      <c r="X3313">
        <v>0.99583719999999998</v>
      </c>
      <c r="Y3313">
        <v>0.2370054</v>
      </c>
      <c r="Z3313">
        <v>6.3432779999999994E-2</v>
      </c>
      <c r="AA3313">
        <v>0.9694353</v>
      </c>
      <c r="AB3313">
        <v>26</v>
      </c>
      <c r="AC3313">
        <v>-4.4500999999999902</v>
      </c>
      <c r="AD3313">
        <v>-1.1048610106650001</v>
      </c>
      <c r="AE3313">
        <v>-16.695499999999999</v>
      </c>
      <c r="AF3313">
        <v>4.1201333396568698</v>
      </c>
      <c r="AG3313">
        <v>-1.1048610106650001</v>
      </c>
      <c r="AH3313">
        <v>16.7075153399648</v>
      </c>
      <c r="AI3313">
        <v>93.673695943014906</v>
      </c>
      <c r="AJ3313">
        <v>76.147055045117099</v>
      </c>
      <c r="AK3313">
        <v>17.243470805629599</v>
      </c>
    </row>
    <row r="3314" spans="1:37" x14ac:dyDescent="0.2">
      <c r="A3314" t="str">
        <f>"20200111153501761"</f>
        <v>20200111153501761</v>
      </c>
      <c r="B3314" t="str">
        <f>"1578728101749699"</f>
        <v>1578728101749699</v>
      </c>
      <c r="C3314" t="s">
        <v>37</v>
      </c>
      <c r="D3314">
        <v>4.827115</v>
      </c>
      <c r="E3314">
        <v>0.55897619999999903</v>
      </c>
      <c r="F3314" t="s">
        <v>51</v>
      </c>
      <c r="G3314">
        <v>-196.66290000000001</v>
      </c>
      <c r="H3314" s="1">
        <v>-1.4597089999999901E-5</v>
      </c>
      <c r="I3314">
        <v>158.1045</v>
      </c>
      <c r="J3314">
        <v>-191.63310000000001</v>
      </c>
      <c r="K3314">
        <v>1.1049249999999999</v>
      </c>
      <c r="L3314">
        <v>176.96530000000001</v>
      </c>
      <c r="M3314">
        <v>-1.8639880000000001E-2</v>
      </c>
      <c r="N3314">
        <v>0</v>
      </c>
      <c r="O3314">
        <v>-0.99973679999999998</v>
      </c>
      <c r="P3314">
        <v>-0.1051858</v>
      </c>
      <c r="Q3314">
        <v>1.6976669999999999E-2</v>
      </c>
      <c r="R3314">
        <v>-0.99430779999999996</v>
      </c>
      <c r="S3314">
        <v>-0.77761840000000004</v>
      </c>
      <c r="T3314">
        <v>-0.17071720000000001</v>
      </c>
      <c r="U3314">
        <v>-2.9378660000000001</v>
      </c>
      <c r="V3314">
        <v>8.6629960000000006E-2</v>
      </c>
      <c r="W3314">
        <v>3.0315350000000001E-2</v>
      </c>
      <c r="X3314">
        <v>0.99577919999999998</v>
      </c>
      <c r="Y3314">
        <v>0.23740709999999901</v>
      </c>
      <c r="Z3314">
        <v>5.6202639999999998E-2</v>
      </c>
      <c r="AA3314">
        <v>0.96978310000000001</v>
      </c>
      <c r="AB3314">
        <v>26</v>
      </c>
      <c r="AC3314">
        <v>-5.0297999999999901</v>
      </c>
      <c r="AD3314">
        <v>-1.10493959709</v>
      </c>
      <c r="AE3314">
        <v>-18.860800000000001</v>
      </c>
      <c r="AF3314">
        <v>4.6623922495596197</v>
      </c>
      <c r="AG3314">
        <v>-1.10493959709</v>
      </c>
      <c r="AH3314">
        <v>18.8907561035141</v>
      </c>
      <c r="AI3314">
        <v>93.250165716968198</v>
      </c>
      <c r="AJ3314">
        <v>76.136008196782896</v>
      </c>
      <c r="AK3314">
        <v>19.488957364734201</v>
      </c>
    </row>
    <row r="3315" spans="1:37" x14ac:dyDescent="0.2">
      <c r="A3315" t="str">
        <f>"20200111153501774"</f>
        <v>20200111153501774</v>
      </c>
      <c r="B3315" t="str">
        <f>"1578728101769219"</f>
        <v>1578728101769219</v>
      </c>
      <c r="C3315" t="s">
        <v>37</v>
      </c>
      <c r="D3315">
        <v>4.8878899999999996</v>
      </c>
      <c r="E3315">
        <v>0.50375029999999998</v>
      </c>
      <c r="F3315" t="s">
        <v>51</v>
      </c>
      <c r="G3315">
        <v>-196.7261</v>
      </c>
      <c r="H3315" s="1">
        <v>-1.4507779999999901E-5</v>
      </c>
      <c r="I3315">
        <v>157.74950000000001</v>
      </c>
      <c r="J3315">
        <v>-191.63589999999999</v>
      </c>
      <c r="K3315">
        <v>1.1049770000000001</v>
      </c>
      <c r="L3315">
        <v>176.8108</v>
      </c>
      <c r="M3315">
        <v>-1.8508259999999999E-2</v>
      </c>
      <c r="N3315">
        <v>0</v>
      </c>
      <c r="O3315">
        <v>-0.99973919999999905</v>
      </c>
      <c r="P3315">
        <v>-0.1051523</v>
      </c>
      <c r="Q3315">
        <v>1.7267910000000001E-2</v>
      </c>
      <c r="R3315">
        <v>-0.99430629999999998</v>
      </c>
      <c r="S3315">
        <v>-0.77862549999999997</v>
      </c>
      <c r="T3315">
        <v>-0.16892270000000001</v>
      </c>
      <c r="U3315">
        <v>-2.9376980000000001</v>
      </c>
      <c r="V3315">
        <v>8.6723419999999996E-2</v>
      </c>
      <c r="W3315">
        <v>3.0616089999999999E-2</v>
      </c>
      <c r="X3315">
        <v>0.99576189999999998</v>
      </c>
      <c r="Y3315">
        <v>0.23786769999999999</v>
      </c>
      <c r="Z3315">
        <v>5.5611420000000002E-2</v>
      </c>
      <c r="AA3315">
        <v>0.96970419999999902</v>
      </c>
      <c r="AB3315">
        <v>26</v>
      </c>
      <c r="AC3315">
        <v>-5.0902000000000003</v>
      </c>
      <c r="AD3315">
        <v>-1.1049915077800001</v>
      </c>
      <c r="AE3315">
        <v>-19.0612999999999</v>
      </c>
      <c r="AF3315">
        <v>4.7216935132452704</v>
      </c>
      <c r="AG3315">
        <v>-1.1049915077800001</v>
      </c>
      <c r="AH3315">
        <v>19.092363242429201</v>
      </c>
      <c r="AI3315">
        <v>93.215695062660501</v>
      </c>
      <c r="AJ3315">
        <v>76.109017366848306</v>
      </c>
      <c r="AK3315">
        <v>19.698571776810301</v>
      </c>
    </row>
    <row r="3316" spans="1:37" x14ac:dyDescent="0.2">
      <c r="A3316" t="str">
        <f>"20200111153501789"</f>
        <v>20200111153501789</v>
      </c>
      <c r="B3316" t="str">
        <f>"1578728101778979"</f>
        <v>1578728101778979</v>
      </c>
      <c r="C3316" t="s">
        <v>37</v>
      </c>
      <c r="D3316">
        <v>4.9420199999999896</v>
      </c>
      <c r="E3316">
        <v>0.49616130000000003</v>
      </c>
      <c r="F3316" t="s">
        <v>51</v>
      </c>
      <c r="G3316">
        <v>-193.65979999999999</v>
      </c>
      <c r="H3316" s="1">
        <v>-1.4833859999999999E-5</v>
      </c>
      <c r="I3316">
        <v>159.0455</v>
      </c>
      <c r="J3316">
        <v>-191.63919999999999</v>
      </c>
      <c r="K3316">
        <v>1.1050420000000001</v>
      </c>
      <c r="L3316">
        <v>176.6277</v>
      </c>
      <c r="M3316">
        <v>-1.8304499999999901E-2</v>
      </c>
      <c r="N3316">
        <v>0</v>
      </c>
      <c r="O3316">
        <v>-0.99974289999999999</v>
      </c>
      <c r="P3316">
        <v>-0.1056266</v>
      </c>
      <c r="Q3316">
        <v>1.8431739999999999E-2</v>
      </c>
      <c r="R3316">
        <v>-0.99423499999999998</v>
      </c>
      <c r="S3316">
        <v>-0.33999629999999997</v>
      </c>
      <c r="T3316">
        <v>-0.1856313</v>
      </c>
      <c r="U3316">
        <v>-2.984451</v>
      </c>
      <c r="V3316">
        <v>8.7396970000000004E-2</v>
      </c>
      <c r="W3316">
        <v>3.1789499999999998E-2</v>
      </c>
      <c r="X3316">
        <v>0.99566619999999995</v>
      </c>
      <c r="Y3316">
        <v>9.4767160000000003E-2</v>
      </c>
      <c r="Z3316">
        <v>6.1725429999999998E-2</v>
      </c>
      <c r="AA3316">
        <v>0.99358400000000002</v>
      </c>
      <c r="AB3316">
        <v>26</v>
      </c>
      <c r="AC3316">
        <v>-2.0206</v>
      </c>
      <c r="AD3316">
        <v>-1.10505683386</v>
      </c>
      <c r="AE3316">
        <v>-17.5822</v>
      </c>
      <c r="AF3316">
        <v>1.69180330021901</v>
      </c>
      <c r="AG3316">
        <v>-1.10505683386</v>
      </c>
      <c r="AH3316">
        <v>17.547828656206701</v>
      </c>
      <c r="AI3316">
        <v>93.586798178924099</v>
      </c>
      <c r="AJ3316">
        <v>84.493078266451406</v>
      </c>
      <c r="AK3316">
        <v>17.6637945968663</v>
      </c>
    </row>
    <row r="3317" spans="1:37" x14ac:dyDescent="0.2">
      <c r="A3317" t="str">
        <f>"20200111153501802"</f>
        <v>20200111153501802</v>
      </c>
      <c r="B3317" t="str">
        <f>"1578728101799475"</f>
        <v>1578728101799475</v>
      </c>
      <c r="C3317" t="s">
        <v>37</v>
      </c>
      <c r="D3317">
        <v>4.8291389999999996</v>
      </c>
      <c r="E3317">
        <v>0.48973529999999998</v>
      </c>
      <c r="F3317" t="s">
        <v>40</v>
      </c>
      <c r="G3317">
        <v>-191.71719999999999</v>
      </c>
      <c r="H3317">
        <v>1.0499689999999999</v>
      </c>
      <c r="I3317">
        <v>175.79660000000001</v>
      </c>
      <c r="J3317">
        <v>-191.64179999999999</v>
      </c>
      <c r="K3317">
        <v>1.1050949999999999</v>
      </c>
      <c r="L3317">
        <v>176.48390000000001</v>
      </c>
      <c r="M3317">
        <v>-1.812049E-2</v>
      </c>
      <c r="N3317">
        <v>0</v>
      </c>
      <c r="O3317">
        <v>-0.99974649999999998</v>
      </c>
      <c r="P3317">
        <v>-0.1057085</v>
      </c>
      <c r="Q3317">
        <v>1.8930559999999999E-2</v>
      </c>
      <c r="R3317">
        <v>-0.99421719999999902</v>
      </c>
      <c r="S3317">
        <v>-0.28036499999999998</v>
      </c>
      <c r="T3317">
        <v>-0.19829910000000001</v>
      </c>
      <c r="U3317">
        <v>-2.9912719999999999</v>
      </c>
      <c r="V3317">
        <v>8.7658860000000005E-2</v>
      </c>
      <c r="W3317">
        <v>3.2296110000000003E-2</v>
      </c>
      <c r="X3317">
        <v>0.99562689999999998</v>
      </c>
      <c r="Y3317">
        <v>7.5057550000000001E-2</v>
      </c>
      <c r="Z3317">
        <v>6.5894099999999997E-2</v>
      </c>
      <c r="AA3317">
        <v>0.99499959999999898</v>
      </c>
      <c r="AB3317">
        <v>26</v>
      </c>
      <c r="AC3317">
        <v>-7.5400000000001896E-2</v>
      </c>
      <c r="AD3317">
        <v>-5.5126000000000001E-2</v>
      </c>
      <c r="AE3317">
        <v>-0.68729999999999303</v>
      </c>
      <c r="AF3317">
        <v>6.2534784472681001E-2</v>
      </c>
      <c r="AG3317">
        <v>-5.5126000000000001E-2</v>
      </c>
      <c r="AH3317">
        <v>0.68420432797722297</v>
      </c>
      <c r="AI3317">
        <v>94.587303979049594</v>
      </c>
      <c r="AJ3317">
        <v>84.777799691213303</v>
      </c>
      <c r="AK3317">
        <v>0.68926412757941202</v>
      </c>
    </row>
    <row r="3318" spans="1:37" x14ac:dyDescent="0.2">
      <c r="A3318" t="str">
        <f>"20200111153501814"</f>
        <v>20200111153501814</v>
      </c>
      <c r="B3318" t="str">
        <f>"1578728101809234"</f>
        <v>1578728101809234</v>
      </c>
      <c r="C3318" t="s">
        <v>37</v>
      </c>
      <c r="D3318">
        <v>4.749104</v>
      </c>
      <c r="E3318">
        <v>0.48888509999999902</v>
      </c>
      <c r="F3318" t="s">
        <v>40</v>
      </c>
      <c r="G3318">
        <v>-191.71190000000001</v>
      </c>
      <c r="H3318">
        <v>1.043104</v>
      </c>
      <c r="I3318">
        <v>175.5694</v>
      </c>
      <c r="J3318">
        <v>-191.64420000000001</v>
      </c>
      <c r="K3318">
        <v>1.10514</v>
      </c>
      <c r="L3318">
        <v>176.34399999999999</v>
      </c>
      <c r="M3318">
        <v>-1.7920699999999901E-2</v>
      </c>
      <c r="N3318">
        <v>0</v>
      </c>
      <c r="O3318">
        <v>-0.99975009999999997</v>
      </c>
      <c r="P3318">
        <v>-0.10584589999999899</v>
      </c>
      <c r="Q3318">
        <v>1.9539399999999998E-2</v>
      </c>
      <c r="R3318">
        <v>-0.99419080000000004</v>
      </c>
      <c r="S3318">
        <v>-0.2295074</v>
      </c>
      <c r="T3318">
        <v>-0.20320679999999999</v>
      </c>
      <c r="U3318">
        <v>-2.9969329999999998</v>
      </c>
      <c r="V3318">
        <v>8.7991959999999994E-2</v>
      </c>
      <c r="W3318">
        <v>3.2911849999999999E-2</v>
      </c>
      <c r="X3318">
        <v>0.9955773</v>
      </c>
      <c r="Y3318">
        <v>5.8300940000000002E-2</v>
      </c>
      <c r="Z3318">
        <v>6.7477480000000006E-2</v>
      </c>
      <c r="AA3318">
        <v>0.99601600000000001</v>
      </c>
      <c r="AB3318">
        <v>26</v>
      </c>
      <c r="AC3318">
        <v>-6.7700000000001995E-2</v>
      </c>
      <c r="AD3318">
        <v>-6.2035999999999897E-2</v>
      </c>
      <c r="AE3318">
        <v>-0.77460000000002005</v>
      </c>
      <c r="AF3318">
        <v>5.34661771175391E-2</v>
      </c>
      <c r="AG3318">
        <v>-6.2035999999999897E-2</v>
      </c>
      <c r="AH3318">
        <v>0.77078256331139705</v>
      </c>
      <c r="AI3318">
        <v>94.590516408640099</v>
      </c>
      <c r="AJ3318">
        <v>86.031971586168197</v>
      </c>
      <c r="AK3318">
        <v>0.77512118878047198</v>
      </c>
    </row>
    <row r="3319" spans="1:37" x14ac:dyDescent="0.2">
      <c r="A3319" t="str">
        <f>"20200111153501825"</f>
        <v>20200111153501825</v>
      </c>
      <c r="B3319" t="str">
        <f>"1578728101818995"</f>
        <v>1578728101818995</v>
      </c>
      <c r="C3319" t="s">
        <v>37</v>
      </c>
      <c r="D3319">
        <v>4.776103</v>
      </c>
      <c r="E3319">
        <v>0.48820360000000002</v>
      </c>
      <c r="F3319" t="s">
        <v>40</v>
      </c>
      <c r="G3319">
        <v>-191.70330000000001</v>
      </c>
      <c r="H3319">
        <v>1.0524359999999999</v>
      </c>
      <c r="I3319">
        <v>175.55090000000001</v>
      </c>
      <c r="J3319">
        <v>-191.6463</v>
      </c>
      <c r="K3319">
        <v>1.105178</v>
      </c>
      <c r="L3319">
        <v>176.2123</v>
      </c>
      <c r="M3319">
        <v>-1.7720400000000001E-2</v>
      </c>
      <c r="N3319">
        <v>0</v>
      </c>
      <c r="O3319">
        <v>-0.99975380000000003</v>
      </c>
      <c r="P3319">
        <v>-0.106074</v>
      </c>
      <c r="Q3319">
        <v>2.0084390000000001E-2</v>
      </c>
      <c r="R3319">
        <v>-0.99415589999999998</v>
      </c>
      <c r="S3319">
        <v>-0.22326660000000001</v>
      </c>
      <c r="T3319">
        <v>-0.19925209999999999</v>
      </c>
      <c r="U3319">
        <v>-2.997665</v>
      </c>
      <c r="V3319">
        <v>8.8416960000000003E-2</v>
      </c>
      <c r="W3319">
        <v>3.34623E-2</v>
      </c>
      <c r="X3319">
        <v>0.99552129999999905</v>
      </c>
      <c r="Y3319">
        <v>5.6426999999999998E-2</v>
      </c>
      <c r="Z3319">
        <v>6.6163109999999997E-2</v>
      </c>
      <c r="AA3319">
        <v>0.99621209999999905</v>
      </c>
      <c r="AB3319">
        <v>26</v>
      </c>
      <c r="AC3319">
        <v>-5.7000000000016302E-2</v>
      </c>
      <c r="AD3319">
        <v>-5.2741999999999803E-2</v>
      </c>
      <c r="AE3319">
        <v>-0.661399999999986</v>
      </c>
      <c r="AF3319">
        <v>4.4985777666268698E-2</v>
      </c>
      <c r="AG3319">
        <v>-5.2741999999999803E-2</v>
      </c>
      <c r="AH3319">
        <v>0.65815198697715405</v>
      </c>
      <c r="AI3319">
        <v>94.571072489872407</v>
      </c>
      <c r="AJ3319">
        <v>86.089820453964805</v>
      </c>
      <c r="AK3319">
        <v>0.66179262365050195</v>
      </c>
    </row>
    <row r="3320" spans="1:37" x14ac:dyDescent="0.2">
      <c r="A3320" t="str">
        <f>"20200111153501838"</f>
        <v>20200111153501838</v>
      </c>
      <c r="B3320" t="str">
        <f>"1578728101829731"</f>
        <v>1578728101829731</v>
      </c>
      <c r="C3320" t="s">
        <v>37</v>
      </c>
      <c r="D3320">
        <v>4.7648859999999997</v>
      </c>
      <c r="E3320">
        <v>0.48773109999999997</v>
      </c>
      <c r="F3320" t="s">
        <v>40</v>
      </c>
      <c r="G3320">
        <v>-191.7105</v>
      </c>
      <c r="H3320">
        <v>1.0476749999999999</v>
      </c>
      <c r="I3320">
        <v>175.3331</v>
      </c>
      <c r="J3320">
        <v>-191.64879999999999</v>
      </c>
      <c r="K3320">
        <v>1.1052169999999999</v>
      </c>
      <c r="L3320">
        <v>176.06530000000001</v>
      </c>
      <c r="M3320">
        <v>-1.748798E-2</v>
      </c>
      <c r="N3320">
        <v>0</v>
      </c>
      <c r="O3320">
        <v>-0.99975789999999998</v>
      </c>
      <c r="P3320">
        <v>-0.1058543</v>
      </c>
      <c r="Q3320">
        <v>2.05375E-2</v>
      </c>
      <c r="R3320">
        <v>-0.99416979999999999</v>
      </c>
      <c r="S3320">
        <v>-0.2185822</v>
      </c>
      <c r="T3320">
        <v>-0.1962035</v>
      </c>
      <c r="U3320">
        <v>-2.9982599999999899</v>
      </c>
      <c r="V3320">
        <v>8.8425229999999994E-2</v>
      </c>
      <c r="W3320">
        <v>3.3921710000000001E-2</v>
      </c>
      <c r="X3320">
        <v>0.99550499999999997</v>
      </c>
      <c r="Y3320">
        <v>5.5101199999999899E-2</v>
      </c>
      <c r="Z3320">
        <v>6.514884E-2</v>
      </c>
      <c r="AA3320">
        <v>0.99635309999999899</v>
      </c>
      <c r="AB3320">
        <v>26</v>
      </c>
      <c r="AC3320">
        <v>-6.1700000000001802E-2</v>
      </c>
      <c r="AD3320">
        <v>-5.7542000000000197E-2</v>
      </c>
      <c r="AE3320">
        <v>-0.73220000000000596</v>
      </c>
      <c r="AF3320">
        <v>4.8586763750408102E-2</v>
      </c>
      <c r="AG3320">
        <v>-5.7542000000000197E-2</v>
      </c>
      <c r="AH3320">
        <v>0.72869836982201497</v>
      </c>
      <c r="AI3320">
        <v>94.505056801621606</v>
      </c>
      <c r="AJ3320">
        <v>86.185387194666902</v>
      </c>
      <c r="AK3320">
        <v>0.73257973597213299</v>
      </c>
    </row>
    <row r="3321" spans="1:37" x14ac:dyDescent="0.2">
      <c r="A3321" t="str">
        <f>"20200111153501852"</f>
        <v>20200111153501852</v>
      </c>
      <c r="B3321" t="str">
        <f>"1578728101849251"</f>
        <v>1578728101849251</v>
      </c>
      <c r="C3321" t="s">
        <v>37</v>
      </c>
      <c r="D3321">
        <v>4.7725330000000001</v>
      </c>
      <c r="E3321">
        <v>0.48717169999999999</v>
      </c>
      <c r="F3321" t="s">
        <v>51</v>
      </c>
      <c r="G3321">
        <v>-192.83369999999999</v>
      </c>
      <c r="H3321" s="1">
        <v>-1.4941309999999999E-5</v>
      </c>
      <c r="I3321">
        <v>159.4725</v>
      </c>
      <c r="J3321">
        <v>-191.65119999999999</v>
      </c>
      <c r="K3321">
        <v>1.105245</v>
      </c>
      <c r="L3321">
        <v>175.91069999999999</v>
      </c>
      <c r="M3321">
        <v>-1.7224400000000001E-2</v>
      </c>
      <c r="N3321">
        <v>0</v>
      </c>
      <c r="O3321">
        <v>-0.99976219999999905</v>
      </c>
      <c r="P3321">
        <v>-0.105904399999999</v>
      </c>
      <c r="Q3321">
        <v>2.0957320000000002E-2</v>
      </c>
      <c r="R3321">
        <v>-0.99415569999999898</v>
      </c>
      <c r="S3321">
        <v>-0.21415709999999999</v>
      </c>
      <c r="T3321">
        <v>-0.19975709999999999</v>
      </c>
      <c r="U3321">
        <v>-2.9989469999999998</v>
      </c>
      <c r="V3321">
        <v>8.8735629999999996E-2</v>
      </c>
      <c r="W3321">
        <v>3.4344890000000003E-2</v>
      </c>
      <c r="X3321">
        <v>0.99546290000000004</v>
      </c>
      <c r="Y3321">
        <v>5.3879839999999998E-2</v>
      </c>
      <c r="Z3321">
        <v>6.6314739999999997E-2</v>
      </c>
      <c r="AA3321">
        <v>0.99634299999999998</v>
      </c>
      <c r="AB3321">
        <v>26</v>
      </c>
      <c r="AC3321">
        <v>-1.1825000000000001</v>
      </c>
      <c r="AD3321">
        <v>-1.1052599413099999</v>
      </c>
      <c r="AE3321">
        <v>-16.438199999999899</v>
      </c>
      <c r="AF3321">
        <v>0.895135146031111</v>
      </c>
      <c r="AG3321">
        <v>-1.1052599413099999</v>
      </c>
      <c r="AH3321">
        <v>16.3824492647909</v>
      </c>
      <c r="AI3321">
        <v>93.853942466519399</v>
      </c>
      <c r="AJ3321">
        <v>86.872475140987504</v>
      </c>
      <c r="AK3321">
        <v>16.444072195808801</v>
      </c>
    </row>
    <row r="3322" spans="1:37" x14ac:dyDescent="0.2">
      <c r="A3322" t="str">
        <f>"20200111153501865"</f>
        <v>20200111153501865</v>
      </c>
      <c r="B3322" t="str">
        <f>"1578728101859011"</f>
        <v>1578728101859011</v>
      </c>
      <c r="C3322" t="s">
        <v>37</v>
      </c>
      <c r="D3322">
        <v>4.7861979999999997</v>
      </c>
      <c r="E3322">
        <v>0.48684629999999901</v>
      </c>
      <c r="F3322" t="s">
        <v>40</v>
      </c>
      <c r="G3322">
        <v>-191.70820000000001</v>
      </c>
      <c r="H3322">
        <v>1.0505260000000001</v>
      </c>
      <c r="I3322">
        <v>175.09809999999999</v>
      </c>
      <c r="J3322">
        <v>-191.65369999999999</v>
      </c>
      <c r="K3322">
        <v>1.1052660000000001</v>
      </c>
      <c r="L3322">
        <v>175.7466</v>
      </c>
      <c r="M3322">
        <v>-1.6935760000000001E-2</v>
      </c>
      <c r="N3322">
        <v>0</v>
      </c>
      <c r="O3322">
        <v>-0.99976730000000003</v>
      </c>
      <c r="P3322">
        <v>-0.10586329999999999</v>
      </c>
      <c r="Q3322">
        <v>2.1231610000000001E-2</v>
      </c>
      <c r="R3322">
        <v>-0.99415429999999905</v>
      </c>
      <c r="S3322">
        <v>-0.2098083</v>
      </c>
      <c r="T3322">
        <v>-0.2021781</v>
      </c>
      <c r="U3322">
        <v>-2.9995419999999999</v>
      </c>
      <c r="V3322">
        <v>8.8980130000000004E-2</v>
      </c>
      <c r="W3322">
        <v>3.4621779999999998E-2</v>
      </c>
      <c r="X3322">
        <v>0.99543150000000002</v>
      </c>
      <c r="Y3322">
        <v>5.2713009999999998E-2</v>
      </c>
      <c r="Z3322">
        <v>6.7107600000000003E-2</v>
      </c>
      <c r="AA3322">
        <v>0.99635229999999997</v>
      </c>
      <c r="AB3322">
        <v>26</v>
      </c>
      <c r="AC3322">
        <v>-5.4500000000018603E-2</v>
      </c>
      <c r="AD3322">
        <v>-5.4739999999999997E-2</v>
      </c>
      <c r="AE3322">
        <v>-0.64850000000001196</v>
      </c>
      <c r="AF3322">
        <v>4.3202697578887998E-2</v>
      </c>
      <c r="AG3322">
        <v>-5.4739999999999997E-2</v>
      </c>
      <c r="AH3322">
        <v>0.64476825139276495</v>
      </c>
      <c r="AI3322">
        <v>94.841896348403097</v>
      </c>
      <c r="AJ3322">
        <v>86.166626223280502</v>
      </c>
      <c r="AK3322">
        <v>0.64852836382241397</v>
      </c>
    </row>
    <row r="3323" spans="1:37" x14ac:dyDescent="0.2">
      <c r="A3323" t="str">
        <f>"20200111153501880"</f>
        <v>20200111153501880</v>
      </c>
      <c r="B3323" t="str">
        <f>"1578728101869746"</f>
        <v>1578728101869746</v>
      </c>
      <c r="C3323" t="s">
        <v>37</v>
      </c>
      <c r="D3323">
        <v>4.7974670000000001</v>
      </c>
      <c r="E3323">
        <v>0.4865312</v>
      </c>
      <c r="F3323" t="s">
        <v>40</v>
      </c>
      <c r="G3323">
        <v>-191.71420000000001</v>
      </c>
      <c r="H3323">
        <v>1.046694</v>
      </c>
      <c r="I3323">
        <v>174.87010000000001</v>
      </c>
      <c r="J3323">
        <v>-191.65620000000001</v>
      </c>
      <c r="K3323">
        <v>1.1052819999999901</v>
      </c>
      <c r="L3323">
        <v>175.5806</v>
      </c>
      <c r="M3323">
        <v>-1.6634039999999999E-2</v>
      </c>
      <c r="N3323">
        <v>0</v>
      </c>
      <c r="O3323">
        <v>-0.99977229999999995</v>
      </c>
      <c r="P3323">
        <v>-0.1055436</v>
      </c>
      <c r="Q3323">
        <v>2.1375729999999999E-2</v>
      </c>
      <c r="R3323">
        <v>-0.99418510000000004</v>
      </c>
      <c r="S3323">
        <v>-0.20692440000000001</v>
      </c>
      <c r="T3323">
        <v>-0.2004715</v>
      </c>
      <c r="U3323">
        <v>-2.9998930000000001</v>
      </c>
      <c r="V3323">
        <v>8.8959440000000001E-2</v>
      </c>
      <c r="W3323">
        <v>3.4766640000000001E-2</v>
      </c>
      <c r="X3323">
        <v>0.99542830000000004</v>
      </c>
      <c r="Y3323">
        <v>5.2055650000000002E-2</v>
      </c>
      <c r="Z3323">
        <v>6.653982E-2</v>
      </c>
      <c r="AA3323">
        <v>0.99642489999999995</v>
      </c>
      <c r="AB3323">
        <v>26</v>
      </c>
      <c r="AC3323">
        <v>-5.7999999999992703E-2</v>
      </c>
      <c r="AD3323">
        <v>-5.85879999999998E-2</v>
      </c>
      <c r="AE3323">
        <v>-0.71049999999999602</v>
      </c>
      <c r="AF3323">
        <v>4.5862645245780598E-2</v>
      </c>
      <c r="AG3323">
        <v>-5.85879999999998E-2</v>
      </c>
      <c r="AH3323">
        <v>0.70659372801605003</v>
      </c>
      <c r="AI3323">
        <v>94.729992672266206</v>
      </c>
      <c r="AJ3323">
        <v>86.286331031440596</v>
      </c>
      <c r="AK3323">
        <v>0.71050026913757003</v>
      </c>
    </row>
    <row r="3324" spans="1:37" x14ac:dyDescent="0.2">
      <c r="A3324" t="str">
        <f>"20200111153501894"</f>
        <v>20200111153501894</v>
      </c>
      <c r="B3324" t="str">
        <f>"1578728101889266"</f>
        <v>1578728101889266</v>
      </c>
      <c r="C3324" t="s">
        <v>37</v>
      </c>
      <c r="D3324">
        <v>4.7870249999999999</v>
      </c>
      <c r="E3324">
        <v>0.48608259999999998</v>
      </c>
      <c r="F3324" t="s">
        <v>40</v>
      </c>
      <c r="G3324">
        <v>-191.72020000000001</v>
      </c>
      <c r="H3324">
        <v>1.0425930000000001</v>
      </c>
      <c r="I3324">
        <v>174.642</v>
      </c>
      <c r="J3324">
        <v>-191.65860000000001</v>
      </c>
      <c r="K3324">
        <v>1.105283</v>
      </c>
      <c r="L3324">
        <v>175.4169</v>
      </c>
      <c r="M3324">
        <v>-1.6327680000000001E-2</v>
      </c>
      <c r="N3324">
        <v>0</v>
      </c>
      <c r="O3324">
        <v>-0.99977759999999904</v>
      </c>
      <c r="P3324">
        <v>-0.104921499999999</v>
      </c>
      <c r="Q3324">
        <v>2.1430859999999999E-2</v>
      </c>
      <c r="R3324">
        <v>-0.99424999999999997</v>
      </c>
      <c r="S3324">
        <v>-0.2039185</v>
      </c>
      <c r="T3324">
        <v>-0.20050679999999901</v>
      </c>
      <c r="U3324">
        <v>-3.0002140000000002</v>
      </c>
      <c r="V3324">
        <v>8.864139E-2</v>
      </c>
      <c r="W3324">
        <v>3.482002E-2</v>
      </c>
      <c r="X3324">
        <v>0.99545479999999997</v>
      </c>
      <c r="Y3324">
        <v>5.1360610000000001E-2</v>
      </c>
      <c r="Z3324">
        <v>6.6548380000000004E-2</v>
      </c>
      <c r="AA3324">
        <v>0.99646039999999902</v>
      </c>
      <c r="AB3324">
        <v>26</v>
      </c>
      <c r="AC3324">
        <v>-6.1599999999998503E-2</v>
      </c>
      <c r="AD3324">
        <v>-6.2689999999999899E-2</v>
      </c>
      <c r="AE3324">
        <v>-0.77490000000000203</v>
      </c>
      <c r="AF3324">
        <v>4.8622110379982E-2</v>
      </c>
      <c r="AG3324">
        <v>-6.2689999999999899E-2</v>
      </c>
      <c r="AH3324">
        <v>0.77078947157240496</v>
      </c>
      <c r="AI3324">
        <v>94.640573644497707</v>
      </c>
      <c r="AJ3324">
        <v>86.390511971579102</v>
      </c>
      <c r="AK3324">
        <v>0.774861636167819</v>
      </c>
    </row>
    <row r="3325" spans="1:37" x14ac:dyDescent="0.2">
      <c r="A3325" t="str">
        <f>"20200111153501908"</f>
        <v>20200111153501908</v>
      </c>
      <c r="B3325" t="str">
        <f>"1578728101899026"</f>
        <v>1578728101899026</v>
      </c>
      <c r="C3325" t="s">
        <v>37</v>
      </c>
      <c r="D3325">
        <v>4.8146760000000004</v>
      </c>
      <c r="E3325">
        <v>0.4859946</v>
      </c>
      <c r="F3325" t="s">
        <v>51</v>
      </c>
      <c r="G3325">
        <v>-192.7543</v>
      </c>
      <c r="H3325" s="1">
        <v>-1.47858999999999E-5</v>
      </c>
      <c r="I3325">
        <v>158.85480000000001</v>
      </c>
      <c r="J3325">
        <v>-191.66099999999901</v>
      </c>
      <c r="K3325">
        <v>1.105275</v>
      </c>
      <c r="L3325">
        <v>175.2492</v>
      </c>
      <c r="M3325">
        <v>-1.6013329999999999E-2</v>
      </c>
      <c r="N3325">
        <v>0</v>
      </c>
      <c r="O3325">
        <v>-0.99978230000000001</v>
      </c>
      <c r="P3325">
        <v>-0.104481399999999</v>
      </c>
      <c r="Q3325">
        <v>2.1678179999999998E-2</v>
      </c>
      <c r="R3325">
        <v>-0.99429069999999997</v>
      </c>
      <c r="S3325">
        <v>-0.19851679999999999</v>
      </c>
      <c r="T3325">
        <v>-0.20025709999999999</v>
      </c>
      <c r="U3325">
        <v>-3.000702</v>
      </c>
      <c r="V3325">
        <v>8.8513999999999995E-2</v>
      </c>
      <c r="W3325">
        <v>3.5064489999999997E-2</v>
      </c>
      <c r="X3325">
        <v>0.99545759999999905</v>
      </c>
      <c r="Y3325">
        <v>4.9878260000000001E-2</v>
      </c>
      <c r="Z3325">
        <v>6.6462099999999996E-2</v>
      </c>
      <c r="AA3325">
        <v>0.99654149999999997</v>
      </c>
      <c r="AB3325">
        <v>26</v>
      </c>
      <c r="AC3325">
        <v>-1.0933000000000199</v>
      </c>
      <c r="AD3325">
        <v>-1.1052897858999999</v>
      </c>
      <c r="AE3325">
        <v>-16.394399999999901</v>
      </c>
      <c r="AF3325">
        <v>0.82686566196718503</v>
      </c>
      <c r="AG3325">
        <v>-1.1052897858999999</v>
      </c>
      <c r="AH3325">
        <v>16.335883924881799</v>
      </c>
      <c r="AI3325">
        <v>93.865812635790505</v>
      </c>
      <c r="AJ3325">
        <v>87.102359724671899</v>
      </c>
      <c r="AK3325">
        <v>16.394098814541898</v>
      </c>
    </row>
    <row r="3326" spans="1:37" x14ac:dyDescent="0.2">
      <c r="A3326" t="str">
        <f>"20200111153501921"</f>
        <v>20200111153501921</v>
      </c>
      <c r="B3326" t="str">
        <f>"1578728101909763"</f>
        <v>1578728101909763</v>
      </c>
      <c r="C3326" t="s">
        <v>37</v>
      </c>
      <c r="D3326">
        <v>4.7828039999999996</v>
      </c>
      <c r="E3326">
        <v>0.4859098</v>
      </c>
      <c r="F3326" t="s">
        <v>40</v>
      </c>
      <c r="G3326">
        <v>-191.71639999999999</v>
      </c>
      <c r="H3326">
        <v>1.0489629999999901</v>
      </c>
      <c r="I3326">
        <v>174.40479999999999</v>
      </c>
      <c r="J3326">
        <v>-191.66299999999899</v>
      </c>
      <c r="K3326">
        <v>1.1052709999999999</v>
      </c>
      <c r="L3326">
        <v>175.10820000000001</v>
      </c>
      <c r="M3326">
        <v>-1.5750469999999999E-2</v>
      </c>
      <c r="N3326">
        <v>0</v>
      </c>
      <c r="O3326">
        <v>-0.99978690000000003</v>
      </c>
      <c r="P3326">
        <v>-0.104069699999999</v>
      </c>
      <c r="Q3326">
        <v>2.139255E-2</v>
      </c>
      <c r="R3326">
        <v>-0.99434009999999995</v>
      </c>
      <c r="S3326">
        <v>-0.19641110000000001</v>
      </c>
      <c r="T3326">
        <v>-0.20020589999999999</v>
      </c>
      <c r="U3326">
        <v>-3.0009160000000001</v>
      </c>
      <c r="V3326">
        <v>8.8364120000000004E-2</v>
      </c>
      <c r="W3326">
        <v>3.4776649999999999E-2</v>
      </c>
      <c r="X3326">
        <v>0.99548099999999995</v>
      </c>
      <c r="Y3326">
        <v>4.944001E-2</v>
      </c>
      <c r="Z3326">
        <v>6.6443180000000004E-2</v>
      </c>
      <c r="AA3326">
        <v>0.99656460000000002</v>
      </c>
      <c r="AB3326">
        <v>26</v>
      </c>
      <c r="AC3326">
        <v>-5.3400000000010502E-2</v>
      </c>
      <c r="AD3326">
        <v>-5.6307999999999997E-2</v>
      </c>
      <c r="AE3326">
        <v>-0.70340000000001601</v>
      </c>
      <c r="AF3326">
        <v>4.2045615184145797E-2</v>
      </c>
      <c r="AG3326">
        <v>-5.6307999999999997E-2</v>
      </c>
      <c r="AH3326">
        <v>0.69969578940556199</v>
      </c>
      <c r="AI3326">
        <v>94.592712098179803</v>
      </c>
      <c r="AJ3326">
        <v>86.561158501165707</v>
      </c>
      <c r="AK3326">
        <v>0.70321591444739495</v>
      </c>
    </row>
    <row r="3327" spans="1:37" x14ac:dyDescent="0.2">
      <c r="A3327" t="str">
        <f>"20200111153501936"</f>
        <v>20200111153501936</v>
      </c>
      <c r="B3327" t="str">
        <f>"1578728101929283"</f>
        <v>1578728101929283</v>
      </c>
      <c r="C3327" t="s">
        <v>37</v>
      </c>
      <c r="D3327">
        <v>4.8430710000000001</v>
      </c>
      <c r="E3327">
        <v>0.4857456</v>
      </c>
      <c r="F3327" t="s">
        <v>40</v>
      </c>
      <c r="G3327">
        <v>-191.72319999999999</v>
      </c>
      <c r="H3327">
        <v>1.042449</v>
      </c>
      <c r="I3327">
        <v>174.17949999999999</v>
      </c>
      <c r="J3327">
        <v>-191.66540000000001</v>
      </c>
      <c r="K3327">
        <v>1.1052580000000001</v>
      </c>
      <c r="L3327">
        <v>174.92949999999999</v>
      </c>
      <c r="M3327">
        <v>-1.542695E-2</v>
      </c>
      <c r="N3327">
        <v>0</v>
      </c>
      <c r="O3327">
        <v>-0.99979180000000001</v>
      </c>
      <c r="P3327">
        <v>-0.103467499999999</v>
      </c>
      <c r="Q3327">
        <v>2.1829879999999999E-2</v>
      </c>
      <c r="R3327">
        <v>-0.99439349999999904</v>
      </c>
      <c r="S3327">
        <v>-0.19445799999999999</v>
      </c>
      <c r="T3327">
        <v>-0.2030534</v>
      </c>
      <c r="U3327">
        <v>-3.0010829999999999</v>
      </c>
      <c r="V3327">
        <v>8.8084040000000002E-2</v>
      </c>
      <c r="W3327">
        <v>3.5209829999999998E-2</v>
      </c>
      <c r="X3327">
        <v>0.995490599999999</v>
      </c>
      <c r="Y3327">
        <v>4.9109649999999998E-2</v>
      </c>
      <c r="Z3327">
        <v>6.7382629999999999E-2</v>
      </c>
      <c r="AA3327">
        <v>0.99651780000000001</v>
      </c>
      <c r="AB3327">
        <v>26</v>
      </c>
      <c r="AC3327">
        <v>-5.7799999999986001E-2</v>
      </c>
      <c r="AD3327">
        <v>-6.2809000000000101E-2</v>
      </c>
      <c r="AE3327">
        <v>-0.75</v>
      </c>
      <c r="AF3327">
        <v>4.5901854029025399E-2</v>
      </c>
      <c r="AG3327">
        <v>-6.2809000000000101E-2</v>
      </c>
      <c r="AH3327">
        <v>0.74560423144612598</v>
      </c>
      <c r="AI3327">
        <v>94.806117937013795</v>
      </c>
      <c r="AJ3327">
        <v>86.477129081338305</v>
      </c>
      <c r="AK3327">
        <v>0.74965166619882195</v>
      </c>
    </row>
    <row r="3328" spans="1:37" x14ac:dyDescent="0.2">
      <c r="A3328" t="str">
        <f>"20200111153501947"</f>
        <v>20200111153501947</v>
      </c>
      <c r="B3328" t="str">
        <f>"1578728101939042"</f>
        <v>1578728101939042</v>
      </c>
      <c r="C3328" t="s">
        <v>37</v>
      </c>
      <c r="D3328">
        <v>4.8168089999999903</v>
      </c>
      <c r="E3328">
        <v>0.48567329999999997</v>
      </c>
      <c r="F3328" t="s">
        <v>51</v>
      </c>
      <c r="G3328">
        <v>-192.69460000000001</v>
      </c>
      <c r="H3328" s="1">
        <v>-1.475999E-5</v>
      </c>
      <c r="I3328">
        <v>158.75190000000001</v>
      </c>
      <c r="J3328">
        <v>-191.66720000000001</v>
      </c>
      <c r="K3328">
        <v>1.1052500000000001</v>
      </c>
      <c r="L3328">
        <v>174.79560000000001</v>
      </c>
      <c r="M3328">
        <v>-1.5196090000000001E-2</v>
      </c>
      <c r="N3328">
        <v>0</v>
      </c>
      <c r="O3328">
        <v>-0.99979560000000001</v>
      </c>
      <c r="P3328">
        <v>-0.103433399999999</v>
      </c>
      <c r="Q3328">
        <v>2.1908090000000002E-2</v>
      </c>
      <c r="R3328">
        <v>-0.99439539999999904</v>
      </c>
      <c r="S3328">
        <v>-0.19094849999999999</v>
      </c>
      <c r="T3328">
        <v>-0.20506669999999999</v>
      </c>
      <c r="U3328">
        <v>-3.0015109999999998</v>
      </c>
      <c r="V3328">
        <v>8.8280730000000002E-2</v>
      </c>
      <c r="W3328">
        <v>3.5285129999999998E-2</v>
      </c>
      <c r="X3328">
        <v>0.99547050000000004</v>
      </c>
      <c r="Y3328">
        <v>4.8167870000000002E-2</v>
      </c>
      <c r="Z3328">
        <v>6.804251E-2</v>
      </c>
      <c r="AA3328">
        <v>0.99651900000000004</v>
      </c>
      <c r="AB3328">
        <v>26</v>
      </c>
      <c r="AC3328">
        <v>-1.0274000000000001</v>
      </c>
      <c r="AD3328">
        <v>-1.1052647599900001</v>
      </c>
      <c r="AE3328">
        <v>-16.043700000000001</v>
      </c>
      <c r="AF3328">
        <v>0.77977250659122299</v>
      </c>
      <c r="AG3328">
        <v>-1.1052647599900001</v>
      </c>
      <c r="AH3328">
        <v>15.981921300940099</v>
      </c>
      <c r="AI3328">
        <v>93.951430528323897</v>
      </c>
      <c r="AJ3328">
        <v>87.2067018229193</v>
      </c>
      <c r="AK3328">
        <v>16.0390605654182</v>
      </c>
    </row>
    <row r="3329" spans="1:37" x14ac:dyDescent="0.2">
      <c r="A3329" t="str">
        <f>"20200111153501960"</f>
        <v>20200111153501960</v>
      </c>
      <c r="B3329" t="str">
        <f>"1578728101949780"</f>
        <v>1578728101949780</v>
      </c>
      <c r="C3329" t="s">
        <v>37</v>
      </c>
      <c r="D3329">
        <v>4.8068390000000001</v>
      </c>
      <c r="E3329">
        <v>0.48558029999999902</v>
      </c>
      <c r="F3329" t="s">
        <v>40</v>
      </c>
      <c r="G3329">
        <v>-191.72130000000001</v>
      </c>
      <c r="H3329">
        <v>1.0469919999999999</v>
      </c>
      <c r="I3329">
        <v>173.9443</v>
      </c>
      <c r="J3329">
        <v>-191.66919999999999</v>
      </c>
      <c r="K3329">
        <v>1.1052379999999999</v>
      </c>
      <c r="L3329">
        <v>174.6507</v>
      </c>
      <c r="M3329">
        <v>-1.4952210000000001E-2</v>
      </c>
      <c r="N3329">
        <v>0</v>
      </c>
      <c r="O3329">
        <v>-0.99979910000000005</v>
      </c>
      <c r="P3329">
        <v>-0.1033266</v>
      </c>
      <c r="Q3329">
        <v>2.2213589999999998E-2</v>
      </c>
      <c r="R3329">
        <v>-0.99439979999999994</v>
      </c>
      <c r="S3329">
        <v>-0.1903687</v>
      </c>
      <c r="T3329">
        <v>-0.205430899999999</v>
      </c>
      <c r="U3329">
        <v>-3.001633</v>
      </c>
      <c r="V3329">
        <v>8.8417549999999998E-2</v>
      </c>
      <c r="W3329">
        <v>3.5586300000000001E-2</v>
      </c>
      <c r="X3329">
        <v>0.99544759999999999</v>
      </c>
      <c r="Y3329">
        <v>4.8216699999999897E-2</v>
      </c>
      <c r="Z3329">
        <v>6.8160709999999999E-2</v>
      </c>
      <c r="AA3329">
        <v>0.99650849999999902</v>
      </c>
      <c r="AB3329">
        <v>26</v>
      </c>
      <c r="AC3329">
        <v>-5.2100000000024203E-2</v>
      </c>
      <c r="AD3329">
        <v>-5.8245999999999999E-2</v>
      </c>
      <c r="AE3329">
        <v>-0.70640000000000203</v>
      </c>
      <c r="AF3329">
        <v>4.1252046251334301E-2</v>
      </c>
      <c r="AG3329">
        <v>-5.8245999999999999E-2</v>
      </c>
      <c r="AH3329">
        <v>0.70235080444631603</v>
      </c>
      <c r="AI3329">
        <v>94.732576031744102</v>
      </c>
      <c r="AJ3329">
        <v>86.638637178349299</v>
      </c>
      <c r="AK3329">
        <v>0.70596811566975903</v>
      </c>
    </row>
    <row r="3330" spans="1:37" x14ac:dyDescent="0.2">
      <c r="A3330" t="str">
        <f>"20200111153501974"</f>
        <v>20200111153501974</v>
      </c>
      <c r="B3330" t="str">
        <f>"1578728101969299"</f>
        <v>1578728101969299</v>
      </c>
      <c r="C3330" t="s">
        <v>37</v>
      </c>
      <c r="D3330">
        <v>4.8589260000000003</v>
      </c>
      <c r="E3330">
        <v>0.48535709999999999</v>
      </c>
      <c r="F3330" t="s">
        <v>40</v>
      </c>
      <c r="G3330">
        <v>-191.72810000000001</v>
      </c>
      <c r="H3330">
        <v>1.0414649999999901</v>
      </c>
      <c r="I3330">
        <v>173.7182</v>
      </c>
      <c r="J3330">
        <v>-191.6712</v>
      </c>
      <c r="K3330">
        <v>1.1052230000000001</v>
      </c>
      <c r="L3330">
        <v>174.4974</v>
      </c>
      <c r="M3330">
        <v>-1.471279E-2</v>
      </c>
      <c r="N3330">
        <v>0</v>
      </c>
      <c r="O3330">
        <v>-0.99980249999999904</v>
      </c>
      <c r="P3330">
        <v>-0.1033525</v>
      </c>
      <c r="Q3330">
        <v>2.2089979999999999E-2</v>
      </c>
      <c r="R3330">
        <v>-0.99439949999999999</v>
      </c>
      <c r="S3330">
        <v>-0.18905639999999899</v>
      </c>
      <c r="T3330">
        <v>-0.20544369999999901</v>
      </c>
      <c r="U3330">
        <v>-3.001862</v>
      </c>
      <c r="V3330">
        <v>8.8683369999999997E-2</v>
      </c>
      <c r="W3330">
        <v>3.5458110000000001E-2</v>
      </c>
      <c r="X3330">
        <v>0.9954286</v>
      </c>
      <c r="Y3330">
        <v>4.8017190000000001E-2</v>
      </c>
      <c r="Z3330">
        <v>6.8161429999999995E-2</v>
      </c>
      <c r="AA3330">
        <v>0.99651809999999996</v>
      </c>
      <c r="AB3330">
        <v>26</v>
      </c>
      <c r="AC3330">
        <v>-5.6900000000013003E-2</v>
      </c>
      <c r="AD3330">
        <v>-6.3758000000000203E-2</v>
      </c>
      <c r="AE3330">
        <v>-0.779200000000003</v>
      </c>
      <c r="AF3330">
        <v>4.5128066538586802E-2</v>
      </c>
      <c r="AG3330">
        <v>-6.3758000000000203E-2</v>
      </c>
      <c r="AH3330">
        <v>0.77479290475926599</v>
      </c>
      <c r="AI3330">
        <v>94.696367875147899</v>
      </c>
      <c r="AJ3330">
        <v>86.666554740760404</v>
      </c>
      <c r="AK3330">
        <v>0.77872053409346598</v>
      </c>
    </row>
    <row r="3331" spans="1:37" x14ac:dyDescent="0.2">
      <c r="A3331" t="str">
        <f>"20200111153501986"</f>
        <v>20200111153501986</v>
      </c>
      <c r="B3331" t="str">
        <f>"1578728101979059"</f>
        <v>1578728101979059</v>
      </c>
      <c r="C3331" t="s">
        <v>37</v>
      </c>
      <c r="D3331">
        <v>4.8721170000000003</v>
      </c>
      <c r="E3331">
        <v>0.48528369999999998</v>
      </c>
      <c r="F3331" t="s">
        <v>40</v>
      </c>
      <c r="G3331">
        <v>-191.72049999999999</v>
      </c>
      <c r="H3331">
        <v>1.050907</v>
      </c>
      <c r="I3331">
        <v>173.7097</v>
      </c>
      <c r="J3331">
        <v>-191.67320000000001</v>
      </c>
      <c r="K3331">
        <v>1.10521</v>
      </c>
      <c r="L3331">
        <v>174.34469999999999</v>
      </c>
      <c r="M3331">
        <v>-1.4487989999999999E-2</v>
      </c>
      <c r="N3331">
        <v>0</v>
      </c>
      <c r="O3331">
        <v>-0.99980569999999902</v>
      </c>
      <c r="P3331">
        <v>-0.103638799999999</v>
      </c>
      <c r="Q3331">
        <v>2.2171340000000001E-2</v>
      </c>
      <c r="R3331">
        <v>-0.99436800000000003</v>
      </c>
      <c r="S3331">
        <v>-0.18722529999999901</v>
      </c>
      <c r="T3331">
        <v>-0.2072176</v>
      </c>
      <c r="U3331">
        <v>-3.0020449999999999</v>
      </c>
      <c r="V3331">
        <v>8.9195449999999996E-2</v>
      </c>
      <c r="W3331">
        <v>3.5533879999999997E-2</v>
      </c>
      <c r="X3331">
        <v>0.99538009999999999</v>
      </c>
      <c r="Y3331">
        <v>4.7630029999999997E-2</v>
      </c>
      <c r="Z3331">
        <v>6.8745290000000001E-2</v>
      </c>
      <c r="AA3331">
        <v>0.99649659999999995</v>
      </c>
      <c r="AB3331">
        <v>26</v>
      </c>
      <c r="AC3331">
        <v>-4.7299999999978498E-2</v>
      </c>
      <c r="AD3331">
        <v>-5.43029999999999E-2</v>
      </c>
      <c r="AE3331">
        <v>-0.63499999999999002</v>
      </c>
      <c r="AF3331">
        <v>3.78192897853981E-2</v>
      </c>
      <c r="AG3331">
        <v>-5.43029999999999E-2</v>
      </c>
      <c r="AH3331">
        <v>0.63102938063482095</v>
      </c>
      <c r="AI3331">
        <v>94.909683440203594</v>
      </c>
      <c r="AJ3331">
        <v>86.5702122591765</v>
      </c>
      <c r="AK3331">
        <v>0.63448971127453102</v>
      </c>
    </row>
    <row r="3332" spans="1:37" x14ac:dyDescent="0.2">
      <c r="A3332" t="str">
        <f>"20200111153502002"</f>
        <v>20200111153502002</v>
      </c>
      <c r="B3332" t="str">
        <f>"1578728101999555"</f>
        <v>1578728101999555</v>
      </c>
      <c r="C3332" t="s">
        <v>37</v>
      </c>
      <c r="D3332">
        <v>4.9915510000000003</v>
      </c>
      <c r="E3332">
        <v>0.48568660000000002</v>
      </c>
      <c r="F3332" t="s">
        <v>40</v>
      </c>
      <c r="G3332">
        <v>-191.7269</v>
      </c>
      <c r="H3332">
        <v>1.0457000000000001</v>
      </c>
      <c r="I3332">
        <v>173.48410000000001</v>
      </c>
      <c r="J3332">
        <v>-191.6754</v>
      </c>
      <c r="K3332">
        <v>1.105197</v>
      </c>
      <c r="L3332">
        <v>174.17070000000001</v>
      </c>
      <c r="M3332">
        <v>-1.4247020000000001E-2</v>
      </c>
      <c r="N3332">
        <v>0</v>
      </c>
      <c r="O3332">
        <v>-0.99980930000000001</v>
      </c>
      <c r="P3332">
        <v>-0.104618499999999</v>
      </c>
      <c r="Q3332">
        <v>2.2508920000000002E-2</v>
      </c>
      <c r="R3332">
        <v>-0.99425790000000003</v>
      </c>
      <c r="S3332">
        <v>-0.18736269999999999</v>
      </c>
      <c r="T3332">
        <v>-0.20760010000000001</v>
      </c>
      <c r="U3332">
        <v>-3.0020899999999999</v>
      </c>
      <c r="V3332">
        <v>9.0418319999999996E-2</v>
      </c>
      <c r="W3332">
        <v>3.5864599999999899E-2</v>
      </c>
      <c r="X3332">
        <v>0.99525789999999903</v>
      </c>
      <c r="Y3332">
        <v>4.7914709999999999E-2</v>
      </c>
      <c r="Z3332">
        <v>6.8870360000000005E-2</v>
      </c>
      <c r="AA3332">
        <v>0.99647430000000004</v>
      </c>
      <c r="AB3332">
        <v>26</v>
      </c>
      <c r="AC3332">
        <v>-5.1500000000004299E-2</v>
      </c>
      <c r="AD3332">
        <v>-5.9496999999999897E-2</v>
      </c>
      <c r="AE3332">
        <v>-0.68659999999999799</v>
      </c>
      <c r="AF3332">
        <v>4.1402741428409003E-2</v>
      </c>
      <c r="AG3332">
        <v>-5.9496999999999897E-2</v>
      </c>
      <c r="AH3332">
        <v>0.68217032471535199</v>
      </c>
      <c r="AI3332">
        <v>94.975455976576896</v>
      </c>
      <c r="AJ3332">
        <v>86.526826321421098</v>
      </c>
      <c r="AK3332">
        <v>0.68601051881806896</v>
      </c>
    </row>
    <row r="3333" spans="1:37" x14ac:dyDescent="0.2">
      <c r="A3333" t="str">
        <f>"20200111153502025"</f>
        <v>20200111153502025</v>
      </c>
      <c r="B3333" t="str">
        <f>"1578728102019089"</f>
        <v>1578728102019089</v>
      </c>
      <c r="C3333" t="s">
        <v>37</v>
      </c>
      <c r="D3333">
        <v>4.812093</v>
      </c>
      <c r="E3333">
        <v>0.54414180000000001</v>
      </c>
      <c r="F3333" t="s">
        <v>40</v>
      </c>
      <c r="G3333">
        <v>-191.73429999999999</v>
      </c>
      <c r="H3333">
        <v>1.041928</v>
      </c>
      <c r="I3333">
        <v>173.2569</v>
      </c>
      <c r="J3333">
        <v>-191.6788</v>
      </c>
      <c r="K3333">
        <v>1.105164</v>
      </c>
      <c r="L3333">
        <v>173.89859999999999</v>
      </c>
      <c r="M3333">
        <v>-1.391356E-2</v>
      </c>
      <c r="N3333">
        <v>0</v>
      </c>
      <c r="O3333">
        <v>-0.99981430000000004</v>
      </c>
      <c r="P3333">
        <v>-0.1057338</v>
      </c>
      <c r="Q3333">
        <v>2.252724E-2</v>
      </c>
      <c r="R3333">
        <v>-0.99413960000000001</v>
      </c>
      <c r="S3333">
        <v>-0.19334409999999999</v>
      </c>
      <c r="T3333">
        <v>-0.20784710000000001</v>
      </c>
      <c r="U3333">
        <v>-3.0016940000000001</v>
      </c>
      <c r="V3333">
        <v>9.187041E-2</v>
      </c>
      <c r="W3333">
        <v>3.5872220000000003E-2</v>
      </c>
      <c r="X3333">
        <v>0.99512459999999903</v>
      </c>
      <c r="Y3333">
        <v>5.0233260000000002E-2</v>
      </c>
      <c r="Z3333">
        <v>6.8953189999999998E-2</v>
      </c>
      <c r="AA3333">
        <v>0.99635439999999997</v>
      </c>
      <c r="AB3333">
        <v>26</v>
      </c>
      <c r="AC3333">
        <v>-5.5499999999994998E-2</v>
      </c>
      <c r="AD3333">
        <v>-6.3236000000000001E-2</v>
      </c>
      <c r="AE3333">
        <v>-0.64169999999998595</v>
      </c>
      <c r="AF3333">
        <v>4.6120945708306403E-2</v>
      </c>
      <c r="AG3333">
        <v>-6.3236000000000001E-2</v>
      </c>
      <c r="AH3333">
        <v>0.63627712407190495</v>
      </c>
      <c r="AI3333">
        <v>95.660911792282306</v>
      </c>
      <c r="AJ3333">
        <v>85.854130432748093</v>
      </c>
      <c r="AK3333">
        <v>0.64107293808601995</v>
      </c>
    </row>
    <row r="3334" spans="1:37" x14ac:dyDescent="0.2">
      <c r="A3334" t="str">
        <f>"20200111153502038"</f>
        <v>20200111153502038</v>
      </c>
      <c r="B3334" t="str">
        <f>"1578728102029811"</f>
        <v>1578728102029811</v>
      </c>
      <c r="C3334" t="s">
        <v>37</v>
      </c>
      <c r="D3334">
        <v>4.8933960000000001</v>
      </c>
      <c r="E3334">
        <v>0.55688230000000005</v>
      </c>
      <c r="F3334" t="s">
        <v>39</v>
      </c>
      <c r="G3334">
        <v>-194.7637</v>
      </c>
      <c r="H3334" s="1">
        <v>-1.5043459999999999E-6</v>
      </c>
      <c r="I3334">
        <v>160.09270000000001</v>
      </c>
      <c r="J3334">
        <v>-191.6807</v>
      </c>
      <c r="K3334">
        <v>1.1051389999999901</v>
      </c>
      <c r="L3334">
        <v>173.7509</v>
      </c>
      <c r="M3334">
        <v>-1.374793E-2</v>
      </c>
      <c r="N3334">
        <v>0</v>
      </c>
      <c r="O3334">
        <v>-0.99981659999999895</v>
      </c>
      <c r="P3334">
        <v>-0.106536899999999</v>
      </c>
      <c r="Q3334">
        <v>2.248151E-2</v>
      </c>
      <c r="R3334">
        <v>-0.99405489999999996</v>
      </c>
      <c r="S3334">
        <v>-0.65980530000000004</v>
      </c>
      <c r="T3334">
        <v>-0.23637749999999999</v>
      </c>
      <c r="U3334">
        <v>-2.95286599999999</v>
      </c>
      <c r="V3334">
        <v>9.2841450000000006E-2</v>
      </c>
      <c r="W3334">
        <v>3.5819799999999999E-2</v>
      </c>
      <c r="X3334">
        <v>0.99503639999999904</v>
      </c>
      <c r="Y3334">
        <v>0.20396549999999999</v>
      </c>
      <c r="Z3334">
        <v>7.7989559999999999E-2</v>
      </c>
      <c r="AA3334">
        <v>0.97586659999999903</v>
      </c>
      <c r="AB3334">
        <v>26</v>
      </c>
      <c r="AC3334">
        <v>-3.08299999999999</v>
      </c>
      <c r="AD3334">
        <v>-1.1051405043459901</v>
      </c>
      <c r="AE3334">
        <v>-13.6581999999999</v>
      </c>
      <c r="AF3334">
        <v>2.8769971626200399</v>
      </c>
      <c r="AG3334">
        <v>-1.1051405043459901</v>
      </c>
      <c r="AH3334">
        <v>13.614483829017599</v>
      </c>
      <c r="AI3334">
        <v>94.540897984003905</v>
      </c>
      <c r="AJ3334">
        <v>78.067866827045506</v>
      </c>
      <c r="AK3334">
        <v>13.958961929120999</v>
      </c>
    </row>
    <row r="3335" spans="1:37" x14ac:dyDescent="0.2">
      <c r="A3335" t="str">
        <f>"20200111153502051"</f>
        <v>20200111153502051</v>
      </c>
      <c r="B3335" t="str">
        <f>"1578728102039571"</f>
        <v>1578728102039571</v>
      </c>
      <c r="C3335" t="s">
        <v>37</v>
      </c>
      <c r="D3335">
        <v>4.9548709999999998</v>
      </c>
      <c r="E3335">
        <v>0.56773899999999999</v>
      </c>
      <c r="F3335" t="s">
        <v>51</v>
      </c>
      <c r="G3335">
        <v>-195.42689999999999</v>
      </c>
      <c r="H3335" s="1">
        <v>-1.4903429999999901E-5</v>
      </c>
      <c r="I3335">
        <v>159.322</v>
      </c>
      <c r="J3335">
        <v>-191.6825</v>
      </c>
      <c r="K3335">
        <v>1.105118</v>
      </c>
      <c r="L3335">
        <v>173.60730000000001</v>
      </c>
      <c r="M3335">
        <v>-1.360754E-2</v>
      </c>
      <c r="N3335">
        <v>0</v>
      </c>
      <c r="O3335">
        <v>-0.99981819999999899</v>
      </c>
      <c r="P3335">
        <v>-0.10710169999999999</v>
      </c>
      <c r="Q3335">
        <v>2.1912910000000001E-2</v>
      </c>
      <c r="R3335">
        <v>-0.99400659999999896</v>
      </c>
      <c r="S3335">
        <v>-0.76362609999999997</v>
      </c>
      <c r="T3335">
        <v>-0.22527520000000001</v>
      </c>
      <c r="U3335">
        <v>-2.941208</v>
      </c>
      <c r="V3335">
        <v>9.3548569999999998E-2</v>
      </c>
      <c r="W3335">
        <v>3.5245569999999997E-2</v>
      </c>
      <c r="X3335">
        <v>0.99499059999999995</v>
      </c>
      <c r="Y3335">
        <v>0.23741379999999901</v>
      </c>
      <c r="Z3335">
        <v>7.4046490000000006E-2</v>
      </c>
      <c r="AA3335">
        <v>0.96858239999999995</v>
      </c>
      <c r="AB3335">
        <v>26</v>
      </c>
      <c r="AC3335">
        <v>-3.7443999999999802</v>
      </c>
      <c r="AD3335">
        <v>-1.1051329034299999</v>
      </c>
      <c r="AE3335">
        <v>-14.285299999999999</v>
      </c>
      <c r="AF3335">
        <v>3.5298805827914901</v>
      </c>
      <c r="AG3335">
        <v>-1.1051329034299999</v>
      </c>
      <c r="AH3335">
        <v>14.2551043238568</v>
      </c>
      <c r="AI3335">
        <v>94.303545884162901</v>
      </c>
      <c r="AJ3335">
        <v>76.0920509129175</v>
      </c>
      <c r="AK3335">
        <v>14.7271645250215</v>
      </c>
    </row>
    <row r="3336" spans="1:37" x14ac:dyDescent="0.2">
      <c r="A3336" t="str">
        <f>"20200111153502064"</f>
        <v>20200111153502064</v>
      </c>
      <c r="B3336" t="str">
        <f>"1578728102059091"</f>
        <v>1578728102059091</v>
      </c>
      <c r="C3336" t="s">
        <v>37</v>
      </c>
      <c r="D3336">
        <v>4.8637350000000001</v>
      </c>
      <c r="E3336">
        <v>0.57797519999999902</v>
      </c>
      <c r="F3336" t="s">
        <v>51</v>
      </c>
      <c r="G3336">
        <v>-196.0361</v>
      </c>
      <c r="H3336" s="1">
        <v>-1.472822E-5</v>
      </c>
      <c r="I3336">
        <v>158.62559999999999</v>
      </c>
      <c r="J3336">
        <v>-191.68450000000001</v>
      </c>
      <c r="K3336">
        <v>1.105089</v>
      </c>
      <c r="L3336">
        <v>173.44880000000001</v>
      </c>
      <c r="M3336">
        <v>-1.3467140000000001E-2</v>
      </c>
      <c r="N3336">
        <v>0</v>
      </c>
      <c r="O3336">
        <v>-0.99982039999999905</v>
      </c>
      <c r="P3336">
        <v>-0.1078943</v>
      </c>
      <c r="Q3336">
        <v>2.1406310000000001E-2</v>
      </c>
      <c r="R3336">
        <v>-0.99393220000000004</v>
      </c>
      <c r="S3336">
        <v>-0.85174559999999999</v>
      </c>
      <c r="T3336">
        <v>-0.21621199999999999</v>
      </c>
      <c r="U3336">
        <v>-2.931076</v>
      </c>
      <c r="V3336">
        <v>9.4484040000000005E-2</v>
      </c>
      <c r="W3336">
        <v>3.4731850000000002E-2</v>
      </c>
      <c r="X3336">
        <v>0.99492029999999998</v>
      </c>
      <c r="Y3336">
        <v>0.26539029999999902</v>
      </c>
      <c r="Z3336">
        <v>7.0780549999999998E-2</v>
      </c>
      <c r="AA3336">
        <v>0.96153940000000004</v>
      </c>
      <c r="AB3336">
        <v>26</v>
      </c>
      <c r="AC3336">
        <v>-4.3515999999999897</v>
      </c>
      <c r="AD3336">
        <v>-1.10510372822</v>
      </c>
      <c r="AE3336">
        <v>-14.8232</v>
      </c>
      <c r="AF3336">
        <v>4.1304258411841701</v>
      </c>
      <c r="AG3336">
        <v>-1.10510372822</v>
      </c>
      <c r="AH3336">
        <v>14.804707873993101</v>
      </c>
      <c r="AI3336">
        <v>94.112467241495494</v>
      </c>
      <c r="AJ3336">
        <v>74.411212423114605</v>
      </c>
      <c r="AK3336">
        <v>15.4097711570912</v>
      </c>
    </row>
    <row r="3337" spans="1:37" x14ac:dyDescent="0.2">
      <c r="A3337" t="str">
        <f>"20200111153502080"</f>
        <v>20200111153502080</v>
      </c>
      <c r="B3337" t="str">
        <f>"1578728102069827"</f>
        <v>1578728102069827</v>
      </c>
      <c r="C3337" t="s">
        <v>37</v>
      </c>
      <c r="D3337">
        <v>4.8895390000000001</v>
      </c>
      <c r="E3337">
        <v>0.57994659999999998</v>
      </c>
      <c r="F3337" t="s">
        <v>51</v>
      </c>
      <c r="G3337">
        <v>-196.7372</v>
      </c>
      <c r="H3337" s="1">
        <v>-1.4488169999999999E-5</v>
      </c>
      <c r="I3337">
        <v>157.67150000000001</v>
      </c>
      <c r="J3337">
        <v>-191.6867</v>
      </c>
      <c r="K3337">
        <v>1.105057</v>
      </c>
      <c r="L3337">
        <v>173.2732</v>
      </c>
      <c r="M3337">
        <v>-1.333495E-2</v>
      </c>
      <c r="N3337">
        <v>0</v>
      </c>
      <c r="O3337">
        <v>-0.99982219999999999</v>
      </c>
      <c r="P3337">
        <v>-0.1098276</v>
      </c>
      <c r="Q3337">
        <v>1.9933449999999998E-2</v>
      </c>
      <c r="R3337">
        <v>-0.99375089999999999</v>
      </c>
      <c r="S3337">
        <v>-0.93550109999999997</v>
      </c>
      <c r="T3337">
        <v>-0.20461019999999999</v>
      </c>
      <c r="U3337">
        <v>-2.9211580000000001</v>
      </c>
      <c r="V3337">
        <v>9.6554039999999994E-2</v>
      </c>
      <c r="W3337">
        <v>3.3249750000000002E-2</v>
      </c>
      <c r="X3337">
        <v>0.9947722</v>
      </c>
      <c r="Y3337">
        <v>0.2915857</v>
      </c>
      <c r="Z3337">
        <v>6.668557E-2</v>
      </c>
      <c r="AA3337">
        <v>0.95421739999999999</v>
      </c>
      <c r="AB3337">
        <v>26</v>
      </c>
      <c r="AC3337">
        <v>-5.0505000000000004</v>
      </c>
      <c r="AD3337">
        <v>-1.1050714881699999</v>
      </c>
      <c r="AE3337">
        <v>-15.6016999999999</v>
      </c>
      <c r="AF3337">
        <v>4.8200961581230803</v>
      </c>
      <c r="AG3337">
        <v>-1.1050714881699999</v>
      </c>
      <c r="AH3337">
        <v>15.5968405900951</v>
      </c>
      <c r="AI3337">
        <v>93.872635400849106</v>
      </c>
      <c r="AJ3337">
        <v>72.826596154166396</v>
      </c>
      <c r="AK3337">
        <v>16.362027574856299</v>
      </c>
    </row>
    <row r="3338" spans="1:37" x14ac:dyDescent="0.2">
      <c r="A3338" t="str">
        <f>"20200111153502094"</f>
        <v>20200111153502094</v>
      </c>
      <c r="B3338" t="str">
        <f>"1578728102089348"</f>
        <v>1578728102089348</v>
      </c>
      <c r="C3338" t="s">
        <v>37</v>
      </c>
      <c r="D3338">
        <v>4.8544790000000004</v>
      </c>
      <c r="E3338">
        <v>0.58214250000000001</v>
      </c>
      <c r="F3338" t="s">
        <v>51</v>
      </c>
      <c r="G3338">
        <v>-196.8732</v>
      </c>
      <c r="H3338" s="1">
        <v>-1.443464E-5</v>
      </c>
      <c r="I3338">
        <v>157.4588</v>
      </c>
      <c r="J3338">
        <v>-191.68870000000001</v>
      </c>
      <c r="K3338">
        <v>1.1050309999999901</v>
      </c>
      <c r="L3338">
        <v>173.1086</v>
      </c>
      <c r="M3338">
        <v>-1.3243069999999999E-2</v>
      </c>
      <c r="N3338">
        <v>0</v>
      </c>
      <c r="O3338">
        <v>-0.99982340000000003</v>
      </c>
      <c r="P3338">
        <v>-0.1110297</v>
      </c>
      <c r="Q3338">
        <v>1.9333039999999999E-2</v>
      </c>
      <c r="R3338">
        <v>-0.99362950000000005</v>
      </c>
      <c r="S3338">
        <v>-0.95674130000000002</v>
      </c>
      <c r="T3338">
        <v>-0.2038479</v>
      </c>
      <c r="U3338">
        <v>-2.9172210000000001</v>
      </c>
      <c r="V3338">
        <v>9.7851460000000001E-2</v>
      </c>
      <c r="W3338">
        <v>3.2640679999999998E-2</v>
      </c>
      <c r="X3338">
        <v>0.99466559999999904</v>
      </c>
      <c r="Y3338">
        <v>0.29833290000000001</v>
      </c>
      <c r="Z3338">
        <v>6.6380179999999997E-2</v>
      </c>
      <c r="AA3338">
        <v>0.95215079999999996</v>
      </c>
      <c r="AB3338">
        <v>26</v>
      </c>
      <c r="AC3338">
        <v>-5.1844999999999803</v>
      </c>
      <c r="AD3338">
        <v>-1.1050454346399901</v>
      </c>
      <c r="AE3338">
        <v>-15.649800000000001</v>
      </c>
      <c r="AF3338">
        <v>4.9545157367950701</v>
      </c>
      <c r="AG3338">
        <v>-1.1050454346399901</v>
      </c>
      <c r="AH3338">
        <v>15.646794051781299</v>
      </c>
      <c r="AI3338">
        <v>93.851888191000597</v>
      </c>
      <c r="AJ3338">
        <v>72.429747573486395</v>
      </c>
      <c r="AK3338">
        <v>16.449635731457001</v>
      </c>
    </row>
    <row r="3339" spans="1:37" x14ac:dyDescent="0.2">
      <c r="A3339" t="str">
        <f>"20200111153502108"</f>
        <v>20200111153502108</v>
      </c>
      <c r="B3339" t="str">
        <f>"1578728102099107"</f>
        <v>1578728102099107</v>
      </c>
      <c r="C3339" t="s">
        <v>37</v>
      </c>
      <c r="D3339">
        <v>4.8731269999999904</v>
      </c>
      <c r="E3339">
        <v>0.58292630000000001</v>
      </c>
      <c r="F3339" t="s">
        <v>51</v>
      </c>
      <c r="G3339">
        <v>-197.16480000000001</v>
      </c>
      <c r="H3339" s="1">
        <v>-1.42673E-5</v>
      </c>
      <c r="I3339">
        <v>156.7938</v>
      </c>
      <c r="J3339">
        <v>-191.6908</v>
      </c>
      <c r="K3339">
        <v>1.105003</v>
      </c>
      <c r="L3339">
        <v>172.94810000000001</v>
      </c>
      <c r="M3339">
        <v>-1.3177680000000001E-2</v>
      </c>
      <c r="N3339">
        <v>0</v>
      </c>
      <c r="O3339">
        <v>-0.9998243</v>
      </c>
      <c r="P3339">
        <v>-0.1119685</v>
      </c>
      <c r="Q3339">
        <v>1.89894E-2</v>
      </c>
      <c r="R3339">
        <v>-0.99353060000000004</v>
      </c>
      <c r="S3339">
        <v>-0.97801209999999905</v>
      </c>
      <c r="T3339">
        <v>-0.19735759999999999</v>
      </c>
      <c r="U3339">
        <v>-2.9137729999999999</v>
      </c>
      <c r="V3339">
        <v>9.8858989999999994E-2</v>
      </c>
      <c r="W3339">
        <v>3.2288009999999999E-2</v>
      </c>
      <c r="X3339">
        <v>0.9945775</v>
      </c>
      <c r="Y3339">
        <v>0.30502750000000001</v>
      </c>
      <c r="Z3339">
        <v>6.4206609999999997E-2</v>
      </c>
      <c r="AA3339">
        <v>0.95017669999999999</v>
      </c>
      <c r="AB3339">
        <v>26</v>
      </c>
      <c r="AC3339">
        <v>-5.47400000000001</v>
      </c>
      <c r="AD3339">
        <v>-1.1050172673000001</v>
      </c>
      <c r="AE3339">
        <v>-16.154299999999999</v>
      </c>
      <c r="AF3339">
        <v>5.23864208085811</v>
      </c>
      <c r="AG3339">
        <v>-1.1050172673000001</v>
      </c>
      <c r="AH3339">
        <v>16.157223669750501</v>
      </c>
      <c r="AI3339">
        <v>93.722269066475306</v>
      </c>
      <c r="AJ3339">
        <v>72.035797104583907</v>
      </c>
      <c r="AK3339">
        <v>17.021172425150802</v>
      </c>
    </row>
    <row r="3340" spans="1:37" x14ac:dyDescent="0.2">
      <c r="A3340" t="str">
        <f>"20200111153502127"</f>
        <v>20200111153502127</v>
      </c>
      <c r="B3340" t="str">
        <f>"1578728102119604"</f>
        <v>1578728102119604</v>
      </c>
      <c r="C3340" t="s">
        <v>37</v>
      </c>
      <c r="D3340">
        <v>4.8730039999999999</v>
      </c>
      <c r="E3340">
        <v>0.58394880000000005</v>
      </c>
      <c r="F3340" t="s">
        <v>51</v>
      </c>
      <c r="G3340">
        <v>-197.23390000000001</v>
      </c>
      <c r="H3340" s="1">
        <v>-1.421589E-5</v>
      </c>
      <c r="I3340">
        <v>156.58940000000001</v>
      </c>
      <c r="J3340">
        <v>-191.6935</v>
      </c>
      <c r="K3340">
        <v>1.10497</v>
      </c>
      <c r="L3340">
        <v>172.7353</v>
      </c>
      <c r="M3340">
        <v>-1.312643E-2</v>
      </c>
      <c r="N3340">
        <v>0</v>
      </c>
      <c r="O3340">
        <v>-0.99982499999999996</v>
      </c>
      <c r="P3340">
        <v>-0.11363759999999901</v>
      </c>
      <c r="Q3340">
        <v>1.915915E-2</v>
      </c>
      <c r="R3340">
        <v>-0.99333780000000005</v>
      </c>
      <c r="S3340">
        <v>-0.98677060000000005</v>
      </c>
      <c r="T3340">
        <v>-0.19670960000000001</v>
      </c>
      <c r="U3340">
        <v>-2.91209399999999</v>
      </c>
      <c r="V3340">
        <v>0.1005846</v>
      </c>
      <c r="W3340">
        <v>3.244433E-2</v>
      </c>
      <c r="X3340">
        <v>0.99439940000000004</v>
      </c>
      <c r="Y3340">
        <v>0.3078108</v>
      </c>
      <c r="Z3340">
        <v>6.3972399999999999E-2</v>
      </c>
      <c r="AA3340">
        <v>0.94929449999999904</v>
      </c>
      <c r="AB3340">
        <v>26</v>
      </c>
      <c r="AC3340">
        <v>-5.5404</v>
      </c>
      <c r="AD3340">
        <v>-1.1049842158900001</v>
      </c>
      <c r="AE3340">
        <v>-16.145899999999902</v>
      </c>
      <c r="AF3340">
        <v>5.3057332043177601</v>
      </c>
      <c r="AG3340">
        <v>-1.1049842158900001</v>
      </c>
      <c r="AH3340">
        <v>16.1495695754415</v>
      </c>
      <c r="AI3340">
        <v>93.719201505285795</v>
      </c>
      <c r="AJ3340">
        <v>71.812728108113902</v>
      </c>
      <c r="AK3340">
        <v>17.034682046483599</v>
      </c>
    </row>
    <row r="3341" spans="1:37" x14ac:dyDescent="0.2">
      <c r="A3341" t="str">
        <f>"20200111153502142"</f>
        <v>20200111153502142</v>
      </c>
      <c r="B3341" t="str">
        <f>"1578728102129363"</f>
        <v>1578728102129363</v>
      </c>
      <c r="C3341" t="s">
        <v>37</v>
      </c>
      <c r="D3341">
        <v>4.8478810000000001</v>
      </c>
      <c r="E3341">
        <v>0.58441679999999996</v>
      </c>
      <c r="F3341" t="s">
        <v>51</v>
      </c>
      <c r="G3341">
        <v>-197.33</v>
      </c>
      <c r="H3341" s="1">
        <v>-1.414956E-5</v>
      </c>
      <c r="I3341">
        <v>156.32579999999999</v>
      </c>
      <c r="J3341">
        <v>-191.69560000000001</v>
      </c>
      <c r="K3341">
        <v>1.10494</v>
      </c>
      <c r="L3341">
        <v>172.5658</v>
      </c>
      <c r="M3341">
        <v>-1.311652E-2</v>
      </c>
      <c r="N3341">
        <v>0</v>
      </c>
      <c r="O3341">
        <v>-0.99982519999999997</v>
      </c>
      <c r="P3341">
        <v>-0.1142763</v>
      </c>
      <c r="Q3341">
        <v>2.035052E-2</v>
      </c>
      <c r="R3341">
        <v>-0.99324100000000004</v>
      </c>
      <c r="S3341">
        <v>-0.99940490000000004</v>
      </c>
      <c r="T3341">
        <v>-0.1959243</v>
      </c>
      <c r="U3341">
        <v>-2.9095610000000001</v>
      </c>
      <c r="V3341">
        <v>0.10123699999999999</v>
      </c>
      <c r="W3341">
        <v>3.3625290000000002E-2</v>
      </c>
      <c r="X3341">
        <v>0.99429389999999995</v>
      </c>
      <c r="Y3341">
        <v>0.31176670000000001</v>
      </c>
      <c r="Z3341">
        <v>6.3685039999999998E-2</v>
      </c>
      <c r="AA3341">
        <v>0.94802199999999903</v>
      </c>
      <c r="AB3341">
        <v>26</v>
      </c>
      <c r="AC3341">
        <v>-5.6343999999999896</v>
      </c>
      <c r="AD3341">
        <v>-1.1049541495599999</v>
      </c>
      <c r="AE3341">
        <v>-16.239999999999998</v>
      </c>
      <c r="AF3341">
        <v>5.39857739754465</v>
      </c>
      <c r="AG3341">
        <v>-1.1049541495599999</v>
      </c>
      <c r="AH3341">
        <v>16.2453879458891</v>
      </c>
      <c r="AI3341">
        <v>93.693079138911202</v>
      </c>
      <c r="AJ3341">
        <v>71.617606416601305</v>
      </c>
      <c r="AK3341">
        <v>17.154538498669901</v>
      </c>
    </row>
    <row r="3342" spans="1:37" x14ac:dyDescent="0.2">
      <c r="A3342" t="str">
        <f>"20200111153502154"</f>
        <v>20200111153502154</v>
      </c>
      <c r="B3342" t="str">
        <f>"1578728102149858"</f>
        <v>1578728102149858</v>
      </c>
      <c r="C3342" t="s">
        <v>37</v>
      </c>
      <c r="D3342">
        <v>4.8556299999999997</v>
      </c>
      <c r="E3342">
        <v>0.58524350000000003</v>
      </c>
      <c r="F3342" t="s">
        <v>51</v>
      </c>
      <c r="G3342">
        <v>-197.5042</v>
      </c>
      <c r="H3342" s="1">
        <v>-1.3990619999999999E-5</v>
      </c>
      <c r="I3342">
        <v>155.75569999999999</v>
      </c>
      <c r="J3342">
        <v>-191.69759999999999</v>
      </c>
      <c r="K3342">
        <v>1.104911</v>
      </c>
      <c r="L3342">
        <v>172.41550000000001</v>
      </c>
      <c r="M3342">
        <v>-1.314074E-2</v>
      </c>
      <c r="N3342">
        <v>0</v>
      </c>
      <c r="O3342">
        <v>-0.99982479999999996</v>
      </c>
      <c r="P3342">
        <v>-0.11449380000000001</v>
      </c>
      <c r="Q3342">
        <v>2.1387980000000001E-2</v>
      </c>
      <c r="R3342">
        <v>-0.99319409999999897</v>
      </c>
      <c r="S3342">
        <v>-1.0050809999999999</v>
      </c>
      <c r="T3342">
        <v>-0.19119549999999999</v>
      </c>
      <c r="U3342">
        <v>-2.908722</v>
      </c>
      <c r="V3342">
        <v>0.1014338</v>
      </c>
      <c r="W3342">
        <v>3.4653219999999998E-2</v>
      </c>
      <c r="X3342">
        <v>0.99423859999999997</v>
      </c>
      <c r="Y3342">
        <v>0.31351289999999998</v>
      </c>
      <c r="Z3342">
        <v>6.2133710000000002E-2</v>
      </c>
      <c r="AA3342">
        <v>0.94754899999999997</v>
      </c>
      <c r="AB3342">
        <v>26</v>
      </c>
      <c r="AC3342">
        <v>-5.8066000000000004</v>
      </c>
      <c r="AD3342">
        <v>-1.10492499062</v>
      </c>
      <c r="AE3342">
        <v>-16.659800000000001</v>
      </c>
      <c r="AF3342">
        <v>5.5653284240082401</v>
      </c>
      <c r="AG3342">
        <v>-1.10492499062</v>
      </c>
      <c r="AH3342">
        <v>16.669290069601502</v>
      </c>
      <c r="AI3342">
        <v>93.597648228476899</v>
      </c>
      <c r="AJ3342">
        <v>71.537528515937694</v>
      </c>
      <c r="AK3342">
        <v>17.608491449482099</v>
      </c>
    </row>
    <row r="3343" spans="1:37" x14ac:dyDescent="0.2">
      <c r="A3343" t="str">
        <f>"20200111153502171"</f>
        <v>20200111153502171</v>
      </c>
      <c r="B3343" t="str">
        <f>"1578728102159619"</f>
        <v>1578728102159619</v>
      </c>
      <c r="C3343" t="s">
        <v>37</v>
      </c>
      <c r="D3343">
        <v>4.8520129999999897</v>
      </c>
      <c r="E3343">
        <v>0.58555290000000004</v>
      </c>
      <c r="F3343" t="s">
        <v>51</v>
      </c>
      <c r="G3343">
        <v>-197.68180000000001</v>
      </c>
      <c r="H3343" s="1">
        <v>-1.3779960000000001E-5</v>
      </c>
      <c r="I3343">
        <v>155.22790000000001</v>
      </c>
      <c r="J3343">
        <v>-191.7</v>
      </c>
      <c r="K3343">
        <v>1.104873</v>
      </c>
      <c r="L3343">
        <v>172.23689999999999</v>
      </c>
      <c r="M3343">
        <v>-1.3220300000000001E-2</v>
      </c>
      <c r="N3343">
        <v>0</v>
      </c>
      <c r="O3343">
        <v>-0.99982380000000004</v>
      </c>
      <c r="P3343">
        <v>-0.1140924</v>
      </c>
      <c r="Q3343">
        <v>2.3443200000000001E-2</v>
      </c>
      <c r="R3343">
        <v>-0.99319400000000002</v>
      </c>
      <c r="S3343">
        <v>-1.0124359999999999</v>
      </c>
      <c r="T3343">
        <v>-0.18693689999999999</v>
      </c>
      <c r="U3343">
        <v>-2.907883</v>
      </c>
      <c r="V3343">
        <v>0.100957399999999</v>
      </c>
      <c r="W3343">
        <v>3.6696119999999999E-2</v>
      </c>
      <c r="X3343">
        <v>0.99421380000000004</v>
      </c>
      <c r="Y3343">
        <v>0.31568859999999999</v>
      </c>
      <c r="Z3343">
        <v>6.0724739999999999E-2</v>
      </c>
      <c r="AA3343">
        <v>0.94691780000000003</v>
      </c>
      <c r="AB3343">
        <v>26</v>
      </c>
      <c r="AC3343">
        <v>-5.9818000000000202</v>
      </c>
      <c r="AD3343">
        <v>-1.10488677996</v>
      </c>
      <c r="AE3343">
        <v>-17.008999999999901</v>
      </c>
      <c r="AF3343">
        <v>5.7348574807621002</v>
      </c>
      <c r="AG3343">
        <v>-1.10488677996</v>
      </c>
      <c r="AH3343">
        <v>17.0226777151344</v>
      </c>
      <c r="AI3343">
        <v>93.5198238414592</v>
      </c>
      <c r="AJ3343">
        <v>71.381578743815993</v>
      </c>
      <c r="AK3343">
        <v>17.996691965873001</v>
      </c>
    </row>
    <row r="3344" spans="1:37" x14ac:dyDescent="0.2">
      <c r="A3344" t="str">
        <f>"20200111153502184"</f>
        <v>20200111153502184</v>
      </c>
      <c r="B3344" t="str">
        <f>"1578728102179139"</f>
        <v>1578728102179139</v>
      </c>
      <c r="C3344" t="s">
        <v>37</v>
      </c>
      <c r="D3344">
        <v>4.8842089999999896</v>
      </c>
      <c r="E3344">
        <v>0.58600830000000004</v>
      </c>
      <c r="F3344" t="s">
        <v>51</v>
      </c>
      <c r="G3344">
        <v>-197.95859999999999</v>
      </c>
      <c r="H3344" s="1">
        <v>-1.3459409999999999E-5</v>
      </c>
      <c r="I3344">
        <v>154.2876</v>
      </c>
      <c r="J3344">
        <v>-191.7021</v>
      </c>
      <c r="K3344">
        <v>1.104827</v>
      </c>
      <c r="L3344">
        <v>172.08260000000001</v>
      </c>
      <c r="M3344">
        <v>-1.33389999999999E-2</v>
      </c>
      <c r="N3344">
        <v>0</v>
      </c>
      <c r="O3344">
        <v>-0.99982209999999905</v>
      </c>
      <c r="P3344">
        <v>-0.1138343</v>
      </c>
      <c r="Q3344">
        <v>2.3713689999999999E-2</v>
      </c>
      <c r="R3344">
        <v>-0.99321709999999996</v>
      </c>
      <c r="S3344">
        <v>-1.0140690000000001</v>
      </c>
      <c r="T3344">
        <v>-0.1790214</v>
      </c>
      <c r="U3344">
        <v>-2.908264</v>
      </c>
      <c r="V3344">
        <v>0.10058539999999901</v>
      </c>
      <c r="W3344">
        <v>3.6954399999999998E-2</v>
      </c>
      <c r="X3344">
        <v>0.99424190000000001</v>
      </c>
      <c r="Y3344">
        <v>0.31606190000000001</v>
      </c>
      <c r="Z3344">
        <v>5.8146580000000003E-2</v>
      </c>
      <c r="AA3344">
        <v>0.94695499999999899</v>
      </c>
      <c r="AB3344">
        <v>26</v>
      </c>
      <c r="AC3344">
        <v>-6.2564999999999804</v>
      </c>
      <c r="AD3344">
        <v>-1.1048404594100001</v>
      </c>
      <c r="AE3344">
        <v>-17.795000000000002</v>
      </c>
      <c r="AF3344">
        <v>5.9979772362513497</v>
      </c>
      <c r="AG3344">
        <v>-1.1048404594100001</v>
      </c>
      <c r="AH3344">
        <v>17.815758406491501</v>
      </c>
      <c r="AI3344">
        <v>93.363595482275997</v>
      </c>
      <c r="AJ3344">
        <v>71.393320933702199</v>
      </c>
      <c r="AK3344">
        <v>18.830763419623</v>
      </c>
    </row>
    <row r="3345" spans="1:37" x14ac:dyDescent="0.2">
      <c r="A3345" t="str">
        <f>"20200111153502196"</f>
        <v>20200111153502196</v>
      </c>
      <c r="B3345" t="str">
        <f>"1578728102188900"</f>
        <v>1578728102188900</v>
      </c>
      <c r="C3345" t="s">
        <v>37</v>
      </c>
      <c r="D3345">
        <v>4.8664569999999996</v>
      </c>
      <c r="E3345">
        <v>0.58614189999999999</v>
      </c>
      <c r="F3345" t="s">
        <v>51</v>
      </c>
      <c r="G3345">
        <v>-198.01070000000001</v>
      </c>
      <c r="H3345" s="1">
        <v>-1.340309E-5</v>
      </c>
      <c r="I3345">
        <v>154.0453</v>
      </c>
      <c r="J3345">
        <v>-191.70429999999999</v>
      </c>
      <c r="K3345">
        <v>1.1047629999999999</v>
      </c>
      <c r="L3345">
        <v>171.92609999999999</v>
      </c>
      <c r="M3345">
        <v>-1.351657E-2</v>
      </c>
      <c r="N3345">
        <v>0</v>
      </c>
      <c r="O3345">
        <v>-0.99981960000000003</v>
      </c>
      <c r="P3345">
        <v>-0.1136094</v>
      </c>
      <c r="Q3345">
        <v>2.368493E-2</v>
      </c>
      <c r="R3345">
        <v>-0.99324299999999999</v>
      </c>
      <c r="S3345">
        <v>-1.0171509999999999</v>
      </c>
      <c r="T3345">
        <v>-0.1781346</v>
      </c>
      <c r="U3345">
        <v>-2.9081730000000001</v>
      </c>
      <c r="V3345">
        <v>0.100189</v>
      </c>
      <c r="W3345">
        <v>3.6910560000000002E-2</v>
      </c>
      <c r="X3345">
        <v>0.99428359999999905</v>
      </c>
      <c r="Y3345">
        <v>0.316803</v>
      </c>
      <c r="Z3345">
        <v>5.7843980000000003E-2</v>
      </c>
      <c r="AA3345">
        <v>0.94672590000000001</v>
      </c>
      <c r="AB3345">
        <v>26</v>
      </c>
      <c r="AC3345">
        <v>-6.3064000000000204</v>
      </c>
      <c r="AD3345">
        <v>-1.10477640309</v>
      </c>
      <c r="AE3345">
        <v>-17.880799999999901</v>
      </c>
      <c r="AF3345">
        <v>6.0435963353035698</v>
      </c>
      <c r="AG3345">
        <v>-1.10477640309</v>
      </c>
      <c r="AH3345">
        <v>17.903629428435799</v>
      </c>
      <c r="AI3345">
        <v>93.346025686446794</v>
      </c>
      <c r="AJ3345">
        <v>71.347239535818105</v>
      </c>
      <c r="AK3345">
        <v>18.928431902185402</v>
      </c>
    </row>
    <row r="3346" spans="1:37" x14ac:dyDescent="0.2">
      <c r="A3346" t="str">
        <f>"20200111153502211"</f>
        <v>20200111153502211</v>
      </c>
      <c r="B3346" t="str">
        <f>"1578728102199634"</f>
        <v>1578728102199634</v>
      </c>
      <c r="C3346" t="s">
        <v>37</v>
      </c>
      <c r="D3346">
        <v>4.8876400000000002</v>
      </c>
      <c r="E3346">
        <v>0.58639839999999999</v>
      </c>
      <c r="F3346" t="s">
        <v>51</v>
      </c>
      <c r="G3346">
        <v>-198.03829999999999</v>
      </c>
      <c r="H3346" s="1">
        <v>-1.33511299999999E-5</v>
      </c>
      <c r="I3346">
        <v>153.82910000000001</v>
      </c>
      <c r="J3346">
        <v>-191.70650000000001</v>
      </c>
      <c r="K3346">
        <v>1.104684</v>
      </c>
      <c r="L3346">
        <v>171.77770000000001</v>
      </c>
      <c r="M3346">
        <v>-1.377863E-2</v>
      </c>
      <c r="N3346">
        <v>0</v>
      </c>
      <c r="O3346">
        <v>-0.99981629999999999</v>
      </c>
      <c r="P3346">
        <v>-0.1134116</v>
      </c>
      <c r="Q3346">
        <v>2.338283E-2</v>
      </c>
      <c r="R3346">
        <v>-0.99327330000000003</v>
      </c>
      <c r="S3346">
        <v>-1.0178989999999899</v>
      </c>
      <c r="T3346">
        <v>-0.17754110000000001</v>
      </c>
      <c r="U3346">
        <v>-2.9082340000000002</v>
      </c>
      <c r="V3346">
        <v>9.9736859999999997E-2</v>
      </c>
      <c r="W3346">
        <v>3.6590339999999999E-2</v>
      </c>
      <c r="X3346">
        <v>0.99434080000000002</v>
      </c>
      <c r="Y3346">
        <v>0.31676880000000002</v>
      </c>
      <c r="Z3346">
        <v>5.7648440000000002E-2</v>
      </c>
      <c r="AA3346">
        <v>0.94674930000000002</v>
      </c>
      <c r="AB3346">
        <v>26</v>
      </c>
      <c r="AC3346">
        <v>-6.3317999999999799</v>
      </c>
      <c r="AD3346">
        <v>-1.10469735113</v>
      </c>
      <c r="AE3346">
        <v>-17.948599999999999</v>
      </c>
      <c r="AF3346">
        <v>6.0634427355908098</v>
      </c>
      <c r="AG3346">
        <v>-1.10469735113</v>
      </c>
      <c r="AH3346">
        <v>17.9735962302621</v>
      </c>
      <c r="AI3346">
        <v>93.3330033097035</v>
      </c>
      <c r="AJ3346">
        <v>71.358033879246605</v>
      </c>
      <c r="AK3346">
        <v>19.000943542200101</v>
      </c>
    </row>
    <row r="3347" spans="1:37" x14ac:dyDescent="0.2">
      <c r="A3347" t="str">
        <f>"20200111153502226"</f>
        <v>20200111153502226</v>
      </c>
      <c r="B3347" t="str">
        <f>"1578728102219154"</f>
        <v>1578728102219154</v>
      </c>
      <c r="C3347" t="s">
        <v>37</v>
      </c>
      <c r="D3347">
        <v>4.8899949999999999</v>
      </c>
      <c r="E3347">
        <v>0.58706230000000004</v>
      </c>
      <c r="F3347" t="s">
        <v>51</v>
      </c>
      <c r="G3347">
        <v>-198.01859999999999</v>
      </c>
      <c r="H3347" s="1">
        <v>-1.3335029999999901E-5</v>
      </c>
      <c r="I3347">
        <v>153.77209999999999</v>
      </c>
      <c r="J3347">
        <v>-191.70939999999999</v>
      </c>
      <c r="K3347">
        <v>1.1045659999999999</v>
      </c>
      <c r="L3347">
        <v>171.5943</v>
      </c>
      <c r="M3347">
        <v>-1.419318E-2</v>
      </c>
      <c r="N3347">
        <v>0</v>
      </c>
      <c r="O3347">
        <v>-0.99981059999999999</v>
      </c>
      <c r="P3347">
        <v>-0.1128661</v>
      </c>
      <c r="Q3347">
        <v>2.3032899999999999E-2</v>
      </c>
      <c r="R3347">
        <v>-0.99334369999999905</v>
      </c>
      <c r="S3347">
        <v>-1.019485</v>
      </c>
      <c r="T3347">
        <v>-0.17842189999999999</v>
      </c>
      <c r="U3347">
        <v>-2.9081269999999999</v>
      </c>
      <c r="V3347">
        <v>9.8787600000000003E-2</v>
      </c>
      <c r="W3347">
        <v>3.6215320000000002E-2</v>
      </c>
      <c r="X3347">
        <v>0.99444929999999998</v>
      </c>
      <c r="Y3347">
        <v>0.31684129999999999</v>
      </c>
      <c r="Z3347">
        <v>5.7929120000000001E-2</v>
      </c>
      <c r="AA3347">
        <v>0.94670789999999905</v>
      </c>
      <c r="AB3347">
        <v>26</v>
      </c>
      <c r="AC3347">
        <v>-6.3091999999999997</v>
      </c>
      <c r="AD3347">
        <v>-1.1045793350299999</v>
      </c>
      <c r="AE3347">
        <v>-17.822199999999999</v>
      </c>
      <c r="AF3347">
        <v>6.0349880730656302</v>
      </c>
      <c r="AG3347">
        <v>-1.1045793350299999</v>
      </c>
      <c r="AH3347">
        <v>17.849033112016301</v>
      </c>
      <c r="AI3347">
        <v>93.355081212604105</v>
      </c>
      <c r="AJ3347">
        <v>71.318942275222</v>
      </c>
      <c r="AK3347">
        <v>18.874034003976899</v>
      </c>
    </row>
    <row r="3348" spans="1:37" x14ac:dyDescent="0.2">
      <c r="A3348" t="str">
        <f>"20200111153502239"</f>
        <v>20200111153502239</v>
      </c>
      <c r="B3348" t="str">
        <f>"1578728102228915"</f>
        <v>1578728102228915</v>
      </c>
      <c r="C3348" t="s">
        <v>37</v>
      </c>
      <c r="D3348">
        <v>4.8714889999999897</v>
      </c>
      <c r="E3348">
        <v>0.58736820000000001</v>
      </c>
      <c r="F3348" t="s">
        <v>51</v>
      </c>
      <c r="G3348">
        <v>-198.0685</v>
      </c>
      <c r="H3348" s="1">
        <v>-1.327777E-5</v>
      </c>
      <c r="I3348">
        <v>153.52690000000001</v>
      </c>
      <c r="J3348">
        <v>-191.71190000000001</v>
      </c>
      <c r="K3348">
        <v>1.1044609999999999</v>
      </c>
      <c r="L3348">
        <v>171.44399999999999</v>
      </c>
      <c r="M3348">
        <v>-1.46110999999999E-2</v>
      </c>
      <c r="N3348">
        <v>0</v>
      </c>
      <c r="O3348">
        <v>-0.99980429999999998</v>
      </c>
      <c r="P3348">
        <v>-0.1129178</v>
      </c>
      <c r="Q3348">
        <v>2.258862E-2</v>
      </c>
      <c r="R3348">
        <v>-0.9933478</v>
      </c>
      <c r="S3348">
        <v>-1.0234829999999999</v>
      </c>
      <c r="T3348">
        <v>-0.17778089999999999</v>
      </c>
      <c r="U3348">
        <v>-2.9079130000000002</v>
      </c>
      <c r="V3348">
        <v>9.8432080000000005E-2</v>
      </c>
      <c r="W3348">
        <v>3.5746890000000003E-2</v>
      </c>
      <c r="X3348">
        <v>0.99450149999999904</v>
      </c>
      <c r="Y3348">
        <v>0.31762950000000001</v>
      </c>
      <c r="Z3348">
        <v>5.7704680000000001E-2</v>
      </c>
      <c r="AA3348">
        <v>0.9464574</v>
      </c>
      <c r="AB3348">
        <v>26</v>
      </c>
      <c r="AC3348">
        <v>-6.3565999999999798</v>
      </c>
      <c r="AD3348">
        <v>-1.1044742777700001</v>
      </c>
      <c r="AE3348">
        <v>-17.917100000000001</v>
      </c>
      <c r="AF3348">
        <v>6.0736103742044696</v>
      </c>
      <c r="AG3348">
        <v>-1.1044742777700001</v>
      </c>
      <c r="AH3348">
        <v>17.947497383064199</v>
      </c>
      <c r="AI3348">
        <v>93.336099425619494</v>
      </c>
      <c r="AJ3348">
        <v>71.303673010351005</v>
      </c>
      <c r="AK3348">
        <v>18.9794960081399</v>
      </c>
    </row>
    <row r="3349" spans="1:37" x14ac:dyDescent="0.2">
      <c r="A3349" t="str">
        <f>"20200111153502252"</f>
        <v>20200111153502252</v>
      </c>
      <c r="B3349" t="str">
        <f>"1578728102249411"</f>
        <v>1578728102249411</v>
      </c>
      <c r="C3349" t="s">
        <v>37</v>
      </c>
      <c r="D3349">
        <v>4.8901139999999996</v>
      </c>
      <c r="E3349">
        <v>0.58806789999999998</v>
      </c>
      <c r="F3349" t="s">
        <v>51</v>
      </c>
      <c r="G3349">
        <v>-198.07470000000001</v>
      </c>
      <c r="H3349" s="1">
        <v>-1.325026E-5</v>
      </c>
      <c r="I3349">
        <v>153.41540000000001</v>
      </c>
      <c r="J3349">
        <v>-191.71449999999999</v>
      </c>
      <c r="K3349">
        <v>1.104349</v>
      </c>
      <c r="L3349">
        <v>171.29900000000001</v>
      </c>
      <c r="M3349">
        <v>-1.513713E-2</v>
      </c>
      <c r="N3349">
        <v>0</v>
      </c>
      <c r="O3349">
        <v>-0.99979660000000004</v>
      </c>
      <c r="P3349">
        <v>-0.11282780000000001</v>
      </c>
      <c r="Q3349">
        <v>2.221368E-2</v>
      </c>
      <c r="R3349">
        <v>-0.99336650000000004</v>
      </c>
      <c r="S3349">
        <v>-1.026138</v>
      </c>
      <c r="T3349">
        <v>-0.17812069999999999</v>
      </c>
      <c r="U3349">
        <v>-2.9075009999999999</v>
      </c>
      <c r="V3349">
        <v>9.7827490000000003E-2</v>
      </c>
      <c r="W3349">
        <v>3.5348499999999998E-2</v>
      </c>
      <c r="X3349">
        <v>0.9945754</v>
      </c>
      <c r="Y3349">
        <v>0.31793929999999998</v>
      </c>
      <c r="Z3349">
        <v>5.7810029999999998E-2</v>
      </c>
      <c r="AA3349">
        <v>0.94634689999999999</v>
      </c>
      <c r="AB3349">
        <v>26</v>
      </c>
      <c r="AC3349">
        <v>-6.3602000000000096</v>
      </c>
      <c r="AD3349">
        <v>-1.1043622502599999</v>
      </c>
      <c r="AE3349">
        <v>-17.883600000000001</v>
      </c>
      <c r="AF3349">
        <v>6.0681984718054602</v>
      </c>
      <c r="AG3349">
        <v>-1.1043622502599999</v>
      </c>
      <c r="AH3349">
        <v>17.917180546365099</v>
      </c>
      <c r="AI3349">
        <v>93.341119365314199</v>
      </c>
      <c r="AJ3349">
        <v>71.289765256098207</v>
      </c>
      <c r="AK3349">
        <v>18.949089883265199</v>
      </c>
    </row>
    <row r="3350" spans="1:37" x14ac:dyDescent="0.2">
      <c r="A3350" t="str">
        <f>"20200111153502265"</f>
        <v>20200111153502265</v>
      </c>
      <c r="B3350" t="str">
        <f>"1578728102259170"</f>
        <v>1578728102259170</v>
      </c>
      <c r="C3350" t="s">
        <v>37</v>
      </c>
      <c r="D3350">
        <v>4.8697039999999996</v>
      </c>
      <c r="E3350">
        <v>0.58850609999999903</v>
      </c>
      <c r="F3350" t="s">
        <v>51</v>
      </c>
      <c r="G3350">
        <v>-198.09899999999999</v>
      </c>
      <c r="H3350" s="1">
        <v>-1.322602E-5</v>
      </c>
      <c r="I3350">
        <v>153.31049999999999</v>
      </c>
      <c r="J3350">
        <v>-191.71719999999999</v>
      </c>
      <c r="K3350">
        <v>1.1042350000000001</v>
      </c>
      <c r="L3350">
        <v>171.15700000000001</v>
      </c>
      <c r="M3350">
        <v>-1.571929E-2</v>
      </c>
      <c r="N3350">
        <v>0</v>
      </c>
      <c r="O3350">
        <v>-0.9997876</v>
      </c>
      <c r="P3350">
        <v>-0.1128642</v>
      </c>
      <c r="Q3350">
        <v>2.183475E-2</v>
      </c>
      <c r="R3350">
        <v>-0.9933708</v>
      </c>
      <c r="S3350">
        <v>-1.0317080000000001</v>
      </c>
      <c r="T3350">
        <v>-0.17846010000000001</v>
      </c>
      <c r="U3350">
        <v>-2.90686</v>
      </c>
      <c r="V3350">
        <v>9.7293180000000007E-2</v>
      </c>
      <c r="W3350">
        <v>3.49463E-2</v>
      </c>
      <c r="X3350">
        <v>0.99464200000000003</v>
      </c>
      <c r="Y3350">
        <v>0.31906220000000002</v>
      </c>
      <c r="Z3350">
        <v>5.7901870000000001E-2</v>
      </c>
      <c r="AA3350">
        <v>0.94596340000000001</v>
      </c>
      <c r="AB3350">
        <v>26</v>
      </c>
      <c r="AC3350">
        <v>-6.3818000000000197</v>
      </c>
      <c r="AD3350">
        <v>-1.1042482260199999</v>
      </c>
      <c r="AE3350">
        <v>-17.846499999999999</v>
      </c>
      <c r="AF3350">
        <v>6.0798146108887003</v>
      </c>
      <c r="AG3350">
        <v>-1.1042482260199999</v>
      </c>
      <c r="AH3350">
        <v>17.883915138409201</v>
      </c>
      <c r="AI3350">
        <v>93.345675280550594</v>
      </c>
      <c r="AJ3350">
        <v>71.224024538628797</v>
      </c>
      <c r="AK3350">
        <v>18.921361751345099</v>
      </c>
    </row>
    <row r="3351" spans="1:37" x14ac:dyDescent="0.2">
      <c r="A3351" t="str">
        <f>"20200111153502277"</f>
        <v>20200111153502277</v>
      </c>
      <c r="B3351" t="str">
        <f>"1578728102268931"</f>
        <v>1578728102268931</v>
      </c>
      <c r="C3351" t="s">
        <v>37</v>
      </c>
      <c r="D3351">
        <v>4.892531</v>
      </c>
      <c r="E3351">
        <v>0.58895369999999903</v>
      </c>
      <c r="F3351" t="s">
        <v>51</v>
      </c>
      <c r="G3351">
        <v>-198.1523</v>
      </c>
      <c r="H3351" s="1">
        <v>-1.3175859999999999E-5</v>
      </c>
      <c r="I3351">
        <v>153.0924</v>
      </c>
      <c r="J3351">
        <v>-191.72020000000001</v>
      </c>
      <c r="K3351">
        <v>1.104117</v>
      </c>
      <c r="L3351">
        <v>171.00729999999999</v>
      </c>
      <c r="M3351">
        <v>-1.6404430000000001E-2</v>
      </c>
      <c r="N3351">
        <v>0</v>
      </c>
      <c r="O3351">
        <v>-0.99977640000000001</v>
      </c>
      <c r="P3351">
        <v>-0.1133266</v>
      </c>
      <c r="Q3351">
        <v>2.1182059999999999E-2</v>
      </c>
      <c r="R3351">
        <v>-0.99333199999999999</v>
      </c>
      <c r="S3351">
        <v>-1.0352939999999999</v>
      </c>
      <c r="T3351">
        <v>-0.1776546</v>
      </c>
      <c r="U3351">
        <v>-2.90629599999999</v>
      </c>
      <c r="V3351">
        <v>9.7082760000000004E-2</v>
      </c>
      <c r="W3351">
        <v>3.4268640000000003E-2</v>
      </c>
      <c r="X3351">
        <v>0.99468619999999996</v>
      </c>
      <c r="Y3351">
        <v>0.31951199999999902</v>
      </c>
      <c r="Z3351">
        <v>5.7634980000000002E-2</v>
      </c>
      <c r="AA3351">
        <v>0.9458278</v>
      </c>
      <c r="AB3351">
        <v>26</v>
      </c>
      <c r="AC3351">
        <v>-6.4320999999999904</v>
      </c>
      <c r="AD3351">
        <v>-1.10413017586</v>
      </c>
      <c r="AE3351">
        <v>-17.9148999999999</v>
      </c>
      <c r="AF3351">
        <v>6.1167430944322598</v>
      </c>
      <c r="AG3351">
        <v>-1.10413017586</v>
      </c>
      <c r="AH3351">
        <v>17.957590329045601</v>
      </c>
      <c r="AI3351">
        <v>93.330953745665894</v>
      </c>
      <c r="AJ3351">
        <v>71.190048410964806</v>
      </c>
      <c r="AK3351">
        <v>19.0028603098155</v>
      </c>
    </row>
    <row r="3352" spans="1:37" x14ac:dyDescent="0.2">
      <c r="A3352" t="str">
        <f>"20200111153502293"</f>
        <v>20200111153502293</v>
      </c>
      <c r="B3352" t="str">
        <f>"1578728102289426"</f>
        <v>1578728102289426</v>
      </c>
      <c r="C3352" t="s">
        <v>37</v>
      </c>
      <c r="D3352">
        <v>4.8907879999999997</v>
      </c>
      <c r="E3352">
        <v>0.58983799999999997</v>
      </c>
      <c r="F3352" t="s">
        <v>51</v>
      </c>
      <c r="G3352">
        <v>-198.1671</v>
      </c>
      <c r="H3352" s="1">
        <v>-1.3155129999999999E-5</v>
      </c>
      <c r="I3352">
        <v>153.00479999999999</v>
      </c>
      <c r="J3352">
        <v>-191.72380000000001</v>
      </c>
      <c r="K3352">
        <v>1.1039779999999999</v>
      </c>
      <c r="L3352">
        <v>170.84309999999999</v>
      </c>
      <c r="M3352">
        <v>-1.7316160000000001E-2</v>
      </c>
      <c r="N3352">
        <v>0</v>
      </c>
      <c r="O3352">
        <v>-0.99976100000000001</v>
      </c>
      <c r="P3352">
        <v>-0.1144366</v>
      </c>
      <c r="Q3352">
        <v>1.867744E-2</v>
      </c>
      <c r="R3352">
        <v>-0.99325509999999995</v>
      </c>
      <c r="S3352">
        <v>-1.0403899999999999</v>
      </c>
      <c r="T3352">
        <v>-0.17818439999999999</v>
      </c>
      <c r="U3352">
        <v>-2.905243</v>
      </c>
      <c r="V3352">
        <v>9.7291069999999993E-2</v>
      </c>
      <c r="W3352">
        <v>3.1736590000000002E-2</v>
      </c>
      <c r="X3352">
        <v>0.99474979999999902</v>
      </c>
      <c r="Y3352">
        <v>0.32022449999999902</v>
      </c>
      <c r="Z3352">
        <v>5.780093E-2</v>
      </c>
      <c r="AA3352">
        <v>0.94557669999999905</v>
      </c>
      <c r="AB3352">
        <v>26</v>
      </c>
      <c r="AC3352">
        <v>-6.44329999999999</v>
      </c>
      <c r="AD3352">
        <v>-1.1039911551299999</v>
      </c>
      <c r="AE3352">
        <v>-17.8383</v>
      </c>
      <c r="AF3352">
        <v>6.1127044912357</v>
      </c>
      <c r="AG3352">
        <v>-1.1039911551299999</v>
      </c>
      <c r="AH3352">
        <v>17.886605194518499</v>
      </c>
      <c r="AI3352">
        <v>93.342575156150602</v>
      </c>
      <c r="AJ3352">
        <v>71.132259874939905</v>
      </c>
      <c r="AK3352">
        <v>18.934481721250101</v>
      </c>
    </row>
    <row r="3353" spans="1:37" x14ac:dyDescent="0.2">
      <c r="A3353" t="str">
        <f>"20200111153502306"</f>
        <v>20200111153502306</v>
      </c>
      <c r="B3353" t="str">
        <f>"1578728102299187"</f>
        <v>1578728102299187</v>
      </c>
      <c r="C3353" t="s">
        <v>37</v>
      </c>
      <c r="D3353">
        <v>4.8325500000000003</v>
      </c>
      <c r="E3353">
        <v>0.59026499999999904</v>
      </c>
      <c r="F3353" t="s">
        <v>51</v>
      </c>
      <c r="G3353">
        <v>-198.03890000000001</v>
      </c>
      <c r="H3353" s="1">
        <v>-1.324201E-5</v>
      </c>
      <c r="I3353">
        <v>153.39529999999999</v>
      </c>
      <c r="J3353">
        <v>-191.72730000000001</v>
      </c>
      <c r="K3353">
        <v>1.1038649999999901</v>
      </c>
      <c r="L3353">
        <v>170.69540000000001</v>
      </c>
      <c r="M3353">
        <v>-1.8223179999999999E-2</v>
      </c>
      <c r="N3353">
        <v>0</v>
      </c>
      <c r="O3353">
        <v>-0.99974499999999999</v>
      </c>
      <c r="P3353">
        <v>-0.11565250000000001</v>
      </c>
      <c r="Q3353">
        <v>1.732181E-2</v>
      </c>
      <c r="R3353">
        <v>-0.99313869999999904</v>
      </c>
      <c r="S3353">
        <v>-1.050629</v>
      </c>
      <c r="T3353">
        <v>-0.183669</v>
      </c>
      <c r="U3353">
        <v>-2.902771</v>
      </c>
      <c r="V3353">
        <v>9.7611260000000005E-2</v>
      </c>
      <c r="W3353">
        <v>3.0354909999999999E-2</v>
      </c>
      <c r="X3353">
        <v>0.99476160000000002</v>
      </c>
      <c r="Y3353">
        <v>0.32253690000000002</v>
      </c>
      <c r="Z3353">
        <v>5.9561179999999998E-2</v>
      </c>
      <c r="AA3353">
        <v>0.94468109999999905</v>
      </c>
      <c r="AB3353">
        <v>25</v>
      </c>
      <c r="AC3353">
        <v>-6.3115999999999897</v>
      </c>
      <c r="AD3353">
        <v>-1.10387824201</v>
      </c>
      <c r="AE3353">
        <v>-17.3001</v>
      </c>
      <c r="AF3353">
        <v>5.9737960601739699</v>
      </c>
      <c r="AG3353">
        <v>-1.10387824201</v>
      </c>
      <c r="AH3353">
        <v>17.3499133573793</v>
      </c>
      <c r="AI3353">
        <v>93.442670532258802</v>
      </c>
      <c r="AJ3353">
        <v>71.000762287079098</v>
      </c>
      <c r="AK3353">
        <v>18.382716884353702</v>
      </c>
    </row>
    <row r="3354" spans="1:37" x14ac:dyDescent="0.2">
      <c r="A3354" t="str">
        <f>"20200111153502319"</f>
        <v>20200111153502319</v>
      </c>
      <c r="B3354" t="str">
        <f>"1578728102308947"</f>
        <v>1578728102308947</v>
      </c>
      <c r="C3354" t="s">
        <v>37</v>
      </c>
      <c r="D3354">
        <v>4.8746429999999998</v>
      </c>
      <c r="E3354">
        <v>0.59026499999999904</v>
      </c>
      <c r="F3354" t="s">
        <v>51</v>
      </c>
      <c r="G3354">
        <v>-197.9881</v>
      </c>
      <c r="H3354" s="1">
        <v>-1.32693E-5</v>
      </c>
      <c r="I3354">
        <v>153.52160000000001</v>
      </c>
      <c r="J3354">
        <v>-191.7312</v>
      </c>
      <c r="K3354">
        <v>1.103742</v>
      </c>
      <c r="L3354">
        <v>170.53700000000001</v>
      </c>
      <c r="M3354">
        <v>-1.9282690000000002E-2</v>
      </c>
      <c r="N3354">
        <v>0</v>
      </c>
      <c r="O3354">
        <v>-0.99972519999999998</v>
      </c>
      <c r="P3354">
        <v>-0.117220699999999</v>
      </c>
      <c r="Q3354">
        <v>1.654831E-2</v>
      </c>
      <c r="R3354">
        <v>-0.99296859999999998</v>
      </c>
      <c r="S3354">
        <v>-1.057526</v>
      </c>
      <c r="T3354">
        <v>-0.18645719999999999</v>
      </c>
      <c r="U3354">
        <v>-2.9008479999999999</v>
      </c>
      <c r="V3354">
        <v>9.8134319999999997E-2</v>
      </c>
      <c r="W3354">
        <v>2.955323E-2</v>
      </c>
      <c r="X3354">
        <v>0.99473429999999996</v>
      </c>
      <c r="Y3354">
        <v>0.32369979999999998</v>
      </c>
      <c r="Z3354">
        <v>6.0461550000000003E-2</v>
      </c>
      <c r="AA3354">
        <v>0.94422609999999996</v>
      </c>
      <c r="AB3354">
        <v>25</v>
      </c>
      <c r="AC3354">
        <v>-6.2568999999999999</v>
      </c>
      <c r="AD3354">
        <v>-1.1037552692999999</v>
      </c>
      <c r="AE3354">
        <v>-17.0154</v>
      </c>
      <c r="AF3354">
        <v>5.9057141801564201</v>
      </c>
      <c r="AG3354">
        <v>-1.1037552692999999</v>
      </c>
      <c r="AH3354">
        <v>17.069625184465799</v>
      </c>
      <c r="AI3354">
        <v>93.496880141180398</v>
      </c>
      <c r="AJ3354">
        <v>70.915507471125096</v>
      </c>
      <c r="AK3354">
        <v>18.0960724912992</v>
      </c>
    </row>
    <row r="3355" spans="1:37" x14ac:dyDescent="0.2">
      <c r="A3355" t="str">
        <f>"20200111153502332"</f>
        <v>20200111153502332</v>
      </c>
      <c r="B3355" t="str">
        <f>"1578728102329442"</f>
        <v>1578728102329442</v>
      </c>
      <c r="C3355" t="s">
        <v>37</v>
      </c>
      <c r="D3355">
        <v>4.878196</v>
      </c>
      <c r="E3355">
        <v>0.60608419999999996</v>
      </c>
      <c r="F3355" t="s">
        <v>51</v>
      </c>
      <c r="G3355">
        <v>-197.93709999999999</v>
      </c>
      <c r="H3355" s="1">
        <v>-1.32839299999999E-5</v>
      </c>
      <c r="I3355">
        <v>153.5977</v>
      </c>
      <c r="J3355">
        <v>-191.7353</v>
      </c>
      <c r="K3355">
        <v>1.1036349999999999</v>
      </c>
      <c r="L3355">
        <v>170.38499999999999</v>
      </c>
      <c r="M3355">
        <v>-2.0432289999999999E-2</v>
      </c>
      <c r="N3355">
        <v>0</v>
      </c>
      <c r="O3355">
        <v>-0.99970210000000004</v>
      </c>
      <c r="P3355">
        <v>-0.11848789999999999</v>
      </c>
      <c r="Q3355">
        <v>1.6208159999999999E-2</v>
      </c>
      <c r="R3355">
        <v>-0.99282340000000002</v>
      </c>
      <c r="S3355">
        <v>-1.0620879999999999</v>
      </c>
      <c r="T3355">
        <v>-0.1888995</v>
      </c>
      <c r="U3355">
        <v>-2.89901699999999</v>
      </c>
      <c r="V3355">
        <v>9.8266619999999999E-2</v>
      </c>
      <c r="W3355">
        <v>2.9189079999999999E-2</v>
      </c>
      <c r="X3355">
        <v>0.99473199999999995</v>
      </c>
      <c r="Y3355">
        <v>0.32409789999999999</v>
      </c>
      <c r="Z3355">
        <v>6.1264190000000003E-2</v>
      </c>
      <c r="AA3355">
        <v>0.94403769999999998</v>
      </c>
      <c r="AB3355">
        <v>25</v>
      </c>
      <c r="AC3355">
        <v>-6.2017999999999898</v>
      </c>
      <c r="AD3355">
        <v>-1.1036482839299999</v>
      </c>
      <c r="AE3355">
        <v>-16.787299999999899</v>
      </c>
      <c r="AF3355">
        <v>5.8352793931110503</v>
      </c>
      <c r="AG3355">
        <v>-1.1036482839299999</v>
      </c>
      <c r="AH3355">
        <v>16.846454425023399</v>
      </c>
      <c r="AI3355">
        <v>93.542305278287301</v>
      </c>
      <c r="AJ3355">
        <v>70.894923940775996</v>
      </c>
      <c r="AK3355">
        <v>17.8625740537213</v>
      </c>
    </row>
    <row r="3356" spans="1:37" x14ac:dyDescent="0.2">
      <c r="A3356" t="str">
        <f>"20200111153502348"</f>
        <v>20200111153502348</v>
      </c>
      <c r="B3356" t="str">
        <f>"1578728102339205"</f>
        <v>1578728102339205</v>
      </c>
      <c r="C3356" t="s">
        <v>37</v>
      </c>
      <c r="D3356">
        <v>4.8696190000000001</v>
      </c>
      <c r="E3356">
        <v>0.60691280000000003</v>
      </c>
      <c r="F3356" t="s">
        <v>51</v>
      </c>
      <c r="G3356">
        <v>-200.81890000000001</v>
      </c>
      <c r="H3356" s="1">
        <v>-1.172466E-5</v>
      </c>
      <c r="I3356">
        <v>148.42359999999999</v>
      </c>
      <c r="J3356">
        <v>-191.7406</v>
      </c>
      <c r="K3356">
        <v>1.1035159999999999</v>
      </c>
      <c r="L3356">
        <v>170.2013</v>
      </c>
      <c r="M3356">
        <v>-2.1909540000000002E-2</v>
      </c>
      <c r="N3356">
        <v>0</v>
      </c>
      <c r="O3356">
        <v>-0.99967079999999997</v>
      </c>
      <c r="P3356">
        <v>-0.1199113</v>
      </c>
      <c r="Q3356">
        <v>1.6948700000000001E-2</v>
      </c>
      <c r="R3356">
        <v>-0.99264030000000003</v>
      </c>
      <c r="S3356">
        <v>-1.191956</v>
      </c>
      <c r="T3356">
        <v>-0.144820899999999</v>
      </c>
      <c r="U3356">
        <v>-2.8817900000000001</v>
      </c>
      <c r="V3356">
        <v>9.8234390000000005E-2</v>
      </c>
      <c r="W3356">
        <v>2.9903550000000001E-2</v>
      </c>
      <c r="X3356">
        <v>0.99471390000000004</v>
      </c>
      <c r="Y3356">
        <v>0.36145879999999903</v>
      </c>
      <c r="Z3356">
        <v>4.6567400000000002E-2</v>
      </c>
      <c r="AA3356">
        <v>0.93122450000000001</v>
      </c>
      <c r="AB3356">
        <v>25</v>
      </c>
      <c r="AC3356">
        <v>-9.0783000000000094</v>
      </c>
      <c r="AD3356">
        <v>-1.1035277246599999</v>
      </c>
      <c r="AE3356">
        <v>-21.777699999999999</v>
      </c>
      <c r="AF3356">
        <v>8.5801689606147509</v>
      </c>
      <c r="AG3356">
        <v>-1.1035277246599999</v>
      </c>
      <c r="AH3356">
        <v>21.9234319959928</v>
      </c>
      <c r="AI3356">
        <v>92.683693090811303</v>
      </c>
      <c r="AJ3356">
        <v>68.626126170608003</v>
      </c>
      <c r="AK3356">
        <v>23.568494718897799</v>
      </c>
    </row>
    <row r="3357" spans="1:37" x14ac:dyDescent="0.2">
      <c r="A3357" t="str">
        <f>"20200111153502362"</f>
        <v>20200111153502362</v>
      </c>
      <c r="B3357" t="str">
        <f>"1578728102348963"</f>
        <v>1578728102348963</v>
      </c>
      <c r="C3357" t="s">
        <v>37</v>
      </c>
      <c r="D3357">
        <v>4.8337219999999999</v>
      </c>
      <c r="E3357">
        <v>0.60703750000000001</v>
      </c>
      <c r="F3357" t="s">
        <v>51</v>
      </c>
      <c r="G3357">
        <v>-201.2149</v>
      </c>
      <c r="H3357" s="1">
        <v>-1.1279E-5</v>
      </c>
      <c r="I3357">
        <v>147.51589999999999</v>
      </c>
      <c r="J3357">
        <v>-191.74510000000001</v>
      </c>
      <c r="K3357">
        <v>1.1034269999999999</v>
      </c>
      <c r="L3357">
        <v>170.04990000000001</v>
      </c>
      <c r="M3357">
        <v>-2.3195750000000001E-2</v>
      </c>
      <c r="N3357">
        <v>0</v>
      </c>
      <c r="O3357">
        <v>-0.99964169999999997</v>
      </c>
      <c r="P3357">
        <v>-0.1206073</v>
      </c>
      <c r="Q3357">
        <v>1.7637900000000001E-2</v>
      </c>
      <c r="R3357">
        <v>-0.99254359999999997</v>
      </c>
      <c r="S3357">
        <v>-1.202545</v>
      </c>
      <c r="T3357">
        <v>-0.14006689999999999</v>
      </c>
      <c r="U3357">
        <v>-2.8793790000000001</v>
      </c>
      <c r="V3357">
        <v>9.766126E-2</v>
      </c>
      <c r="W3357">
        <v>3.05750999999999E-2</v>
      </c>
      <c r="X3357">
        <v>0.99475000000000002</v>
      </c>
      <c r="Y3357">
        <v>0.363481</v>
      </c>
      <c r="Z3357">
        <v>4.502602E-2</v>
      </c>
      <c r="AA3357">
        <v>0.93051289999999998</v>
      </c>
      <c r="AB3357">
        <v>25</v>
      </c>
      <c r="AC3357">
        <v>-9.4697999999999904</v>
      </c>
      <c r="AD3357">
        <v>-1.1034382789999999</v>
      </c>
      <c r="AE3357">
        <v>-22.533999999999999</v>
      </c>
      <c r="AF3357">
        <v>8.9263207694189894</v>
      </c>
      <c r="AG3357">
        <v>-1.1034382789999999</v>
      </c>
      <c r="AH3357">
        <v>22.701351001780399</v>
      </c>
      <c r="AI3357">
        <v>92.590031754310004</v>
      </c>
      <c r="AJ3357">
        <v>68.534920944969201</v>
      </c>
      <c r="AK3357">
        <v>24.418192312703201</v>
      </c>
    </row>
    <row r="3358" spans="1:37" x14ac:dyDescent="0.2">
      <c r="A3358" t="str">
        <f>"20200111153502375"</f>
        <v>20200111153502375</v>
      </c>
      <c r="B3358" t="str">
        <f>"1578728102369459"</f>
        <v>1578728102369459</v>
      </c>
      <c r="C3358" t="s">
        <v>37</v>
      </c>
      <c r="D3358">
        <v>4.8585709999999898</v>
      </c>
      <c r="E3358">
        <v>0.60755239999999999</v>
      </c>
      <c r="F3358" t="s">
        <v>51</v>
      </c>
      <c r="G3358">
        <v>-201.16069999999999</v>
      </c>
      <c r="H3358" s="1">
        <v>-1.131681E-5</v>
      </c>
      <c r="I3358">
        <v>147.56219999999999</v>
      </c>
      <c r="J3358">
        <v>-191.7499</v>
      </c>
      <c r="K3358">
        <v>1.103348</v>
      </c>
      <c r="L3358">
        <v>169.90190000000001</v>
      </c>
      <c r="M3358">
        <v>-2.4530409999999999E-2</v>
      </c>
      <c r="N3358">
        <v>0</v>
      </c>
      <c r="O3358">
        <v>-0.99960990000000005</v>
      </c>
      <c r="P3358">
        <v>-0.1213384</v>
      </c>
      <c r="Q3358">
        <v>1.8176990000000001E-2</v>
      </c>
      <c r="R3358">
        <v>-0.99244489999999996</v>
      </c>
      <c r="S3358">
        <v>-1.2052609999999999</v>
      </c>
      <c r="T3358">
        <v>-0.14124790000000001</v>
      </c>
      <c r="U3358">
        <v>-2.8785859999999999</v>
      </c>
      <c r="V3358">
        <v>9.7074190000000005E-2</v>
      </c>
      <c r="W3358">
        <v>3.1099849999999998E-2</v>
      </c>
      <c r="X3358">
        <v>0.99479119999999999</v>
      </c>
      <c r="Y3358">
        <v>0.36306919999999998</v>
      </c>
      <c r="Z3358">
        <v>4.5409980000000003E-2</v>
      </c>
      <c r="AA3358">
        <v>0.93065499999999901</v>
      </c>
      <c r="AB3358">
        <v>25</v>
      </c>
      <c r="AC3358">
        <v>-9.4107999999999894</v>
      </c>
      <c r="AD3358">
        <v>-1.10335931681</v>
      </c>
      <c r="AE3358">
        <v>-22.339700000000001</v>
      </c>
      <c r="AF3358">
        <v>8.84159935627601</v>
      </c>
      <c r="AG3358">
        <v>-1.10335931681</v>
      </c>
      <c r="AH3358">
        <v>22.5171982167011</v>
      </c>
      <c r="AI3358">
        <v>92.611483346014595</v>
      </c>
      <c r="AJ3358">
        <v>68.562057709336003</v>
      </c>
      <c r="AK3358">
        <v>24.216017353997302</v>
      </c>
    </row>
    <row r="3359" spans="1:37" x14ac:dyDescent="0.2">
      <c r="A3359" t="str">
        <f>"20200111153502393"</f>
        <v>20200111153502393</v>
      </c>
      <c r="B3359" t="str">
        <f>"1578728102389618"</f>
        <v>1578728102389618</v>
      </c>
      <c r="C3359" t="s">
        <v>37</v>
      </c>
      <c r="D3359">
        <v>4.8345729999999998</v>
      </c>
      <c r="E3359">
        <v>0.60857299999999903</v>
      </c>
      <c r="F3359" t="s">
        <v>51</v>
      </c>
      <c r="G3359">
        <v>-201.20349999999999</v>
      </c>
      <c r="H3359" s="1">
        <v>-1.1264310000000001E-5</v>
      </c>
      <c r="I3359">
        <v>147.4494</v>
      </c>
      <c r="J3359">
        <v>-191.75710000000001</v>
      </c>
      <c r="K3359">
        <v>1.103245</v>
      </c>
      <c r="L3359">
        <v>169.69460000000001</v>
      </c>
      <c r="M3359">
        <v>-2.6497699999999999E-2</v>
      </c>
      <c r="N3359">
        <v>0</v>
      </c>
      <c r="O3359">
        <v>-0.99955959999999999</v>
      </c>
      <c r="P3359">
        <v>-0.1228751</v>
      </c>
      <c r="Q3359">
        <v>1.8565350000000001E-2</v>
      </c>
      <c r="R3359">
        <v>-0.99224849999999998</v>
      </c>
      <c r="S3359">
        <v>-1.2114719999999899</v>
      </c>
      <c r="T3359">
        <v>-0.1413952</v>
      </c>
      <c r="U3359">
        <v>-2.8772739999999999</v>
      </c>
      <c r="V3359">
        <v>9.6666130000000003E-2</v>
      </c>
      <c r="W3359">
        <v>3.1468749999999997E-2</v>
      </c>
      <c r="X3359">
        <v>0.99481929999999996</v>
      </c>
      <c r="Y3359">
        <v>0.36309380000000002</v>
      </c>
      <c r="Z3359">
        <v>4.5454389999999997E-2</v>
      </c>
      <c r="AA3359">
        <v>0.93064329999999995</v>
      </c>
      <c r="AB3359">
        <v>25</v>
      </c>
      <c r="AC3359">
        <v>-9.4463999999999793</v>
      </c>
      <c r="AD3359">
        <v>-1.1032562643099999</v>
      </c>
      <c r="AE3359">
        <v>-22.245200000000001</v>
      </c>
      <c r="AF3359">
        <v>8.8351716298453304</v>
      </c>
      <c r="AG3359">
        <v>-1.1032562643099999</v>
      </c>
      <c r="AH3359">
        <v>22.4409531402158</v>
      </c>
      <c r="AI3359">
        <v>92.619166036947405</v>
      </c>
      <c r="AJ3359">
        <v>68.5100680543392</v>
      </c>
      <c r="AK3359">
        <v>24.1427796650453</v>
      </c>
    </row>
    <row r="3360" spans="1:37" x14ac:dyDescent="0.2">
      <c r="A3360" t="str">
        <f>"20200111153502406"</f>
        <v>20200111153502406</v>
      </c>
      <c r="B3360" t="str">
        <f>"1578728102399379"</f>
        <v>1578728102399379</v>
      </c>
      <c r="C3360" t="s">
        <v>37</v>
      </c>
      <c r="D3360">
        <v>4.9507399999999997</v>
      </c>
      <c r="E3360">
        <v>0.60841040000000002</v>
      </c>
      <c r="F3360" t="s">
        <v>51</v>
      </c>
      <c r="G3360">
        <v>-201.57140000000001</v>
      </c>
      <c r="H3360" s="1">
        <v>-1.0859999999999999E-5</v>
      </c>
      <c r="I3360">
        <v>146.6387</v>
      </c>
      <c r="J3360">
        <v>-191.76240000000001</v>
      </c>
      <c r="K3360">
        <v>1.1031839999999999</v>
      </c>
      <c r="L3360">
        <v>169.55119999999999</v>
      </c>
      <c r="M3360">
        <v>-2.7919570000000001E-2</v>
      </c>
      <c r="N3360">
        <v>0</v>
      </c>
      <c r="O3360">
        <v>-0.99952109999999905</v>
      </c>
      <c r="P3360">
        <v>-0.12409969999999999</v>
      </c>
      <c r="Q3360">
        <v>1.8790870000000001E-2</v>
      </c>
      <c r="R3360">
        <v>-0.99209219999999898</v>
      </c>
      <c r="S3360">
        <v>-1.223587</v>
      </c>
      <c r="T3360">
        <v>-0.137548</v>
      </c>
      <c r="U3360">
        <v>-2.8744809999999998</v>
      </c>
      <c r="V3360">
        <v>9.6484739999999999E-2</v>
      </c>
      <c r="W3360">
        <v>3.1682259999999997E-2</v>
      </c>
      <c r="X3360">
        <v>0.99483009999999905</v>
      </c>
      <c r="Y3360">
        <v>0.3654385</v>
      </c>
      <c r="Z3360">
        <v>4.4201310000000001E-2</v>
      </c>
      <c r="AA3360">
        <v>0.92978539999999998</v>
      </c>
      <c r="AB3360">
        <v>25</v>
      </c>
      <c r="AC3360">
        <v>-9.8089999999999904</v>
      </c>
      <c r="AD3360">
        <v>-1.1031948600000001</v>
      </c>
      <c r="AE3360">
        <v>-22.912499999999898</v>
      </c>
      <c r="AF3360">
        <v>9.1474898437522594</v>
      </c>
      <c r="AG3360">
        <v>-1.1031948600000001</v>
      </c>
      <c r="AH3360">
        <v>23.132134003436398</v>
      </c>
      <c r="AI3360">
        <v>92.539364111728602</v>
      </c>
      <c r="AJ3360">
        <v>68.4239213419919</v>
      </c>
      <c r="AK3360">
        <v>24.899582986339801</v>
      </c>
    </row>
    <row r="3361" spans="1:37" x14ac:dyDescent="0.2">
      <c r="A3361" t="str">
        <f>"20200111153502417"</f>
        <v>20200111153502417</v>
      </c>
      <c r="B3361" t="str">
        <f>"1578728102409140"</f>
        <v>1578728102409140</v>
      </c>
      <c r="C3361" t="s">
        <v>37</v>
      </c>
      <c r="D3361">
        <v>4.8919879999999996</v>
      </c>
      <c r="E3361">
        <v>0.60793569999999997</v>
      </c>
      <c r="F3361" t="s">
        <v>51</v>
      </c>
      <c r="G3361">
        <v>-201.61949999999999</v>
      </c>
      <c r="H3361" s="1">
        <v>-1.0781099999999899E-5</v>
      </c>
      <c r="I3361">
        <v>146.4453</v>
      </c>
      <c r="J3361">
        <v>-191.76779999999999</v>
      </c>
      <c r="K3361">
        <v>1.1031280000000001</v>
      </c>
      <c r="L3361">
        <v>169.40889999999999</v>
      </c>
      <c r="M3361">
        <v>-2.9363690000000001E-2</v>
      </c>
      <c r="N3361">
        <v>0</v>
      </c>
      <c r="O3361">
        <v>-0.99947969999999897</v>
      </c>
      <c r="P3361">
        <v>-0.1253937</v>
      </c>
      <c r="Q3361">
        <v>1.9103999999999999E-2</v>
      </c>
      <c r="R3361">
        <v>-0.99192359999999902</v>
      </c>
      <c r="S3361">
        <v>-1.2257229999999999</v>
      </c>
      <c r="T3361">
        <v>-0.13718069999999999</v>
      </c>
      <c r="U3361">
        <v>-2.8731840000000002</v>
      </c>
      <c r="V3361">
        <v>9.6351119999999998E-2</v>
      </c>
      <c r="W3361">
        <v>3.1983949999999997E-2</v>
      </c>
      <c r="X3361">
        <v>0.99483339999999998</v>
      </c>
      <c r="Y3361">
        <v>0.36483179999999998</v>
      </c>
      <c r="Z3361">
        <v>4.4098279999999997E-2</v>
      </c>
      <c r="AA3361">
        <v>0.93002859999999998</v>
      </c>
      <c r="AB3361">
        <v>25</v>
      </c>
      <c r="AC3361">
        <v>-9.8516999999999904</v>
      </c>
      <c r="AD3361">
        <v>-1.1031387811</v>
      </c>
      <c r="AE3361">
        <v>-22.9635999999999</v>
      </c>
      <c r="AF3361">
        <v>9.1552515623899406</v>
      </c>
      <c r="AG3361">
        <v>-1.1031387811</v>
      </c>
      <c r="AH3361">
        <v>23.197791988780999</v>
      </c>
      <c r="AI3361">
        <v>92.532735768567207</v>
      </c>
      <c r="AJ3361">
        <v>68.462809916180802</v>
      </c>
      <c r="AK3361">
        <v>24.963435250296801</v>
      </c>
    </row>
    <row r="3362" spans="1:37" x14ac:dyDescent="0.2">
      <c r="A3362" t="str">
        <f>"20200111153502430"</f>
        <v>20200111153502430</v>
      </c>
      <c r="B3362" t="str">
        <f>"1578728102418898"</f>
        <v>1578728102418898</v>
      </c>
      <c r="C3362" t="s">
        <v>37</v>
      </c>
      <c r="D3362">
        <v>5.1574089999999897</v>
      </c>
      <c r="E3362">
        <v>0.60553729999999995</v>
      </c>
      <c r="F3362" t="s">
        <v>51</v>
      </c>
      <c r="G3362">
        <v>-201.91679999999999</v>
      </c>
      <c r="H3362" s="1">
        <v>-1.040736E-5</v>
      </c>
      <c r="I3362">
        <v>145.63210000000001</v>
      </c>
      <c r="J3362">
        <v>-191.7732</v>
      </c>
      <c r="K3362">
        <v>1.1030819999999999</v>
      </c>
      <c r="L3362">
        <v>169.27590000000001</v>
      </c>
      <c r="M3362">
        <v>-3.0774659999999999E-2</v>
      </c>
      <c r="N3362">
        <v>0</v>
      </c>
      <c r="O3362">
        <v>-0.99943700000000002</v>
      </c>
      <c r="P3362">
        <v>-0.12682769999999999</v>
      </c>
      <c r="Q3362">
        <v>1.9786049999999999E-2</v>
      </c>
      <c r="R3362">
        <v>-0.99172739999999904</v>
      </c>
      <c r="S3362">
        <v>-1.2259059999999999</v>
      </c>
      <c r="T3362">
        <v>-0.133248799999999</v>
      </c>
      <c r="U3362">
        <v>-2.8720089999999998</v>
      </c>
      <c r="V3362">
        <v>9.6392389999999994E-2</v>
      </c>
      <c r="W3362">
        <v>3.2655940000000001E-2</v>
      </c>
      <c r="X3362">
        <v>0.99480749999999996</v>
      </c>
      <c r="Y3362">
        <v>0.36372589999999999</v>
      </c>
      <c r="Z3362">
        <v>4.28592E-2</v>
      </c>
      <c r="AA3362">
        <v>0.93051949999999894</v>
      </c>
      <c r="AB3362">
        <v>25</v>
      </c>
      <c r="AC3362">
        <v>-10.1435999999999</v>
      </c>
      <c r="AD3362">
        <v>-1.1030924073599999</v>
      </c>
      <c r="AE3362">
        <v>-23.643799999999999</v>
      </c>
      <c r="AF3362">
        <v>9.3938310059777894</v>
      </c>
      <c r="AG3362">
        <v>-1.1030924073599999</v>
      </c>
      <c r="AH3362">
        <v>23.900855777851302</v>
      </c>
      <c r="AI3362">
        <v>92.459585347113702</v>
      </c>
      <c r="AJ3362">
        <v>68.543523114467902</v>
      </c>
      <c r="AK3362">
        <v>25.704314438274601</v>
      </c>
    </row>
    <row r="3363" spans="1:37" x14ac:dyDescent="0.2">
      <c r="A3363" t="str">
        <f>"20200111153502443"</f>
        <v>20200111153502443</v>
      </c>
      <c r="B3363" t="str">
        <f>"1578728102439417"</f>
        <v>1578728102439417</v>
      </c>
      <c r="C3363" t="s">
        <v>37</v>
      </c>
      <c r="D3363">
        <v>5.1689619999999996</v>
      </c>
      <c r="E3363">
        <v>0.60205719999999996</v>
      </c>
      <c r="F3363" t="s">
        <v>51</v>
      </c>
      <c r="G3363">
        <v>-200.56200000000001</v>
      </c>
      <c r="H3363" s="1">
        <v>-1.1835289999999999E-5</v>
      </c>
      <c r="I3363">
        <v>148.41249999999999</v>
      </c>
      <c r="J3363">
        <v>-191.77930000000001</v>
      </c>
      <c r="K3363">
        <v>1.103032</v>
      </c>
      <c r="L3363">
        <v>169.1292</v>
      </c>
      <c r="M3363">
        <v>-3.2354059999999997E-2</v>
      </c>
      <c r="N3363">
        <v>0</v>
      </c>
      <c r="O3363">
        <v>-0.99938719999999903</v>
      </c>
      <c r="P3363">
        <v>-0.1284824</v>
      </c>
      <c r="Q3363">
        <v>2.0267299999999999E-2</v>
      </c>
      <c r="R3363">
        <v>-0.99150509999999903</v>
      </c>
      <c r="S3363">
        <v>-1.2103729999999999</v>
      </c>
      <c r="T3363">
        <v>-0.1519151</v>
      </c>
      <c r="U3363">
        <v>-2.8732449999999998</v>
      </c>
      <c r="V3363">
        <v>9.6487059999999999E-2</v>
      </c>
      <c r="W3363">
        <v>3.3125839999999997E-2</v>
      </c>
      <c r="X3363">
        <v>0.99478290000000003</v>
      </c>
      <c r="Y3363">
        <v>0.35772999999999999</v>
      </c>
      <c r="Z3363">
        <v>4.8933740000000003E-2</v>
      </c>
      <c r="AA3363">
        <v>0.93254210000000004</v>
      </c>
      <c r="AB3363">
        <v>25</v>
      </c>
      <c r="AC3363">
        <v>-8.7827000000000002</v>
      </c>
      <c r="AD3363">
        <v>-1.1030438352900001</v>
      </c>
      <c r="AE3363">
        <v>-20.716699999999999</v>
      </c>
      <c r="AF3363">
        <v>8.0883353453503801</v>
      </c>
      <c r="AG3363">
        <v>-1.1030438352900001</v>
      </c>
      <c r="AH3363">
        <v>20.9397144561771</v>
      </c>
      <c r="AI3363">
        <v>92.813177515711899</v>
      </c>
      <c r="AJ3363">
        <v>68.880063788365504</v>
      </c>
      <c r="AK3363">
        <v>22.474641618224901</v>
      </c>
    </row>
    <row r="3364" spans="1:37" x14ac:dyDescent="0.2">
      <c r="A3364" t="str">
        <f>"20200111153502456"</f>
        <v>20200111153502456</v>
      </c>
      <c r="B3364" t="str">
        <f>"1578728102449178"</f>
        <v>1578728102449178</v>
      </c>
      <c r="C3364" t="s">
        <v>37</v>
      </c>
      <c r="D3364">
        <v>5.1432409999999997</v>
      </c>
      <c r="E3364">
        <v>0.60089440000000005</v>
      </c>
      <c r="F3364" t="s">
        <v>51</v>
      </c>
      <c r="G3364">
        <v>-198.98560000000001</v>
      </c>
      <c r="H3364" s="1">
        <v>-1.289295E-5</v>
      </c>
      <c r="I3364">
        <v>151.67429999999999</v>
      </c>
      <c r="J3364">
        <v>-191.7861</v>
      </c>
      <c r="K3364">
        <v>1.1029819999999999</v>
      </c>
      <c r="L3364">
        <v>168.97620000000001</v>
      </c>
      <c r="M3364">
        <v>-3.4046769999999997E-2</v>
      </c>
      <c r="N3364">
        <v>0</v>
      </c>
      <c r="O3364">
        <v>-0.99933090000000002</v>
      </c>
      <c r="P3364">
        <v>-0.1302953</v>
      </c>
      <c r="Q3364">
        <v>2.0665960000000001E-2</v>
      </c>
      <c r="R3364">
        <v>-0.99126019999999904</v>
      </c>
      <c r="S3364">
        <v>-1.1871799999999999</v>
      </c>
      <c r="T3364">
        <v>-0.18171779999999901</v>
      </c>
      <c r="U3364">
        <v>-2.8755649999999999</v>
      </c>
      <c r="V3364">
        <v>9.6627729999999995E-2</v>
      </c>
      <c r="W3364">
        <v>3.3513300000000003E-2</v>
      </c>
      <c r="X3364">
        <v>0.99475619999999998</v>
      </c>
      <c r="Y3364">
        <v>0.34925859999999997</v>
      </c>
      <c r="Z3364">
        <v>5.8636720000000003E-2</v>
      </c>
      <c r="AA3364">
        <v>0.93518989999999902</v>
      </c>
      <c r="AB3364">
        <v>25</v>
      </c>
      <c r="AC3364">
        <v>-7.1994999999999996</v>
      </c>
      <c r="AD3364">
        <v>-1.10299489295</v>
      </c>
      <c r="AE3364">
        <v>-17.3019</v>
      </c>
      <c r="AF3364">
        <v>6.5833924818625498</v>
      </c>
      <c r="AG3364">
        <v>-1.10299489295</v>
      </c>
      <c r="AH3364">
        <v>17.476466387526301</v>
      </c>
      <c r="AI3364">
        <v>93.380054027031406</v>
      </c>
      <c r="AJ3364">
        <v>69.358586484606704</v>
      </c>
      <c r="AK3364">
        <v>18.7078735215538</v>
      </c>
    </row>
    <row r="3365" spans="1:37" x14ac:dyDescent="0.2">
      <c r="A3365" t="str">
        <f>"20200111153502471"</f>
        <v>20200111153502471</v>
      </c>
      <c r="B3365" t="str">
        <f>"1578728102459914"</f>
        <v>1578728102459914</v>
      </c>
      <c r="C3365" t="s">
        <v>37</v>
      </c>
      <c r="D3365">
        <v>5.1344699999999897</v>
      </c>
      <c r="E3365">
        <v>0.59992529999999999</v>
      </c>
      <c r="F3365" t="s">
        <v>51</v>
      </c>
      <c r="G3365">
        <v>-198.5566</v>
      </c>
      <c r="H3365" s="1">
        <v>-1.306832E-5</v>
      </c>
      <c r="I3365">
        <v>152.52250000000001</v>
      </c>
      <c r="J3365">
        <v>-191.7937</v>
      </c>
      <c r="K3365">
        <v>1.1029260000000001</v>
      </c>
      <c r="L3365">
        <v>168.81099999999901</v>
      </c>
      <c r="M3365">
        <v>-3.5925440000000003E-2</v>
      </c>
      <c r="N3365">
        <v>0</v>
      </c>
      <c r="O3365">
        <v>-0.99926510000000002</v>
      </c>
      <c r="P3365">
        <v>-0.13320670000000001</v>
      </c>
      <c r="Q3365">
        <v>2.0691669999999999E-2</v>
      </c>
      <c r="R3365">
        <v>-0.99087230000000004</v>
      </c>
      <c r="S3365">
        <v>-1.1830290000000001</v>
      </c>
      <c r="T3365">
        <v>-0.1927285</v>
      </c>
      <c r="U3365">
        <v>-2.8749849999999899</v>
      </c>
      <c r="V3365">
        <v>9.7684519999999997E-2</v>
      </c>
      <c r="W3365">
        <v>3.3522830000000003E-2</v>
      </c>
      <c r="X3365">
        <v>0.99465269999999995</v>
      </c>
      <c r="Y3365">
        <v>0.34632579999999902</v>
      </c>
      <c r="Z3365">
        <v>6.2232040000000002E-2</v>
      </c>
      <c r="AA3365">
        <v>0.93604789999999904</v>
      </c>
      <c r="AB3365">
        <v>25</v>
      </c>
      <c r="AC3365">
        <v>-6.7629000000000001</v>
      </c>
      <c r="AD3365">
        <v>-1.10293906832</v>
      </c>
      <c r="AE3365">
        <v>-16.2884999999999</v>
      </c>
      <c r="AF3365">
        <v>6.1492610146679096</v>
      </c>
      <c r="AG3365">
        <v>-1.10293906832</v>
      </c>
      <c r="AH3365">
        <v>16.4566061721879</v>
      </c>
      <c r="AI3365">
        <v>93.592387252634396</v>
      </c>
      <c r="AJ3365">
        <v>69.511033815626703</v>
      </c>
      <c r="AK3365">
        <v>17.602550165286601</v>
      </c>
    </row>
    <row r="3366" spans="1:37" x14ac:dyDescent="0.2">
      <c r="A3366" t="str">
        <f>"20200111153502486"</f>
        <v>20200111153502486</v>
      </c>
      <c r="B3366" t="str">
        <f>"1578728102479434"</f>
        <v>1578728102479434</v>
      </c>
      <c r="C3366" t="s">
        <v>37</v>
      </c>
      <c r="D3366">
        <v>5.1209259999999999</v>
      </c>
      <c r="E3366">
        <v>0.58312909999999996</v>
      </c>
      <c r="F3366" t="s">
        <v>51</v>
      </c>
      <c r="G3366">
        <v>-198.21459999999999</v>
      </c>
      <c r="H3366" s="1">
        <v>-1.3214770000000001E-5</v>
      </c>
      <c r="I3366">
        <v>153.2251</v>
      </c>
      <c r="J3366">
        <v>-191.8015</v>
      </c>
      <c r="K3366">
        <v>1.102873</v>
      </c>
      <c r="L3366">
        <v>168.64879999999999</v>
      </c>
      <c r="M3366">
        <v>-3.7807720000000003E-2</v>
      </c>
      <c r="N3366">
        <v>0</v>
      </c>
      <c r="O3366">
        <v>-0.99919550000000001</v>
      </c>
      <c r="P3366">
        <v>-0.13581270000000001</v>
      </c>
      <c r="Q3366">
        <v>2.0321570000000001E-2</v>
      </c>
      <c r="R3366">
        <v>-0.99052629999999997</v>
      </c>
      <c r="S3366">
        <v>-1.183487</v>
      </c>
      <c r="T3366">
        <v>-0.20329149999999899</v>
      </c>
      <c r="U3366">
        <v>-2.8727719999999999</v>
      </c>
      <c r="V3366">
        <v>9.8429390000000005E-2</v>
      </c>
      <c r="W3366">
        <v>3.3139189999999999E-2</v>
      </c>
      <c r="X3366">
        <v>0.99459209999999998</v>
      </c>
      <c r="Y3366">
        <v>0.34485589999999999</v>
      </c>
      <c r="Z3366">
        <v>6.5683599999999995E-2</v>
      </c>
      <c r="AA3366">
        <v>0.93635469999999899</v>
      </c>
      <c r="AB3366">
        <v>25</v>
      </c>
      <c r="AC3366">
        <v>-6.4130999999999796</v>
      </c>
      <c r="AD3366">
        <v>-1.10288621477</v>
      </c>
      <c r="AE3366">
        <v>-15.423699999999901</v>
      </c>
      <c r="AF3366">
        <v>5.8000420997864399</v>
      </c>
      <c r="AG3366">
        <v>-1.10288621477</v>
      </c>
      <c r="AH3366">
        <v>15.587205805206001</v>
      </c>
      <c r="AI3366">
        <v>93.793942122558903</v>
      </c>
      <c r="AJ3366">
        <v>69.589627788451097</v>
      </c>
      <c r="AK3366">
        <v>16.667868225297202</v>
      </c>
    </row>
    <row r="3367" spans="1:37" x14ac:dyDescent="0.2">
      <c r="A3367" t="str">
        <f>"20200111153502498"</f>
        <v>20200111153502498</v>
      </c>
      <c r="B3367" t="str">
        <f>"1578728102489194"</f>
        <v>1578728102489194</v>
      </c>
      <c r="C3367" t="s">
        <v>37</v>
      </c>
      <c r="D3367">
        <v>5.1158330000000003</v>
      </c>
      <c r="E3367">
        <v>0.5834876</v>
      </c>
      <c r="F3367" t="s">
        <v>39</v>
      </c>
      <c r="G3367">
        <v>-194.8202</v>
      </c>
      <c r="H3367" s="1">
        <v>-1.6494329999999899E-6</v>
      </c>
      <c r="I3367">
        <v>160.36779999999999</v>
      </c>
      <c r="J3367">
        <v>-191.8091</v>
      </c>
      <c r="K3367">
        <v>1.102824</v>
      </c>
      <c r="L3367">
        <v>168.4967</v>
      </c>
      <c r="M3367">
        <v>-3.960462E-2</v>
      </c>
      <c r="N3367">
        <v>0</v>
      </c>
      <c r="O3367">
        <v>-0.99912610000000002</v>
      </c>
      <c r="P3367">
        <v>-0.1381965</v>
      </c>
      <c r="Q3367">
        <v>2.0032080000000001E-2</v>
      </c>
      <c r="R3367">
        <v>-0.99020249999999999</v>
      </c>
      <c r="S3367">
        <v>-1.054214</v>
      </c>
      <c r="T3367">
        <v>-0.38516430000000001</v>
      </c>
      <c r="U3367">
        <v>-2.8920439999999998</v>
      </c>
      <c r="V3367">
        <v>9.9036639999999995E-2</v>
      </c>
      <c r="W3367">
        <v>3.283751E-2</v>
      </c>
      <c r="X3367">
        <v>0.99454179999999903</v>
      </c>
      <c r="Y3367">
        <v>0.30232290000000001</v>
      </c>
      <c r="Z3367">
        <v>0.1248262</v>
      </c>
      <c r="AA3367">
        <v>0.94499699999999998</v>
      </c>
      <c r="AB3367">
        <v>25</v>
      </c>
      <c r="AC3367">
        <v>-3.0110999999999901</v>
      </c>
      <c r="AD3367">
        <v>-1.102825649433</v>
      </c>
      <c r="AE3367">
        <v>-8.1289000000000105</v>
      </c>
      <c r="AF3367">
        <v>2.64397403246178</v>
      </c>
      <c r="AG3367">
        <v>-1.102825649433</v>
      </c>
      <c r="AH3367">
        <v>8.1105175642936196</v>
      </c>
      <c r="AI3367">
        <v>97.366274991037798</v>
      </c>
      <c r="AJ3367">
        <v>71.944380822472695</v>
      </c>
      <c r="AK3367">
        <v>8.6015881241835199</v>
      </c>
    </row>
    <row r="3368" spans="1:37" x14ac:dyDescent="0.2">
      <c r="A3368" t="str">
        <f>"20200111153502514"</f>
        <v>20200111153502514</v>
      </c>
      <c r="B3368" t="str">
        <f>"1578728102509689"</f>
        <v>1578728102509689</v>
      </c>
      <c r="C3368" t="s">
        <v>37</v>
      </c>
      <c r="D3368">
        <v>5.175243</v>
      </c>
      <c r="E3368">
        <v>0.58460019999999902</v>
      </c>
      <c r="F3368" t="s">
        <v>39</v>
      </c>
      <c r="G3368">
        <v>-194.84110000000001</v>
      </c>
      <c r="H3368" s="1">
        <v>-1.6056309999999999E-6</v>
      </c>
      <c r="I3368">
        <v>160.26339999999999</v>
      </c>
      <c r="J3368">
        <v>-191.8186</v>
      </c>
      <c r="K3368">
        <v>1.1027719999999901</v>
      </c>
      <c r="L3368">
        <v>168.31870000000001</v>
      </c>
      <c r="M3368">
        <v>-4.1772080000000003E-2</v>
      </c>
      <c r="N3368">
        <v>0</v>
      </c>
      <c r="O3368">
        <v>-0.99903759999999997</v>
      </c>
      <c r="P3368">
        <v>-0.14104929999999999</v>
      </c>
      <c r="Q3368">
        <v>1.962007E-2</v>
      </c>
      <c r="R3368">
        <v>-0.98980829999999997</v>
      </c>
      <c r="S3368">
        <v>-1.0638889999999901</v>
      </c>
      <c r="T3368">
        <v>-0.38697599999999999</v>
      </c>
      <c r="U3368">
        <v>-2.8890380000000002</v>
      </c>
      <c r="V3368">
        <v>9.9746349999999998E-2</v>
      </c>
      <c r="W3368">
        <v>3.2411929999999999E-2</v>
      </c>
      <c r="X3368">
        <v>0.99448479999999995</v>
      </c>
      <c r="Y3368">
        <v>0.30333690000000002</v>
      </c>
      <c r="Z3368">
        <v>0.125418</v>
      </c>
      <c r="AA3368">
        <v>0.94459359999999903</v>
      </c>
      <c r="AB3368">
        <v>25</v>
      </c>
      <c r="AC3368">
        <v>-3.0225</v>
      </c>
      <c r="AD3368">
        <v>-1.10277360563099</v>
      </c>
      <c r="AE3368">
        <v>-8.0553000000000097</v>
      </c>
      <c r="AF3368">
        <v>2.6399732370313802</v>
      </c>
      <c r="AG3368">
        <v>-1.10277360563099</v>
      </c>
      <c r="AH3368">
        <v>8.0424086758337001</v>
      </c>
      <c r="AI3368">
        <v>97.422706927978595</v>
      </c>
      <c r="AJ3368">
        <v>71.827239673533398</v>
      </c>
      <c r="AK3368">
        <v>8.5361528586737201</v>
      </c>
    </row>
    <row r="3369" spans="1:37" x14ac:dyDescent="0.2">
      <c r="A3369" t="str">
        <f>"20200111153502529"</f>
        <v>20200111153502529</v>
      </c>
      <c r="B3369" t="str">
        <f>"1578728102519450"</f>
        <v>1578728102519450</v>
      </c>
      <c r="C3369" t="s">
        <v>37</v>
      </c>
      <c r="D3369">
        <v>5.1471410000000004</v>
      </c>
      <c r="E3369">
        <v>0.58489539999999995</v>
      </c>
      <c r="F3369" t="s">
        <v>39</v>
      </c>
      <c r="G3369">
        <v>-194.8783</v>
      </c>
      <c r="H3369" s="1">
        <v>-1.5638499999999899E-6</v>
      </c>
      <c r="I3369">
        <v>160.154</v>
      </c>
      <c r="J3369">
        <v>-191.8272</v>
      </c>
      <c r="K3369">
        <v>1.102732</v>
      </c>
      <c r="L3369">
        <v>168.1634</v>
      </c>
      <c r="M3369">
        <v>-4.3699219999999997E-2</v>
      </c>
      <c r="N3369">
        <v>0</v>
      </c>
      <c r="O3369">
        <v>-0.99895529999999999</v>
      </c>
      <c r="P3369">
        <v>-0.14389260000000001</v>
      </c>
      <c r="Q3369">
        <v>1.9006729999999999E-2</v>
      </c>
      <c r="R3369">
        <v>-0.98941129999999999</v>
      </c>
      <c r="S3369">
        <v>-1.0810090000000001</v>
      </c>
      <c r="T3369">
        <v>-0.38960939999999999</v>
      </c>
      <c r="U3369">
        <v>-2.8845669999999899</v>
      </c>
      <c r="V3369">
        <v>0.1006848</v>
      </c>
      <c r="W3369">
        <v>3.1785679999999997E-2</v>
      </c>
      <c r="X3369">
        <v>0.99441049999999997</v>
      </c>
      <c r="Y3369">
        <v>0.30686289999999999</v>
      </c>
      <c r="Z3369">
        <v>0.12622459999999999</v>
      </c>
      <c r="AA3369">
        <v>0.94334640000000003</v>
      </c>
      <c r="AB3369">
        <v>25</v>
      </c>
      <c r="AC3369">
        <v>-3.0510999999999902</v>
      </c>
      <c r="AD3369">
        <v>-1.10273356385</v>
      </c>
      <c r="AE3369">
        <v>-8.0093999999999994</v>
      </c>
      <c r="AF3369">
        <v>2.6542123287728199</v>
      </c>
      <c r="AG3369">
        <v>-1.10273356385</v>
      </c>
      <c r="AH3369">
        <v>8.0026181072883595</v>
      </c>
      <c r="AI3369">
        <v>97.451448830062503</v>
      </c>
      <c r="AJ3369">
        <v>71.650969039513797</v>
      </c>
      <c r="AK3369">
        <v>8.5031030200833406</v>
      </c>
    </row>
    <row r="3370" spans="1:37" x14ac:dyDescent="0.2">
      <c r="A3370" t="str">
        <f>"20200111153502542"</f>
        <v>20200111153502542</v>
      </c>
      <c r="B3370" t="str">
        <f>"1578728102538970"</f>
        <v>1578728102538970</v>
      </c>
      <c r="C3370" t="s">
        <v>37</v>
      </c>
      <c r="D3370">
        <v>5.1941220000000001</v>
      </c>
      <c r="E3370">
        <v>0.58760639999999997</v>
      </c>
      <c r="F3370" t="s">
        <v>39</v>
      </c>
      <c r="G3370">
        <v>-194.91309999999999</v>
      </c>
      <c r="H3370" s="1">
        <v>-1.510809E-6</v>
      </c>
      <c r="I3370">
        <v>160.0222</v>
      </c>
      <c r="J3370">
        <v>-191.83629999999999</v>
      </c>
      <c r="K3370">
        <v>1.1026910000000001</v>
      </c>
      <c r="L3370">
        <v>168.00309999999999</v>
      </c>
      <c r="M3370">
        <v>-4.5719419999999997E-2</v>
      </c>
      <c r="N3370">
        <v>0</v>
      </c>
      <c r="O3370">
        <v>-0.99886469999999905</v>
      </c>
      <c r="P3370">
        <v>-0.1461616</v>
      </c>
      <c r="Q3370">
        <v>1.8813139999999999E-2</v>
      </c>
      <c r="R3370">
        <v>-0.98908200000000002</v>
      </c>
      <c r="S3370">
        <v>-1.09198</v>
      </c>
      <c r="T3370">
        <v>-0.39021279999999903</v>
      </c>
      <c r="U3370">
        <v>-2.880814</v>
      </c>
      <c r="V3370">
        <v>0.1009565</v>
      </c>
      <c r="W3370">
        <v>3.1583130000000001E-2</v>
      </c>
      <c r="X3370">
        <v>0.99438939999999998</v>
      </c>
      <c r="Y3370">
        <v>0.30847909999999901</v>
      </c>
      <c r="Z3370">
        <v>0.1264364</v>
      </c>
      <c r="AA3370">
        <v>0.94279080000000004</v>
      </c>
      <c r="AB3370">
        <v>25</v>
      </c>
      <c r="AC3370">
        <v>-3.0767999999999902</v>
      </c>
      <c r="AD3370">
        <v>-1.102692510809</v>
      </c>
      <c r="AE3370">
        <v>-7.9808999999999903</v>
      </c>
      <c r="AF3370">
        <v>2.6643856627315499</v>
      </c>
      <c r="AG3370">
        <v>-1.102692510809</v>
      </c>
      <c r="AH3370">
        <v>7.9805989831274404</v>
      </c>
      <c r="AI3370">
        <v>97.4666561722739</v>
      </c>
      <c r="AJ3370">
        <v>71.5380078147695</v>
      </c>
      <c r="AK3370">
        <v>8.4855666789353794</v>
      </c>
    </row>
    <row r="3371" spans="1:37" x14ac:dyDescent="0.2">
      <c r="A3371" t="str">
        <f>"20200111153502556"</f>
        <v>20200111153502556</v>
      </c>
      <c r="B3371" t="str">
        <f>"1578728102549705"</f>
        <v>1578728102549705</v>
      </c>
      <c r="C3371" t="s">
        <v>37</v>
      </c>
      <c r="D3371">
        <v>5.1024269999999996</v>
      </c>
      <c r="E3371">
        <v>0.58760639999999997</v>
      </c>
      <c r="F3371" t="s">
        <v>51</v>
      </c>
      <c r="G3371">
        <v>-195.17449999999999</v>
      </c>
      <c r="H3371" s="1">
        <v>-1.493282E-5</v>
      </c>
      <c r="I3371">
        <v>159.43879999999999</v>
      </c>
      <c r="J3371">
        <v>-191.84620000000001</v>
      </c>
      <c r="K3371">
        <v>1.102651</v>
      </c>
      <c r="L3371">
        <v>167.8374</v>
      </c>
      <c r="M3371">
        <v>-4.7853939999999998E-2</v>
      </c>
      <c r="N3371">
        <v>0</v>
      </c>
      <c r="O3371">
        <v>-0.99876480000000001</v>
      </c>
      <c r="P3371">
        <v>-0.14857500000000001</v>
      </c>
      <c r="Q3371">
        <v>1.833245E-2</v>
      </c>
      <c r="R3371">
        <v>-0.98873140000000004</v>
      </c>
      <c r="S3371">
        <v>-1.1204379999999901</v>
      </c>
      <c r="T3371">
        <v>-0.37011329999999998</v>
      </c>
      <c r="U3371">
        <v>-2.8745569999999998</v>
      </c>
      <c r="V3371">
        <v>0.10125819999999899</v>
      </c>
      <c r="W3371">
        <v>3.1093180000000002E-2</v>
      </c>
      <c r="X3371">
        <v>0.99437419999999999</v>
      </c>
      <c r="Y3371">
        <v>0.3155442</v>
      </c>
      <c r="Z3371">
        <v>0.1199012</v>
      </c>
      <c r="AA3371">
        <v>0.94130530000000001</v>
      </c>
      <c r="AB3371">
        <v>25</v>
      </c>
      <c r="AC3371">
        <v>-3.3282999999999801</v>
      </c>
      <c r="AD3371">
        <v>-1.1026659328199999</v>
      </c>
      <c r="AE3371">
        <v>-8.3986000000000107</v>
      </c>
      <c r="AF3371">
        <v>2.87964374635659</v>
      </c>
      <c r="AG3371">
        <v>-1.1026659328199999</v>
      </c>
      <c r="AH3371">
        <v>8.4227817437735304</v>
      </c>
      <c r="AI3371">
        <v>97.061543311613093</v>
      </c>
      <c r="AJ3371">
        <v>71.125083319499396</v>
      </c>
      <c r="AK3371">
        <v>8.9694744867565692</v>
      </c>
    </row>
    <row r="3372" spans="1:37" x14ac:dyDescent="0.2">
      <c r="A3372" t="str">
        <f>"20200111153502572"</f>
        <v>20200111153502572</v>
      </c>
      <c r="B3372" t="str">
        <f>"1578728102559465"</f>
        <v>1578728102559465</v>
      </c>
      <c r="C3372" t="s">
        <v>37</v>
      </c>
      <c r="D3372">
        <v>5.0816019999999904</v>
      </c>
      <c r="E3372">
        <v>0.61327299999999996</v>
      </c>
      <c r="F3372" t="s">
        <v>51</v>
      </c>
      <c r="G3372">
        <v>-195.19550000000001</v>
      </c>
      <c r="H3372" s="1">
        <v>-1.4899899999999999E-5</v>
      </c>
      <c r="I3372">
        <v>159.30799999999999</v>
      </c>
      <c r="J3372">
        <v>-191.85669999999999</v>
      </c>
      <c r="K3372">
        <v>1.1026100000000001</v>
      </c>
      <c r="L3372">
        <v>167.6695</v>
      </c>
      <c r="M3372">
        <v>-5.00665E-2</v>
      </c>
      <c r="N3372">
        <v>0</v>
      </c>
      <c r="O3372">
        <v>-0.99865599999999999</v>
      </c>
      <c r="P3372">
        <v>-0.15081049999999999</v>
      </c>
      <c r="Q3372">
        <v>1.7756850000000001E-2</v>
      </c>
      <c r="R3372">
        <v>-0.98840329999999998</v>
      </c>
      <c r="S3372">
        <v>-1.1276250000000001</v>
      </c>
      <c r="T3372">
        <v>-0.3712377</v>
      </c>
      <c r="U3372">
        <v>-2.8716279999999998</v>
      </c>
      <c r="V3372">
        <v>0.10130309999999999</v>
      </c>
      <c r="W3372">
        <v>3.0510760000000001E-2</v>
      </c>
      <c r="X3372">
        <v>0.99438760000000004</v>
      </c>
      <c r="Y3372">
        <v>0.31579429999999997</v>
      </c>
      <c r="Z3372">
        <v>0.1202954</v>
      </c>
      <c r="AA3372">
        <v>0.94117109999999904</v>
      </c>
      <c r="AB3372">
        <v>25</v>
      </c>
      <c r="AC3372">
        <v>-3.33880000000002</v>
      </c>
      <c r="AD3372">
        <v>-1.1026248998999999</v>
      </c>
      <c r="AE3372">
        <v>-8.3614999999999995</v>
      </c>
      <c r="AF3372">
        <v>2.8728559478555802</v>
      </c>
      <c r="AG3372">
        <v>-1.1026248998999999</v>
      </c>
      <c r="AH3372">
        <v>8.3923198574698699</v>
      </c>
      <c r="AI3372">
        <v>97.085725302263796</v>
      </c>
      <c r="AJ3372">
        <v>71.102917171032601</v>
      </c>
      <c r="AK3372">
        <v>8.9386864559112809</v>
      </c>
    </row>
    <row r="3373" spans="1:37" x14ac:dyDescent="0.2">
      <c r="A3373" t="str">
        <f>"20200111153502585"</f>
        <v>20200111153502585</v>
      </c>
      <c r="B3373" t="str">
        <f>"1578728102579537"</f>
        <v>1578728102579537</v>
      </c>
      <c r="C3373" t="s">
        <v>37</v>
      </c>
      <c r="D3373">
        <v>5.0754109999999999</v>
      </c>
      <c r="E3373">
        <v>0.61382139999999996</v>
      </c>
      <c r="F3373" t="s">
        <v>51</v>
      </c>
      <c r="G3373">
        <v>-195.91239999999999</v>
      </c>
      <c r="H3373" s="1">
        <v>-1.483765E-5</v>
      </c>
      <c r="I3373">
        <v>159.06049999999999</v>
      </c>
      <c r="J3373">
        <v>-191.8657</v>
      </c>
      <c r="K3373">
        <v>1.1025769999999999</v>
      </c>
      <c r="L3373">
        <v>167.5291</v>
      </c>
      <c r="M3373">
        <v>-5.194319E-2</v>
      </c>
      <c r="N3373">
        <v>0</v>
      </c>
      <c r="O3373">
        <v>-0.99856019999999901</v>
      </c>
      <c r="P3373">
        <v>-0.15275339999999901</v>
      </c>
      <c r="Q3373">
        <v>1.766947E-2</v>
      </c>
      <c r="R3373">
        <v>-0.98810629999999999</v>
      </c>
      <c r="S3373">
        <v>-1.336884</v>
      </c>
      <c r="T3373">
        <v>-0.36345470000000002</v>
      </c>
      <c r="U3373">
        <v>-2.83775299999999</v>
      </c>
      <c r="V3373">
        <v>0.1013911</v>
      </c>
      <c r="W3373">
        <v>3.0417340000000001E-2</v>
      </c>
      <c r="X3373">
        <v>0.99438150000000003</v>
      </c>
      <c r="Y3373">
        <v>0.37573719999999999</v>
      </c>
      <c r="Z3373">
        <v>0.1161107</v>
      </c>
      <c r="AA3373">
        <v>0.91942359999999901</v>
      </c>
      <c r="AB3373">
        <v>25</v>
      </c>
      <c r="AC3373">
        <v>-4.04669999999998</v>
      </c>
      <c r="AD3373">
        <v>-1.1025918376499999</v>
      </c>
      <c r="AE3373">
        <v>-8.4686000000000092</v>
      </c>
      <c r="AF3373">
        <v>3.55228795725938</v>
      </c>
      <c r="AG3373">
        <v>-1.1025918376499999</v>
      </c>
      <c r="AH3373">
        <v>8.5493988447859799</v>
      </c>
      <c r="AI3373">
        <v>96.791698424769393</v>
      </c>
      <c r="AJ3373">
        <v>67.437042591376695</v>
      </c>
      <c r="AK3373">
        <v>9.3234478117791895</v>
      </c>
    </row>
    <row r="3374" spans="1:37" x14ac:dyDescent="0.2">
      <c r="A3374" t="str">
        <f>"20200111153502599"</f>
        <v>20200111153502599</v>
      </c>
      <c r="B3374" t="str">
        <f>"1578728102589284"</f>
        <v>1578728102589284</v>
      </c>
      <c r="C3374" t="s">
        <v>37</v>
      </c>
      <c r="D3374">
        <v>4.9955920000000003</v>
      </c>
      <c r="E3374">
        <v>0.61359669999999999</v>
      </c>
      <c r="F3374" t="s">
        <v>51</v>
      </c>
      <c r="G3374">
        <v>-196.1771</v>
      </c>
      <c r="H3374" s="1">
        <v>-1.4686479999999999E-5</v>
      </c>
      <c r="I3374">
        <v>158.4597</v>
      </c>
      <c r="J3374">
        <v>-191.87639999999999</v>
      </c>
      <c r="K3374">
        <v>1.102535</v>
      </c>
      <c r="L3374">
        <v>167.36709999999999</v>
      </c>
      <c r="M3374">
        <v>-5.4138029999999997E-2</v>
      </c>
      <c r="N3374">
        <v>0</v>
      </c>
      <c r="O3374">
        <v>-0.99844370000000005</v>
      </c>
      <c r="P3374">
        <v>-0.15469910000000001</v>
      </c>
      <c r="Q3374">
        <v>1.7511570000000001E-2</v>
      </c>
      <c r="R3374">
        <v>-0.98780669999999904</v>
      </c>
      <c r="S3374">
        <v>-1.347229</v>
      </c>
      <c r="T3374">
        <v>-0.34453889999999998</v>
      </c>
      <c r="U3374">
        <v>-2.834015</v>
      </c>
      <c r="V3374">
        <v>0.1011653</v>
      </c>
      <c r="W3374">
        <v>3.0254340000000001E-2</v>
      </c>
      <c r="X3374">
        <v>0.99440949999999995</v>
      </c>
      <c r="Y3374">
        <v>0.3772026</v>
      </c>
      <c r="Z3374">
        <v>0.11014409999999999</v>
      </c>
      <c r="AA3374">
        <v>0.91955779999999998</v>
      </c>
      <c r="AB3374">
        <v>25</v>
      </c>
      <c r="AC3374">
        <v>-4.3007</v>
      </c>
      <c r="AD3374">
        <v>-1.10254968648</v>
      </c>
      <c r="AE3374">
        <v>-8.9073999999999902</v>
      </c>
      <c r="AF3374">
        <v>3.7653358373537702</v>
      </c>
      <c r="AG3374">
        <v>-1.10254968648</v>
      </c>
      <c r="AH3374">
        <v>9.0151750886204596</v>
      </c>
      <c r="AI3374">
        <v>96.438677885589598</v>
      </c>
      <c r="AJ3374">
        <v>67.3313447171532</v>
      </c>
      <c r="AK3374">
        <v>9.8319251246996799</v>
      </c>
    </row>
    <row r="3375" spans="1:37" x14ac:dyDescent="0.2">
      <c r="A3375" t="str">
        <f>"20200111153502611"</f>
        <v>20200111153502611</v>
      </c>
      <c r="B3375" t="str">
        <f>"1578728102599044"</f>
        <v>1578728102599044</v>
      </c>
      <c r="C3375" t="s">
        <v>37</v>
      </c>
      <c r="D3375">
        <v>5.0109830000000004</v>
      </c>
      <c r="E3375">
        <v>0.61360930000000002</v>
      </c>
      <c r="F3375" t="s">
        <v>51</v>
      </c>
      <c r="G3375">
        <v>-196.28110000000001</v>
      </c>
      <c r="H3375" s="1">
        <v>-1.460527E-5</v>
      </c>
      <c r="I3375">
        <v>158.1369</v>
      </c>
      <c r="J3375">
        <v>-191.8869</v>
      </c>
      <c r="K3375">
        <v>1.1025049999999901</v>
      </c>
      <c r="L3375">
        <v>167.21709999999999</v>
      </c>
      <c r="M3375">
        <v>-5.6214729999999997E-2</v>
      </c>
      <c r="N3375">
        <v>0</v>
      </c>
      <c r="O3375">
        <v>-0.99832889999999996</v>
      </c>
      <c r="P3375">
        <v>-0.15650549999999999</v>
      </c>
      <c r="Q3375">
        <v>1.7548640000000001E-2</v>
      </c>
      <c r="R3375">
        <v>-0.9875216</v>
      </c>
      <c r="S3375">
        <v>-1.351151</v>
      </c>
      <c r="T3375">
        <v>-0.33821200000000001</v>
      </c>
      <c r="U3375">
        <v>-2.8314059999999999</v>
      </c>
      <c r="V3375">
        <v>0.1009181</v>
      </c>
      <c r="W3375">
        <v>3.0287709999999999E-2</v>
      </c>
      <c r="X3375">
        <v>0.99443359999999903</v>
      </c>
      <c r="Y3375">
        <v>0.37673659999999998</v>
      </c>
      <c r="Z3375">
        <v>0.1081974</v>
      </c>
      <c r="AA3375">
        <v>0.91997980000000001</v>
      </c>
      <c r="AB3375">
        <v>25</v>
      </c>
      <c r="AC3375">
        <v>-4.3942000000000103</v>
      </c>
      <c r="AD3375">
        <v>-1.1025196052699999</v>
      </c>
      <c r="AE3375">
        <v>-9.0801999999999907</v>
      </c>
      <c r="AF3375">
        <v>3.8310007197243299</v>
      </c>
      <c r="AG3375">
        <v>-1.1025196052699999</v>
      </c>
      <c r="AH3375">
        <v>9.2029472016655003</v>
      </c>
      <c r="AI3375">
        <v>96.311288586832802</v>
      </c>
      <c r="AJ3375">
        <v>67.399026100540894</v>
      </c>
      <c r="AK3375">
        <v>10.0292748088371</v>
      </c>
    </row>
    <row r="3376" spans="1:37" x14ac:dyDescent="0.2">
      <c r="A3376" t="str">
        <f>"20200111153502628"</f>
        <v>20200111153502628</v>
      </c>
      <c r="B3376" t="str">
        <f>"1578728102619539"</f>
        <v>1578728102619539</v>
      </c>
      <c r="C3376" t="s">
        <v>37</v>
      </c>
      <c r="D3376">
        <v>5.0181309999999897</v>
      </c>
      <c r="E3376">
        <v>0.61342790000000003</v>
      </c>
      <c r="F3376" t="s">
        <v>51</v>
      </c>
      <c r="G3376">
        <v>-196.36590000000001</v>
      </c>
      <c r="H3376" s="1">
        <v>-1.4539649999999901E-5</v>
      </c>
      <c r="I3376">
        <v>157.87620000000001</v>
      </c>
      <c r="J3376">
        <v>-191.89959999999999</v>
      </c>
      <c r="K3376">
        <v>1.1024769999999999</v>
      </c>
      <c r="L3376">
        <v>167.03890000000001</v>
      </c>
      <c r="M3376">
        <v>-5.8705390000000003E-2</v>
      </c>
      <c r="N3376">
        <v>0</v>
      </c>
      <c r="O3376">
        <v>-0.99818560000000001</v>
      </c>
      <c r="P3376">
        <v>-0.15805459999999999</v>
      </c>
      <c r="Q3376">
        <v>1.7767910000000001E-2</v>
      </c>
      <c r="R3376">
        <v>-0.9872706</v>
      </c>
      <c r="S3376">
        <v>-1.3564609999999999</v>
      </c>
      <c r="T3376">
        <v>-0.33389750000000001</v>
      </c>
      <c r="U3376">
        <v>-2.8288880000000001</v>
      </c>
      <c r="V3376">
        <v>0.1000008</v>
      </c>
      <c r="W3376">
        <v>3.0507900000000001E-2</v>
      </c>
      <c r="X3376">
        <v>0.9945195</v>
      </c>
      <c r="Y3376">
        <v>0.37621329999999997</v>
      </c>
      <c r="Z3376">
        <v>0.1068668</v>
      </c>
      <c r="AA3376">
        <v>0.92034939999999998</v>
      </c>
      <c r="AB3376">
        <v>25</v>
      </c>
      <c r="AC3376">
        <v>-4.4663000000000102</v>
      </c>
      <c r="AD3376">
        <v>-1.1024915396499999</v>
      </c>
      <c r="AE3376">
        <v>-9.1626999999999992</v>
      </c>
      <c r="AF3376">
        <v>3.8753131608754199</v>
      </c>
      <c r="AG3376">
        <v>-1.1024915396499999</v>
      </c>
      <c r="AH3376">
        <v>9.3003161964471008</v>
      </c>
      <c r="AI3376">
        <v>96.244686511838793</v>
      </c>
      <c r="AJ3376">
        <v>67.379182772183398</v>
      </c>
      <c r="AK3376">
        <v>10.135552330472599</v>
      </c>
    </row>
    <row r="3377" spans="1:37" x14ac:dyDescent="0.2">
      <c r="A3377" t="str">
        <f>"20200111153502641"</f>
        <v>20200111153502641</v>
      </c>
      <c r="B3377" t="str">
        <f>"1578728102629301"</f>
        <v>1578728102629301</v>
      </c>
      <c r="C3377" t="s">
        <v>37</v>
      </c>
      <c r="D3377">
        <v>5.007085</v>
      </c>
      <c r="E3377">
        <v>0.61349940000000003</v>
      </c>
      <c r="F3377" t="s">
        <v>51</v>
      </c>
      <c r="G3377">
        <v>-196.4239</v>
      </c>
      <c r="H3377" s="1">
        <v>-1.4478239999999899E-5</v>
      </c>
      <c r="I3377">
        <v>157.63210000000001</v>
      </c>
      <c r="J3377">
        <v>-191.90969999999999</v>
      </c>
      <c r="K3377">
        <v>1.1024579999999999</v>
      </c>
      <c r="L3377">
        <v>166.90270000000001</v>
      </c>
      <c r="M3377">
        <v>-6.0624379999999999E-2</v>
      </c>
      <c r="N3377">
        <v>0</v>
      </c>
      <c r="O3377">
        <v>-0.99807089999999998</v>
      </c>
      <c r="P3377">
        <v>-0.15934779999999901</v>
      </c>
      <c r="Q3377">
        <v>1.8113919999999999E-2</v>
      </c>
      <c r="R3377">
        <v>-0.98705679999999996</v>
      </c>
      <c r="S3377">
        <v>-1.3596649999999999</v>
      </c>
      <c r="T3377">
        <v>-0.33132919999999999</v>
      </c>
      <c r="U3377">
        <v>-2.8269959999999998</v>
      </c>
      <c r="V3377">
        <v>9.939539E-2</v>
      </c>
      <c r="W3377">
        <v>3.0854880000000001E-2</v>
      </c>
      <c r="X3377">
        <v>0.9945695</v>
      </c>
      <c r="Y3377">
        <v>0.37555759999999899</v>
      </c>
      <c r="Z3377">
        <v>0.10608959999999901</v>
      </c>
      <c r="AA3377">
        <v>0.92070699999999905</v>
      </c>
      <c r="AB3377">
        <v>25</v>
      </c>
      <c r="AC3377">
        <v>-4.5142000000000104</v>
      </c>
      <c r="AD3377">
        <v>-1.1024724782399999</v>
      </c>
      <c r="AE3377">
        <v>-9.2706</v>
      </c>
      <c r="AF3377">
        <v>3.8992454360130702</v>
      </c>
      <c r="AG3377">
        <v>-1.1024724782399999</v>
      </c>
      <c r="AH3377">
        <v>9.4195582413174499</v>
      </c>
      <c r="AI3377">
        <v>96.172070756420695</v>
      </c>
      <c r="AJ3377">
        <v>67.512790488707296</v>
      </c>
      <c r="AK3377">
        <v>10.2541522320042</v>
      </c>
    </row>
    <row r="3378" spans="1:37" x14ac:dyDescent="0.2">
      <c r="A3378" t="str">
        <f>"20200111153502653"</f>
        <v>20200111153502653</v>
      </c>
      <c r="B3378" t="str">
        <f>"1578728102649796"</f>
        <v>1578728102649796</v>
      </c>
      <c r="C3378" t="s">
        <v>37</v>
      </c>
      <c r="D3378">
        <v>5.0104110000000004</v>
      </c>
      <c r="E3378">
        <v>0.61343749999999997</v>
      </c>
      <c r="F3378" t="s">
        <v>51</v>
      </c>
      <c r="G3378">
        <v>-196.50620000000001</v>
      </c>
      <c r="H3378" s="1">
        <v>-1.4415859999999999E-5</v>
      </c>
      <c r="I3378">
        <v>157.38419999999999</v>
      </c>
      <c r="J3378">
        <v>-191.9211</v>
      </c>
      <c r="K3378">
        <v>1.1024430000000001</v>
      </c>
      <c r="L3378">
        <v>166.75239999999999</v>
      </c>
      <c r="M3378">
        <v>-6.2767920000000005E-2</v>
      </c>
      <c r="N3378">
        <v>0</v>
      </c>
      <c r="O3378">
        <v>-0.9979382</v>
      </c>
      <c r="P3378">
        <v>-0.1608366</v>
      </c>
      <c r="Q3378">
        <v>1.9012640000000001E-2</v>
      </c>
      <c r="R3378">
        <v>-0.98679799999999995</v>
      </c>
      <c r="S3378">
        <v>-1.364258</v>
      </c>
      <c r="T3378">
        <v>-0.32721420000000001</v>
      </c>
      <c r="U3378">
        <v>-2.8251040000000001</v>
      </c>
      <c r="V3378">
        <v>9.8767179999999996E-2</v>
      </c>
      <c r="W3378">
        <v>3.1755180000000001E-2</v>
      </c>
      <c r="X3378">
        <v>0.99460380000000004</v>
      </c>
      <c r="Y3378">
        <v>0.37508359999999902</v>
      </c>
      <c r="Z3378">
        <v>0.1048047</v>
      </c>
      <c r="AA3378">
        <v>0.92104739999999996</v>
      </c>
      <c r="AB3378">
        <v>25</v>
      </c>
      <c r="AC3378">
        <v>-4.5851000000000104</v>
      </c>
      <c r="AD3378">
        <v>-1.10245741586</v>
      </c>
      <c r="AE3378">
        <v>-9.3681999999999999</v>
      </c>
      <c r="AF3378">
        <v>3.9439186917340501</v>
      </c>
      <c r="AG3378">
        <v>-1.10245741586</v>
      </c>
      <c r="AH3378">
        <v>9.5310614780755696</v>
      </c>
      <c r="AI3378">
        <v>96.100662098888805</v>
      </c>
      <c r="AJ3378">
        <v>67.520405548950706</v>
      </c>
      <c r="AK3378">
        <v>10.3735741140481</v>
      </c>
    </row>
    <row r="3379" spans="1:37" x14ac:dyDescent="0.2">
      <c r="A3379" t="str">
        <f>"20200111153502666"</f>
        <v>20200111153502666</v>
      </c>
      <c r="B3379" t="str">
        <f>"1578728102659556"</f>
        <v>1578728102659556</v>
      </c>
      <c r="C3379" t="s">
        <v>37</v>
      </c>
      <c r="D3379">
        <v>4.9830199999999998</v>
      </c>
      <c r="E3379">
        <v>0.61348780000000003</v>
      </c>
      <c r="F3379" t="s">
        <v>51</v>
      </c>
      <c r="G3379">
        <v>-196.56610000000001</v>
      </c>
      <c r="H3379" s="1">
        <v>-1.436087E-5</v>
      </c>
      <c r="I3379">
        <v>157.16560000000001</v>
      </c>
      <c r="J3379">
        <v>-191.9325</v>
      </c>
      <c r="K3379">
        <v>1.102433</v>
      </c>
      <c r="L3379">
        <v>166.6078</v>
      </c>
      <c r="M3379">
        <v>-6.4841430000000005E-2</v>
      </c>
      <c r="N3379">
        <v>0</v>
      </c>
      <c r="O3379">
        <v>-0.99780569999999902</v>
      </c>
      <c r="P3379">
        <v>-0.162414</v>
      </c>
      <c r="Q3379">
        <v>1.9790579999999999E-2</v>
      </c>
      <c r="R3379">
        <v>-0.98652430000000002</v>
      </c>
      <c r="S3379">
        <v>-1.367996</v>
      </c>
      <c r="T3379">
        <v>-0.32468999999999998</v>
      </c>
      <c r="U3379">
        <v>-2.8234409999999999</v>
      </c>
      <c r="V3379">
        <v>9.8297099999999998E-2</v>
      </c>
      <c r="W3379">
        <v>3.2533930000000003E-2</v>
      </c>
      <c r="X3379">
        <v>0.99462519999999999</v>
      </c>
      <c r="Y3379">
        <v>0.37439539999999999</v>
      </c>
      <c r="Z3379">
        <v>0.1040259</v>
      </c>
      <c r="AA3379">
        <v>0.921415599999999</v>
      </c>
      <c r="AB3379">
        <v>25</v>
      </c>
      <c r="AC3379">
        <v>-4.6336000000000004</v>
      </c>
      <c r="AD3379">
        <v>-1.1024473608700001</v>
      </c>
      <c r="AE3379">
        <v>-9.4421999999999802</v>
      </c>
      <c r="AF3379">
        <v>3.9679524754059301</v>
      </c>
      <c r="AG3379">
        <v>-1.1024473608700001</v>
      </c>
      <c r="AH3379">
        <v>9.6171431582102702</v>
      </c>
      <c r="AI3379">
        <v>96.048960006925697</v>
      </c>
      <c r="AJ3379">
        <v>67.579367582648402</v>
      </c>
      <c r="AK3379">
        <v>10.461810529544101</v>
      </c>
    </row>
    <row r="3380" spans="1:37" x14ac:dyDescent="0.2">
      <c r="A3380" t="str">
        <f>"20200111153502679"</f>
        <v>20200111153502679</v>
      </c>
      <c r="B3380" t="str">
        <f>"1578728102669317"</f>
        <v>1578728102669317</v>
      </c>
      <c r="C3380" t="s">
        <v>37</v>
      </c>
      <c r="D3380">
        <v>4.9862279999999997</v>
      </c>
      <c r="E3380">
        <v>0.61352719999999905</v>
      </c>
      <c r="F3380" t="s">
        <v>51</v>
      </c>
      <c r="G3380">
        <v>-196.6377</v>
      </c>
      <c r="H3380" s="1">
        <v>-1.430392E-5</v>
      </c>
      <c r="I3380">
        <v>156.9393</v>
      </c>
      <c r="J3380">
        <v>-191.94380000000001</v>
      </c>
      <c r="K3380">
        <v>1.1024290000000001</v>
      </c>
      <c r="L3380">
        <v>166.4658</v>
      </c>
      <c r="M3380">
        <v>-6.6886950000000001E-2</v>
      </c>
      <c r="N3380">
        <v>0</v>
      </c>
      <c r="O3380">
        <v>-0.99767070000000002</v>
      </c>
      <c r="P3380">
        <v>-0.16397059999999999</v>
      </c>
      <c r="Q3380">
        <v>2.0640990000000001E-2</v>
      </c>
      <c r="R3380">
        <v>-0.98624959999999995</v>
      </c>
      <c r="S3380">
        <v>-1.373032</v>
      </c>
      <c r="T3380">
        <v>-0.32170979999999999</v>
      </c>
      <c r="U3380">
        <v>-2.8214109999999999</v>
      </c>
      <c r="V3380">
        <v>9.7834589999999999E-2</v>
      </c>
      <c r="W3380">
        <v>3.3386060000000002E-2</v>
      </c>
      <c r="X3380">
        <v>0.99464259999999904</v>
      </c>
      <c r="Y3380">
        <v>0.3741292</v>
      </c>
      <c r="Z3380">
        <v>0.1030948</v>
      </c>
      <c r="AA3380">
        <v>0.92162840000000001</v>
      </c>
      <c r="AB3380">
        <v>25</v>
      </c>
      <c r="AC3380">
        <v>-4.6938999999999798</v>
      </c>
      <c r="AD3380">
        <v>-1.1024433039199999</v>
      </c>
      <c r="AE3380">
        <v>-9.5265000000000004</v>
      </c>
      <c r="AF3380">
        <v>4.0029948386238203</v>
      </c>
      <c r="AG3380">
        <v>-1.1024433039199999</v>
      </c>
      <c r="AH3380">
        <v>9.7144687348171601</v>
      </c>
      <c r="AI3380">
        <v>95.989881462905004</v>
      </c>
      <c r="AJ3380">
        <v>67.605143726330795</v>
      </c>
      <c r="AK3380">
        <v>10.564575321145</v>
      </c>
    </row>
    <row r="3381" spans="1:37" x14ac:dyDescent="0.2">
      <c r="A3381" t="str">
        <f>"20200111153502695"</f>
        <v>20200111153502695</v>
      </c>
      <c r="B3381" t="str">
        <f>"1578728102689812"</f>
        <v>1578728102689812</v>
      </c>
      <c r="C3381" t="s">
        <v>37</v>
      </c>
      <c r="D3381">
        <v>5.0082889999999898</v>
      </c>
      <c r="E3381">
        <v>0.61370769999999997</v>
      </c>
      <c r="F3381" t="s">
        <v>51</v>
      </c>
      <c r="G3381">
        <v>-196.68809999999999</v>
      </c>
      <c r="H3381" s="1">
        <v>-1.425829E-5</v>
      </c>
      <c r="I3381">
        <v>156.75790000000001</v>
      </c>
      <c r="J3381">
        <v>-191.95939999999999</v>
      </c>
      <c r="K3381">
        <v>1.1024399999999901</v>
      </c>
      <c r="L3381">
        <v>166.27950000000001</v>
      </c>
      <c r="M3381">
        <v>-6.9584419999999994E-2</v>
      </c>
      <c r="N3381">
        <v>0</v>
      </c>
      <c r="O3381">
        <v>-0.99748599999999998</v>
      </c>
      <c r="P3381">
        <v>-0.1662061</v>
      </c>
      <c r="Q3381">
        <v>2.2556550000000002E-2</v>
      </c>
      <c r="R3381">
        <v>-0.98583290000000001</v>
      </c>
      <c r="S3381">
        <v>-1.3778840000000001</v>
      </c>
      <c r="T3381">
        <v>-0.32018279999999999</v>
      </c>
      <c r="U3381">
        <v>-2.8194430000000001</v>
      </c>
      <c r="V3381">
        <v>9.7414909999999993E-2</v>
      </c>
      <c r="W3381">
        <v>3.5304189999999999E-2</v>
      </c>
      <c r="X3381">
        <v>0.99461749999999904</v>
      </c>
      <c r="Y3381">
        <v>0.37317929999999999</v>
      </c>
      <c r="Z3381">
        <v>0.10262979999999999</v>
      </c>
      <c r="AA3381">
        <v>0.92206529999999998</v>
      </c>
      <c r="AB3381">
        <v>25</v>
      </c>
      <c r="AC3381">
        <v>-4.7286999999999999</v>
      </c>
      <c r="AD3381">
        <v>-1.1024542582899901</v>
      </c>
      <c r="AE3381">
        <v>-9.5215999999999994</v>
      </c>
      <c r="AF3381">
        <v>4.0114828248381604</v>
      </c>
      <c r="AG3381">
        <v>-1.1024542582899901</v>
      </c>
      <c r="AH3381">
        <v>9.7230304319979197</v>
      </c>
      <c r="AI3381">
        <v>95.983636361618196</v>
      </c>
      <c r="AJ3381">
        <v>67.580162453717307</v>
      </c>
      <c r="AK3381">
        <v>10.575666438913</v>
      </c>
    </row>
    <row r="3382" spans="1:37" x14ac:dyDescent="0.2">
      <c r="A3382" t="str">
        <f>"20200111153502708"</f>
        <v>20200111153502708</v>
      </c>
      <c r="B3382" t="str">
        <f>"1578728102699572"</f>
        <v>1578728102699572</v>
      </c>
      <c r="C3382" t="s">
        <v>37</v>
      </c>
      <c r="D3382">
        <v>4.9973460000000003</v>
      </c>
      <c r="E3382">
        <v>0.61383379999999998</v>
      </c>
      <c r="F3382" t="s">
        <v>51</v>
      </c>
      <c r="G3382">
        <v>-196.78599999999901</v>
      </c>
      <c r="H3382" s="1">
        <v>-1.41853299999999E-5</v>
      </c>
      <c r="I3382">
        <v>156.46799999999999</v>
      </c>
      <c r="J3382">
        <v>-191.97139999999999</v>
      </c>
      <c r="K3382">
        <v>1.1024419999999999</v>
      </c>
      <c r="L3382">
        <v>166.13980000000001</v>
      </c>
      <c r="M3382">
        <v>-7.1610939999999998E-2</v>
      </c>
      <c r="N3382">
        <v>0</v>
      </c>
      <c r="O3382">
        <v>-0.99734259999999997</v>
      </c>
      <c r="P3382">
        <v>-0.1682352</v>
      </c>
      <c r="Q3382">
        <v>2.3252760000000001E-2</v>
      </c>
      <c r="R3382">
        <v>-0.98547289999999998</v>
      </c>
      <c r="S3382">
        <v>-1.385651</v>
      </c>
      <c r="T3382">
        <v>-0.31649829999999901</v>
      </c>
      <c r="U3382">
        <v>-2.8167419999999899</v>
      </c>
      <c r="V3382">
        <v>9.7447019999999995E-2</v>
      </c>
      <c r="W3382">
        <v>3.6000400000000002E-2</v>
      </c>
      <c r="X3382">
        <v>0.99458939999999996</v>
      </c>
      <c r="Y3382">
        <v>0.3737473</v>
      </c>
      <c r="Z3382">
        <v>0.1014563</v>
      </c>
      <c r="AA3382">
        <v>0.92196509999999998</v>
      </c>
      <c r="AB3382">
        <v>25</v>
      </c>
      <c r="AC3382">
        <v>-4.81459999999998</v>
      </c>
      <c r="AD3382">
        <v>-1.1024561853299999</v>
      </c>
      <c r="AE3382">
        <v>-9.6718000000000099</v>
      </c>
      <c r="AF3382">
        <v>4.0672174706292203</v>
      </c>
      <c r="AG3382">
        <v>-1.1024561853299999</v>
      </c>
      <c r="AH3382">
        <v>9.8888046704448804</v>
      </c>
      <c r="AI3382">
        <v>95.886682452327506</v>
      </c>
      <c r="AJ3382">
        <v>67.642871750080701</v>
      </c>
      <c r="AK3382">
        <v>10.749238363910999</v>
      </c>
    </row>
    <row r="3383" spans="1:37" x14ac:dyDescent="0.2">
      <c r="A3383" t="str">
        <f>"20200111153502722"</f>
        <v>20200111153502722</v>
      </c>
      <c r="B3383" t="str">
        <f>"1578728102719092"</f>
        <v>1578728102719092</v>
      </c>
      <c r="C3383" t="s">
        <v>37</v>
      </c>
      <c r="D3383">
        <v>4.9727839999999999</v>
      </c>
      <c r="E3383">
        <v>0.61428769999999999</v>
      </c>
      <c r="F3383" t="s">
        <v>51</v>
      </c>
      <c r="G3383">
        <v>-196.8261</v>
      </c>
      <c r="H3383" s="1">
        <v>-1.4150179999999901E-5</v>
      </c>
      <c r="I3383">
        <v>156.32830000000001</v>
      </c>
      <c r="J3383">
        <v>-191.9847</v>
      </c>
      <c r="K3383">
        <v>1.1024449999999999</v>
      </c>
      <c r="L3383">
        <v>165.9873</v>
      </c>
      <c r="M3383">
        <v>-7.3823899999999998E-2</v>
      </c>
      <c r="N3383">
        <v>0</v>
      </c>
      <c r="O3383">
        <v>-0.99718119999999999</v>
      </c>
      <c r="P3383">
        <v>-0.17027829999999999</v>
      </c>
      <c r="Q3383">
        <v>2.3877909999999999E-2</v>
      </c>
      <c r="R3383">
        <v>-0.98510679999999995</v>
      </c>
      <c r="S3383">
        <v>-1.3923649999999901</v>
      </c>
      <c r="T3383">
        <v>-0.31619049999999999</v>
      </c>
      <c r="U3383">
        <v>-2.8139949999999998</v>
      </c>
      <c r="V3383">
        <v>9.7307149999999995E-2</v>
      </c>
      <c r="W3383">
        <v>3.662704E-2</v>
      </c>
      <c r="X3383">
        <v>0.99458019999999903</v>
      </c>
      <c r="Y3383">
        <v>0.37381999999999999</v>
      </c>
      <c r="Z3383">
        <v>0.10136969999999999</v>
      </c>
      <c r="AA3383">
        <v>0.92194509999999996</v>
      </c>
      <c r="AB3383">
        <v>25</v>
      </c>
      <c r="AC3383">
        <v>-4.8413999999999904</v>
      </c>
      <c r="AD3383">
        <v>-1.1024591501799901</v>
      </c>
      <c r="AE3383">
        <v>-9.65899999999999</v>
      </c>
      <c r="AF3383">
        <v>4.07265441711652</v>
      </c>
      <c r="AG3383">
        <v>-1.1024591501799901</v>
      </c>
      <c r="AH3383">
        <v>9.8871397308842308</v>
      </c>
      <c r="AI3383">
        <v>95.886408553011506</v>
      </c>
      <c r="AJ3383">
        <v>67.612535908744604</v>
      </c>
      <c r="AK3383">
        <v>10.7497656828929</v>
      </c>
    </row>
    <row r="3384" spans="1:37" x14ac:dyDescent="0.2">
      <c r="A3384" t="str">
        <f>"20200111153502734"</f>
        <v>20200111153502734</v>
      </c>
      <c r="B3384" t="str">
        <f>"1578728102729828"</f>
        <v>1578728102729828</v>
      </c>
      <c r="C3384" t="s">
        <v>37</v>
      </c>
      <c r="D3384">
        <v>4.9909650000000001</v>
      </c>
      <c r="E3384">
        <v>0.61438179999999998</v>
      </c>
      <c r="F3384" t="s">
        <v>51</v>
      </c>
      <c r="G3384">
        <v>-196.90479999999999</v>
      </c>
      <c r="H3384" s="1">
        <v>-1.409537E-5</v>
      </c>
      <c r="I3384">
        <v>156.12379999999999</v>
      </c>
      <c r="J3384">
        <v>-191.9982</v>
      </c>
      <c r="K3384">
        <v>1.1024449999999999</v>
      </c>
      <c r="L3384">
        <v>165.83770000000001</v>
      </c>
      <c r="M3384">
        <v>-7.599612E-2</v>
      </c>
      <c r="N3384">
        <v>0</v>
      </c>
      <c r="O3384">
        <v>-0.99701790000000001</v>
      </c>
      <c r="P3384">
        <v>-0.17250550000000001</v>
      </c>
      <c r="Q3384">
        <v>2.3335310000000001E-2</v>
      </c>
      <c r="R3384">
        <v>-0.98473219999999995</v>
      </c>
      <c r="S3384">
        <v>-1.4019779999999999</v>
      </c>
      <c r="T3384">
        <v>-0.31414540000000002</v>
      </c>
      <c r="U3384">
        <v>-2.8106080000000002</v>
      </c>
      <c r="V3384">
        <v>9.7384979999999996E-2</v>
      </c>
      <c r="W3384">
        <v>3.6084749999999999E-2</v>
      </c>
      <c r="X3384">
        <v>0.99459240000000004</v>
      </c>
      <c r="Y3384">
        <v>0.3748012</v>
      </c>
      <c r="Z3384">
        <v>0.1007111</v>
      </c>
      <c r="AA3384">
        <v>0.92161890000000002</v>
      </c>
      <c r="AB3384">
        <v>25</v>
      </c>
      <c r="AC3384">
        <v>-4.9065999999999903</v>
      </c>
      <c r="AD3384">
        <v>-1.10245909537</v>
      </c>
      <c r="AE3384">
        <v>-9.7139000000000202</v>
      </c>
      <c r="AF3384">
        <v>4.11192501346504</v>
      </c>
      <c r="AG3384">
        <v>-1.10245909537</v>
      </c>
      <c r="AH3384">
        <v>9.9565421137023105</v>
      </c>
      <c r="AI3384">
        <v>95.843466909717307</v>
      </c>
      <c r="AJ3384">
        <v>67.559998480088396</v>
      </c>
      <c r="AK3384">
        <v>10.828484392344601</v>
      </c>
    </row>
    <row r="3385" spans="1:37" x14ac:dyDescent="0.2">
      <c r="A3385" t="str">
        <f>"20200111153502751"</f>
        <v>20200111153502751</v>
      </c>
      <c r="B3385" t="str">
        <f>"1578728102739589"</f>
        <v>1578728102739589</v>
      </c>
      <c r="C3385" t="s">
        <v>37</v>
      </c>
      <c r="D3385">
        <v>4.9982470000000001</v>
      </c>
      <c r="E3385">
        <v>0.61455009999999999</v>
      </c>
      <c r="F3385" t="s">
        <v>51</v>
      </c>
      <c r="G3385">
        <v>-196.90649999999999</v>
      </c>
      <c r="H3385" s="1">
        <v>-1.406825E-5</v>
      </c>
      <c r="I3385">
        <v>156.06020000000001</v>
      </c>
      <c r="J3385">
        <v>-192.01390000000001</v>
      </c>
      <c r="K3385">
        <v>1.1024419999999999</v>
      </c>
      <c r="L3385">
        <v>165.66720000000001</v>
      </c>
      <c r="M3385">
        <v>-7.8466830000000001E-2</v>
      </c>
      <c r="N3385">
        <v>0</v>
      </c>
      <c r="O3385">
        <v>-0.99682649999999995</v>
      </c>
      <c r="P3385">
        <v>-0.17519000000000001</v>
      </c>
      <c r="Q3385">
        <v>2.2801459999999999E-2</v>
      </c>
      <c r="R3385">
        <v>-0.9842706</v>
      </c>
      <c r="S3385">
        <v>-1.4092100000000001</v>
      </c>
      <c r="T3385">
        <v>-0.31651869999999999</v>
      </c>
      <c r="U3385">
        <v>-2.8071290000000002</v>
      </c>
      <c r="V3385">
        <v>9.7627489999999997E-2</v>
      </c>
      <c r="W3385">
        <v>3.5551029999999997E-2</v>
      </c>
      <c r="X3385">
        <v>0.99458780000000002</v>
      </c>
      <c r="Y3385">
        <v>0.37482509999999902</v>
      </c>
      <c r="Z3385">
        <v>0.101489699999999</v>
      </c>
      <c r="AA3385">
        <v>0.92152369999999995</v>
      </c>
      <c r="AB3385">
        <v>25</v>
      </c>
      <c r="AC3385">
        <v>-4.8925999999999803</v>
      </c>
      <c r="AD3385">
        <v>-1.10245606825</v>
      </c>
      <c r="AE3385">
        <v>-9.6069999999999993</v>
      </c>
      <c r="AF3385">
        <v>4.0809400138022403</v>
      </c>
      <c r="AG3385">
        <v>-1.10245606825</v>
      </c>
      <c r="AH3385">
        <v>9.8582298911189792</v>
      </c>
      <c r="AI3385">
        <v>95.899298088353504</v>
      </c>
      <c r="AJ3385">
        <v>67.512266780937594</v>
      </c>
      <c r="AK3385">
        <v>10.7263310299852</v>
      </c>
    </row>
    <row r="3386" spans="1:37" x14ac:dyDescent="0.2">
      <c r="A3386" t="str">
        <f>"20200111153502764"</f>
        <v>20200111153502764</v>
      </c>
      <c r="B3386" t="str">
        <f>"1578728102759107"</f>
        <v>1578728102759107</v>
      </c>
      <c r="C3386" t="s">
        <v>37</v>
      </c>
      <c r="D3386">
        <v>4.9817859999999996</v>
      </c>
      <c r="E3386">
        <v>0.61497999999999997</v>
      </c>
      <c r="F3386" t="s">
        <v>51</v>
      </c>
      <c r="G3386">
        <v>-196.9273</v>
      </c>
      <c r="H3386" s="1">
        <v>-1.4026020000000001E-5</v>
      </c>
      <c r="I3386">
        <v>155.95750000000001</v>
      </c>
      <c r="J3386">
        <v>-192.02770000000001</v>
      </c>
      <c r="K3386">
        <v>1.1024479999999901</v>
      </c>
      <c r="L3386">
        <v>165.5204</v>
      </c>
      <c r="M3386">
        <v>-8.0592070000000002E-2</v>
      </c>
      <c r="N3386">
        <v>0</v>
      </c>
      <c r="O3386">
        <v>-0.99665700000000002</v>
      </c>
      <c r="P3386">
        <v>-0.17743979999999901</v>
      </c>
      <c r="Q3386">
        <v>2.2195389999999999E-2</v>
      </c>
      <c r="R3386">
        <v>-0.98388129999999996</v>
      </c>
      <c r="S3386">
        <v>-1.4183349999999999</v>
      </c>
      <c r="T3386">
        <v>-0.3182412</v>
      </c>
      <c r="U3386">
        <v>-2.8028559999999998</v>
      </c>
      <c r="V3386">
        <v>9.7775409999999993E-2</v>
      </c>
      <c r="W3386">
        <v>3.4945829999999997E-2</v>
      </c>
      <c r="X3386">
        <v>0.9945948</v>
      </c>
      <c r="Y3386">
        <v>0.37577880000000002</v>
      </c>
      <c r="Z3386">
        <v>0.1020563</v>
      </c>
      <c r="AA3386">
        <v>0.92107269999999897</v>
      </c>
      <c r="AB3386">
        <v>25</v>
      </c>
      <c r="AC3386">
        <v>-4.8995999999999897</v>
      </c>
      <c r="AD3386">
        <v>-1.10246202601999</v>
      </c>
      <c r="AE3386">
        <v>-9.5628999999999795</v>
      </c>
      <c r="AF3386">
        <v>4.0700500352424402</v>
      </c>
      <c r="AG3386">
        <v>-1.10246202601999</v>
      </c>
      <c r="AH3386">
        <v>9.8232803863412599</v>
      </c>
      <c r="AI3386">
        <v>95.919412920667995</v>
      </c>
      <c r="AJ3386">
        <v>67.494453835885594</v>
      </c>
      <c r="AK3386">
        <v>10.6900686319999</v>
      </c>
    </row>
    <row r="3387" spans="1:37" x14ac:dyDescent="0.2">
      <c r="A3387" t="str">
        <f>"20200111153502775"</f>
        <v>20200111153502775</v>
      </c>
      <c r="B3387" t="str">
        <f>"1578728102769044"</f>
        <v>1578728102769044</v>
      </c>
      <c r="C3387" t="s">
        <v>37</v>
      </c>
      <c r="D3387">
        <v>4.9484599999999999</v>
      </c>
      <c r="E3387">
        <v>0.61519219999999997</v>
      </c>
      <c r="F3387" t="s">
        <v>51</v>
      </c>
      <c r="G3387">
        <v>-196.92529999999999</v>
      </c>
      <c r="H3387" s="1">
        <v>-1.4010549999999999E-5</v>
      </c>
      <c r="I3387">
        <v>155.92179999999999</v>
      </c>
      <c r="J3387">
        <v>-192.04179999999999</v>
      </c>
      <c r="K3387">
        <v>1.102452</v>
      </c>
      <c r="L3387">
        <v>165.37459999999999</v>
      </c>
      <c r="M3387">
        <v>-8.2699750000000002E-2</v>
      </c>
      <c r="N3387">
        <v>0</v>
      </c>
      <c r="O3387">
        <v>-0.99648459999999905</v>
      </c>
      <c r="P3387">
        <v>-0.17955579999999999</v>
      </c>
      <c r="Q3387">
        <v>2.1720409999999999E-2</v>
      </c>
      <c r="R3387">
        <v>-0.98350820000000005</v>
      </c>
      <c r="S3387">
        <v>-1.4281159999999999</v>
      </c>
      <c r="T3387">
        <v>-0.32147249999999999</v>
      </c>
      <c r="U3387">
        <v>-2.798889</v>
      </c>
      <c r="V3387">
        <v>9.7807190000000002E-2</v>
      </c>
      <c r="W3387">
        <v>3.447215E-2</v>
      </c>
      <c r="X3387">
        <v>0.99460820000000005</v>
      </c>
      <c r="Y3387">
        <v>0.37685599999999903</v>
      </c>
      <c r="Z3387">
        <v>0.10308249999999999</v>
      </c>
      <c r="AA3387">
        <v>0.92051810000000001</v>
      </c>
      <c r="AB3387">
        <v>25</v>
      </c>
      <c r="AC3387">
        <v>-4.88349999999999</v>
      </c>
      <c r="AD3387">
        <v>-1.1024660105499999</v>
      </c>
      <c r="AE3387">
        <v>-9.4527999999999892</v>
      </c>
      <c r="AF3387">
        <v>4.0415615452917102</v>
      </c>
      <c r="AG3387">
        <v>-1.1024660105499999</v>
      </c>
      <c r="AH3387">
        <v>9.7199544089651901</v>
      </c>
      <c r="AI3387">
        <v>95.978808179745599</v>
      </c>
      <c r="AJ3387">
        <v>67.422436170277706</v>
      </c>
      <c r="AK3387">
        <v>10.584288579831901</v>
      </c>
    </row>
    <row r="3388" spans="1:37" x14ac:dyDescent="0.2">
      <c r="A3388" t="str">
        <f>"20200111153502788"</f>
        <v>20200111153502788</v>
      </c>
      <c r="B3388" t="str">
        <f>"1578728102779780"</f>
        <v>1578728102779780</v>
      </c>
      <c r="C3388" t="s">
        <v>37</v>
      </c>
      <c r="D3388">
        <v>4.9297379999999897</v>
      </c>
      <c r="E3388">
        <v>0.6154193</v>
      </c>
      <c r="F3388" t="s">
        <v>51</v>
      </c>
      <c r="G3388">
        <v>-196.95160000000001</v>
      </c>
      <c r="H3388" s="1">
        <v>-1.396785E-5</v>
      </c>
      <c r="I3388">
        <v>155.8169</v>
      </c>
      <c r="J3388">
        <v>-192.05510000000001</v>
      </c>
      <c r="K3388">
        <v>1.102457</v>
      </c>
      <c r="L3388">
        <v>165.2407</v>
      </c>
      <c r="M3388">
        <v>-8.463184E-2</v>
      </c>
      <c r="N3388">
        <v>0</v>
      </c>
      <c r="O3388">
        <v>-0.99632219999999905</v>
      </c>
      <c r="P3388">
        <v>-0.18150859999999999</v>
      </c>
      <c r="Q3388">
        <v>2.144397E-2</v>
      </c>
      <c r="R3388">
        <v>-0.98315569999999897</v>
      </c>
      <c r="S3388">
        <v>-1.435913</v>
      </c>
      <c r="T3388">
        <v>-0.3224303</v>
      </c>
      <c r="U3388">
        <v>-2.7952729999999999</v>
      </c>
      <c r="V3388">
        <v>9.7851080000000007E-2</v>
      </c>
      <c r="W3388">
        <v>3.4196690000000002E-2</v>
      </c>
      <c r="X3388">
        <v>0.99461330000000003</v>
      </c>
      <c r="Y3388">
        <v>0.37756259999999903</v>
      </c>
      <c r="Z3388">
        <v>0.103401299999999</v>
      </c>
      <c r="AA3388">
        <v>0.92019269999999997</v>
      </c>
      <c r="AB3388">
        <v>25</v>
      </c>
      <c r="AC3388">
        <v>-4.8964999999999996</v>
      </c>
      <c r="AD3388">
        <v>-1.10247096785</v>
      </c>
      <c r="AE3388">
        <v>-9.4238</v>
      </c>
      <c r="AF3388">
        <v>4.0377902176803397</v>
      </c>
      <c r="AG3388">
        <v>-1.10247096785</v>
      </c>
      <c r="AH3388">
        <v>9.6998877730597002</v>
      </c>
      <c r="AI3388">
        <v>95.990119497496593</v>
      </c>
      <c r="AJ3388">
        <v>67.399412784076702</v>
      </c>
      <c r="AK3388">
        <v>10.564422127447401</v>
      </c>
    </row>
    <row r="3389" spans="1:37" x14ac:dyDescent="0.2">
      <c r="A3389" t="str">
        <f>"20200111153502800"</f>
        <v>20200111153502800</v>
      </c>
      <c r="B3389" t="str">
        <f>"1578728102789541"</f>
        <v>1578728102789541</v>
      </c>
      <c r="C3389" t="s">
        <v>37</v>
      </c>
      <c r="D3389">
        <v>4.9821299999999997</v>
      </c>
      <c r="E3389">
        <v>0.61555109999999902</v>
      </c>
      <c r="F3389" t="s">
        <v>51</v>
      </c>
      <c r="G3389">
        <v>-196.9768</v>
      </c>
      <c r="H3389" s="1">
        <v>-1.3928409999999999E-5</v>
      </c>
      <c r="I3389">
        <v>155.71969999999999</v>
      </c>
      <c r="J3389">
        <v>-192.06819999999999</v>
      </c>
      <c r="K3389">
        <v>1.1024609999999999</v>
      </c>
      <c r="L3389">
        <v>165.1097</v>
      </c>
      <c r="M3389">
        <v>-8.6521600000000004E-2</v>
      </c>
      <c r="N3389">
        <v>0</v>
      </c>
      <c r="O3389">
        <v>-0.99615989999999999</v>
      </c>
      <c r="P3389">
        <v>-0.183517299999999</v>
      </c>
      <c r="Q3389">
        <v>2.1031770000000002E-2</v>
      </c>
      <c r="R3389">
        <v>-0.98279150000000004</v>
      </c>
      <c r="S3389">
        <v>-1.4432529999999999</v>
      </c>
      <c r="T3389">
        <v>-0.32329429999999998</v>
      </c>
      <c r="U3389">
        <v>-2.7919770000000002</v>
      </c>
      <c r="V3389">
        <v>9.7993259999999999E-2</v>
      </c>
      <c r="W3389">
        <v>3.3784939999999999E-2</v>
      </c>
      <c r="X3389">
        <v>0.99461350000000004</v>
      </c>
      <c r="Y3389">
        <v>0.37814680000000001</v>
      </c>
      <c r="Z3389">
        <v>0.1036859</v>
      </c>
      <c r="AA3389">
        <v>0.91992079999999998</v>
      </c>
      <c r="AB3389">
        <v>25</v>
      </c>
      <c r="AC3389">
        <v>-4.9085999999999999</v>
      </c>
      <c r="AD3389">
        <v>-1.1024749284099999</v>
      </c>
      <c r="AE3389">
        <v>-9.3900000000000095</v>
      </c>
      <c r="AF3389">
        <v>4.03400449550041</v>
      </c>
      <c r="AG3389">
        <v>-1.1024749284099999</v>
      </c>
      <c r="AH3389">
        <v>9.6747751748444593</v>
      </c>
      <c r="AI3389">
        <v>96.004117382606395</v>
      </c>
      <c r="AJ3389">
        <v>67.365764334474093</v>
      </c>
      <c r="AK3389">
        <v>10.5399202046921</v>
      </c>
    </row>
    <row r="3390" spans="1:37" x14ac:dyDescent="0.2">
      <c r="A3390" t="str">
        <f>"20200111153502812"</f>
        <v>20200111153502812</v>
      </c>
      <c r="B3390" t="str">
        <f>"1578728102809060"</f>
        <v>1578728102809060</v>
      </c>
      <c r="C3390" t="s">
        <v>37</v>
      </c>
      <c r="D3390">
        <v>4.9738939999999996</v>
      </c>
      <c r="E3390">
        <v>0.61590819999999902</v>
      </c>
      <c r="F3390" t="s">
        <v>51</v>
      </c>
      <c r="G3390">
        <v>-196.9907</v>
      </c>
      <c r="H3390" s="1">
        <v>-1.3897089999999901E-5</v>
      </c>
      <c r="I3390">
        <v>155.6438</v>
      </c>
      <c r="J3390">
        <v>-192.0822</v>
      </c>
      <c r="K3390">
        <v>1.1024639999999899</v>
      </c>
      <c r="L3390">
        <v>164.97380000000001</v>
      </c>
      <c r="M3390">
        <v>-8.8479050000000004E-2</v>
      </c>
      <c r="N3390">
        <v>0</v>
      </c>
      <c r="O3390">
        <v>-0.99598779999999998</v>
      </c>
      <c r="P3390">
        <v>-0.18578220000000001</v>
      </c>
      <c r="Q3390">
        <v>2.0595970000000002E-2</v>
      </c>
      <c r="R3390">
        <v>-0.982375</v>
      </c>
      <c r="S3390">
        <v>-1.45018</v>
      </c>
      <c r="T3390">
        <v>-0.32479140000000001</v>
      </c>
      <c r="U3390">
        <v>-2.78865099999999</v>
      </c>
      <c r="V3390">
        <v>9.8327600000000001E-2</v>
      </c>
      <c r="W3390">
        <v>3.3347920000000003E-2</v>
      </c>
      <c r="X3390">
        <v>0.99459519999999901</v>
      </c>
      <c r="Y3390">
        <v>0.378554</v>
      </c>
      <c r="Z3390">
        <v>0.104177399999999</v>
      </c>
      <c r="AA3390">
        <v>0.91969780000000001</v>
      </c>
      <c r="AB3390">
        <v>25</v>
      </c>
      <c r="AC3390">
        <v>-4.9085000000000001</v>
      </c>
      <c r="AD3390">
        <v>-1.10247789709</v>
      </c>
      <c r="AE3390">
        <v>-9.3300000000000107</v>
      </c>
      <c r="AF3390">
        <v>4.0197021717019297</v>
      </c>
      <c r="AG3390">
        <v>-1.10247789709</v>
      </c>
      <c r="AH3390">
        <v>9.6225077278554298</v>
      </c>
      <c r="AI3390">
        <v>96.034848655114104</v>
      </c>
      <c r="AJ3390">
        <v>67.327776141397493</v>
      </c>
      <c r="AK3390">
        <v>10.4864730980151</v>
      </c>
    </row>
    <row r="3391" spans="1:37" x14ac:dyDescent="0.2">
      <c r="A3391" t="str">
        <f>"20200111153502825"</f>
        <v>20200111153502825</v>
      </c>
      <c r="B3391" t="str">
        <f>"1578728102818821"</f>
        <v>1578728102818821</v>
      </c>
      <c r="C3391" t="s">
        <v>37</v>
      </c>
      <c r="D3391">
        <v>4.9784139999999999</v>
      </c>
      <c r="E3391">
        <v>0.61612449999999996</v>
      </c>
      <c r="F3391" t="s">
        <v>51</v>
      </c>
      <c r="G3391">
        <v>-196.9914</v>
      </c>
      <c r="H3391" s="1">
        <v>-1.3880870000000001E-5</v>
      </c>
      <c r="I3391">
        <v>155.60589999999999</v>
      </c>
      <c r="J3391">
        <v>-192.09780000000001</v>
      </c>
      <c r="K3391">
        <v>1.102468</v>
      </c>
      <c r="L3391">
        <v>164.8253</v>
      </c>
      <c r="M3391">
        <v>-9.0618019999999994E-2</v>
      </c>
      <c r="N3391">
        <v>0</v>
      </c>
      <c r="O3391">
        <v>-0.99579549999999994</v>
      </c>
      <c r="P3391">
        <v>-0.18818579999999999</v>
      </c>
      <c r="Q3391">
        <v>2.0179800000000001E-2</v>
      </c>
      <c r="R3391">
        <v>-0.98192619999999897</v>
      </c>
      <c r="S3391">
        <v>-1.4593049999999901</v>
      </c>
      <c r="T3391">
        <v>-0.32772249999999897</v>
      </c>
      <c r="U3391">
        <v>-2.7846980000000001</v>
      </c>
      <c r="V3391">
        <v>9.8621929999999997E-2</v>
      </c>
      <c r="W3391">
        <v>3.2930439999999998E-2</v>
      </c>
      <c r="X3391">
        <v>0.99457999999999902</v>
      </c>
      <c r="Y3391">
        <v>0.37942409999999999</v>
      </c>
      <c r="Z3391">
        <v>0.10511239999999999</v>
      </c>
      <c r="AA3391">
        <v>0.91923269999999901</v>
      </c>
      <c r="AB3391">
        <v>25</v>
      </c>
      <c r="AC3391">
        <v>-4.8935999999999904</v>
      </c>
      <c r="AD3391">
        <v>-1.1024818808700001</v>
      </c>
      <c r="AE3391">
        <v>-9.2194000000000091</v>
      </c>
      <c r="AF3391">
        <v>3.9933907157028701</v>
      </c>
      <c r="AG3391">
        <v>-1.1024818808700001</v>
      </c>
      <c r="AH3391">
        <v>9.5187520384186808</v>
      </c>
      <c r="AI3391">
        <v>96.096300498466704</v>
      </c>
      <c r="AJ3391">
        <v>67.240547123328895</v>
      </c>
      <c r="AK3391">
        <v>10.3811982003431</v>
      </c>
    </row>
    <row r="3392" spans="1:37" x14ac:dyDescent="0.2">
      <c r="A3392" t="str">
        <f>"20200111153502840"</f>
        <v>20200111153502840</v>
      </c>
      <c r="B3392" t="str">
        <f>"1578728102829556"</f>
        <v>1578728102829556</v>
      </c>
      <c r="C3392" t="s">
        <v>37</v>
      </c>
      <c r="D3392">
        <v>4.9836859999999996</v>
      </c>
      <c r="E3392">
        <v>0.61634560000000005</v>
      </c>
      <c r="F3392" t="s">
        <v>51</v>
      </c>
      <c r="G3392">
        <v>-196.99109999999999</v>
      </c>
      <c r="H3392" s="1">
        <v>-1.385907E-5</v>
      </c>
      <c r="I3392">
        <v>155.55510000000001</v>
      </c>
      <c r="J3392">
        <v>-192.1138</v>
      </c>
      <c r="K3392">
        <v>1.1024639999999899</v>
      </c>
      <c r="L3392">
        <v>164.67449999999999</v>
      </c>
      <c r="M3392">
        <v>-9.2789689999999994E-2</v>
      </c>
      <c r="N3392">
        <v>0</v>
      </c>
      <c r="O3392">
        <v>-0.99559560000000002</v>
      </c>
      <c r="P3392">
        <v>-0.19094459999999999</v>
      </c>
      <c r="Q3392">
        <v>1.9804680000000002E-2</v>
      </c>
      <c r="R3392">
        <v>-0.98140159999999999</v>
      </c>
      <c r="S3392">
        <v>-1.467819</v>
      </c>
      <c r="T3392">
        <v>-0.33070670000000002</v>
      </c>
      <c r="U3392">
        <v>-2.780716</v>
      </c>
      <c r="V3392">
        <v>9.9244620000000006E-2</v>
      </c>
      <c r="W3392">
        <v>3.255156E-2</v>
      </c>
      <c r="X3392">
        <v>0.99453049999999998</v>
      </c>
      <c r="Y3392">
        <v>0.380106099999999</v>
      </c>
      <c r="Z3392">
        <v>0.106072499999999</v>
      </c>
      <c r="AA3392">
        <v>0.91884059999999901</v>
      </c>
      <c r="AB3392">
        <v>25</v>
      </c>
      <c r="AC3392">
        <v>-4.8772999999999902</v>
      </c>
      <c r="AD3392">
        <v>-1.10247785907</v>
      </c>
      <c r="AE3392">
        <v>-9.1193999999999793</v>
      </c>
      <c r="AF3392">
        <v>3.9649322518984</v>
      </c>
      <c r="AG3392">
        <v>-1.10247785907</v>
      </c>
      <c r="AH3392">
        <v>9.4255360241492596</v>
      </c>
      <c r="AI3392">
        <v>96.153644450265901</v>
      </c>
      <c r="AJ3392">
        <v>67.185527908240999</v>
      </c>
      <c r="AK3392">
        <v>10.2847885021724</v>
      </c>
    </row>
    <row r="3393" spans="1:37" x14ac:dyDescent="0.2">
      <c r="A3393" t="str">
        <f>"20200111153502852"</f>
        <v>20200111153502852</v>
      </c>
      <c r="B3393" t="str">
        <f>"1578728102839316"</f>
        <v>1578728102839316</v>
      </c>
      <c r="C3393" t="s">
        <v>37</v>
      </c>
      <c r="D3393">
        <v>4.9629110000000001</v>
      </c>
      <c r="E3393">
        <v>0.61648729999999996</v>
      </c>
      <c r="F3393" t="s">
        <v>51</v>
      </c>
      <c r="G3393">
        <v>-197.0145</v>
      </c>
      <c r="H3393" s="1">
        <v>-1.382322E-5</v>
      </c>
      <c r="I3393">
        <v>155.46680000000001</v>
      </c>
      <c r="J3393">
        <v>-192.12870000000001</v>
      </c>
      <c r="K3393">
        <v>1.1024659999999999</v>
      </c>
      <c r="L3393">
        <v>164.53890000000001</v>
      </c>
      <c r="M3393">
        <v>-9.4745949999999995E-2</v>
      </c>
      <c r="N3393">
        <v>0</v>
      </c>
      <c r="O3393">
        <v>-0.9954113</v>
      </c>
      <c r="P3393">
        <v>-0.1932304</v>
      </c>
      <c r="Q3393">
        <v>1.9634289999999999E-2</v>
      </c>
      <c r="R3393">
        <v>-0.98095730000000003</v>
      </c>
      <c r="S3393">
        <v>-1.4775240000000001</v>
      </c>
      <c r="T3393">
        <v>-0.33239350000000001</v>
      </c>
      <c r="U3393">
        <v>-2.7760929999999999</v>
      </c>
      <c r="V3393">
        <v>9.9605830000000006E-2</v>
      </c>
      <c r="W3393">
        <v>3.2379039999999998E-2</v>
      </c>
      <c r="X3393">
        <v>0.99450000000000005</v>
      </c>
      <c r="Y3393">
        <v>0.38140099999999999</v>
      </c>
      <c r="Z3393">
        <v>0.10662099999999999</v>
      </c>
      <c r="AA3393">
        <v>0.91824030000000001</v>
      </c>
      <c r="AB3393">
        <v>25</v>
      </c>
      <c r="AC3393">
        <v>-4.8857999999999802</v>
      </c>
      <c r="AD3393">
        <v>-1.1024798232199999</v>
      </c>
      <c r="AE3393">
        <v>-9.0721000000000007</v>
      </c>
      <c r="AF3393">
        <v>3.9588747837607201</v>
      </c>
      <c r="AG3393">
        <v>-1.1024798232199999</v>
      </c>
      <c r="AH3393">
        <v>9.3867748449288708</v>
      </c>
      <c r="AI3393">
        <v>96.176475672400002</v>
      </c>
      <c r="AJ3393">
        <v>67.132402046717303</v>
      </c>
      <c r="AK3393">
        <v>10.246935800691499</v>
      </c>
    </row>
    <row r="3394" spans="1:37" x14ac:dyDescent="0.2">
      <c r="A3394" t="str">
        <f>"20200111153502863"</f>
        <v>20200111153502863</v>
      </c>
      <c r="B3394" t="str">
        <f>"1578728102858836"</f>
        <v>1578728102858836</v>
      </c>
      <c r="C3394" t="s">
        <v>37</v>
      </c>
      <c r="D3394">
        <v>4.959892</v>
      </c>
      <c r="E3394">
        <v>0.61686439999999998</v>
      </c>
      <c r="F3394" t="s">
        <v>51</v>
      </c>
      <c r="G3394">
        <v>-197.04050000000001</v>
      </c>
      <c r="H3394" s="1">
        <v>-1.378416E-5</v>
      </c>
      <c r="I3394">
        <v>155.37029999999999</v>
      </c>
      <c r="J3394">
        <v>-192.143</v>
      </c>
      <c r="K3394">
        <v>1.1024670000000001</v>
      </c>
      <c r="L3394">
        <v>164.41040000000001</v>
      </c>
      <c r="M3394">
        <v>-9.6601709999999993E-2</v>
      </c>
      <c r="N3394">
        <v>0</v>
      </c>
      <c r="O3394">
        <v>-0.99523280000000003</v>
      </c>
      <c r="P3394">
        <v>-0.19537639999999901</v>
      </c>
      <c r="Q3394">
        <v>1.9751169999999998E-2</v>
      </c>
      <c r="R3394">
        <v>-0.9805294</v>
      </c>
      <c r="S3394">
        <v>-1.4851989999999999</v>
      </c>
      <c r="T3394">
        <v>-0.33336500000000002</v>
      </c>
      <c r="U3394">
        <v>-2.772354</v>
      </c>
      <c r="V3394">
        <v>9.9928669999999997E-2</v>
      </c>
      <c r="W3394">
        <v>3.2493420000000002E-2</v>
      </c>
      <c r="X3394">
        <v>0.99446389999999996</v>
      </c>
      <c r="Y3394">
        <v>0.38215389999999999</v>
      </c>
      <c r="Z3394">
        <v>0.106943</v>
      </c>
      <c r="AA3394">
        <v>0.91788979999999998</v>
      </c>
      <c r="AB3394">
        <v>25</v>
      </c>
      <c r="AC3394">
        <v>-4.8975</v>
      </c>
      <c r="AD3394">
        <v>-1.1024807841599999</v>
      </c>
      <c r="AE3394">
        <v>-9.0401000000000202</v>
      </c>
      <c r="AF3394">
        <v>3.9557392697139599</v>
      </c>
      <c r="AG3394">
        <v>-1.1024807841599999</v>
      </c>
      <c r="AH3394">
        <v>9.3633010557180807</v>
      </c>
      <c r="AI3394">
        <v>96.190255288152301</v>
      </c>
      <c r="AJ3394">
        <v>67.097268465490799</v>
      </c>
      <c r="AK3394">
        <v>10.224223379279699</v>
      </c>
    </row>
    <row r="3395" spans="1:37" x14ac:dyDescent="0.2">
      <c r="A3395" t="str">
        <f>"20200111153502876"</f>
        <v>20200111153502876</v>
      </c>
      <c r="B3395" t="str">
        <f>"1578728102869573"</f>
        <v>1578728102869573</v>
      </c>
      <c r="C3395" t="s">
        <v>37</v>
      </c>
      <c r="D3395">
        <v>4.9987309999999896</v>
      </c>
      <c r="E3395">
        <v>0.61704110000000001</v>
      </c>
      <c r="F3395" t="s">
        <v>51</v>
      </c>
      <c r="G3395">
        <v>-197.06099999999901</v>
      </c>
      <c r="H3395" s="1">
        <v>-1.3755110000000001E-5</v>
      </c>
      <c r="I3395">
        <v>155.29839999999999</v>
      </c>
      <c r="J3395">
        <v>-192.1592</v>
      </c>
      <c r="K3395">
        <v>1.1024670000000001</v>
      </c>
      <c r="L3395">
        <v>164.2664</v>
      </c>
      <c r="M3395">
        <v>-9.8686910000000003E-2</v>
      </c>
      <c r="N3395">
        <v>0</v>
      </c>
      <c r="O3395">
        <v>-0.99502819999999903</v>
      </c>
      <c r="P3395">
        <v>-0.19754330000000001</v>
      </c>
      <c r="Q3395">
        <v>1.9866129999999999E-2</v>
      </c>
      <c r="R3395">
        <v>-0.98009310000000005</v>
      </c>
      <c r="S3395">
        <v>-1.494278</v>
      </c>
      <c r="T3395">
        <v>-0.33497650000000001</v>
      </c>
      <c r="U3395">
        <v>-2.7685849999999999</v>
      </c>
      <c r="V3395">
        <v>0.10004399999999999</v>
      </c>
      <c r="W3395">
        <v>3.2606839999999998E-2</v>
      </c>
      <c r="X3395">
        <v>0.99444859999999902</v>
      </c>
      <c r="Y3395">
        <v>0.383048</v>
      </c>
      <c r="Z3395">
        <v>0.107449</v>
      </c>
      <c r="AA3395">
        <v>0.91745789999999905</v>
      </c>
      <c r="AB3395">
        <v>25</v>
      </c>
      <c r="AC3395">
        <v>-4.9017999999999802</v>
      </c>
      <c r="AD3395">
        <v>-1.10248075511</v>
      </c>
      <c r="AE3395">
        <v>-8.9680000000000106</v>
      </c>
      <c r="AF3395">
        <v>3.9468365606012501</v>
      </c>
      <c r="AG3395">
        <v>-1.10248075511</v>
      </c>
      <c r="AH3395">
        <v>9.2997851119455994</v>
      </c>
      <c r="AI3395">
        <v>96.227922754158897</v>
      </c>
      <c r="AJ3395">
        <v>67.003591796420807</v>
      </c>
      <c r="AK3395">
        <v>10.162626913345299</v>
      </c>
    </row>
    <row r="3396" spans="1:37" x14ac:dyDescent="0.2">
      <c r="A3396" t="str">
        <f>"20200111153502888"</f>
        <v>20200111153502888</v>
      </c>
      <c r="B3396" t="str">
        <f>"1578728102879332"</f>
        <v>1578728102879332</v>
      </c>
      <c r="C3396" t="s">
        <v>37</v>
      </c>
      <c r="D3396">
        <v>4.9310299999999998</v>
      </c>
      <c r="E3396">
        <v>0.61722069999999996</v>
      </c>
      <c r="F3396" t="s">
        <v>51</v>
      </c>
      <c r="G3396">
        <v>-197.1087</v>
      </c>
      <c r="H3396" s="1">
        <v>-1.3697459999999999E-5</v>
      </c>
      <c r="I3396">
        <v>155.1541</v>
      </c>
      <c r="J3396">
        <v>-192.17359999999999</v>
      </c>
      <c r="K3396">
        <v>1.1024639999999899</v>
      </c>
      <c r="L3396">
        <v>164.14160000000001</v>
      </c>
      <c r="M3396">
        <v>-0.10050439999999999</v>
      </c>
      <c r="N3396">
        <v>0</v>
      </c>
      <c r="O3396">
        <v>-0.99484649999999997</v>
      </c>
      <c r="P3396">
        <v>-0.19975870000000001</v>
      </c>
      <c r="Q3396">
        <v>2.0248740000000001E-2</v>
      </c>
      <c r="R3396">
        <v>-0.97963630000000002</v>
      </c>
      <c r="S3396">
        <v>-1.501846</v>
      </c>
      <c r="T3396">
        <v>-0.33453379999999999</v>
      </c>
      <c r="U3396">
        <v>-2.764999</v>
      </c>
      <c r="V3396">
        <v>0.10047929999999999</v>
      </c>
      <c r="W3396">
        <v>3.2985260000000002E-2</v>
      </c>
      <c r="X3396">
        <v>0.99439219999999895</v>
      </c>
      <c r="Y3396">
        <v>0.38380799999999998</v>
      </c>
      <c r="Z3396">
        <v>0.1073172</v>
      </c>
      <c r="AA3396">
        <v>0.91715559999999996</v>
      </c>
      <c r="AB3396">
        <v>25</v>
      </c>
      <c r="AC3396">
        <v>-4.9351000000000003</v>
      </c>
      <c r="AD3396">
        <v>-1.1024776974599999</v>
      </c>
      <c r="AE3396">
        <v>-8.9875000000000096</v>
      </c>
      <c r="AF3396">
        <v>3.9609486829450198</v>
      </c>
      <c r="AG3396">
        <v>-1.1024776974599999</v>
      </c>
      <c r="AH3396">
        <v>9.3301584283388497</v>
      </c>
      <c r="AI3396">
        <v>96.207499839643702</v>
      </c>
      <c r="AJ3396">
        <v>66.997234984890198</v>
      </c>
      <c r="AK3396">
        <v>10.195902502487099</v>
      </c>
    </row>
    <row r="3397" spans="1:37" x14ac:dyDescent="0.2">
      <c r="A3397" t="str">
        <f>"20200111153502899"</f>
        <v>20200111153502899</v>
      </c>
      <c r="B3397" t="str">
        <f>"1578728102889093"</f>
        <v>1578728102889093</v>
      </c>
      <c r="C3397" t="s">
        <v>37</v>
      </c>
      <c r="D3397">
        <v>5.007854</v>
      </c>
      <c r="E3397">
        <v>0.61736979999999997</v>
      </c>
      <c r="F3397" t="s">
        <v>51</v>
      </c>
      <c r="G3397">
        <v>-197.1551</v>
      </c>
      <c r="H3397" s="1">
        <v>-1.36479E-5</v>
      </c>
      <c r="I3397">
        <v>155.029</v>
      </c>
      <c r="J3397">
        <v>-192.18870000000001</v>
      </c>
      <c r="K3397">
        <v>1.1024590000000001</v>
      </c>
      <c r="L3397">
        <v>164.01150000000001</v>
      </c>
      <c r="M3397">
        <v>-0.10240290000000001</v>
      </c>
      <c r="N3397">
        <v>0</v>
      </c>
      <c r="O3397">
        <v>-0.99465269999999995</v>
      </c>
      <c r="P3397">
        <v>-0.20187049999999901</v>
      </c>
      <c r="Q3397">
        <v>2.0808989999999999E-2</v>
      </c>
      <c r="R3397">
        <v>-0.97919109999999998</v>
      </c>
      <c r="S3397">
        <v>-1.5095829999999999</v>
      </c>
      <c r="T3397">
        <v>-0.33409139999999998</v>
      </c>
      <c r="U3397">
        <v>-2.7614589999999999</v>
      </c>
      <c r="V3397">
        <v>0.10073070000000001</v>
      </c>
      <c r="W3397">
        <v>3.354236E-2</v>
      </c>
      <c r="X3397">
        <v>0.99434820000000002</v>
      </c>
      <c r="Y3397">
        <v>0.38452809999999998</v>
      </c>
      <c r="Z3397">
        <v>0.1071811</v>
      </c>
      <c r="AA3397">
        <v>0.91686990000000002</v>
      </c>
      <c r="AB3397">
        <v>25</v>
      </c>
      <c r="AC3397">
        <v>-4.9663999999999904</v>
      </c>
      <c r="AD3397">
        <v>-1.1024726479</v>
      </c>
      <c r="AE3397">
        <v>-8.9825000000000106</v>
      </c>
      <c r="AF3397">
        <v>3.9745156065069698</v>
      </c>
      <c r="AG3397">
        <v>-1.1024726479</v>
      </c>
      <c r="AH3397">
        <v>9.3361769219138999</v>
      </c>
      <c r="AI3397">
        <v>96.200887859720694</v>
      </c>
      <c r="AJ3397">
        <v>66.939999533572603</v>
      </c>
      <c r="AK3397">
        <v>10.206685052602101</v>
      </c>
    </row>
    <row r="3398" spans="1:37" x14ac:dyDescent="0.2">
      <c r="A3398" t="str">
        <f>"20200111153502911"</f>
        <v>20200111153502911</v>
      </c>
      <c r="B3398" t="str">
        <f>"1578728102909589"</f>
        <v>1578728102909589</v>
      </c>
      <c r="C3398" t="s">
        <v>37</v>
      </c>
      <c r="D3398">
        <v>5.0209580000000003</v>
      </c>
      <c r="E3398">
        <v>0.61776009999999903</v>
      </c>
      <c r="F3398" t="s">
        <v>51</v>
      </c>
      <c r="G3398">
        <v>-197.2123</v>
      </c>
      <c r="H3398" s="1">
        <v>-1.35882E-5</v>
      </c>
      <c r="I3398">
        <v>154.87799999999999</v>
      </c>
      <c r="J3398">
        <v>-192.20580000000001</v>
      </c>
      <c r="K3398">
        <v>1.10244599999999</v>
      </c>
      <c r="L3398">
        <v>163.86920000000001</v>
      </c>
      <c r="M3398">
        <v>-0.104508899999999</v>
      </c>
      <c r="N3398">
        <v>0</v>
      </c>
      <c r="O3398">
        <v>-0.99443359999999903</v>
      </c>
      <c r="P3398">
        <v>-0.20408889999999999</v>
      </c>
      <c r="Q3398">
        <v>2.119938E-2</v>
      </c>
      <c r="R3398">
        <v>-0.97872300000000001</v>
      </c>
      <c r="S3398">
        <v>-1.5169680000000001</v>
      </c>
      <c r="T3398">
        <v>-0.3329165</v>
      </c>
      <c r="U3398">
        <v>-2.7580719999999999</v>
      </c>
      <c r="V3398">
        <v>0.1008829</v>
      </c>
      <c r="W3398">
        <v>3.3927909999999999E-2</v>
      </c>
      <c r="X3398">
        <v>0.99431959999999997</v>
      </c>
      <c r="Y3398">
        <v>0.38495550000000001</v>
      </c>
      <c r="Z3398">
        <v>0.106812899999999</v>
      </c>
      <c r="AA3398">
        <v>0.91673349999999898</v>
      </c>
      <c r="AB3398">
        <v>25</v>
      </c>
      <c r="AC3398">
        <v>-5.0064999999999804</v>
      </c>
      <c r="AD3398">
        <v>-1.1024595881999999</v>
      </c>
      <c r="AE3398">
        <v>-8.9912000000000099</v>
      </c>
      <c r="AF3398">
        <v>3.99350371605829</v>
      </c>
      <c r="AG3398">
        <v>-1.1024595881999999</v>
      </c>
      <c r="AH3398">
        <v>9.3578324250562304</v>
      </c>
      <c r="AI3398">
        <v>96.184265611147595</v>
      </c>
      <c r="AJ3398">
        <v>66.889381560140393</v>
      </c>
      <c r="AK3398">
        <v>10.2338905978723</v>
      </c>
    </row>
    <row r="3399" spans="1:37" x14ac:dyDescent="0.2">
      <c r="A3399" t="str">
        <f>"20200111153502925"</f>
        <v>20200111153502925</v>
      </c>
      <c r="B3399" t="str">
        <f>"1578728102919348"</f>
        <v>1578728102919348</v>
      </c>
      <c r="C3399" t="s">
        <v>37</v>
      </c>
      <c r="D3399">
        <v>4.968934</v>
      </c>
      <c r="E3399">
        <v>0.61792740000000002</v>
      </c>
      <c r="F3399" t="s">
        <v>51</v>
      </c>
      <c r="G3399">
        <v>-197.27350000000001</v>
      </c>
      <c r="H3399" s="1">
        <v>-1.35286E-5</v>
      </c>
      <c r="I3399">
        <v>154.72640000000001</v>
      </c>
      <c r="J3399">
        <v>-192.22319999999999</v>
      </c>
      <c r="K3399">
        <v>1.10243</v>
      </c>
      <c r="L3399">
        <v>163.7259</v>
      </c>
      <c r="M3399">
        <v>-0.1066453</v>
      </c>
      <c r="N3399">
        <v>0</v>
      </c>
      <c r="O3399">
        <v>-0.99420679999999995</v>
      </c>
      <c r="P3399">
        <v>-0.206121</v>
      </c>
      <c r="Q3399">
        <v>2.184612E-2</v>
      </c>
      <c r="R3399">
        <v>-0.978282599999999</v>
      </c>
      <c r="S3399">
        <v>-1.526535</v>
      </c>
      <c r="T3399">
        <v>-0.33209240000000001</v>
      </c>
      <c r="U3399">
        <v>-2.7540589999999998</v>
      </c>
      <c r="V3399">
        <v>0.10081849999999901</v>
      </c>
      <c r="W3399">
        <v>3.4570789999999997E-2</v>
      </c>
      <c r="X3399">
        <v>0.99430399999999997</v>
      </c>
      <c r="Y3399">
        <v>0.38599240000000001</v>
      </c>
      <c r="Z3399">
        <v>0.1065421</v>
      </c>
      <c r="AA3399">
        <v>0.9163289</v>
      </c>
      <c r="AB3399">
        <v>25</v>
      </c>
      <c r="AC3399">
        <v>-5.0503000000000204</v>
      </c>
      <c r="AD3399">
        <v>-1.1024435286000001</v>
      </c>
      <c r="AE3399">
        <v>-8.9994999999999798</v>
      </c>
      <c r="AF3399">
        <v>4.0158228119161103</v>
      </c>
      <c r="AG3399">
        <v>-1.1024435286000001</v>
      </c>
      <c r="AH3399">
        <v>9.3797612463680498</v>
      </c>
      <c r="AI3399">
        <v>96.166773278263406</v>
      </c>
      <c r="AJ3399">
        <v>66.822441481286901</v>
      </c>
      <c r="AK3399">
        <v>10.262657337616099</v>
      </c>
    </row>
    <row r="3400" spans="1:37" x14ac:dyDescent="0.2">
      <c r="A3400" t="str">
        <f>"20200111153502940"</f>
        <v>20200111153502940</v>
      </c>
      <c r="B3400" t="str">
        <f>"1578728102929109"</f>
        <v>1578728102929109</v>
      </c>
      <c r="C3400" t="s">
        <v>37</v>
      </c>
      <c r="D3400">
        <v>4.9910350000000001</v>
      </c>
      <c r="E3400">
        <v>0.61807880000000004</v>
      </c>
      <c r="F3400" t="s">
        <v>51</v>
      </c>
      <c r="G3400">
        <v>-197.35290000000001</v>
      </c>
      <c r="H3400" s="1">
        <v>-1.3466119999999999E-5</v>
      </c>
      <c r="I3400">
        <v>154.52780000000001</v>
      </c>
      <c r="J3400">
        <v>-192.2441</v>
      </c>
      <c r="K3400">
        <v>1.1024069999999999</v>
      </c>
      <c r="L3400">
        <v>163.55690000000001</v>
      </c>
      <c r="M3400">
        <v>-0.109194899999999</v>
      </c>
      <c r="N3400">
        <v>0</v>
      </c>
      <c r="O3400">
        <v>-0.99392999999999998</v>
      </c>
      <c r="P3400">
        <v>-0.20864169999999899</v>
      </c>
      <c r="Q3400">
        <v>2.275816E-2</v>
      </c>
      <c r="R3400">
        <v>-0.97772749999999997</v>
      </c>
      <c r="S3400">
        <v>-1.5340579999999999</v>
      </c>
      <c r="T3400">
        <v>-0.3296888</v>
      </c>
      <c r="U3400">
        <v>-2.7507320000000002</v>
      </c>
      <c r="V3400">
        <v>0.1008411</v>
      </c>
      <c r="W3400">
        <v>3.5476689999999998E-2</v>
      </c>
      <c r="X3400">
        <v>0.99426979999999998</v>
      </c>
      <c r="Y3400">
        <v>0.38605209999999901</v>
      </c>
      <c r="Z3400">
        <v>0.1057796</v>
      </c>
      <c r="AA3400">
        <v>0.91639210000000004</v>
      </c>
      <c r="AB3400">
        <v>25</v>
      </c>
      <c r="AC3400">
        <v>-5.1087999999999996</v>
      </c>
      <c r="AD3400">
        <v>-1.1024204661200001</v>
      </c>
      <c r="AE3400">
        <v>-9.0290999999999997</v>
      </c>
      <c r="AF3400">
        <v>4.0465307212502397</v>
      </c>
      <c r="AG3400">
        <v>-1.1024204661200001</v>
      </c>
      <c r="AH3400">
        <v>9.4265567456475701</v>
      </c>
      <c r="AI3400">
        <v>96.133770438166493</v>
      </c>
      <c r="AJ3400">
        <v>66.767641082460898</v>
      </c>
      <c r="AK3400">
        <v>10.3174470602497</v>
      </c>
    </row>
    <row r="3401" spans="1:37" x14ac:dyDescent="0.2">
      <c r="A3401" t="str">
        <f>"20200111153502952"</f>
        <v>20200111153502952</v>
      </c>
      <c r="B3401" t="str">
        <f>"1578728102949604"</f>
        <v>1578728102949604</v>
      </c>
      <c r="C3401" t="s">
        <v>37</v>
      </c>
      <c r="D3401">
        <v>5.003959</v>
      </c>
      <c r="E3401">
        <v>0.61840779999999995</v>
      </c>
      <c r="F3401" t="s">
        <v>51</v>
      </c>
      <c r="G3401">
        <v>-197.4659</v>
      </c>
      <c r="H3401" s="1">
        <v>-1.3408820000000001E-5</v>
      </c>
      <c r="I3401">
        <v>154.2602</v>
      </c>
      <c r="J3401">
        <v>-192.26079999999999</v>
      </c>
      <c r="K3401">
        <v>1.102373</v>
      </c>
      <c r="L3401">
        <v>163.42509999999999</v>
      </c>
      <c r="M3401">
        <v>-0.11122369999999999</v>
      </c>
      <c r="N3401">
        <v>0</v>
      </c>
      <c r="O3401">
        <v>-0.9937049</v>
      </c>
      <c r="P3401">
        <v>-0.2106469</v>
      </c>
      <c r="Q3401">
        <v>2.3317259999999999E-2</v>
      </c>
      <c r="R3401">
        <v>-0.97728429999999999</v>
      </c>
      <c r="S3401">
        <v>-1.542786</v>
      </c>
      <c r="T3401">
        <v>-0.32571230000000001</v>
      </c>
      <c r="U3401">
        <v>-2.7467189999999899</v>
      </c>
      <c r="V3401">
        <v>0.10085860000000001</v>
      </c>
      <c r="W3401">
        <v>3.6028520000000001E-2</v>
      </c>
      <c r="X3401">
        <v>0.99424820000000003</v>
      </c>
      <c r="Y3401">
        <v>0.38702209999999998</v>
      </c>
      <c r="Z3401">
        <v>0.1045174</v>
      </c>
      <c r="AA3401">
        <v>0.91612769999999999</v>
      </c>
      <c r="AB3401">
        <v>25</v>
      </c>
      <c r="AC3401">
        <v>-5.2051000000000096</v>
      </c>
      <c r="AD3401">
        <v>-1.1023864088199999</v>
      </c>
      <c r="AE3401">
        <v>-9.1648999999999798</v>
      </c>
      <c r="AF3401">
        <v>4.10840874435634</v>
      </c>
      <c r="AG3401">
        <v>-1.1023864088199999</v>
      </c>
      <c r="AH3401">
        <v>9.5821831086674401</v>
      </c>
      <c r="AI3401">
        <v>96.035822825328296</v>
      </c>
      <c r="AJ3401">
        <v>66.792525172744504</v>
      </c>
      <c r="AK3401">
        <v>10.483916793502599</v>
      </c>
    </row>
    <row r="3402" spans="1:37" x14ac:dyDescent="0.2">
      <c r="A3402" t="str">
        <f>"20200111153502964"</f>
        <v>20200111153502964</v>
      </c>
      <c r="B3402" t="str">
        <f>"1578728102959364"</f>
        <v>1578728102959364</v>
      </c>
      <c r="C3402" t="s">
        <v>37</v>
      </c>
      <c r="D3402">
        <v>5.0008980000000003</v>
      </c>
      <c r="E3402">
        <v>0.61856580000000005</v>
      </c>
      <c r="F3402" t="s">
        <v>51</v>
      </c>
      <c r="G3402">
        <v>-197.5515</v>
      </c>
      <c r="H3402" s="1">
        <v>-1.3368620000000001E-5</v>
      </c>
      <c r="I3402">
        <v>154.0703</v>
      </c>
      <c r="J3402">
        <v>-192.2766</v>
      </c>
      <c r="K3402">
        <v>1.102341</v>
      </c>
      <c r="L3402">
        <v>163.30179999999999</v>
      </c>
      <c r="M3402">
        <v>-0.11314299999999999</v>
      </c>
      <c r="N3402">
        <v>0</v>
      </c>
      <c r="O3402">
        <v>-0.99348840000000005</v>
      </c>
      <c r="P3402">
        <v>-0.21275549999999999</v>
      </c>
      <c r="Q3402">
        <v>2.3398189999999999E-2</v>
      </c>
      <c r="R3402">
        <v>-0.97682569999999902</v>
      </c>
      <c r="S3402">
        <v>-1.551361</v>
      </c>
      <c r="T3402">
        <v>-0.32324759999999902</v>
      </c>
      <c r="U3402">
        <v>-2.7430729999999999</v>
      </c>
      <c r="V3402">
        <v>0.10108739999999999</v>
      </c>
      <c r="W3402">
        <v>3.6101420000000002E-2</v>
      </c>
      <c r="X3402">
        <v>0.9942223</v>
      </c>
      <c r="Y3402">
        <v>0.3879765</v>
      </c>
      <c r="Z3402">
        <v>0.1037247</v>
      </c>
      <c r="AA3402">
        <v>0.91581409999999996</v>
      </c>
      <c r="AB3402">
        <v>25</v>
      </c>
      <c r="AC3402">
        <v>-5.2748999999999997</v>
      </c>
      <c r="AD3402">
        <v>-1.1023543686199999</v>
      </c>
      <c r="AE3402">
        <v>-9.2314999999999792</v>
      </c>
      <c r="AF3402">
        <v>4.1518187198240097</v>
      </c>
      <c r="AG3402">
        <v>-1.1023543686199999</v>
      </c>
      <c r="AH3402">
        <v>9.6651863482146094</v>
      </c>
      <c r="AI3402">
        <v>95.982450992466099</v>
      </c>
      <c r="AJ3402">
        <v>66.753368214581101</v>
      </c>
      <c r="AK3402">
        <v>10.576795875027999</v>
      </c>
    </row>
    <row r="3403" spans="1:37" x14ac:dyDescent="0.2">
      <c r="A3403" t="str">
        <f>"20200111153502975"</f>
        <v>20200111153502975</v>
      </c>
      <c r="B3403" t="str">
        <f>"1578728102969124"</f>
        <v>1578728102969124</v>
      </c>
      <c r="C3403" t="s">
        <v>37</v>
      </c>
      <c r="D3403">
        <v>4.9461379999999897</v>
      </c>
      <c r="E3403">
        <v>0.61856580000000005</v>
      </c>
      <c r="F3403" t="s">
        <v>51</v>
      </c>
      <c r="G3403">
        <v>-197.61179999999999</v>
      </c>
      <c r="H3403" s="1">
        <v>-1.333769E-5</v>
      </c>
      <c r="I3403">
        <v>153.92599999999999</v>
      </c>
      <c r="J3403">
        <v>-192.29480000000001</v>
      </c>
      <c r="K3403">
        <v>1.1023019999999999</v>
      </c>
      <c r="L3403">
        <v>163.1635</v>
      </c>
      <c r="M3403">
        <v>-0.1153293</v>
      </c>
      <c r="N3403">
        <v>0</v>
      </c>
      <c r="O3403">
        <v>-0.99323680000000003</v>
      </c>
      <c r="P3403">
        <v>-0.2151856</v>
      </c>
      <c r="Q3403">
        <v>2.347057E-2</v>
      </c>
      <c r="R3403">
        <v>-0.97629140000000003</v>
      </c>
      <c r="S3403">
        <v>-1.5588229999999901</v>
      </c>
      <c r="T3403">
        <v>-0.32208300000000001</v>
      </c>
      <c r="U3403">
        <v>-2.739395</v>
      </c>
      <c r="V3403">
        <v>0.1013776</v>
      </c>
      <c r="W3403">
        <v>3.616337E-2</v>
      </c>
      <c r="X3403">
        <v>0.99419049999999998</v>
      </c>
      <c r="Y3403">
        <v>0.38838200000000001</v>
      </c>
      <c r="Z3403">
        <v>0.1033615</v>
      </c>
      <c r="AA3403">
        <v>0.91568329999999998</v>
      </c>
      <c r="AB3403">
        <v>25</v>
      </c>
      <c r="AC3403">
        <v>-5.31699999999997</v>
      </c>
      <c r="AD3403">
        <v>-1.1023153376899999</v>
      </c>
      <c r="AE3403">
        <v>-9.2374999999999794</v>
      </c>
      <c r="AF3403">
        <v>4.1714464456821503</v>
      </c>
      <c r="AG3403">
        <v>-1.1023153376899999</v>
      </c>
      <c r="AH3403">
        <v>9.6855135844980804</v>
      </c>
      <c r="AI3403">
        <v>95.967356822098495</v>
      </c>
      <c r="AJ3403">
        <v>66.698975557302703</v>
      </c>
      <c r="AK3403">
        <v>10.6030768151701</v>
      </c>
    </row>
    <row r="3404" spans="1:37" x14ac:dyDescent="0.2">
      <c r="A3404" t="str">
        <f>"20200111153502988"</f>
        <v>20200111153502988</v>
      </c>
      <c r="B3404" t="str">
        <f>"1578728102978885"</f>
        <v>1578728102978885</v>
      </c>
      <c r="C3404" t="s">
        <v>37</v>
      </c>
      <c r="D3404">
        <v>5.0048599999999999</v>
      </c>
      <c r="E3404">
        <v>0.62497749999999996</v>
      </c>
      <c r="F3404" t="s">
        <v>51</v>
      </c>
      <c r="G3404">
        <v>-197.66929999999999</v>
      </c>
      <c r="H3404" s="1">
        <v>-1.3304589999999901E-5</v>
      </c>
      <c r="I3404">
        <v>153.77420000000001</v>
      </c>
      <c r="J3404">
        <v>-192.3125</v>
      </c>
      <c r="K3404">
        <v>1.1022529999999999</v>
      </c>
      <c r="L3404">
        <v>163.0309</v>
      </c>
      <c r="M3404">
        <v>-0.11748309999999999</v>
      </c>
      <c r="N3404">
        <v>0</v>
      </c>
      <c r="O3404">
        <v>-0.99298439999999999</v>
      </c>
      <c r="P3404">
        <v>-0.21769479999999999</v>
      </c>
      <c r="Q3404">
        <v>2.343083E-2</v>
      </c>
      <c r="R3404">
        <v>-0.97573559999999904</v>
      </c>
      <c r="S3404">
        <v>-1.5658259999999999</v>
      </c>
      <c r="T3404">
        <v>-0.32114879999999901</v>
      </c>
      <c r="U3404">
        <v>-2.735474</v>
      </c>
      <c r="V3404">
        <v>0.10178139999999999</v>
      </c>
      <c r="W3404">
        <v>3.6110959999999998E-2</v>
      </c>
      <c r="X3404">
        <v>0.99415119999999901</v>
      </c>
      <c r="Y3404">
        <v>0.38873200000000002</v>
      </c>
      <c r="Z3404">
        <v>0.1030837</v>
      </c>
      <c r="AA3404">
        <v>0.91556610000000005</v>
      </c>
      <c r="AB3404">
        <v>25</v>
      </c>
      <c r="AC3404">
        <v>-5.35679999999999</v>
      </c>
      <c r="AD3404">
        <v>-1.1022663045900001</v>
      </c>
      <c r="AE3404">
        <v>-9.2566999999999897</v>
      </c>
      <c r="AF3404">
        <v>4.1876114817656402</v>
      </c>
      <c r="AG3404">
        <v>-1.1022663045900001</v>
      </c>
      <c r="AH3404">
        <v>9.7187399288911305</v>
      </c>
      <c r="AI3404">
        <v>95.946430075757704</v>
      </c>
      <c r="AJ3404">
        <v>66.689752343904203</v>
      </c>
      <c r="AK3404">
        <v>10.6397832089696</v>
      </c>
    </row>
    <row r="3405" spans="1:37" x14ac:dyDescent="0.2">
      <c r="A3405" t="str">
        <f>"20200111153503000"</f>
        <v>20200111153503000</v>
      </c>
      <c r="B3405" t="str">
        <f>"1578728102989621"</f>
        <v>1578728102989621</v>
      </c>
      <c r="C3405" t="s">
        <v>37</v>
      </c>
      <c r="D3405">
        <v>4.958888</v>
      </c>
      <c r="E3405">
        <v>0.62507500000000005</v>
      </c>
      <c r="F3405" t="s">
        <v>51</v>
      </c>
      <c r="G3405">
        <v>-197.2653</v>
      </c>
      <c r="H3405" s="1">
        <v>-1.3528229999999901E-5</v>
      </c>
      <c r="I3405">
        <v>154.72730000000001</v>
      </c>
      <c r="J3405">
        <v>-192.3312</v>
      </c>
      <c r="K3405">
        <v>1.1021909999999999</v>
      </c>
      <c r="L3405">
        <v>162.89349999999999</v>
      </c>
      <c r="M3405">
        <v>-0.11974559999999999</v>
      </c>
      <c r="N3405">
        <v>0</v>
      </c>
      <c r="O3405">
        <v>-0.99271419999999999</v>
      </c>
      <c r="P3405">
        <v>-0.2205279</v>
      </c>
      <c r="Q3405">
        <v>2.3288960000000001E-2</v>
      </c>
      <c r="R3405">
        <v>-0.97510300000000005</v>
      </c>
      <c r="S3405">
        <v>-1.623062</v>
      </c>
      <c r="T3405">
        <v>-0.36122070000000001</v>
      </c>
      <c r="U3405">
        <v>-2.7211609999999999</v>
      </c>
      <c r="V3405">
        <v>0.1024069</v>
      </c>
      <c r="W3405">
        <v>3.595276E-2</v>
      </c>
      <c r="X3405">
        <v>0.99409259999999999</v>
      </c>
      <c r="Y3405">
        <v>0.40231050000000002</v>
      </c>
      <c r="Z3405">
        <v>0.11532249999999999</v>
      </c>
      <c r="AA3405">
        <v>0.90821090000000004</v>
      </c>
      <c r="AB3405">
        <v>25</v>
      </c>
      <c r="AC3405">
        <v>-4.9340999999999999</v>
      </c>
      <c r="AD3405">
        <v>-1.1022045282299999</v>
      </c>
      <c r="AE3405">
        <v>-8.1661999999999697</v>
      </c>
      <c r="AF3405">
        <v>3.8690033752836901</v>
      </c>
      <c r="AG3405">
        <v>-1.1022045282299999</v>
      </c>
      <c r="AH3405">
        <v>8.5837669575570104</v>
      </c>
      <c r="AI3405">
        <v>96.676866589177195</v>
      </c>
      <c r="AJ3405">
        <v>65.737248184339705</v>
      </c>
      <c r="AK3405">
        <v>9.4797203081976509</v>
      </c>
    </row>
    <row r="3406" spans="1:37" x14ac:dyDescent="0.2">
      <c r="A3406" t="str">
        <f>"20200111153503013"</f>
        <v>20200111153503013</v>
      </c>
      <c r="B3406" t="str">
        <f>"1578728103009140"</f>
        <v>1578728103009140</v>
      </c>
      <c r="C3406" t="s">
        <v>37</v>
      </c>
      <c r="D3406">
        <v>4.949516</v>
      </c>
      <c r="E3406">
        <v>0.62549730000000003</v>
      </c>
      <c r="F3406" t="s">
        <v>51</v>
      </c>
      <c r="G3406">
        <v>-197.37200000000001</v>
      </c>
      <c r="H3406" s="1">
        <v>-1.346162E-5</v>
      </c>
      <c r="I3406">
        <v>154.50309999999999</v>
      </c>
      <c r="J3406">
        <v>-192.35059999999999</v>
      </c>
      <c r="K3406">
        <v>1.102125</v>
      </c>
      <c r="L3406">
        <v>162.7543</v>
      </c>
      <c r="M3406">
        <v>-0.122122299999999</v>
      </c>
      <c r="N3406">
        <v>0</v>
      </c>
      <c r="O3406">
        <v>-0.99242450000000004</v>
      </c>
      <c r="P3406">
        <v>-0.22350249999999999</v>
      </c>
      <c r="Q3406">
        <v>2.28235E-2</v>
      </c>
      <c r="R3406">
        <v>-0.97443619999999898</v>
      </c>
      <c r="S3406">
        <v>-1.631775</v>
      </c>
      <c r="T3406">
        <v>-0.3567997</v>
      </c>
      <c r="U3406">
        <v>-2.7160799999999998</v>
      </c>
      <c r="V3406">
        <v>0.1030618</v>
      </c>
      <c r="W3406">
        <v>3.5469550000000002E-2</v>
      </c>
      <c r="X3406">
        <v>0.99404230000000005</v>
      </c>
      <c r="Y3406">
        <v>0.40309349999999999</v>
      </c>
      <c r="Z3406">
        <v>0.113954399999999</v>
      </c>
      <c r="AA3406">
        <v>0.90803639999999997</v>
      </c>
      <c r="AB3406">
        <v>25</v>
      </c>
      <c r="AC3406">
        <v>-5.0214000000000203</v>
      </c>
      <c r="AD3406">
        <v>-1.1021384616200001</v>
      </c>
      <c r="AE3406">
        <v>-8.2512000000000096</v>
      </c>
      <c r="AF3406">
        <v>3.9249598758362101</v>
      </c>
      <c r="AG3406">
        <v>-1.1021384616200001</v>
      </c>
      <c r="AH3406">
        <v>8.6895722859164497</v>
      </c>
      <c r="AI3406">
        <v>96.593565984785101</v>
      </c>
      <c r="AJ3406">
        <v>65.691962713585099</v>
      </c>
      <c r="AK3406">
        <v>9.5983689097509401</v>
      </c>
    </row>
    <row r="3407" spans="1:37" x14ac:dyDescent="0.2">
      <c r="A3407" t="str">
        <f>"20200111153503025"</f>
        <v>20200111153503025</v>
      </c>
      <c r="B3407" t="str">
        <f>"1578728103018901"</f>
        <v>1578728103018901</v>
      </c>
      <c r="C3407" t="s">
        <v>37</v>
      </c>
      <c r="D3407">
        <v>4.9876620000000003</v>
      </c>
      <c r="E3407">
        <v>0.62544829999999996</v>
      </c>
      <c r="F3407" t="s">
        <v>51</v>
      </c>
      <c r="G3407">
        <v>-197.3921</v>
      </c>
      <c r="H3407" s="1">
        <v>-1.3448149999999999E-5</v>
      </c>
      <c r="I3407">
        <v>154.4425</v>
      </c>
      <c r="J3407">
        <v>-192.36969999999999</v>
      </c>
      <c r="K3407">
        <v>1.1020540000000001</v>
      </c>
      <c r="L3407">
        <v>162.62010000000001</v>
      </c>
      <c r="M3407">
        <v>-0.1244656</v>
      </c>
      <c r="N3407">
        <v>0</v>
      </c>
      <c r="O3407">
        <v>-0.99213309999999999</v>
      </c>
      <c r="P3407">
        <v>-0.226592299999999</v>
      </c>
      <c r="Q3407">
        <v>2.2639880000000001E-2</v>
      </c>
      <c r="R3407">
        <v>-0.9737266</v>
      </c>
      <c r="S3407">
        <v>-1.643799</v>
      </c>
      <c r="T3407">
        <v>-0.35935869999999998</v>
      </c>
      <c r="U3407">
        <v>-2.7100979999999999</v>
      </c>
      <c r="V3407">
        <v>0.1038718</v>
      </c>
      <c r="W3407">
        <v>3.5266539999999999E-2</v>
      </c>
      <c r="X3407">
        <v>0.99396530000000005</v>
      </c>
      <c r="Y3407">
        <v>0.40472229999999998</v>
      </c>
      <c r="Z3407">
        <v>0.11475879999999999</v>
      </c>
      <c r="AA3407">
        <v>0.90721019999999897</v>
      </c>
      <c r="AB3407">
        <v>25</v>
      </c>
      <c r="AC3407">
        <v>-5.0224000000000002</v>
      </c>
      <c r="AD3407">
        <v>-1.1020674481499999</v>
      </c>
      <c r="AE3407">
        <v>-8.1776000000000106</v>
      </c>
      <c r="AF3407">
        <v>3.9138028314740798</v>
      </c>
      <c r="AG3407">
        <v>-1.1020674481499999</v>
      </c>
      <c r="AH3407">
        <v>8.6254220607613394</v>
      </c>
      <c r="AI3407">
        <v>96.636636760272097</v>
      </c>
      <c r="AJ3407">
        <v>65.593731790251198</v>
      </c>
      <c r="AK3407">
        <v>9.5357386179674002</v>
      </c>
    </row>
    <row r="3408" spans="1:37" x14ac:dyDescent="0.2">
      <c r="A3408" t="str">
        <f>"20200111153503041"</f>
        <v>20200111153503041</v>
      </c>
      <c r="B3408" t="str">
        <f>"1578728103029637"</f>
        <v>1578728103029637</v>
      </c>
      <c r="C3408" t="s">
        <v>37</v>
      </c>
      <c r="D3408">
        <v>4.9811389999999998</v>
      </c>
      <c r="E3408">
        <v>0.62541369999999996</v>
      </c>
      <c r="F3408" t="s">
        <v>51</v>
      </c>
      <c r="G3408">
        <v>-197.40559999999999</v>
      </c>
      <c r="H3408" s="1">
        <v>-1.3432449999999901E-5</v>
      </c>
      <c r="I3408">
        <v>154.37530000000001</v>
      </c>
      <c r="J3408">
        <v>-192.39400000000001</v>
      </c>
      <c r="K3408">
        <v>1.1019589999999999</v>
      </c>
      <c r="L3408">
        <v>162.4522</v>
      </c>
      <c r="M3408">
        <v>-0.12747030000000001</v>
      </c>
      <c r="N3408">
        <v>0</v>
      </c>
      <c r="O3408">
        <v>-0.99175159999999996</v>
      </c>
      <c r="P3408">
        <v>-0.2316513</v>
      </c>
      <c r="Q3408">
        <v>2.1933560000000001E-2</v>
      </c>
      <c r="R3408">
        <v>-0.97255170000000002</v>
      </c>
      <c r="S3408">
        <v>-1.6521759999999901</v>
      </c>
      <c r="T3408">
        <v>-0.361562099999999</v>
      </c>
      <c r="U3408">
        <v>-2.7049099999999999</v>
      </c>
      <c r="V3408">
        <v>0.1060296</v>
      </c>
      <c r="W3408">
        <v>3.4524079999999999E-2</v>
      </c>
      <c r="X3408">
        <v>0.99376339999999996</v>
      </c>
      <c r="Y3408">
        <v>0.4047328</v>
      </c>
      <c r="Z3408">
        <v>0.1154858</v>
      </c>
      <c r="AA3408">
        <v>0.90711330000000001</v>
      </c>
      <c r="AB3408">
        <v>25</v>
      </c>
      <c r="AC3408">
        <v>-5.0115999999999801</v>
      </c>
      <c r="AD3408">
        <v>-1.10197243245</v>
      </c>
      <c r="AE3408">
        <v>-8.0768999999999895</v>
      </c>
      <c r="AF3408">
        <v>3.8887867667051199</v>
      </c>
      <c r="AG3408">
        <v>-1.10197243245</v>
      </c>
      <c r="AH3408">
        <v>8.5351742124609995</v>
      </c>
      <c r="AI3408">
        <v>96.700929128286404</v>
      </c>
      <c r="AJ3408">
        <v>65.5050929828503</v>
      </c>
      <c r="AK3408">
        <v>9.4438447994363006</v>
      </c>
    </row>
    <row r="3409" spans="1:37" x14ac:dyDescent="0.2">
      <c r="A3409" t="str">
        <f>"20200111153503053"</f>
        <v>20200111153503053</v>
      </c>
      <c r="B3409" t="str">
        <f>"1578728103049156"</f>
        <v>1578728103049156</v>
      </c>
      <c r="C3409" t="s">
        <v>37</v>
      </c>
      <c r="D3409">
        <v>4.9188519999999896</v>
      </c>
      <c r="E3409">
        <v>0.62584689999999998</v>
      </c>
      <c r="F3409" t="s">
        <v>51</v>
      </c>
      <c r="G3409">
        <v>-197.4315</v>
      </c>
      <c r="H3409" s="1">
        <v>-1.3416060000000001E-5</v>
      </c>
      <c r="I3409">
        <v>154.30109999999999</v>
      </c>
      <c r="J3409">
        <v>-192.41489999999999</v>
      </c>
      <c r="K3409">
        <v>1.1018729999999901</v>
      </c>
      <c r="L3409">
        <v>162.31190000000001</v>
      </c>
      <c r="M3409">
        <v>-0.1300819</v>
      </c>
      <c r="N3409">
        <v>0</v>
      </c>
      <c r="O3409">
        <v>-0.99141209999999902</v>
      </c>
      <c r="P3409">
        <v>-0.23517260000000001</v>
      </c>
      <c r="Q3409">
        <v>2.1800340000000001E-2</v>
      </c>
      <c r="R3409">
        <v>-0.97170909999999999</v>
      </c>
      <c r="S3409">
        <v>-1.666183</v>
      </c>
      <c r="T3409">
        <v>-0.36447940000000001</v>
      </c>
      <c r="U3409">
        <v>-2.695999</v>
      </c>
      <c r="V3409">
        <v>0.107018</v>
      </c>
      <c r="W3409">
        <v>3.4366340000000002E-2</v>
      </c>
      <c r="X3409">
        <v>0.99366299999999996</v>
      </c>
      <c r="Y3409">
        <v>0.4070184</v>
      </c>
      <c r="Z3409">
        <v>0.1164596</v>
      </c>
      <c r="AA3409">
        <v>0.90596529999999997</v>
      </c>
      <c r="AB3409">
        <v>25</v>
      </c>
      <c r="AC3409">
        <v>-5.0166000000000102</v>
      </c>
      <c r="AD3409">
        <v>-1.1018864160599999</v>
      </c>
      <c r="AE3409">
        <v>-8.0108000000000104</v>
      </c>
      <c r="AF3409">
        <v>3.8790948274082901</v>
      </c>
      <c r="AG3409">
        <v>-1.1018864160599999</v>
      </c>
      <c r="AH3409">
        <v>8.4801019209843496</v>
      </c>
      <c r="AI3409">
        <v>96.738943399718806</v>
      </c>
      <c r="AJ3409">
        <v>65.418988341903301</v>
      </c>
      <c r="AK3409">
        <v>9.3900830105066593</v>
      </c>
    </row>
    <row r="3410" spans="1:37" x14ac:dyDescent="0.2">
      <c r="A3410" t="str">
        <f>"20200111153503065"</f>
        <v>20200111153503065</v>
      </c>
      <c r="B3410" t="str">
        <f>"1578728103058917"</f>
        <v>1578728103058917</v>
      </c>
      <c r="C3410" t="s">
        <v>37</v>
      </c>
      <c r="D3410">
        <v>4.9865959999999996</v>
      </c>
      <c r="E3410">
        <v>0.626085</v>
      </c>
      <c r="F3410" t="s">
        <v>51</v>
      </c>
      <c r="G3410">
        <v>-197.49719999999999</v>
      </c>
      <c r="H3410" s="1">
        <v>-1.3390460000000001E-5</v>
      </c>
      <c r="I3410">
        <v>154.17619999999999</v>
      </c>
      <c r="J3410">
        <v>-192.43289999999999</v>
      </c>
      <c r="K3410">
        <v>1.101804</v>
      </c>
      <c r="L3410">
        <v>162.19309999999999</v>
      </c>
      <c r="M3410">
        <v>-0.13234219999999999</v>
      </c>
      <c r="N3410">
        <v>0</v>
      </c>
      <c r="O3410">
        <v>-0.99111309999999997</v>
      </c>
      <c r="P3410">
        <v>-0.2385224</v>
      </c>
      <c r="Q3410">
        <v>2.163145E-2</v>
      </c>
      <c r="R3410">
        <v>-0.9708968</v>
      </c>
      <c r="S3410">
        <v>-1.6797789999999999</v>
      </c>
      <c r="T3410">
        <v>-0.36419170000000001</v>
      </c>
      <c r="U3410">
        <v>-2.6889799999999999</v>
      </c>
      <c r="V3410">
        <v>0.10818369999999999</v>
      </c>
      <c r="W3410">
        <v>3.4172859999999999E-2</v>
      </c>
      <c r="X3410">
        <v>0.99354339999999997</v>
      </c>
      <c r="Y3410">
        <v>0.40930299999999997</v>
      </c>
      <c r="Z3410">
        <v>0.11636589999999999</v>
      </c>
      <c r="AA3410">
        <v>0.90494750000000002</v>
      </c>
      <c r="AB3410">
        <v>25</v>
      </c>
      <c r="AC3410">
        <v>-5.0643000000000002</v>
      </c>
      <c r="AD3410">
        <v>-1.1018173904599999</v>
      </c>
      <c r="AE3410">
        <v>-8.0168999999999908</v>
      </c>
      <c r="AF3410">
        <v>3.90594187224564</v>
      </c>
      <c r="AG3410">
        <v>-1.1018173904599999</v>
      </c>
      <c r="AH3410">
        <v>8.5018666278011494</v>
      </c>
      <c r="AI3410">
        <v>96.716422057438905</v>
      </c>
      <c r="AJ3410">
        <v>65.324924026821293</v>
      </c>
      <c r="AK3410">
        <v>9.4208343382208408</v>
      </c>
    </row>
    <row r="3411" spans="1:37" x14ac:dyDescent="0.2">
      <c r="A3411" t="str">
        <f>"20200111153503077"</f>
        <v>20200111153503077</v>
      </c>
      <c r="B3411" t="str">
        <f>"1578728103069652"</f>
        <v>1578728103069652</v>
      </c>
      <c r="C3411" t="s">
        <v>37</v>
      </c>
      <c r="D3411">
        <v>4.951117</v>
      </c>
      <c r="E3411">
        <v>0.62598900000000002</v>
      </c>
      <c r="F3411" t="s">
        <v>51</v>
      </c>
      <c r="G3411">
        <v>-197.5401</v>
      </c>
      <c r="H3411" s="1">
        <v>-1.337272E-5</v>
      </c>
      <c r="I3411">
        <v>154.09059999999999</v>
      </c>
      <c r="J3411">
        <v>-192.4556</v>
      </c>
      <c r="K3411">
        <v>1.101712</v>
      </c>
      <c r="L3411">
        <v>162.04570000000001</v>
      </c>
      <c r="M3411">
        <v>-0.135206299999999</v>
      </c>
      <c r="N3411">
        <v>0</v>
      </c>
      <c r="O3411">
        <v>-0.99072629999999995</v>
      </c>
      <c r="P3411">
        <v>-0.2425081</v>
      </c>
      <c r="Q3411">
        <v>2.1623570000000002E-2</v>
      </c>
      <c r="R3411">
        <v>-0.96990829999999995</v>
      </c>
      <c r="S3411">
        <v>-1.690933</v>
      </c>
      <c r="T3411">
        <v>-0.36479539999999999</v>
      </c>
      <c r="U3411">
        <v>-2.6826319999999999</v>
      </c>
      <c r="V3411">
        <v>0.1094007</v>
      </c>
      <c r="W3411">
        <v>3.4136640000000003E-2</v>
      </c>
      <c r="X3411">
        <v>0.99341139999999895</v>
      </c>
      <c r="Y3411">
        <v>0.41031640000000003</v>
      </c>
      <c r="Z3411">
        <v>0.11657190000000001</v>
      </c>
      <c r="AA3411">
        <v>0.90446199999999999</v>
      </c>
      <c r="AB3411">
        <v>25</v>
      </c>
      <c r="AC3411">
        <v>-5.0844999999999896</v>
      </c>
      <c r="AD3411">
        <v>-1.10172537272</v>
      </c>
      <c r="AE3411">
        <v>-7.9551000000000096</v>
      </c>
      <c r="AF3411">
        <v>3.9088970574473998</v>
      </c>
      <c r="AG3411">
        <v>-1.10172537272</v>
      </c>
      <c r="AH3411">
        <v>8.4544298231741504</v>
      </c>
      <c r="AI3411">
        <v>96.745759742132805</v>
      </c>
      <c r="AJ3411">
        <v>65.1865868529799</v>
      </c>
      <c r="AK3411">
        <v>9.3792674893934205</v>
      </c>
    </row>
    <row r="3412" spans="1:37" x14ac:dyDescent="0.2">
      <c r="A3412" t="str">
        <f>"20200111153503089"</f>
        <v>20200111153503089</v>
      </c>
      <c r="B3412" t="str">
        <f>"1578728103079413"</f>
        <v>1578728103079413</v>
      </c>
      <c r="C3412" t="s">
        <v>37</v>
      </c>
      <c r="D3412">
        <v>4.9507879999999904</v>
      </c>
      <c r="E3412">
        <v>0.626021099999999</v>
      </c>
      <c r="F3412" t="s">
        <v>51</v>
      </c>
      <c r="G3412">
        <v>-197.6019</v>
      </c>
      <c r="H3412" s="1">
        <v>-1.334337E-5</v>
      </c>
      <c r="I3412">
        <v>153.9521</v>
      </c>
      <c r="J3412">
        <v>-192.47479999999999</v>
      </c>
      <c r="K3412">
        <v>1.1016349999999999</v>
      </c>
      <c r="L3412">
        <v>161.9248</v>
      </c>
      <c r="M3412">
        <v>-0.13765239999999901</v>
      </c>
      <c r="N3412">
        <v>0</v>
      </c>
      <c r="O3412">
        <v>-0.99038930000000003</v>
      </c>
      <c r="P3412">
        <v>-0.24599879999999999</v>
      </c>
      <c r="Q3412">
        <v>2.1479359999999999E-2</v>
      </c>
      <c r="R3412">
        <v>-0.96903220000000001</v>
      </c>
      <c r="S3412">
        <v>-1.701416</v>
      </c>
      <c r="T3412">
        <v>-0.36423810000000001</v>
      </c>
      <c r="U3412">
        <v>-2.6757810000000002</v>
      </c>
      <c r="V3412">
        <v>0.1105295</v>
      </c>
      <c r="W3412">
        <v>3.3966980000000001E-2</v>
      </c>
      <c r="X3412">
        <v>0.99329219999999896</v>
      </c>
      <c r="Y3412">
        <v>0.41164780000000001</v>
      </c>
      <c r="Z3412">
        <v>0.116436699999999</v>
      </c>
      <c r="AA3412">
        <v>0.90387419999999996</v>
      </c>
      <c r="AB3412">
        <v>25</v>
      </c>
      <c r="AC3412">
        <v>-5.1271000000000102</v>
      </c>
      <c r="AD3412">
        <v>-1.1016483433699999</v>
      </c>
      <c r="AE3412">
        <v>-7.9726999999999997</v>
      </c>
      <c r="AF3412">
        <v>3.9276721495856601</v>
      </c>
      <c r="AG3412">
        <v>-1.1016483433699999</v>
      </c>
      <c r="AH3412">
        <v>8.4879644183286107</v>
      </c>
      <c r="AI3412">
        <v>96.717909688791806</v>
      </c>
      <c r="AJ3412">
        <v>65.168401495862895</v>
      </c>
      <c r="AK3412">
        <v>9.4173126503208593</v>
      </c>
    </row>
    <row r="3413" spans="1:37" x14ac:dyDescent="0.2">
      <c r="A3413" t="str">
        <f>"20200111153503102"</f>
        <v>20200111153503102</v>
      </c>
      <c r="B3413" t="str">
        <f>"1578728103098933"</f>
        <v>1578728103098933</v>
      </c>
      <c r="C3413" t="s">
        <v>37</v>
      </c>
      <c r="D3413">
        <v>4.9423870000000001</v>
      </c>
      <c r="E3413">
        <v>0.62608540000000001</v>
      </c>
      <c r="F3413" t="s">
        <v>51</v>
      </c>
      <c r="G3413">
        <v>-197.63890000000001</v>
      </c>
      <c r="H3413" s="1">
        <v>-1.332591E-5</v>
      </c>
      <c r="I3413">
        <v>153.86969999999999</v>
      </c>
      <c r="J3413">
        <v>-192.4982</v>
      </c>
      <c r="K3413">
        <v>1.1015440000000001</v>
      </c>
      <c r="L3413">
        <v>161.77979999999999</v>
      </c>
      <c r="M3413">
        <v>-0.14063349999999999</v>
      </c>
      <c r="N3413">
        <v>0</v>
      </c>
      <c r="O3413">
        <v>-0.98997019999999902</v>
      </c>
      <c r="P3413">
        <v>-0.25020619999999999</v>
      </c>
      <c r="Q3413">
        <v>2.138665E-2</v>
      </c>
      <c r="R3413">
        <v>-0.96795640000000005</v>
      </c>
      <c r="S3413">
        <v>-1.711395</v>
      </c>
      <c r="T3413">
        <v>-0.3650892</v>
      </c>
      <c r="U3413">
        <v>-2.669495</v>
      </c>
      <c r="V3413">
        <v>0.1118614</v>
      </c>
      <c r="W3413">
        <v>3.384355E-2</v>
      </c>
      <c r="X3413">
        <v>0.99314740000000001</v>
      </c>
      <c r="Y3413">
        <v>0.41225149999999999</v>
      </c>
      <c r="Z3413">
        <v>0.1167345</v>
      </c>
      <c r="AA3413">
        <v>0.90356059999999905</v>
      </c>
      <c r="AB3413">
        <v>25</v>
      </c>
      <c r="AC3413">
        <v>-5.1407000000000096</v>
      </c>
      <c r="AD3413">
        <v>-1.10155732591</v>
      </c>
      <c r="AE3413">
        <v>-7.9100999999999999</v>
      </c>
      <c r="AF3413">
        <v>3.9235788387809398</v>
      </c>
      <c r="AG3413">
        <v>-1.10155732591</v>
      </c>
      <c r="AH3413">
        <v>8.4394251612052802</v>
      </c>
      <c r="AI3413">
        <v>96.750080415774804</v>
      </c>
      <c r="AJ3413">
        <v>65.065780599571099</v>
      </c>
      <c r="AK3413">
        <v>9.3718619547014406</v>
      </c>
    </row>
    <row r="3414" spans="1:37" x14ac:dyDescent="0.2">
      <c r="A3414" t="str">
        <f>"20200111153503115"</f>
        <v>20200111153503115</v>
      </c>
      <c r="B3414" t="str">
        <f>"1578728103109670"</f>
        <v>1578728103109670</v>
      </c>
      <c r="C3414" t="s">
        <v>37</v>
      </c>
      <c r="D3414">
        <v>5.016178</v>
      </c>
      <c r="E3414">
        <v>0.62613859999999999</v>
      </c>
      <c r="F3414" t="s">
        <v>51</v>
      </c>
      <c r="G3414">
        <v>-197.64420000000001</v>
      </c>
      <c r="H3414" s="1">
        <v>-1.3317160000000001E-5</v>
      </c>
      <c r="I3414">
        <v>153.833</v>
      </c>
      <c r="J3414">
        <v>-192.52199999999999</v>
      </c>
      <c r="K3414">
        <v>1.101448</v>
      </c>
      <c r="L3414">
        <v>161.63570000000001</v>
      </c>
      <c r="M3414">
        <v>-0.14370079999999999</v>
      </c>
      <c r="N3414">
        <v>0</v>
      </c>
      <c r="O3414">
        <v>-0.98952949999999995</v>
      </c>
      <c r="P3414">
        <v>-0.2547007</v>
      </c>
      <c r="Q3414">
        <v>2.1489540000000001E-2</v>
      </c>
      <c r="R3414">
        <v>-0.96678149999999996</v>
      </c>
      <c r="S3414">
        <v>-1.72374</v>
      </c>
      <c r="T3414">
        <v>-0.36898029999999998</v>
      </c>
      <c r="U3414">
        <v>-2.66188</v>
      </c>
      <c r="V3414">
        <v>0.11340739999999901</v>
      </c>
      <c r="W3414">
        <v>3.3912659999999997E-2</v>
      </c>
      <c r="X3414">
        <v>0.99296960000000001</v>
      </c>
      <c r="Y3414">
        <v>0.4134835</v>
      </c>
      <c r="Z3414">
        <v>0.1179902</v>
      </c>
      <c r="AA3414">
        <v>0.90283429999999998</v>
      </c>
      <c r="AB3414">
        <v>25</v>
      </c>
      <c r="AC3414">
        <v>-5.1221999999999897</v>
      </c>
      <c r="AD3414">
        <v>-1.1014613171600001</v>
      </c>
      <c r="AE3414">
        <v>-7.8027000000000104</v>
      </c>
      <c r="AF3414">
        <v>3.8934518623334502</v>
      </c>
      <c r="AG3414">
        <v>-1.1014613171600001</v>
      </c>
      <c r="AH3414">
        <v>8.3416676569844697</v>
      </c>
      <c r="AI3414">
        <v>96.823100244841299</v>
      </c>
      <c r="AJ3414">
        <v>64.9793072113834</v>
      </c>
      <c r="AK3414">
        <v>9.2712245004146308</v>
      </c>
    </row>
    <row r="3415" spans="1:37" x14ac:dyDescent="0.2">
      <c r="A3415" t="str">
        <f>"20200111153503132"</f>
        <v>20200111153503132</v>
      </c>
      <c r="B3415" t="str">
        <f>"1578728103119429"</f>
        <v>1578728103119429</v>
      </c>
      <c r="C3415" t="s">
        <v>37</v>
      </c>
      <c r="D3415">
        <v>4.955012</v>
      </c>
      <c r="E3415">
        <v>0.62611119999999898</v>
      </c>
      <c r="F3415" t="s">
        <v>51</v>
      </c>
      <c r="G3415">
        <v>-197.68430000000001</v>
      </c>
      <c r="H3415" s="1">
        <v>-1.329921E-5</v>
      </c>
      <c r="I3415">
        <v>153.74760000000001</v>
      </c>
      <c r="J3415">
        <v>-192.55179999999999</v>
      </c>
      <c r="K3415">
        <v>1.1013360000000001</v>
      </c>
      <c r="L3415">
        <v>161.45959999999999</v>
      </c>
      <c r="M3415">
        <v>-0.14756910000000001</v>
      </c>
      <c r="N3415">
        <v>0</v>
      </c>
      <c r="O3415">
        <v>-0.98896010000000001</v>
      </c>
      <c r="P3415">
        <v>-0.2609765</v>
      </c>
      <c r="Q3415">
        <v>2.1939549999999999E-2</v>
      </c>
      <c r="R3415">
        <v>-0.96509619999999996</v>
      </c>
      <c r="S3415">
        <v>-1.7367549999999901</v>
      </c>
      <c r="T3415">
        <v>-0.37056030000000001</v>
      </c>
      <c r="U3415">
        <v>-2.6537630000000001</v>
      </c>
      <c r="V3415">
        <v>0.1159916</v>
      </c>
      <c r="W3415">
        <v>3.4314400000000002E-2</v>
      </c>
      <c r="X3415">
        <v>0.99265729999999996</v>
      </c>
      <c r="Y3415">
        <v>0.41426059999999998</v>
      </c>
      <c r="Z3415">
        <v>0.1185175</v>
      </c>
      <c r="AA3415">
        <v>0.90240889999999996</v>
      </c>
      <c r="AB3415">
        <v>25</v>
      </c>
      <c r="AC3415">
        <v>-5.1325000000000198</v>
      </c>
      <c r="AD3415">
        <v>-1.10134929921</v>
      </c>
      <c r="AE3415">
        <v>-7.7119999999999802</v>
      </c>
      <c r="AF3415">
        <v>3.8832546997969399</v>
      </c>
      <c r="AG3415">
        <v>-1.10134929921</v>
      </c>
      <c r="AH3415">
        <v>8.2681541848291609</v>
      </c>
      <c r="AI3415">
        <v>96.874862126789196</v>
      </c>
      <c r="AJ3415">
        <v>64.842243814832599</v>
      </c>
      <c r="AK3415">
        <v>9.2008157772272199</v>
      </c>
    </row>
    <row r="3416" spans="1:37" x14ac:dyDescent="0.2">
      <c r="A3416" t="str">
        <f>"20200111153503153"</f>
        <v>20200111153503153</v>
      </c>
      <c r="B3416" t="str">
        <f>"1578728103149685"</f>
        <v>1578728103149685</v>
      </c>
      <c r="C3416" t="s">
        <v>37</v>
      </c>
      <c r="D3416">
        <v>4.9742680000000004</v>
      </c>
      <c r="E3416">
        <v>0.62614130000000001</v>
      </c>
      <c r="F3416" t="s">
        <v>51</v>
      </c>
      <c r="G3416">
        <v>-197.75980000000001</v>
      </c>
      <c r="H3416" s="1">
        <v>-1.3271999999999999E-5</v>
      </c>
      <c r="I3416">
        <v>153.61279999999999</v>
      </c>
      <c r="J3416">
        <v>-192.59399999999999</v>
      </c>
      <c r="K3416">
        <v>1.1011799999999901</v>
      </c>
      <c r="L3416">
        <v>161.2184</v>
      </c>
      <c r="M3416">
        <v>-0.1530589</v>
      </c>
      <c r="N3416">
        <v>0</v>
      </c>
      <c r="O3416">
        <v>-0.98812479999999903</v>
      </c>
      <c r="P3416">
        <v>-0.26767160000000001</v>
      </c>
      <c r="Q3416">
        <v>2.2555599999999999E-2</v>
      </c>
      <c r="R3416">
        <v>-0.96324619999999905</v>
      </c>
      <c r="S3416">
        <v>-1.753952</v>
      </c>
      <c r="T3416">
        <v>-0.37091299999999999</v>
      </c>
      <c r="U3416">
        <v>-2.642639</v>
      </c>
      <c r="V3416">
        <v>0.1173935</v>
      </c>
      <c r="W3416">
        <v>3.488579E-2</v>
      </c>
      <c r="X3416">
        <v>0.99247249999999998</v>
      </c>
      <c r="Y3416">
        <v>0.41503119999999999</v>
      </c>
      <c r="Z3416">
        <v>0.1186729</v>
      </c>
      <c r="AA3416">
        <v>0.90203429999999996</v>
      </c>
      <c r="AB3416">
        <v>25</v>
      </c>
      <c r="AC3416">
        <v>-5.1657999999999902</v>
      </c>
      <c r="AD3416">
        <v>-1.10119327199999</v>
      </c>
      <c r="AE3416">
        <v>-7.6056000000000097</v>
      </c>
      <c r="AF3416">
        <v>3.8849780388989301</v>
      </c>
      <c r="AG3416">
        <v>-1.10119327199999</v>
      </c>
      <c r="AH3416">
        <v>8.1892331554461197</v>
      </c>
      <c r="AI3416">
        <v>96.926945839576106</v>
      </c>
      <c r="AJ3416">
        <v>64.620304045186202</v>
      </c>
      <c r="AK3416">
        <v>9.1306747099698509</v>
      </c>
    </row>
    <row r="3417" spans="1:37" x14ac:dyDescent="0.2">
      <c r="A3417" t="str">
        <f>"20200111153503166"</f>
        <v>20200111153503166</v>
      </c>
      <c r="B3417" t="str">
        <f>"1578728103159445"</f>
        <v>1578728103159445</v>
      </c>
      <c r="C3417" t="s">
        <v>37</v>
      </c>
      <c r="D3417">
        <v>4.9406330000000001</v>
      </c>
      <c r="E3417">
        <v>0.62614360000000002</v>
      </c>
      <c r="F3417" t="s">
        <v>51</v>
      </c>
      <c r="G3417">
        <v>-197.82980000000001</v>
      </c>
      <c r="H3417" s="1">
        <v>-1.3236959999999999E-5</v>
      </c>
      <c r="I3417">
        <v>153.44890000000001</v>
      </c>
      <c r="J3417">
        <v>-192.61789999999999</v>
      </c>
      <c r="K3417">
        <v>1.101092</v>
      </c>
      <c r="L3417">
        <v>161.08609999999999</v>
      </c>
      <c r="M3417">
        <v>-0.15617899999999901</v>
      </c>
      <c r="N3417">
        <v>0</v>
      </c>
      <c r="O3417">
        <v>-0.98763650000000003</v>
      </c>
      <c r="P3417">
        <v>-0.27279399999999998</v>
      </c>
      <c r="Q3417">
        <v>2.3201289999999999E-2</v>
      </c>
      <c r="R3417">
        <v>-0.96179289999999995</v>
      </c>
      <c r="S3417">
        <v>-1.7727200000000001</v>
      </c>
      <c r="T3417">
        <v>-0.3728416</v>
      </c>
      <c r="U3417">
        <v>-2.6305999999999998</v>
      </c>
      <c r="V3417">
        <v>0.1195571</v>
      </c>
      <c r="W3417">
        <v>3.5491469999999997E-2</v>
      </c>
      <c r="X3417">
        <v>0.99219269999999904</v>
      </c>
      <c r="Y3417">
        <v>0.4184563</v>
      </c>
      <c r="Z3417">
        <v>0.1193251</v>
      </c>
      <c r="AA3417">
        <v>0.90036430000000001</v>
      </c>
      <c r="AB3417">
        <v>25</v>
      </c>
      <c r="AC3417">
        <v>-5.2119000000000097</v>
      </c>
      <c r="AD3417">
        <v>-1.1011052369600001</v>
      </c>
      <c r="AE3417">
        <v>-7.6371999999999698</v>
      </c>
      <c r="AF3417">
        <v>3.89974650914619</v>
      </c>
      <c r="AG3417">
        <v>-1.1011052369600001</v>
      </c>
      <c r="AH3417">
        <v>8.2406591366535409</v>
      </c>
      <c r="AI3417">
        <v>96.886671984949203</v>
      </c>
      <c r="AJ3417">
        <v>64.674972846938005</v>
      </c>
      <c r="AK3417">
        <v>9.1830778383377591</v>
      </c>
    </row>
    <row r="3418" spans="1:37" x14ac:dyDescent="0.2">
      <c r="A3418" t="str">
        <f>"20200111153503177"</f>
        <v>20200111153503177</v>
      </c>
      <c r="B3418" t="str">
        <f>"1578728103169205"</f>
        <v>1578728103169205</v>
      </c>
      <c r="C3418" t="s">
        <v>37</v>
      </c>
      <c r="D3418">
        <v>4.9361420000000003</v>
      </c>
      <c r="E3418">
        <v>0.62610410000000005</v>
      </c>
      <c r="F3418" t="s">
        <v>51</v>
      </c>
      <c r="G3418">
        <v>-197.8999</v>
      </c>
      <c r="H3418" s="1">
        <v>-1.32147799999999E-5</v>
      </c>
      <c r="I3418">
        <v>153.33600000000001</v>
      </c>
      <c r="J3418">
        <v>-192.64250000000001</v>
      </c>
      <c r="K3418">
        <v>1.101005</v>
      </c>
      <c r="L3418">
        <v>160.95160000000001</v>
      </c>
      <c r="M3418">
        <v>-0.1593995</v>
      </c>
      <c r="N3418">
        <v>0</v>
      </c>
      <c r="O3418">
        <v>-0.98712180000000005</v>
      </c>
      <c r="P3418">
        <v>-0.27696309999999902</v>
      </c>
      <c r="Q3418">
        <v>2.3448239999999999E-2</v>
      </c>
      <c r="R3418">
        <v>-0.96059450000000002</v>
      </c>
      <c r="S3418">
        <v>-1.7866059999999999</v>
      </c>
      <c r="T3418">
        <v>-0.37244490000000002</v>
      </c>
      <c r="U3418">
        <v>-2.621429</v>
      </c>
      <c r="V3418">
        <v>0.12063589999999901</v>
      </c>
      <c r="W3418">
        <v>3.570972E-2</v>
      </c>
      <c r="X3418">
        <v>0.99205429999999994</v>
      </c>
      <c r="Y3418">
        <v>0.42022739999999997</v>
      </c>
      <c r="Z3418">
        <v>0.1192348</v>
      </c>
      <c r="AA3418">
        <v>0.89955099999999999</v>
      </c>
      <c r="AB3418">
        <v>24</v>
      </c>
      <c r="AC3418">
        <v>-5.2573999999999899</v>
      </c>
      <c r="AD3418">
        <v>-1.1010182147799901</v>
      </c>
      <c r="AE3418">
        <v>-7.6155999999999997</v>
      </c>
      <c r="AF3418">
        <v>3.9206354082898698</v>
      </c>
      <c r="AG3418">
        <v>-1.1010182147799901</v>
      </c>
      <c r="AH3418">
        <v>8.2396771006146405</v>
      </c>
      <c r="AI3418">
        <v>96.880102756717903</v>
      </c>
      <c r="AJ3418">
        <v>64.553777682955996</v>
      </c>
      <c r="AK3418">
        <v>9.1910772946595802</v>
      </c>
    </row>
    <row r="3419" spans="1:37" x14ac:dyDescent="0.2">
      <c r="A3419" t="str">
        <f>"20200111153503190"</f>
        <v>20200111153503190</v>
      </c>
      <c r="B3419" t="str">
        <f>"1578728103178965"</f>
        <v>1578728103178965</v>
      </c>
      <c r="C3419" t="s">
        <v>37</v>
      </c>
      <c r="D3419">
        <v>4.9501739999999996</v>
      </c>
      <c r="E3419">
        <v>0.6260057</v>
      </c>
      <c r="F3419" t="s">
        <v>51</v>
      </c>
      <c r="G3419">
        <v>-197.94110000000001</v>
      </c>
      <c r="H3419" s="1">
        <v>-1.319607E-5</v>
      </c>
      <c r="I3419">
        <v>153.24709999999999</v>
      </c>
      <c r="J3419">
        <v>-192.66839999999999</v>
      </c>
      <c r="K3419">
        <v>1.1009180000000001</v>
      </c>
      <c r="L3419">
        <v>160.815</v>
      </c>
      <c r="M3419">
        <v>-0.16278879999999901</v>
      </c>
      <c r="N3419">
        <v>0</v>
      </c>
      <c r="O3419">
        <v>-0.98656849999999996</v>
      </c>
      <c r="P3419">
        <v>-0.28154429999999903</v>
      </c>
      <c r="Q3419">
        <v>2.3670130000000001E-2</v>
      </c>
      <c r="R3419">
        <v>-0.95925669999999996</v>
      </c>
      <c r="S3419">
        <v>-1.7976380000000001</v>
      </c>
      <c r="T3419">
        <v>-0.3735426</v>
      </c>
      <c r="U3419">
        <v>-2.6138919999999999</v>
      </c>
      <c r="V3419">
        <v>0.1219744</v>
      </c>
      <c r="W3419">
        <v>3.5899859999999999E-2</v>
      </c>
      <c r="X3419">
        <v>0.99188379999999998</v>
      </c>
      <c r="Y3419">
        <v>0.42087920000000001</v>
      </c>
      <c r="Z3419">
        <v>0.11961179999999901</v>
      </c>
      <c r="AA3419">
        <v>0.89919609999999905</v>
      </c>
      <c r="AB3419">
        <v>24</v>
      </c>
      <c r="AC3419">
        <v>-5.2727000000000102</v>
      </c>
      <c r="AD3419">
        <v>-1.1009311960699999</v>
      </c>
      <c r="AE3419">
        <v>-7.5678999999999998</v>
      </c>
      <c r="AF3419">
        <v>3.9145028580547598</v>
      </c>
      <c r="AG3419">
        <v>-1.1009311960699999</v>
      </c>
      <c r="AH3419">
        <v>8.2084030829828603</v>
      </c>
      <c r="AI3419">
        <v>96.9026934043534</v>
      </c>
      <c r="AJ3419">
        <v>64.504006657330393</v>
      </c>
      <c r="AK3419">
        <v>9.1604182926830102</v>
      </c>
    </row>
    <row r="3420" spans="1:37" x14ac:dyDescent="0.2">
      <c r="A3420" t="str">
        <f>"20200111153503204"</f>
        <v>20200111153503204</v>
      </c>
      <c r="B3420" t="str">
        <f>"1578728103199461"</f>
        <v>1578728103199461</v>
      </c>
      <c r="C3420" t="s">
        <v>37</v>
      </c>
      <c r="D3420">
        <v>4.9119289999999998</v>
      </c>
      <c r="E3420">
        <v>0.62606309999999998</v>
      </c>
      <c r="F3420" t="s">
        <v>51</v>
      </c>
      <c r="G3420">
        <v>-197.98419999999999</v>
      </c>
      <c r="H3420" s="1">
        <v>-1.3177699999999999E-5</v>
      </c>
      <c r="I3420">
        <v>153.15889999999999</v>
      </c>
      <c r="J3420">
        <v>-192.6944</v>
      </c>
      <c r="K3420">
        <v>1.1008249999999999</v>
      </c>
      <c r="L3420">
        <v>160.67959999999999</v>
      </c>
      <c r="M3420">
        <v>-0.1661977</v>
      </c>
      <c r="N3420">
        <v>0</v>
      </c>
      <c r="O3420">
        <v>-0.98599959999999898</v>
      </c>
      <c r="P3420">
        <v>-0.28573589999999999</v>
      </c>
      <c r="Q3420">
        <v>2.4194150000000001E-2</v>
      </c>
      <c r="R3420">
        <v>-0.95800300000000005</v>
      </c>
      <c r="S3420">
        <v>-1.8091740000000001</v>
      </c>
      <c r="T3420">
        <v>-0.37469209999999997</v>
      </c>
      <c r="U3420">
        <v>-2.605667</v>
      </c>
      <c r="V3420">
        <v>0.1228986</v>
      </c>
      <c r="W3420">
        <v>3.6396390000000001E-2</v>
      </c>
      <c r="X3420">
        <v>0.99175159999999996</v>
      </c>
      <c r="Y3420">
        <v>0.42173679999999902</v>
      </c>
      <c r="Z3420">
        <v>0.120015</v>
      </c>
      <c r="AA3420">
        <v>0.89874050000000005</v>
      </c>
      <c r="AB3420">
        <v>24</v>
      </c>
      <c r="AC3420">
        <v>-5.2897999999999801</v>
      </c>
      <c r="AD3420">
        <v>-1.1008381777</v>
      </c>
      <c r="AE3420">
        <v>-7.5206999999999997</v>
      </c>
      <c r="AF3420">
        <v>3.9101326426988599</v>
      </c>
      <c r="AG3420">
        <v>-1.1008381777</v>
      </c>
      <c r="AH3420">
        <v>8.1780938770116407</v>
      </c>
      <c r="AI3420">
        <v>96.924159540443796</v>
      </c>
      <c r="AJ3420">
        <v>64.446476204780396</v>
      </c>
      <c r="AK3420">
        <v>9.1313855158018793</v>
      </c>
    </row>
    <row r="3421" spans="1:37" x14ac:dyDescent="0.2">
      <c r="A3421" t="str">
        <f>"20200111153503215"</f>
        <v>20200111153503215</v>
      </c>
      <c r="B3421" t="str">
        <f>"1578728103209221"</f>
        <v>1578728103209221</v>
      </c>
      <c r="C3421" t="s">
        <v>37</v>
      </c>
      <c r="D3421">
        <v>4.9072579999999997</v>
      </c>
      <c r="E3421">
        <v>0.62611019999999995</v>
      </c>
      <c r="F3421" t="s">
        <v>51</v>
      </c>
      <c r="G3421">
        <v>-198.03219999999999</v>
      </c>
      <c r="H3421" s="1">
        <v>-1.3158299999999901E-5</v>
      </c>
      <c r="I3421">
        <v>153.06489999999999</v>
      </c>
      <c r="J3421">
        <v>-192.72130000000001</v>
      </c>
      <c r="K3421">
        <v>1.1007340000000001</v>
      </c>
      <c r="L3421">
        <v>160.54259999999999</v>
      </c>
      <c r="M3421">
        <v>-0.1697264</v>
      </c>
      <c r="N3421">
        <v>0</v>
      </c>
      <c r="O3421">
        <v>-0.9853982</v>
      </c>
      <c r="P3421">
        <v>-0.2900375</v>
      </c>
      <c r="Q3421">
        <v>2.456061E-2</v>
      </c>
      <c r="R3421">
        <v>-0.95670040000000001</v>
      </c>
      <c r="S3421">
        <v>-1.8210599999999999</v>
      </c>
      <c r="T3421">
        <v>-0.37556919999999999</v>
      </c>
      <c r="U3421">
        <v>-2.597855</v>
      </c>
      <c r="V3421">
        <v>0.1238181</v>
      </c>
      <c r="W3421">
        <v>3.6735199999999898E-2</v>
      </c>
      <c r="X3421">
        <v>0.99162469999999903</v>
      </c>
      <c r="Y3421">
        <v>0.422504299999999</v>
      </c>
      <c r="Z3421">
        <v>0.120308399999999</v>
      </c>
      <c r="AA3421">
        <v>0.89834069999999899</v>
      </c>
      <c r="AB3421">
        <v>24</v>
      </c>
      <c r="AC3421">
        <v>-5.31089999999997</v>
      </c>
      <c r="AD3421">
        <v>-1.1007471582999999</v>
      </c>
      <c r="AE3421">
        <v>-7.4776999999999898</v>
      </c>
      <c r="AF3421">
        <v>3.9082591205766199</v>
      </c>
      <c r="AG3421">
        <v>-1.1007471582999999</v>
      </c>
      <c r="AH3421">
        <v>8.1532353166260698</v>
      </c>
      <c r="AI3421">
        <v>96.941208159191802</v>
      </c>
      <c r="AJ3421">
        <v>64.389237283616197</v>
      </c>
      <c r="AK3421">
        <v>9.1083137730512096</v>
      </c>
    </row>
    <row r="3422" spans="1:37" x14ac:dyDescent="0.2">
      <c r="A3422" t="str">
        <f>"20200111153503231"</f>
        <v>20200111153503231</v>
      </c>
      <c r="B3422" t="str">
        <f>"1578728103218981"</f>
        <v>1578728103218981</v>
      </c>
      <c r="C3422" t="s">
        <v>37</v>
      </c>
      <c r="D3422">
        <v>4.9338239999999898</v>
      </c>
      <c r="E3422">
        <v>0.62611019999999995</v>
      </c>
      <c r="F3422" t="s">
        <v>51</v>
      </c>
      <c r="G3422">
        <v>-198.09030000000001</v>
      </c>
      <c r="H3422" s="1">
        <v>-1.313616E-5</v>
      </c>
      <c r="I3422">
        <v>152.95650000000001</v>
      </c>
      <c r="J3422">
        <v>-192.75389999999999</v>
      </c>
      <c r="K3422">
        <v>1.1006260000000001</v>
      </c>
      <c r="L3422">
        <v>160.38120000000001</v>
      </c>
      <c r="M3422">
        <v>-0.17399589999999901</v>
      </c>
      <c r="N3422">
        <v>0</v>
      </c>
      <c r="O3422">
        <v>-0.98465319999999901</v>
      </c>
      <c r="P3422">
        <v>-0.2959484</v>
      </c>
      <c r="Q3422">
        <v>2.4945599999999998E-2</v>
      </c>
      <c r="R3422">
        <v>-0.95487849999999996</v>
      </c>
      <c r="S3422">
        <v>-1.83287</v>
      </c>
      <c r="T3422">
        <v>-0.37577509999999997</v>
      </c>
      <c r="U3422">
        <v>-2.5897669999999899</v>
      </c>
      <c r="V3422">
        <v>0.1256681</v>
      </c>
      <c r="W3422">
        <v>3.7079719999999997E-2</v>
      </c>
      <c r="X3422">
        <v>0.99137909999999996</v>
      </c>
      <c r="Y3422">
        <v>0.42262929999999999</v>
      </c>
      <c r="Z3422">
        <v>0.12039269999999901</v>
      </c>
      <c r="AA3422">
        <v>0.89827060000000003</v>
      </c>
      <c r="AB3422">
        <v>24</v>
      </c>
      <c r="AC3422">
        <v>-5.3364000000000198</v>
      </c>
      <c r="AD3422">
        <v>-1.1006391361600001</v>
      </c>
      <c r="AE3422">
        <v>-7.4246999999999996</v>
      </c>
      <c r="AF3422">
        <v>3.90639619554545</v>
      </c>
      <c r="AG3422">
        <v>-1.1006391361600001</v>
      </c>
      <c r="AH3422">
        <v>8.1223303995295399</v>
      </c>
      <c r="AI3422">
        <v>96.962392237197804</v>
      </c>
      <c r="AJ3422">
        <v>64.314993317355501</v>
      </c>
      <c r="AK3422">
        <v>9.0798452004282897</v>
      </c>
    </row>
    <row r="3423" spans="1:37" x14ac:dyDescent="0.2">
      <c r="A3423" t="str">
        <f>"20200111153503244"</f>
        <v>20200111153503244</v>
      </c>
      <c r="B3423" t="str">
        <f>"1578728103239476"</f>
        <v>1578728103239476</v>
      </c>
      <c r="C3423" t="s">
        <v>37</v>
      </c>
      <c r="D3423">
        <v>4.9388339999999999</v>
      </c>
      <c r="E3423">
        <v>0.62682130000000003</v>
      </c>
      <c r="F3423" t="s">
        <v>51</v>
      </c>
      <c r="G3423">
        <v>-198.17529999999999</v>
      </c>
      <c r="H3423" s="1">
        <v>-1.31092E-5</v>
      </c>
      <c r="I3423">
        <v>152.8194</v>
      </c>
      <c r="J3423">
        <v>-192.78280000000001</v>
      </c>
      <c r="K3423">
        <v>1.100536</v>
      </c>
      <c r="L3423">
        <v>160.24119999999999</v>
      </c>
      <c r="M3423">
        <v>-0.1777716</v>
      </c>
      <c r="N3423">
        <v>0</v>
      </c>
      <c r="O3423">
        <v>-0.98397819999999903</v>
      </c>
      <c r="P3423">
        <v>-0.30068309999999998</v>
      </c>
      <c r="Q3423">
        <v>2.5019240000000002E-2</v>
      </c>
      <c r="R3423">
        <v>-0.95339589999999996</v>
      </c>
      <c r="S3423">
        <v>-1.848679</v>
      </c>
      <c r="T3423">
        <v>-0.37531550000000002</v>
      </c>
      <c r="U3423">
        <v>-2.5785830000000001</v>
      </c>
      <c r="V3423">
        <v>0.12679460000000001</v>
      </c>
      <c r="W3423">
        <v>3.7124030000000002E-2</v>
      </c>
      <c r="X3423">
        <v>0.99123410000000001</v>
      </c>
      <c r="Y3423">
        <v>0.42464819999999998</v>
      </c>
      <c r="Z3423">
        <v>0.1202898</v>
      </c>
      <c r="AA3423">
        <v>0.89733180000000001</v>
      </c>
      <c r="AB3423">
        <v>24</v>
      </c>
      <c r="AC3423">
        <v>-5.3924999999999796</v>
      </c>
      <c r="AD3423">
        <v>-1.1005491091999999</v>
      </c>
      <c r="AE3423">
        <v>-7.4217999999999904</v>
      </c>
      <c r="AF3423">
        <v>3.9305188085015899</v>
      </c>
      <c r="AG3423">
        <v>-1.1005491091999999</v>
      </c>
      <c r="AH3423">
        <v>8.1450649992933801</v>
      </c>
      <c r="AI3423">
        <v>96.938235057981402</v>
      </c>
      <c r="AJ3423">
        <v>64.239695509689199</v>
      </c>
      <c r="AK3423">
        <v>9.1105581765586603</v>
      </c>
    </row>
    <row r="3424" spans="1:37" x14ac:dyDescent="0.2">
      <c r="A3424" t="str">
        <f>"20200111153503256"</f>
        <v>20200111153503256</v>
      </c>
      <c r="B3424" t="str">
        <f>"1578728103249236"</f>
        <v>1578728103249236</v>
      </c>
      <c r="C3424" t="s">
        <v>37</v>
      </c>
      <c r="D3424">
        <v>4.9525040000000002</v>
      </c>
      <c r="E3424">
        <v>0.62649569999999999</v>
      </c>
      <c r="F3424" t="s">
        <v>51</v>
      </c>
      <c r="G3424">
        <v>-197.72810000000001</v>
      </c>
      <c r="H3424" s="1">
        <v>-1.3224700000000001E-5</v>
      </c>
      <c r="I3424">
        <v>153.43600000000001</v>
      </c>
      <c r="J3424">
        <v>-192.81030000000001</v>
      </c>
      <c r="K3424">
        <v>1.1004529999999999</v>
      </c>
      <c r="L3424">
        <v>160.11019999999999</v>
      </c>
      <c r="M3424">
        <v>-0.1813736</v>
      </c>
      <c r="N3424">
        <v>0</v>
      </c>
      <c r="O3424">
        <v>-0.98332050000000004</v>
      </c>
      <c r="P3424">
        <v>-0.30464269999999999</v>
      </c>
      <c r="Q3424">
        <v>2.5046200000000001E-2</v>
      </c>
      <c r="R3424">
        <v>-0.95213760000000003</v>
      </c>
      <c r="S3424">
        <v>-1.8667450000000001</v>
      </c>
      <c r="T3424">
        <v>-0.41543599999999897</v>
      </c>
      <c r="U3424">
        <v>-2.5688169999999899</v>
      </c>
      <c r="V3424">
        <v>0.12729260000000001</v>
      </c>
      <c r="W3424">
        <v>3.713023E-2</v>
      </c>
      <c r="X3424">
        <v>0.99117</v>
      </c>
      <c r="Y3424">
        <v>0.426147</v>
      </c>
      <c r="Z3424">
        <v>0.132882</v>
      </c>
      <c r="AA3424">
        <v>0.89484140000000001</v>
      </c>
      <c r="AB3424">
        <v>24</v>
      </c>
      <c r="AC3424">
        <v>-4.9177999999999997</v>
      </c>
      <c r="AD3424">
        <v>-1.1004662247000001</v>
      </c>
      <c r="AE3424">
        <v>-6.6741999999999804</v>
      </c>
      <c r="AF3424">
        <v>3.56280708465412</v>
      </c>
      <c r="AG3424">
        <v>-1.1004662247000001</v>
      </c>
      <c r="AH3424">
        <v>7.3264316083145404</v>
      </c>
      <c r="AI3424">
        <v>97.692933956614894</v>
      </c>
      <c r="AJ3424">
        <v>64.0665767242008</v>
      </c>
      <c r="AK3424">
        <v>8.2207797893799199</v>
      </c>
    </row>
    <row r="3425" spans="1:37" x14ac:dyDescent="0.2">
      <c r="A3425" t="str">
        <f>"20200111153503267"</f>
        <v>20200111153503267</v>
      </c>
      <c r="B3425" t="str">
        <f>"1578728103258997"</f>
        <v>1578728103258997</v>
      </c>
      <c r="C3425" t="s">
        <v>37</v>
      </c>
      <c r="D3425">
        <v>4.9575269999999998</v>
      </c>
      <c r="E3425">
        <v>0.62637209999999999</v>
      </c>
      <c r="F3425" t="s">
        <v>51</v>
      </c>
      <c r="G3425">
        <v>-197.77610000000001</v>
      </c>
      <c r="H3425" s="1">
        <v>-1.320082E-5</v>
      </c>
      <c r="I3425">
        <v>153.32419999999999</v>
      </c>
      <c r="J3425">
        <v>-192.83850000000001</v>
      </c>
      <c r="K3425">
        <v>1.100374</v>
      </c>
      <c r="L3425">
        <v>159.97980000000001</v>
      </c>
      <c r="M3425">
        <v>-0.18504579999999901</v>
      </c>
      <c r="N3425">
        <v>0</v>
      </c>
      <c r="O3425">
        <v>-0.98263599999999995</v>
      </c>
      <c r="P3425">
        <v>-0.30902809999999997</v>
      </c>
      <c r="Q3425">
        <v>2.525983E-2</v>
      </c>
      <c r="R3425">
        <v>-0.9507179</v>
      </c>
      <c r="S3425">
        <v>-1.874695</v>
      </c>
      <c r="T3425">
        <v>-0.41545490000000002</v>
      </c>
      <c r="U3425">
        <v>-2.5619049999999999</v>
      </c>
      <c r="V3425">
        <v>0.12816939999999999</v>
      </c>
      <c r="W3425">
        <v>3.7319400000000003E-2</v>
      </c>
      <c r="X3425">
        <v>0.99104989999999904</v>
      </c>
      <c r="Y3425">
        <v>0.4257282</v>
      </c>
      <c r="Z3425">
        <v>0.13293840000000001</v>
      </c>
      <c r="AA3425">
        <v>0.8950323</v>
      </c>
      <c r="AB3425">
        <v>24</v>
      </c>
      <c r="AC3425">
        <v>-4.9375999999999998</v>
      </c>
      <c r="AD3425">
        <v>-1.10038720082</v>
      </c>
      <c r="AE3425">
        <v>-6.6556000000000202</v>
      </c>
      <c r="AF3425">
        <v>3.5578773554404401</v>
      </c>
      <c r="AG3425">
        <v>-1.10038720082</v>
      </c>
      <c r="AH3425">
        <v>7.32524967783087</v>
      </c>
      <c r="AI3425">
        <v>97.695391320715302</v>
      </c>
      <c r="AJ3425">
        <v>64.094131573217695</v>
      </c>
      <c r="AK3425">
        <v>8.2175803075264007</v>
      </c>
    </row>
    <row r="3426" spans="1:37" x14ac:dyDescent="0.2">
      <c r="A3426" t="str">
        <f>"20200111153503280"</f>
        <v>20200111153503280</v>
      </c>
      <c r="B3426" t="str">
        <f>"1578728103269733"</f>
        <v>1578728103269733</v>
      </c>
      <c r="C3426" t="s">
        <v>37</v>
      </c>
      <c r="D3426">
        <v>4.9011199999999997</v>
      </c>
      <c r="E3426">
        <v>0.6261274</v>
      </c>
      <c r="F3426" t="s">
        <v>51</v>
      </c>
      <c r="G3426">
        <v>-197.84049999999999</v>
      </c>
      <c r="H3426" s="1">
        <v>-1.3176729999999899E-5</v>
      </c>
      <c r="I3426">
        <v>153.20570000000001</v>
      </c>
      <c r="J3426">
        <v>-192.8673</v>
      </c>
      <c r="K3426">
        <v>1.1002909999999999</v>
      </c>
      <c r="L3426">
        <v>159.8484</v>
      </c>
      <c r="M3426">
        <v>-0.18878829999999999</v>
      </c>
      <c r="N3426">
        <v>0</v>
      </c>
      <c r="O3426">
        <v>-0.98192369999999995</v>
      </c>
      <c r="P3426">
        <v>-0.31321979999999999</v>
      </c>
      <c r="Q3426">
        <v>2.549864E-2</v>
      </c>
      <c r="R3426">
        <v>-0.94933860000000003</v>
      </c>
      <c r="S3426">
        <v>-1.885605</v>
      </c>
      <c r="T3426">
        <v>-0.4148133</v>
      </c>
      <c r="U3426">
        <v>-2.5536349999999999</v>
      </c>
      <c r="V3426">
        <v>0.1287779</v>
      </c>
      <c r="W3426">
        <v>3.7536689999999998E-2</v>
      </c>
      <c r="X3426">
        <v>0.99096280000000003</v>
      </c>
      <c r="Y3426">
        <v>0.42616140000000002</v>
      </c>
      <c r="Z3426">
        <v>0.13276849999999901</v>
      </c>
      <c r="AA3426">
        <v>0.89485139999999996</v>
      </c>
      <c r="AB3426">
        <v>24</v>
      </c>
      <c r="AC3426">
        <v>-4.9731999999999896</v>
      </c>
      <c r="AD3426">
        <v>-1.1003041767299999</v>
      </c>
      <c r="AE3426">
        <v>-6.6426999999999898</v>
      </c>
      <c r="AF3426">
        <v>3.5668615335734599</v>
      </c>
      <c r="AG3426">
        <v>-1.1003041767299999</v>
      </c>
      <c r="AH3426">
        <v>7.3332622472645497</v>
      </c>
      <c r="AI3426">
        <v>97.684437346480607</v>
      </c>
      <c r="AJ3426">
        <v>64.061946818658399</v>
      </c>
      <c r="AK3426">
        <v>8.2286028989234303</v>
      </c>
    </row>
    <row r="3427" spans="1:37" x14ac:dyDescent="0.2">
      <c r="A3427" t="str">
        <f>"20200111153503293"</f>
        <v>20200111153503293</v>
      </c>
      <c r="B3427" t="str">
        <f>"1578728103279492"</f>
        <v>1578728103279492</v>
      </c>
      <c r="C3427" t="s">
        <v>37</v>
      </c>
      <c r="D3427">
        <v>4.9416830000000003</v>
      </c>
      <c r="E3427">
        <v>0.62606300000000004</v>
      </c>
      <c r="F3427" t="s">
        <v>51</v>
      </c>
      <c r="G3427">
        <v>-197.89580000000001</v>
      </c>
      <c r="H3427" s="1">
        <v>-1.3152709999999999E-5</v>
      </c>
      <c r="I3427">
        <v>153.0908</v>
      </c>
      <c r="J3427">
        <v>-192.89779999999999</v>
      </c>
      <c r="K3427">
        <v>1.1002049999999901</v>
      </c>
      <c r="L3427">
        <v>159.71270000000001</v>
      </c>
      <c r="M3427">
        <v>-0.1927567</v>
      </c>
      <c r="N3427">
        <v>0</v>
      </c>
      <c r="O3427">
        <v>-0.98115209999999997</v>
      </c>
      <c r="P3427">
        <v>-0.3178935</v>
      </c>
      <c r="Q3427">
        <v>2.5690569999999999E-2</v>
      </c>
      <c r="R3427">
        <v>-0.94777829999999996</v>
      </c>
      <c r="S3427">
        <v>-1.894638</v>
      </c>
      <c r="T3427">
        <v>-0.41456979999999999</v>
      </c>
      <c r="U3427">
        <v>-2.5460970000000001</v>
      </c>
      <c r="V3427">
        <v>0.12966530000000001</v>
      </c>
      <c r="W3427">
        <v>3.7702989999999999E-2</v>
      </c>
      <c r="X3427">
        <v>0.99084069999999902</v>
      </c>
      <c r="Y3427">
        <v>0.42582569999999997</v>
      </c>
      <c r="Z3427">
        <v>0.1327313</v>
      </c>
      <c r="AA3427">
        <v>0.8950167</v>
      </c>
      <c r="AB3427">
        <v>24</v>
      </c>
      <c r="AC3427">
        <v>-4.99800000000001</v>
      </c>
      <c r="AD3427">
        <v>-1.1002181527099999</v>
      </c>
      <c r="AE3427">
        <v>-6.6219000000000099</v>
      </c>
      <c r="AF3427">
        <v>3.5650222075309501</v>
      </c>
      <c r="AG3427">
        <v>-1.1002181527099999</v>
      </c>
      <c r="AH3427">
        <v>7.3322315685166997</v>
      </c>
      <c r="AI3427">
        <v>97.685455906284602</v>
      </c>
      <c r="AJ3427">
        <v>64.070402614368106</v>
      </c>
      <c r="AK3427">
        <v>8.2268756583586597</v>
      </c>
    </row>
    <row r="3428" spans="1:37" x14ac:dyDescent="0.2">
      <c r="A3428" t="str">
        <f>"20200111153503309"</f>
        <v>20200111153503309</v>
      </c>
      <c r="B3428" t="str">
        <f>"1578728103299012"</f>
        <v>1578728103299012</v>
      </c>
      <c r="C3428" t="s">
        <v>37</v>
      </c>
      <c r="D3428">
        <v>4.952833</v>
      </c>
      <c r="E3428">
        <v>0.62618869999999904</v>
      </c>
      <c r="F3428" t="s">
        <v>51</v>
      </c>
      <c r="G3428">
        <v>-197.93530000000001</v>
      </c>
      <c r="H3428" s="1">
        <v>-1.31356E-5</v>
      </c>
      <c r="I3428">
        <v>153.00890000000001</v>
      </c>
      <c r="J3428">
        <v>-192.9374</v>
      </c>
      <c r="K3428">
        <v>1.1000989999999999</v>
      </c>
      <c r="L3428">
        <v>159.541</v>
      </c>
      <c r="M3428">
        <v>-0.19786979999999901</v>
      </c>
      <c r="N3428">
        <v>0</v>
      </c>
      <c r="O3428">
        <v>-0.98013349999999899</v>
      </c>
      <c r="P3428">
        <v>-0.32446639999999999</v>
      </c>
      <c r="Q3428">
        <v>2.5774180000000001E-2</v>
      </c>
      <c r="R3428">
        <v>-0.9455462</v>
      </c>
      <c r="S3428">
        <v>-1.906479</v>
      </c>
      <c r="T3428">
        <v>-0.41638890000000001</v>
      </c>
      <c r="U3428">
        <v>-2.53714</v>
      </c>
      <c r="V3428">
        <v>0.13139020000000001</v>
      </c>
      <c r="W3428">
        <v>3.7747299999999998E-2</v>
      </c>
      <c r="X3428">
        <v>0.99061180000000004</v>
      </c>
      <c r="Y3428">
        <v>0.42525689999999999</v>
      </c>
      <c r="Z3428">
        <v>0.1333174</v>
      </c>
      <c r="AA3428">
        <v>0.8952</v>
      </c>
      <c r="AB3428">
        <v>24</v>
      </c>
      <c r="AC3428">
        <v>-4.9979000000000102</v>
      </c>
      <c r="AD3428">
        <v>-1.1001121356000001</v>
      </c>
      <c r="AE3428">
        <v>-6.5320999999999803</v>
      </c>
      <c r="AF3428">
        <v>3.54305198912123</v>
      </c>
      <c r="AG3428">
        <v>-1.1001121356000001</v>
      </c>
      <c r="AH3428">
        <v>7.2620289403253899</v>
      </c>
      <c r="AI3428">
        <v>97.753061174030293</v>
      </c>
      <c r="AJ3428">
        <v>63.992837680520303</v>
      </c>
      <c r="AK3428">
        <v>8.1547856157371594</v>
      </c>
    </row>
    <row r="3429" spans="1:37" x14ac:dyDescent="0.2">
      <c r="A3429" t="str">
        <f>"20200111153503322"</f>
        <v>20200111153503322</v>
      </c>
      <c r="B3429" t="str">
        <f>"1578728103319508"</f>
        <v>1578728103319508</v>
      </c>
      <c r="C3429" t="s">
        <v>37</v>
      </c>
      <c r="D3429">
        <v>4.7386889999999999</v>
      </c>
      <c r="E3429">
        <v>0.6538967</v>
      </c>
      <c r="F3429" t="s">
        <v>51</v>
      </c>
      <c r="G3429">
        <v>-197.96369999999999</v>
      </c>
      <c r="H3429" s="1">
        <v>-1.312277E-5</v>
      </c>
      <c r="I3429">
        <v>152.9478</v>
      </c>
      <c r="J3429">
        <v>-192.96969999999999</v>
      </c>
      <c r="K3429">
        <v>1.100017</v>
      </c>
      <c r="L3429">
        <v>159.4033</v>
      </c>
      <c r="M3429">
        <v>-0.20203950000000001</v>
      </c>
      <c r="N3429">
        <v>0</v>
      </c>
      <c r="O3429">
        <v>-0.97928230000000005</v>
      </c>
      <c r="P3429">
        <v>-0.32935399999999998</v>
      </c>
      <c r="Q3429">
        <v>2.5751349999999999E-2</v>
      </c>
      <c r="R3429">
        <v>-0.94385580000000002</v>
      </c>
      <c r="S3429">
        <v>-1.924164</v>
      </c>
      <c r="T3429">
        <v>-0.4211416</v>
      </c>
      <c r="U3429">
        <v>-2.5239720000000001</v>
      </c>
      <c r="V3429">
        <v>0.1323068</v>
      </c>
      <c r="W3429">
        <v>3.7698699999999898E-2</v>
      </c>
      <c r="X3429">
        <v>0.99049169999999997</v>
      </c>
      <c r="Y3429">
        <v>0.42750470000000002</v>
      </c>
      <c r="Z3429">
        <v>0.13485420000000001</v>
      </c>
      <c r="AA3429">
        <v>0.89389819999999998</v>
      </c>
      <c r="AB3429">
        <v>24</v>
      </c>
      <c r="AC3429">
        <v>-4.9939999999999998</v>
      </c>
      <c r="AD3429">
        <v>-1.10003012277</v>
      </c>
      <c r="AE3429">
        <v>-6.4554999999999998</v>
      </c>
      <c r="AF3429">
        <v>3.5226138145802999</v>
      </c>
      <c r="AG3429">
        <v>-1.10003012277</v>
      </c>
      <c r="AH3429">
        <v>7.2006220699170802</v>
      </c>
      <c r="AI3429">
        <v>97.813763467104494</v>
      </c>
      <c r="AJ3429">
        <v>63.931673499939997</v>
      </c>
      <c r="AK3429">
        <v>8.0912194724559505</v>
      </c>
    </row>
    <row r="3430" spans="1:37" x14ac:dyDescent="0.2">
      <c r="A3430" t="str">
        <f>"20200111153503335"</f>
        <v>20200111153503335</v>
      </c>
      <c r="B3430" t="str">
        <f>"1578728103329268"</f>
        <v>1578728103329268</v>
      </c>
      <c r="C3430" t="s">
        <v>37</v>
      </c>
      <c r="D3430">
        <v>4.9683919999999997</v>
      </c>
      <c r="E3430">
        <v>0.65145649999999999</v>
      </c>
      <c r="F3430" t="s">
        <v>39</v>
      </c>
      <c r="G3430">
        <v>-213.37860000000001</v>
      </c>
      <c r="H3430" s="1">
        <v>-3.7034929999999998E-6</v>
      </c>
      <c r="I3430">
        <v>136.273</v>
      </c>
      <c r="J3430">
        <v>-193.00489999999999</v>
      </c>
      <c r="K3430">
        <v>1.0999289999999999</v>
      </c>
      <c r="L3430">
        <v>159.25729999999999</v>
      </c>
      <c r="M3430">
        <v>-0.20655370000000001</v>
      </c>
      <c r="N3430">
        <v>0</v>
      </c>
      <c r="O3430">
        <v>-0.97833979999999998</v>
      </c>
      <c r="P3430">
        <v>-0.33462969999999997</v>
      </c>
      <c r="Q3430">
        <v>2.594109E-2</v>
      </c>
      <c r="R3430">
        <v>-0.94199290000000002</v>
      </c>
      <c r="S3430">
        <v>-2.1464080000000001</v>
      </c>
      <c r="T3430">
        <v>-0.11568929999999999</v>
      </c>
      <c r="U3430">
        <v>-2.432617</v>
      </c>
      <c r="V3430">
        <v>0.1332922</v>
      </c>
      <c r="W3430">
        <v>3.7862140000000002E-2</v>
      </c>
      <c r="X3430">
        <v>0.99035329999999999</v>
      </c>
      <c r="Y3430">
        <v>0.49200100000000002</v>
      </c>
      <c r="Z3430">
        <v>3.6806930000000002E-2</v>
      </c>
      <c r="AA3430">
        <v>0.86981620000000004</v>
      </c>
      <c r="AB3430">
        <v>24</v>
      </c>
      <c r="AC3430">
        <v>-20.373699999999999</v>
      </c>
      <c r="AD3430">
        <v>-1.099932703493</v>
      </c>
      <c r="AE3430">
        <v>-22.984299999999902</v>
      </c>
      <c r="AF3430">
        <v>15.1668765964908</v>
      </c>
      <c r="AG3430">
        <v>-1.099932703493</v>
      </c>
      <c r="AH3430">
        <v>26.663017373973499</v>
      </c>
      <c r="AI3430">
        <v>92.053616260433103</v>
      </c>
      <c r="AJ3430">
        <v>60.367234894320397</v>
      </c>
      <c r="AK3430">
        <v>30.694632969465701</v>
      </c>
    </row>
    <row r="3431" spans="1:37" x14ac:dyDescent="0.2">
      <c r="A3431" t="str">
        <f>"20200111153503347"</f>
        <v>20200111153503347</v>
      </c>
      <c r="B3431" t="str">
        <f>"1578728103339029"</f>
        <v>1578728103339029</v>
      </c>
      <c r="C3431" t="s">
        <v>37</v>
      </c>
      <c r="D3431">
        <v>4.967632</v>
      </c>
      <c r="E3431">
        <v>0.64519749999999998</v>
      </c>
      <c r="F3431" t="s">
        <v>39</v>
      </c>
      <c r="G3431">
        <v>-212.31370000000001</v>
      </c>
      <c r="H3431" s="1">
        <v>-4.0117720000000004E-6</v>
      </c>
      <c r="I3431">
        <v>137.37299999999999</v>
      </c>
      <c r="J3431">
        <v>-193.03659999999999</v>
      </c>
      <c r="K3431">
        <v>1.099855</v>
      </c>
      <c r="L3431">
        <v>159.12880000000001</v>
      </c>
      <c r="M3431">
        <v>-0.21060499999999999</v>
      </c>
      <c r="N3431">
        <v>0</v>
      </c>
      <c r="O3431">
        <v>-0.977475599999999</v>
      </c>
      <c r="P3431">
        <v>-0.34042549999999999</v>
      </c>
      <c r="Q3431">
        <v>2.6239350000000002E-2</v>
      </c>
      <c r="R3431">
        <v>-0.93990529999999906</v>
      </c>
      <c r="S3431">
        <v>-2.141632</v>
      </c>
      <c r="T3431">
        <v>-0.12199889999999999</v>
      </c>
      <c r="U3431">
        <v>-2.427292</v>
      </c>
      <c r="V3431">
        <v>0.13530229999999999</v>
      </c>
      <c r="W3431">
        <v>3.8120880000000003E-2</v>
      </c>
      <c r="X3431">
        <v>0.99007080000000003</v>
      </c>
      <c r="Y3431">
        <v>0.4883229</v>
      </c>
      <c r="Z3431">
        <v>3.8887150000000002E-2</v>
      </c>
      <c r="AA3431">
        <v>0.87179619999999902</v>
      </c>
      <c r="AB3431">
        <v>24</v>
      </c>
      <c r="AC3431">
        <v>-19.277100000000001</v>
      </c>
      <c r="AD3431">
        <v>-1.099859011772</v>
      </c>
      <c r="AE3431">
        <v>-21.755800000000001</v>
      </c>
      <c r="AF3431">
        <v>14.241957639441701</v>
      </c>
      <c r="AG3431">
        <v>-1.099859011772</v>
      </c>
      <c r="AH3431">
        <v>25.2917746878481</v>
      </c>
      <c r="AI3431">
        <v>92.170026842807701</v>
      </c>
      <c r="AJ3431">
        <v>60.615864499825598</v>
      </c>
      <c r="AK3431">
        <v>29.046805574973401</v>
      </c>
    </row>
    <row r="3432" spans="1:37" x14ac:dyDescent="0.2">
      <c r="A3432" t="str">
        <f>"20200111153503359"</f>
        <v>20200111153503359</v>
      </c>
      <c r="B3432" t="str">
        <f>"1578728103349764"</f>
        <v>1578728103349764</v>
      </c>
      <c r="C3432" t="s">
        <v>37</v>
      </c>
      <c r="D3432">
        <v>4.967784</v>
      </c>
      <c r="E3432">
        <v>0.64215359999999999</v>
      </c>
      <c r="F3432" t="s">
        <v>51</v>
      </c>
      <c r="G3432">
        <v>-205.96950000000001</v>
      </c>
      <c r="H3432" s="1">
        <v>-8.3685660000000001E-6</v>
      </c>
      <c r="I3432">
        <v>144.21119999999999</v>
      </c>
      <c r="J3432">
        <v>-193.06890000000001</v>
      </c>
      <c r="K3432">
        <v>1.09978</v>
      </c>
      <c r="L3432">
        <v>158.99940000000001</v>
      </c>
      <c r="M3432">
        <v>-0.21471759999999901</v>
      </c>
      <c r="N3432">
        <v>0</v>
      </c>
      <c r="O3432">
        <v>-0.97658029999999996</v>
      </c>
      <c r="P3432">
        <v>-0.34533399999999997</v>
      </c>
      <c r="Q3432">
        <v>2.6519109999999999E-2</v>
      </c>
      <c r="R3432">
        <v>-0.93810519999999997</v>
      </c>
      <c r="S3432">
        <v>-2.1091769999999999</v>
      </c>
      <c r="T3432">
        <v>-0.17937310000000001</v>
      </c>
      <c r="U3432">
        <v>-2.4328609999999999</v>
      </c>
      <c r="V3432">
        <v>0.13632259999999999</v>
      </c>
      <c r="W3432">
        <v>3.837484E-2</v>
      </c>
      <c r="X3432">
        <v>0.98992099999999905</v>
      </c>
      <c r="Y3432">
        <v>0.47643599999999903</v>
      </c>
      <c r="Z3432">
        <v>5.7358260000000001E-2</v>
      </c>
      <c r="AA3432">
        <v>0.87733609999999995</v>
      </c>
      <c r="AB3432">
        <v>24</v>
      </c>
      <c r="AC3432">
        <v>-12.900599999999899</v>
      </c>
      <c r="AD3432">
        <v>-1.0997883685659999</v>
      </c>
      <c r="AE3432">
        <v>-14.7882</v>
      </c>
      <c r="AF3432">
        <v>9.3945619790074506</v>
      </c>
      <c r="AG3432">
        <v>-1.0997883685659999</v>
      </c>
      <c r="AH3432">
        <v>17.159569479598101</v>
      </c>
      <c r="AI3432">
        <v>93.217664322430593</v>
      </c>
      <c r="AJ3432">
        <v>61.300071669093001</v>
      </c>
      <c r="AK3432">
        <v>19.593829486810399</v>
      </c>
    </row>
    <row r="3433" spans="1:37" x14ac:dyDescent="0.2">
      <c r="A3433" t="str">
        <f>"20200111153503377"</f>
        <v>20200111153503377</v>
      </c>
      <c r="B3433" t="str">
        <f>"1578728103369284"</f>
        <v>1578728103369284</v>
      </c>
      <c r="C3433" t="s">
        <v>37</v>
      </c>
      <c r="D3433">
        <v>5.0267989999999996</v>
      </c>
      <c r="E3433">
        <v>0.63768639999999999</v>
      </c>
      <c r="F3433" t="s">
        <v>51</v>
      </c>
      <c r="G3433">
        <v>-204.3768</v>
      </c>
      <c r="H3433" s="1">
        <v>-9.4823500000000008E-6</v>
      </c>
      <c r="I3433">
        <v>145.9024</v>
      </c>
      <c r="J3433">
        <v>-193.11750000000001</v>
      </c>
      <c r="K3433">
        <v>1.0996760000000001</v>
      </c>
      <c r="L3433">
        <v>158.8107</v>
      </c>
      <c r="M3433">
        <v>-0.22086910000000001</v>
      </c>
      <c r="N3433">
        <v>0</v>
      </c>
      <c r="O3433">
        <v>-0.97520709999999999</v>
      </c>
      <c r="P3433">
        <v>-0.3532785</v>
      </c>
      <c r="Q3433">
        <v>2.6914179999999999E-2</v>
      </c>
      <c r="R3433">
        <v>-0.9351313</v>
      </c>
      <c r="S3433">
        <v>-2.0989529999999998</v>
      </c>
      <c r="T3433">
        <v>-0.20414070000000001</v>
      </c>
      <c r="U3433">
        <v>-2.4310459999999998</v>
      </c>
      <c r="V3433">
        <v>0.1384976</v>
      </c>
      <c r="W3433">
        <v>3.8721239999999997E-2</v>
      </c>
      <c r="X3433">
        <v>0.98960550000000003</v>
      </c>
      <c r="Y3433">
        <v>0.46877049999999998</v>
      </c>
      <c r="Z3433">
        <v>6.536061E-2</v>
      </c>
      <c r="AA3433">
        <v>0.88089850000000003</v>
      </c>
      <c r="AB3433">
        <v>24</v>
      </c>
      <c r="AC3433">
        <v>-11.2592999999999</v>
      </c>
      <c r="AD3433">
        <v>-1.09968548235</v>
      </c>
      <c r="AE3433">
        <v>-12.908299999999899</v>
      </c>
      <c r="AF3433">
        <v>8.0964969298130001</v>
      </c>
      <c r="AG3433">
        <v>-1.09968548235</v>
      </c>
      <c r="AH3433">
        <v>15.0146274746433</v>
      </c>
      <c r="AI3433">
        <v>93.688500450020499</v>
      </c>
      <c r="AJ3433">
        <v>61.664651026960499</v>
      </c>
      <c r="AK3433">
        <v>17.0939056068786</v>
      </c>
    </row>
    <row r="3434" spans="1:37" x14ac:dyDescent="0.2">
      <c r="A3434" t="str">
        <f>"20200111153503390"</f>
        <v>20200111153503390</v>
      </c>
      <c r="B3434" t="str">
        <f>"1578728103379044"</f>
        <v>1578728103379044</v>
      </c>
      <c r="C3434" t="s">
        <v>37</v>
      </c>
      <c r="D3434">
        <v>5.0171669999999997</v>
      </c>
      <c r="E3434">
        <v>0.63668419999999903</v>
      </c>
      <c r="F3434" t="s">
        <v>51</v>
      </c>
      <c r="G3434">
        <v>-202.77879999999999</v>
      </c>
      <c r="H3434" s="1">
        <v>-1.0601099999999999E-5</v>
      </c>
      <c r="I3434">
        <v>147.5684</v>
      </c>
      <c r="J3434">
        <v>-193.15309999999999</v>
      </c>
      <c r="K3434">
        <v>1.0995999999999999</v>
      </c>
      <c r="L3434">
        <v>158.6763</v>
      </c>
      <c r="M3434">
        <v>-0.22534749999999901</v>
      </c>
      <c r="N3434">
        <v>0</v>
      </c>
      <c r="O3434">
        <v>-0.97418179999999999</v>
      </c>
      <c r="P3434">
        <v>-0.35865340000000001</v>
      </c>
      <c r="Q3434">
        <v>2.7494080000000001E-2</v>
      </c>
      <c r="R3434">
        <v>-0.93306639999999996</v>
      </c>
      <c r="S3434">
        <v>-2.0856779999999899</v>
      </c>
      <c r="T3434">
        <v>-0.2374</v>
      </c>
      <c r="U3434">
        <v>-2.4270019999999999</v>
      </c>
      <c r="V3434">
        <v>0.13966389999999901</v>
      </c>
      <c r="W3434">
        <v>3.9273000000000002E-2</v>
      </c>
      <c r="X3434">
        <v>0.98941979999999996</v>
      </c>
      <c r="Y3434">
        <v>0.462159599999999</v>
      </c>
      <c r="Z3434">
        <v>7.6176590000000002E-2</v>
      </c>
      <c r="AA3434">
        <v>0.8835189</v>
      </c>
      <c r="AB3434">
        <v>24</v>
      </c>
      <c r="AC3434">
        <v>-9.6256999999999895</v>
      </c>
      <c r="AD3434">
        <v>-1.0996106011</v>
      </c>
      <c r="AE3434">
        <v>-11.107900000000001</v>
      </c>
      <c r="AF3434">
        <v>6.83642907589579</v>
      </c>
      <c r="AG3434">
        <v>-1.0996106011</v>
      </c>
      <c r="AH3434">
        <v>12.9191580691976</v>
      </c>
      <c r="AI3434">
        <v>94.302308157051797</v>
      </c>
      <c r="AJ3434">
        <v>62.113555896913702</v>
      </c>
      <c r="AK3434">
        <v>14.657781250950601</v>
      </c>
    </row>
    <row r="3435" spans="1:37" x14ac:dyDescent="0.2">
      <c r="A3435" t="str">
        <f>"20200111153503404"</f>
        <v>20200111153503404</v>
      </c>
      <c r="B3435" t="str">
        <f>"1578728103399540"</f>
        <v>1578728103399540</v>
      </c>
      <c r="C3435" t="s">
        <v>37</v>
      </c>
      <c r="D3435">
        <v>4.917332</v>
      </c>
      <c r="E3435">
        <v>0.63530719999999996</v>
      </c>
      <c r="F3435" t="s">
        <v>51</v>
      </c>
      <c r="G3435">
        <v>-202.41200000000001</v>
      </c>
      <c r="H3435" s="1">
        <v>-1.0884409999999999E-5</v>
      </c>
      <c r="I3435">
        <v>147.97399999999999</v>
      </c>
      <c r="J3435">
        <v>-193.19159999999999</v>
      </c>
      <c r="K3435">
        <v>1.0995239999999999</v>
      </c>
      <c r="L3435">
        <v>158.53360000000001</v>
      </c>
      <c r="M3435">
        <v>-0.23015740000000001</v>
      </c>
      <c r="N3435">
        <v>0</v>
      </c>
      <c r="O3435">
        <v>-0.97305649999999999</v>
      </c>
      <c r="P3435">
        <v>-0.36425469999999999</v>
      </c>
      <c r="Q3435">
        <v>2.774505E-2</v>
      </c>
      <c r="R3435">
        <v>-0.93088649999999995</v>
      </c>
      <c r="S3435">
        <v>-2.0921780000000001</v>
      </c>
      <c r="T3435">
        <v>-0.24847230000000001</v>
      </c>
      <c r="U3435">
        <v>-2.4183500000000002</v>
      </c>
      <c r="V3435">
        <v>0.14073550000000001</v>
      </c>
      <c r="W3435">
        <v>3.9495990000000002E-2</v>
      </c>
      <c r="X3435">
        <v>0.98925909999999995</v>
      </c>
      <c r="Y3435">
        <v>0.4605165</v>
      </c>
      <c r="Z3435">
        <v>7.9754169999999999E-2</v>
      </c>
      <c r="AA3435">
        <v>0.88406099999999999</v>
      </c>
      <c r="AB3435">
        <v>24</v>
      </c>
      <c r="AC3435">
        <v>-9.2204000000000104</v>
      </c>
      <c r="AD3435">
        <v>-1.0995348844099999</v>
      </c>
      <c r="AE3435">
        <v>-10.5596</v>
      </c>
      <c r="AF3435">
        <v>6.5022161151982401</v>
      </c>
      <c r="AG3435">
        <v>-1.0995348844099999</v>
      </c>
      <c r="AH3435">
        <v>12.322592701162399</v>
      </c>
      <c r="AI3435">
        <v>94.512234344795104</v>
      </c>
      <c r="AJ3435">
        <v>62.180902355537697</v>
      </c>
      <c r="AK3435">
        <v>13.9761969880765</v>
      </c>
    </row>
    <row r="3436" spans="1:37" x14ac:dyDescent="0.2">
      <c r="A3436" t="str">
        <f>"20200111153503416"</f>
        <v>20200111153503416</v>
      </c>
      <c r="B3436" t="str">
        <f>"1578728103409301"</f>
        <v>1578728103409301</v>
      </c>
      <c r="C3436" t="s">
        <v>37</v>
      </c>
      <c r="D3436">
        <v>4.9307889999999999</v>
      </c>
      <c r="E3436">
        <v>0.63469039999999999</v>
      </c>
      <c r="F3436" t="s">
        <v>51</v>
      </c>
      <c r="G3436">
        <v>-202.08410000000001</v>
      </c>
      <c r="H3436" s="1">
        <v>-1.112954E-5</v>
      </c>
      <c r="I3436">
        <v>148.3091</v>
      </c>
      <c r="J3436">
        <v>-193.2304</v>
      </c>
      <c r="K3436">
        <v>1.099442</v>
      </c>
      <c r="L3436">
        <v>158.3921</v>
      </c>
      <c r="M3436">
        <v>-0.235002299999999</v>
      </c>
      <c r="N3436">
        <v>0</v>
      </c>
      <c r="O3436">
        <v>-0.97189740000000002</v>
      </c>
      <c r="P3436">
        <v>-0.36983480000000002</v>
      </c>
      <c r="Q3436">
        <v>2.795694E-2</v>
      </c>
      <c r="R3436">
        <v>-0.92867690000000003</v>
      </c>
      <c r="S3436">
        <v>-2.0962369999999999</v>
      </c>
      <c r="T3436">
        <v>-0.25919350000000002</v>
      </c>
      <c r="U3436">
        <v>-2.4102169999999998</v>
      </c>
      <c r="V3436">
        <v>0.14175670000000001</v>
      </c>
      <c r="W3436">
        <v>3.9680380000000001E-2</v>
      </c>
      <c r="X3436">
        <v>0.98910589999999998</v>
      </c>
      <c r="Y3436">
        <v>0.45822940000000001</v>
      </c>
      <c r="Z3436">
        <v>8.3241419999999997E-2</v>
      </c>
      <c r="AA3436">
        <v>0.88492749999999998</v>
      </c>
      <c r="AB3436">
        <v>24</v>
      </c>
      <c r="AC3436">
        <v>-8.8536999999999999</v>
      </c>
      <c r="AD3436">
        <v>-1.0994531295400001</v>
      </c>
      <c r="AE3436">
        <v>-10.082999999999901</v>
      </c>
      <c r="AF3436">
        <v>6.19436445640165</v>
      </c>
      <c r="AG3436">
        <v>-1.0994531295400001</v>
      </c>
      <c r="AH3436">
        <v>11.8021725518389</v>
      </c>
      <c r="AI3436">
        <v>94.715423453210207</v>
      </c>
      <c r="AJ3436">
        <v>62.307287089405897</v>
      </c>
      <c r="AK3436">
        <v>13.374237366899299</v>
      </c>
    </row>
    <row r="3437" spans="1:37" x14ac:dyDescent="0.2">
      <c r="A3437" t="str">
        <f>"20200111153503432"</f>
        <v>20200111153503432</v>
      </c>
      <c r="B3437" t="str">
        <f>"1578728103429796"</f>
        <v>1578728103429796</v>
      </c>
      <c r="C3437" t="s">
        <v>37</v>
      </c>
      <c r="D3437">
        <v>4.944318</v>
      </c>
      <c r="E3437">
        <v>0.63396859999999999</v>
      </c>
      <c r="F3437" t="s">
        <v>51</v>
      </c>
      <c r="G3437">
        <v>-201.98560000000001</v>
      </c>
      <c r="H3437" s="1">
        <v>-1.1205129999999999E-5</v>
      </c>
      <c r="I3437">
        <v>148.41630000000001</v>
      </c>
      <c r="J3437">
        <v>-193.2766</v>
      </c>
      <c r="K3437">
        <v>1.0993520000000001</v>
      </c>
      <c r="L3437">
        <v>158.22890000000001</v>
      </c>
      <c r="M3437">
        <v>-0.24070549999999999</v>
      </c>
      <c r="N3437">
        <v>0</v>
      </c>
      <c r="O3437">
        <v>-0.97050040000000004</v>
      </c>
      <c r="P3437">
        <v>-0.37698939999999997</v>
      </c>
      <c r="Q3437">
        <v>2.8447130000000001E-2</v>
      </c>
      <c r="R3437">
        <v>-0.92578069999999901</v>
      </c>
      <c r="S3437">
        <v>-2.1060180000000002</v>
      </c>
      <c r="T3437">
        <v>-0.26447019999999999</v>
      </c>
      <c r="U3437">
        <v>-2.3996430000000002</v>
      </c>
      <c r="V3437">
        <v>0.1435999</v>
      </c>
      <c r="W3437">
        <v>4.0129669999999999E-2</v>
      </c>
      <c r="X3437">
        <v>0.98882190000000003</v>
      </c>
      <c r="Y3437">
        <v>0.45688679999999898</v>
      </c>
      <c r="Z3437">
        <v>8.4949440000000001E-2</v>
      </c>
      <c r="AA3437">
        <v>0.885459199999999</v>
      </c>
      <c r="AB3437">
        <v>24</v>
      </c>
      <c r="AC3437">
        <v>-8.7089999999999996</v>
      </c>
      <c r="AD3437">
        <v>-1.09936320513</v>
      </c>
      <c r="AE3437">
        <v>-9.8125999999999998</v>
      </c>
      <c r="AF3437">
        <v>6.0482528685675403</v>
      </c>
      <c r="AG3437">
        <v>-1.09936320513</v>
      </c>
      <c r="AH3437">
        <v>11.5395173024292</v>
      </c>
      <c r="AI3437">
        <v>94.823272605062101</v>
      </c>
      <c r="AJ3437">
        <v>62.339440100520498</v>
      </c>
      <c r="AK3437">
        <v>13.0748010230364</v>
      </c>
    </row>
    <row r="3438" spans="1:37" x14ac:dyDescent="0.2">
      <c r="A3438" t="str">
        <f>"20200111153503445"</f>
        <v>20200111153503445</v>
      </c>
      <c r="B3438" t="str">
        <f>"1578728103439556"</f>
        <v>1578728103439556</v>
      </c>
      <c r="C3438" t="s">
        <v>37</v>
      </c>
      <c r="D3438">
        <v>4.9051019999999896</v>
      </c>
      <c r="E3438">
        <v>0.63359639999999995</v>
      </c>
      <c r="F3438" t="s">
        <v>51</v>
      </c>
      <c r="G3438">
        <v>-201.90190000000001</v>
      </c>
      <c r="H3438" s="1">
        <v>-1.1272499999999999E-5</v>
      </c>
      <c r="I3438">
        <v>148.5181</v>
      </c>
      <c r="J3438">
        <v>-193.31379999999999</v>
      </c>
      <c r="K3438">
        <v>1.099281</v>
      </c>
      <c r="L3438">
        <v>158.09960000000001</v>
      </c>
      <c r="M3438">
        <v>-0.2452821</v>
      </c>
      <c r="N3438">
        <v>0</v>
      </c>
      <c r="O3438">
        <v>-0.96935369999999998</v>
      </c>
      <c r="P3438">
        <v>-0.38228679999999998</v>
      </c>
      <c r="Q3438">
        <v>2.8078189999999999E-2</v>
      </c>
      <c r="R3438">
        <v>-0.92361719999999903</v>
      </c>
      <c r="S3438">
        <v>-2.1191709999999899</v>
      </c>
      <c r="T3438">
        <v>-0.27010440000000002</v>
      </c>
      <c r="U3438">
        <v>-2.38586399999999</v>
      </c>
      <c r="V3438">
        <v>0.14459839999999999</v>
      </c>
      <c r="W3438">
        <v>3.973517E-2</v>
      </c>
      <c r="X3438">
        <v>0.98869229999999997</v>
      </c>
      <c r="Y3438">
        <v>0.45785119999999901</v>
      </c>
      <c r="Z3438">
        <v>8.680032E-2</v>
      </c>
      <c r="AA3438">
        <v>0.88478129999999999</v>
      </c>
      <c r="AB3438">
        <v>24</v>
      </c>
      <c r="AC3438">
        <v>-8.5881000000000203</v>
      </c>
      <c r="AD3438">
        <v>-1.0992922725000001</v>
      </c>
      <c r="AE3438">
        <v>-9.5815000000000001</v>
      </c>
      <c r="AF3438">
        <v>5.9320057301712001</v>
      </c>
      <c r="AG3438">
        <v>-1.0992922725000001</v>
      </c>
      <c r="AH3438">
        <v>11.3128790026828</v>
      </c>
      <c r="AI3438">
        <v>94.918662721310099</v>
      </c>
      <c r="AJ3438">
        <v>62.329342493592101</v>
      </c>
      <c r="AK3438">
        <v>12.8210127061985</v>
      </c>
    </row>
    <row r="3439" spans="1:37" x14ac:dyDescent="0.2">
      <c r="A3439" t="str">
        <f>"20200111153503456"</f>
        <v>20200111153503456</v>
      </c>
      <c r="B3439" t="str">
        <f>"1578728103449317"</f>
        <v>1578728103449317</v>
      </c>
      <c r="C3439" t="s">
        <v>37</v>
      </c>
      <c r="D3439">
        <v>4.9407230000000002</v>
      </c>
      <c r="E3439">
        <v>0.63326450000000001</v>
      </c>
      <c r="F3439" t="s">
        <v>51</v>
      </c>
      <c r="G3439">
        <v>-201.86279999999999</v>
      </c>
      <c r="H3439" s="1">
        <v>-1.13045899999999E-5</v>
      </c>
      <c r="I3439">
        <v>148.5676</v>
      </c>
      <c r="J3439">
        <v>-193.3503</v>
      </c>
      <c r="K3439">
        <v>1.099213</v>
      </c>
      <c r="L3439">
        <v>157.9751</v>
      </c>
      <c r="M3439">
        <v>-0.249741399999999</v>
      </c>
      <c r="N3439">
        <v>0</v>
      </c>
      <c r="O3439">
        <v>-0.96821429999999997</v>
      </c>
      <c r="P3439">
        <v>-0.38710939999999999</v>
      </c>
      <c r="Q3439">
        <v>2.7905119999999999E-2</v>
      </c>
      <c r="R3439">
        <v>-0.92161170000000003</v>
      </c>
      <c r="S3439">
        <v>-2.1299290000000002</v>
      </c>
      <c r="T3439">
        <v>-0.27388289999999998</v>
      </c>
      <c r="U3439">
        <v>-2.3748469999999999</v>
      </c>
      <c r="V3439">
        <v>0.14521870000000001</v>
      </c>
      <c r="W3439">
        <v>3.9543160000000001E-2</v>
      </c>
      <c r="X3439">
        <v>0.98860910000000002</v>
      </c>
      <c r="Y3439">
        <v>0.45794979999999902</v>
      </c>
      <c r="Z3439">
        <v>8.8032159999999998E-2</v>
      </c>
      <c r="AA3439">
        <v>0.88460859999999997</v>
      </c>
      <c r="AB3439">
        <v>24</v>
      </c>
      <c r="AC3439">
        <v>-8.5124999999999797</v>
      </c>
      <c r="AD3439">
        <v>-1.0992243045900001</v>
      </c>
      <c r="AE3439">
        <v>-9.4075000000000006</v>
      </c>
      <c r="AF3439">
        <v>5.8491355039113797</v>
      </c>
      <c r="AG3439">
        <v>-1.0992243045900001</v>
      </c>
      <c r="AH3439">
        <v>11.1517567686573</v>
      </c>
      <c r="AI3439">
        <v>94.988769392267599</v>
      </c>
      <c r="AJ3439">
        <v>62.322832275782098</v>
      </c>
      <c r="AK3439">
        <v>12.6405047067833</v>
      </c>
    </row>
    <row r="3440" spans="1:37" x14ac:dyDescent="0.2">
      <c r="A3440" t="str">
        <f>"20200111153503468"</f>
        <v>20200111153503468</v>
      </c>
      <c r="B3440" t="str">
        <f>"1578728103459076"</f>
        <v>1578728103459076</v>
      </c>
      <c r="C3440" t="s">
        <v>37</v>
      </c>
      <c r="D3440">
        <v>4.9272299999999998</v>
      </c>
      <c r="E3440">
        <v>0.63289419999999996</v>
      </c>
      <c r="F3440" t="s">
        <v>51</v>
      </c>
      <c r="G3440">
        <v>-201.84739999999999</v>
      </c>
      <c r="H3440" s="1">
        <v>-1.1316649999999999E-5</v>
      </c>
      <c r="I3440">
        <v>148.58529999999999</v>
      </c>
      <c r="J3440">
        <v>-193.38749999999999</v>
      </c>
      <c r="K3440">
        <v>1.0991409999999999</v>
      </c>
      <c r="L3440">
        <v>157.85140000000001</v>
      </c>
      <c r="M3440">
        <v>-0.2542432</v>
      </c>
      <c r="N3440">
        <v>0</v>
      </c>
      <c r="O3440">
        <v>-0.96704190000000001</v>
      </c>
      <c r="P3440">
        <v>-0.39200309999999999</v>
      </c>
      <c r="Q3440">
        <v>2.7743170000000001E-2</v>
      </c>
      <c r="R3440">
        <v>-0.91954609999999903</v>
      </c>
      <c r="S3440">
        <v>-2.1398929999999998</v>
      </c>
      <c r="T3440">
        <v>-0.27682629999999903</v>
      </c>
      <c r="U3440">
        <v>-2.3647</v>
      </c>
      <c r="V3440">
        <v>0.14587739999999999</v>
      </c>
      <c r="W3440">
        <v>3.9362099999999997E-2</v>
      </c>
      <c r="X3440">
        <v>0.98851929999999999</v>
      </c>
      <c r="Y3440">
        <v>0.45769719999999903</v>
      </c>
      <c r="Z3440">
        <v>8.8986140000000005E-2</v>
      </c>
      <c r="AA3440">
        <v>0.88464390000000004</v>
      </c>
      <c r="AB3440">
        <v>24</v>
      </c>
      <c r="AC3440">
        <v>-8.4598999999999993</v>
      </c>
      <c r="AD3440">
        <v>-1.0991523166499999</v>
      </c>
      <c r="AE3440">
        <v>-9.2661000000000193</v>
      </c>
      <c r="AF3440">
        <v>5.7814222268475204</v>
      </c>
      <c r="AG3440">
        <v>-1.0991523166499999</v>
      </c>
      <c r="AH3440">
        <v>11.0280068352744</v>
      </c>
      <c r="AI3440">
        <v>95.044659742318004</v>
      </c>
      <c r="AJ3440">
        <v>62.334266683123801</v>
      </c>
      <c r="AK3440">
        <v>12.499996541565199</v>
      </c>
    </row>
    <row r="3441" spans="1:37" x14ac:dyDescent="0.2">
      <c r="A3441" t="str">
        <f>"20200111153503482"</f>
        <v>20200111153503482</v>
      </c>
      <c r="B3441" t="str">
        <f>"1578728103479573"</f>
        <v>1578728103479573</v>
      </c>
      <c r="C3441" t="s">
        <v>37</v>
      </c>
      <c r="D3441">
        <v>4.888954</v>
      </c>
      <c r="E3441">
        <v>0.63248959999999999</v>
      </c>
      <c r="F3441" t="s">
        <v>51</v>
      </c>
      <c r="G3441">
        <v>-201.8167</v>
      </c>
      <c r="H3441" s="1">
        <v>-1.134029E-5</v>
      </c>
      <c r="I3441">
        <v>148.6189</v>
      </c>
      <c r="J3441">
        <v>-193.4308</v>
      </c>
      <c r="K3441">
        <v>1.0990709999999999</v>
      </c>
      <c r="L3441">
        <v>157.70920000000001</v>
      </c>
      <c r="M3441">
        <v>-0.25946590000000003</v>
      </c>
      <c r="N3441">
        <v>0</v>
      </c>
      <c r="O3441">
        <v>-0.96565309999999904</v>
      </c>
      <c r="P3441">
        <v>-0.39764379999999999</v>
      </c>
      <c r="Q3441">
        <v>2.754914E-2</v>
      </c>
      <c r="R3441">
        <v>-0.917126199999999</v>
      </c>
      <c r="S3441">
        <v>-2.1496580000000001</v>
      </c>
      <c r="T3441">
        <v>-0.28031129999999999</v>
      </c>
      <c r="U3441">
        <v>-2.3545229999999999</v>
      </c>
      <c r="V3441">
        <v>0.14660970000000001</v>
      </c>
      <c r="W3441">
        <v>3.9147210000000002E-2</v>
      </c>
      <c r="X3441">
        <v>0.98841950000000001</v>
      </c>
      <c r="Y3441">
        <v>0.45673130000000001</v>
      </c>
      <c r="Z3441">
        <v>9.0102409999999994E-2</v>
      </c>
      <c r="AA3441">
        <v>0.88502999999999898</v>
      </c>
      <c r="AB3441">
        <v>24</v>
      </c>
      <c r="AC3441">
        <v>-8.3858999999999906</v>
      </c>
      <c r="AD3441">
        <v>-1.0990823402899901</v>
      </c>
      <c r="AE3441">
        <v>-9.0903000000000098</v>
      </c>
      <c r="AF3441">
        <v>5.6948221319926402</v>
      </c>
      <c r="AG3441">
        <v>-1.0990823402899901</v>
      </c>
      <c r="AH3441">
        <v>10.8691412545879</v>
      </c>
      <c r="AI3441">
        <v>95.118318999143099</v>
      </c>
      <c r="AJ3441">
        <v>62.3479756874003</v>
      </c>
      <c r="AK3441">
        <v>12.319789475391</v>
      </c>
    </row>
    <row r="3442" spans="1:37" x14ac:dyDescent="0.2">
      <c r="A3442" t="str">
        <f>"20200111153503496"</f>
        <v>20200111153503496</v>
      </c>
      <c r="B3442" t="str">
        <f>"1578728103489332"</f>
        <v>1578728103489332</v>
      </c>
      <c r="C3442" t="s">
        <v>37</v>
      </c>
      <c r="D3442">
        <v>4.8654419999999998</v>
      </c>
      <c r="E3442">
        <v>0.63232739999999998</v>
      </c>
      <c r="F3442" t="s">
        <v>51</v>
      </c>
      <c r="G3442">
        <v>-201.8142</v>
      </c>
      <c r="H3442" s="1">
        <v>-1.134208E-5</v>
      </c>
      <c r="I3442">
        <v>148.62119999999999</v>
      </c>
      <c r="J3442">
        <v>-193.47880000000001</v>
      </c>
      <c r="K3442">
        <v>1.098997</v>
      </c>
      <c r="L3442">
        <v>157.55529999999999</v>
      </c>
      <c r="M3442">
        <v>-0.26520139999999998</v>
      </c>
      <c r="N3442">
        <v>0</v>
      </c>
      <c r="O3442">
        <v>-0.9640936</v>
      </c>
      <c r="P3442">
        <v>-0.40377190000000002</v>
      </c>
      <c r="Q3442">
        <v>2.7455259999999999E-2</v>
      </c>
      <c r="R3442">
        <v>-0.91444809999999999</v>
      </c>
      <c r="S3442">
        <v>-2.1609950000000002</v>
      </c>
      <c r="T3442">
        <v>-0.28331139999999999</v>
      </c>
      <c r="U3442">
        <v>-2.3426209999999998</v>
      </c>
      <c r="V3442">
        <v>0.1473536</v>
      </c>
      <c r="W3442">
        <v>3.9031900000000001E-2</v>
      </c>
      <c r="X3442">
        <v>0.98831340000000001</v>
      </c>
      <c r="Y3442">
        <v>0.4559415</v>
      </c>
      <c r="Z3442">
        <v>9.106562E-2</v>
      </c>
      <c r="AA3442">
        <v>0.88533859999999998</v>
      </c>
      <c r="AB3442">
        <v>24</v>
      </c>
      <c r="AC3442">
        <v>-8.3353999999999893</v>
      </c>
      <c r="AD3442">
        <v>-1.0990083420800001</v>
      </c>
      <c r="AE3442">
        <v>-8.9341000000000008</v>
      </c>
      <c r="AF3442">
        <v>5.6218324768696402</v>
      </c>
      <c r="AG3442">
        <v>-1.0990083420800001</v>
      </c>
      <c r="AH3442">
        <v>10.738035099321401</v>
      </c>
      <c r="AI3442">
        <v>95.1809737607161</v>
      </c>
      <c r="AJ3442">
        <v>62.365969593518003</v>
      </c>
      <c r="AK3442">
        <v>12.170382801219001</v>
      </c>
    </row>
    <row r="3443" spans="1:37" x14ac:dyDescent="0.2">
      <c r="A3443" t="str">
        <f>"20200111153503511"</f>
        <v>20200111153503511</v>
      </c>
      <c r="B3443" t="str">
        <f>"1578728103499092"</f>
        <v>1578728103499092</v>
      </c>
      <c r="C3443" t="s">
        <v>37</v>
      </c>
      <c r="D3443">
        <v>4.9053300000000002</v>
      </c>
      <c r="E3443">
        <v>0.63215459999999901</v>
      </c>
      <c r="F3443" t="s">
        <v>51</v>
      </c>
      <c r="G3443">
        <v>-201.8905</v>
      </c>
      <c r="H3443" s="1">
        <v>-1.128711E-5</v>
      </c>
      <c r="I3443">
        <v>148.55009999999999</v>
      </c>
      <c r="J3443">
        <v>-193.52590000000001</v>
      </c>
      <c r="K3443">
        <v>1.0989370000000001</v>
      </c>
      <c r="L3443">
        <v>157.40819999999999</v>
      </c>
      <c r="M3443">
        <v>-0.2707676</v>
      </c>
      <c r="N3443">
        <v>0</v>
      </c>
      <c r="O3443">
        <v>-0.96254490000000004</v>
      </c>
      <c r="P3443">
        <v>-0.40997429999999901</v>
      </c>
      <c r="Q3443">
        <v>2.762939E-2</v>
      </c>
      <c r="R3443">
        <v>-0.91167900000000002</v>
      </c>
      <c r="S3443">
        <v>-2.1752470000000002</v>
      </c>
      <c r="T3443">
        <v>-0.284201599999999</v>
      </c>
      <c r="U3443">
        <v>-2.3287200000000001</v>
      </c>
      <c r="V3443">
        <v>0.148367</v>
      </c>
      <c r="W3443">
        <v>3.9182469999999997E-2</v>
      </c>
      <c r="X3443">
        <v>0.98815580000000003</v>
      </c>
      <c r="Y3443">
        <v>0.45631480000000002</v>
      </c>
      <c r="Z3443">
        <v>9.1351669999999996E-2</v>
      </c>
      <c r="AA3443">
        <v>0.88511679999999904</v>
      </c>
      <c r="AB3443">
        <v>24</v>
      </c>
      <c r="AC3443">
        <v>-8.3645999999999905</v>
      </c>
      <c r="AD3443">
        <v>-1.09894828711</v>
      </c>
      <c r="AE3443">
        <v>-8.8581000000000092</v>
      </c>
      <c r="AF3443">
        <v>5.60773390653776</v>
      </c>
      <c r="AG3443">
        <v>-1.09894828711</v>
      </c>
      <c r="AH3443">
        <v>10.7051191579556</v>
      </c>
      <c r="AI3443">
        <v>95.195912779381104</v>
      </c>
      <c r="AJ3443">
        <v>62.352804434562799</v>
      </c>
      <c r="AK3443">
        <v>12.134823570629401</v>
      </c>
    </row>
    <row r="3444" spans="1:37" x14ac:dyDescent="0.2">
      <c r="A3444" t="str">
        <f>"20200111153503526"</f>
        <v>20200111153503526</v>
      </c>
      <c r="B3444" t="str">
        <f>"1578728103519589"</f>
        <v>1578728103519589</v>
      </c>
      <c r="C3444" t="s">
        <v>37</v>
      </c>
      <c r="D3444">
        <v>4.9050789999999997</v>
      </c>
      <c r="E3444">
        <v>0.63184319999999905</v>
      </c>
      <c r="F3444" t="s">
        <v>51</v>
      </c>
      <c r="G3444">
        <v>-201.95939999999999</v>
      </c>
      <c r="H3444" s="1">
        <v>-1.123963E-5</v>
      </c>
      <c r="I3444">
        <v>148.4932</v>
      </c>
      <c r="J3444">
        <v>-193.57509999999999</v>
      </c>
      <c r="K3444">
        <v>1.098873</v>
      </c>
      <c r="L3444">
        <v>157.25720000000001</v>
      </c>
      <c r="M3444">
        <v>-0.27654269999999997</v>
      </c>
      <c r="N3444">
        <v>0</v>
      </c>
      <c r="O3444">
        <v>-0.96090140000000002</v>
      </c>
      <c r="P3444">
        <v>-0.41589589999999999</v>
      </c>
      <c r="Q3444">
        <v>2.8128589999999998E-2</v>
      </c>
      <c r="R3444">
        <v>-0.90897739999999905</v>
      </c>
      <c r="S3444">
        <v>-2.1896059999999999</v>
      </c>
      <c r="T3444">
        <v>-0.28532209999999902</v>
      </c>
      <c r="U3444">
        <v>-2.3146209999999998</v>
      </c>
      <c r="V3444">
        <v>0.14887899999999901</v>
      </c>
      <c r="W3444">
        <v>3.9666559999999997E-2</v>
      </c>
      <c r="X3444">
        <v>0.98805949999999998</v>
      </c>
      <c r="Y3444">
        <v>0.45654289999999997</v>
      </c>
      <c r="Z3444">
        <v>9.1703850000000003E-2</v>
      </c>
      <c r="AA3444">
        <v>0.88496269999999999</v>
      </c>
      <c r="AB3444">
        <v>24</v>
      </c>
      <c r="AC3444">
        <v>-8.3842999999999908</v>
      </c>
      <c r="AD3444">
        <v>-1.09888423963</v>
      </c>
      <c r="AE3444">
        <v>-8.76400000000001</v>
      </c>
      <c r="AF3444">
        <v>5.58754108375188</v>
      </c>
      <c r="AG3444">
        <v>-1.09888423963</v>
      </c>
      <c r="AH3444">
        <v>10.6535388149683</v>
      </c>
      <c r="AI3444">
        <v>95.219260291600406</v>
      </c>
      <c r="AJ3444">
        <v>62.324002119415802</v>
      </c>
      <c r="AK3444">
        <v>12.0799855635989</v>
      </c>
    </row>
    <row r="3445" spans="1:37" x14ac:dyDescent="0.2">
      <c r="A3445" t="str">
        <f>"20200111153503540"</f>
        <v>20200111153503540</v>
      </c>
      <c r="B3445" t="str">
        <f>"1578728103529348"</f>
        <v>1578728103529348</v>
      </c>
      <c r="C3445" t="s">
        <v>37</v>
      </c>
      <c r="D3445">
        <v>4.8998099999999898</v>
      </c>
      <c r="E3445">
        <v>0.63166420000000001</v>
      </c>
      <c r="F3445" t="s">
        <v>51</v>
      </c>
      <c r="G3445">
        <v>-202.0505</v>
      </c>
      <c r="H3445" s="1">
        <v>-1.11716E-5</v>
      </c>
      <c r="I3445">
        <v>148.40039999999999</v>
      </c>
      <c r="J3445">
        <v>-193.62450000000001</v>
      </c>
      <c r="K3445">
        <v>1.0988169999999999</v>
      </c>
      <c r="L3445">
        <v>157.10849999999999</v>
      </c>
      <c r="M3445">
        <v>-0.2822809</v>
      </c>
      <c r="N3445">
        <v>0</v>
      </c>
      <c r="O3445">
        <v>-0.9592311</v>
      </c>
      <c r="P3445">
        <v>-0.4215682</v>
      </c>
      <c r="Q3445">
        <v>2.8334720000000001E-2</v>
      </c>
      <c r="R3445">
        <v>-0.90635409999999905</v>
      </c>
      <c r="S3445">
        <v>-2.2024539999999999</v>
      </c>
      <c r="T3445">
        <v>-0.2855606</v>
      </c>
      <c r="U3445">
        <v>-2.3015439999999998</v>
      </c>
      <c r="V3445">
        <v>0.14915909999999999</v>
      </c>
      <c r="W3445">
        <v>3.986191E-2</v>
      </c>
      <c r="X3445">
        <v>0.98800940000000004</v>
      </c>
      <c r="Y3445">
        <v>0.45631559999999999</v>
      </c>
      <c r="Z3445">
        <v>9.1769820000000002E-2</v>
      </c>
      <c r="AA3445">
        <v>0.88507309999999995</v>
      </c>
      <c r="AB3445">
        <v>24</v>
      </c>
      <c r="AC3445">
        <v>-8.4259999999999806</v>
      </c>
      <c r="AD3445">
        <v>-1.0988281715999999</v>
      </c>
      <c r="AE3445">
        <v>-8.7081</v>
      </c>
      <c r="AF3445">
        <v>5.5790160538227598</v>
      </c>
      <c r="AG3445">
        <v>-1.0988281715999999</v>
      </c>
      <c r="AH3445">
        <v>10.6450776761202</v>
      </c>
      <c r="AI3445">
        <v>95.223941049830103</v>
      </c>
      <c r="AJ3445">
        <v>62.341258442814599</v>
      </c>
      <c r="AK3445">
        <v>12.0685758153208</v>
      </c>
    </row>
    <row r="3446" spans="1:37" x14ac:dyDescent="0.2">
      <c r="A3446" t="str">
        <f>"20200111153503556"</f>
        <v>20200111153503556</v>
      </c>
      <c r="B3446" t="str">
        <f>"1578728103549844"</f>
        <v>1578728103549844</v>
      </c>
      <c r="C3446" t="s">
        <v>37</v>
      </c>
      <c r="D3446">
        <v>4.8953129999999998</v>
      </c>
      <c r="E3446">
        <v>0.63137959999999904</v>
      </c>
      <c r="F3446" t="s">
        <v>51</v>
      </c>
      <c r="G3446">
        <v>-202.10990000000001</v>
      </c>
      <c r="H3446" s="1">
        <v>-1.1128629999999999E-5</v>
      </c>
      <c r="I3446">
        <v>148.34450000000001</v>
      </c>
      <c r="J3446">
        <v>-193.6833</v>
      </c>
      <c r="K3446">
        <v>1.098757</v>
      </c>
      <c r="L3446">
        <v>156.93629999999999</v>
      </c>
      <c r="M3446">
        <v>-0.28902369999999999</v>
      </c>
      <c r="N3446">
        <v>0</v>
      </c>
      <c r="O3446">
        <v>-0.95722070000000004</v>
      </c>
      <c r="P3446">
        <v>-0.42846830000000002</v>
      </c>
      <c r="Q3446">
        <v>2.85375E-2</v>
      </c>
      <c r="R3446">
        <v>-0.90310619999999997</v>
      </c>
      <c r="S3446">
        <v>-2.2156370000000001</v>
      </c>
      <c r="T3446">
        <v>-0.28691609999999901</v>
      </c>
      <c r="U3446">
        <v>-2.288376</v>
      </c>
      <c r="V3446">
        <v>0.14975339999999901</v>
      </c>
      <c r="W3446">
        <v>4.0049630000000003E-2</v>
      </c>
      <c r="X3446">
        <v>0.98791189999999995</v>
      </c>
      <c r="Y3446">
        <v>0.45521049999999902</v>
      </c>
      <c r="Z3446">
        <v>9.2161939999999998E-2</v>
      </c>
      <c r="AA3446">
        <v>0.88560119999999898</v>
      </c>
      <c r="AB3446">
        <v>24</v>
      </c>
      <c r="AC3446">
        <v>-8.4266000000000005</v>
      </c>
      <c r="AD3446">
        <v>-1.09876812863</v>
      </c>
      <c r="AE3446">
        <v>-8.5917999999999708</v>
      </c>
      <c r="AF3446">
        <v>5.5372640024165696</v>
      </c>
      <c r="AG3446">
        <v>-1.09876812863</v>
      </c>
      <c r="AH3446">
        <v>10.572634468665299</v>
      </c>
      <c r="AI3446">
        <v>95.260019112116197</v>
      </c>
      <c r="AJ3446">
        <v>62.357352826016303</v>
      </c>
      <c r="AK3446">
        <v>11.9853737380593</v>
      </c>
    </row>
    <row r="3447" spans="1:37" x14ac:dyDescent="0.2">
      <c r="A3447" t="str">
        <f>"20200111153503569"</f>
        <v>20200111153503569</v>
      </c>
      <c r="B3447" t="str">
        <f>"1578728103559604"</f>
        <v>1578728103559604</v>
      </c>
      <c r="C3447" t="s">
        <v>37</v>
      </c>
      <c r="D3447">
        <v>4.883229</v>
      </c>
      <c r="E3447">
        <v>0.63125430000000005</v>
      </c>
      <c r="F3447" t="s">
        <v>51</v>
      </c>
      <c r="G3447">
        <v>-202.1737</v>
      </c>
      <c r="H3447" s="1">
        <v>-1.1083319999999899E-5</v>
      </c>
      <c r="I3447">
        <v>148.28729999999999</v>
      </c>
      <c r="J3447">
        <v>-193.72829999999999</v>
      </c>
      <c r="K3447">
        <v>1.0987049999999901</v>
      </c>
      <c r="L3447">
        <v>156.8074</v>
      </c>
      <c r="M3447">
        <v>-0.2941279</v>
      </c>
      <c r="N3447">
        <v>0</v>
      </c>
      <c r="O3447">
        <v>-0.95566469999999903</v>
      </c>
      <c r="P3447">
        <v>-0.433417</v>
      </c>
      <c r="Q3447">
        <v>2.875339E-2</v>
      </c>
      <c r="R3447">
        <v>-0.90073510000000001</v>
      </c>
      <c r="S3447">
        <v>-2.2308810000000001</v>
      </c>
      <c r="T3447">
        <v>-0.28870489999999999</v>
      </c>
      <c r="U3447">
        <v>-2.2725680000000001</v>
      </c>
      <c r="V3447">
        <v>0.1499114</v>
      </c>
      <c r="W3447">
        <v>4.0259749999999997E-2</v>
      </c>
      <c r="X3447">
        <v>0.98787939999999996</v>
      </c>
      <c r="Y3447">
        <v>0.45652809999999999</v>
      </c>
      <c r="Z3447">
        <v>9.2744140000000003E-2</v>
      </c>
      <c r="AA3447">
        <v>0.88486189999999998</v>
      </c>
      <c r="AB3447">
        <v>24</v>
      </c>
      <c r="AC3447">
        <v>-8.4453999999999994</v>
      </c>
      <c r="AD3447">
        <v>-1.09871608331999</v>
      </c>
      <c r="AE3447">
        <v>-8.52010000000001</v>
      </c>
      <c r="AF3447">
        <v>5.5192154845085</v>
      </c>
      <c r="AG3447">
        <v>-1.09871608331999</v>
      </c>
      <c r="AH3447">
        <v>10.539014791943901</v>
      </c>
      <c r="AI3447">
        <v>95.276545752946404</v>
      </c>
      <c r="AJ3447">
        <v>62.359233015155603</v>
      </c>
      <c r="AK3447">
        <v>11.9473741625931</v>
      </c>
    </row>
    <row r="3448" spans="1:37" x14ac:dyDescent="0.2">
      <c r="A3448" t="str">
        <f>"20200111153503582"</f>
        <v>20200111153503582</v>
      </c>
      <c r="B3448" t="str">
        <f>"1578728103579125"</f>
        <v>1578728103579125</v>
      </c>
      <c r="C3448" t="s">
        <v>37</v>
      </c>
      <c r="D3448">
        <v>4.7691749999999997</v>
      </c>
      <c r="E3448">
        <v>0.63110080000000002</v>
      </c>
      <c r="F3448" t="s">
        <v>51</v>
      </c>
      <c r="G3448">
        <v>-202.26900000000001</v>
      </c>
      <c r="H3448" s="1">
        <v>-1.1014379999999999E-5</v>
      </c>
      <c r="I3448">
        <v>148.19759999999999</v>
      </c>
      <c r="J3448">
        <v>-193.77549999999999</v>
      </c>
      <c r="K3448">
        <v>1.0986610000000001</v>
      </c>
      <c r="L3448">
        <v>156.67420000000001</v>
      </c>
      <c r="M3448">
        <v>-0.2994251</v>
      </c>
      <c r="N3448">
        <v>0</v>
      </c>
      <c r="O3448">
        <v>-0.95401809999999998</v>
      </c>
      <c r="P3448">
        <v>-0.43864740000000002</v>
      </c>
      <c r="Q3448">
        <v>2.8806289999999998E-2</v>
      </c>
      <c r="R3448">
        <v>-0.89819819999999995</v>
      </c>
      <c r="S3448">
        <v>-2.2425839999999999</v>
      </c>
      <c r="T3448">
        <v>-0.28849979999999997</v>
      </c>
      <c r="U3448">
        <v>-2.2607569999999999</v>
      </c>
      <c r="V3448">
        <v>0.15018119999999999</v>
      </c>
      <c r="W3448">
        <v>4.0305489999999999E-2</v>
      </c>
      <c r="X3448">
        <v>0.98783659999999995</v>
      </c>
      <c r="Y3448">
        <v>0.456223499999999</v>
      </c>
      <c r="Z3448">
        <v>9.2647069999999998E-2</v>
      </c>
      <c r="AA3448">
        <v>0.88502919999999996</v>
      </c>
      <c r="AB3448">
        <v>24</v>
      </c>
      <c r="AC3448">
        <v>-8.4935000000000098</v>
      </c>
      <c r="AD3448">
        <v>-1.09867201438</v>
      </c>
      <c r="AE3448">
        <v>-8.4766000000000101</v>
      </c>
      <c r="AF3448">
        <v>5.5191195013178103</v>
      </c>
      <c r="AG3448">
        <v>-1.09867201438</v>
      </c>
      <c r="AH3448">
        <v>10.5426500579622</v>
      </c>
      <c r="AI3448">
        <v>95.274935043202902</v>
      </c>
      <c r="AJ3448">
        <v>62.367762559297297</v>
      </c>
      <c r="AK3448">
        <v>11.9505326454372</v>
      </c>
    </row>
    <row r="3449" spans="1:37" x14ac:dyDescent="0.2">
      <c r="A3449" t="str">
        <f>"20200111153503594"</f>
        <v>20200111153503594</v>
      </c>
      <c r="B3449" t="str">
        <f>"1578728103589860"</f>
        <v>1578728103589860</v>
      </c>
      <c r="C3449" t="s">
        <v>37</v>
      </c>
      <c r="D3449">
        <v>4.9717969999999996</v>
      </c>
      <c r="E3449">
        <v>0.6457176</v>
      </c>
      <c r="F3449" t="s">
        <v>51</v>
      </c>
      <c r="G3449">
        <v>-202.3347</v>
      </c>
      <c r="H3449" s="1">
        <v>-1.0967830000000001E-5</v>
      </c>
      <c r="I3449">
        <v>148.13910000000001</v>
      </c>
      <c r="J3449">
        <v>-193.82380000000001</v>
      </c>
      <c r="K3449">
        <v>1.0986180000000001</v>
      </c>
      <c r="L3449">
        <v>156.54079999999999</v>
      </c>
      <c r="M3449">
        <v>-0.30478769999999999</v>
      </c>
      <c r="N3449">
        <v>0</v>
      </c>
      <c r="O3449">
        <v>-0.95231809999999995</v>
      </c>
      <c r="P3449">
        <v>-0.44373509999999999</v>
      </c>
      <c r="Q3449">
        <v>2.9001240000000001E-2</v>
      </c>
      <c r="R3449">
        <v>-0.89568899999999996</v>
      </c>
      <c r="S3449">
        <v>-2.254578</v>
      </c>
      <c r="T3449">
        <v>-0.28940060000000001</v>
      </c>
      <c r="U3449">
        <v>-2.24823</v>
      </c>
      <c r="V3449">
        <v>0.1502358</v>
      </c>
      <c r="W3449">
        <v>4.0497020000000002E-2</v>
      </c>
      <c r="X3449">
        <v>0.98782039999999904</v>
      </c>
      <c r="Y3449">
        <v>0.45602330000000002</v>
      </c>
      <c r="Z3449">
        <v>9.290677E-2</v>
      </c>
      <c r="AA3449">
        <v>0.88510509999999998</v>
      </c>
      <c r="AB3449">
        <v>24</v>
      </c>
      <c r="AC3449">
        <v>-8.5108999999999906</v>
      </c>
      <c r="AD3449">
        <v>-1.0986289678300001</v>
      </c>
      <c r="AE3449">
        <v>-8.4016999999999697</v>
      </c>
      <c r="AF3449">
        <v>5.4984871314297497</v>
      </c>
      <c r="AG3449">
        <v>-1.0986289678300001</v>
      </c>
      <c r="AH3449">
        <v>10.507467197988101</v>
      </c>
      <c r="AI3449">
        <v>95.292746710826705</v>
      </c>
      <c r="AJ3449">
        <v>62.3772391364922</v>
      </c>
      <c r="AK3449">
        <v>11.909962773252101</v>
      </c>
    </row>
    <row r="3450" spans="1:37" x14ac:dyDescent="0.2">
      <c r="A3450" t="str">
        <f>"20200111153503610"</f>
        <v>20200111153503610</v>
      </c>
      <c r="B3450" t="str">
        <f>"1578728103599620"</f>
        <v>1578728103599620</v>
      </c>
      <c r="C3450" t="s">
        <v>37</v>
      </c>
      <c r="D3450">
        <v>4.7179459999999898</v>
      </c>
      <c r="E3450">
        <v>0.6457176</v>
      </c>
      <c r="F3450" t="s">
        <v>39</v>
      </c>
      <c r="G3450">
        <v>-216.1943</v>
      </c>
      <c r="H3450" s="1">
        <v>-2.42058E-6</v>
      </c>
      <c r="I3450">
        <v>136.00190000000001</v>
      </c>
      <c r="J3450">
        <v>-193.88210000000001</v>
      </c>
      <c r="K3450">
        <v>1.098579</v>
      </c>
      <c r="L3450">
        <v>156.38299999999899</v>
      </c>
      <c r="M3450">
        <v>-0.31118750000000001</v>
      </c>
      <c r="N3450">
        <v>0</v>
      </c>
      <c r="O3450">
        <v>-0.95024609999999998</v>
      </c>
      <c r="P3450">
        <v>-0.45042009999999999</v>
      </c>
      <c r="Q3450">
        <v>2.8859180000000002E-2</v>
      </c>
      <c r="R3450">
        <v>-0.89235069999999905</v>
      </c>
      <c r="S3450">
        <v>-2.3721770000000002</v>
      </c>
      <c r="T3450">
        <v>-0.1164979</v>
      </c>
      <c r="U3450">
        <v>-2.17794799999999</v>
      </c>
      <c r="V3450">
        <v>0.150977799999999</v>
      </c>
      <c r="W3450">
        <v>4.034074E-2</v>
      </c>
      <c r="X3450">
        <v>0.98771369999999903</v>
      </c>
      <c r="Y3450">
        <v>0.489033</v>
      </c>
      <c r="Z3450">
        <v>3.7297879999999999E-2</v>
      </c>
      <c r="AA3450">
        <v>0.87146749999999995</v>
      </c>
      <c r="AB3450">
        <v>24</v>
      </c>
      <c r="AC3450">
        <v>-22.312199999999901</v>
      </c>
      <c r="AD3450">
        <v>-1.09858142058</v>
      </c>
      <c r="AE3450">
        <v>-20.381099999999901</v>
      </c>
      <c r="AF3450">
        <v>14.8415701536832</v>
      </c>
      <c r="AG3450">
        <v>-1.09858142058</v>
      </c>
      <c r="AH3450">
        <v>26.278171847255699</v>
      </c>
      <c r="AI3450">
        <v>92.084722232337697</v>
      </c>
      <c r="AJ3450">
        <v>60.542802942083398</v>
      </c>
      <c r="AK3450">
        <v>30.199692074560101</v>
      </c>
    </row>
    <row r="3451" spans="1:37" x14ac:dyDescent="0.2">
      <c r="A3451" t="str">
        <f>"20200111153503624"</f>
        <v>20200111153503624</v>
      </c>
      <c r="B3451" t="str">
        <f>"1578728103619140"</f>
        <v>1578728103619140</v>
      </c>
      <c r="C3451" t="s">
        <v>37</v>
      </c>
      <c r="D3451">
        <v>4.965522</v>
      </c>
      <c r="E3451">
        <v>0.69793799999999995</v>
      </c>
      <c r="F3451" t="s">
        <v>39</v>
      </c>
      <c r="G3451">
        <v>-216.0582</v>
      </c>
      <c r="H3451" s="1">
        <v>-2.4281429999999998E-6</v>
      </c>
      <c r="I3451">
        <v>136.3219</v>
      </c>
      <c r="J3451">
        <v>-193.93010000000001</v>
      </c>
      <c r="K3451">
        <v>1.098543</v>
      </c>
      <c r="L3451">
        <v>156.255</v>
      </c>
      <c r="M3451">
        <v>-0.31640750000000001</v>
      </c>
      <c r="N3451">
        <v>0</v>
      </c>
      <c r="O3451">
        <v>-0.94852049999999999</v>
      </c>
      <c r="P3451">
        <v>-0.45598919999999998</v>
      </c>
      <c r="Q3451">
        <v>2.8834370000000002E-2</v>
      </c>
      <c r="R3451">
        <v>-0.88951840000000004</v>
      </c>
      <c r="S3451">
        <v>-2.38810699999999</v>
      </c>
      <c r="T3451">
        <v>-0.1183042</v>
      </c>
      <c r="U3451">
        <v>-2.160339</v>
      </c>
      <c r="V3451">
        <v>0.15172439999999901</v>
      </c>
      <c r="W3451">
        <v>4.0301199999999898E-2</v>
      </c>
      <c r="X3451">
        <v>0.9876009</v>
      </c>
      <c r="Y3451">
        <v>0.49064649999999999</v>
      </c>
      <c r="Z3451">
        <v>3.7874779999999997E-2</v>
      </c>
      <c r="AA3451">
        <v>0.87053519999999895</v>
      </c>
      <c r="AB3451">
        <v>24</v>
      </c>
      <c r="AC3451">
        <v>-22.1280999999999</v>
      </c>
      <c r="AD3451">
        <v>-1.098545428143</v>
      </c>
      <c r="AE3451">
        <v>-19.9331</v>
      </c>
      <c r="AF3451">
        <v>14.6634562873917</v>
      </c>
      <c r="AG3451">
        <v>-1.098545428143</v>
      </c>
      <c r="AH3451">
        <v>25.875773374249501</v>
      </c>
      <c r="AI3451">
        <v>92.115322212494107</v>
      </c>
      <c r="AJ3451">
        <v>60.460349477677497</v>
      </c>
      <c r="AK3451">
        <v>29.7620463017156</v>
      </c>
    </row>
    <row r="3452" spans="1:37" x14ac:dyDescent="0.2">
      <c r="A3452" t="str">
        <f>"20200111153503646"</f>
        <v>20200111153503646</v>
      </c>
      <c r="B3452" t="str">
        <f>"1578728103639637"</f>
        <v>1578728103639637</v>
      </c>
      <c r="C3452" t="s">
        <v>37</v>
      </c>
      <c r="D3452">
        <v>4.8208010000000003</v>
      </c>
      <c r="E3452">
        <v>0.70244910000000005</v>
      </c>
      <c r="F3452" t="s">
        <v>62</v>
      </c>
      <c r="G3452">
        <v>-246.374</v>
      </c>
      <c r="H3452">
        <v>0.96789059999999905</v>
      </c>
      <c r="I3452">
        <v>119.3436</v>
      </c>
      <c r="J3452">
        <v>-194.02260000000001</v>
      </c>
      <c r="K3452">
        <v>1.098473</v>
      </c>
      <c r="L3452">
        <v>156.01560000000001</v>
      </c>
      <c r="M3452">
        <v>-0.32628629999999997</v>
      </c>
      <c r="N3452">
        <v>0</v>
      </c>
      <c r="O3452">
        <v>-0.94516719999999899</v>
      </c>
      <c r="P3452">
        <v>-0.46640490000000001</v>
      </c>
      <c r="Q3452">
        <v>2.837829E-2</v>
      </c>
      <c r="R3452">
        <v>-0.88411620000000002</v>
      </c>
      <c r="S3452">
        <v>-2.7726899999999999</v>
      </c>
      <c r="T3452">
        <v>-6.9060329999999998E-3</v>
      </c>
      <c r="U3452">
        <v>-1.95149199999999</v>
      </c>
      <c r="V3452">
        <v>0.15301439999999999</v>
      </c>
      <c r="W3452">
        <v>3.9820939999999999E-2</v>
      </c>
      <c r="X3452">
        <v>0.98742129999999995</v>
      </c>
      <c r="Y3452">
        <v>0.58517710000000001</v>
      </c>
      <c r="Z3452">
        <v>2.1400970000000001E-3</v>
      </c>
      <c r="AA3452">
        <v>0.81090269999999898</v>
      </c>
      <c r="AB3452">
        <v>24</v>
      </c>
      <c r="AC3452">
        <v>-52.351399999999998</v>
      </c>
      <c r="AD3452">
        <v>-0.13058239999999999</v>
      </c>
      <c r="AE3452">
        <v>-36.671999999999997</v>
      </c>
      <c r="AF3452">
        <v>37.518779427274701</v>
      </c>
      <c r="AG3452">
        <v>-0.13058239999999999</v>
      </c>
      <c r="AH3452">
        <v>51.747577266328499</v>
      </c>
      <c r="AI3452">
        <v>90.1170538309036</v>
      </c>
      <c r="AJ3452">
        <v>54.056592032939299</v>
      </c>
      <c r="AK3452">
        <v>63.917819224456601</v>
      </c>
    </row>
    <row r="3453" spans="1:37" x14ac:dyDescent="0.2">
      <c r="A3453" t="str">
        <f>"20200111153503658"</f>
        <v>20200111153503658</v>
      </c>
      <c r="B3453" t="str">
        <f>"1578728103649397"</f>
        <v>1578728103649397</v>
      </c>
      <c r="C3453" t="s">
        <v>37</v>
      </c>
      <c r="D3453">
        <v>4.7887519999999997</v>
      </c>
      <c r="E3453">
        <v>0.70542289999999996</v>
      </c>
      <c r="F3453" t="s">
        <v>62</v>
      </c>
      <c r="G3453">
        <v>-248.96530000000001</v>
      </c>
      <c r="H3453">
        <v>2.1482009999999998</v>
      </c>
      <c r="I3453">
        <v>119.0955</v>
      </c>
      <c r="J3453">
        <v>-194.0677</v>
      </c>
      <c r="K3453">
        <v>1.0984419999999999</v>
      </c>
      <c r="L3453">
        <v>155.90110000000001</v>
      </c>
      <c r="M3453">
        <v>-0.33103959999999999</v>
      </c>
      <c r="N3453">
        <v>0</v>
      </c>
      <c r="O3453">
        <v>-0.94351289999999999</v>
      </c>
      <c r="P3453">
        <v>-0.47163480000000002</v>
      </c>
      <c r="Q3453">
        <v>2.7791369999999999E-2</v>
      </c>
      <c r="R3453">
        <v>-0.88135629999999998</v>
      </c>
      <c r="S3453">
        <v>-2.8273929999999998</v>
      </c>
      <c r="T3453">
        <v>5.4021119999999999E-2</v>
      </c>
      <c r="U3453">
        <v>-1.8999330000000001</v>
      </c>
      <c r="V3453">
        <v>0.15388209999999999</v>
      </c>
      <c r="W3453">
        <v>3.9218199999999898E-2</v>
      </c>
      <c r="X3453">
        <v>0.98731059999999904</v>
      </c>
      <c r="Y3453">
        <v>0.59843080000000004</v>
      </c>
      <c r="Z3453">
        <v>-1.6706749999999999E-2</v>
      </c>
      <c r="AA3453">
        <v>0.8010003</v>
      </c>
      <c r="AB3453">
        <v>24</v>
      </c>
      <c r="AC3453">
        <v>-54.897599999999997</v>
      </c>
      <c r="AD3453">
        <v>1.0497590000000001</v>
      </c>
      <c r="AE3453">
        <v>-36.805599999999998</v>
      </c>
      <c r="AF3453">
        <v>39.606377749124697</v>
      </c>
      <c r="AG3453">
        <v>1.0497590000000001</v>
      </c>
      <c r="AH3453">
        <v>52.891685211387099</v>
      </c>
      <c r="AI3453">
        <v>89.089826649072705</v>
      </c>
      <c r="AJ3453">
        <v>53.173378574298503</v>
      </c>
      <c r="AK3453">
        <v>66.085531827056599</v>
      </c>
    </row>
    <row r="3454" spans="1:37" x14ac:dyDescent="0.2">
      <c r="A3454" t="str">
        <f>"20200111153503668"</f>
        <v>20200111153503668</v>
      </c>
      <c r="B3454" t="str">
        <f>"1578728103659156"</f>
        <v>1578728103659156</v>
      </c>
      <c r="C3454" t="s">
        <v>37</v>
      </c>
      <c r="D3454">
        <v>4.8123750000000003</v>
      </c>
      <c r="E3454">
        <v>0.70662239999999998</v>
      </c>
      <c r="F3454" t="s">
        <v>42</v>
      </c>
      <c r="G3454">
        <v>-239.89279999999999</v>
      </c>
      <c r="H3454">
        <v>2.6379679999999999</v>
      </c>
      <c r="I3454">
        <v>125.92440000000001</v>
      </c>
      <c r="J3454">
        <v>-194.1123</v>
      </c>
      <c r="K3454">
        <v>1.0984149999999999</v>
      </c>
      <c r="L3454">
        <v>155.79040000000001</v>
      </c>
      <c r="M3454">
        <v>-0.335680599999999</v>
      </c>
      <c r="N3454">
        <v>0</v>
      </c>
      <c r="O3454">
        <v>-0.94187129999999997</v>
      </c>
      <c r="P3454">
        <v>-0.47649759999999902</v>
      </c>
      <c r="Q3454">
        <v>2.7547749999999999E-2</v>
      </c>
      <c r="R3454">
        <v>-0.87874439999999998</v>
      </c>
      <c r="S3454">
        <v>-2.8595890000000002</v>
      </c>
      <c r="T3454">
        <v>9.6071599999999993E-2</v>
      </c>
      <c r="U3454">
        <v>-1.8706049999999901</v>
      </c>
      <c r="V3454">
        <v>0.1544732</v>
      </c>
      <c r="W3454">
        <v>3.8963770000000002E-2</v>
      </c>
      <c r="X3454">
        <v>0.98722840000000001</v>
      </c>
      <c r="Y3454">
        <v>0.60412790000000005</v>
      </c>
      <c r="Z3454">
        <v>-2.964688E-2</v>
      </c>
      <c r="AA3454">
        <v>0.79633569999999998</v>
      </c>
      <c r="AB3454">
        <v>24</v>
      </c>
      <c r="AC3454">
        <v>-45.780499999999897</v>
      </c>
      <c r="AD3454">
        <v>1.5395529999999999</v>
      </c>
      <c r="AE3454">
        <v>-29.866</v>
      </c>
      <c r="AF3454">
        <v>33.070927396048702</v>
      </c>
      <c r="AG3454">
        <v>1.5395529999999999</v>
      </c>
      <c r="AH3454">
        <v>43.467356549636797</v>
      </c>
      <c r="AI3454">
        <v>88.385386490211104</v>
      </c>
      <c r="AJ3454">
        <v>52.7353189614063</v>
      </c>
      <c r="AK3454">
        <v>54.639432168423802</v>
      </c>
    </row>
    <row r="3455" spans="1:37" x14ac:dyDescent="0.2">
      <c r="A3455" t="str">
        <f>"20200111153503681"</f>
        <v>20200111153503681</v>
      </c>
      <c r="B3455" t="str">
        <f>"1578728103679653"</f>
        <v>1578728103679653</v>
      </c>
      <c r="C3455" t="s">
        <v>37</v>
      </c>
      <c r="D3455">
        <v>4.9042190000000003</v>
      </c>
      <c r="E3455">
        <v>0.70298369999999999</v>
      </c>
      <c r="F3455" t="s">
        <v>62</v>
      </c>
      <c r="G3455">
        <v>-250.8373</v>
      </c>
      <c r="H3455">
        <v>3.4686729999999999</v>
      </c>
      <c r="I3455">
        <v>119.3436</v>
      </c>
      <c r="J3455">
        <v>-194.16390000000001</v>
      </c>
      <c r="K3455">
        <v>1.0983810000000001</v>
      </c>
      <c r="L3455">
        <v>155.6635</v>
      </c>
      <c r="M3455">
        <v>-0.34101149999999902</v>
      </c>
      <c r="N3455">
        <v>0</v>
      </c>
      <c r="O3455">
        <v>-0.93995450000000003</v>
      </c>
      <c r="P3455">
        <v>-0.48203489999999999</v>
      </c>
      <c r="Q3455">
        <v>2.7172970000000001E-2</v>
      </c>
      <c r="R3455">
        <v>-0.87573109999999998</v>
      </c>
      <c r="S3455">
        <v>-2.878387</v>
      </c>
      <c r="T3455">
        <v>0.1202749</v>
      </c>
      <c r="U3455">
        <v>-1.8494109999999999</v>
      </c>
      <c r="V3455">
        <v>0.15510460000000001</v>
      </c>
      <c r="W3455">
        <v>3.8576859999999998E-2</v>
      </c>
      <c r="X3455">
        <v>0.98714460000000004</v>
      </c>
      <c r="Y3455">
        <v>0.60592139999999906</v>
      </c>
      <c r="Z3455">
        <v>-3.7073540000000002E-2</v>
      </c>
      <c r="AA3455">
        <v>0.79466020000000004</v>
      </c>
      <c r="AB3455">
        <v>24</v>
      </c>
      <c r="AC3455">
        <v>-56.673400000000001</v>
      </c>
      <c r="AD3455">
        <v>2.3702920000000001</v>
      </c>
      <c r="AE3455">
        <v>-36.319899999999997</v>
      </c>
      <c r="AF3455">
        <v>40.838297320604802</v>
      </c>
      <c r="AG3455">
        <v>2.3702920000000001</v>
      </c>
      <c r="AH3455">
        <v>53.404374091344003</v>
      </c>
      <c r="AI3455">
        <v>87.980772160612901</v>
      </c>
      <c r="AJ3455">
        <v>52.594874688128797</v>
      </c>
      <c r="AK3455">
        <v>67.271182420852398</v>
      </c>
    </row>
    <row r="3456" spans="1:37" x14ac:dyDescent="0.2">
      <c r="A3456" t="str">
        <f>"20200111153503696"</f>
        <v>20200111153503696</v>
      </c>
      <c r="B3456" t="str">
        <f>"1578728103689412"</f>
        <v>1578728103689412</v>
      </c>
      <c r="C3456" t="s">
        <v>37</v>
      </c>
      <c r="D3456">
        <v>4.9068519999999998</v>
      </c>
      <c r="E3456">
        <v>0.70203729999999998</v>
      </c>
      <c r="F3456" t="s">
        <v>62</v>
      </c>
      <c r="G3456">
        <v>-250.4759</v>
      </c>
      <c r="H3456">
        <v>2.0539830000000001</v>
      </c>
      <c r="I3456">
        <v>119.3436</v>
      </c>
      <c r="J3456">
        <v>-194.22380000000001</v>
      </c>
      <c r="K3456">
        <v>1.0983449999999999</v>
      </c>
      <c r="L3456">
        <v>155.51939999999999</v>
      </c>
      <c r="M3456">
        <v>-0.34711520000000001</v>
      </c>
      <c r="N3456">
        <v>0</v>
      </c>
      <c r="O3456">
        <v>-0.93771740000000003</v>
      </c>
      <c r="P3456">
        <v>-0.48841620000000002</v>
      </c>
      <c r="Q3456">
        <v>2.6768529999999999E-2</v>
      </c>
      <c r="R3456">
        <v>-0.87220049999999905</v>
      </c>
      <c r="S3456">
        <v>-2.8644560000000001</v>
      </c>
      <c r="T3456">
        <v>4.8610569999999999E-2</v>
      </c>
      <c r="U3456">
        <v>-1.847504</v>
      </c>
      <c r="V3456">
        <v>0.15588689999999999</v>
      </c>
      <c r="W3456">
        <v>3.815851E-2</v>
      </c>
      <c r="X3456">
        <v>0.98703759999999996</v>
      </c>
      <c r="Y3456">
        <v>0.59984680000000001</v>
      </c>
      <c r="Z3456">
        <v>-1.50227999999999E-2</v>
      </c>
      <c r="AA3456">
        <v>0.79997390000000002</v>
      </c>
      <c r="AB3456">
        <v>24</v>
      </c>
      <c r="AC3456">
        <v>-56.252099999999899</v>
      </c>
      <c r="AD3456">
        <v>0.95563799999999999</v>
      </c>
      <c r="AE3456">
        <v>-36.175800000000002</v>
      </c>
      <c r="AF3456">
        <v>40.187159707571602</v>
      </c>
      <c r="AG3456">
        <v>0.95563799999999999</v>
      </c>
      <c r="AH3456">
        <v>53.442993235122103</v>
      </c>
      <c r="AI3456">
        <v>89.181202879103793</v>
      </c>
      <c r="AJ3456">
        <v>53.0581840823953</v>
      </c>
      <c r="AK3456">
        <v>66.873571575609901</v>
      </c>
    </row>
    <row r="3457" spans="1:37" x14ac:dyDescent="0.2">
      <c r="A3457" t="str">
        <f>"20200111153503711"</f>
        <v>20200111153503711</v>
      </c>
      <c r="B3457" t="str">
        <f>"1578728103699172"</f>
        <v>1578728103699172</v>
      </c>
      <c r="C3457" t="s">
        <v>37</v>
      </c>
      <c r="D3457">
        <v>4.9492609999999999</v>
      </c>
      <c r="E3457">
        <v>0.69995580000000002</v>
      </c>
      <c r="F3457" t="s">
        <v>62</v>
      </c>
      <c r="G3457">
        <v>-250.95410000000001</v>
      </c>
      <c r="H3457">
        <v>1.6898089999999999</v>
      </c>
      <c r="I3457">
        <v>119.3436</v>
      </c>
      <c r="J3457">
        <v>-194.28899999999999</v>
      </c>
      <c r="K3457">
        <v>1.0983099999999999</v>
      </c>
      <c r="L3457">
        <v>155.3657</v>
      </c>
      <c r="M3457">
        <v>-0.35366799999999998</v>
      </c>
      <c r="N3457">
        <v>0</v>
      </c>
      <c r="O3457">
        <v>-0.93526529999999997</v>
      </c>
      <c r="P3457">
        <v>-0.495615799999999</v>
      </c>
      <c r="Q3457">
        <v>2.6180350000000002E-2</v>
      </c>
      <c r="R3457">
        <v>-0.86814760000000002</v>
      </c>
      <c r="S3457">
        <v>-2.8711549999999999</v>
      </c>
      <c r="T3457">
        <v>2.9935719999999999E-2</v>
      </c>
      <c r="U3457">
        <v>-1.8308720000000001</v>
      </c>
      <c r="V3457">
        <v>0.15713450000000001</v>
      </c>
      <c r="W3457">
        <v>3.7548119999999997E-2</v>
      </c>
      <c r="X3457">
        <v>0.98686309999999999</v>
      </c>
      <c r="Y3457">
        <v>0.59844489999999995</v>
      </c>
      <c r="Z3457">
        <v>-9.2556380000000001E-3</v>
      </c>
      <c r="AA3457">
        <v>0.8011104</v>
      </c>
      <c r="AB3457">
        <v>24</v>
      </c>
      <c r="AC3457">
        <v>-56.665100000000002</v>
      </c>
      <c r="AD3457">
        <v>0.591499</v>
      </c>
      <c r="AE3457">
        <v>-36.022100000000002</v>
      </c>
      <c r="AF3457">
        <v>40.257894885506097</v>
      </c>
      <c r="AG3457">
        <v>0.591499</v>
      </c>
      <c r="AH3457">
        <v>53.7319968465467</v>
      </c>
      <c r="AI3457">
        <v>89.495243570503902</v>
      </c>
      <c r="AJ3457">
        <v>53.158163148308198</v>
      </c>
      <c r="AK3457">
        <v>67.142947930491999</v>
      </c>
    </row>
    <row r="3458" spans="1:37" x14ac:dyDescent="0.2">
      <c r="A3458" t="str">
        <f>"20200111153503724"</f>
        <v>20200111153503724</v>
      </c>
      <c r="B3458" t="str">
        <f>"1578728103719670"</f>
        <v>1578728103719670</v>
      </c>
      <c r="C3458" t="s">
        <v>37</v>
      </c>
      <c r="D3458">
        <v>4.9318179999999998</v>
      </c>
      <c r="E3458">
        <v>0.69801409999999997</v>
      </c>
      <c r="F3458" t="s">
        <v>62</v>
      </c>
      <c r="G3458">
        <v>-251.24379999999999</v>
      </c>
      <c r="H3458">
        <v>1.0570979999999901</v>
      </c>
      <c r="I3458">
        <v>119.3436</v>
      </c>
      <c r="J3458">
        <v>-194.34399999999999</v>
      </c>
      <c r="K3458">
        <v>1.0982829999999999</v>
      </c>
      <c r="L3458">
        <v>155.2379</v>
      </c>
      <c r="M3458">
        <v>-0.35914279999999998</v>
      </c>
      <c r="N3458">
        <v>0</v>
      </c>
      <c r="O3458">
        <v>-0.93317659999999902</v>
      </c>
      <c r="P3458">
        <v>-0.50093319999999997</v>
      </c>
      <c r="Q3458">
        <v>2.6148000000000001E-2</v>
      </c>
      <c r="R3458">
        <v>-0.8650911</v>
      </c>
      <c r="S3458">
        <v>-2.8717189999999899</v>
      </c>
      <c r="T3458">
        <v>-2.076507E-3</v>
      </c>
      <c r="U3458">
        <v>-1.8162689999999999</v>
      </c>
      <c r="V3458">
        <v>0.15740799999999999</v>
      </c>
      <c r="W3458">
        <v>3.7510960000000003E-2</v>
      </c>
      <c r="X3458">
        <v>0.98682099999999995</v>
      </c>
      <c r="Y3458">
        <v>0.59676030000000002</v>
      </c>
      <c r="Z3458">
        <v>6.4301120000000004E-4</v>
      </c>
      <c r="AA3458">
        <v>0.80241929999999995</v>
      </c>
      <c r="AB3458">
        <v>24</v>
      </c>
      <c r="AC3458">
        <v>-56.8997999999999</v>
      </c>
      <c r="AD3458">
        <v>-4.1184999999999999E-2</v>
      </c>
      <c r="AE3458">
        <v>-35.894300000000001</v>
      </c>
      <c r="AF3458">
        <v>40.210346087647103</v>
      </c>
      <c r="AG3458">
        <v>-4.1184999999999999E-2</v>
      </c>
      <c r="AH3458">
        <v>53.936190889189497</v>
      </c>
      <c r="AI3458">
        <v>90.035075600225596</v>
      </c>
      <c r="AJ3458">
        <v>53.294845642888703</v>
      </c>
      <c r="AK3458">
        <v>67.275451067441196</v>
      </c>
    </row>
    <row r="3459" spans="1:37" x14ac:dyDescent="0.2">
      <c r="A3459" t="str">
        <f>"20200111153503737"</f>
        <v>20200111153503737</v>
      </c>
      <c r="B3459" t="str">
        <f>"1578728103729428"</f>
        <v>1578728103729428</v>
      </c>
      <c r="C3459" t="s">
        <v>37</v>
      </c>
      <c r="D3459">
        <v>4.9301820000000003</v>
      </c>
      <c r="E3459">
        <v>0.69772539999999905</v>
      </c>
      <c r="F3459" t="s">
        <v>62</v>
      </c>
      <c r="G3459">
        <v>-251.3348</v>
      </c>
      <c r="H3459">
        <v>0.55858529999999995</v>
      </c>
      <c r="I3459">
        <v>119.3436</v>
      </c>
      <c r="J3459">
        <v>-194.39920000000001</v>
      </c>
      <c r="K3459">
        <v>1.098258</v>
      </c>
      <c r="L3459">
        <v>155.11179999999999</v>
      </c>
      <c r="M3459">
        <v>-0.36457070000000003</v>
      </c>
      <c r="N3459">
        <v>0</v>
      </c>
      <c r="O3459">
        <v>-0.93106929999999999</v>
      </c>
      <c r="P3459">
        <v>-0.5063974</v>
      </c>
      <c r="Q3459">
        <v>2.5870710000000002E-2</v>
      </c>
      <c r="R3459">
        <v>-0.86191229999999996</v>
      </c>
      <c r="S3459">
        <v>-2.8693240000000002</v>
      </c>
      <c r="T3459">
        <v>-2.7170779999999999E-2</v>
      </c>
      <c r="U3459">
        <v>-1.807175</v>
      </c>
      <c r="V3459">
        <v>0.1579007</v>
      </c>
      <c r="W3459">
        <v>3.7224099999999899E-2</v>
      </c>
      <c r="X3459">
        <v>0.98675309999999905</v>
      </c>
      <c r="Y3459">
        <v>0.59356769999999903</v>
      </c>
      <c r="Z3459">
        <v>8.4216320000000001E-3</v>
      </c>
      <c r="AA3459">
        <v>0.80474000000000001</v>
      </c>
      <c r="AB3459">
        <v>24</v>
      </c>
      <c r="AC3459">
        <v>-56.935600000000001</v>
      </c>
      <c r="AD3459">
        <v>-0.53967270000000001</v>
      </c>
      <c r="AE3459">
        <v>-35.768199999999901</v>
      </c>
      <c r="AF3459">
        <v>39.972337465439999</v>
      </c>
      <c r="AG3459">
        <v>-0.53967270000000001</v>
      </c>
      <c r="AH3459">
        <v>54.0615989329266</v>
      </c>
      <c r="AI3459">
        <v>90.459889185006503</v>
      </c>
      <c r="AJ3459">
        <v>53.5213328520747</v>
      </c>
      <c r="AK3459">
        <v>67.236414897425604</v>
      </c>
    </row>
    <row r="3460" spans="1:37" x14ac:dyDescent="0.2">
      <c r="A3460" t="str">
        <f>"20200111153503750"</f>
        <v>20200111153503750</v>
      </c>
      <c r="B3460" t="str">
        <f>"1578728103739188"</f>
        <v>1578728103739188</v>
      </c>
      <c r="C3460" t="s">
        <v>37</v>
      </c>
      <c r="D3460">
        <v>4.8715859999999997</v>
      </c>
      <c r="E3460">
        <v>0.69757170000000002</v>
      </c>
      <c r="F3460" t="s">
        <v>62</v>
      </c>
      <c r="G3460">
        <v>-252.32159999999999</v>
      </c>
      <c r="H3460">
        <v>0.5523515</v>
      </c>
      <c r="I3460">
        <v>119.0955</v>
      </c>
      <c r="J3460">
        <v>-194.45590000000001</v>
      </c>
      <c r="K3460">
        <v>1.098236</v>
      </c>
      <c r="L3460">
        <v>154.98509999999999</v>
      </c>
      <c r="M3460">
        <v>-0.37006459999999902</v>
      </c>
      <c r="N3460">
        <v>0</v>
      </c>
      <c r="O3460">
        <v>-0.92889920000000004</v>
      </c>
      <c r="P3460">
        <v>-0.51175749999999998</v>
      </c>
      <c r="Q3460">
        <v>2.5547210000000001E-2</v>
      </c>
      <c r="R3460">
        <v>-0.85875000000000001</v>
      </c>
      <c r="S3460">
        <v>-2.8788149999999999</v>
      </c>
      <c r="T3460">
        <v>-2.713084E-2</v>
      </c>
      <c r="U3460">
        <v>-1.790054</v>
      </c>
      <c r="V3460">
        <v>0.15821260000000001</v>
      </c>
      <c r="W3460">
        <v>3.6893879999999997E-2</v>
      </c>
      <c r="X3460">
        <v>0.98671559999999903</v>
      </c>
      <c r="Y3460">
        <v>0.59345349999999997</v>
      </c>
      <c r="Z3460">
        <v>8.4086879999999992E-3</v>
      </c>
      <c r="AA3460">
        <v>0.8048244</v>
      </c>
      <c r="AB3460">
        <v>24</v>
      </c>
      <c r="AC3460">
        <v>-57.865699999999897</v>
      </c>
      <c r="AD3460">
        <v>-0.54588449999999999</v>
      </c>
      <c r="AE3460">
        <v>-35.889599999999902</v>
      </c>
      <c r="AF3460">
        <v>40.4713474519641</v>
      </c>
      <c r="AG3460">
        <v>-0.54588449999999999</v>
      </c>
      <c r="AH3460">
        <v>54.753782862452297</v>
      </c>
      <c r="AI3460">
        <v>90.459353200660601</v>
      </c>
      <c r="AJ3460">
        <v>53.529980538911403</v>
      </c>
      <c r="AK3460">
        <v>68.089681246232303</v>
      </c>
    </row>
    <row r="3461" spans="1:37" x14ac:dyDescent="0.2">
      <c r="A3461" t="str">
        <f>"20200111153503761"</f>
        <v>20200111153503761</v>
      </c>
      <c r="B3461" t="str">
        <f>"1578728103759684"</f>
        <v>1578728103759684</v>
      </c>
      <c r="C3461" t="s">
        <v>37</v>
      </c>
      <c r="D3461">
        <v>4.9233900000000004</v>
      </c>
      <c r="E3461">
        <v>0.69699899999999904</v>
      </c>
      <c r="F3461" t="s">
        <v>62</v>
      </c>
      <c r="G3461">
        <v>-252.9479</v>
      </c>
      <c r="H3461">
        <v>0.617981</v>
      </c>
      <c r="I3461">
        <v>119.0955</v>
      </c>
      <c r="J3461">
        <v>-194.5085</v>
      </c>
      <c r="K3461">
        <v>1.0982129999999899</v>
      </c>
      <c r="L3461">
        <v>154.86869999999999</v>
      </c>
      <c r="M3461">
        <v>-0.37512199999999901</v>
      </c>
      <c r="N3461">
        <v>0</v>
      </c>
      <c r="O3461">
        <v>-0.92686829999999998</v>
      </c>
      <c r="P3461">
        <v>-0.51667450000000004</v>
      </c>
      <c r="Q3461">
        <v>2.5482589999999999E-2</v>
      </c>
      <c r="R3461">
        <v>-0.85580279999999997</v>
      </c>
      <c r="S3461">
        <v>-2.888916</v>
      </c>
      <c r="T3461">
        <v>-2.3718360000000001E-2</v>
      </c>
      <c r="U3461">
        <v>-1.772583</v>
      </c>
      <c r="V3461">
        <v>0.15849379999999999</v>
      </c>
      <c r="W3461">
        <v>3.6822880000000002E-2</v>
      </c>
      <c r="X3461">
        <v>0.98667309999999997</v>
      </c>
      <c r="Y3461">
        <v>0.59386349999999999</v>
      </c>
      <c r="Z3461">
        <v>7.35054099999999E-3</v>
      </c>
      <c r="AA3461">
        <v>0.80453219999999903</v>
      </c>
      <c r="AB3461">
        <v>24</v>
      </c>
      <c r="AC3461">
        <v>-58.439399999999999</v>
      </c>
      <c r="AD3461">
        <v>-0.48023199999999899</v>
      </c>
      <c r="AE3461">
        <v>-35.773199999999903</v>
      </c>
      <c r="AF3461">
        <v>40.7483588724524</v>
      </c>
      <c r="AG3461">
        <v>-0.48023199999999899</v>
      </c>
      <c r="AH3461">
        <v>55.081715189688801</v>
      </c>
      <c r="AI3461">
        <v>90.4015831255536</v>
      </c>
      <c r="AJ3461">
        <v>53.5066995363701</v>
      </c>
      <c r="AK3461">
        <v>68.517550465628801</v>
      </c>
    </row>
    <row r="3462" spans="1:37" x14ac:dyDescent="0.2">
      <c r="A3462" t="str">
        <f>"20200111153503779"</f>
        <v>20200111153503779</v>
      </c>
      <c r="B3462" t="str">
        <f>"1578728103769444"</f>
        <v>1578728103769444</v>
      </c>
      <c r="C3462" t="s">
        <v>37</v>
      </c>
      <c r="D3462">
        <v>4.8598359999999996</v>
      </c>
      <c r="E3462">
        <v>0.69662919999999995</v>
      </c>
      <c r="F3462" t="s">
        <v>62</v>
      </c>
      <c r="G3462">
        <v>-253.40639999999999</v>
      </c>
      <c r="H3462">
        <v>0.61548879999999995</v>
      </c>
      <c r="I3462">
        <v>119.0955</v>
      </c>
      <c r="J3462">
        <v>-194.5855</v>
      </c>
      <c r="K3462">
        <v>1.0981860000000001</v>
      </c>
      <c r="L3462">
        <v>154.70140000000001</v>
      </c>
      <c r="M3462">
        <v>-0.38243640000000001</v>
      </c>
      <c r="N3462">
        <v>0</v>
      </c>
      <c r="O3462">
        <v>-0.92387430000000004</v>
      </c>
      <c r="P3462">
        <v>-0.52342639999999996</v>
      </c>
      <c r="Q3462">
        <v>2.552886E-2</v>
      </c>
      <c r="R3462">
        <v>-0.85168829999999995</v>
      </c>
      <c r="S3462">
        <v>-2.895035</v>
      </c>
      <c r="T3462">
        <v>-2.3726110000000002E-2</v>
      </c>
      <c r="U3462">
        <v>-1.7583770000000001</v>
      </c>
      <c r="V3462">
        <v>0.1585019</v>
      </c>
      <c r="W3462">
        <v>3.6863380000000001E-2</v>
      </c>
      <c r="X3462">
        <v>0.9866703</v>
      </c>
      <c r="Y3462">
        <v>0.59113689999999997</v>
      </c>
      <c r="Z3462">
        <v>7.3485410000000001E-3</v>
      </c>
      <c r="AA3462">
        <v>0.80653779999999997</v>
      </c>
      <c r="AB3462">
        <v>24</v>
      </c>
      <c r="AC3462">
        <v>-58.820900000000002</v>
      </c>
      <c r="AD3462">
        <v>-0.48269719999999999</v>
      </c>
      <c r="AE3462">
        <v>-35.605899999999998</v>
      </c>
      <c r="AF3462">
        <v>40.728164661719397</v>
      </c>
      <c r="AG3462">
        <v>-0.48269719999999999</v>
      </c>
      <c r="AH3462">
        <v>55.3934024607669</v>
      </c>
      <c r="AI3462">
        <v>90.402242279672393</v>
      </c>
      <c r="AJ3462">
        <v>53.674703664316198</v>
      </c>
      <c r="AK3462">
        <v>68.756421005456005</v>
      </c>
    </row>
    <row r="3463" spans="1:37" x14ac:dyDescent="0.2">
      <c r="A3463" t="str">
        <f>"20200111153503790"</f>
        <v>20200111153503790</v>
      </c>
      <c r="B3463" t="str">
        <f>"1578728103779205"</f>
        <v>1578728103779205</v>
      </c>
      <c r="C3463" t="s">
        <v>37</v>
      </c>
      <c r="D3463">
        <v>4.8599489999999896</v>
      </c>
      <c r="E3463">
        <v>0.69618939999999996</v>
      </c>
      <c r="F3463" t="s">
        <v>62</v>
      </c>
      <c r="G3463">
        <v>-254.16589999999999</v>
      </c>
      <c r="H3463">
        <v>0.60793430000000004</v>
      </c>
      <c r="I3463">
        <v>119.0955</v>
      </c>
      <c r="J3463">
        <v>-194.64320000000001</v>
      </c>
      <c r="K3463">
        <v>1.0981650000000001</v>
      </c>
      <c r="L3463">
        <v>154.57929999999999</v>
      </c>
      <c r="M3463">
        <v>-0.38781870000000002</v>
      </c>
      <c r="N3463">
        <v>0</v>
      </c>
      <c r="O3463">
        <v>-0.92162790000000006</v>
      </c>
      <c r="P3463">
        <v>-0.52819289999999997</v>
      </c>
      <c r="Q3463">
        <v>2.569308E-2</v>
      </c>
      <c r="R3463">
        <v>-0.84873569999999998</v>
      </c>
      <c r="S3463">
        <v>-2.9064179999999999</v>
      </c>
      <c r="T3463">
        <v>-2.3913739999999999E-2</v>
      </c>
      <c r="U3463">
        <v>-1.7369079999999999</v>
      </c>
      <c r="V3463">
        <v>0.15828449999999999</v>
      </c>
      <c r="W3463">
        <v>3.702635E-2</v>
      </c>
      <c r="X3463">
        <v>0.98669899999999999</v>
      </c>
      <c r="Y3463">
        <v>0.59221009999999996</v>
      </c>
      <c r="Z3463">
        <v>7.4081529999999998E-3</v>
      </c>
      <c r="AA3463">
        <v>0.80574950000000001</v>
      </c>
      <c r="AB3463">
        <v>24</v>
      </c>
      <c r="AC3463">
        <v>-59.522699999999901</v>
      </c>
      <c r="AD3463">
        <v>-0.49023070000000002</v>
      </c>
      <c r="AE3463">
        <v>-35.483799999999903</v>
      </c>
      <c r="AF3463">
        <v>41.098525903307298</v>
      </c>
      <c r="AG3463">
        <v>-0.49023070000000002</v>
      </c>
      <c r="AH3463">
        <v>55.789626545683198</v>
      </c>
      <c r="AI3463">
        <v>90.405344423235405</v>
      </c>
      <c r="AJ3463">
        <v>53.622051881186799</v>
      </c>
      <c r="AK3463">
        <v>69.295105077276901</v>
      </c>
    </row>
    <row r="3464" spans="1:37" x14ac:dyDescent="0.2">
      <c r="A3464" t="str">
        <f>"20200111153503802"</f>
        <v>20200111153503802</v>
      </c>
      <c r="B3464" t="str">
        <f>"1578728103799700"</f>
        <v>1578728103799700</v>
      </c>
      <c r="C3464" t="s">
        <v>37</v>
      </c>
      <c r="D3464">
        <v>4.7904780000000002</v>
      </c>
      <c r="E3464">
        <v>0.69568339999999995</v>
      </c>
      <c r="F3464" t="s">
        <v>62</v>
      </c>
      <c r="G3464">
        <v>-254.65710000000001</v>
      </c>
      <c r="H3464">
        <v>0.6535609</v>
      </c>
      <c r="I3464">
        <v>119.0955</v>
      </c>
      <c r="J3464">
        <v>-194.69399999999999</v>
      </c>
      <c r="K3464">
        <v>1.0981459999999901</v>
      </c>
      <c r="L3464">
        <v>154.4725</v>
      </c>
      <c r="M3464">
        <v>-0.39252700000000001</v>
      </c>
      <c r="N3464">
        <v>0</v>
      </c>
      <c r="O3464">
        <v>-0.91963259999999902</v>
      </c>
      <c r="P3464">
        <v>-0.53236309999999998</v>
      </c>
      <c r="Q3464">
        <v>2.5751900000000001E-2</v>
      </c>
      <c r="R3464">
        <v>-0.84612469999999995</v>
      </c>
      <c r="S3464">
        <v>-2.9131009999999899</v>
      </c>
      <c r="T3464">
        <v>-2.1579859999999999E-2</v>
      </c>
      <c r="U3464">
        <v>-1.722397</v>
      </c>
      <c r="V3464">
        <v>0.15809679999999901</v>
      </c>
      <c r="W3464">
        <v>3.7084480000000003E-2</v>
      </c>
      <c r="X3464">
        <v>0.98672700000000002</v>
      </c>
      <c r="Y3464">
        <v>0.5918757</v>
      </c>
      <c r="Z3464">
        <v>6.6850190000000004E-3</v>
      </c>
      <c r="AA3464">
        <v>0.80600150000000004</v>
      </c>
      <c r="AB3464">
        <v>24</v>
      </c>
      <c r="AC3464">
        <v>-59.963099999999997</v>
      </c>
      <c r="AD3464">
        <v>-0.44458509999999901</v>
      </c>
      <c r="AE3464">
        <v>-35.376999999999903</v>
      </c>
      <c r="AF3464">
        <v>41.260005462665703</v>
      </c>
      <c r="AG3464">
        <v>-0.44458509999999901</v>
      </c>
      <c r="AH3464">
        <v>56.074255698915003</v>
      </c>
      <c r="AI3464">
        <v>90.365887949128194</v>
      </c>
      <c r="AJ3464">
        <v>53.653988641788303</v>
      </c>
      <c r="AK3464">
        <v>69.619737566854198</v>
      </c>
    </row>
    <row r="3465" spans="1:37" x14ac:dyDescent="0.2">
      <c r="A3465" t="str">
        <f>"20200111153503814"</f>
        <v>20200111153503814</v>
      </c>
      <c r="B3465" t="str">
        <f>"1578728103809461"</f>
        <v>1578728103809461</v>
      </c>
      <c r="C3465" t="s">
        <v>37</v>
      </c>
      <c r="D3465">
        <v>4.775487</v>
      </c>
      <c r="E3465">
        <v>0.69546479999999999</v>
      </c>
      <c r="F3465" t="s">
        <v>62</v>
      </c>
      <c r="G3465">
        <v>-255.06620000000001</v>
      </c>
      <c r="H3465">
        <v>0.79451969999999905</v>
      </c>
      <c r="I3465">
        <v>119.0955</v>
      </c>
      <c r="J3465">
        <v>-194.74959999999999</v>
      </c>
      <c r="K3465">
        <v>1.0981299999999901</v>
      </c>
      <c r="L3465">
        <v>154.35759999999999</v>
      </c>
      <c r="M3465">
        <v>-0.39761799999999897</v>
      </c>
      <c r="N3465">
        <v>0</v>
      </c>
      <c r="O3465">
        <v>-0.9174426</v>
      </c>
      <c r="P3465">
        <v>-0.5366474</v>
      </c>
      <c r="Q3465">
        <v>2.5698950000000002E-2</v>
      </c>
      <c r="R3465">
        <v>-0.84341509999999997</v>
      </c>
      <c r="S3465">
        <v>-2.918167</v>
      </c>
      <c r="T3465">
        <v>-1.467478E-2</v>
      </c>
      <c r="U3465">
        <v>-1.709991</v>
      </c>
      <c r="V3465">
        <v>0.15763189999999999</v>
      </c>
      <c r="W3465">
        <v>3.703683E-2</v>
      </c>
      <c r="X3465">
        <v>0.98680319999999899</v>
      </c>
      <c r="Y3465">
        <v>0.59057769999999898</v>
      </c>
      <c r="Z3465">
        <v>4.5447930000000001E-3</v>
      </c>
      <c r="AA3465">
        <v>0.80696800000000002</v>
      </c>
      <c r="AB3465">
        <v>24</v>
      </c>
      <c r="AC3465">
        <v>-60.316600000000001</v>
      </c>
      <c r="AD3465">
        <v>-0.303610299999999</v>
      </c>
      <c r="AE3465">
        <v>-35.262099999999897</v>
      </c>
      <c r="AF3465">
        <v>41.319504008425298</v>
      </c>
      <c r="AG3465">
        <v>-0.303610299999999</v>
      </c>
      <c r="AH3465">
        <v>56.338460817287299</v>
      </c>
      <c r="AI3465">
        <v>90.248981799136402</v>
      </c>
      <c r="AJ3465">
        <v>53.743098569887998</v>
      </c>
      <c r="AK3465">
        <v>69.867129309694405</v>
      </c>
    </row>
    <row r="3466" spans="1:37" x14ac:dyDescent="0.2">
      <c r="A3466" t="str">
        <f>"20200111153503826"</f>
        <v>20200111153503826</v>
      </c>
      <c r="B3466" t="str">
        <f>"1578728103819221"</f>
        <v>1578728103819221</v>
      </c>
      <c r="C3466" t="s">
        <v>37</v>
      </c>
      <c r="D3466">
        <v>4.7277430000000003</v>
      </c>
      <c r="E3466">
        <v>0.69520630000000005</v>
      </c>
      <c r="F3466" t="s">
        <v>62</v>
      </c>
      <c r="G3466">
        <v>-255.5701</v>
      </c>
      <c r="H3466">
        <v>0.85921689999999995</v>
      </c>
      <c r="I3466">
        <v>119.0955</v>
      </c>
      <c r="J3466">
        <v>-194.80410000000001</v>
      </c>
      <c r="K3466">
        <v>1.0981160000000001</v>
      </c>
      <c r="L3466">
        <v>154.24639999999999</v>
      </c>
      <c r="M3466">
        <v>-0.40256589999999998</v>
      </c>
      <c r="N3466">
        <v>0</v>
      </c>
      <c r="O3466">
        <v>-0.91528240000000005</v>
      </c>
      <c r="P3466">
        <v>-0.54086669999999903</v>
      </c>
      <c r="Q3466">
        <v>2.5630070000000001E-2</v>
      </c>
      <c r="R3466">
        <v>-0.84071799999999997</v>
      </c>
      <c r="S3466">
        <v>-2.9253079999999998</v>
      </c>
      <c r="T3466">
        <v>-1.1489630000000001E-2</v>
      </c>
      <c r="U3466">
        <v>-1.6960139999999999</v>
      </c>
      <c r="V3466">
        <v>0.15724749999999901</v>
      </c>
      <c r="W3466">
        <v>3.6971070000000002E-2</v>
      </c>
      <c r="X3466">
        <v>0.98686700000000005</v>
      </c>
      <c r="Y3466">
        <v>0.58996349999999997</v>
      </c>
      <c r="Z3466">
        <v>3.5568520000000001E-3</v>
      </c>
      <c r="AA3466">
        <v>0.80742219999999998</v>
      </c>
      <c r="AB3466">
        <v>24</v>
      </c>
      <c r="AC3466">
        <v>-60.765999999999899</v>
      </c>
      <c r="AD3466">
        <v>-0.2388991</v>
      </c>
      <c r="AE3466">
        <v>-35.150899999999901</v>
      </c>
      <c r="AF3466">
        <v>41.471139332322899</v>
      </c>
      <c r="AG3466">
        <v>-0.2388991</v>
      </c>
      <c r="AH3466">
        <v>56.640294717735699</v>
      </c>
      <c r="AI3466">
        <v>90.194984941463304</v>
      </c>
      <c r="AJ3466">
        <v>53.788994191650303</v>
      </c>
      <c r="AK3466">
        <v>70.199967635411895</v>
      </c>
    </row>
    <row r="3467" spans="1:37" x14ac:dyDescent="0.2">
      <c r="A3467" t="str">
        <f>"20200111153503837"</f>
        <v>20200111153503837</v>
      </c>
      <c r="B3467" t="str">
        <f>"1578728103828980"</f>
        <v>1578728103828980</v>
      </c>
      <c r="C3467" t="s">
        <v>37</v>
      </c>
      <c r="D3467">
        <v>4.7330899999999998</v>
      </c>
      <c r="E3467">
        <v>0.69494440000000002</v>
      </c>
      <c r="F3467" t="s">
        <v>62</v>
      </c>
      <c r="G3467">
        <v>-255.7422</v>
      </c>
      <c r="H3467">
        <v>0.9356698</v>
      </c>
      <c r="I3467">
        <v>119.2859</v>
      </c>
      <c r="J3467">
        <v>-194.8629</v>
      </c>
      <c r="K3467">
        <v>1.098101</v>
      </c>
      <c r="L3467">
        <v>154.12799999999999</v>
      </c>
      <c r="M3467">
        <v>-0.40784599999999999</v>
      </c>
      <c r="N3467">
        <v>0</v>
      </c>
      <c r="O3467">
        <v>-0.91294189999999997</v>
      </c>
      <c r="P3467">
        <v>-0.54570109999999905</v>
      </c>
      <c r="Q3467">
        <v>2.6053550000000002E-2</v>
      </c>
      <c r="R3467">
        <v>-0.83757510000000002</v>
      </c>
      <c r="S3467">
        <v>-2.932175</v>
      </c>
      <c r="T3467">
        <v>-7.8151230000000002E-3</v>
      </c>
      <c r="U3467">
        <v>-1.682205</v>
      </c>
      <c r="V3467">
        <v>0.1572461</v>
      </c>
      <c r="W3467">
        <v>3.7391349999999997E-2</v>
      </c>
      <c r="X3467">
        <v>0.98685129999999999</v>
      </c>
      <c r="Y3467">
        <v>0.58897829999999995</v>
      </c>
      <c r="Z3467">
        <v>2.4179560000000002E-3</v>
      </c>
      <c r="AA3467">
        <v>0.80814529999999996</v>
      </c>
      <c r="AB3467">
        <v>24</v>
      </c>
      <c r="AC3467">
        <v>-60.879300000000001</v>
      </c>
      <c r="AD3467">
        <v>-0.1624312</v>
      </c>
      <c r="AE3467">
        <v>-34.842099999999903</v>
      </c>
      <c r="AF3467">
        <v>41.372942039271997</v>
      </c>
      <c r="AG3467">
        <v>-0.1624312</v>
      </c>
      <c r="AH3467">
        <v>56.643516844825101</v>
      </c>
      <c r="AI3467">
        <v>90.132678197503296</v>
      </c>
      <c r="AJ3467">
        <v>53.855266511158703</v>
      </c>
      <c r="AK3467">
        <v>70.144384789017096</v>
      </c>
    </row>
    <row r="3468" spans="1:37" x14ac:dyDescent="0.2">
      <c r="A3468" t="str">
        <f>"20200111153503849"</f>
        <v>20200111153503849</v>
      </c>
      <c r="B3468" t="str">
        <f>"1578728103839717"</f>
        <v>1578728103839717</v>
      </c>
      <c r="C3468" t="s">
        <v>37</v>
      </c>
      <c r="D3468">
        <v>4.7556830000000003</v>
      </c>
      <c r="E3468">
        <v>0.69466380000000005</v>
      </c>
      <c r="F3468" t="s">
        <v>62</v>
      </c>
      <c r="G3468">
        <v>-256.33510000000001</v>
      </c>
      <c r="H3468">
        <v>1.030079</v>
      </c>
      <c r="I3468">
        <v>119.2859</v>
      </c>
      <c r="J3468">
        <v>-194.9177</v>
      </c>
      <c r="K3468">
        <v>1.0980859999999999</v>
      </c>
      <c r="L3468">
        <v>154.01990000000001</v>
      </c>
      <c r="M3468">
        <v>-0.41270079999999998</v>
      </c>
      <c r="N3468">
        <v>0</v>
      </c>
      <c r="O3468">
        <v>-0.9107575</v>
      </c>
      <c r="P3468">
        <v>-0.54979609999999901</v>
      </c>
      <c r="Q3468">
        <v>2.610869E-2</v>
      </c>
      <c r="R3468">
        <v>-0.83489080000000004</v>
      </c>
      <c r="S3468">
        <v>-2.9400179999999998</v>
      </c>
      <c r="T3468">
        <v>-3.2519099999999998E-3</v>
      </c>
      <c r="U3468">
        <v>-1.666382</v>
      </c>
      <c r="V3468">
        <v>0.15682750000000001</v>
      </c>
      <c r="W3468">
        <v>3.7450919999999999E-2</v>
      </c>
      <c r="X3468">
        <v>0.98691569999999995</v>
      </c>
      <c r="Y3468">
        <v>0.58889340000000001</v>
      </c>
      <c r="Z3468">
        <v>1.0058269999999999E-3</v>
      </c>
      <c r="AA3468">
        <v>0.80821009999999904</v>
      </c>
      <c r="AB3468">
        <v>24</v>
      </c>
      <c r="AC3468">
        <v>-61.417400000000001</v>
      </c>
      <c r="AD3468">
        <v>-6.8006999999999901E-2</v>
      </c>
      <c r="AE3468">
        <v>-34.734000000000002</v>
      </c>
      <c r="AF3468">
        <v>41.605705797439398</v>
      </c>
      <c r="AG3468">
        <v>-6.8006999999999901E-2</v>
      </c>
      <c r="AH3468">
        <v>56.986873698823899</v>
      </c>
      <c r="AI3468">
        <v>90.055223659026495</v>
      </c>
      <c r="AJ3468">
        <v>53.867087641785801</v>
      </c>
      <c r="AK3468">
        <v>70.558792179435997</v>
      </c>
    </row>
    <row r="3469" spans="1:37" x14ac:dyDescent="0.2">
      <c r="A3469" t="str">
        <f>"20200111153503860"</f>
        <v>20200111153503860</v>
      </c>
      <c r="B3469" t="str">
        <f>"1578728103849477"</f>
        <v>1578728103849477</v>
      </c>
      <c r="C3469" t="s">
        <v>37</v>
      </c>
      <c r="D3469">
        <v>4.7428839999999903</v>
      </c>
      <c r="E3469">
        <v>0.69429680000000005</v>
      </c>
      <c r="F3469" t="s">
        <v>63</v>
      </c>
      <c r="G3469">
        <v>-259.25740000000002</v>
      </c>
      <c r="H3469">
        <v>1.065726</v>
      </c>
      <c r="I3469">
        <v>117.9187</v>
      </c>
      <c r="J3469">
        <v>-194.9727</v>
      </c>
      <c r="K3469">
        <v>1.0980700000000001</v>
      </c>
      <c r="L3469">
        <v>153.91200000000001</v>
      </c>
      <c r="M3469">
        <v>-0.41754819999999998</v>
      </c>
      <c r="N3469">
        <v>0</v>
      </c>
      <c r="O3469">
        <v>-0.9085453</v>
      </c>
      <c r="P3469">
        <v>-0.554087</v>
      </c>
      <c r="Q3469">
        <v>2.6304879999999999E-2</v>
      </c>
      <c r="R3469">
        <v>-0.83204339999999999</v>
      </c>
      <c r="S3469">
        <v>-2.946259</v>
      </c>
      <c r="T3469">
        <v>-1.481771E-3</v>
      </c>
      <c r="U3469">
        <v>-1.653152</v>
      </c>
      <c r="V3469">
        <v>0.1566562</v>
      </c>
      <c r="W3469">
        <v>3.7646760000000001E-2</v>
      </c>
      <c r="X3469">
        <v>0.98693539999999902</v>
      </c>
      <c r="Y3469">
        <v>0.58807609999999999</v>
      </c>
      <c r="Z3469">
        <v>4.5808089999999898E-4</v>
      </c>
      <c r="AA3469">
        <v>0.80880549999999996</v>
      </c>
      <c r="AB3469">
        <v>24</v>
      </c>
      <c r="AC3469">
        <v>-64.284700000000001</v>
      </c>
      <c r="AD3469">
        <v>-3.2344000000000102E-2</v>
      </c>
      <c r="AE3469">
        <v>-35.993299999999998</v>
      </c>
      <c r="AF3469">
        <v>43.380931343839499</v>
      </c>
      <c r="AG3469">
        <v>-3.2344000000000102E-2</v>
      </c>
      <c r="AH3469">
        <v>59.549416474496297</v>
      </c>
      <c r="AI3469">
        <v>90.025153295034698</v>
      </c>
      <c r="AJ3469">
        <v>53.927176502893602</v>
      </c>
      <c r="AK3469">
        <v>73.675228217130496</v>
      </c>
    </row>
    <row r="3470" spans="1:37" x14ac:dyDescent="0.2">
      <c r="A3470" t="str">
        <f>"20200111153503871"</f>
        <v>20200111153503871</v>
      </c>
      <c r="B3470" t="str">
        <f>"1578728103868996"</f>
        <v>1578728103868996</v>
      </c>
      <c r="C3470" t="s">
        <v>37</v>
      </c>
      <c r="D3470">
        <v>4.6907809999999897</v>
      </c>
      <c r="E3470">
        <v>0.6931155</v>
      </c>
      <c r="F3470" t="s">
        <v>63</v>
      </c>
      <c r="G3470">
        <v>-259.25740000000002</v>
      </c>
      <c r="H3470">
        <v>1.1106339999999999</v>
      </c>
      <c r="I3470">
        <v>118.2128</v>
      </c>
      <c r="J3470">
        <v>-195.03049999999999</v>
      </c>
      <c r="K3470">
        <v>1.098052</v>
      </c>
      <c r="L3470">
        <v>153.80099999999999</v>
      </c>
      <c r="M3470">
        <v>-0.42257219999999901</v>
      </c>
      <c r="N3470">
        <v>0</v>
      </c>
      <c r="O3470">
        <v>-0.90621939999999901</v>
      </c>
      <c r="P3470">
        <v>-0.55839479999999997</v>
      </c>
      <c r="Q3470">
        <v>2.5867769999999998E-2</v>
      </c>
      <c r="R3470">
        <v>-0.82917209999999997</v>
      </c>
      <c r="S3470">
        <v>-2.9523160000000002</v>
      </c>
      <c r="T3470">
        <v>5.7744980000000001E-4</v>
      </c>
      <c r="U3470">
        <v>-1.6395109999999999</v>
      </c>
      <c r="V3470">
        <v>0.15629860000000001</v>
      </c>
      <c r="W3470">
        <v>3.7209810000000003E-2</v>
      </c>
      <c r="X3470">
        <v>0.98700869999999996</v>
      </c>
      <c r="Y3470">
        <v>0.58715680000000003</v>
      </c>
      <c r="Z3470">
        <v>-1.784233E-4</v>
      </c>
      <c r="AA3470">
        <v>0.8094732</v>
      </c>
      <c r="AB3470">
        <v>24</v>
      </c>
      <c r="AC3470">
        <v>-64.226900000000001</v>
      </c>
      <c r="AD3470">
        <v>1.2581999999999999E-2</v>
      </c>
      <c r="AE3470">
        <v>-35.588200000000001</v>
      </c>
      <c r="AF3470">
        <v>43.169376024053598</v>
      </c>
      <c r="AG3470">
        <v>1.2581999999999999E-2</v>
      </c>
      <c r="AH3470">
        <v>59.397132253421397</v>
      </c>
      <c r="AI3470">
        <v>89.990182228978497</v>
      </c>
      <c r="AJ3470">
        <v>53.990635996050401</v>
      </c>
      <c r="AK3470">
        <v>73.427614046374202</v>
      </c>
    </row>
    <row r="3471" spans="1:37" x14ac:dyDescent="0.2">
      <c r="A3471" t="str">
        <f>"20200111153503883"</f>
        <v>20200111153503883</v>
      </c>
      <c r="B3471" t="str">
        <f>"1578728103879733"</f>
        <v>1578728103879733</v>
      </c>
      <c r="C3471" t="s">
        <v>37</v>
      </c>
      <c r="D3471">
        <v>4.7308110000000001</v>
      </c>
      <c r="E3471">
        <v>0.69285269999999899</v>
      </c>
      <c r="F3471" t="s">
        <v>63</v>
      </c>
      <c r="G3471">
        <v>-259.25740000000002</v>
      </c>
      <c r="H3471">
        <v>1.0534509999999999</v>
      </c>
      <c r="I3471">
        <v>118.3562</v>
      </c>
      <c r="J3471">
        <v>-195.08789999999999</v>
      </c>
      <c r="K3471">
        <v>1.0980369999999999</v>
      </c>
      <c r="L3471">
        <v>153.6917</v>
      </c>
      <c r="M3471">
        <v>-0.42752629999999903</v>
      </c>
      <c r="N3471">
        <v>0</v>
      </c>
      <c r="O3471">
        <v>-0.9038929</v>
      </c>
      <c r="P3471">
        <v>-0.56278649999999997</v>
      </c>
      <c r="Q3471">
        <v>2.5541850000000001E-2</v>
      </c>
      <c r="R3471">
        <v>-0.8262081</v>
      </c>
      <c r="S3471">
        <v>-2.9528349999999999</v>
      </c>
      <c r="T3471">
        <v>-2.0502810000000002E-3</v>
      </c>
      <c r="U3471">
        <v>-1.629578</v>
      </c>
      <c r="V3471">
        <v>0.1561244</v>
      </c>
      <c r="W3471">
        <v>3.6880059999999999E-2</v>
      </c>
      <c r="X3471">
        <v>0.98704859999999905</v>
      </c>
      <c r="Y3471">
        <v>0.58486830000000001</v>
      </c>
      <c r="Z3471">
        <v>6.3348159999999996E-4</v>
      </c>
      <c r="AA3471">
        <v>0.81112799999999996</v>
      </c>
      <c r="AB3471">
        <v>24</v>
      </c>
      <c r="AC3471">
        <v>-64.169499999999999</v>
      </c>
      <c r="AD3471">
        <v>-4.4586000000000202E-2</v>
      </c>
      <c r="AE3471">
        <v>-35.335500000000003</v>
      </c>
      <c r="AF3471">
        <v>42.899750320479598</v>
      </c>
      <c r="AG3471">
        <v>-4.4586000000000202E-2</v>
      </c>
      <c r="AH3471">
        <v>59.379539717986397</v>
      </c>
      <c r="AI3471">
        <v>90.034872483332094</v>
      </c>
      <c r="AJ3471">
        <v>54.1531358691837</v>
      </c>
      <c r="AK3471">
        <v>73.255172531301895</v>
      </c>
    </row>
    <row r="3472" spans="1:37" x14ac:dyDescent="0.2">
      <c r="A3472" t="str">
        <f>"20200111153503895"</f>
        <v>20200111153503895</v>
      </c>
      <c r="B3472" t="str">
        <f>"1578728103889492"</f>
        <v>1578728103889492</v>
      </c>
      <c r="C3472" t="s">
        <v>37</v>
      </c>
      <c r="D3472">
        <v>4.7261389999999999</v>
      </c>
      <c r="E3472">
        <v>0.69254839999999995</v>
      </c>
      <c r="F3472" t="s">
        <v>63</v>
      </c>
      <c r="G3472">
        <v>-259.25740000000002</v>
      </c>
      <c r="H3472">
        <v>1.0361719999999901</v>
      </c>
      <c r="I3472">
        <v>118.6748</v>
      </c>
      <c r="J3472">
        <v>-195.1481</v>
      </c>
      <c r="K3472">
        <v>1.0980240000000001</v>
      </c>
      <c r="L3472">
        <v>153.5787</v>
      </c>
      <c r="M3472">
        <v>-0.43266480000000002</v>
      </c>
      <c r="N3472">
        <v>0</v>
      </c>
      <c r="O3472">
        <v>-0.90144439999999904</v>
      </c>
      <c r="P3472">
        <v>-0.56757919999999995</v>
      </c>
      <c r="Q3472">
        <v>2.5490099999999901E-2</v>
      </c>
      <c r="R3472">
        <v>-0.82292410000000005</v>
      </c>
      <c r="S3472">
        <v>-2.9597169999999999</v>
      </c>
      <c r="T3472">
        <v>-2.8538700000000001E-3</v>
      </c>
      <c r="U3472">
        <v>-1.615097</v>
      </c>
      <c r="V3472">
        <v>0.15624250000000001</v>
      </c>
      <c r="W3472">
        <v>3.6818110000000001E-2</v>
      </c>
      <c r="X3472">
        <v>0.98703229999999997</v>
      </c>
      <c r="Y3472">
        <v>0.58410010000000001</v>
      </c>
      <c r="Z3472">
        <v>8.8115380000000003E-4</v>
      </c>
      <c r="AA3472">
        <v>0.81168119999999999</v>
      </c>
      <c r="AB3472">
        <v>24</v>
      </c>
      <c r="AC3472">
        <v>-64.109300000000005</v>
      </c>
      <c r="AD3472">
        <v>-6.1851999999999997E-2</v>
      </c>
      <c r="AE3472">
        <v>-34.903899999999901</v>
      </c>
      <c r="AF3472">
        <v>42.693501637347502</v>
      </c>
      <c r="AG3472">
        <v>-6.1851999999999997E-2</v>
      </c>
      <c r="AH3472">
        <v>59.207616472124897</v>
      </c>
      <c r="AI3472">
        <v>90.048549289812897</v>
      </c>
      <c r="AJ3472">
        <v>54.2053337269964</v>
      </c>
      <c r="AK3472">
        <v>72.995073505260194</v>
      </c>
    </row>
    <row r="3473" spans="1:37" x14ac:dyDescent="0.2">
      <c r="A3473" t="str">
        <f>"20200111153503908"</f>
        <v>20200111153503908</v>
      </c>
      <c r="B3473" t="str">
        <f>"1578728103899252"</f>
        <v>1578728103899252</v>
      </c>
      <c r="C3473" t="s">
        <v>37</v>
      </c>
      <c r="D3473">
        <v>4.9205870000000003</v>
      </c>
      <c r="E3473">
        <v>0.6918512</v>
      </c>
      <c r="F3473" t="s">
        <v>63</v>
      </c>
      <c r="G3473">
        <v>-259.31700000000001</v>
      </c>
      <c r="H3473">
        <v>1.0350539999999999</v>
      </c>
      <c r="I3473">
        <v>118.9901</v>
      </c>
      <c r="J3473">
        <v>-195.21289999999999</v>
      </c>
      <c r="K3473">
        <v>1.098006</v>
      </c>
      <c r="L3473">
        <v>153.45930000000001</v>
      </c>
      <c r="M3473">
        <v>-0.43811899999999998</v>
      </c>
      <c r="N3473">
        <v>0</v>
      </c>
      <c r="O3473">
        <v>-0.89880649999999995</v>
      </c>
      <c r="P3473">
        <v>-0.57248929999999998</v>
      </c>
      <c r="Q3473">
        <v>2.5078929999999999E-2</v>
      </c>
      <c r="R3473">
        <v>-0.81952879999999995</v>
      </c>
      <c r="S3473">
        <v>-2.96698</v>
      </c>
      <c r="T3473">
        <v>-2.9103759999999901E-3</v>
      </c>
      <c r="U3473">
        <v>-1.5992740000000001</v>
      </c>
      <c r="V3473">
        <v>0.15615190000000001</v>
      </c>
      <c r="W3473">
        <v>3.6399260000000003E-2</v>
      </c>
      <c r="X3473">
        <v>0.987062199999999</v>
      </c>
      <c r="Y3473">
        <v>0.58336460000000001</v>
      </c>
      <c r="Z3473">
        <v>8.9796050000000001E-4</v>
      </c>
      <c r="AA3473">
        <v>0.81220990000000004</v>
      </c>
      <c r="AB3473">
        <v>24</v>
      </c>
      <c r="AC3473">
        <v>-64.104100000000003</v>
      </c>
      <c r="AD3473">
        <v>-6.2951999999999897E-2</v>
      </c>
      <c r="AE3473">
        <v>-34.469200000000001</v>
      </c>
      <c r="AF3473">
        <v>42.5197613084312</v>
      </c>
      <c r="AG3473">
        <v>-6.2951999999999897E-2</v>
      </c>
      <c r="AH3473">
        <v>59.0721876844283</v>
      </c>
      <c r="AI3473">
        <v>90.049556255277807</v>
      </c>
      <c r="AJ3473">
        <v>54.2539154944701</v>
      </c>
      <c r="AK3473">
        <v>72.783634304042494</v>
      </c>
    </row>
    <row r="3474" spans="1:37" x14ac:dyDescent="0.2">
      <c r="A3474" t="str">
        <f>"20200111153503919"</f>
        <v>20200111153503919</v>
      </c>
      <c r="B3474" t="str">
        <f>"1578728103909012"</f>
        <v>1578728103909012</v>
      </c>
      <c r="C3474" t="s">
        <v>37</v>
      </c>
      <c r="D3474">
        <v>4.673298</v>
      </c>
      <c r="E3474">
        <v>0.691694699999999</v>
      </c>
      <c r="F3474" t="s">
        <v>63</v>
      </c>
      <c r="G3474">
        <v>-259.8569</v>
      </c>
      <c r="H3474">
        <v>0.9631016</v>
      </c>
      <c r="I3474">
        <v>118.9901</v>
      </c>
      <c r="J3474">
        <v>-195.2747</v>
      </c>
      <c r="K3474">
        <v>1.09799</v>
      </c>
      <c r="L3474">
        <v>153.34620000000001</v>
      </c>
      <c r="M3474">
        <v>-0.44328679999999898</v>
      </c>
      <c r="N3474">
        <v>0</v>
      </c>
      <c r="O3474">
        <v>-0.89626899999999998</v>
      </c>
      <c r="P3474">
        <v>-0.57696990000000004</v>
      </c>
      <c r="Q3474">
        <v>2.486737E-2</v>
      </c>
      <c r="R3474">
        <v>-0.81638710000000003</v>
      </c>
      <c r="S3474">
        <v>-2.972</v>
      </c>
      <c r="T3474">
        <v>-6.2017440000000004E-3</v>
      </c>
      <c r="U3474">
        <v>-1.5847169999999999</v>
      </c>
      <c r="V3474">
        <v>0.15587000000000001</v>
      </c>
      <c r="W3474">
        <v>3.6182909999999999E-2</v>
      </c>
      <c r="X3474">
        <v>0.98711469999999901</v>
      </c>
      <c r="Y3474">
        <v>0.5823507</v>
      </c>
      <c r="Z3474">
        <v>1.9126919999999999E-3</v>
      </c>
      <c r="AA3474">
        <v>0.81293549999999903</v>
      </c>
      <c r="AB3474">
        <v>24</v>
      </c>
      <c r="AC3474">
        <v>-64.5822</v>
      </c>
      <c r="AD3474">
        <v>-0.13488839999999999</v>
      </c>
      <c r="AE3474">
        <v>-34.356099999999998</v>
      </c>
      <c r="AF3474">
        <v>42.657511230981598</v>
      </c>
      <c r="AG3474">
        <v>-0.13488839999999999</v>
      </c>
      <c r="AH3474">
        <v>59.4264462176004</v>
      </c>
      <c r="AI3474">
        <v>90.105650739396495</v>
      </c>
      <c r="AJ3474">
        <v>54.328446136128299</v>
      </c>
      <c r="AK3474">
        <v>73.151787191804999</v>
      </c>
    </row>
    <row r="3475" spans="1:37" x14ac:dyDescent="0.2">
      <c r="A3475" t="str">
        <f>"20200111153503935"</f>
        <v>20200111153503935</v>
      </c>
      <c r="B3475" t="str">
        <f>"1578728103929508"</f>
        <v>1578728103929508</v>
      </c>
      <c r="C3475" t="s">
        <v>37</v>
      </c>
      <c r="D3475">
        <v>4.7213209999999997</v>
      </c>
      <c r="E3475">
        <v>0.69124249999999998</v>
      </c>
      <c r="F3475" t="s">
        <v>63</v>
      </c>
      <c r="G3475">
        <v>-260.51280000000003</v>
      </c>
      <c r="H3475">
        <v>0.96490750000000003</v>
      </c>
      <c r="I3475">
        <v>118.9901</v>
      </c>
      <c r="J3475">
        <v>-195.35400000000001</v>
      </c>
      <c r="K3475">
        <v>1.0979729999999901</v>
      </c>
      <c r="L3475">
        <v>153.20410000000001</v>
      </c>
      <c r="M3475">
        <v>-0.44981300000000002</v>
      </c>
      <c r="N3475">
        <v>0</v>
      </c>
      <c r="O3475">
        <v>-0.89301169999999996</v>
      </c>
      <c r="P3475">
        <v>-0.58263889999999996</v>
      </c>
      <c r="Q3475">
        <v>2.395487E-2</v>
      </c>
      <c r="R3475">
        <v>-0.8123785</v>
      </c>
      <c r="S3475">
        <v>-2.9795989999999999</v>
      </c>
      <c r="T3475">
        <v>-6.0789590000000001E-3</v>
      </c>
      <c r="U3475">
        <v>-1.5691379999999999</v>
      </c>
      <c r="V3475">
        <v>0.15551409999999999</v>
      </c>
      <c r="W3475">
        <v>3.5265589999999999E-2</v>
      </c>
      <c r="X3475">
        <v>0.98720399999999997</v>
      </c>
      <c r="Y3475">
        <v>0.58060109999999998</v>
      </c>
      <c r="Z3475">
        <v>1.8720879999999901E-3</v>
      </c>
      <c r="AA3475">
        <v>0.81418599999999997</v>
      </c>
      <c r="AB3475">
        <v>24</v>
      </c>
      <c r="AC3475">
        <v>-65.158799999999999</v>
      </c>
      <c r="AD3475">
        <v>-0.133065499999999</v>
      </c>
      <c r="AE3475">
        <v>-34.213999999999999</v>
      </c>
      <c r="AF3475">
        <v>42.801774342292397</v>
      </c>
      <c r="AG3475">
        <v>-0.133065499999999</v>
      </c>
      <c r="AH3475">
        <v>59.868520224827201</v>
      </c>
      <c r="AI3475">
        <v>90.103595052772306</v>
      </c>
      <c r="AJ3475">
        <v>54.437903024528502</v>
      </c>
      <c r="AK3475">
        <v>73.595171765451795</v>
      </c>
    </row>
    <row r="3476" spans="1:37" x14ac:dyDescent="0.2">
      <c r="A3476" t="str">
        <f>"20200111153503948"</f>
        <v>20200111153503948</v>
      </c>
      <c r="B3476" t="str">
        <f>"1578728103939268"</f>
        <v>1578728103939268</v>
      </c>
      <c r="C3476" t="s">
        <v>37</v>
      </c>
      <c r="D3476">
        <v>4.9127489999999998</v>
      </c>
      <c r="E3476">
        <v>0.69060140000000003</v>
      </c>
      <c r="F3476" t="s">
        <v>63</v>
      </c>
      <c r="G3476">
        <v>-264.09890000000001</v>
      </c>
      <c r="H3476">
        <v>0.93056179999999999</v>
      </c>
      <c r="I3476">
        <v>117.5291</v>
      </c>
      <c r="J3476">
        <v>-195.42099999999999</v>
      </c>
      <c r="K3476">
        <v>1.097966</v>
      </c>
      <c r="L3476">
        <v>153.08609999999999</v>
      </c>
      <c r="M3476">
        <v>-0.45524619999999999</v>
      </c>
      <c r="N3476">
        <v>0</v>
      </c>
      <c r="O3476">
        <v>-0.89025429999999905</v>
      </c>
      <c r="P3476">
        <v>-0.58762320000000001</v>
      </c>
      <c r="Q3476">
        <v>2.376586E-2</v>
      </c>
      <c r="R3476">
        <v>-0.808786</v>
      </c>
      <c r="S3476">
        <v>-2.9875790000000002</v>
      </c>
      <c r="T3476">
        <v>-7.2754619999999999E-3</v>
      </c>
      <c r="U3476">
        <v>-1.5504</v>
      </c>
      <c r="V3476">
        <v>0.1555636</v>
      </c>
      <c r="W3476">
        <v>3.5067340000000002E-2</v>
      </c>
      <c r="X3476">
        <v>0.98720319999999995</v>
      </c>
      <c r="Y3476">
        <v>0.58054899999999998</v>
      </c>
      <c r="Z3476">
        <v>2.2393980000000001E-3</v>
      </c>
      <c r="AA3476">
        <v>0.81422220000000001</v>
      </c>
      <c r="AB3476">
        <v>24</v>
      </c>
      <c r="AC3476">
        <v>-68.677899999999994</v>
      </c>
      <c r="AD3476">
        <v>-0.1674042</v>
      </c>
      <c r="AE3476">
        <v>-35.556999999999903</v>
      </c>
      <c r="AF3476">
        <v>44.957851089748097</v>
      </c>
      <c r="AG3476">
        <v>-0.1674042</v>
      </c>
      <c r="AH3476">
        <v>62.926065941417299</v>
      </c>
      <c r="AI3476">
        <v>90.124023819087896</v>
      </c>
      <c r="AJ3476">
        <v>54.455894962152499</v>
      </c>
      <c r="AK3476">
        <v>77.336447899019404</v>
      </c>
    </row>
    <row r="3477" spans="1:37" x14ac:dyDescent="0.2">
      <c r="A3477" t="str">
        <f>"20200111153503960"</f>
        <v>20200111153503960</v>
      </c>
      <c r="B3477" t="str">
        <f>"1578728103949029"</f>
        <v>1578728103949029</v>
      </c>
      <c r="C3477" t="s">
        <v>37</v>
      </c>
      <c r="D3477">
        <v>4.974907</v>
      </c>
      <c r="E3477">
        <v>0.68995519999999999</v>
      </c>
      <c r="F3477" t="s">
        <v>63</v>
      </c>
      <c r="G3477">
        <v>-264.75029999999998</v>
      </c>
      <c r="H3477">
        <v>0.85472939999999997</v>
      </c>
      <c r="I3477">
        <v>117.529</v>
      </c>
      <c r="J3477">
        <v>-195.48920000000001</v>
      </c>
      <c r="K3477">
        <v>1.0979589999999999</v>
      </c>
      <c r="L3477">
        <v>152.96719999999999</v>
      </c>
      <c r="M3477">
        <v>-0.46072289999999999</v>
      </c>
      <c r="N3477">
        <v>0</v>
      </c>
      <c r="O3477">
        <v>-0.88743259999999902</v>
      </c>
      <c r="P3477">
        <v>-0.59241350000000004</v>
      </c>
      <c r="Q3477">
        <v>2.3323429999999999E-2</v>
      </c>
      <c r="R3477">
        <v>-0.80529649999999997</v>
      </c>
      <c r="S3477">
        <v>-2.9929809999999999</v>
      </c>
      <c r="T3477">
        <v>-1.050067E-2</v>
      </c>
      <c r="U3477">
        <v>-1.5350189999999999</v>
      </c>
      <c r="V3477">
        <v>0.15532739999999901</v>
      </c>
      <c r="W3477">
        <v>3.4621779999999998E-2</v>
      </c>
      <c r="X3477">
        <v>0.98725620000000003</v>
      </c>
      <c r="Y3477">
        <v>0.5794359</v>
      </c>
      <c r="Z3477">
        <v>3.229857E-3</v>
      </c>
      <c r="AA3477">
        <v>0.81501140000000005</v>
      </c>
      <c r="AB3477">
        <v>24</v>
      </c>
      <c r="AC3477">
        <v>-69.2610999999999</v>
      </c>
      <c r="AD3477">
        <v>-0.24322959999999999</v>
      </c>
      <c r="AE3477">
        <v>-35.438199999999902</v>
      </c>
      <c r="AF3477">
        <v>45.141391092368401</v>
      </c>
      <c r="AG3477">
        <v>-0.24322959999999999</v>
      </c>
      <c r="AH3477">
        <v>63.364836330206501</v>
      </c>
      <c r="AI3477">
        <v>90.179125646481495</v>
      </c>
      <c r="AJ3477">
        <v>54.533759373062999</v>
      </c>
      <c r="AK3477">
        <v>77.800429520320293</v>
      </c>
    </row>
    <row r="3478" spans="1:37" x14ac:dyDescent="0.2">
      <c r="A3478" t="str">
        <f>"20200111153503972"</f>
        <v>20200111153503972</v>
      </c>
      <c r="B3478" t="str">
        <f>"1578728103969524"</f>
        <v>1578728103969524</v>
      </c>
      <c r="C3478" t="s">
        <v>37</v>
      </c>
      <c r="D3478">
        <v>4.8774699999999998</v>
      </c>
      <c r="E3478">
        <v>0.68866260000000001</v>
      </c>
      <c r="F3478" t="s">
        <v>63</v>
      </c>
      <c r="G3478">
        <v>-265.36090000000002</v>
      </c>
      <c r="H3478">
        <v>0.74584530000000004</v>
      </c>
      <c r="I3478">
        <v>117.529</v>
      </c>
      <c r="J3478">
        <v>-195.55420000000001</v>
      </c>
      <c r="K3478">
        <v>1.0979570000000001</v>
      </c>
      <c r="L3478">
        <v>152.85599999999999</v>
      </c>
      <c r="M3478">
        <v>-0.46586270000000002</v>
      </c>
      <c r="N3478">
        <v>0</v>
      </c>
      <c r="O3478">
        <v>-0.88474509999999995</v>
      </c>
      <c r="P3478">
        <v>-0.59696969999999905</v>
      </c>
      <c r="Q3478">
        <v>2.2977879999999999E-2</v>
      </c>
      <c r="R3478">
        <v>-0.80193479999999995</v>
      </c>
      <c r="S3478">
        <v>-2.9978180000000001</v>
      </c>
      <c r="T3478">
        <v>-1.5107270000000001E-2</v>
      </c>
      <c r="U3478">
        <v>-1.520462</v>
      </c>
      <c r="V3478">
        <v>0.1551874</v>
      </c>
      <c r="W3478">
        <v>3.4273419999999999E-2</v>
      </c>
      <c r="X3478">
        <v>0.98729029999999995</v>
      </c>
      <c r="Y3478">
        <v>0.57837830000000001</v>
      </c>
      <c r="Z3478">
        <v>4.6437529999999996E-3</v>
      </c>
      <c r="AA3478">
        <v>0.81575540000000002</v>
      </c>
      <c r="AB3478">
        <v>24</v>
      </c>
      <c r="AC3478">
        <v>-69.806700000000006</v>
      </c>
      <c r="AD3478">
        <v>-0.35211170000000003</v>
      </c>
      <c r="AE3478">
        <v>-35.326999999999998</v>
      </c>
      <c r="AF3478">
        <v>45.307173373789098</v>
      </c>
      <c r="AG3478">
        <v>-0.35211170000000003</v>
      </c>
      <c r="AH3478">
        <v>63.780752402292997</v>
      </c>
      <c r="AI3478">
        <v>90.257868768372703</v>
      </c>
      <c r="AJ3478">
        <v>54.611609764627701</v>
      </c>
      <c r="AK3478">
        <v>78.235850597884294</v>
      </c>
    </row>
    <row r="3479" spans="1:37" x14ac:dyDescent="0.2">
      <c r="A3479" t="str">
        <f>"20200111153503985"</f>
        <v>20200111153503985</v>
      </c>
      <c r="B3479" t="str">
        <f>"1578728103979285"</f>
        <v>1578728103979285</v>
      </c>
      <c r="C3479" t="s">
        <v>37</v>
      </c>
      <c r="D3479">
        <v>4.883921</v>
      </c>
      <c r="E3479">
        <v>0.6880676</v>
      </c>
      <c r="F3479" t="s">
        <v>63</v>
      </c>
      <c r="G3479">
        <v>-265.70549999999997</v>
      </c>
      <c r="H3479">
        <v>0.59093240000000002</v>
      </c>
      <c r="I3479">
        <v>117.529</v>
      </c>
      <c r="J3479">
        <v>-195.61930000000001</v>
      </c>
      <c r="K3479">
        <v>1.0979589999999999</v>
      </c>
      <c r="L3479">
        <v>152.7456</v>
      </c>
      <c r="M3479">
        <v>-0.47096369999999999</v>
      </c>
      <c r="N3479">
        <v>0</v>
      </c>
      <c r="O3479">
        <v>-0.88204050000000001</v>
      </c>
      <c r="P3479">
        <v>-0.60139529999999997</v>
      </c>
      <c r="Q3479">
        <v>2.24824E-2</v>
      </c>
      <c r="R3479">
        <v>-0.79863549999999905</v>
      </c>
      <c r="S3479">
        <v>-2.9980769999999999</v>
      </c>
      <c r="T3479">
        <v>-2.166879E-2</v>
      </c>
      <c r="U3479">
        <v>-1.509781</v>
      </c>
      <c r="V3479">
        <v>0.15493090000000001</v>
      </c>
      <c r="W3479">
        <v>3.3778269999999999E-2</v>
      </c>
      <c r="X3479">
        <v>0.98734769999999905</v>
      </c>
      <c r="Y3479">
        <v>0.5759978</v>
      </c>
      <c r="Z3479">
        <v>6.6578599999999998E-3</v>
      </c>
      <c r="AA3479">
        <v>0.81742409999999999</v>
      </c>
      <c r="AB3479">
        <v>24</v>
      </c>
      <c r="AC3479">
        <v>-70.086199999999906</v>
      </c>
      <c r="AD3479">
        <v>-0.50702659999999899</v>
      </c>
      <c r="AE3479">
        <v>-35.2166</v>
      </c>
      <c r="AF3479">
        <v>45.235709539903397</v>
      </c>
      <c r="AG3479">
        <v>-0.50702659999999899</v>
      </c>
      <c r="AH3479">
        <v>64.074182075931105</v>
      </c>
      <c r="AI3479">
        <v>90.370379784136304</v>
      </c>
      <c r="AJ3479">
        <v>54.778303964133102</v>
      </c>
      <c r="AK3479">
        <v>78.434860248815298</v>
      </c>
    </row>
    <row r="3480" spans="1:37" x14ac:dyDescent="0.2">
      <c r="A3480" t="str">
        <f>"20200111153503996"</f>
        <v>20200111153503996</v>
      </c>
      <c r="B3480" t="str">
        <f>"1578728103989044"</f>
        <v>1578728103989044</v>
      </c>
      <c r="C3480" t="s">
        <v>37</v>
      </c>
      <c r="D3480">
        <v>4.8109909999999996</v>
      </c>
      <c r="E3480">
        <v>0.68749640000000001</v>
      </c>
      <c r="F3480" t="s">
        <v>63</v>
      </c>
      <c r="G3480">
        <v>-266.30169999999998</v>
      </c>
      <c r="H3480">
        <v>0.4965444</v>
      </c>
      <c r="I3480">
        <v>117.52889999999999</v>
      </c>
      <c r="J3480">
        <v>-195.68819999999999</v>
      </c>
      <c r="K3480">
        <v>1.0979620000000001</v>
      </c>
      <c r="L3480">
        <v>152.63040000000001</v>
      </c>
      <c r="M3480">
        <v>-0.47629300000000002</v>
      </c>
      <c r="N3480">
        <v>0</v>
      </c>
      <c r="O3480">
        <v>-0.87917420000000002</v>
      </c>
      <c r="P3480">
        <v>-0.60600609999999999</v>
      </c>
      <c r="Q3480">
        <v>2.2084099999999999E-2</v>
      </c>
      <c r="R3480">
        <v>-0.79515380000000002</v>
      </c>
      <c r="S3480">
        <v>-3.00264</v>
      </c>
      <c r="T3480">
        <v>-2.5548580000000001E-2</v>
      </c>
      <c r="U3480">
        <v>-1.4960329999999999</v>
      </c>
      <c r="V3480">
        <v>0.15465570000000001</v>
      </c>
      <c r="W3480">
        <v>3.3380809999999997E-2</v>
      </c>
      <c r="X3480">
        <v>0.98740430000000001</v>
      </c>
      <c r="Y3480">
        <v>0.57453359999999998</v>
      </c>
      <c r="Z3480">
        <v>7.8422219999999994E-3</v>
      </c>
      <c r="AA3480">
        <v>0.81844340000000004</v>
      </c>
      <c r="AB3480">
        <v>23</v>
      </c>
      <c r="AC3480">
        <v>-70.613499999999902</v>
      </c>
      <c r="AD3480">
        <v>-0.6014176</v>
      </c>
      <c r="AE3480">
        <v>-35.101500000000001</v>
      </c>
      <c r="AF3480">
        <v>45.364814797654198</v>
      </c>
      <c r="AG3480">
        <v>-0.6014176</v>
      </c>
      <c r="AH3480">
        <v>64.495673651243806</v>
      </c>
      <c r="AI3480">
        <v>90.436995452266402</v>
      </c>
      <c r="AJ3480">
        <v>54.878303524511402</v>
      </c>
      <c r="AK3480">
        <v>78.854423112992293</v>
      </c>
    </row>
    <row r="3481" spans="1:37" x14ac:dyDescent="0.2">
      <c r="A3481" t="str">
        <f>"20200111153504008"</f>
        <v>20200111153504008</v>
      </c>
      <c r="B3481" t="str">
        <f>"1578728103999780"</f>
        <v>1578728103999780</v>
      </c>
      <c r="C3481" t="s">
        <v>37</v>
      </c>
      <c r="D3481">
        <v>4.8500160000000001</v>
      </c>
      <c r="E3481">
        <v>0.68689829999999996</v>
      </c>
      <c r="F3481" t="s">
        <v>63</v>
      </c>
      <c r="G3481">
        <v>-266.95569999999998</v>
      </c>
      <c r="H3481">
        <v>0.41943909999999901</v>
      </c>
      <c r="I3481">
        <v>117.52889999999999</v>
      </c>
      <c r="J3481">
        <v>-195.7491</v>
      </c>
      <c r="K3481">
        <v>1.0979620000000001</v>
      </c>
      <c r="L3481">
        <v>152.53030000000001</v>
      </c>
      <c r="M3481">
        <v>-0.48093509999999901</v>
      </c>
      <c r="N3481">
        <v>0</v>
      </c>
      <c r="O3481">
        <v>-0.87664379999999997</v>
      </c>
      <c r="P3481">
        <v>-0.6100525</v>
      </c>
      <c r="Q3481">
        <v>2.1881040000000001E-2</v>
      </c>
      <c r="R3481">
        <v>-0.79205930000000002</v>
      </c>
      <c r="S3481">
        <v>-3.0077210000000001</v>
      </c>
      <c r="T3481">
        <v>-2.8635859999999999E-2</v>
      </c>
      <c r="U3481">
        <v>-1.4814000000000001</v>
      </c>
      <c r="V3481">
        <v>0.15446260000000001</v>
      </c>
      <c r="W3481">
        <v>3.3175410000000002E-2</v>
      </c>
      <c r="X3481">
        <v>0.98744149999999997</v>
      </c>
      <c r="Y3481">
        <v>0.57394849999999997</v>
      </c>
      <c r="Z3481">
        <v>8.7842130000000008E-3</v>
      </c>
      <c r="AA3481">
        <v>0.81884429999999997</v>
      </c>
      <c r="AB3481">
        <v>23</v>
      </c>
      <c r="AC3481">
        <v>-71.206599999999895</v>
      </c>
      <c r="AD3481">
        <v>-0.67852290000000004</v>
      </c>
      <c r="AE3481">
        <v>-35.001399999999997</v>
      </c>
      <c r="AF3481">
        <v>45.590581513346798</v>
      </c>
      <c r="AG3481">
        <v>-0.67852290000000004</v>
      </c>
      <c r="AH3481">
        <v>64.931164144347207</v>
      </c>
      <c r="AI3481">
        <v>90.489997610087599</v>
      </c>
      <c r="AJ3481">
        <v>54.925881902899498</v>
      </c>
      <c r="AK3481">
        <v>79.341146911240898</v>
      </c>
    </row>
    <row r="3482" spans="1:37" x14ac:dyDescent="0.2">
      <c r="A3482" t="str">
        <f>"20200111153504025"</f>
        <v>20200111153504025</v>
      </c>
      <c r="B3482" t="str">
        <f>"1578728104019301"</f>
        <v>1578728104019301</v>
      </c>
      <c r="C3482" t="s">
        <v>37</v>
      </c>
      <c r="D3482">
        <v>4.8095739999999996</v>
      </c>
      <c r="E3482">
        <v>0.68586769999999997</v>
      </c>
      <c r="F3482" t="s">
        <v>63</v>
      </c>
      <c r="G3482">
        <v>-267.49369999999999</v>
      </c>
      <c r="H3482">
        <v>0.35959009999999902</v>
      </c>
      <c r="I3482">
        <v>117.52889999999999</v>
      </c>
      <c r="J3482">
        <v>-195.8441</v>
      </c>
      <c r="K3482">
        <v>1.0979699999999999</v>
      </c>
      <c r="L3482">
        <v>152.376</v>
      </c>
      <c r="M3482">
        <v>-0.4880813</v>
      </c>
      <c r="N3482">
        <v>0</v>
      </c>
      <c r="O3482">
        <v>-0.87268539999999994</v>
      </c>
      <c r="P3482">
        <v>-0.6162668</v>
      </c>
      <c r="Q3482">
        <v>2.1368399999999999E-2</v>
      </c>
      <c r="R3482">
        <v>-0.78724780000000005</v>
      </c>
      <c r="S3482">
        <v>-3.0113369999999899</v>
      </c>
      <c r="T3482">
        <v>-3.0991790000000002E-2</v>
      </c>
      <c r="U3482">
        <v>-1.4691160000000001</v>
      </c>
      <c r="V3482">
        <v>0.15414929999999999</v>
      </c>
      <c r="W3482">
        <v>3.2658310000000003E-2</v>
      </c>
      <c r="X3482">
        <v>0.98750769999999899</v>
      </c>
      <c r="Y3482">
        <v>0.5703298</v>
      </c>
      <c r="Z3482">
        <v>9.4862920000000003E-3</v>
      </c>
      <c r="AA3482">
        <v>0.82136109999999896</v>
      </c>
      <c r="AB3482">
        <v>23</v>
      </c>
      <c r="AC3482">
        <v>-71.649599999999893</v>
      </c>
      <c r="AD3482">
        <v>-0.73837989999999998</v>
      </c>
      <c r="AE3482">
        <v>-34.847099999999998</v>
      </c>
      <c r="AF3482">
        <v>45.519913042303401</v>
      </c>
      <c r="AG3482">
        <v>-0.73837989999999998</v>
      </c>
      <c r="AH3482">
        <v>65.382205575358597</v>
      </c>
      <c r="AI3482">
        <v>90.531018188249107</v>
      </c>
      <c r="AJ3482">
        <v>55.153879390129703</v>
      </c>
      <c r="AK3482">
        <v>79.670825865896703</v>
      </c>
    </row>
    <row r="3483" spans="1:37" x14ac:dyDescent="0.2">
      <c r="A3483" t="str">
        <f>"20200111153504035"</f>
        <v>20200111153504035</v>
      </c>
      <c r="B3483" t="str">
        <f>"1578728104029061"</f>
        <v>1578728104029061</v>
      </c>
      <c r="C3483" t="s">
        <v>37</v>
      </c>
      <c r="D3483">
        <v>4.8625389999999999</v>
      </c>
      <c r="E3483">
        <v>0.68534059999999997</v>
      </c>
      <c r="F3483" t="s">
        <v>63</v>
      </c>
      <c r="G3483">
        <v>-268.30950000000001</v>
      </c>
      <c r="H3483">
        <v>0.27030419999999999</v>
      </c>
      <c r="I3483">
        <v>117.5288</v>
      </c>
      <c r="J3483">
        <v>-195.9091</v>
      </c>
      <c r="K3483">
        <v>1.097974</v>
      </c>
      <c r="L3483">
        <v>152.27180000000001</v>
      </c>
      <c r="M3483">
        <v>-0.49291119999999999</v>
      </c>
      <c r="N3483">
        <v>0</v>
      </c>
      <c r="O3483">
        <v>-0.86996659999999904</v>
      </c>
      <c r="P3483">
        <v>-0.62050660000000002</v>
      </c>
      <c r="Q3483">
        <v>2.1269670000000001E-2</v>
      </c>
      <c r="R3483">
        <v>-0.78391250000000001</v>
      </c>
      <c r="S3483">
        <v>-3.0163120000000001</v>
      </c>
      <c r="T3483">
        <v>-3.4450889999999998E-2</v>
      </c>
      <c r="U3483">
        <v>-1.450485</v>
      </c>
      <c r="V3483">
        <v>0.15400150000000001</v>
      </c>
      <c r="W3483">
        <v>3.2555380000000002E-2</v>
      </c>
      <c r="X3483">
        <v>0.98753419999999903</v>
      </c>
      <c r="Y3483">
        <v>0.57041049999999904</v>
      </c>
      <c r="Z3483">
        <v>1.0544349999999999E-2</v>
      </c>
      <c r="AA3483">
        <v>0.82129200000000002</v>
      </c>
      <c r="AB3483">
        <v>23</v>
      </c>
      <c r="AC3483">
        <v>-72.400400000000005</v>
      </c>
      <c r="AD3483">
        <v>-0.82766980000000001</v>
      </c>
      <c r="AE3483">
        <v>-34.743000000000002</v>
      </c>
      <c r="AF3483">
        <v>45.860354700294799</v>
      </c>
      <c r="AG3483">
        <v>-0.82766980000000001</v>
      </c>
      <c r="AH3483">
        <v>65.911698351673095</v>
      </c>
      <c r="AI3483">
        <v>90.590565229499902</v>
      </c>
      <c r="AJ3483">
        <v>55.170392211841602</v>
      </c>
      <c r="AK3483">
        <v>80.300741902778398</v>
      </c>
    </row>
    <row r="3484" spans="1:37" x14ac:dyDescent="0.2">
      <c r="A3484" t="str">
        <f>"20200111153504048"</f>
        <v>20200111153504048</v>
      </c>
      <c r="B3484" t="str">
        <f>"1578728104039796"</f>
        <v>1578728104039796</v>
      </c>
      <c r="C3484" t="s">
        <v>37</v>
      </c>
      <c r="D3484">
        <v>4.7709739999999998</v>
      </c>
      <c r="E3484">
        <v>0.68518840000000003</v>
      </c>
      <c r="F3484" t="s">
        <v>63</v>
      </c>
      <c r="G3484">
        <v>-268.95819999999998</v>
      </c>
      <c r="H3484">
        <v>0.21292349999999999</v>
      </c>
      <c r="I3484">
        <v>117.5288</v>
      </c>
      <c r="J3484">
        <v>-195.97299999999899</v>
      </c>
      <c r="K3484">
        <v>1.09798</v>
      </c>
      <c r="L3484">
        <v>152.1712</v>
      </c>
      <c r="M3484">
        <v>-0.49757499999999999</v>
      </c>
      <c r="N3484">
        <v>0</v>
      </c>
      <c r="O3484">
        <v>-0.86730799999999997</v>
      </c>
      <c r="P3484">
        <v>-0.62466219999999995</v>
      </c>
      <c r="Q3484">
        <v>2.1154329999999999E-2</v>
      </c>
      <c r="R3484">
        <v>-0.78060889999999905</v>
      </c>
      <c r="S3484">
        <v>-3.0208889999999999</v>
      </c>
      <c r="T3484">
        <v>-3.6600710000000002E-2</v>
      </c>
      <c r="U3484">
        <v>-1.436768</v>
      </c>
      <c r="V3484">
        <v>0.15394099999999999</v>
      </c>
      <c r="W3484">
        <v>3.2432410000000002E-2</v>
      </c>
      <c r="X3484">
        <v>0.98754759999999997</v>
      </c>
      <c r="Y3484">
        <v>0.56951589999999996</v>
      </c>
      <c r="Z3484">
        <v>1.1191909999999999E-2</v>
      </c>
      <c r="AA3484">
        <v>0.82190409999999903</v>
      </c>
      <c r="AB3484">
        <v>23</v>
      </c>
      <c r="AC3484">
        <v>-72.985199999999907</v>
      </c>
      <c r="AD3484">
        <v>-0.88505649999999902</v>
      </c>
      <c r="AE3484">
        <v>-34.642399999999903</v>
      </c>
      <c r="AF3484">
        <v>46.062441302199197</v>
      </c>
      <c r="AG3484">
        <v>-0.88505649999999902</v>
      </c>
      <c r="AH3484">
        <v>66.359780213999599</v>
      </c>
      <c r="AI3484">
        <v>90.627731201567997</v>
      </c>
      <c r="AJ3484">
        <v>55.2342510875622</v>
      </c>
      <c r="AK3484">
        <v>80.784604063998998</v>
      </c>
    </row>
    <row r="3485" spans="1:37" x14ac:dyDescent="0.2">
      <c r="A3485" t="str">
        <f>"20200111153504060"</f>
        <v>20200111153504060</v>
      </c>
      <c r="B3485" t="str">
        <f>"1578728104049556"</f>
        <v>1578728104049556</v>
      </c>
      <c r="C3485" t="s">
        <v>37</v>
      </c>
      <c r="D3485">
        <v>4.7654750000000003</v>
      </c>
      <c r="E3485">
        <v>0.68518840000000003</v>
      </c>
      <c r="F3485" t="s">
        <v>63</v>
      </c>
      <c r="G3485">
        <v>-269.74889999999999</v>
      </c>
      <c r="H3485">
        <v>0.206374899999999</v>
      </c>
      <c r="I3485">
        <v>117.5288</v>
      </c>
      <c r="J3485">
        <v>-196.04169999999999</v>
      </c>
      <c r="K3485">
        <v>1.097985</v>
      </c>
      <c r="L3485">
        <v>152.0635</v>
      </c>
      <c r="M3485">
        <v>-0.50256109999999998</v>
      </c>
      <c r="N3485">
        <v>0</v>
      </c>
      <c r="O3485">
        <v>-0.86442839999999999</v>
      </c>
      <c r="P3485">
        <v>-0.62893259999999995</v>
      </c>
      <c r="Q3485">
        <v>2.123133E-2</v>
      </c>
      <c r="R3485">
        <v>-0.77717000000000003</v>
      </c>
      <c r="S3485">
        <v>-3.0274349999999899</v>
      </c>
      <c r="T3485">
        <v>-3.6587479999999999E-2</v>
      </c>
      <c r="U3485">
        <v>-1.42157</v>
      </c>
      <c r="V3485">
        <v>0.15367039999999901</v>
      </c>
      <c r="W3485">
        <v>3.2504379999999999E-2</v>
      </c>
      <c r="X3485">
        <v>0.9875874</v>
      </c>
      <c r="Y3485">
        <v>0.56884619999999997</v>
      </c>
      <c r="Z3485">
        <v>1.117288E-2</v>
      </c>
      <c r="AA3485">
        <v>0.82236799999999999</v>
      </c>
      <c r="AB3485">
        <v>23</v>
      </c>
      <c r="AC3485">
        <v>-73.7072</v>
      </c>
      <c r="AD3485">
        <v>-0.89161009999999996</v>
      </c>
      <c r="AE3485">
        <v>-34.534700000000001</v>
      </c>
      <c r="AF3485">
        <v>46.357778859285098</v>
      </c>
      <c r="AG3485">
        <v>-0.89161009999999996</v>
      </c>
      <c r="AH3485">
        <v>66.893673274362996</v>
      </c>
      <c r="AI3485">
        <v>90.627662811152405</v>
      </c>
      <c r="AJ3485">
        <v>55.277772662893298</v>
      </c>
      <c r="AK3485">
        <v>81.391658992024702</v>
      </c>
    </row>
    <row r="3486" spans="1:37" x14ac:dyDescent="0.2">
      <c r="A3486" t="str">
        <f>"20200111153504072"</f>
        <v>20200111153504072</v>
      </c>
      <c r="B3486" t="str">
        <f>"1578728104069076"</f>
        <v>1578728104069076</v>
      </c>
      <c r="C3486" t="s">
        <v>37</v>
      </c>
      <c r="D3486">
        <v>4.9835989999999999</v>
      </c>
      <c r="E3486">
        <v>0.6855</v>
      </c>
      <c r="F3486" t="s">
        <v>63</v>
      </c>
      <c r="G3486">
        <v>-270.65899999999999</v>
      </c>
      <c r="H3486">
        <v>0.2028577</v>
      </c>
      <c r="I3486">
        <v>117.5288</v>
      </c>
      <c r="J3486">
        <v>-196.11670000000001</v>
      </c>
      <c r="K3486">
        <v>1.0979889999999899</v>
      </c>
      <c r="L3486">
        <v>151.94829999999999</v>
      </c>
      <c r="M3486">
        <v>-0.5079072</v>
      </c>
      <c r="N3486">
        <v>0</v>
      </c>
      <c r="O3486">
        <v>-0.86129859999999903</v>
      </c>
      <c r="P3486">
        <v>-0.63358539999999997</v>
      </c>
      <c r="Q3486">
        <v>2.100194E-2</v>
      </c>
      <c r="R3486">
        <v>-0.77338809999999902</v>
      </c>
      <c r="S3486">
        <v>-3.0353089999999998</v>
      </c>
      <c r="T3486">
        <v>-3.6412239999999998E-2</v>
      </c>
      <c r="U3486">
        <v>-1.4048160000000001</v>
      </c>
      <c r="V3486">
        <v>0.15347049999999901</v>
      </c>
      <c r="W3486">
        <v>3.2264180000000003E-2</v>
      </c>
      <c r="X3486">
        <v>0.98762640000000002</v>
      </c>
      <c r="Y3486">
        <v>0.56830319999999901</v>
      </c>
      <c r="Z3486">
        <v>1.110127E-2</v>
      </c>
      <c r="AA3486">
        <v>0.82274439999999904</v>
      </c>
      <c r="AB3486">
        <v>23</v>
      </c>
      <c r="AC3486">
        <v>-74.542299999999898</v>
      </c>
      <c r="AD3486">
        <v>-0.89513129999999896</v>
      </c>
      <c r="AE3486">
        <v>-34.4194999999999</v>
      </c>
      <c r="AF3486">
        <v>46.720269567678301</v>
      </c>
      <c r="AG3486">
        <v>-0.89513129999999896</v>
      </c>
      <c r="AH3486">
        <v>67.504597225973995</v>
      </c>
      <c r="AI3486">
        <v>90.624702663595102</v>
      </c>
      <c r="AJ3486">
        <v>55.312697706410503</v>
      </c>
      <c r="AK3486">
        <v>82.100277071163106</v>
      </c>
    </row>
    <row r="3487" spans="1:37" x14ac:dyDescent="0.2">
      <c r="A3487" t="str">
        <f>"20200111153504084"</f>
        <v>20200111153504084</v>
      </c>
      <c r="B3487" t="str">
        <f>"1578728104079812"</f>
        <v>1578728104079812</v>
      </c>
      <c r="C3487" t="s">
        <v>37</v>
      </c>
      <c r="D3487">
        <v>4.7697510000000003</v>
      </c>
      <c r="E3487">
        <v>0.68600499999999998</v>
      </c>
      <c r="F3487" t="s">
        <v>38</v>
      </c>
      <c r="G3487">
        <v>-273.92660000000001</v>
      </c>
      <c r="H3487">
        <v>-0.05</v>
      </c>
      <c r="I3487">
        <v>116.55629999999999</v>
      </c>
      <c r="J3487">
        <v>-196.1865</v>
      </c>
      <c r="K3487">
        <v>1.097993</v>
      </c>
      <c r="L3487">
        <v>151.84229999999999</v>
      </c>
      <c r="M3487">
        <v>-0.51282380000000005</v>
      </c>
      <c r="N3487">
        <v>0</v>
      </c>
      <c r="O3487">
        <v>-0.85838029999999998</v>
      </c>
      <c r="P3487">
        <v>-0.63792539999999998</v>
      </c>
      <c r="Q3487">
        <v>2.0735139999999999E-2</v>
      </c>
      <c r="R3487">
        <v>-0.76981909999999998</v>
      </c>
      <c r="S3487">
        <v>-3.0455320000000001</v>
      </c>
      <c r="T3487">
        <v>-4.493308E-2</v>
      </c>
      <c r="U3487">
        <v>-1.3852690000000001</v>
      </c>
      <c r="V3487">
        <v>0.15336949999999999</v>
      </c>
      <c r="W3487">
        <v>3.1985380000000001E-2</v>
      </c>
      <c r="X3487">
        <v>0.9876511</v>
      </c>
      <c r="Y3487">
        <v>0.56898380000000004</v>
      </c>
      <c r="Z3487">
        <v>1.3678620000000001E-2</v>
      </c>
      <c r="AA3487">
        <v>0.82223500000000005</v>
      </c>
      <c r="AB3487">
        <v>23</v>
      </c>
      <c r="AC3487">
        <v>-77.740099999999998</v>
      </c>
      <c r="AD3487">
        <v>-1.147993</v>
      </c>
      <c r="AE3487">
        <v>-35.286000000000001</v>
      </c>
      <c r="AF3487">
        <v>48.631019441230102</v>
      </c>
      <c r="AG3487">
        <v>-1.147993</v>
      </c>
      <c r="AH3487">
        <v>70.149938210716897</v>
      </c>
      <c r="AI3487">
        <v>90.770533291375997</v>
      </c>
      <c r="AJ3487">
        <v>55.268599722983303</v>
      </c>
      <c r="AK3487">
        <v>85.365729486654999</v>
      </c>
    </row>
    <row r="3488" spans="1:37" x14ac:dyDescent="0.2">
      <c r="A3488" t="str">
        <f>"20200111153504097"</f>
        <v>20200111153504097</v>
      </c>
      <c r="B3488" t="str">
        <f>"1578728104089293"</f>
        <v>1578728104089293</v>
      </c>
      <c r="C3488" t="s">
        <v>37</v>
      </c>
      <c r="D3488">
        <v>4.8542990000000001</v>
      </c>
      <c r="E3488">
        <v>0.68641169999999996</v>
      </c>
      <c r="F3488" t="s">
        <v>38</v>
      </c>
      <c r="G3488">
        <v>-280.5958</v>
      </c>
      <c r="H3488">
        <v>-0.05</v>
      </c>
      <c r="I3488">
        <v>114.1354</v>
      </c>
      <c r="J3488">
        <v>-196.2629</v>
      </c>
      <c r="K3488">
        <v>1.0979969999999999</v>
      </c>
      <c r="L3488">
        <v>151.72730000000001</v>
      </c>
      <c r="M3488">
        <v>-0.51815069999999996</v>
      </c>
      <c r="N3488">
        <v>0</v>
      </c>
      <c r="O3488">
        <v>-0.85517559999999904</v>
      </c>
      <c r="P3488">
        <v>-0.64254350000000005</v>
      </c>
      <c r="Q3488">
        <v>2.0513670000000001E-2</v>
      </c>
      <c r="R3488">
        <v>-0.76597510000000002</v>
      </c>
      <c r="S3488">
        <v>-3.056473</v>
      </c>
      <c r="T3488">
        <v>-4.156899E-2</v>
      </c>
      <c r="U3488">
        <v>-1.365372</v>
      </c>
      <c r="V3488">
        <v>0.15316089999999999</v>
      </c>
      <c r="W3488">
        <v>3.1752799999999998E-2</v>
      </c>
      <c r="X3488">
        <v>0.98769099999999999</v>
      </c>
      <c r="Y3488">
        <v>0.56944659999999903</v>
      </c>
      <c r="Z3488">
        <v>1.263069E-2</v>
      </c>
      <c r="AA3488">
        <v>0.82193130000000003</v>
      </c>
      <c r="AB3488">
        <v>23</v>
      </c>
      <c r="AC3488">
        <v>-84.332899999999995</v>
      </c>
      <c r="AD3488">
        <v>-1.1479969999999999</v>
      </c>
      <c r="AE3488">
        <v>-37.591900000000003</v>
      </c>
      <c r="AF3488">
        <v>52.638153091055003</v>
      </c>
      <c r="AG3488">
        <v>-1.1479969999999999</v>
      </c>
      <c r="AH3488">
        <v>75.840481433257807</v>
      </c>
      <c r="AI3488">
        <v>90.712452846214703</v>
      </c>
      <c r="AJ3488">
        <v>55.236874507895102</v>
      </c>
      <c r="AK3488">
        <v>92.324816176246301</v>
      </c>
    </row>
    <row r="3489" spans="1:37" x14ac:dyDescent="0.2">
      <c r="A3489" t="str">
        <f>"20200111153504109"</f>
        <v>20200111153504109</v>
      </c>
      <c r="B3489" t="str">
        <f>"1578728104099053"</f>
        <v>1578728104099053</v>
      </c>
      <c r="C3489" t="s">
        <v>37</v>
      </c>
      <c r="D3489">
        <v>4.8931809999999896</v>
      </c>
      <c r="E3489">
        <v>0.68661219999999901</v>
      </c>
      <c r="F3489" t="s">
        <v>38</v>
      </c>
      <c r="G3489">
        <v>-287.30770000000001</v>
      </c>
      <c r="H3489">
        <v>-0.05</v>
      </c>
      <c r="I3489">
        <v>111.81140000000001</v>
      </c>
      <c r="J3489">
        <v>-196.333</v>
      </c>
      <c r="K3489">
        <v>1.0979999999999901</v>
      </c>
      <c r="L3489">
        <v>151.62379999999999</v>
      </c>
      <c r="M3489">
        <v>-0.52295379999999902</v>
      </c>
      <c r="N3489">
        <v>0</v>
      </c>
      <c r="O3489">
        <v>-0.85224709999999904</v>
      </c>
      <c r="P3489">
        <v>-0.64681409999999995</v>
      </c>
      <c r="Q3489">
        <v>2.0160150000000002E-2</v>
      </c>
      <c r="R3489">
        <v>-0.76238139999999999</v>
      </c>
      <c r="S3489">
        <v>-3.0671390000000001</v>
      </c>
      <c r="T3489">
        <v>-3.8674E-2</v>
      </c>
      <c r="U3489">
        <v>-1.3446959999999999</v>
      </c>
      <c r="V3489">
        <v>0.15311229999999901</v>
      </c>
      <c r="W3489">
        <v>3.1384860000000001E-2</v>
      </c>
      <c r="X3489">
        <v>0.98771030000000004</v>
      </c>
      <c r="Y3489">
        <v>0.57053359999999997</v>
      </c>
      <c r="Z3489">
        <v>1.173418E-2</v>
      </c>
      <c r="AA3489">
        <v>0.82119039999999999</v>
      </c>
      <c r="AB3489">
        <v>23</v>
      </c>
      <c r="AC3489">
        <v>-90.974699999999999</v>
      </c>
      <c r="AD3489">
        <v>-1.1479999999999999</v>
      </c>
      <c r="AE3489">
        <v>-39.812399999999897</v>
      </c>
      <c r="AF3489">
        <v>56.710807139426102</v>
      </c>
      <c r="AG3489">
        <v>-1.1479999999999999</v>
      </c>
      <c r="AH3489">
        <v>81.502590803815096</v>
      </c>
      <c r="AI3489">
        <v>90.662419954979001</v>
      </c>
      <c r="AJ3489">
        <v>55.169185677402403</v>
      </c>
      <c r="AK3489">
        <v>99.298065732114395</v>
      </c>
    </row>
    <row r="3490" spans="1:37" x14ac:dyDescent="0.2">
      <c r="A3490" t="str">
        <f>"20200111153504126"</f>
        <v>20200111153504126</v>
      </c>
      <c r="B3490" t="str">
        <f>"1578728104119549"</f>
        <v>1578728104119549</v>
      </c>
      <c r="C3490" t="s">
        <v>37</v>
      </c>
      <c r="D3490">
        <v>4.8921570000000001</v>
      </c>
      <c r="E3490">
        <v>0.68684339999999999</v>
      </c>
      <c r="F3490" t="s">
        <v>38</v>
      </c>
      <c r="G3490">
        <v>-285.73399999999998</v>
      </c>
      <c r="H3490">
        <v>-0.05</v>
      </c>
      <c r="I3490">
        <v>113.0599</v>
      </c>
      <c r="J3490">
        <v>-196.43549999999999</v>
      </c>
      <c r="K3490">
        <v>1.097998</v>
      </c>
      <c r="L3490">
        <v>151.47409999999999</v>
      </c>
      <c r="M3490">
        <v>-0.52990199999999998</v>
      </c>
      <c r="N3490">
        <v>0</v>
      </c>
      <c r="O3490">
        <v>-0.8479449</v>
      </c>
      <c r="P3490">
        <v>-0.65303619999999996</v>
      </c>
      <c r="Q3490">
        <v>1.9040069999999999E-2</v>
      </c>
      <c r="R3490">
        <v>-0.75708739999999997</v>
      </c>
      <c r="S3490">
        <v>-3.07560699999999</v>
      </c>
      <c r="T3490">
        <v>-3.9493920000000002E-2</v>
      </c>
      <c r="U3490">
        <v>-1.3266910000000001</v>
      </c>
      <c r="V3490">
        <v>0.153093799999999</v>
      </c>
      <c r="W3490">
        <v>3.0241469999999999E-2</v>
      </c>
      <c r="X3490">
        <v>0.98774879999999998</v>
      </c>
      <c r="Y3490">
        <v>0.56869360000000002</v>
      </c>
      <c r="Z3490">
        <v>1.194809E-2</v>
      </c>
      <c r="AA3490">
        <v>0.82246260000000004</v>
      </c>
      <c r="AB3490">
        <v>23</v>
      </c>
      <c r="AC3490">
        <v>-89.298500000000004</v>
      </c>
      <c r="AD3490">
        <v>-1.1479980000000001</v>
      </c>
      <c r="AE3490">
        <v>-38.414200000000001</v>
      </c>
      <c r="AF3490">
        <v>55.362077550172302</v>
      </c>
      <c r="AG3490">
        <v>-1.1479980000000001</v>
      </c>
      <c r="AH3490">
        <v>79.889160627029696</v>
      </c>
      <c r="AI3490">
        <v>90.676692169254906</v>
      </c>
      <c r="AJ3490">
        <v>55.278578907507899</v>
      </c>
      <c r="AK3490">
        <v>97.203680566996297</v>
      </c>
    </row>
    <row r="3491" spans="1:37" x14ac:dyDescent="0.2">
      <c r="A3491" t="str">
        <f>"20200111153504140"</f>
        <v>20200111153504140</v>
      </c>
      <c r="B3491" t="str">
        <f>"1578728104129309"</f>
        <v>1578728104129309</v>
      </c>
      <c r="C3491" t="s">
        <v>37</v>
      </c>
      <c r="D3491">
        <v>4.9061329999999996</v>
      </c>
      <c r="E3491">
        <v>0.68700899999999998</v>
      </c>
      <c r="F3491" t="s">
        <v>38</v>
      </c>
      <c r="G3491">
        <v>-279.1164</v>
      </c>
      <c r="H3491">
        <v>-0.05</v>
      </c>
      <c r="I3491">
        <v>116.6609</v>
      </c>
      <c r="J3491">
        <v>-196.5145</v>
      </c>
      <c r="K3491">
        <v>1.0979989999999999</v>
      </c>
      <c r="L3491">
        <v>151.36019999999999</v>
      </c>
      <c r="M3491">
        <v>-0.53518030000000005</v>
      </c>
      <c r="N3491">
        <v>0</v>
      </c>
      <c r="O3491">
        <v>-0.84462389999999998</v>
      </c>
      <c r="P3491">
        <v>-0.65765600000000002</v>
      </c>
      <c r="Q3491">
        <v>1.8826019999999999E-2</v>
      </c>
      <c r="R3491">
        <v>-0.75308330000000001</v>
      </c>
      <c r="S3491">
        <v>-3.08786</v>
      </c>
      <c r="T3491">
        <v>-4.2873979999999999E-2</v>
      </c>
      <c r="U3491">
        <v>-1.3001559999999901</v>
      </c>
      <c r="V3491">
        <v>0.1529693</v>
      </c>
      <c r="W3491">
        <v>3.0008880000000002E-2</v>
      </c>
      <c r="X3491">
        <v>0.98777519999999996</v>
      </c>
      <c r="Y3491">
        <v>0.57072159999999905</v>
      </c>
      <c r="Z3491">
        <v>1.2955039999999999E-2</v>
      </c>
      <c r="AA3491">
        <v>0.82104149999999998</v>
      </c>
      <c r="AB3491">
        <v>23</v>
      </c>
      <c r="AC3491">
        <v>-82.601900000000001</v>
      </c>
      <c r="AD3491">
        <v>-1.147999</v>
      </c>
      <c r="AE3491">
        <v>-34.699299999999901</v>
      </c>
      <c r="AF3491">
        <v>51.193680897321997</v>
      </c>
      <c r="AG3491">
        <v>-1.147999</v>
      </c>
      <c r="AH3491">
        <v>73.509776124385397</v>
      </c>
      <c r="AI3491">
        <v>90.734229643997594</v>
      </c>
      <c r="AJ3491">
        <v>55.145873774689001</v>
      </c>
      <c r="AK3491">
        <v>89.586818513540805</v>
      </c>
    </row>
    <row r="3492" spans="1:37" x14ac:dyDescent="0.2">
      <c r="A3492" t="str">
        <f>"20200111153504152"</f>
        <v>20200111153504152</v>
      </c>
      <c r="B3492" t="str">
        <f>"1578728104149805"</f>
        <v>1578728104149805</v>
      </c>
      <c r="C3492" t="s">
        <v>37</v>
      </c>
      <c r="D3492">
        <v>4.8859240000000002</v>
      </c>
      <c r="E3492">
        <v>0.6872298</v>
      </c>
      <c r="F3492" t="s">
        <v>38</v>
      </c>
      <c r="G3492">
        <v>-277.29520000000002</v>
      </c>
      <c r="H3492">
        <v>-0.05</v>
      </c>
      <c r="I3492">
        <v>117.9602</v>
      </c>
      <c r="J3492">
        <v>-196.59379999999999</v>
      </c>
      <c r="K3492">
        <v>1.0979999999999901</v>
      </c>
      <c r="L3492">
        <v>151.24799999999999</v>
      </c>
      <c r="M3492">
        <v>-0.54039979999999999</v>
      </c>
      <c r="N3492">
        <v>0</v>
      </c>
      <c r="O3492">
        <v>-0.84129430000000005</v>
      </c>
      <c r="P3492">
        <v>-0.66232080000000004</v>
      </c>
      <c r="Q3492">
        <v>1.826142E-2</v>
      </c>
      <c r="R3492">
        <v>-0.74899789999999999</v>
      </c>
      <c r="S3492">
        <v>-3.0967410000000002</v>
      </c>
      <c r="T3492">
        <v>-4.4008730000000003E-2</v>
      </c>
      <c r="U3492">
        <v>-1.2803959999999901</v>
      </c>
      <c r="V3492">
        <v>0.15297079999999999</v>
      </c>
      <c r="W3492">
        <v>2.9419299999999999E-2</v>
      </c>
      <c r="X3492">
        <v>0.98779269999999997</v>
      </c>
      <c r="Y3492">
        <v>0.57093939999999999</v>
      </c>
      <c r="Z3492">
        <v>1.3274340000000001E-2</v>
      </c>
      <c r="AA3492">
        <v>0.82088490000000003</v>
      </c>
      <c r="AB3492">
        <v>23</v>
      </c>
      <c r="AC3492">
        <v>-80.701400000000007</v>
      </c>
      <c r="AD3492">
        <v>-1.1479999999999999</v>
      </c>
      <c r="AE3492">
        <v>-33.287799999999898</v>
      </c>
      <c r="AF3492">
        <v>49.901068191387601</v>
      </c>
      <c r="AG3492">
        <v>-1.1479999999999999</v>
      </c>
      <c r="AH3492">
        <v>71.610347434830302</v>
      </c>
      <c r="AI3492">
        <v>90.753554170270306</v>
      </c>
      <c r="AJ3492">
        <v>55.129612249355297</v>
      </c>
      <c r="AK3492">
        <v>87.289612041631997</v>
      </c>
    </row>
    <row r="3493" spans="1:37" x14ac:dyDescent="0.2">
      <c r="A3493" t="str">
        <f>"20200111153504164"</f>
        <v>20200111153504164</v>
      </c>
      <c r="B3493" t="str">
        <f>"1578728104159567"</f>
        <v>1578728104159567</v>
      </c>
      <c r="C3493" t="s">
        <v>37</v>
      </c>
      <c r="D3493">
        <v>4.8492879999999996</v>
      </c>
      <c r="E3493">
        <v>0.6873127</v>
      </c>
      <c r="F3493" t="s">
        <v>38</v>
      </c>
      <c r="G3493">
        <v>-275.41980000000001</v>
      </c>
      <c r="H3493">
        <v>-0.05</v>
      </c>
      <c r="I3493">
        <v>119.26799999999901</v>
      </c>
      <c r="J3493">
        <v>-196.67019999999999</v>
      </c>
      <c r="K3493">
        <v>1.097996</v>
      </c>
      <c r="L3493">
        <v>151.14109999999999</v>
      </c>
      <c r="M3493">
        <v>-0.54536660000000003</v>
      </c>
      <c r="N3493">
        <v>0</v>
      </c>
      <c r="O3493">
        <v>-0.83808389999999999</v>
      </c>
      <c r="P3493">
        <v>-0.66682450000000004</v>
      </c>
      <c r="Q3493">
        <v>1.7961049999999999E-2</v>
      </c>
      <c r="R3493">
        <v>-0.74499859999999996</v>
      </c>
      <c r="S3493">
        <v>-3.1058500000000002</v>
      </c>
      <c r="T3493">
        <v>-4.5232769999999999E-2</v>
      </c>
      <c r="U3493">
        <v>-1.2600559999999901</v>
      </c>
      <c r="V3493">
        <v>0.15307390000000001</v>
      </c>
      <c r="W3493">
        <v>2.909376E-2</v>
      </c>
      <c r="X3493">
        <v>0.98778639999999995</v>
      </c>
      <c r="Y3493">
        <v>0.57153480000000001</v>
      </c>
      <c r="Z3493">
        <v>1.362119E-2</v>
      </c>
      <c r="AA3493">
        <v>0.82046479999999999</v>
      </c>
      <c r="AB3493">
        <v>23</v>
      </c>
      <c r="AC3493">
        <v>-78.749600000000001</v>
      </c>
      <c r="AD3493">
        <v>-1.147996</v>
      </c>
      <c r="AE3493">
        <v>-31.873100000000001</v>
      </c>
      <c r="AF3493">
        <v>48.612006131571398</v>
      </c>
      <c r="AG3493">
        <v>-1.147996</v>
      </c>
      <c r="AH3493">
        <v>69.653656011499905</v>
      </c>
      <c r="AI3493">
        <v>90.774329229306602</v>
      </c>
      <c r="AJ3493">
        <v>55.088413884970301</v>
      </c>
      <c r="AK3493">
        <v>84.947494552342704</v>
      </c>
    </row>
    <row r="3494" spans="1:37" x14ac:dyDescent="0.2">
      <c r="A3494" t="str">
        <f>"20200111153504182"</f>
        <v>20200111153504182</v>
      </c>
      <c r="B3494" t="str">
        <f>"1578728104179085"</f>
        <v>1578728104179085</v>
      </c>
      <c r="C3494" t="s">
        <v>37</v>
      </c>
      <c r="D3494">
        <v>4.8347439999999997</v>
      </c>
      <c r="E3494">
        <v>0.68748399999999998</v>
      </c>
      <c r="F3494" t="s">
        <v>38</v>
      </c>
      <c r="G3494">
        <v>-274.11900000000003</v>
      </c>
      <c r="H3494">
        <v>-0.05</v>
      </c>
      <c r="I3494">
        <v>120.27630000000001</v>
      </c>
      <c r="J3494">
        <v>-196.7783</v>
      </c>
      <c r="K3494">
        <v>1.0979939999999999</v>
      </c>
      <c r="L3494">
        <v>150.99170000000001</v>
      </c>
      <c r="M3494">
        <v>-0.55230800000000002</v>
      </c>
      <c r="N3494">
        <v>0</v>
      </c>
      <c r="O3494">
        <v>-0.83352610000000005</v>
      </c>
      <c r="P3494">
        <v>-0.67307220000000001</v>
      </c>
      <c r="Q3494">
        <v>1.731893E-2</v>
      </c>
      <c r="R3494">
        <v>-0.73937430000000004</v>
      </c>
      <c r="S3494">
        <v>-3.1137999999999999</v>
      </c>
      <c r="T3494">
        <v>-4.615474E-2</v>
      </c>
      <c r="U3494">
        <v>-1.2409059999999901</v>
      </c>
      <c r="V3494">
        <v>0.15316559999999901</v>
      </c>
      <c r="W3494">
        <v>2.8417399999999999E-2</v>
      </c>
      <c r="X3494">
        <v>0.9877918</v>
      </c>
      <c r="Y3494">
        <v>0.56979040000000003</v>
      </c>
      <c r="Z3494">
        <v>1.3856210000000001E-2</v>
      </c>
      <c r="AA3494">
        <v>0.82167330000000005</v>
      </c>
      <c r="AB3494">
        <v>23</v>
      </c>
      <c r="AC3494">
        <v>-77.340699999999998</v>
      </c>
      <c r="AD3494">
        <v>-1.147994</v>
      </c>
      <c r="AE3494">
        <v>-30.715399999999999</v>
      </c>
      <c r="AF3494">
        <v>47.4966078431653</v>
      </c>
      <c r="AG3494">
        <v>-1.147994</v>
      </c>
      <c r="AH3494">
        <v>68.311469672528702</v>
      </c>
      <c r="AI3494">
        <v>90.790509018151496</v>
      </c>
      <c r="AJ3494">
        <v>55.189312660722699</v>
      </c>
      <c r="AK3494">
        <v>83.208788812554403</v>
      </c>
    </row>
    <row r="3495" spans="1:37" x14ac:dyDescent="0.2">
      <c r="A3495" t="str">
        <f>"20200111153504194"</f>
        <v>20200111153504194</v>
      </c>
      <c r="B3495" t="str">
        <f>"1578728104189821"</f>
        <v>1578728104189821</v>
      </c>
      <c r="C3495" t="s">
        <v>37</v>
      </c>
      <c r="D3495">
        <v>4.7517579999999997</v>
      </c>
      <c r="E3495">
        <v>0.68762279999999998</v>
      </c>
      <c r="F3495" t="s">
        <v>39</v>
      </c>
      <c r="G3495">
        <v>-264.23439999999999</v>
      </c>
      <c r="H3495">
        <v>7.9985799999999996E-2</v>
      </c>
      <c r="I3495">
        <v>124.7938</v>
      </c>
      <c r="J3495">
        <v>-196.86009999999999</v>
      </c>
      <c r="K3495">
        <v>1.0979999999999901</v>
      </c>
      <c r="L3495">
        <v>150.88069999999999</v>
      </c>
      <c r="M3495">
        <v>-0.55747069999999999</v>
      </c>
      <c r="N3495">
        <v>0</v>
      </c>
      <c r="O3495">
        <v>-0.83008249999999995</v>
      </c>
      <c r="P3495">
        <v>-0.67746669999999998</v>
      </c>
      <c r="Q3495">
        <v>1.7218420000000002E-2</v>
      </c>
      <c r="R3495">
        <v>-0.73535200000000001</v>
      </c>
      <c r="S3495">
        <v>-3.1251220000000002</v>
      </c>
      <c r="T3495">
        <v>-4.7162530000000001E-2</v>
      </c>
      <c r="U3495">
        <v>-1.2136990000000001</v>
      </c>
      <c r="V3495">
        <v>0.15291830000000001</v>
      </c>
      <c r="W3495">
        <v>2.8297289999999999E-2</v>
      </c>
      <c r="X3495">
        <v>0.98783359999999998</v>
      </c>
      <c r="Y3495">
        <v>0.57190569999999996</v>
      </c>
      <c r="Z3495">
        <v>1.414166E-2</v>
      </c>
      <c r="AA3495">
        <v>0.82019750000000002</v>
      </c>
      <c r="AB3495">
        <v>23</v>
      </c>
      <c r="AC3495">
        <v>-67.374300000000005</v>
      </c>
      <c r="AD3495">
        <v>-1.0180142000000001</v>
      </c>
      <c r="AE3495">
        <v>-26.086899999999901</v>
      </c>
      <c r="AF3495">
        <v>41.379250324000601</v>
      </c>
      <c r="AG3495">
        <v>-1.0180142000000001</v>
      </c>
      <c r="AH3495">
        <v>59.2073323669931</v>
      </c>
      <c r="AI3495">
        <v>90.807432192205496</v>
      </c>
      <c r="AJ3495">
        <v>55.050790947188602</v>
      </c>
      <c r="AK3495">
        <v>72.241171891818695</v>
      </c>
    </row>
    <row r="3496" spans="1:37" x14ac:dyDescent="0.2">
      <c r="A3496" t="str">
        <f>"20200111153504207"</f>
        <v>20200111153504207</v>
      </c>
      <c r="B3496" t="str">
        <f>"1578728104199581"</f>
        <v>1578728104199581</v>
      </c>
      <c r="C3496" t="s">
        <v>37</v>
      </c>
      <c r="D3496">
        <v>4.720459</v>
      </c>
      <c r="E3496">
        <v>0.68775540000000002</v>
      </c>
      <c r="F3496" t="s">
        <v>38</v>
      </c>
      <c r="G3496">
        <v>-276.68189999999998</v>
      </c>
      <c r="H3496">
        <v>-0.05</v>
      </c>
      <c r="I3496">
        <v>120.45610000000001</v>
      </c>
      <c r="J3496">
        <v>-196.94110000000001</v>
      </c>
      <c r="K3496">
        <v>1.098001</v>
      </c>
      <c r="L3496">
        <v>150.77209999999999</v>
      </c>
      <c r="M3496">
        <v>-0.56252440000000004</v>
      </c>
      <c r="N3496">
        <v>0</v>
      </c>
      <c r="O3496">
        <v>-0.82666669999999998</v>
      </c>
      <c r="P3496">
        <v>-0.68190340000000005</v>
      </c>
      <c r="Q3496">
        <v>1.6923150000000001E-2</v>
      </c>
      <c r="R3496">
        <v>-0.73124650000000002</v>
      </c>
      <c r="S3496">
        <v>-3.1331790000000002</v>
      </c>
      <c r="T3496">
        <v>-4.5061469999999999E-2</v>
      </c>
      <c r="U3496">
        <v>-1.194229</v>
      </c>
      <c r="V3496">
        <v>0.152859299999999</v>
      </c>
      <c r="W3496">
        <v>2.7978409999999999E-2</v>
      </c>
      <c r="X3496">
        <v>0.9878519</v>
      </c>
      <c r="Y3496">
        <v>0.57206440000000003</v>
      </c>
      <c r="Z3496">
        <v>1.3485850000000001E-2</v>
      </c>
      <c r="AA3496">
        <v>0.82009779999999999</v>
      </c>
      <c r="AB3496">
        <v>23</v>
      </c>
      <c r="AC3496">
        <v>-79.740799999999894</v>
      </c>
      <c r="AD3496">
        <v>-1.148001</v>
      </c>
      <c r="AE3496">
        <v>-30.315999999999899</v>
      </c>
      <c r="AF3496">
        <v>48.861331424269302</v>
      </c>
      <c r="AG3496">
        <v>-1.148001</v>
      </c>
      <c r="AH3496">
        <v>69.911302629113607</v>
      </c>
      <c r="AI3496">
        <v>90.771119315655895</v>
      </c>
      <c r="AJ3496">
        <v>55.050123259162902</v>
      </c>
      <c r="AK3496">
        <v>85.301452802093493</v>
      </c>
    </row>
    <row r="3497" spans="1:37" x14ac:dyDescent="0.2">
      <c r="A3497" t="str">
        <f>"20200111153504220"</f>
        <v>20200111153504220</v>
      </c>
      <c r="B3497" t="str">
        <f>"1578728104209341"</f>
        <v>1578728104209341</v>
      </c>
      <c r="C3497" t="s">
        <v>37</v>
      </c>
      <c r="D3497">
        <v>4.7337049999999996</v>
      </c>
      <c r="E3497">
        <v>0.68785289999999999</v>
      </c>
      <c r="F3497" t="s">
        <v>38</v>
      </c>
      <c r="G3497">
        <v>-278.53969999999998</v>
      </c>
      <c r="H3497">
        <v>-0.05</v>
      </c>
      <c r="I3497">
        <v>120.2634</v>
      </c>
      <c r="J3497">
        <v>-197.0188</v>
      </c>
      <c r="K3497">
        <v>1.098004</v>
      </c>
      <c r="L3497">
        <v>150.6688</v>
      </c>
      <c r="M3497">
        <v>-0.56733069999999997</v>
      </c>
      <c r="N3497">
        <v>0</v>
      </c>
      <c r="O3497">
        <v>-0.823376</v>
      </c>
      <c r="P3497">
        <v>-0.68597889999999995</v>
      </c>
      <c r="Q3497">
        <v>1.6720120000000002E-2</v>
      </c>
      <c r="R3497">
        <v>-0.72742949999999995</v>
      </c>
      <c r="S3497">
        <v>-3.1411129999999998</v>
      </c>
      <c r="T3497">
        <v>-4.4191960000000002E-2</v>
      </c>
      <c r="U3497">
        <v>-1.174423</v>
      </c>
      <c r="V3497">
        <v>0.1526178</v>
      </c>
      <c r="W3497">
        <v>2.775582E-2</v>
      </c>
      <c r="X3497">
        <v>0.98789539999999998</v>
      </c>
      <c r="Y3497">
        <v>0.57250730000000005</v>
      </c>
      <c r="Z3497">
        <v>1.3202719999999999E-2</v>
      </c>
      <c r="AA3497">
        <v>0.81979329999999995</v>
      </c>
      <c r="AB3497">
        <v>23</v>
      </c>
      <c r="AC3497">
        <v>-81.520899999999898</v>
      </c>
      <c r="AD3497">
        <v>-1.148004</v>
      </c>
      <c r="AE3497">
        <v>-30.4054</v>
      </c>
      <c r="AF3497">
        <v>49.868438586922402</v>
      </c>
      <c r="AG3497">
        <v>-1.148004</v>
      </c>
      <c r="AH3497">
        <v>71.278672691520796</v>
      </c>
      <c r="AI3497">
        <v>90.756074015201804</v>
      </c>
      <c r="AJ3497">
        <v>55.022349961938602</v>
      </c>
      <c r="AK3497">
        <v>86.999012988347303</v>
      </c>
    </row>
    <row r="3498" spans="1:37" x14ac:dyDescent="0.2">
      <c r="A3498" t="str">
        <f>"20200111153504231"</f>
        <v>20200111153504231</v>
      </c>
      <c r="B3498" t="str">
        <f>"1578728104219103"</f>
        <v>1578728104219103</v>
      </c>
      <c r="C3498" t="s">
        <v>37</v>
      </c>
      <c r="D3498">
        <v>4.7208069999999998</v>
      </c>
      <c r="E3498">
        <v>0.68794940000000004</v>
      </c>
      <c r="F3498" t="s">
        <v>38</v>
      </c>
      <c r="G3498">
        <v>-281.1429</v>
      </c>
      <c r="H3498">
        <v>-0.05</v>
      </c>
      <c r="I3498">
        <v>119.77209999999999</v>
      </c>
      <c r="J3498">
        <v>-197.09649999999999</v>
      </c>
      <c r="K3498">
        <v>1.0980019999999999</v>
      </c>
      <c r="L3498">
        <v>150.56739999999999</v>
      </c>
      <c r="M3498">
        <v>-0.57206060000000003</v>
      </c>
      <c r="N3498">
        <v>0</v>
      </c>
      <c r="O3498">
        <v>-0.82009730000000003</v>
      </c>
      <c r="P3498">
        <v>-0.68998210000000004</v>
      </c>
      <c r="Q3498">
        <v>1.649405E-2</v>
      </c>
      <c r="R3498">
        <v>-0.72363869999999997</v>
      </c>
      <c r="S3498">
        <v>-3.1482239999999999</v>
      </c>
      <c r="T3498">
        <v>-4.2962430000000003E-2</v>
      </c>
      <c r="U3498">
        <v>-1.1562649999999901</v>
      </c>
      <c r="V3498">
        <v>0.15237519999999999</v>
      </c>
      <c r="W3498">
        <v>2.7509860000000001E-2</v>
      </c>
      <c r="X3498">
        <v>0.98793980000000003</v>
      </c>
      <c r="Y3498">
        <v>0.57255999999999996</v>
      </c>
      <c r="Z3498">
        <v>1.2811390000000001E-2</v>
      </c>
      <c r="AA3498">
        <v>0.81976269999999996</v>
      </c>
      <c r="AB3498">
        <v>23</v>
      </c>
      <c r="AC3498">
        <v>-84.046400000000006</v>
      </c>
      <c r="AD3498">
        <v>-1.148002</v>
      </c>
      <c r="AE3498">
        <v>-30.795300000000001</v>
      </c>
      <c r="AF3498">
        <v>51.305809064924098</v>
      </c>
      <c r="AG3498">
        <v>-1.148002</v>
      </c>
      <c r="AH3498">
        <v>73.329575508525494</v>
      </c>
      <c r="AI3498">
        <v>90.734917200301595</v>
      </c>
      <c r="AJ3498">
        <v>55.021036022508198</v>
      </c>
      <c r="AK3498">
        <v>89.5032434979817</v>
      </c>
    </row>
    <row r="3499" spans="1:37" x14ac:dyDescent="0.2">
      <c r="A3499" t="str">
        <f>"20200111153504249"</f>
        <v>20200111153504249</v>
      </c>
      <c r="B3499" t="str">
        <f>"1578728104239597"</f>
        <v>1578728104239597</v>
      </c>
      <c r="C3499" t="s">
        <v>37</v>
      </c>
      <c r="D3499">
        <v>4.7673189999999996</v>
      </c>
      <c r="E3499">
        <v>0.68805559999999999</v>
      </c>
      <c r="F3499" t="s">
        <v>38</v>
      </c>
      <c r="G3499">
        <v>-282.47410000000002</v>
      </c>
      <c r="H3499">
        <v>-0.05</v>
      </c>
      <c r="I3499">
        <v>119.764</v>
      </c>
      <c r="J3499">
        <v>-197.20830000000001</v>
      </c>
      <c r="K3499">
        <v>1.098001</v>
      </c>
      <c r="L3499">
        <v>150.42320000000001</v>
      </c>
      <c r="M3499">
        <v>-0.57878269999999998</v>
      </c>
      <c r="N3499">
        <v>0</v>
      </c>
      <c r="O3499">
        <v>-0.81536769999999903</v>
      </c>
      <c r="P3499">
        <v>-0.6954901</v>
      </c>
      <c r="Q3499">
        <v>1.6449490000000001E-2</v>
      </c>
      <c r="R3499">
        <v>-0.71834750000000003</v>
      </c>
      <c r="S3499">
        <v>-3.1550750000000001</v>
      </c>
      <c r="T3499">
        <v>-4.242373E-2</v>
      </c>
      <c r="U3499">
        <v>-1.1383209999999999</v>
      </c>
      <c r="V3499">
        <v>0.1517994</v>
      </c>
      <c r="W3499">
        <v>2.7440260000000001E-2</v>
      </c>
      <c r="X3499">
        <v>0.98803039999999998</v>
      </c>
      <c r="Y3499">
        <v>0.57051589999999996</v>
      </c>
      <c r="Z3499">
        <v>1.2606539999999999E-2</v>
      </c>
      <c r="AA3499">
        <v>0.82118979999999997</v>
      </c>
      <c r="AB3499">
        <v>23</v>
      </c>
      <c r="AC3499">
        <v>-85.265799999999999</v>
      </c>
      <c r="AD3499">
        <v>-1.148001</v>
      </c>
      <c r="AE3499">
        <v>-30.659199999999998</v>
      </c>
      <c r="AF3499">
        <v>51.774472464340398</v>
      </c>
      <c r="AG3499">
        <v>-1.148001</v>
      </c>
      <c r="AH3499">
        <v>74.343876797228305</v>
      </c>
      <c r="AI3499">
        <v>90.725994535529196</v>
      </c>
      <c r="AJ3499">
        <v>55.145921963663397</v>
      </c>
      <c r="AK3499">
        <v>90.603123138765</v>
      </c>
    </row>
    <row r="3500" spans="1:37" x14ac:dyDescent="0.2">
      <c r="A3500" t="str">
        <f>"20200111153504262"</f>
        <v>20200111153504262</v>
      </c>
      <c r="B3500" t="str">
        <f>"1578728104259118"</f>
        <v>1578728104259118</v>
      </c>
      <c r="C3500" t="s">
        <v>37</v>
      </c>
      <c r="D3500">
        <v>5.010675</v>
      </c>
      <c r="E3500">
        <v>0.68786840000000005</v>
      </c>
      <c r="F3500" t="s">
        <v>38</v>
      </c>
      <c r="G3500">
        <v>-286.02800000000002</v>
      </c>
      <c r="H3500">
        <v>-0.05</v>
      </c>
      <c r="I3500">
        <v>119.1669</v>
      </c>
      <c r="J3500">
        <v>-197.291</v>
      </c>
      <c r="K3500">
        <v>1.098006</v>
      </c>
      <c r="L3500">
        <v>150.31780000000001</v>
      </c>
      <c r="M3500">
        <v>-0.58369150000000003</v>
      </c>
      <c r="N3500">
        <v>0</v>
      </c>
      <c r="O3500">
        <v>-0.81186150000000001</v>
      </c>
      <c r="P3500">
        <v>-0.69957659999999999</v>
      </c>
      <c r="Q3500">
        <v>1.6295649999999998E-2</v>
      </c>
      <c r="R3500">
        <v>-0.71437220000000001</v>
      </c>
      <c r="S3500">
        <v>-3.164307</v>
      </c>
      <c r="T3500">
        <v>-4.0898919999999998E-2</v>
      </c>
      <c r="U3500">
        <v>-1.1135409999999999</v>
      </c>
      <c r="V3500">
        <v>0.1514693</v>
      </c>
      <c r="W3500">
        <v>2.7268190000000001E-2</v>
      </c>
      <c r="X3500">
        <v>0.98808580000000001</v>
      </c>
      <c r="Y3500">
        <v>0.57203990000000005</v>
      </c>
      <c r="Z3500">
        <v>1.213536E-2</v>
      </c>
      <c r="AA3500">
        <v>0.82013609999999904</v>
      </c>
      <c r="AB3500">
        <v>23</v>
      </c>
      <c r="AC3500">
        <v>-88.736999999999995</v>
      </c>
      <c r="AD3500">
        <v>-1.1480060000000001</v>
      </c>
      <c r="AE3500">
        <v>-31.1509</v>
      </c>
      <c r="AF3500">
        <v>53.856599750396903</v>
      </c>
      <c r="AG3500">
        <v>-1.1480060000000001</v>
      </c>
      <c r="AH3500">
        <v>77.080900076515704</v>
      </c>
      <c r="AI3500">
        <v>90.699471455031002</v>
      </c>
      <c r="AJ3500">
        <v>55.0579126014377</v>
      </c>
      <c r="AK3500">
        <v>94.0389090273611</v>
      </c>
    </row>
    <row r="3501" spans="1:37" x14ac:dyDescent="0.2">
      <c r="A3501" t="str">
        <f>"20200111153504275"</f>
        <v>20200111153504275</v>
      </c>
      <c r="B3501" t="str">
        <f>"1578728104269852"</f>
        <v>1578728104269852</v>
      </c>
      <c r="C3501" t="s">
        <v>37</v>
      </c>
      <c r="D3501">
        <v>5.0351869999999996</v>
      </c>
      <c r="E3501">
        <v>0.68765949999999998</v>
      </c>
      <c r="F3501" t="s">
        <v>38</v>
      </c>
      <c r="G3501">
        <v>-283.07909999999998</v>
      </c>
      <c r="H3501">
        <v>-0.05</v>
      </c>
      <c r="I3501">
        <v>120.6353</v>
      </c>
      <c r="J3501">
        <v>-197.3869</v>
      </c>
      <c r="K3501">
        <v>1.098006</v>
      </c>
      <c r="L3501">
        <v>150.19749999999999</v>
      </c>
      <c r="M3501">
        <v>-0.58930729999999998</v>
      </c>
      <c r="N3501">
        <v>0</v>
      </c>
      <c r="O3501">
        <v>-0.80779480000000004</v>
      </c>
      <c r="P3501">
        <v>-0.70423279999999999</v>
      </c>
      <c r="Q3501">
        <v>1.6200490000000001E-2</v>
      </c>
      <c r="R3501">
        <v>-0.70978469999999905</v>
      </c>
      <c r="S3501">
        <v>-3.1694789999999999</v>
      </c>
      <c r="T3501">
        <v>-4.2413590000000001E-2</v>
      </c>
      <c r="U3501">
        <v>-1.0966340000000001</v>
      </c>
      <c r="V3501">
        <v>0.15107499999999999</v>
      </c>
      <c r="W3501">
        <v>2.7152840000000001E-2</v>
      </c>
      <c r="X3501">
        <v>0.98814930000000001</v>
      </c>
      <c r="Y3501">
        <v>0.5706656</v>
      </c>
      <c r="Z3501">
        <v>1.2551349999999999E-2</v>
      </c>
      <c r="AA3501">
        <v>0.8210866</v>
      </c>
      <c r="AB3501">
        <v>23</v>
      </c>
      <c r="AC3501">
        <v>-85.6921999999999</v>
      </c>
      <c r="AD3501">
        <v>-1.1480060000000001</v>
      </c>
      <c r="AE3501">
        <v>-29.562199999999901</v>
      </c>
      <c r="AF3501">
        <v>51.796964110916697</v>
      </c>
      <c r="AG3501">
        <v>-1.1480060000000001</v>
      </c>
      <c r="AH3501">
        <v>74.374162966839506</v>
      </c>
      <c r="AI3501">
        <v>90.725695688011896</v>
      </c>
      <c r="AJ3501">
        <v>55.145195802340801</v>
      </c>
      <c r="AK3501">
        <v>90.640827036725796</v>
      </c>
    </row>
    <row r="3502" spans="1:37" x14ac:dyDescent="0.2">
      <c r="A3502" t="str">
        <f>"20200111153504288"</f>
        <v>20200111153504288</v>
      </c>
      <c r="B3502" t="str">
        <f>"1578728104279614"</f>
        <v>1578728104279614</v>
      </c>
      <c r="C3502" t="s">
        <v>37</v>
      </c>
      <c r="D3502">
        <v>5.0221400000000003</v>
      </c>
      <c r="E3502">
        <v>0.68741149999999995</v>
      </c>
      <c r="F3502" t="s">
        <v>39</v>
      </c>
      <c r="G3502">
        <v>-270.32040000000001</v>
      </c>
      <c r="H3502">
        <v>7.9986909999999994E-2</v>
      </c>
      <c r="I3502">
        <v>125.4594</v>
      </c>
      <c r="J3502">
        <v>-197.47229999999999</v>
      </c>
      <c r="K3502">
        <v>1.098007</v>
      </c>
      <c r="L3502">
        <v>150.09200000000001</v>
      </c>
      <c r="M3502">
        <v>-0.59423359999999903</v>
      </c>
      <c r="N3502">
        <v>0</v>
      </c>
      <c r="O3502">
        <v>-0.80417810000000001</v>
      </c>
      <c r="P3502">
        <v>-0.70833889999999999</v>
      </c>
      <c r="Q3502">
        <v>1.5984020000000002E-2</v>
      </c>
      <c r="R3502">
        <v>-0.70569179999999998</v>
      </c>
      <c r="S3502">
        <v>-3.1754150000000001</v>
      </c>
      <c r="T3502">
        <v>-4.4323090000000002E-2</v>
      </c>
      <c r="U3502">
        <v>-1.0770569999999999</v>
      </c>
      <c r="V3502">
        <v>0.15076139999999999</v>
      </c>
      <c r="W3502">
        <v>2.6918330000000001E-2</v>
      </c>
      <c r="X3502">
        <v>0.98820359999999996</v>
      </c>
      <c r="Y3502">
        <v>0.57064459999999995</v>
      </c>
      <c r="Z3502">
        <v>1.30917E-2</v>
      </c>
      <c r="AA3502">
        <v>0.82109279999999996</v>
      </c>
      <c r="AB3502">
        <v>23</v>
      </c>
      <c r="AC3502">
        <v>-72.848100000000002</v>
      </c>
      <c r="AD3502">
        <v>-1.01802009</v>
      </c>
      <c r="AE3502">
        <v>-24.6326</v>
      </c>
      <c r="AF3502">
        <v>43.941671053340599</v>
      </c>
      <c r="AG3502">
        <v>-1.01802009</v>
      </c>
      <c r="AH3502">
        <v>63.092535345686599</v>
      </c>
      <c r="AI3502">
        <v>90.758583415615703</v>
      </c>
      <c r="AJ3502">
        <v>55.144182714992098</v>
      </c>
      <c r="AK3502">
        <v>76.893269121623007</v>
      </c>
    </row>
    <row r="3503" spans="1:37" x14ac:dyDescent="0.2">
      <c r="A3503" t="str">
        <f>"20200111153504305"</f>
        <v>20200111153504305</v>
      </c>
      <c r="B3503" t="str">
        <f>"1578728104299133"</f>
        <v>1578728104299133</v>
      </c>
      <c r="C3503" t="s">
        <v>37</v>
      </c>
      <c r="D3503">
        <v>4.9622549999999999</v>
      </c>
      <c r="E3503">
        <v>0.68693130000000002</v>
      </c>
      <c r="F3503" t="s">
        <v>39</v>
      </c>
      <c r="G3503">
        <v>-266.49360000000001</v>
      </c>
      <c r="H3503">
        <v>7.9986509999999997E-2</v>
      </c>
      <c r="I3503">
        <v>127.083</v>
      </c>
      <c r="J3503">
        <v>-197.58519999999999</v>
      </c>
      <c r="K3503">
        <v>1.0980049999999999</v>
      </c>
      <c r="L3503">
        <v>149.95419999999999</v>
      </c>
      <c r="M3503">
        <v>-0.60067360000000003</v>
      </c>
      <c r="N3503">
        <v>0</v>
      </c>
      <c r="O3503">
        <v>-0.79937990000000003</v>
      </c>
      <c r="P3503">
        <v>-0.71354039999999996</v>
      </c>
      <c r="Q3503">
        <v>1.5947610000000001E-2</v>
      </c>
      <c r="R3503">
        <v>-0.70043279999999997</v>
      </c>
      <c r="S3503">
        <v>-3.180145</v>
      </c>
      <c r="T3503">
        <v>-4.6905160000000001E-2</v>
      </c>
      <c r="U3503">
        <v>-1.060135</v>
      </c>
      <c r="V3503">
        <v>0.15013370000000001</v>
      </c>
      <c r="W3503">
        <v>2.6860169999999999E-2</v>
      </c>
      <c r="X3503">
        <v>0.98830069999999903</v>
      </c>
      <c r="Y3503">
        <v>0.56833339999999999</v>
      </c>
      <c r="Z3503">
        <v>1.380616E-2</v>
      </c>
      <c r="AA3503">
        <v>0.82268259999999904</v>
      </c>
      <c r="AB3503">
        <v>23</v>
      </c>
      <c r="AC3503">
        <v>-68.9084</v>
      </c>
      <c r="AD3503">
        <v>-1.01801849</v>
      </c>
      <c r="AE3503">
        <v>-22.871199999999899</v>
      </c>
      <c r="AF3503">
        <v>41.341519876852601</v>
      </c>
      <c r="AG3503">
        <v>-1.01801849</v>
      </c>
      <c r="AH3503">
        <v>59.667964621406803</v>
      </c>
      <c r="AI3503">
        <v>90.803470193446401</v>
      </c>
      <c r="AJ3503">
        <v>55.283476972871902</v>
      </c>
      <c r="AK3503">
        <v>72.597683361355493</v>
      </c>
    </row>
    <row r="3504" spans="1:37" x14ac:dyDescent="0.2">
      <c r="A3504" t="str">
        <f>"20200111153504318"</f>
        <v>20200111153504318</v>
      </c>
      <c r="B3504" t="str">
        <f>"1578728104309870"</f>
        <v>1578728104309870</v>
      </c>
      <c r="C3504" t="s">
        <v>37</v>
      </c>
      <c r="D3504">
        <v>5.0189389999999996</v>
      </c>
      <c r="E3504">
        <v>0.68671769999999999</v>
      </c>
      <c r="F3504" t="s">
        <v>39</v>
      </c>
      <c r="G3504">
        <v>-262.87939999999998</v>
      </c>
      <c r="H3504">
        <v>7.998603E-2</v>
      </c>
      <c r="I3504">
        <v>128.65010000000001</v>
      </c>
      <c r="J3504">
        <v>-197.6754</v>
      </c>
      <c r="K3504">
        <v>1.098004</v>
      </c>
      <c r="L3504">
        <v>149.84540000000001</v>
      </c>
      <c r="M3504">
        <v>-0.60575210000000002</v>
      </c>
      <c r="N3504">
        <v>0</v>
      </c>
      <c r="O3504">
        <v>-0.795539</v>
      </c>
      <c r="P3504">
        <v>-0.71795929999999997</v>
      </c>
      <c r="Q3504">
        <v>1.6031460000000001E-2</v>
      </c>
      <c r="R3504">
        <v>-0.69590059999999998</v>
      </c>
      <c r="S3504">
        <v>-3.18530299999999</v>
      </c>
      <c r="T3504">
        <v>-4.9662949999999997E-2</v>
      </c>
      <c r="U3504">
        <v>-1.039291</v>
      </c>
      <c r="V3504">
        <v>0.15009729999999999</v>
      </c>
      <c r="W3504">
        <v>2.69188E-2</v>
      </c>
      <c r="X3504">
        <v>0.98830469999999904</v>
      </c>
      <c r="Y3504">
        <v>0.56833690000000003</v>
      </c>
      <c r="Z3504">
        <v>1.4591450000000001E-2</v>
      </c>
      <c r="AA3504">
        <v>0.82266649999999997</v>
      </c>
      <c r="AB3504">
        <v>23</v>
      </c>
      <c r="AC3504">
        <v>-65.203999999999894</v>
      </c>
      <c r="AD3504">
        <v>-1.01801797</v>
      </c>
      <c r="AE3504">
        <v>-21.1953</v>
      </c>
      <c r="AF3504">
        <v>39.028177459450298</v>
      </c>
      <c r="AG3504">
        <v>-1.01801797</v>
      </c>
      <c r="AH3504">
        <v>56.351856103860896</v>
      </c>
      <c r="AI3504">
        <v>90.850855655925798</v>
      </c>
      <c r="AJ3504">
        <v>55.294294649545101</v>
      </c>
      <c r="AK3504">
        <v>68.5548443419124</v>
      </c>
    </row>
    <row r="3505" spans="1:37" x14ac:dyDescent="0.2">
      <c r="A3505" t="str">
        <f>"20200111153504331"</f>
        <v>20200111153504331</v>
      </c>
      <c r="B3505" t="str">
        <f>"1578728104319630"</f>
        <v>1578728104319630</v>
      </c>
      <c r="C3505" t="s">
        <v>37</v>
      </c>
      <c r="D3505">
        <v>5.0369539999999997</v>
      </c>
      <c r="E3505">
        <v>0.68647999999999998</v>
      </c>
      <c r="F3505" t="s">
        <v>39</v>
      </c>
      <c r="G3505">
        <v>-262.024</v>
      </c>
      <c r="H3505">
        <v>7.998624E-2</v>
      </c>
      <c r="I3505">
        <v>129.2689</v>
      </c>
      <c r="J3505">
        <v>-197.75630000000001</v>
      </c>
      <c r="K3505">
        <v>1.098009</v>
      </c>
      <c r="L3505">
        <v>149.74959999999999</v>
      </c>
      <c r="M3505">
        <v>-0.61023769999999999</v>
      </c>
      <c r="N3505">
        <v>0</v>
      </c>
      <c r="O3505">
        <v>-0.79210380000000002</v>
      </c>
      <c r="P3505">
        <v>-0.72165939999999995</v>
      </c>
      <c r="Q3505">
        <v>1.6051989999999999E-2</v>
      </c>
      <c r="R3505">
        <v>-0.69206239999999997</v>
      </c>
      <c r="S3505">
        <v>-3.1907199999999998</v>
      </c>
      <c r="T3505">
        <v>-5.0478339999999997E-2</v>
      </c>
      <c r="U3505">
        <v>-1.0202789999999999</v>
      </c>
      <c r="V3505">
        <v>0.14978229999999901</v>
      </c>
      <c r="W3505">
        <v>2.692452E-2</v>
      </c>
      <c r="X3505">
        <v>0.98835239999999902</v>
      </c>
      <c r="Y3505">
        <v>0.56853569999999998</v>
      </c>
      <c r="Z3505">
        <v>1.480457E-2</v>
      </c>
      <c r="AA3505">
        <v>0.82252530000000001</v>
      </c>
      <c r="AB3505">
        <v>23</v>
      </c>
      <c r="AC3505">
        <v>-64.267699999999905</v>
      </c>
      <c r="AD3505">
        <v>-1.01802276</v>
      </c>
      <c r="AE3505">
        <v>-20.480699999999899</v>
      </c>
      <c r="AF3505">
        <v>38.403332893561199</v>
      </c>
      <c r="AG3505">
        <v>-1.01802276</v>
      </c>
      <c r="AH3505">
        <v>55.433819332217702</v>
      </c>
      <c r="AI3505">
        <v>90.864868478656703</v>
      </c>
      <c r="AJ3505">
        <v>55.286632866199596</v>
      </c>
      <c r="AK3505">
        <v>67.444500690794001</v>
      </c>
    </row>
    <row r="3506" spans="1:37" x14ac:dyDescent="0.2">
      <c r="A3506" t="str">
        <f>"20200111153504344"</f>
        <v>20200111153504344</v>
      </c>
      <c r="B3506" t="str">
        <f>"1578728104339151"</f>
        <v>1578728104339151</v>
      </c>
      <c r="C3506" t="s">
        <v>37</v>
      </c>
      <c r="D3506">
        <v>4.9683380000000001</v>
      </c>
      <c r="E3506">
        <v>0.68597839999999999</v>
      </c>
      <c r="F3506" t="s">
        <v>39</v>
      </c>
      <c r="G3506">
        <v>-261.80160000000001</v>
      </c>
      <c r="H3506">
        <v>5.5882799999999899E-2</v>
      </c>
      <c r="I3506">
        <v>129.6103</v>
      </c>
      <c r="J3506">
        <v>-197.84289999999999</v>
      </c>
      <c r="K3506">
        <v>1.0980110000000001</v>
      </c>
      <c r="L3506">
        <v>149.64789999999999</v>
      </c>
      <c r="M3506">
        <v>-0.61499429999999999</v>
      </c>
      <c r="N3506">
        <v>0</v>
      </c>
      <c r="O3506">
        <v>-0.78841660000000002</v>
      </c>
      <c r="P3506">
        <v>-0.72550619999999999</v>
      </c>
      <c r="Q3506">
        <v>1.6037389999999999E-2</v>
      </c>
      <c r="R3506">
        <v>-0.68802890000000005</v>
      </c>
      <c r="S3506">
        <v>-3.1948240000000001</v>
      </c>
      <c r="T3506">
        <v>-5.1985259999999998E-2</v>
      </c>
      <c r="U3506">
        <v>-1.004623</v>
      </c>
      <c r="V3506">
        <v>0.14934239999999999</v>
      </c>
      <c r="W3506">
        <v>2.689544E-2</v>
      </c>
      <c r="X3506">
        <v>0.98841970000000001</v>
      </c>
      <c r="Y3506">
        <v>0.5675462</v>
      </c>
      <c r="Z3506">
        <v>1.520969E-2</v>
      </c>
      <c r="AA3506">
        <v>0.82320110000000002</v>
      </c>
      <c r="AB3506">
        <v>23</v>
      </c>
      <c r="AC3506">
        <v>-63.9587</v>
      </c>
      <c r="AD3506">
        <v>-1.0421281999999901</v>
      </c>
      <c r="AE3506">
        <v>-20.037600000000001</v>
      </c>
      <c r="AF3506">
        <v>38.097334719746897</v>
      </c>
      <c r="AG3506">
        <v>-1.0421281999999901</v>
      </c>
      <c r="AH3506">
        <v>55.123883496612301</v>
      </c>
      <c r="AI3506">
        <v>90.891011290781094</v>
      </c>
      <c r="AJ3506">
        <v>55.350791830408802</v>
      </c>
      <c r="AK3506">
        <v>67.015934490849006</v>
      </c>
    </row>
    <row r="3507" spans="1:37" x14ac:dyDescent="0.2">
      <c r="A3507" t="str">
        <f>"20200111153504361"</f>
        <v>20200111153504361</v>
      </c>
      <c r="B3507" t="str">
        <f>"1578728104349886"</f>
        <v>1578728104349886</v>
      </c>
      <c r="C3507" t="s">
        <v>37</v>
      </c>
      <c r="D3507">
        <v>4.9656839999999898</v>
      </c>
      <c r="E3507">
        <v>0.6857297</v>
      </c>
      <c r="F3507" t="s">
        <v>39</v>
      </c>
      <c r="G3507">
        <v>-262.32960000000003</v>
      </c>
      <c r="H3507" s="1">
        <v>-5.2392580000000001E-6</v>
      </c>
      <c r="I3507">
        <v>129.6831</v>
      </c>
      <c r="J3507">
        <v>-197.96510000000001</v>
      </c>
      <c r="K3507">
        <v>1.0980099999999999</v>
      </c>
      <c r="L3507">
        <v>149.50640000000001</v>
      </c>
      <c r="M3507">
        <v>-0.62161390000000005</v>
      </c>
      <c r="N3507">
        <v>0</v>
      </c>
      <c r="O3507">
        <v>-0.78320900000000004</v>
      </c>
      <c r="P3507">
        <v>-0.73116519999999996</v>
      </c>
      <c r="Q3507">
        <v>1.6210530000000001E-2</v>
      </c>
      <c r="R3507">
        <v>-0.68200799999999995</v>
      </c>
      <c r="S3507">
        <v>-3.1974490000000002</v>
      </c>
      <c r="T3507">
        <v>-5.4442999999999998E-2</v>
      </c>
      <c r="U3507">
        <v>-0.98991390000000001</v>
      </c>
      <c r="V3507">
        <v>0.14918670000000001</v>
      </c>
      <c r="W3507">
        <v>2.7038920000000001E-2</v>
      </c>
      <c r="X3507">
        <v>0.98843930000000002</v>
      </c>
      <c r="Y3507">
        <v>0.56423939999999995</v>
      </c>
      <c r="Z3507">
        <v>1.5864159999999999E-2</v>
      </c>
      <c r="AA3507">
        <v>0.82545879999999905</v>
      </c>
      <c r="AB3507">
        <v>23</v>
      </c>
      <c r="AC3507">
        <v>-64.364500000000007</v>
      </c>
      <c r="AD3507">
        <v>-1.09801523925799</v>
      </c>
      <c r="AE3507">
        <v>-19.8233</v>
      </c>
      <c r="AF3507">
        <v>38.0817194682459</v>
      </c>
      <c r="AG3507">
        <v>-1.09801523925799</v>
      </c>
      <c r="AH3507">
        <v>55.5258895616521</v>
      </c>
      <c r="AI3507">
        <v>90.934293384175305</v>
      </c>
      <c r="AJ3507">
        <v>55.556221646442999</v>
      </c>
      <c r="AK3507">
        <v>67.3390481573404</v>
      </c>
    </row>
    <row r="3508" spans="1:37" x14ac:dyDescent="0.2">
      <c r="A3508" t="str">
        <f>"20200111153504375"</f>
        <v>20200111153504375</v>
      </c>
      <c r="B3508" t="str">
        <f>"1578728104369405"</f>
        <v>1578728104369405</v>
      </c>
      <c r="C3508" t="s">
        <v>37</v>
      </c>
      <c r="D3508">
        <v>4.9258300000000004</v>
      </c>
      <c r="E3508">
        <v>0.68530269999999904</v>
      </c>
      <c r="F3508" t="s">
        <v>39</v>
      </c>
      <c r="G3508">
        <v>-260.5077</v>
      </c>
      <c r="H3508" s="1">
        <v>-5.640806E-6</v>
      </c>
      <c r="I3508">
        <v>130.67330000000001</v>
      </c>
      <c r="J3508">
        <v>-198.06780000000001</v>
      </c>
      <c r="K3508">
        <v>1.098009</v>
      </c>
      <c r="L3508">
        <v>149.38939999999999</v>
      </c>
      <c r="M3508">
        <v>-0.62709799999999905</v>
      </c>
      <c r="N3508">
        <v>0</v>
      </c>
      <c r="O3508">
        <v>-0.7788254</v>
      </c>
      <c r="P3508">
        <v>-0.73608019999999996</v>
      </c>
      <c r="Q3508">
        <v>1.6276390000000002E-2</v>
      </c>
      <c r="R3508">
        <v>-0.67669899999999905</v>
      </c>
      <c r="S3508">
        <v>-3.204285</v>
      </c>
      <c r="T3508">
        <v>-5.6255340000000001E-2</v>
      </c>
      <c r="U3508">
        <v>-0.96488949999999996</v>
      </c>
      <c r="V3508">
        <v>0.1493989</v>
      </c>
      <c r="W3508">
        <v>2.7070380000000002E-2</v>
      </c>
      <c r="X3508">
        <v>0.98840640000000002</v>
      </c>
      <c r="Y3508">
        <v>0.56482849999999996</v>
      </c>
      <c r="Z3508">
        <v>1.6354859999999999E-2</v>
      </c>
      <c r="AA3508">
        <v>0.82504619999999995</v>
      </c>
      <c r="AB3508">
        <v>23</v>
      </c>
      <c r="AC3508">
        <v>-62.439900000000002</v>
      </c>
      <c r="AD3508">
        <v>-1.0980146408060001</v>
      </c>
      <c r="AE3508">
        <v>-18.716099999999901</v>
      </c>
      <c r="AF3508">
        <v>36.885789218321101</v>
      </c>
      <c r="AG3508">
        <v>-1.0980146408060001</v>
      </c>
      <c r="AH3508">
        <v>53.722079432439102</v>
      </c>
      <c r="AI3508">
        <v>90.965312214880399</v>
      </c>
      <c r="AJ3508">
        <v>55.526355666360502</v>
      </c>
      <c r="AK3508">
        <v>65.175370355335502</v>
      </c>
    </row>
    <row r="3509" spans="1:37" x14ac:dyDescent="0.2">
      <c r="A3509" t="str">
        <f>"20200111153504394"</f>
        <v>20200111153504394</v>
      </c>
      <c r="B3509" t="str">
        <f>"1578728104389902"</f>
        <v>1578728104389902</v>
      </c>
      <c r="C3509" t="s">
        <v>37</v>
      </c>
      <c r="D3509">
        <v>4.9719999999999898</v>
      </c>
      <c r="E3509">
        <v>0.68488709999999997</v>
      </c>
      <c r="F3509" t="s">
        <v>39</v>
      </c>
      <c r="G3509">
        <v>-259.015999999999</v>
      </c>
      <c r="H3509" s="1">
        <v>-2.4929619999999999E-6</v>
      </c>
      <c r="I3509">
        <v>131.4529</v>
      </c>
      <c r="J3509">
        <v>-198.2011</v>
      </c>
      <c r="K3509">
        <v>1.098009</v>
      </c>
      <c r="L3509">
        <v>149.24019999999999</v>
      </c>
      <c r="M3509">
        <v>-0.6340964</v>
      </c>
      <c r="N3509">
        <v>0</v>
      </c>
      <c r="O3509">
        <v>-0.77313909999999997</v>
      </c>
      <c r="P3509">
        <v>-0.74208569999999996</v>
      </c>
      <c r="Q3509">
        <v>1.6241189999999999E-2</v>
      </c>
      <c r="R3509">
        <v>-0.6701087</v>
      </c>
      <c r="S3509">
        <v>-3.2088009999999998</v>
      </c>
      <c r="T3509">
        <v>-5.7808159999999997E-2</v>
      </c>
      <c r="U3509">
        <v>-0.94432070000000001</v>
      </c>
      <c r="V3509">
        <v>0.14929779999999901</v>
      </c>
      <c r="W3509">
        <v>2.6998399999999999E-2</v>
      </c>
      <c r="X3509">
        <v>0.98842359999999896</v>
      </c>
      <c r="Y3509">
        <v>0.56255639999999996</v>
      </c>
      <c r="Z3509">
        <v>1.6736609999999999E-2</v>
      </c>
      <c r="AA3509">
        <v>0.82658949999999998</v>
      </c>
      <c r="AB3509">
        <v>23</v>
      </c>
      <c r="AC3509">
        <v>-60.814899999999902</v>
      </c>
      <c r="AD3509">
        <v>-1.098011492962</v>
      </c>
      <c r="AE3509">
        <v>-17.787299999999899</v>
      </c>
      <c r="AF3509">
        <v>35.731959748545002</v>
      </c>
      <c r="AG3509">
        <v>-1.098011492962</v>
      </c>
      <c r="AH3509">
        <v>52.3035083244242</v>
      </c>
      <c r="AI3509">
        <v>90.993075563343297</v>
      </c>
      <c r="AJ3509">
        <v>55.6604528548296</v>
      </c>
      <c r="AK3509">
        <v>63.353260056238902</v>
      </c>
    </row>
    <row r="3510" spans="1:37" x14ac:dyDescent="0.2">
      <c r="A3510" t="str">
        <f>"20200111153504412"</f>
        <v>20200111153504412</v>
      </c>
      <c r="B3510" t="str">
        <f>"1578728104409421"</f>
        <v>1578728104409421</v>
      </c>
      <c r="C3510" t="s">
        <v>37</v>
      </c>
      <c r="D3510">
        <v>4.9932869999999996</v>
      </c>
      <c r="E3510">
        <v>0.68443659999999995</v>
      </c>
      <c r="F3510" t="s">
        <v>39</v>
      </c>
      <c r="G3510">
        <v>-256.5933</v>
      </c>
      <c r="H3510" s="1">
        <v>-3.0225610000000001E-6</v>
      </c>
      <c r="I3510">
        <v>132.56110000000001</v>
      </c>
      <c r="J3510">
        <v>-198.32390000000001</v>
      </c>
      <c r="K3510">
        <v>1.098009</v>
      </c>
      <c r="L3510">
        <v>149.10499999999999</v>
      </c>
      <c r="M3510">
        <v>-0.64043869999999903</v>
      </c>
      <c r="N3510">
        <v>0</v>
      </c>
      <c r="O3510">
        <v>-0.76789390000000002</v>
      </c>
      <c r="P3510">
        <v>-0.74775150000000001</v>
      </c>
      <c r="Q3510">
        <v>1.5867929999999999E-2</v>
      </c>
      <c r="R3510">
        <v>-0.66378930000000003</v>
      </c>
      <c r="S3510">
        <v>-3.2147669999999899</v>
      </c>
      <c r="T3510">
        <v>-6.0450789999999997E-2</v>
      </c>
      <c r="U3510">
        <v>-0.91825869999999998</v>
      </c>
      <c r="V3510">
        <v>0.1495467</v>
      </c>
      <c r="W3510">
        <v>2.658895E-2</v>
      </c>
      <c r="X3510">
        <v>0.98839709999999903</v>
      </c>
      <c r="Y3510">
        <v>0.56233489999999997</v>
      </c>
      <c r="Z3510">
        <v>1.7448330000000001E-2</v>
      </c>
      <c r="AA3510">
        <v>0.826725499999999</v>
      </c>
      <c r="AB3510">
        <v>23</v>
      </c>
      <c r="AC3510">
        <v>-58.269399999999898</v>
      </c>
      <c r="AD3510">
        <v>-1.0980120225609999</v>
      </c>
      <c r="AE3510">
        <v>-16.543899999999901</v>
      </c>
      <c r="AF3510">
        <v>34.1411708651992</v>
      </c>
      <c r="AG3510">
        <v>-1.0980120225609999</v>
      </c>
      <c r="AH3510">
        <v>50.0099388391871</v>
      </c>
      <c r="AI3510">
        <v>91.038842157786306</v>
      </c>
      <c r="AJ3510">
        <v>55.6791266914285</v>
      </c>
      <c r="AK3510">
        <v>60.562522744248803</v>
      </c>
    </row>
    <row r="3511" spans="1:37" x14ac:dyDescent="0.2">
      <c r="A3511" t="str">
        <f>"20200111153504427"</f>
        <v>20200111153504427</v>
      </c>
      <c r="B3511" t="str">
        <f>"1578728104419181"</f>
        <v>1578728104419181</v>
      </c>
      <c r="C3511" t="s">
        <v>37</v>
      </c>
      <c r="D3511">
        <v>5.0070959999999998</v>
      </c>
      <c r="E3511">
        <v>0.68420239999999999</v>
      </c>
      <c r="F3511" t="s">
        <v>39</v>
      </c>
      <c r="G3511">
        <v>-254.56790000000001</v>
      </c>
      <c r="H3511" s="1">
        <v>-3.46310999999999E-6</v>
      </c>
      <c r="I3511">
        <v>133.4958</v>
      </c>
      <c r="J3511">
        <v>-198.44489999999999</v>
      </c>
      <c r="K3511">
        <v>1.098007</v>
      </c>
      <c r="L3511">
        <v>148.97389999999999</v>
      </c>
      <c r="M3511">
        <v>-0.64658959999999999</v>
      </c>
      <c r="N3511">
        <v>0</v>
      </c>
      <c r="O3511">
        <v>-0.76272229999999996</v>
      </c>
      <c r="P3511">
        <v>-0.75346440000000003</v>
      </c>
      <c r="Q3511">
        <v>1.5815119999999998E-2</v>
      </c>
      <c r="R3511">
        <v>-0.65729879999999996</v>
      </c>
      <c r="S3511">
        <v>-3.220062</v>
      </c>
      <c r="T3511">
        <v>-6.286311E-2</v>
      </c>
      <c r="U3511">
        <v>-0.89364619999999995</v>
      </c>
      <c r="V3511">
        <v>0.150149</v>
      </c>
      <c r="W3511">
        <v>2.6497420000000001E-2</v>
      </c>
      <c r="X3511">
        <v>0.98830830000000003</v>
      </c>
      <c r="Y3511">
        <v>0.56189009999999995</v>
      </c>
      <c r="Z3511">
        <v>1.808777E-2</v>
      </c>
      <c r="AA3511">
        <v>0.82701409999999997</v>
      </c>
      <c r="AB3511">
        <v>23</v>
      </c>
      <c r="AC3511">
        <v>-56.122999999999998</v>
      </c>
      <c r="AD3511">
        <v>-1.0980104631100001</v>
      </c>
      <c r="AE3511">
        <v>-15.4780999999999</v>
      </c>
      <c r="AF3511">
        <v>32.789517808162699</v>
      </c>
      <c r="AG3511">
        <v>-1.0980104631100001</v>
      </c>
      <c r="AH3511">
        <v>48.081184079755403</v>
      </c>
      <c r="AI3511">
        <v>91.080868896860096</v>
      </c>
      <c r="AJ3511">
        <v>55.707516652837803</v>
      </c>
      <c r="AK3511">
        <v>58.207889221137798</v>
      </c>
    </row>
    <row r="3512" spans="1:37" x14ac:dyDescent="0.2">
      <c r="A3512" t="str">
        <f>"20200111153504442"</f>
        <v>20200111153504442</v>
      </c>
      <c r="B3512" t="str">
        <f>"1578728104439677"</f>
        <v>1578728104439677</v>
      </c>
      <c r="C3512" t="s">
        <v>37</v>
      </c>
      <c r="D3512">
        <v>5.0475059999999896</v>
      </c>
      <c r="E3512">
        <v>0.68372639999999996</v>
      </c>
      <c r="F3512" t="s">
        <v>39</v>
      </c>
      <c r="G3512">
        <v>-255.01650000000001</v>
      </c>
      <c r="H3512" s="1">
        <v>-3.2376830000000001E-6</v>
      </c>
      <c r="I3512">
        <v>133.76929999999999</v>
      </c>
      <c r="J3512">
        <v>-198.5453</v>
      </c>
      <c r="K3512">
        <v>1.0980080000000001</v>
      </c>
      <c r="L3512">
        <v>148.8665</v>
      </c>
      <c r="M3512">
        <v>-0.65162529999999996</v>
      </c>
      <c r="N3512">
        <v>0</v>
      </c>
      <c r="O3512">
        <v>-0.75842500000000002</v>
      </c>
      <c r="P3512">
        <v>-0.75801130000000005</v>
      </c>
      <c r="Q3512">
        <v>1.57097E-2</v>
      </c>
      <c r="R3512">
        <v>-0.65205259999999998</v>
      </c>
      <c r="S3512">
        <v>-3.2264400000000002</v>
      </c>
      <c r="T3512">
        <v>-6.2622789999999998E-2</v>
      </c>
      <c r="U3512">
        <v>-0.86715699999999996</v>
      </c>
      <c r="V3512">
        <v>0.15046589999999899</v>
      </c>
      <c r="W3512">
        <v>2.6364439999999999E-2</v>
      </c>
      <c r="X3512">
        <v>0.98826360000000002</v>
      </c>
      <c r="Y3512">
        <v>0.56315569999999904</v>
      </c>
      <c r="Z3512">
        <v>1.7981819999999999E-2</v>
      </c>
      <c r="AA3512">
        <v>0.82615519999999998</v>
      </c>
      <c r="AB3512">
        <v>23</v>
      </c>
      <c r="AC3512">
        <v>-56.471200000000003</v>
      </c>
      <c r="AD3512">
        <v>-1.098011237683</v>
      </c>
      <c r="AE3512">
        <v>-15.097200000000001</v>
      </c>
      <c r="AF3512">
        <v>32.982718168993301</v>
      </c>
      <c r="AG3512">
        <v>-1.098011237683</v>
      </c>
      <c r="AH3512">
        <v>48.235383254335403</v>
      </c>
      <c r="AI3512">
        <v>91.076499903434097</v>
      </c>
      <c r="AJ3512">
        <v>55.636195038562803</v>
      </c>
      <c r="AK3512">
        <v>58.444140204009699</v>
      </c>
    </row>
    <row r="3513" spans="1:37" x14ac:dyDescent="0.2">
      <c r="A3513" t="str">
        <f>"20200111153504455"</f>
        <v>20200111153504455</v>
      </c>
      <c r="B3513" t="str">
        <f>"1578728104449437"</f>
        <v>1578728104449437</v>
      </c>
      <c r="C3513" t="s">
        <v>37</v>
      </c>
      <c r="D3513">
        <v>5.0456190000000003</v>
      </c>
      <c r="E3513">
        <v>0.68349269999999995</v>
      </c>
      <c r="F3513" t="s">
        <v>39</v>
      </c>
      <c r="G3513">
        <v>-254.6156</v>
      </c>
      <c r="H3513" s="1">
        <v>-3.271716E-6</v>
      </c>
      <c r="I3513">
        <v>134.1541</v>
      </c>
      <c r="J3513">
        <v>-198.642</v>
      </c>
      <c r="K3513">
        <v>1.098009</v>
      </c>
      <c r="L3513">
        <v>148.7645</v>
      </c>
      <c r="M3513">
        <v>-0.65641470000000002</v>
      </c>
      <c r="N3513">
        <v>0</v>
      </c>
      <c r="O3513">
        <v>-0.75428399999999995</v>
      </c>
      <c r="P3513">
        <v>-0.76244540000000005</v>
      </c>
      <c r="Q3513">
        <v>1.553417E-2</v>
      </c>
      <c r="R3513">
        <v>-0.64686619999999995</v>
      </c>
      <c r="S3513">
        <v>-3.2299799999999999</v>
      </c>
      <c r="T3513">
        <v>-6.3251970000000005E-2</v>
      </c>
      <c r="U3513">
        <v>-0.84751889999999996</v>
      </c>
      <c r="V3513">
        <v>0.15094939999999901</v>
      </c>
      <c r="W3513">
        <v>2.6157079999999999E-2</v>
      </c>
      <c r="X3513">
        <v>0.98819539999999995</v>
      </c>
      <c r="Y3513">
        <v>0.56283950000000005</v>
      </c>
      <c r="Z3513">
        <v>1.8118200000000001E-2</v>
      </c>
      <c r="AA3513">
        <v>0.82636759999999998</v>
      </c>
      <c r="AB3513">
        <v>23</v>
      </c>
      <c r="AC3513">
        <v>-55.973599999999998</v>
      </c>
      <c r="AD3513">
        <v>-1.0980122717159999</v>
      </c>
      <c r="AE3513">
        <v>-14.610399999999901</v>
      </c>
      <c r="AF3513">
        <v>32.620619293331899</v>
      </c>
      <c r="AG3513">
        <v>-1.0980122717159999</v>
      </c>
      <c r="AH3513">
        <v>47.749271434835002</v>
      </c>
      <c r="AI3513">
        <v>91.087772719697696</v>
      </c>
      <c r="AJ3513">
        <v>55.660487456649797</v>
      </c>
      <c r="AK3513">
        <v>57.838597463863898</v>
      </c>
    </row>
    <row r="3514" spans="1:37" x14ac:dyDescent="0.2">
      <c r="A3514" t="str">
        <f>"20200111153504472"</f>
        <v>20200111153504472</v>
      </c>
      <c r="B3514" t="str">
        <f>"1578728104469933"</f>
        <v>1578728104469933</v>
      </c>
      <c r="C3514" t="s">
        <v>37</v>
      </c>
      <c r="D3514">
        <v>5.0822419999999999</v>
      </c>
      <c r="E3514">
        <v>0.68298910000000002</v>
      </c>
      <c r="F3514" t="s">
        <v>39</v>
      </c>
      <c r="G3514">
        <v>-253.7714</v>
      </c>
      <c r="H3514" s="1">
        <v>-3.5318329999999899E-6</v>
      </c>
      <c r="I3514">
        <v>134.6694</v>
      </c>
      <c r="J3514">
        <v>-198.76730000000001</v>
      </c>
      <c r="K3514">
        <v>1.098006</v>
      </c>
      <c r="L3514">
        <v>148.6345</v>
      </c>
      <c r="M3514">
        <v>-0.66252719999999998</v>
      </c>
      <c r="N3514">
        <v>0</v>
      </c>
      <c r="O3514">
        <v>-0.74892150000000002</v>
      </c>
      <c r="P3514">
        <v>-0.76811249999999998</v>
      </c>
      <c r="Q3514">
        <v>1.561656E-2</v>
      </c>
      <c r="R3514">
        <v>-0.64012460000000004</v>
      </c>
      <c r="S3514">
        <v>-3.2344059999999999</v>
      </c>
      <c r="T3514">
        <v>-6.4419749999999998E-2</v>
      </c>
      <c r="U3514">
        <v>-0.82695010000000002</v>
      </c>
      <c r="V3514">
        <v>0.151617899999999</v>
      </c>
      <c r="W3514">
        <v>2.6197600000000001E-2</v>
      </c>
      <c r="X3514">
        <v>0.98809190000000002</v>
      </c>
      <c r="Y3514">
        <v>0.56131379999999997</v>
      </c>
      <c r="Z3514">
        <v>1.8377419999999998E-2</v>
      </c>
      <c r="AA3514">
        <v>0.827399</v>
      </c>
      <c r="AB3514">
        <v>23</v>
      </c>
      <c r="AC3514">
        <v>-55.004100000000001</v>
      </c>
      <c r="AD3514">
        <v>-1.0980095318330001</v>
      </c>
      <c r="AE3514">
        <v>-13.9651</v>
      </c>
      <c r="AF3514">
        <v>31.932324217084901</v>
      </c>
      <c r="AG3514">
        <v>-1.0980095318330001</v>
      </c>
      <c r="AH3514">
        <v>46.887011084068398</v>
      </c>
      <c r="AI3514">
        <v>91.108860979529794</v>
      </c>
      <c r="AJ3514">
        <v>55.743242049731798</v>
      </c>
      <c r="AK3514">
        <v>56.738617917909998</v>
      </c>
    </row>
    <row r="3515" spans="1:37" x14ac:dyDescent="0.2">
      <c r="A3515" t="str">
        <f>"20200111153504487"</f>
        <v>20200111153504487</v>
      </c>
      <c r="B3515" t="str">
        <f>"1578728104479694"</f>
        <v>1578728104479694</v>
      </c>
      <c r="C3515" t="s">
        <v>37</v>
      </c>
      <c r="D3515">
        <v>5.0034720000000004</v>
      </c>
      <c r="E3515">
        <v>0.68268509999999905</v>
      </c>
      <c r="F3515" t="s">
        <v>39</v>
      </c>
      <c r="G3515">
        <v>-252.67750000000001</v>
      </c>
      <c r="H3515" s="1">
        <v>-3.890428E-6</v>
      </c>
      <c r="I3515">
        <v>135.29349999999999</v>
      </c>
      <c r="J3515">
        <v>-198.87389999999999</v>
      </c>
      <c r="K3515">
        <v>1.0980080000000001</v>
      </c>
      <c r="L3515">
        <v>148.52539999999999</v>
      </c>
      <c r="M3515">
        <v>-0.66765109999999905</v>
      </c>
      <c r="N3515">
        <v>0</v>
      </c>
      <c r="O3515">
        <v>-0.74435759999999995</v>
      </c>
      <c r="P3515">
        <v>-0.77259049999999996</v>
      </c>
      <c r="Q3515">
        <v>1.549239E-2</v>
      </c>
      <c r="R3515">
        <v>-0.63471599999999995</v>
      </c>
      <c r="S3515">
        <v>-3.2390140000000001</v>
      </c>
      <c r="T3515">
        <v>-6.5970420000000002E-2</v>
      </c>
      <c r="U3515">
        <v>-0.80154419999999904</v>
      </c>
      <c r="V3515">
        <v>0.15177399999999999</v>
      </c>
      <c r="W3515">
        <v>2.604745E-2</v>
      </c>
      <c r="X3515">
        <v>0.9880719</v>
      </c>
      <c r="Y3515">
        <v>0.562011699999999</v>
      </c>
      <c r="Z3515">
        <v>1.8776419999999999E-2</v>
      </c>
      <c r="AA3515">
        <v>0.82691619999999999</v>
      </c>
      <c r="AB3515">
        <v>23</v>
      </c>
      <c r="AC3515">
        <v>-53.803600000000003</v>
      </c>
      <c r="AD3515">
        <v>-1.0980118904279901</v>
      </c>
      <c r="AE3515">
        <v>-13.2318999999999</v>
      </c>
      <c r="AF3515">
        <v>31.205283372286502</v>
      </c>
      <c r="AG3515">
        <v>-1.0980118904279901</v>
      </c>
      <c r="AH3515">
        <v>45.757305424396201</v>
      </c>
      <c r="AI3515">
        <v>91.135744001824406</v>
      </c>
      <c r="AJ3515">
        <v>55.707036834151701</v>
      </c>
      <c r="AK3515">
        <v>55.395905445779199</v>
      </c>
    </row>
    <row r="3516" spans="1:37" x14ac:dyDescent="0.2">
      <c r="A3516" t="str">
        <f>"20200111153504502"</f>
        <v>20200111153504502</v>
      </c>
      <c r="B3516" t="str">
        <f>"1578728104489417"</f>
        <v>1578728104489417</v>
      </c>
      <c r="C3516" t="s">
        <v>37</v>
      </c>
      <c r="D3516">
        <v>5.0300019999999996</v>
      </c>
      <c r="E3516">
        <v>0.68241660000000004</v>
      </c>
      <c r="F3516" t="s">
        <v>39</v>
      </c>
      <c r="G3516">
        <v>-251.90629999999999</v>
      </c>
      <c r="H3516" s="1">
        <v>-4.1386980000000002E-6</v>
      </c>
      <c r="I3516">
        <v>135.75899999999999</v>
      </c>
      <c r="J3516">
        <v>-198.98259999999999</v>
      </c>
      <c r="K3516">
        <v>1.098012</v>
      </c>
      <c r="L3516">
        <v>148.41550000000001</v>
      </c>
      <c r="M3516">
        <v>-0.67280909999999905</v>
      </c>
      <c r="N3516">
        <v>0</v>
      </c>
      <c r="O3516">
        <v>-0.73969910000000005</v>
      </c>
      <c r="P3516">
        <v>-0.77696589999999999</v>
      </c>
      <c r="Q3516">
        <v>1.549127E-2</v>
      </c>
      <c r="R3516">
        <v>-0.62935249999999998</v>
      </c>
      <c r="S3516">
        <v>-3.2430270000000001</v>
      </c>
      <c r="T3516">
        <v>-6.7145590000000005E-2</v>
      </c>
      <c r="U3516">
        <v>-0.78068539999999997</v>
      </c>
      <c r="V3516">
        <v>0.15174550000000001</v>
      </c>
      <c r="W3516">
        <v>2.6026000000000001E-2</v>
      </c>
      <c r="X3516">
        <v>0.98807690000000004</v>
      </c>
      <c r="Y3516">
        <v>0.56151450000000003</v>
      </c>
      <c r="Z3516">
        <v>1.9050549999999999E-2</v>
      </c>
      <c r="AA3516">
        <v>0.82724759999999997</v>
      </c>
      <c r="AB3516">
        <v>23</v>
      </c>
      <c r="AC3516">
        <v>-52.923699999999997</v>
      </c>
      <c r="AD3516">
        <v>-1.0980161386980001</v>
      </c>
      <c r="AE3516">
        <v>-12.656499999999999</v>
      </c>
      <c r="AF3516">
        <v>30.622389140596301</v>
      </c>
      <c r="AG3516">
        <v>-1.0980161386980001</v>
      </c>
      <c r="AH3516">
        <v>44.955138641101001</v>
      </c>
      <c r="AI3516">
        <v>91.156437754988005</v>
      </c>
      <c r="AJ3516">
        <v>55.7382241786026</v>
      </c>
      <c r="AK3516">
        <v>54.404970787232003</v>
      </c>
    </row>
    <row r="3517" spans="1:37" x14ac:dyDescent="0.2">
      <c r="A3517" t="str">
        <f>"20200111153504519"</f>
        <v>20200111153504519</v>
      </c>
      <c r="B3517" t="str">
        <f>"1578728104509896"</f>
        <v>1578728104509896</v>
      </c>
      <c r="C3517" t="s">
        <v>37</v>
      </c>
      <c r="D3517">
        <v>4.9935780000000003</v>
      </c>
      <c r="E3517">
        <v>0.6818748</v>
      </c>
      <c r="F3517" t="s">
        <v>39</v>
      </c>
      <c r="G3517">
        <v>-251.1198</v>
      </c>
      <c r="H3517" s="1">
        <v>-4.3954310000000001E-6</v>
      </c>
      <c r="I3517">
        <v>136.21360000000001</v>
      </c>
      <c r="J3517">
        <v>-199.11660000000001</v>
      </c>
      <c r="K3517">
        <v>1.0980099999999999</v>
      </c>
      <c r="L3517">
        <v>148.28219999999999</v>
      </c>
      <c r="M3517">
        <v>-0.67906669999999902</v>
      </c>
      <c r="N3517">
        <v>0</v>
      </c>
      <c r="O3517">
        <v>-0.73395919999999903</v>
      </c>
      <c r="P3517">
        <v>-0.78236499999999998</v>
      </c>
      <c r="Q3517">
        <v>1.5229660000000001E-2</v>
      </c>
      <c r="R3517">
        <v>-0.62263449999999998</v>
      </c>
      <c r="S3517">
        <v>-3.2469939999999999</v>
      </c>
      <c r="T3517">
        <v>-6.8382139999999994E-2</v>
      </c>
      <c r="U3517">
        <v>-0.759903</v>
      </c>
      <c r="V3517">
        <v>0.1518671</v>
      </c>
      <c r="W3517">
        <v>2.5738560000000001E-2</v>
      </c>
      <c r="X3517">
        <v>0.98806569999999905</v>
      </c>
      <c r="Y3517">
        <v>0.55972219999999995</v>
      </c>
      <c r="Z3517">
        <v>1.9312010000000001E-2</v>
      </c>
      <c r="AA3517">
        <v>0.82845519999999995</v>
      </c>
      <c r="AB3517">
        <v>23</v>
      </c>
      <c r="AC3517">
        <v>-52.0031999999999</v>
      </c>
      <c r="AD3517">
        <v>-1.098014395431</v>
      </c>
      <c r="AE3517">
        <v>-12.068599999999901</v>
      </c>
      <c r="AF3517">
        <v>29.962750118250799</v>
      </c>
      <c r="AG3517">
        <v>-1.098014395431</v>
      </c>
      <c r="AH3517">
        <v>44.156627809791097</v>
      </c>
      <c r="AI3517">
        <v>91.1787775683229</v>
      </c>
      <c r="AJ3517">
        <v>55.840905963959798</v>
      </c>
      <c r="AK3517">
        <v>53.373961908347503</v>
      </c>
    </row>
    <row r="3518" spans="1:37" x14ac:dyDescent="0.2">
      <c r="A3518" t="str">
        <f>"20200111153504541"</f>
        <v>20200111153504541</v>
      </c>
      <c r="B3518" t="str">
        <f>"1578728104529416"</f>
        <v>1578728104529416</v>
      </c>
      <c r="C3518" t="s">
        <v>37</v>
      </c>
      <c r="D3518">
        <v>5.0466389999999999</v>
      </c>
      <c r="E3518">
        <v>0.68130500000000005</v>
      </c>
      <c r="F3518" t="s">
        <v>39</v>
      </c>
      <c r="G3518">
        <v>-248.30170000000001</v>
      </c>
      <c r="H3518" s="1">
        <v>-1.2189839999999899E-6</v>
      </c>
      <c r="I3518">
        <v>137.15459999999999</v>
      </c>
      <c r="J3518">
        <v>-199.27950000000001</v>
      </c>
      <c r="K3518">
        <v>1.098009</v>
      </c>
      <c r="L3518">
        <v>148.1233</v>
      </c>
      <c r="M3518">
        <v>-0.6865348</v>
      </c>
      <c r="N3518">
        <v>0</v>
      </c>
      <c r="O3518">
        <v>-0.72697900000000004</v>
      </c>
      <c r="P3518">
        <v>-0.78885439999999996</v>
      </c>
      <c r="Q3518">
        <v>1.460322E-2</v>
      </c>
      <c r="R3518">
        <v>-0.61440699999999904</v>
      </c>
      <c r="S3518">
        <v>-3.2506710000000001</v>
      </c>
      <c r="T3518">
        <v>-7.2568179999999996E-2</v>
      </c>
      <c r="U3518">
        <v>-0.73542790000000002</v>
      </c>
      <c r="V3518">
        <v>0.152111</v>
      </c>
      <c r="W3518">
        <v>2.508169E-2</v>
      </c>
      <c r="X3518">
        <v>0.98804509999999901</v>
      </c>
      <c r="Y3518">
        <v>0.5573536</v>
      </c>
      <c r="Z3518">
        <v>2.038007E-2</v>
      </c>
      <c r="AA3518">
        <v>0.83002509999999996</v>
      </c>
      <c r="AB3518">
        <v>23</v>
      </c>
      <c r="AC3518">
        <v>-49.022199999999998</v>
      </c>
      <c r="AD3518">
        <v>-1.098010218984</v>
      </c>
      <c r="AE3518">
        <v>-10.9687</v>
      </c>
      <c r="AF3518">
        <v>28.096702715326899</v>
      </c>
      <c r="AG3518">
        <v>-1.098010218984</v>
      </c>
      <c r="AH3518">
        <v>41.6131498817535</v>
      </c>
      <c r="AI3518">
        <v>91.252756246072906</v>
      </c>
      <c r="AJ3518">
        <v>55.973247572619201</v>
      </c>
      <c r="AK3518">
        <v>50.222351328823002</v>
      </c>
    </row>
    <row r="3519" spans="1:37" x14ac:dyDescent="0.2">
      <c r="A3519" t="str">
        <f>"20200111153504555"</f>
        <v>20200111153504555</v>
      </c>
      <c r="B3519" t="str">
        <f>"1578728104549912"</f>
        <v>1578728104549912</v>
      </c>
      <c r="C3519" t="s">
        <v>37</v>
      </c>
      <c r="D3519">
        <v>5.101769</v>
      </c>
      <c r="E3519">
        <v>0.63747790000000004</v>
      </c>
      <c r="F3519" t="s">
        <v>39</v>
      </c>
      <c r="G3519">
        <v>-245.797</v>
      </c>
      <c r="H3519" s="1">
        <v>-2.063177E-6</v>
      </c>
      <c r="I3519">
        <v>138.05019999999999</v>
      </c>
      <c r="J3519">
        <v>-199.39410000000001</v>
      </c>
      <c r="K3519">
        <v>1.0980129999999999</v>
      </c>
      <c r="L3519">
        <v>148.01349999999999</v>
      </c>
      <c r="M3519">
        <v>-0.69169729999999996</v>
      </c>
      <c r="N3519">
        <v>0</v>
      </c>
      <c r="O3519">
        <v>-0.72206879999999996</v>
      </c>
      <c r="P3519">
        <v>-0.79334469999999901</v>
      </c>
      <c r="Q3519">
        <v>1.454307E-2</v>
      </c>
      <c r="R3519">
        <v>-0.608599</v>
      </c>
      <c r="S3519">
        <v>-3.2553559999999999</v>
      </c>
      <c r="T3519">
        <v>-7.6840279999999997E-2</v>
      </c>
      <c r="U3519">
        <v>-0.70492549999999998</v>
      </c>
      <c r="V3519">
        <v>0.15232390000000001</v>
      </c>
      <c r="W3519">
        <v>2.5000649999999999E-2</v>
      </c>
      <c r="X3519">
        <v>0.98801439999999996</v>
      </c>
      <c r="Y3519">
        <v>0.55907680000000004</v>
      </c>
      <c r="Z3519">
        <v>2.1533699999999999E-2</v>
      </c>
      <c r="AA3519">
        <v>0.82883609999999897</v>
      </c>
      <c r="AB3519">
        <v>23</v>
      </c>
      <c r="AC3519">
        <v>-46.402899999999903</v>
      </c>
      <c r="AD3519">
        <v>-1.09801506317699</v>
      </c>
      <c r="AE3519">
        <v>-9.9633000000000003</v>
      </c>
      <c r="AF3519">
        <v>26.6025421343085</v>
      </c>
      <c r="AG3519">
        <v>-1.09801506317699</v>
      </c>
      <c r="AH3519">
        <v>39.273297387496697</v>
      </c>
      <c r="AI3519">
        <v>91.326031108022093</v>
      </c>
      <c r="AJ3519">
        <v>55.887476746792998</v>
      </c>
      <c r="AK3519">
        <v>47.447789967219499</v>
      </c>
    </row>
    <row r="3520" spans="1:37" x14ac:dyDescent="0.2">
      <c r="A3520" t="str">
        <f>"20200111153504573"</f>
        <v>20200111153504573</v>
      </c>
      <c r="B3520" t="str">
        <f>"1578728104569433"</f>
        <v>1578728104569433</v>
      </c>
      <c r="C3520" t="s">
        <v>37</v>
      </c>
      <c r="D3520">
        <v>5.156015</v>
      </c>
      <c r="E3520">
        <v>0.63088219999999995</v>
      </c>
      <c r="F3520" t="s">
        <v>39</v>
      </c>
      <c r="G3520">
        <v>-211.5692</v>
      </c>
      <c r="H3520" s="1">
        <v>-4.9162870000000001E-6</v>
      </c>
      <c r="I3520">
        <v>144.16919999999999</v>
      </c>
      <c r="J3520">
        <v>-199.52979999999999</v>
      </c>
      <c r="K3520">
        <v>1.0980190000000001</v>
      </c>
      <c r="L3520">
        <v>147.8853</v>
      </c>
      <c r="M3520">
        <v>-0.69772349999999905</v>
      </c>
      <c r="N3520">
        <v>0</v>
      </c>
      <c r="O3520">
        <v>-0.716248</v>
      </c>
      <c r="P3520">
        <v>-0.79831649999999998</v>
      </c>
      <c r="Q3520">
        <v>1.5122200000000001E-2</v>
      </c>
      <c r="R3520">
        <v>-0.60204849999999999</v>
      </c>
      <c r="S3520">
        <v>-3.0481569999999998</v>
      </c>
      <c r="T3520">
        <v>-0.27489819999999998</v>
      </c>
      <c r="U3520">
        <v>-0.96244810000000003</v>
      </c>
      <c r="V3520">
        <v>0.152178799999999</v>
      </c>
      <c r="W3520">
        <v>2.5564090000000001E-2</v>
      </c>
      <c r="X3520">
        <v>0.98802230000000002</v>
      </c>
      <c r="Y3520">
        <v>0.46927570000000002</v>
      </c>
      <c r="Z3520">
        <v>7.6379520000000006E-2</v>
      </c>
      <c r="AA3520">
        <v>0.87974229999999998</v>
      </c>
      <c r="AB3520">
        <v>23</v>
      </c>
      <c r="AC3520">
        <v>-12.039400000000001</v>
      </c>
      <c r="AD3520">
        <v>-1.098023916287</v>
      </c>
      <c r="AE3520">
        <v>-3.7161000000000102</v>
      </c>
      <c r="AF3520">
        <v>5.9854449888645096</v>
      </c>
      <c r="AG3520">
        <v>-1.098023916287</v>
      </c>
      <c r="AH3520">
        <v>10.979384313563999</v>
      </c>
      <c r="AI3520">
        <v>95.018129779553803</v>
      </c>
      <c r="AJ3520">
        <v>61.402854849553798</v>
      </c>
      <c r="AK3520">
        <v>12.553011118468699</v>
      </c>
    </row>
    <row r="3521" spans="1:37" x14ac:dyDescent="0.2">
      <c r="A3521" t="str">
        <f>"20200111153504596"</f>
        <v>20200111153504596</v>
      </c>
      <c r="B3521" t="str">
        <f>"1578728104589693"</f>
        <v>1578728104589693</v>
      </c>
      <c r="C3521" t="s">
        <v>37</v>
      </c>
      <c r="D3521">
        <v>5.1114379999999997</v>
      </c>
      <c r="E3521">
        <v>0.62951859999999904</v>
      </c>
      <c r="F3521" t="s">
        <v>39</v>
      </c>
      <c r="G3521">
        <v>-210.61959999999999</v>
      </c>
      <c r="H3521" s="1">
        <v>-5.3029109999999998E-6</v>
      </c>
      <c r="I3521">
        <v>144.2928</v>
      </c>
      <c r="J3521">
        <v>-199.70580000000001</v>
      </c>
      <c r="K3521">
        <v>1.0980289999999999</v>
      </c>
      <c r="L3521">
        <v>147.72219999999999</v>
      </c>
      <c r="M3521">
        <v>-0.7053971</v>
      </c>
      <c r="N3521">
        <v>0</v>
      </c>
      <c r="O3521">
        <v>-0.7086924</v>
      </c>
      <c r="P3521">
        <v>-0.80454799999999904</v>
      </c>
      <c r="Q3521">
        <v>1.5692210000000002E-2</v>
      </c>
      <c r="R3521">
        <v>-0.59368069999999995</v>
      </c>
      <c r="S3521">
        <v>-3.0246430000000002</v>
      </c>
      <c r="T3521">
        <v>-0.29947869999999999</v>
      </c>
      <c r="U3521">
        <v>-0.97982789999999997</v>
      </c>
      <c r="V3521">
        <v>0.15185479999999901</v>
      </c>
      <c r="W3521">
        <v>2.6113709999999998E-2</v>
      </c>
      <c r="X3521">
        <v>0.98805779999999999</v>
      </c>
      <c r="Y3521">
        <v>0.45250230000000002</v>
      </c>
      <c r="Z3521">
        <v>8.2423609999999994E-2</v>
      </c>
      <c r="AA3521">
        <v>0.88794599999999901</v>
      </c>
      <c r="AB3521">
        <v>23</v>
      </c>
      <c r="AC3521">
        <v>-10.913799999999901</v>
      </c>
      <c r="AD3521">
        <v>-1.098034302911</v>
      </c>
      <c r="AE3521">
        <v>-3.4293999999999798</v>
      </c>
      <c r="AF3521">
        <v>5.2673637029030198</v>
      </c>
      <c r="AG3521">
        <v>-1.098034302911</v>
      </c>
      <c r="AH3521">
        <v>10.037342959836799</v>
      </c>
      <c r="AI3521">
        <v>95.532804279484395</v>
      </c>
      <c r="AJ3521">
        <v>62.310557877873102</v>
      </c>
      <c r="AK3521">
        <v>11.388549222899901</v>
      </c>
    </row>
    <row r="3522" spans="1:37" x14ac:dyDescent="0.2">
      <c r="A3522" t="str">
        <f>"20200111153504609"</f>
        <v>20200111153504609</v>
      </c>
      <c r="B3522" t="str">
        <f>"1578728104599445"</f>
        <v>1578728104599445</v>
      </c>
      <c r="C3522" t="s">
        <v>37</v>
      </c>
      <c r="D3522">
        <v>5.0982830000000003</v>
      </c>
      <c r="E3522">
        <v>0.62911499999999998</v>
      </c>
      <c r="F3522" t="s">
        <v>39</v>
      </c>
      <c r="G3522">
        <v>-210.6824</v>
      </c>
      <c r="H3522" s="1">
        <v>-5.2716380000000003E-6</v>
      </c>
      <c r="I3522">
        <v>144.2527</v>
      </c>
      <c r="J3522">
        <v>-199.81059999999999</v>
      </c>
      <c r="K3522">
        <v>1.0980299999999901</v>
      </c>
      <c r="L3522">
        <v>147.62700000000001</v>
      </c>
      <c r="M3522">
        <v>-0.70988600000000002</v>
      </c>
      <c r="N3522">
        <v>0</v>
      </c>
      <c r="O3522">
        <v>-0.7041963</v>
      </c>
      <c r="P3522">
        <v>-0.80840590000000001</v>
      </c>
      <c r="Q3522">
        <v>1.6049709999999998E-2</v>
      </c>
      <c r="R3522">
        <v>-0.58840700000000001</v>
      </c>
      <c r="S3522">
        <v>-3.028381</v>
      </c>
      <c r="T3522">
        <v>-0.30294019999999999</v>
      </c>
      <c r="U3522">
        <v>-0.95721440000000002</v>
      </c>
      <c r="V3522">
        <v>0.15203829999999999</v>
      </c>
      <c r="W3522">
        <v>2.6451189999999999E-2</v>
      </c>
      <c r="X3522">
        <v>0.98802060000000003</v>
      </c>
      <c r="Y3522">
        <v>0.45308509999999902</v>
      </c>
      <c r="Z3522">
        <v>8.3157209999999995E-2</v>
      </c>
      <c r="AA3522">
        <v>0.88758029999999999</v>
      </c>
      <c r="AB3522">
        <v>23</v>
      </c>
      <c r="AC3522">
        <v>-10.8718</v>
      </c>
      <c r="AD3522">
        <v>-1.09803527163799</v>
      </c>
      <c r="AE3522">
        <v>-3.3742999999999999</v>
      </c>
      <c r="AF3522">
        <v>5.2124599428371496</v>
      </c>
      <c r="AG3522">
        <v>-1.09803527163799</v>
      </c>
      <c r="AH3522">
        <v>10.001703647737299</v>
      </c>
      <c r="AI3522">
        <v>95.560608616988901</v>
      </c>
      <c r="AJ3522">
        <v>62.473402367716503</v>
      </c>
      <c r="AK3522">
        <v>11.3317913840048</v>
      </c>
    </row>
    <row r="3523" spans="1:37" x14ac:dyDescent="0.2">
      <c r="A3523" t="str">
        <f>"20200111153504624"</f>
        <v>20200111153504624</v>
      </c>
      <c r="B3523" t="str">
        <f>"1578728104619939"</f>
        <v>1578728104619939</v>
      </c>
      <c r="C3523" t="s">
        <v>37</v>
      </c>
      <c r="D3523">
        <v>5.1058479999999999</v>
      </c>
      <c r="E3523">
        <v>0.62878970000000001</v>
      </c>
      <c r="F3523" t="s">
        <v>39</v>
      </c>
      <c r="G3523">
        <v>-210.6994</v>
      </c>
      <c r="H3523" s="1">
        <v>-5.2648869999999996E-6</v>
      </c>
      <c r="I3523">
        <v>144.25129999999999</v>
      </c>
      <c r="J3523">
        <v>-199.92930000000001</v>
      </c>
      <c r="K3523">
        <v>1.0980319999999999</v>
      </c>
      <c r="L3523">
        <v>147.52029999999999</v>
      </c>
      <c r="M3523">
        <v>-0.71491179999999999</v>
      </c>
      <c r="N3523">
        <v>0</v>
      </c>
      <c r="O3523">
        <v>-0.69909359999999998</v>
      </c>
      <c r="P3523">
        <v>-0.81274069999999898</v>
      </c>
      <c r="Q3523">
        <v>1.632691E-2</v>
      </c>
      <c r="R3523">
        <v>-0.5823971</v>
      </c>
      <c r="S3523">
        <v>-3.0327299999999999</v>
      </c>
      <c r="T3523">
        <v>-0.30582350000000003</v>
      </c>
      <c r="U3523">
        <v>-0.94018550000000001</v>
      </c>
      <c r="V3523">
        <v>0.15228729999999999</v>
      </c>
      <c r="W3523">
        <v>2.670573E-2</v>
      </c>
      <c r="X3523">
        <v>0.98797539999999995</v>
      </c>
      <c r="Y3523">
        <v>0.45155050000000002</v>
      </c>
      <c r="Z3523">
        <v>8.353315E-2</v>
      </c>
      <c r="AA3523">
        <v>0.88832679999999997</v>
      </c>
      <c r="AB3523">
        <v>23</v>
      </c>
      <c r="AC3523">
        <v>-10.7700999999999</v>
      </c>
      <c r="AD3523">
        <v>-1.09803726488699</v>
      </c>
      <c r="AE3523">
        <v>-3.2690000000000001</v>
      </c>
      <c r="AF3523">
        <v>5.1437453628871301</v>
      </c>
      <c r="AG3523">
        <v>-1.09803726488699</v>
      </c>
      <c r="AH3523">
        <v>9.8917096844352592</v>
      </c>
      <c r="AI3523">
        <v>95.624692920689597</v>
      </c>
      <c r="AJ3523">
        <v>62.525311555257403</v>
      </c>
      <c r="AK3523">
        <v>11.203112186997499</v>
      </c>
    </row>
    <row r="3524" spans="1:37" x14ac:dyDescent="0.2">
      <c r="A3524" t="str">
        <f>"20200111153504641"</f>
        <v>20200111153504641</v>
      </c>
      <c r="B3524" t="str">
        <f>"1578728104629699"</f>
        <v>1578728104629699</v>
      </c>
      <c r="C3524" t="s">
        <v>37</v>
      </c>
      <c r="D3524">
        <v>5.0889410000000002</v>
      </c>
      <c r="E3524">
        <v>0.6289768</v>
      </c>
      <c r="F3524" t="s">
        <v>39</v>
      </c>
      <c r="G3524">
        <v>-210.57859999999999</v>
      </c>
      <c r="H3524" s="1">
        <v>-5.3190829999999998E-6</v>
      </c>
      <c r="I3524">
        <v>144.2953</v>
      </c>
      <c r="J3524">
        <v>-200.0634</v>
      </c>
      <c r="K3524">
        <v>1.0980350000000001</v>
      </c>
      <c r="L3524">
        <v>147.4015</v>
      </c>
      <c r="M3524">
        <v>-0.72050760000000003</v>
      </c>
      <c r="N3524">
        <v>0</v>
      </c>
      <c r="O3524">
        <v>-0.69332530000000003</v>
      </c>
      <c r="P3524">
        <v>-0.81760189999999999</v>
      </c>
      <c r="Q3524">
        <v>1.7356320000000001E-2</v>
      </c>
      <c r="R3524">
        <v>-0.57552239999999999</v>
      </c>
      <c r="S3524">
        <v>-3.0381930000000001</v>
      </c>
      <c r="T3524">
        <v>-0.31326709999999902</v>
      </c>
      <c r="U3524">
        <v>-0.92008969999999901</v>
      </c>
      <c r="V3524">
        <v>0.15268010000000001</v>
      </c>
      <c r="W3524">
        <v>2.7710060000000002E-2</v>
      </c>
      <c r="X3524">
        <v>0.98788709999999902</v>
      </c>
      <c r="Y3524">
        <v>0.45001659999999999</v>
      </c>
      <c r="Z3524">
        <v>8.5073079999999995E-2</v>
      </c>
      <c r="AA3524">
        <v>0.88895879999999905</v>
      </c>
      <c r="AB3524">
        <v>23</v>
      </c>
      <c r="AC3524">
        <v>-10.515199999999901</v>
      </c>
      <c r="AD3524">
        <v>-1.0980403190829999</v>
      </c>
      <c r="AE3524">
        <v>-3.1061999999999999</v>
      </c>
      <c r="AF3524">
        <v>5.0026671548649304</v>
      </c>
      <c r="AG3524">
        <v>-1.0980403190829999</v>
      </c>
      <c r="AH3524">
        <v>9.6340875608298102</v>
      </c>
      <c r="AI3524">
        <v>95.775846632153403</v>
      </c>
      <c r="AJ3524">
        <v>62.558621048115803</v>
      </c>
      <c r="AK3524">
        <v>10.910912626102</v>
      </c>
    </row>
    <row r="3525" spans="1:37" x14ac:dyDescent="0.2">
      <c r="A3525" t="str">
        <f>"20200111153504662"</f>
        <v>20200111153504662</v>
      </c>
      <c r="B3525" t="str">
        <f>"1578728104659955"</f>
        <v>1578728104659955</v>
      </c>
      <c r="C3525" t="s">
        <v>37</v>
      </c>
      <c r="D3525">
        <v>5.1480949999999996</v>
      </c>
      <c r="E3525">
        <v>0.62974180000000002</v>
      </c>
      <c r="F3525" t="s">
        <v>39</v>
      </c>
      <c r="G3525">
        <v>-210.9153</v>
      </c>
      <c r="H3525" s="1">
        <v>-5.1764210000000001E-6</v>
      </c>
      <c r="I3525">
        <v>144.2199</v>
      </c>
      <c r="J3525">
        <v>-200.23400000000001</v>
      </c>
      <c r="K3525">
        <v>1.098039</v>
      </c>
      <c r="L3525">
        <v>147.2534</v>
      </c>
      <c r="M3525">
        <v>-0.72749980000000003</v>
      </c>
      <c r="N3525">
        <v>0</v>
      </c>
      <c r="O3525">
        <v>-0.68598559999999997</v>
      </c>
      <c r="P3525">
        <v>-0.82378750000000001</v>
      </c>
      <c r="Q3525">
        <v>1.7873279999999998E-2</v>
      </c>
      <c r="R3525">
        <v>-0.56661740000000005</v>
      </c>
      <c r="S3525">
        <v>-3.046967</v>
      </c>
      <c r="T3525">
        <v>-0.30830749999999901</v>
      </c>
      <c r="U3525">
        <v>-0.89332579999999995</v>
      </c>
      <c r="V3525">
        <v>0.15338460000000001</v>
      </c>
      <c r="W3525">
        <v>2.8193380000000001E-2</v>
      </c>
      <c r="X3525">
        <v>0.98776430000000004</v>
      </c>
      <c r="Y3525">
        <v>0.4490441</v>
      </c>
      <c r="Z3525">
        <v>8.3125920000000006E-2</v>
      </c>
      <c r="AA3525">
        <v>0.889634499999999</v>
      </c>
      <c r="AB3525">
        <v>23</v>
      </c>
      <c r="AC3525">
        <v>-10.681299999999901</v>
      </c>
      <c r="AD3525">
        <v>-1.0980441764210001</v>
      </c>
      <c r="AE3525">
        <v>-3.0335000000000001</v>
      </c>
      <c r="AF3525">
        <v>5.0711848180085504</v>
      </c>
      <c r="AG3525">
        <v>-1.0980441764210001</v>
      </c>
      <c r="AH3525">
        <v>9.7569919141554209</v>
      </c>
      <c r="AI3525">
        <v>95.702477714413604</v>
      </c>
      <c r="AJ3525">
        <v>62.536898901822802</v>
      </c>
      <c r="AK3525">
        <v>11.050860042759799</v>
      </c>
    </row>
    <row r="3526" spans="1:37" x14ac:dyDescent="0.2">
      <c r="A3526" t="str">
        <f>"20200111153504677"</f>
        <v>20200111153504677</v>
      </c>
      <c r="B3526" t="str">
        <f>"1578728104669715"</f>
        <v>1578728104669715</v>
      </c>
      <c r="C3526" t="s">
        <v>37</v>
      </c>
      <c r="D3526">
        <v>5.150112</v>
      </c>
      <c r="E3526">
        <v>0.63328839999999997</v>
      </c>
      <c r="F3526" t="s">
        <v>39</v>
      </c>
      <c r="G3526">
        <v>-212.64169999999999</v>
      </c>
      <c r="H3526" s="1">
        <v>-4.4368079999999998E-6</v>
      </c>
      <c r="I3526">
        <v>143.78790000000001</v>
      </c>
      <c r="J3526">
        <v>-200.3587</v>
      </c>
      <c r="K3526">
        <v>1.098039</v>
      </c>
      <c r="L3526">
        <v>147.14689999999999</v>
      </c>
      <c r="M3526">
        <v>-0.73252930000000005</v>
      </c>
      <c r="N3526">
        <v>0</v>
      </c>
      <c r="O3526">
        <v>-0.68061229999999995</v>
      </c>
      <c r="P3526">
        <v>-0.82800289999999999</v>
      </c>
      <c r="Q3526">
        <v>1.8211910000000001E-2</v>
      </c>
      <c r="R3526">
        <v>-0.56042829999999999</v>
      </c>
      <c r="S3526">
        <v>-3.0597840000000001</v>
      </c>
      <c r="T3526">
        <v>-0.27078239999999998</v>
      </c>
      <c r="U3526">
        <v>-0.854599</v>
      </c>
      <c r="V3526">
        <v>0.1535165</v>
      </c>
      <c r="W3526">
        <v>2.851178E-2</v>
      </c>
      <c r="X3526">
        <v>0.98773469999999997</v>
      </c>
      <c r="Y3526">
        <v>0.45494440000000003</v>
      </c>
      <c r="Z3526">
        <v>7.2882470000000005E-2</v>
      </c>
      <c r="AA3526">
        <v>0.8875324</v>
      </c>
      <c r="AB3526">
        <v>23</v>
      </c>
      <c r="AC3526">
        <v>-12.2829999999999</v>
      </c>
      <c r="AD3526">
        <v>-1.0980434368080001</v>
      </c>
      <c r="AE3526">
        <v>-3.35899999999998</v>
      </c>
      <c r="AF3526">
        <v>5.8563450397648804</v>
      </c>
      <c r="AG3526">
        <v>-1.0980434368080001</v>
      </c>
      <c r="AH3526">
        <v>11.2014920731683</v>
      </c>
      <c r="AI3526">
        <v>94.964841117629902</v>
      </c>
      <c r="AJ3526">
        <v>62.3986080844874</v>
      </c>
      <c r="AK3526">
        <v>12.687627882277599</v>
      </c>
    </row>
    <row r="3527" spans="1:37" x14ac:dyDescent="0.2">
      <c r="A3527" t="str">
        <f>"20200111153504696"</f>
        <v>20200111153504696</v>
      </c>
      <c r="B3527" t="str">
        <f>"1578728104689235"</f>
        <v>1578728104689235</v>
      </c>
      <c r="C3527" t="s">
        <v>37</v>
      </c>
      <c r="D3527">
        <v>5.0134349999999896</v>
      </c>
      <c r="E3527">
        <v>0.62981529999999997</v>
      </c>
      <c r="F3527" t="s">
        <v>39</v>
      </c>
      <c r="G3527">
        <v>-238.69390000000001</v>
      </c>
      <c r="H3527" s="1">
        <v>-1.0898210000000001E-6</v>
      </c>
      <c r="I3527">
        <v>137.13839999999999</v>
      </c>
      <c r="J3527">
        <v>-200.5069</v>
      </c>
      <c r="K3527">
        <v>1.0980369999999999</v>
      </c>
      <c r="L3527">
        <v>147.02250000000001</v>
      </c>
      <c r="M3527">
        <v>-0.73841769999999995</v>
      </c>
      <c r="N3527">
        <v>0</v>
      </c>
      <c r="O3527">
        <v>-0.67421969999999898</v>
      </c>
      <c r="P3527">
        <v>-0.83310239999999902</v>
      </c>
      <c r="Q3527">
        <v>1.870695E-2</v>
      </c>
      <c r="R3527">
        <v>-0.55280269999999898</v>
      </c>
      <c r="S3527">
        <v>-3.0807340000000001</v>
      </c>
      <c r="T3527">
        <v>-8.8241819999999999E-2</v>
      </c>
      <c r="U3527">
        <v>-0.80430599999999997</v>
      </c>
      <c r="V3527">
        <v>0.1540001</v>
      </c>
      <c r="W3527">
        <v>2.897603E-2</v>
      </c>
      <c r="X3527">
        <v>0.98764589999999997</v>
      </c>
      <c r="Y3527">
        <v>0.46548009999999901</v>
      </c>
      <c r="Z3527">
        <v>2.3735320000000001E-2</v>
      </c>
      <c r="AA3527">
        <v>0.88474010000000003</v>
      </c>
      <c r="AB3527">
        <v>23</v>
      </c>
      <c r="AC3527">
        <v>-38.186999999999998</v>
      </c>
      <c r="AD3527">
        <v>-1.098038089821</v>
      </c>
      <c r="AE3527">
        <v>-9.8841000000000108</v>
      </c>
      <c r="AF3527">
        <v>18.4350895650221</v>
      </c>
      <c r="AG3527">
        <v>-1.098038089821</v>
      </c>
      <c r="AH3527">
        <v>34.8379290312592</v>
      </c>
      <c r="AI3527">
        <v>91.5957592397029</v>
      </c>
      <c r="AJ3527">
        <v>62.113674730076802</v>
      </c>
      <c r="AK3527">
        <v>39.4301853166345</v>
      </c>
    </row>
    <row r="3528" spans="1:37" x14ac:dyDescent="0.2">
      <c r="A3528" t="str">
        <f>"20200111153504719"</f>
        <v>20200111153504719</v>
      </c>
      <c r="B3528" t="str">
        <f>"1578728104709730"</f>
        <v>1578728104709730</v>
      </c>
      <c r="C3528" t="s">
        <v>37</v>
      </c>
      <c r="D3528">
        <v>5.0109890000000004</v>
      </c>
      <c r="E3528">
        <v>0.62813109999999905</v>
      </c>
      <c r="F3528" t="s">
        <v>39</v>
      </c>
      <c r="G3528">
        <v>-220.14859999999999</v>
      </c>
      <c r="H3528" s="1">
        <v>-4.6310820000000004E-6</v>
      </c>
      <c r="I3528">
        <v>141.90309999999999</v>
      </c>
      <c r="J3528">
        <v>-200.69470000000001</v>
      </c>
      <c r="K3528">
        <v>1.098031</v>
      </c>
      <c r="L3528">
        <v>146.86789999999999</v>
      </c>
      <c r="M3528">
        <v>-0.74574530000000006</v>
      </c>
      <c r="N3528">
        <v>0</v>
      </c>
      <c r="O3528">
        <v>-0.66610609999999904</v>
      </c>
      <c r="P3528">
        <v>-0.83917739999999996</v>
      </c>
      <c r="Q3528">
        <v>1.9042239999999998E-2</v>
      </c>
      <c r="R3528">
        <v>-0.54352489999999998</v>
      </c>
      <c r="S3528">
        <v>-3.073334</v>
      </c>
      <c r="T3528">
        <v>-0.1718105</v>
      </c>
      <c r="U3528">
        <v>-0.8010254</v>
      </c>
      <c r="V3528">
        <v>0.15416089999999999</v>
      </c>
      <c r="W3528">
        <v>2.928298E-2</v>
      </c>
      <c r="X3528">
        <v>0.98761169999999998</v>
      </c>
      <c r="Y3528">
        <v>0.45509070000000001</v>
      </c>
      <c r="Z3528">
        <v>4.5709409999999999E-2</v>
      </c>
      <c r="AA3528">
        <v>0.88927109999999998</v>
      </c>
      <c r="AB3528">
        <v>23</v>
      </c>
      <c r="AC3528">
        <v>-19.453899999999901</v>
      </c>
      <c r="AD3528">
        <v>-1.0980356310820001</v>
      </c>
      <c r="AE3528">
        <v>-4.9647999999999897</v>
      </c>
      <c r="AF3528">
        <v>9.2290522657685194</v>
      </c>
      <c r="AG3528">
        <v>-1.0980356310820001</v>
      </c>
      <c r="AH3528">
        <v>17.763092907277102</v>
      </c>
      <c r="AI3528">
        <v>93.1397337216778</v>
      </c>
      <c r="AJ3528">
        <v>62.545264532927803</v>
      </c>
      <c r="AK3528">
        <v>20.0476571599769</v>
      </c>
    </row>
    <row r="3529" spans="1:37" x14ac:dyDescent="0.2">
      <c r="A3529" t="str">
        <f>"20200111153504732"</f>
        <v>20200111153504732</v>
      </c>
      <c r="B3529" t="str">
        <f>"1578728104729250"</f>
        <v>1578728104729250</v>
      </c>
      <c r="C3529" t="s">
        <v>37</v>
      </c>
      <c r="D3529">
        <v>4.9552899999999998</v>
      </c>
      <c r="E3529">
        <v>0.62718069999999904</v>
      </c>
      <c r="F3529" t="s">
        <v>39</v>
      </c>
      <c r="G3529">
        <v>-216.81559999999999</v>
      </c>
      <c r="H3529" s="1">
        <v>-2.3280719999999999E-6</v>
      </c>
      <c r="I3529">
        <v>142.78210000000001</v>
      </c>
      <c r="J3529">
        <v>-200.80510000000001</v>
      </c>
      <c r="K3529">
        <v>1.098023</v>
      </c>
      <c r="L3529">
        <v>146.77879999999999</v>
      </c>
      <c r="M3529">
        <v>-0.74998209999999998</v>
      </c>
      <c r="N3529">
        <v>0</v>
      </c>
      <c r="O3529">
        <v>-0.66133240000000004</v>
      </c>
      <c r="P3529">
        <v>-0.84262719999999902</v>
      </c>
      <c r="Q3529">
        <v>1.9411810000000002E-2</v>
      </c>
      <c r="R3529">
        <v>-0.53814759999999995</v>
      </c>
      <c r="S3529">
        <v>-3.0749209999999998</v>
      </c>
      <c r="T3529">
        <v>-0.20943989999999901</v>
      </c>
      <c r="U3529">
        <v>-0.7793274</v>
      </c>
      <c r="V3529">
        <v>0.15417259999999999</v>
      </c>
      <c r="W3529">
        <v>2.9639490000000001E-2</v>
      </c>
      <c r="X3529">
        <v>0.98759929999999996</v>
      </c>
      <c r="Y3529">
        <v>0.4547138</v>
      </c>
      <c r="Z3529">
        <v>5.5506420000000001E-2</v>
      </c>
      <c r="AA3529">
        <v>0.88890630000000004</v>
      </c>
      <c r="AB3529">
        <v>23</v>
      </c>
      <c r="AC3529">
        <v>-16.010499999999901</v>
      </c>
      <c r="AD3529">
        <v>-1.098025328072</v>
      </c>
      <c r="AE3529">
        <v>-3.9966999999999699</v>
      </c>
      <c r="AF3529">
        <v>7.5579770353406701</v>
      </c>
      <c r="AG3529">
        <v>-1.098025328072</v>
      </c>
      <c r="AH3529">
        <v>14.5873680044685</v>
      </c>
      <c r="AI3529">
        <v>93.823636819420898</v>
      </c>
      <c r="AJ3529">
        <v>62.610515831448097</v>
      </c>
      <c r="AK3529">
        <v>16.465721417102099</v>
      </c>
    </row>
    <row r="3530" spans="1:37" x14ac:dyDescent="0.2">
      <c r="A3530" t="str">
        <f>"20200111153504751"</f>
        <v>20200111153504751</v>
      </c>
      <c r="B3530" t="str">
        <f>"1578728104739987"</f>
        <v>1578728104739987</v>
      </c>
      <c r="C3530" t="s">
        <v>37</v>
      </c>
      <c r="D3530">
        <v>4.9911289999999999</v>
      </c>
      <c r="E3530">
        <v>0.62681999999999904</v>
      </c>
      <c r="F3530" t="s">
        <v>39</v>
      </c>
      <c r="G3530">
        <v>-215.6379</v>
      </c>
      <c r="H3530" s="1">
        <v>-2.964533E-6</v>
      </c>
      <c r="I3530">
        <v>143.08179999999999</v>
      </c>
      <c r="J3530">
        <v>-200.9631</v>
      </c>
      <c r="K3530">
        <v>1.098017</v>
      </c>
      <c r="L3530">
        <v>146.6532</v>
      </c>
      <c r="M3530">
        <v>-0.75596260000000004</v>
      </c>
      <c r="N3530">
        <v>0</v>
      </c>
      <c r="O3530">
        <v>-0.65448790000000001</v>
      </c>
      <c r="P3530">
        <v>-0.84718729999999998</v>
      </c>
      <c r="Q3530">
        <v>1.930902E-2</v>
      </c>
      <c r="R3530">
        <v>-0.53094359999999996</v>
      </c>
      <c r="S3530">
        <v>-3.0758969999999999</v>
      </c>
      <c r="T3530">
        <v>-0.22769919999999999</v>
      </c>
      <c r="U3530">
        <v>-0.76666259999999997</v>
      </c>
      <c r="V3530">
        <v>0.1536159</v>
      </c>
      <c r="W3530">
        <v>2.9528450000000001E-2</v>
      </c>
      <c r="X3530">
        <v>0.98768929999999999</v>
      </c>
      <c r="Y3530">
        <v>0.44976080000000002</v>
      </c>
      <c r="Z3530">
        <v>5.982548E-2</v>
      </c>
      <c r="AA3530">
        <v>0.89114309999999997</v>
      </c>
      <c r="AB3530">
        <v>23</v>
      </c>
      <c r="AC3530">
        <v>-14.674799999999999</v>
      </c>
      <c r="AD3530">
        <v>-1.098019964533</v>
      </c>
      <c r="AE3530">
        <v>-3.5714000000000099</v>
      </c>
      <c r="AF3530">
        <v>6.8689022276689498</v>
      </c>
      <c r="AG3530">
        <v>-1.098019964533</v>
      </c>
      <c r="AH3530">
        <v>13.361531462589801</v>
      </c>
      <c r="AI3530">
        <v>94.180071745119804</v>
      </c>
      <c r="AJ3530">
        <v>62.793189618140602</v>
      </c>
      <c r="AK3530">
        <v>15.063797286261099</v>
      </c>
    </row>
    <row r="3531" spans="1:37" x14ac:dyDescent="0.2">
      <c r="A3531" t="str">
        <f>"20200111153504776"</f>
        <v>20200111153504776</v>
      </c>
      <c r="B3531" t="str">
        <f>"1578728104769267"</f>
        <v>1578728104769267</v>
      </c>
      <c r="C3531" t="s">
        <v>37</v>
      </c>
      <c r="D3531">
        <v>4.9930120000000002</v>
      </c>
      <c r="E3531">
        <v>0.6251118</v>
      </c>
      <c r="F3531" t="s">
        <v>39</v>
      </c>
      <c r="G3531">
        <v>-215.34710000000001</v>
      </c>
      <c r="H3531" s="1">
        <v>-3.1290019999999899E-6</v>
      </c>
      <c r="I3531">
        <v>143.1833</v>
      </c>
      <c r="J3531">
        <v>-201.15899999999999</v>
      </c>
      <c r="K3531">
        <v>1.0979999999999901</v>
      </c>
      <c r="L3531">
        <v>146.50040000000001</v>
      </c>
      <c r="M3531">
        <v>-0.76324749999999997</v>
      </c>
      <c r="N3531">
        <v>0</v>
      </c>
      <c r="O3531">
        <v>-0.64597819999999995</v>
      </c>
      <c r="P3531">
        <v>-0.85250559999999997</v>
      </c>
      <c r="Q3531">
        <v>1.961895E-2</v>
      </c>
      <c r="R3531">
        <v>-0.52234979999999998</v>
      </c>
      <c r="S3531">
        <v>-3.0807500000000001</v>
      </c>
      <c r="T3531">
        <v>-0.23517189999999999</v>
      </c>
      <c r="U3531">
        <v>-0.74316409999999999</v>
      </c>
      <c r="V3531">
        <v>0.15253920000000001</v>
      </c>
      <c r="W3531">
        <v>2.9836350000000001E-2</v>
      </c>
      <c r="X3531">
        <v>0.98784689999999997</v>
      </c>
      <c r="Y3531">
        <v>0.44636039999999999</v>
      </c>
      <c r="Z3531">
        <v>6.118469E-2</v>
      </c>
      <c r="AA3531">
        <v>0.89275910000000003</v>
      </c>
      <c r="AB3531">
        <v>23</v>
      </c>
      <c r="AC3531">
        <v>-14.188099999999899</v>
      </c>
      <c r="AD3531">
        <v>-1.09800312900199</v>
      </c>
      <c r="AE3531">
        <v>-3.3171000000000102</v>
      </c>
      <c r="AF3531">
        <v>6.5965242812940996</v>
      </c>
      <c r="AG3531">
        <v>-1.09800312900199</v>
      </c>
      <c r="AH3531">
        <v>12.8996265081754</v>
      </c>
      <c r="AI3531">
        <v>94.333867427816401</v>
      </c>
      <c r="AJ3531">
        <v>62.916011262878399</v>
      </c>
      <c r="AK3531">
        <v>14.529972729341999</v>
      </c>
    </row>
    <row r="3532" spans="1:37" x14ac:dyDescent="0.2">
      <c r="A3532" t="str">
        <f>"20200111153504797"</f>
        <v>20200111153504797</v>
      </c>
      <c r="B3532" t="str">
        <f>"1578728104789763"</f>
        <v>1578728104789763</v>
      </c>
      <c r="C3532" t="s">
        <v>37</v>
      </c>
      <c r="D3532">
        <v>4.9844249999999999</v>
      </c>
      <c r="E3532">
        <v>0.62397969999999903</v>
      </c>
      <c r="F3532" t="s">
        <v>39</v>
      </c>
      <c r="G3532">
        <v>-214.30719999999999</v>
      </c>
      <c r="H3532" s="1">
        <v>-3.68100599999999E-6</v>
      </c>
      <c r="I3532">
        <v>143.41040000000001</v>
      </c>
      <c r="J3532">
        <v>-201.3484</v>
      </c>
      <c r="K3532">
        <v>1.097979</v>
      </c>
      <c r="L3532">
        <v>146.35599999999999</v>
      </c>
      <c r="M3532">
        <v>-0.77016419999999997</v>
      </c>
      <c r="N3532">
        <v>0</v>
      </c>
      <c r="O3532">
        <v>-0.63771630000000001</v>
      </c>
      <c r="P3532">
        <v>-0.85717649999999901</v>
      </c>
      <c r="Q3532">
        <v>1.9699870000000001E-2</v>
      </c>
      <c r="R3532">
        <v>-0.514646099999999</v>
      </c>
      <c r="S3532">
        <v>-3.0812379999999999</v>
      </c>
      <c r="T3532">
        <v>-0.25731309999999902</v>
      </c>
      <c r="U3532">
        <v>-0.72415160000000001</v>
      </c>
      <c r="V3532">
        <v>0.1507974</v>
      </c>
      <c r="W3532">
        <v>2.992881E-2</v>
      </c>
      <c r="X3532">
        <v>0.98811159999999998</v>
      </c>
      <c r="Y3532">
        <v>0.44146980000000002</v>
      </c>
      <c r="Z3532">
        <v>6.6289399999999901E-2</v>
      </c>
      <c r="AA3532">
        <v>0.89482410000000001</v>
      </c>
      <c r="AB3532">
        <v>23</v>
      </c>
      <c r="AC3532">
        <v>-12.958799999999901</v>
      </c>
      <c r="AD3532">
        <v>-1.097982681006</v>
      </c>
      <c r="AE3532">
        <v>-2.9455999999999798</v>
      </c>
      <c r="AF3532">
        <v>5.95528475180841</v>
      </c>
      <c r="AG3532">
        <v>-1.097982681006</v>
      </c>
      <c r="AH3532">
        <v>11.7794301267063</v>
      </c>
      <c r="AI3532">
        <v>94.755211978499702</v>
      </c>
      <c r="AJ3532">
        <v>63.180369759996097</v>
      </c>
      <c r="AK3532">
        <v>13.2448464148463</v>
      </c>
    </row>
    <row r="3533" spans="1:37" x14ac:dyDescent="0.2">
      <c r="A3533" t="str">
        <f>"20200111153504820"</f>
        <v>20200111153504820</v>
      </c>
      <c r="B3533" t="str">
        <f>"1578728104809286"</f>
        <v>1578728104809286</v>
      </c>
      <c r="C3533" t="s">
        <v>37</v>
      </c>
      <c r="D3533">
        <v>5.0145989999999996</v>
      </c>
      <c r="E3533">
        <v>0.62308079999999999</v>
      </c>
      <c r="F3533" t="s">
        <v>39</v>
      </c>
      <c r="G3533">
        <v>-214.07749999999999</v>
      </c>
      <c r="H3533" s="1">
        <v>-3.799577E-6</v>
      </c>
      <c r="I3533">
        <v>143.44799999999901</v>
      </c>
      <c r="J3533">
        <v>-201.53530000000001</v>
      </c>
      <c r="K3533">
        <v>1.097952</v>
      </c>
      <c r="L3533">
        <v>146.21680000000001</v>
      </c>
      <c r="M3533">
        <v>-0.77686759999999999</v>
      </c>
      <c r="N3533">
        <v>0</v>
      </c>
      <c r="O3533">
        <v>-0.62953349999999997</v>
      </c>
      <c r="P3533">
        <v>-0.86198229999999998</v>
      </c>
      <c r="Q3533">
        <v>1.9419889999999999E-2</v>
      </c>
      <c r="R3533">
        <v>-0.5065672</v>
      </c>
      <c r="S3533">
        <v>-3.0830690000000001</v>
      </c>
      <c r="T3533">
        <v>-0.26593800000000001</v>
      </c>
      <c r="U3533">
        <v>-0.70434569999999996</v>
      </c>
      <c r="V3533">
        <v>0.14963199999999999</v>
      </c>
      <c r="W3533">
        <v>2.9646169999999999E-2</v>
      </c>
      <c r="X3533">
        <v>0.98829719999999999</v>
      </c>
      <c r="Y3533">
        <v>0.43737229999999999</v>
      </c>
      <c r="Z3533">
        <v>6.7848740000000005E-2</v>
      </c>
      <c r="AA3533">
        <v>0.8967174</v>
      </c>
      <c r="AB3533">
        <v>23</v>
      </c>
      <c r="AC3533">
        <v>-12.5421999999999</v>
      </c>
      <c r="AD3533">
        <v>-1.097955799577</v>
      </c>
      <c r="AE3533">
        <v>-2.7688000000000201</v>
      </c>
      <c r="AF3533">
        <v>5.7035386046636498</v>
      </c>
      <c r="AG3533">
        <v>-1.097955799577</v>
      </c>
      <c r="AH3533">
        <v>11.404290404592199</v>
      </c>
      <c r="AI3533">
        <v>94.921449866181106</v>
      </c>
      <c r="AJ3533">
        <v>63.429348672795697</v>
      </c>
      <c r="AK3533">
        <v>12.798191246617099</v>
      </c>
    </row>
    <row r="3534" spans="1:37" x14ac:dyDescent="0.2">
      <c r="A3534" t="str">
        <f>"20200111153504840"</f>
        <v>20200111153504840</v>
      </c>
      <c r="B3534" t="str">
        <f>"1578728104829782"</f>
        <v>1578728104829782</v>
      </c>
      <c r="C3534" t="s">
        <v>37</v>
      </c>
      <c r="D3534">
        <v>4.9741239999999998</v>
      </c>
      <c r="E3534">
        <v>0.62231990000000004</v>
      </c>
      <c r="F3534" t="s">
        <v>39</v>
      </c>
      <c r="G3534">
        <v>-213.8252</v>
      </c>
      <c r="H3534" s="1">
        <v>-3.9315660000000001E-6</v>
      </c>
      <c r="I3534">
        <v>143.5017</v>
      </c>
      <c r="J3534">
        <v>-201.71789999999999</v>
      </c>
      <c r="K3534">
        <v>1.0979190000000001</v>
      </c>
      <c r="L3534">
        <v>146.0839</v>
      </c>
      <c r="M3534">
        <v>-0.78330239999999995</v>
      </c>
      <c r="N3534">
        <v>0</v>
      </c>
      <c r="O3534">
        <v>-0.62150869999999903</v>
      </c>
      <c r="P3534">
        <v>-0.86675360000000001</v>
      </c>
      <c r="Q3534">
        <v>1.9384559999999999E-2</v>
      </c>
      <c r="R3534">
        <v>-0.49836009999999997</v>
      </c>
      <c r="S3534">
        <v>-3.0859380000000001</v>
      </c>
      <c r="T3534">
        <v>-0.27569280000000002</v>
      </c>
      <c r="U3534">
        <v>-0.6817474</v>
      </c>
      <c r="V3534">
        <v>0.14885029999999999</v>
      </c>
      <c r="W3534">
        <v>2.9599940000000002E-2</v>
      </c>
      <c r="X3534">
        <v>0.98841659999999998</v>
      </c>
      <c r="Y3534">
        <v>0.43434149999999999</v>
      </c>
      <c r="Z3534">
        <v>6.9685179999999999E-2</v>
      </c>
      <c r="AA3534">
        <v>0.89804869999999903</v>
      </c>
      <c r="AB3534">
        <v>23</v>
      </c>
      <c r="AC3534">
        <v>-12.1073</v>
      </c>
      <c r="AD3534">
        <v>-1.097922931566</v>
      </c>
      <c r="AE3534">
        <v>-2.5821999999999998</v>
      </c>
      <c r="AF3534">
        <v>5.45965749104443</v>
      </c>
      <c r="AG3534">
        <v>-1.097922931566</v>
      </c>
      <c r="AH3534">
        <v>11.002903689431401</v>
      </c>
      <c r="AI3534">
        <v>95.1078468656589</v>
      </c>
      <c r="AJ3534">
        <v>63.609322909862897</v>
      </c>
      <c r="AK3534">
        <v>12.3319578446441</v>
      </c>
    </row>
    <row r="3535" spans="1:37" x14ac:dyDescent="0.2">
      <c r="A3535" t="str">
        <f>"20200111153504854"</f>
        <v>20200111153504854</v>
      </c>
      <c r="B3535" t="str">
        <f>"1578728104849299"</f>
        <v>1578728104849299</v>
      </c>
      <c r="C3535" t="s">
        <v>37</v>
      </c>
      <c r="D3535">
        <v>4.9597439999999997</v>
      </c>
      <c r="E3535">
        <v>0.62154529999999997</v>
      </c>
      <c r="F3535" t="s">
        <v>39</v>
      </c>
      <c r="G3535">
        <v>-213.8235</v>
      </c>
      <c r="H3535" s="1">
        <v>-3.9329850000000001E-6</v>
      </c>
      <c r="I3535">
        <v>143.5061</v>
      </c>
      <c r="J3535">
        <v>-201.83619999999999</v>
      </c>
      <c r="K3535">
        <v>1.0979019999999999</v>
      </c>
      <c r="L3535">
        <v>145.99950000000001</v>
      </c>
      <c r="M3535">
        <v>-0.78740929999999998</v>
      </c>
      <c r="N3535">
        <v>0</v>
      </c>
      <c r="O3535">
        <v>-0.61629769999999995</v>
      </c>
      <c r="P3535">
        <v>-0.86991359999999995</v>
      </c>
      <c r="Q3535">
        <v>1.919566E-2</v>
      </c>
      <c r="R3535">
        <v>-0.49283130000000003</v>
      </c>
      <c r="S3535">
        <v>-3.0892490000000001</v>
      </c>
      <c r="T3535">
        <v>-0.28018090000000001</v>
      </c>
      <c r="U3535">
        <v>-0.65783689999999995</v>
      </c>
      <c r="V3535">
        <v>0.14858589999999999</v>
      </c>
      <c r="W3535">
        <v>2.9401179999999999E-2</v>
      </c>
      <c r="X3535">
        <v>0.98846229999999902</v>
      </c>
      <c r="Y3535">
        <v>0.43510539999999998</v>
      </c>
      <c r="Z3535">
        <v>7.0509459999999996E-2</v>
      </c>
      <c r="AA3535">
        <v>0.89761449999999998</v>
      </c>
      <c r="AB3535">
        <v>23</v>
      </c>
      <c r="AC3535">
        <v>-11.987299999999999</v>
      </c>
      <c r="AD3535">
        <v>-1.0979059329849901</v>
      </c>
      <c r="AE3535">
        <v>-2.4933999999999998</v>
      </c>
      <c r="AF3535">
        <v>5.3815915730893504</v>
      </c>
      <c r="AG3535">
        <v>-1.0979059329849901</v>
      </c>
      <c r="AH3535">
        <v>10.8889324605244</v>
      </c>
      <c r="AI3535">
        <v>95.164977122806903</v>
      </c>
      <c r="AJ3535">
        <v>63.700228560991697</v>
      </c>
      <c r="AK3535">
        <v>12.195727753073699</v>
      </c>
    </row>
    <row r="3536" spans="1:37" x14ac:dyDescent="0.2">
      <c r="A3536" t="str">
        <f>"20200111153504867"</f>
        <v>20200111153504867</v>
      </c>
      <c r="B3536" t="str">
        <f>"1578728104860036"</f>
        <v>1578728104860036</v>
      </c>
      <c r="C3536" t="s">
        <v>37</v>
      </c>
      <c r="D3536">
        <v>4.9772720000000001</v>
      </c>
      <c r="E3536">
        <v>0.62154529999999997</v>
      </c>
      <c r="F3536" t="s">
        <v>39</v>
      </c>
      <c r="G3536">
        <v>-213.71960000000001</v>
      </c>
      <c r="H3536" s="1">
        <v>-3.9761260000000002E-6</v>
      </c>
      <c r="I3536">
        <v>143.52440000000001</v>
      </c>
      <c r="J3536">
        <v>-201.94710000000001</v>
      </c>
      <c r="K3536">
        <v>1.097882</v>
      </c>
      <c r="L3536">
        <v>145.9213</v>
      </c>
      <c r="M3536">
        <v>-0.79122079999999995</v>
      </c>
      <c r="N3536">
        <v>0</v>
      </c>
      <c r="O3536">
        <v>-0.61139670000000002</v>
      </c>
      <c r="P3536">
        <v>-0.87291439999999998</v>
      </c>
      <c r="Q3536">
        <v>1.9130769999999998E-2</v>
      </c>
      <c r="R3536">
        <v>-0.487498499999999</v>
      </c>
      <c r="S3536">
        <v>-3.0902859999999999</v>
      </c>
      <c r="T3536">
        <v>-0.28550969999999998</v>
      </c>
      <c r="U3536">
        <v>-0.64363099999999995</v>
      </c>
      <c r="V3536">
        <v>0.14849799999999999</v>
      </c>
      <c r="W3536">
        <v>2.9326350000000001E-2</v>
      </c>
      <c r="X3536">
        <v>0.98847779999999996</v>
      </c>
      <c r="Y3536">
        <v>0.4334095</v>
      </c>
      <c r="Z3536">
        <v>7.1454119999999996E-2</v>
      </c>
      <c r="AA3536">
        <v>0.89835989999999999</v>
      </c>
      <c r="AB3536">
        <v>23</v>
      </c>
      <c r="AC3536">
        <v>-11.772500000000001</v>
      </c>
      <c r="AD3536">
        <v>-1.097885976126</v>
      </c>
      <c r="AE3536">
        <v>-2.39689999999998</v>
      </c>
      <c r="AF3536">
        <v>5.2577174631739299</v>
      </c>
      <c r="AG3536">
        <v>-1.097885976126</v>
      </c>
      <c r="AH3536">
        <v>10.6917000786064</v>
      </c>
      <c r="AI3536">
        <v>95.264755695802606</v>
      </c>
      <c r="AJ3536">
        <v>63.814028337599296</v>
      </c>
      <c r="AK3536">
        <v>11.965007192225601</v>
      </c>
    </row>
    <row r="3537" spans="1:37" x14ac:dyDescent="0.2">
      <c r="A3537" t="str">
        <f>"20200111153504886"</f>
        <v>20200111153504886</v>
      </c>
      <c r="B3537" t="str">
        <f>"1578728104879555"</f>
        <v>1578728104879555</v>
      </c>
      <c r="C3537" t="s">
        <v>37</v>
      </c>
      <c r="D3537">
        <v>5.0036849999999999</v>
      </c>
      <c r="E3537">
        <v>0.6099791</v>
      </c>
      <c r="F3537" t="s">
        <v>39</v>
      </c>
      <c r="G3537">
        <v>-213.83189999999999</v>
      </c>
      <c r="H3537" s="1">
        <v>-3.9325479999999997E-6</v>
      </c>
      <c r="I3537">
        <v>143.52180000000001</v>
      </c>
      <c r="J3537">
        <v>-202.1155</v>
      </c>
      <c r="K3537">
        <v>1.097861</v>
      </c>
      <c r="L3537">
        <v>145.80449999999999</v>
      </c>
      <c r="M3537">
        <v>-0.79693099999999994</v>
      </c>
      <c r="N3537">
        <v>0</v>
      </c>
      <c r="O3537">
        <v>-0.60393479999999999</v>
      </c>
      <c r="P3537">
        <v>-0.87728050000000002</v>
      </c>
      <c r="Q3537">
        <v>1.9271529999999999E-2</v>
      </c>
      <c r="R3537">
        <v>-0.47959099999999999</v>
      </c>
      <c r="S3537">
        <v>-3.094147</v>
      </c>
      <c r="T3537">
        <v>-0.28582929999999901</v>
      </c>
      <c r="U3537">
        <v>-0.62469479999999999</v>
      </c>
      <c r="V3537">
        <v>0.14814289999999999</v>
      </c>
      <c r="W3537">
        <v>2.9456949999999999E-2</v>
      </c>
      <c r="X3537">
        <v>0.98852719999999905</v>
      </c>
      <c r="Y3537">
        <v>0.43047759999999902</v>
      </c>
      <c r="Z3537">
        <v>7.0855619999999994E-2</v>
      </c>
      <c r="AA3537">
        <v>0.89981580000000005</v>
      </c>
      <c r="AB3537">
        <v>23</v>
      </c>
      <c r="AC3537">
        <v>-11.716399999999901</v>
      </c>
      <c r="AD3537">
        <v>-1.0978649325480001</v>
      </c>
      <c r="AE3537">
        <v>-2.28269999999997</v>
      </c>
      <c r="AF3537">
        <v>5.2131188883930397</v>
      </c>
      <c r="AG3537">
        <v>-1.0978649325480001</v>
      </c>
      <c r="AH3537">
        <v>10.626747918279699</v>
      </c>
      <c r="AI3537">
        <v>95.299134066382706</v>
      </c>
      <c r="AJ3537">
        <v>63.869011327372696</v>
      </c>
      <c r="AK3537">
        <v>11.8873751212495</v>
      </c>
    </row>
    <row r="3538" spans="1:37" x14ac:dyDescent="0.2">
      <c r="A3538" t="str">
        <f>"20200111153504900"</f>
        <v>20200111153504900</v>
      </c>
      <c r="B3538" t="str">
        <f>"1578728104889315"</f>
        <v>1578728104889315</v>
      </c>
      <c r="C3538" t="s">
        <v>37</v>
      </c>
      <c r="D3538">
        <v>4.982246</v>
      </c>
      <c r="E3538">
        <v>0.61019029999999996</v>
      </c>
      <c r="F3538" t="s">
        <v>39</v>
      </c>
      <c r="G3538">
        <v>-211.53799999999899</v>
      </c>
      <c r="H3538" s="1">
        <v>-4.8466999999999997E-6</v>
      </c>
      <c r="I3538">
        <v>143.70939999999999</v>
      </c>
      <c r="J3538">
        <v>-202.2302</v>
      </c>
      <c r="K3538">
        <v>1.0978479999999999</v>
      </c>
      <c r="L3538">
        <v>145.726</v>
      </c>
      <c r="M3538">
        <v>-0.80076999999999998</v>
      </c>
      <c r="N3538">
        <v>0</v>
      </c>
      <c r="O3538">
        <v>-0.59883529999999996</v>
      </c>
      <c r="P3538">
        <v>-0.88019519999999996</v>
      </c>
      <c r="Q3538">
        <v>1.923602E-2</v>
      </c>
      <c r="R3538">
        <v>-0.47422189999999997</v>
      </c>
      <c r="S3538">
        <v>-3.056</v>
      </c>
      <c r="T3538">
        <v>-0.35607040000000001</v>
      </c>
      <c r="U3538">
        <v>-0.67950440000000001</v>
      </c>
      <c r="V3538">
        <v>0.14787320000000001</v>
      </c>
      <c r="W3538">
        <v>2.9415960000000001E-2</v>
      </c>
      <c r="X3538">
        <v>0.98856880000000003</v>
      </c>
      <c r="Y3538">
        <v>0.40494039999999998</v>
      </c>
      <c r="Z3538">
        <v>8.7060540000000006E-2</v>
      </c>
      <c r="AA3538">
        <v>0.91018889999999997</v>
      </c>
      <c r="AB3538">
        <v>23</v>
      </c>
      <c r="AC3538">
        <v>-9.3077999999999808</v>
      </c>
      <c r="AD3538">
        <v>-1.0978528466999999</v>
      </c>
      <c r="AE3538">
        <v>-2.0166000000000102</v>
      </c>
      <c r="AF3538">
        <v>3.90740734664208</v>
      </c>
      <c r="AG3538">
        <v>-1.0978528466999999</v>
      </c>
      <c r="AH3538">
        <v>8.5481362762693607</v>
      </c>
      <c r="AI3538">
        <v>96.662362559324507</v>
      </c>
      <c r="AJ3538">
        <v>65.434558987950993</v>
      </c>
      <c r="AK3538">
        <v>9.4627557742589907</v>
      </c>
    </row>
    <row r="3539" spans="1:37" x14ac:dyDescent="0.2">
      <c r="A3539" t="str">
        <f>"20200111153504913"</f>
        <v>20200111153504913</v>
      </c>
      <c r="B3539" t="str">
        <f>"1578728104909811"</f>
        <v>1578728104909811</v>
      </c>
      <c r="C3539" t="s">
        <v>37</v>
      </c>
      <c r="D3539">
        <v>4.9838360000000002</v>
      </c>
      <c r="E3539">
        <v>0.61102780000000001</v>
      </c>
      <c r="F3539" t="s">
        <v>39</v>
      </c>
      <c r="G3539">
        <v>-211.57730000000001</v>
      </c>
      <c r="H3539" s="1">
        <v>-4.8321870000000004E-6</v>
      </c>
      <c r="I3539">
        <v>143.71260000000001</v>
      </c>
      <c r="J3539">
        <v>-202.3493</v>
      </c>
      <c r="K3539">
        <v>1.0978349999999999</v>
      </c>
      <c r="L3539">
        <v>145.64619999999999</v>
      </c>
      <c r="M3539">
        <v>-0.80470419999999998</v>
      </c>
      <c r="N3539">
        <v>0</v>
      </c>
      <c r="O3539">
        <v>-0.59353859999999903</v>
      </c>
      <c r="P3539">
        <v>-0.88329120000000005</v>
      </c>
      <c r="Q3539">
        <v>1.9297749999999999E-2</v>
      </c>
      <c r="R3539">
        <v>-0.46842790000000001</v>
      </c>
      <c r="S3539">
        <v>-3.060959</v>
      </c>
      <c r="T3539">
        <v>-0.35952230000000002</v>
      </c>
      <c r="U3539">
        <v>-0.65936280000000003</v>
      </c>
      <c r="V3539">
        <v>0.14784700000000001</v>
      </c>
      <c r="W3539">
        <v>2.9468390000000001E-2</v>
      </c>
      <c r="X3539">
        <v>0.98857109999999904</v>
      </c>
      <c r="Y3539">
        <v>0.40486490000000003</v>
      </c>
      <c r="Z3539">
        <v>8.7370459999999997E-2</v>
      </c>
      <c r="AA3539">
        <v>0.91019269999999997</v>
      </c>
      <c r="AB3539">
        <v>23</v>
      </c>
      <c r="AC3539">
        <v>-9.2279999999999998</v>
      </c>
      <c r="AD3539">
        <v>-1.097839832187</v>
      </c>
      <c r="AE3539">
        <v>-1.93359999999998</v>
      </c>
      <c r="AF3539">
        <v>3.8690604862127498</v>
      </c>
      <c r="AG3539">
        <v>-1.097839832187</v>
      </c>
      <c r="AH3539">
        <v>8.4594805390270906</v>
      </c>
      <c r="AI3539">
        <v>96.730818443131497</v>
      </c>
      <c r="AJ3539">
        <v>65.422356866253395</v>
      </c>
      <c r="AK3539">
        <v>9.3668400399113896</v>
      </c>
    </row>
    <row r="3540" spans="1:37" x14ac:dyDescent="0.2">
      <c r="A3540" t="str">
        <f>"20200111153504931"</f>
        <v>20200111153504931</v>
      </c>
      <c r="B3540" t="str">
        <f>"1578728104919571"</f>
        <v>1578728104919571</v>
      </c>
      <c r="C3540" t="s">
        <v>37</v>
      </c>
      <c r="D3540">
        <v>5.0452969999999997</v>
      </c>
      <c r="E3540">
        <v>0.6102474</v>
      </c>
      <c r="F3540" t="s">
        <v>39</v>
      </c>
      <c r="G3540">
        <v>-212.36170000000001</v>
      </c>
      <c r="H3540" s="1">
        <v>-4.5077449999999998E-6</v>
      </c>
      <c r="I3540">
        <v>143.58160000000001</v>
      </c>
      <c r="J3540">
        <v>-202.50229999999999</v>
      </c>
      <c r="K3540">
        <v>1.0978250000000001</v>
      </c>
      <c r="L3540">
        <v>145.54499999999999</v>
      </c>
      <c r="M3540">
        <v>-0.80969340000000001</v>
      </c>
      <c r="N3540">
        <v>0</v>
      </c>
      <c r="O3540">
        <v>-0.58671430000000002</v>
      </c>
      <c r="P3540">
        <v>-0.88711819999999897</v>
      </c>
      <c r="Q3540">
        <v>1.9133609999999999E-2</v>
      </c>
      <c r="R3540">
        <v>-0.461146099999999</v>
      </c>
      <c r="S3540">
        <v>-3.0682369999999999</v>
      </c>
      <c r="T3540">
        <v>-0.33642519999999998</v>
      </c>
      <c r="U3540">
        <v>-0.63267519999999999</v>
      </c>
      <c r="V3540">
        <v>0.14762149999999999</v>
      </c>
      <c r="W3540">
        <v>2.9297750000000001E-2</v>
      </c>
      <c r="X3540">
        <v>0.98860990000000004</v>
      </c>
      <c r="Y3540">
        <v>0.40594709999999901</v>
      </c>
      <c r="Z3540">
        <v>8.1191579999999999E-2</v>
      </c>
      <c r="AA3540">
        <v>0.91028290000000001</v>
      </c>
      <c r="AB3540">
        <v>23</v>
      </c>
      <c r="AC3540">
        <v>-9.8594000000000204</v>
      </c>
      <c r="AD3540">
        <v>-1.097829507745</v>
      </c>
      <c r="AE3540">
        <v>-1.9633999999999701</v>
      </c>
      <c r="AF3540">
        <v>4.1457997299187799</v>
      </c>
      <c r="AG3540">
        <v>-1.097829507745</v>
      </c>
      <c r="AH3540">
        <v>9.0281247685528498</v>
      </c>
      <c r="AI3540">
        <v>96.305972824601199</v>
      </c>
      <c r="AJ3540">
        <v>65.334968102187503</v>
      </c>
      <c r="AK3540">
        <v>9.9949948406804001</v>
      </c>
    </row>
    <row r="3541" spans="1:37" x14ac:dyDescent="0.2">
      <c r="A3541" t="str">
        <f>"20200111153504952"</f>
        <v>20200111153504952</v>
      </c>
      <c r="B3541" t="str">
        <f>"1578728104949830"</f>
        <v>1578728104949830</v>
      </c>
      <c r="C3541" t="s">
        <v>37</v>
      </c>
      <c r="D3541">
        <v>5.0230839999999999</v>
      </c>
      <c r="E3541">
        <v>0.61181430000000003</v>
      </c>
      <c r="F3541" t="s">
        <v>39</v>
      </c>
      <c r="G3541">
        <v>-212.3212</v>
      </c>
      <c r="H3541" s="1">
        <v>-4.523755E-6</v>
      </c>
      <c r="I3541">
        <v>143.58420000000001</v>
      </c>
      <c r="J3541">
        <v>-202.70099999999999</v>
      </c>
      <c r="K3541">
        <v>1.097812</v>
      </c>
      <c r="L3541">
        <v>145.41630000000001</v>
      </c>
      <c r="M3541">
        <v>-0.81605810000000001</v>
      </c>
      <c r="N3541">
        <v>0</v>
      </c>
      <c r="O3541">
        <v>-0.57782909999999998</v>
      </c>
      <c r="P3541">
        <v>-0.89198319999999998</v>
      </c>
      <c r="Q3541">
        <v>1.9114510000000001E-2</v>
      </c>
      <c r="R3541">
        <v>-0.45166489999999998</v>
      </c>
      <c r="S3541">
        <v>-3.0704039999999999</v>
      </c>
      <c r="T3541">
        <v>-0.34329399999999999</v>
      </c>
      <c r="U3541">
        <v>-0.61315920000000002</v>
      </c>
      <c r="V3541">
        <v>0.14735299999999901</v>
      </c>
      <c r="W3541">
        <v>2.9272010000000001E-2</v>
      </c>
      <c r="X3541">
        <v>0.98865069999999999</v>
      </c>
      <c r="Y3541">
        <v>0.40150279999999999</v>
      </c>
      <c r="Z3541">
        <v>8.1836399999999906E-2</v>
      </c>
      <c r="AA3541">
        <v>0.91219419999999996</v>
      </c>
      <c r="AB3541">
        <v>23</v>
      </c>
      <c r="AC3541">
        <v>-9.6202000000000094</v>
      </c>
      <c r="AD3541">
        <v>-1.0978165237549999</v>
      </c>
      <c r="AE3541">
        <v>-1.8320999999999901</v>
      </c>
      <c r="AF3541">
        <v>4.0136243521141397</v>
      </c>
      <c r="AG3541">
        <v>-1.0978165237549999</v>
      </c>
      <c r="AH3541">
        <v>8.7994285165002193</v>
      </c>
      <c r="AI3541">
        <v>96.475910909107299</v>
      </c>
      <c r="AJ3541">
        <v>65.481166114953496</v>
      </c>
      <c r="AK3541">
        <v>9.7336695945933194</v>
      </c>
    </row>
    <row r="3542" spans="1:37" x14ac:dyDescent="0.2">
      <c r="A3542" t="str">
        <f>"20200111153504966"</f>
        <v>20200111153504966</v>
      </c>
      <c r="B3542" t="str">
        <f>"1578728104959591"</f>
        <v>1578728104959591</v>
      </c>
      <c r="C3542" t="s">
        <v>37</v>
      </c>
      <c r="D3542">
        <v>4.9963239999999898</v>
      </c>
      <c r="E3542">
        <v>0.61111579999999999</v>
      </c>
      <c r="F3542" t="s">
        <v>39</v>
      </c>
      <c r="G3542">
        <v>-213.12129999999999</v>
      </c>
      <c r="H3542" s="1">
        <v>-4.2002239999999999E-6</v>
      </c>
      <c r="I3542">
        <v>143.49250000000001</v>
      </c>
      <c r="J3542">
        <v>-202.8201</v>
      </c>
      <c r="K3542">
        <v>1.097807</v>
      </c>
      <c r="L3542">
        <v>145.3407</v>
      </c>
      <c r="M3542">
        <v>-0.81980330000000001</v>
      </c>
      <c r="N3542">
        <v>0</v>
      </c>
      <c r="O3542">
        <v>-0.57250299999999998</v>
      </c>
      <c r="P3542">
        <v>-0.89483999999999997</v>
      </c>
      <c r="Q3542">
        <v>1.9013929999999998E-2</v>
      </c>
      <c r="R3542">
        <v>-0.4459824</v>
      </c>
      <c r="S3542">
        <v>-3.0821230000000002</v>
      </c>
      <c r="T3542">
        <v>-0.32471329999999998</v>
      </c>
      <c r="U3542">
        <v>-0.56901550000000001</v>
      </c>
      <c r="V3542">
        <v>0.14720320000000001</v>
      </c>
      <c r="W3542">
        <v>2.9168110000000001E-2</v>
      </c>
      <c r="X3542">
        <v>0.98867609999999995</v>
      </c>
      <c r="Y3542">
        <v>0.40936600000000001</v>
      </c>
      <c r="Z3542">
        <v>7.7270580000000005E-2</v>
      </c>
      <c r="AA3542">
        <v>0.90909219999999902</v>
      </c>
      <c r="AB3542">
        <v>23</v>
      </c>
      <c r="AC3542">
        <v>-10.3011999999999</v>
      </c>
      <c r="AD3542">
        <v>-1.0978112002239999</v>
      </c>
      <c r="AE3542">
        <v>-1.8481999999999901</v>
      </c>
      <c r="AF3542">
        <v>4.3349657460241398</v>
      </c>
      <c r="AG3542">
        <v>-1.0978112002239999</v>
      </c>
      <c r="AH3542">
        <v>9.4003970649232507</v>
      </c>
      <c r="AI3542">
        <v>96.053616731978494</v>
      </c>
      <c r="AJ3542">
        <v>65.243348285626496</v>
      </c>
      <c r="AK3542">
        <v>10.409831047080299</v>
      </c>
    </row>
    <row r="3543" spans="1:37" x14ac:dyDescent="0.2">
      <c r="A3543" t="str">
        <f>"20200111153504981"</f>
        <v>20200111153504981</v>
      </c>
      <c r="B3543" t="str">
        <f>"1578728104969351"</f>
        <v>1578728104969351</v>
      </c>
      <c r="C3543" t="s">
        <v>37</v>
      </c>
      <c r="D3543">
        <v>5.0134339999999904</v>
      </c>
      <c r="E3543">
        <v>0.61028789999999999</v>
      </c>
      <c r="F3543" t="s">
        <v>39</v>
      </c>
      <c r="G3543">
        <v>-213.09889999999999</v>
      </c>
      <c r="H3543" s="1">
        <v>-4.2087689999999996E-6</v>
      </c>
      <c r="I3543">
        <v>143.4922</v>
      </c>
      <c r="J3543">
        <v>-202.95179999999999</v>
      </c>
      <c r="K3543">
        <v>1.0978030000000001</v>
      </c>
      <c r="L3543">
        <v>145.25819999999999</v>
      </c>
      <c r="M3543">
        <v>-0.8238915</v>
      </c>
      <c r="N3543">
        <v>0</v>
      </c>
      <c r="O3543">
        <v>-0.56660379999999999</v>
      </c>
      <c r="P3543">
        <v>-0.89784120000000001</v>
      </c>
      <c r="Q3543">
        <v>1.9030080000000001E-2</v>
      </c>
      <c r="R3543">
        <v>-0.43990779999999902</v>
      </c>
      <c r="S3543">
        <v>-3.0831909999999998</v>
      </c>
      <c r="T3543">
        <v>-0.329295</v>
      </c>
      <c r="U3543">
        <v>-0.55447389999999996</v>
      </c>
      <c r="V3543">
        <v>0.14680660000000001</v>
      </c>
      <c r="W3543">
        <v>2.9186219999999999E-2</v>
      </c>
      <c r="X3543">
        <v>0.98873449999999996</v>
      </c>
      <c r="Y3543">
        <v>0.40693049999999997</v>
      </c>
      <c r="Z3543">
        <v>7.7747040000000003E-2</v>
      </c>
      <c r="AA3543">
        <v>0.91014439999999996</v>
      </c>
      <c r="AB3543">
        <v>23</v>
      </c>
      <c r="AC3543">
        <v>-10.147099999999901</v>
      </c>
      <c r="AD3543">
        <v>-1.0978072087690001</v>
      </c>
      <c r="AE3543">
        <v>-1.76599999999999</v>
      </c>
      <c r="AF3543">
        <v>4.2464992943526303</v>
      </c>
      <c r="AG3543">
        <v>-1.0978072087690001</v>
      </c>
      <c r="AH3543">
        <v>9.2563350618830693</v>
      </c>
      <c r="AI3543">
        <v>96.152609551213004</v>
      </c>
      <c r="AJ3543">
        <v>65.355913898228096</v>
      </c>
      <c r="AK3543">
        <v>10.242932963873599</v>
      </c>
    </row>
    <row r="3544" spans="1:37" x14ac:dyDescent="0.2">
      <c r="A3544" t="str">
        <f>"20200111153504997"</f>
        <v>20200111153504997</v>
      </c>
      <c r="B3544" t="str">
        <f>"1578728104989849"</f>
        <v>1578728104989849</v>
      </c>
      <c r="C3544" t="s">
        <v>37</v>
      </c>
      <c r="D3544">
        <v>5.0270779999999897</v>
      </c>
      <c r="E3544">
        <v>0.60917189999999999</v>
      </c>
      <c r="F3544" t="s">
        <v>39</v>
      </c>
      <c r="G3544">
        <v>-213.0804</v>
      </c>
      <c r="H3544" s="1">
        <v>-4.2149250000000001E-6</v>
      </c>
      <c r="I3544">
        <v>143.48679999999999</v>
      </c>
      <c r="J3544">
        <v>-203.11</v>
      </c>
      <c r="K3544">
        <v>1.0977939999999999</v>
      </c>
      <c r="L3544">
        <v>145.1609</v>
      </c>
      <c r="M3544">
        <v>-0.8287215</v>
      </c>
      <c r="N3544">
        <v>0</v>
      </c>
      <c r="O3544">
        <v>-0.55951609999999996</v>
      </c>
      <c r="P3544">
        <v>-0.90122150000000001</v>
      </c>
      <c r="Q3544">
        <v>1.893456E-2</v>
      </c>
      <c r="R3544">
        <v>-0.43294549999999998</v>
      </c>
      <c r="S3544">
        <v>-3.0841669999999999</v>
      </c>
      <c r="T3544">
        <v>-0.334283099999999</v>
      </c>
      <c r="U3544">
        <v>-0.5393829</v>
      </c>
      <c r="V3544">
        <v>0.145978</v>
      </c>
      <c r="W3544">
        <v>2.910043E-2</v>
      </c>
      <c r="X3544">
        <v>0.98885970000000001</v>
      </c>
      <c r="Y3544">
        <v>0.4033698</v>
      </c>
      <c r="Z3544">
        <v>7.8135910000000003E-2</v>
      </c>
      <c r="AA3544">
        <v>0.91169489999999997</v>
      </c>
      <c r="AB3544">
        <v>23</v>
      </c>
      <c r="AC3544">
        <v>-9.9703999999999802</v>
      </c>
      <c r="AD3544">
        <v>-1.0977982149250001</v>
      </c>
      <c r="AE3544">
        <v>-1.6741000000000099</v>
      </c>
      <c r="AF3544">
        <v>4.1427307085329703</v>
      </c>
      <c r="AG3544">
        <v>-1.0977982149250001</v>
      </c>
      <c r="AH3544">
        <v>9.0929047391287892</v>
      </c>
      <c r="AI3544">
        <v>96.269714025621496</v>
      </c>
      <c r="AJ3544">
        <v>65.505972907159304</v>
      </c>
      <c r="AK3544">
        <v>10.0522781119</v>
      </c>
    </row>
    <row r="3545" spans="1:37" x14ac:dyDescent="0.2">
      <c r="A3545" t="str">
        <f>"20200111153505011"</f>
        <v>20200111153505011</v>
      </c>
      <c r="B3545" t="str">
        <f>"1578728105009366"</f>
        <v>1578728105009366</v>
      </c>
      <c r="C3545" t="s">
        <v>37</v>
      </c>
      <c r="D3545">
        <v>5.0214470000000002</v>
      </c>
      <c r="E3545">
        <v>0.60823769999999999</v>
      </c>
      <c r="F3545" t="s">
        <v>39</v>
      </c>
      <c r="G3545">
        <v>-213.05619999999999</v>
      </c>
      <c r="H3545" s="1">
        <v>-4.2218110000000001E-6</v>
      </c>
      <c r="I3545">
        <v>143.47319999999999</v>
      </c>
      <c r="J3545">
        <v>-203.22919999999999</v>
      </c>
      <c r="K3545">
        <v>1.097793</v>
      </c>
      <c r="L3545">
        <v>145.0891</v>
      </c>
      <c r="M3545">
        <v>-0.8323007</v>
      </c>
      <c r="N3545">
        <v>0</v>
      </c>
      <c r="O3545">
        <v>-0.55417780000000005</v>
      </c>
      <c r="P3545">
        <v>-0.90381809999999996</v>
      </c>
      <c r="Q3545">
        <v>1.873025E-2</v>
      </c>
      <c r="R3545">
        <v>-0.42750699999999903</v>
      </c>
      <c r="S3545">
        <v>-3.0845340000000001</v>
      </c>
      <c r="T3545">
        <v>-0.34044990000000003</v>
      </c>
      <c r="U3545">
        <v>-0.52337650000000002</v>
      </c>
      <c r="V3545">
        <v>0.14557929999999999</v>
      </c>
      <c r="W3545">
        <v>2.8900240000000001E-2</v>
      </c>
      <c r="X3545">
        <v>0.98892440000000004</v>
      </c>
      <c r="Y3545">
        <v>0.40194980000000002</v>
      </c>
      <c r="Z3545">
        <v>7.9058400000000001E-2</v>
      </c>
      <c r="AA3545">
        <v>0.91224240000000001</v>
      </c>
      <c r="AB3545">
        <v>23</v>
      </c>
      <c r="AC3545">
        <v>-9.8269999999999893</v>
      </c>
      <c r="AD3545">
        <v>-1.0977972218109999</v>
      </c>
      <c r="AE3545">
        <v>-1.6159000000000101</v>
      </c>
      <c r="AF3545">
        <v>4.0520865098785501</v>
      </c>
      <c r="AG3545">
        <v>-1.0977972218109999</v>
      </c>
      <c r="AH3545">
        <v>8.9663019212135993</v>
      </c>
      <c r="AI3545">
        <v>96.366244595665805</v>
      </c>
      <c r="AJ3545">
        <v>65.680650227133896</v>
      </c>
      <c r="AK3545">
        <v>9.9004613006725197</v>
      </c>
    </row>
    <row r="3546" spans="1:37" x14ac:dyDescent="0.2">
      <c r="A3546" t="str">
        <f>"20200111153505025"</f>
        <v>20200111153505025</v>
      </c>
      <c r="B3546" t="str">
        <f>"1578728105019126"</f>
        <v>1578728105019126</v>
      </c>
      <c r="C3546" t="s">
        <v>37</v>
      </c>
      <c r="D3546">
        <v>5.0010899999999996</v>
      </c>
      <c r="E3546">
        <v>0.60784629999999995</v>
      </c>
      <c r="F3546" t="s">
        <v>39</v>
      </c>
      <c r="G3546">
        <v>-213.1618</v>
      </c>
      <c r="H3546" s="1">
        <v>-4.1758860000000002E-6</v>
      </c>
      <c r="I3546">
        <v>143.44290000000001</v>
      </c>
      <c r="J3546">
        <v>-203.3578</v>
      </c>
      <c r="K3546">
        <v>1.0977920000000001</v>
      </c>
      <c r="L3546">
        <v>145.01249999999999</v>
      </c>
      <c r="M3546">
        <v>-0.83611119999999906</v>
      </c>
      <c r="N3546">
        <v>0</v>
      </c>
      <c r="O3546">
        <v>-0.54841200000000001</v>
      </c>
      <c r="P3546">
        <v>-0.90665529999999905</v>
      </c>
      <c r="Q3546">
        <v>1.859893E-2</v>
      </c>
      <c r="R3546">
        <v>-0.42146239999999902</v>
      </c>
      <c r="S3546">
        <v>-3.08450299999999</v>
      </c>
      <c r="T3546">
        <v>-0.34091259999999901</v>
      </c>
      <c r="U3546">
        <v>-0.51119999999999999</v>
      </c>
      <c r="V3546">
        <v>0.14534659999999999</v>
      </c>
      <c r="W3546">
        <v>2.877012E-2</v>
      </c>
      <c r="X3546">
        <v>0.98896240000000002</v>
      </c>
      <c r="Y3546">
        <v>0.39915459999999903</v>
      </c>
      <c r="Z3546">
        <v>7.8533019999999995E-2</v>
      </c>
      <c r="AA3546">
        <v>0.91351419999999905</v>
      </c>
      <c r="AB3546">
        <v>23</v>
      </c>
      <c r="AC3546">
        <v>-9.8040000000000003</v>
      </c>
      <c r="AD3546">
        <v>-1.097796175886</v>
      </c>
      <c r="AE3546">
        <v>-1.5695999999999799</v>
      </c>
      <c r="AF3546">
        <v>4.0155117893158803</v>
      </c>
      <c r="AG3546">
        <v>-1.097796175886</v>
      </c>
      <c r="AH3546">
        <v>8.9493520173957304</v>
      </c>
      <c r="AI3546">
        <v>96.385852995647994</v>
      </c>
      <c r="AJ3546">
        <v>65.834559061556703</v>
      </c>
      <c r="AK3546">
        <v>9.8701769439655802</v>
      </c>
    </row>
    <row r="3547" spans="1:37" x14ac:dyDescent="0.2">
      <c r="A3547" t="str">
        <f>"20200111153505043"</f>
        <v>20200111153505043</v>
      </c>
      <c r="B3547" t="str">
        <f>"1578728105039622"</f>
        <v>1578728105039622</v>
      </c>
      <c r="C3547" t="s">
        <v>37</v>
      </c>
      <c r="D3547">
        <v>5.0226649999999999</v>
      </c>
      <c r="E3547">
        <v>0.60677460000000005</v>
      </c>
      <c r="F3547" t="s">
        <v>39</v>
      </c>
      <c r="G3547">
        <v>-213.2646</v>
      </c>
      <c r="H3547" s="1">
        <v>-4.1339200000000001E-6</v>
      </c>
      <c r="I3547">
        <v>143.4289</v>
      </c>
      <c r="J3547">
        <v>-203.52170000000001</v>
      </c>
      <c r="K3547">
        <v>1.0977969999999999</v>
      </c>
      <c r="L3547">
        <v>144.91659999999999</v>
      </c>
      <c r="M3547">
        <v>-0.84088830000000003</v>
      </c>
      <c r="N3547">
        <v>0</v>
      </c>
      <c r="O3547">
        <v>-0.54105879999999995</v>
      </c>
      <c r="P3547">
        <v>-0.91002209999999994</v>
      </c>
      <c r="Q3547">
        <v>1.8387239999999999E-2</v>
      </c>
      <c r="R3547">
        <v>-0.41415190000000002</v>
      </c>
      <c r="S3547">
        <v>-3.0865629999999999</v>
      </c>
      <c r="T3547">
        <v>-0.342028</v>
      </c>
      <c r="U3547">
        <v>-0.49337769999999997</v>
      </c>
      <c r="V3547">
        <v>0.14463199999999901</v>
      </c>
      <c r="W3547">
        <v>2.8567550000000001E-2</v>
      </c>
      <c r="X3547">
        <v>0.98907299999999998</v>
      </c>
      <c r="Y3547">
        <v>0.39637929999999999</v>
      </c>
      <c r="Z3547">
        <v>7.7972150000000004E-2</v>
      </c>
      <c r="AA3547">
        <v>0.91476979999999997</v>
      </c>
      <c r="AB3547">
        <v>23</v>
      </c>
      <c r="AC3547">
        <v>-9.7428999999999899</v>
      </c>
      <c r="AD3547">
        <v>-1.09780113392</v>
      </c>
      <c r="AE3547">
        <v>-1.48769999999998</v>
      </c>
      <c r="AF3547">
        <v>3.9715441419214699</v>
      </c>
      <c r="AG3547">
        <v>-1.09780113392</v>
      </c>
      <c r="AH3547">
        <v>8.88808080578786</v>
      </c>
      <c r="AI3547">
        <v>96.433945773426601</v>
      </c>
      <c r="AJ3547">
        <v>65.923029427049997</v>
      </c>
      <c r="AK3547">
        <v>9.7967500024794703</v>
      </c>
    </row>
    <row r="3548" spans="1:37" x14ac:dyDescent="0.2">
      <c r="A3548" t="str">
        <f>"20200111153505064"</f>
        <v>20200111153505064</v>
      </c>
      <c r="B3548" t="str">
        <f>"1578728105059143"</f>
        <v>1578728105059143</v>
      </c>
      <c r="C3548" t="s">
        <v>37</v>
      </c>
      <c r="D3548">
        <v>5.0833899999999996</v>
      </c>
      <c r="E3548">
        <v>0.60582579999999997</v>
      </c>
      <c r="F3548" t="s">
        <v>39</v>
      </c>
      <c r="G3548">
        <v>-213.2561</v>
      </c>
      <c r="H3548" s="1">
        <v>-4.1346960000000003E-6</v>
      </c>
      <c r="I3548">
        <v>143.41480000000001</v>
      </c>
      <c r="J3548">
        <v>-203.71860000000001</v>
      </c>
      <c r="K3548">
        <v>1.097799</v>
      </c>
      <c r="L3548">
        <v>144.804</v>
      </c>
      <c r="M3548">
        <v>-0.84650609999999904</v>
      </c>
      <c r="N3548">
        <v>0</v>
      </c>
      <c r="O3548">
        <v>-0.53222659999999999</v>
      </c>
      <c r="P3548">
        <v>-0.91407399999999905</v>
      </c>
      <c r="Q3548">
        <v>1.8423249999999999E-2</v>
      </c>
      <c r="R3548">
        <v>-0.40512919999999902</v>
      </c>
      <c r="S3548">
        <v>-3.0869140000000002</v>
      </c>
      <c r="T3548">
        <v>-0.34812870000000001</v>
      </c>
      <c r="U3548">
        <v>-0.476242099999999</v>
      </c>
      <c r="V3548">
        <v>0.14406269999999999</v>
      </c>
      <c r="W3548">
        <v>2.8610440000000001E-2</v>
      </c>
      <c r="X3548">
        <v>0.98915489999999995</v>
      </c>
      <c r="Y3548">
        <v>0.39163120000000001</v>
      </c>
      <c r="Z3548">
        <v>7.8308020000000006E-2</v>
      </c>
      <c r="AA3548">
        <v>0.91678389999999998</v>
      </c>
      <c r="AB3548">
        <v>23</v>
      </c>
      <c r="AC3548">
        <v>-9.5374999999999908</v>
      </c>
      <c r="AD3548">
        <v>-1.097803134696</v>
      </c>
      <c r="AE3548">
        <v>-1.38919999999998</v>
      </c>
      <c r="AF3548">
        <v>3.8505062651561399</v>
      </c>
      <c r="AG3548">
        <v>-1.097803134696</v>
      </c>
      <c r="AH3548">
        <v>8.7007556537510595</v>
      </c>
      <c r="AI3548">
        <v>96.581665018917903</v>
      </c>
      <c r="AJ3548">
        <v>66.128286692449905</v>
      </c>
      <c r="AK3548">
        <v>9.5778243441209607</v>
      </c>
    </row>
    <row r="3549" spans="1:37" x14ac:dyDescent="0.2">
      <c r="A3549" t="str">
        <f>"20200111153505078"</f>
        <v>20200111153505078</v>
      </c>
      <c r="B3549" t="str">
        <f>"1578728105069879"</f>
        <v>1578728105069879</v>
      </c>
      <c r="C3549" t="s">
        <v>37</v>
      </c>
      <c r="D3549">
        <v>5.0413030000000001</v>
      </c>
      <c r="E3549">
        <v>0.60520390000000002</v>
      </c>
      <c r="F3549" t="s">
        <v>39</v>
      </c>
      <c r="G3549">
        <v>-213.3219</v>
      </c>
      <c r="H3549" s="1">
        <v>-4.1062520000000003E-6</v>
      </c>
      <c r="I3549">
        <v>143.39699999999999</v>
      </c>
      <c r="J3549">
        <v>-203.84639999999999</v>
      </c>
      <c r="K3549">
        <v>1.0978000000000001</v>
      </c>
      <c r="L3549">
        <v>144.73220000000001</v>
      </c>
      <c r="M3549">
        <v>-0.85008689999999998</v>
      </c>
      <c r="N3549">
        <v>0</v>
      </c>
      <c r="O3549">
        <v>-0.52648879999999998</v>
      </c>
      <c r="P3549">
        <v>-0.9166434</v>
      </c>
      <c r="Q3549">
        <v>1.856758E-2</v>
      </c>
      <c r="R3549">
        <v>-0.39927499999999999</v>
      </c>
      <c r="S3549">
        <v>-3.0885769999999999</v>
      </c>
      <c r="T3549">
        <v>-0.35307119999999997</v>
      </c>
      <c r="U3549">
        <v>-0.45251459999999999</v>
      </c>
      <c r="V3549">
        <v>0.14369870000000001</v>
      </c>
      <c r="W3549">
        <v>2.8758679999999998E-2</v>
      </c>
      <c r="X3549">
        <v>0.98920350000000001</v>
      </c>
      <c r="Y3549">
        <v>0.39224920000000002</v>
      </c>
      <c r="Z3549">
        <v>7.8930559999999997E-2</v>
      </c>
      <c r="AA3549">
        <v>0.91646629999999996</v>
      </c>
      <c r="AB3549">
        <v>23</v>
      </c>
      <c r="AC3549">
        <v>-9.4755000000000091</v>
      </c>
      <c r="AD3549">
        <v>-1.0978041062520001</v>
      </c>
      <c r="AE3549">
        <v>-1.33519999999998</v>
      </c>
      <c r="AF3549">
        <v>3.80395451802225</v>
      </c>
      <c r="AG3549">
        <v>-1.0978041062520001</v>
      </c>
      <c r="AH3549">
        <v>8.6448947872360993</v>
      </c>
      <c r="AI3549">
        <v>96.629949060802701</v>
      </c>
      <c r="AJ3549">
        <v>66.2493904701535</v>
      </c>
      <c r="AK3549">
        <v>9.50838838674923</v>
      </c>
    </row>
    <row r="3550" spans="1:37" x14ac:dyDescent="0.2">
      <c r="A3550" t="str">
        <f>"20200111153505091"</f>
        <v>20200111153505091</v>
      </c>
      <c r="B3550" t="str">
        <f>"1578728105079638"</f>
        <v>1578728105079638</v>
      </c>
      <c r="C3550" t="s">
        <v>37</v>
      </c>
      <c r="D3550">
        <v>5.023466</v>
      </c>
      <c r="E3550">
        <v>0.60480219999999996</v>
      </c>
      <c r="F3550" t="s">
        <v>39</v>
      </c>
      <c r="G3550">
        <v>-213.39920000000001</v>
      </c>
      <c r="H3550" s="1">
        <v>-4.0736789999999997E-6</v>
      </c>
      <c r="I3550">
        <v>143.38059999999999</v>
      </c>
      <c r="J3550">
        <v>-203.96459999999999</v>
      </c>
      <c r="K3550">
        <v>1.097801</v>
      </c>
      <c r="L3550">
        <v>144.66720000000001</v>
      </c>
      <c r="M3550">
        <v>-0.85334529999999997</v>
      </c>
      <c r="N3550">
        <v>0</v>
      </c>
      <c r="O3550">
        <v>-0.52119059999999995</v>
      </c>
      <c r="P3550">
        <v>-0.91889769999999904</v>
      </c>
      <c r="Q3550">
        <v>1.8777889999999998E-2</v>
      </c>
      <c r="R3550">
        <v>-0.39404879999999998</v>
      </c>
      <c r="S3550">
        <v>-3.0895839999999999</v>
      </c>
      <c r="T3550">
        <v>-0.35505559999999903</v>
      </c>
      <c r="U3550">
        <v>-0.43713379999999902</v>
      </c>
      <c r="V3550">
        <v>0.14317939999999901</v>
      </c>
      <c r="W3550">
        <v>2.8976979999999999E-2</v>
      </c>
      <c r="X3550">
        <v>0.9892725</v>
      </c>
      <c r="Y3550">
        <v>0.39102120000000001</v>
      </c>
      <c r="Z3550">
        <v>7.8809889999999994E-2</v>
      </c>
      <c r="AA3550">
        <v>0.91700130000000002</v>
      </c>
      <c r="AB3550">
        <v>23</v>
      </c>
      <c r="AC3550">
        <v>-9.4346000000000103</v>
      </c>
      <c r="AD3550">
        <v>-1.0978050736789999</v>
      </c>
      <c r="AE3550">
        <v>-1.2866000000000199</v>
      </c>
      <c r="AF3550">
        <v>3.7695148360794599</v>
      </c>
      <c r="AG3550">
        <v>-1.0978050736789999</v>
      </c>
      <c r="AH3550">
        <v>8.6078245586874491</v>
      </c>
      <c r="AI3550">
        <v>96.663367848175497</v>
      </c>
      <c r="AJ3550">
        <v>66.350559552185302</v>
      </c>
      <c r="AK3550">
        <v>9.4609228784702299</v>
      </c>
    </row>
    <row r="3551" spans="1:37" x14ac:dyDescent="0.2">
      <c r="A3551" t="str">
        <f>"20200111153505109"</f>
        <v>20200111153505109</v>
      </c>
      <c r="B3551" t="str">
        <f>"1578728105099158"</f>
        <v>1578728105099158</v>
      </c>
      <c r="C3551" t="s">
        <v>37</v>
      </c>
      <c r="D3551">
        <v>4.9143819999999998</v>
      </c>
      <c r="E3551">
        <v>0.61571690000000001</v>
      </c>
      <c r="F3551" t="s">
        <v>39</v>
      </c>
      <c r="G3551">
        <v>-213.5016</v>
      </c>
      <c r="H3551" s="1">
        <v>-4.0313479999999902E-6</v>
      </c>
      <c r="I3551">
        <v>143.3638</v>
      </c>
      <c r="J3551">
        <v>-204.1387</v>
      </c>
      <c r="K3551">
        <v>1.097804</v>
      </c>
      <c r="L3551">
        <v>144.5729</v>
      </c>
      <c r="M3551">
        <v>-0.85806740000000004</v>
      </c>
      <c r="N3551">
        <v>0</v>
      </c>
      <c r="O3551">
        <v>-0.51337940000000004</v>
      </c>
      <c r="P3551">
        <v>-0.92182450000000005</v>
      </c>
      <c r="Q3551">
        <v>1.8502439999999998E-2</v>
      </c>
      <c r="R3551">
        <v>-0.3871658</v>
      </c>
      <c r="S3551">
        <v>-3.090881</v>
      </c>
      <c r="T3551">
        <v>-0.3557902</v>
      </c>
      <c r="U3551">
        <v>-0.42242429999999997</v>
      </c>
      <c r="V3551">
        <v>0.141545</v>
      </c>
      <c r="W3551">
        <v>2.87295999999999E-2</v>
      </c>
      <c r="X3551">
        <v>0.98951480000000003</v>
      </c>
      <c r="Y3551">
        <v>0.38700869999999998</v>
      </c>
      <c r="Z3551">
        <v>7.7991920000000006E-2</v>
      </c>
      <c r="AA3551">
        <v>0.91877169999999897</v>
      </c>
      <c r="AB3551">
        <v>23</v>
      </c>
      <c r="AC3551">
        <v>-9.3628999999999891</v>
      </c>
      <c r="AD3551">
        <v>-1.0978080313480001</v>
      </c>
      <c r="AE3551">
        <v>-1.2091000000000001</v>
      </c>
      <c r="AF3551">
        <v>3.7192433271577299</v>
      </c>
      <c r="AG3551">
        <v>-1.0978080313480001</v>
      </c>
      <c r="AH3551">
        <v>8.5399477106668904</v>
      </c>
      <c r="AI3551">
        <v>96.721740085213796</v>
      </c>
      <c r="AJ3551">
        <v>66.466332682881699</v>
      </c>
      <c r="AK3551">
        <v>9.3791609593408793</v>
      </c>
    </row>
    <row r="3552" spans="1:37" x14ac:dyDescent="0.2">
      <c r="A3552" t="str">
        <f>"20200111153505140"</f>
        <v>20200111153505140</v>
      </c>
      <c r="B3552" t="str">
        <f>"1578728105129414"</f>
        <v>1578728105129414</v>
      </c>
      <c r="C3552" t="s">
        <v>37</v>
      </c>
      <c r="D3552">
        <v>4.871327</v>
      </c>
      <c r="E3552">
        <v>0.61487689999999995</v>
      </c>
      <c r="F3552" t="s">
        <v>39</v>
      </c>
      <c r="G3552">
        <v>-226.3236</v>
      </c>
      <c r="H3552" s="1">
        <v>-2.2835889999999999E-6</v>
      </c>
      <c r="I3552">
        <v>142.33779999999999</v>
      </c>
      <c r="J3552">
        <v>-204.4136</v>
      </c>
      <c r="K3552">
        <v>1.097801</v>
      </c>
      <c r="L3552">
        <v>144.42779999999999</v>
      </c>
      <c r="M3552">
        <v>-0.86533470000000001</v>
      </c>
      <c r="N3552">
        <v>0</v>
      </c>
      <c r="O3552">
        <v>-0.50103310000000001</v>
      </c>
      <c r="P3552">
        <v>-0.92686179999999996</v>
      </c>
      <c r="Q3552">
        <v>1.912873E-2</v>
      </c>
      <c r="R3552">
        <v>-0.37491599999999897</v>
      </c>
      <c r="S3552">
        <v>-3.1252749999999998</v>
      </c>
      <c r="T3552">
        <v>-0.15465229999999999</v>
      </c>
      <c r="U3552">
        <v>-0.31486510000000001</v>
      </c>
      <c r="V3552">
        <v>0.14048459999999999</v>
      </c>
      <c r="W3552">
        <v>2.937211E-2</v>
      </c>
      <c r="X3552">
        <v>0.9896471</v>
      </c>
      <c r="Y3552">
        <v>0.41075400000000001</v>
      </c>
      <c r="Z3552">
        <v>3.3804010000000002E-2</v>
      </c>
      <c r="AA3552">
        <v>0.91111929999999997</v>
      </c>
      <c r="AB3552">
        <v>23</v>
      </c>
      <c r="AC3552">
        <v>-21.91</v>
      </c>
      <c r="AD3552">
        <v>-1.0978032835889999</v>
      </c>
      <c r="AE3552">
        <v>-2.09</v>
      </c>
      <c r="AF3552">
        <v>9.1470701976799305</v>
      </c>
      <c r="AG3552">
        <v>-1.0978032835889999</v>
      </c>
      <c r="AH3552">
        <v>19.958605360710301</v>
      </c>
      <c r="AI3552">
        <v>92.862565288188406</v>
      </c>
      <c r="AJ3552">
        <v>65.377915413694097</v>
      </c>
      <c r="AK3552">
        <v>21.982265424548899</v>
      </c>
    </row>
    <row r="3553" spans="1:37" x14ac:dyDescent="0.2">
      <c r="A3553" t="str">
        <f>"20200111153505154"</f>
        <v>20200111153505154</v>
      </c>
      <c r="B3553" t="str">
        <f>"1578728105149910"</f>
        <v>1578728105149910</v>
      </c>
      <c r="C3553" t="s">
        <v>37</v>
      </c>
      <c r="D3553">
        <v>4.8759050000000004</v>
      </c>
      <c r="E3553">
        <v>0.61450850000000001</v>
      </c>
      <c r="F3553" t="s">
        <v>39</v>
      </c>
      <c r="G3553">
        <v>-225.95570000000001</v>
      </c>
      <c r="H3553" s="1">
        <v>-2.4845859999999999E-6</v>
      </c>
      <c r="I3553">
        <v>142.5</v>
      </c>
      <c r="J3553">
        <v>-204.56099999999901</v>
      </c>
      <c r="K3553">
        <v>1.0978019999999999</v>
      </c>
      <c r="L3553">
        <v>144.35230000000001</v>
      </c>
      <c r="M3553">
        <v>-0.86913499999999999</v>
      </c>
      <c r="N3553">
        <v>0</v>
      </c>
      <c r="O3553">
        <v>-0.4944115</v>
      </c>
      <c r="P3553">
        <v>-0.92936939999999901</v>
      </c>
      <c r="Q3553">
        <v>1.9140230000000001E-2</v>
      </c>
      <c r="R3553">
        <v>-0.3686548</v>
      </c>
      <c r="S3553">
        <v>-3.1268310000000001</v>
      </c>
      <c r="T3553">
        <v>-0.15934599999999999</v>
      </c>
      <c r="U3553">
        <v>-0.2798157</v>
      </c>
      <c r="V3553">
        <v>0.13960439999999999</v>
      </c>
      <c r="W3553">
        <v>2.9398319999999999E-2</v>
      </c>
      <c r="X3553">
        <v>0.98977079999999995</v>
      </c>
      <c r="Y3553">
        <v>0.41389690000000001</v>
      </c>
      <c r="Z3553">
        <v>3.4633560000000001E-2</v>
      </c>
      <c r="AA3553">
        <v>0.90966469999999899</v>
      </c>
      <c r="AB3553">
        <v>23</v>
      </c>
      <c r="AC3553">
        <v>-21.3947</v>
      </c>
      <c r="AD3553">
        <v>-1.097804484586</v>
      </c>
      <c r="AE3553">
        <v>-1.85230000000001</v>
      </c>
      <c r="AF3553">
        <v>8.9452348841461902</v>
      </c>
      <c r="AG3553">
        <v>-1.097804484586</v>
      </c>
      <c r="AH3553">
        <v>19.461398783743299</v>
      </c>
      <c r="AI3553">
        <v>92.934090107631306</v>
      </c>
      <c r="AJ3553">
        <v>65.314602227528496</v>
      </c>
      <c r="AK3553">
        <v>21.446874934097199</v>
      </c>
    </row>
    <row r="3554" spans="1:37" x14ac:dyDescent="0.2">
      <c r="A3554" t="str">
        <f>"20200111153505178"</f>
        <v>20200111153505178</v>
      </c>
      <c r="B3554" t="str">
        <f>"1578728105169430"</f>
        <v>1578728105169430</v>
      </c>
      <c r="C3554" t="s">
        <v>37</v>
      </c>
      <c r="D3554">
        <v>5.1180110000000001</v>
      </c>
      <c r="E3554">
        <v>0.61439449999999995</v>
      </c>
      <c r="F3554" t="s">
        <v>39</v>
      </c>
      <c r="G3554">
        <v>-225.9623</v>
      </c>
      <c r="H3554" s="1">
        <v>-2.498265E-6</v>
      </c>
      <c r="I3554">
        <v>142.56209999999999</v>
      </c>
      <c r="J3554">
        <v>-204.7817</v>
      </c>
      <c r="K3554">
        <v>1.0978049999999999</v>
      </c>
      <c r="L3554">
        <v>144.24160000000001</v>
      </c>
      <c r="M3554">
        <v>-0.87470289999999995</v>
      </c>
      <c r="N3554">
        <v>0</v>
      </c>
      <c r="O3554">
        <v>-0.48449239999999999</v>
      </c>
      <c r="P3554">
        <v>-0.93305020000000005</v>
      </c>
      <c r="Q3554">
        <v>1.9220549999999999E-2</v>
      </c>
      <c r="R3554">
        <v>-0.3592323</v>
      </c>
      <c r="S3554">
        <v>-3.1275179999999998</v>
      </c>
      <c r="T3554">
        <v>-0.16042979999999901</v>
      </c>
      <c r="U3554">
        <v>-0.26161190000000001</v>
      </c>
      <c r="V3554">
        <v>0.1383596</v>
      </c>
      <c r="W3554">
        <v>2.949937E-2</v>
      </c>
      <c r="X3554">
        <v>0.98994259999999901</v>
      </c>
      <c r="Y3554">
        <v>0.40881400000000001</v>
      </c>
      <c r="Z3554">
        <v>3.4303269999999997E-2</v>
      </c>
      <c r="AA3554">
        <v>0.91197280000000003</v>
      </c>
      <c r="AB3554">
        <v>23</v>
      </c>
      <c r="AC3554">
        <v>-21.180599999999998</v>
      </c>
      <c r="AD3554">
        <v>-1.0978074982649999</v>
      </c>
      <c r="AE3554">
        <v>-1.67950000000001</v>
      </c>
      <c r="AF3554">
        <v>8.7700752924647105</v>
      </c>
      <c r="AG3554">
        <v>-1.0978074982649999</v>
      </c>
      <c r="AH3554">
        <v>19.2905046939944</v>
      </c>
      <c r="AI3554">
        <v>92.965645883484996</v>
      </c>
      <c r="AJ3554">
        <v>65.551949139000598</v>
      </c>
      <c r="AK3554">
        <v>21.218929598068001</v>
      </c>
    </row>
    <row r="3555" spans="1:37" x14ac:dyDescent="0.2">
      <c r="A3555" t="str">
        <f>"20200111153505200"</f>
        <v>20200111153505200</v>
      </c>
      <c r="B3555" t="str">
        <f>"1578728105188953"</f>
        <v>1578728105188953</v>
      </c>
      <c r="C3555" t="s">
        <v>37</v>
      </c>
      <c r="D3555">
        <v>4.9201769999999998</v>
      </c>
      <c r="E3555">
        <v>0.61346630000000002</v>
      </c>
      <c r="F3555" t="s">
        <v>39</v>
      </c>
      <c r="G3555">
        <v>-226.0839</v>
      </c>
      <c r="H3555" s="1">
        <v>-2.4748009999999998E-6</v>
      </c>
      <c r="I3555">
        <v>142.66999999999999</v>
      </c>
      <c r="J3555">
        <v>-204.99160000000001</v>
      </c>
      <c r="K3555">
        <v>1.097799</v>
      </c>
      <c r="L3555">
        <v>144.13929999999999</v>
      </c>
      <c r="M3555">
        <v>-0.87986520000000001</v>
      </c>
      <c r="N3555">
        <v>0</v>
      </c>
      <c r="O3555">
        <v>-0.47505320000000001</v>
      </c>
      <c r="P3555">
        <v>-0.93630400000000003</v>
      </c>
      <c r="Q3555">
        <v>1.9195670000000001E-2</v>
      </c>
      <c r="R3555">
        <v>-0.35066560000000002</v>
      </c>
      <c r="S3555">
        <v>-3.1297000000000001</v>
      </c>
      <c r="T3555">
        <v>-0.1612886</v>
      </c>
      <c r="U3555">
        <v>-0.23089599999999999</v>
      </c>
      <c r="V3555">
        <v>0.1367806</v>
      </c>
      <c r="W3555">
        <v>2.9502710000000001E-2</v>
      </c>
      <c r="X3555">
        <v>0.99016199999999999</v>
      </c>
      <c r="Y3555">
        <v>0.40794649999999999</v>
      </c>
      <c r="Z3555">
        <v>3.4038770000000003E-2</v>
      </c>
      <c r="AA3555">
        <v>0.91237109999999899</v>
      </c>
      <c r="AB3555">
        <v>23</v>
      </c>
      <c r="AC3555">
        <v>-21.092299999999899</v>
      </c>
      <c r="AD3555">
        <v>-1.0978014748010001</v>
      </c>
      <c r="AE3555">
        <v>-1.4693000000000001</v>
      </c>
      <c r="AF3555">
        <v>8.7044183970623195</v>
      </c>
      <c r="AG3555">
        <v>-1.0978014748010001</v>
      </c>
      <c r="AH3555">
        <v>19.206156251832201</v>
      </c>
      <c r="AI3555">
        <v>92.980222127263801</v>
      </c>
      <c r="AJ3555">
        <v>65.619500084168394</v>
      </c>
      <c r="AK3555">
        <v>21.115125045307799</v>
      </c>
    </row>
    <row r="3556" spans="1:37" x14ac:dyDescent="0.2">
      <c r="A3556" t="str">
        <f>"20200111153505221"</f>
        <v>20200111153505221</v>
      </c>
      <c r="B3556" t="str">
        <f>"1578728105209446"</f>
        <v>1578728105209446</v>
      </c>
      <c r="C3556" t="s">
        <v>37</v>
      </c>
      <c r="D3556">
        <v>4.8581300000000001</v>
      </c>
      <c r="E3556">
        <v>0.61315319999999995</v>
      </c>
      <c r="F3556" t="s">
        <v>39</v>
      </c>
      <c r="G3556">
        <v>-225.6798</v>
      </c>
      <c r="H3556" s="1">
        <v>-2.6707699999999999E-6</v>
      </c>
      <c r="I3556">
        <v>142.75489999999999</v>
      </c>
      <c r="J3556">
        <v>-205.19450000000001</v>
      </c>
      <c r="K3556">
        <v>1.0977980000000001</v>
      </c>
      <c r="L3556">
        <v>144.04310000000001</v>
      </c>
      <c r="M3556">
        <v>-0.8847296</v>
      </c>
      <c r="N3556">
        <v>0</v>
      </c>
      <c r="O3556">
        <v>-0.46593099999999998</v>
      </c>
      <c r="P3556">
        <v>-0.93934519999999899</v>
      </c>
      <c r="Q3556">
        <v>1.860788E-2</v>
      </c>
      <c r="R3556">
        <v>-0.34246789999999999</v>
      </c>
      <c r="S3556">
        <v>-3.1290589999999998</v>
      </c>
      <c r="T3556">
        <v>-0.16604099999999999</v>
      </c>
      <c r="U3556">
        <v>-0.20938109999999999</v>
      </c>
      <c r="V3556">
        <v>0.1351936</v>
      </c>
      <c r="W3556">
        <v>2.8943139999999999E-2</v>
      </c>
      <c r="X3556">
        <v>0.99039639999999995</v>
      </c>
      <c r="Y3556">
        <v>0.4046844</v>
      </c>
      <c r="Z3556">
        <v>3.4549339999999998E-2</v>
      </c>
      <c r="AA3556">
        <v>0.91380349999999999</v>
      </c>
      <c r="AB3556">
        <v>23</v>
      </c>
      <c r="AC3556">
        <v>-20.485299999999899</v>
      </c>
      <c r="AD3556">
        <v>-1.0978006707700001</v>
      </c>
      <c r="AE3556">
        <v>-1.28820000000001</v>
      </c>
      <c r="AF3556">
        <v>8.3817315576419293</v>
      </c>
      <c r="AG3556">
        <v>-1.0978006707700001</v>
      </c>
      <c r="AH3556">
        <v>18.6722661126425</v>
      </c>
      <c r="AI3556">
        <v>93.070233340440893</v>
      </c>
      <c r="AJ3556">
        <v>65.825323340928904</v>
      </c>
      <c r="AK3556">
        <v>20.496636602097698</v>
      </c>
    </row>
    <row r="3557" spans="1:37" x14ac:dyDescent="0.2">
      <c r="A3557" t="str">
        <f>"20200111153505243"</f>
        <v>20200111153505243</v>
      </c>
      <c r="B3557" t="str">
        <f>"1578728105239702"</f>
        <v>1578728105239702</v>
      </c>
      <c r="C3557" t="s">
        <v>37</v>
      </c>
      <c r="D3557">
        <v>4.8028219999999999</v>
      </c>
      <c r="E3557">
        <v>0.60450090000000001</v>
      </c>
      <c r="F3557" t="s">
        <v>39</v>
      </c>
      <c r="G3557">
        <v>-225.75829999999999</v>
      </c>
      <c r="H3557" s="1">
        <v>-2.6578690000000002E-6</v>
      </c>
      <c r="I3557">
        <v>142.833</v>
      </c>
      <c r="J3557">
        <v>-205.4066</v>
      </c>
      <c r="K3557">
        <v>1.0978000000000001</v>
      </c>
      <c r="L3557">
        <v>143.9453</v>
      </c>
      <c r="M3557">
        <v>-0.88968309999999995</v>
      </c>
      <c r="N3557">
        <v>0</v>
      </c>
      <c r="O3557">
        <v>-0.456401</v>
      </c>
      <c r="P3557">
        <v>-0.94225309999999995</v>
      </c>
      <c r="Q3557">
        <v>1.8395620000000001E-2</v>
      </c>
      <c r="R3557">
        <v>-0.33439550000000001</v>
      </c>
      <c r="S3557">
        <v>-3.1298520000000001</v>
      </c>
      <c r="T3557">
        <v>-0.16708799999999999</v>
      </c>
      <c r="U3557">
        <v>-0.18417359999999999</v>
      </c>
      <c r="V3557">
        <v>0.13305049999999999</v>
      </c>
      <c r="W3557">
        <v>2.877012E-2</v>
      </c>
      <c r="X3557">
        <v>0.99069159999999901</v>
      </c>
      <c r="Y3557">
        <v>0.40221069999999998</v>
      </c>
      <c r="Z3557">
        <v>3.4257080000000002E-2</v>
      </c>
      <c r="AA3557">
        <v>0.914906</v>
      </c>
      <c r="AB3557">
        <v>23</v>
      </c>
      <c r="AC3557">
        <v>-20.351699999999902</v>
      </c>
      <c r="AD3557">
        <v>-1.0978026578690001</v>
      </c>
      <c r="AE3557">
        <v>-1.1123000000000001</v>
      </c>
      <c r="AF3557">
        <v>8.2756067043615094</v>
      </c>
      <c r="AG3557">
        <v>-1.0978026578690001</v>
      </c>
      <c r="AH3557">
        <v>18.561878805208</v>
      </c>
      <c r="AI3557">
        <v>93.091966342370597</v>
      </c>
      <c r="AJ3557">
        <v>65.970830318039305</v>
      </c>
      <c r="AK3557">
        <v>20.352743839102601</v>
      </c>
    </row>
    <row r="3558" spans="1:37" x14ac:dyDescent="0.2">
      <c r="A3558" t="str">
        <f>"20200111153505267"</f>
        <v>20200111153505267</v>
      </c>
      <c r="B3558" t="str">
        <f>"1578728105259222"</f>
        <v>1578728105259222</v>
      </c>
      <c r="C3558" t="s">
        <v>37</v>
      </c>
      <c r="D3558">
        <v>4.8047709999999997</v>
      </c>
      <c r="E3558">
        <v>0.60613760000000005</v>
      </c>
      <c r="F3558" t="s">
        <v>39</v>
      </c>
      <c r="G3558">
        <v>-225.9562</v>
      </c>
      <c r="H3558" s="1">
        <v>-2.47765099999999E-6</v>
      </c>
      <c r="I3558">
        <v>142.47479999999999</v>
      </c>
      <c r="J3558">
        <v>-205.63380000000001</v>
      </c>
      <c r="K3558">
        <v>1.097812</v>
      </c>
      <c r="L3558">
        <v>143.84360000000001</v>
      </c>
      <c r="M3558">
        <v>-0.89484409999999903</v>
      </c>
      <c r="N3558">
        <v>0</v>
      </c>
      <c r="O3558">
        <v>-0.44619799999999998</v>
      </c>
      <c r="P3558">
        <v>-0.9454167</v>
      </c>
      <c r="Q3558">
        <v>1.846983E-2</v>
      </c>
      <c r="R3558">
        <v>-0.32533979999999901</v>
      </c>
      <c r="S3558">
        <v>-3.1081699999999999</v>
      </c>
      <c r="T3558">
        <v>-0.16604479999999999</v>
      </c>
      <c r="U3558">
        <v>-0.2224121</v>
      </c>
      <c r="V3558">
        <v>0.1312265</v>
      </c>
      <c r="W3558">
        <v>2.8877839999999998E-2</v>
      </c>
      <c r="X3558">
        <v>0.99093169999999897</v>
      </c>
      <c r="Y3558">
        <v>0.38009349999999997</v>
      </c>
      <c r="Z3558">
        <v>3.3170129999999999E-2</v>
      </c>
      <c r="AA3558">
        <v>0.92435309999999904</v>
      </c>
      <c r="AB3558">
        <v>23</v>
      </c>
      <c r="AC3558">
        <v>-20.322399999999899</v>
      </c>
      <c r="AD3558">
        <v>-1.0978144776509999</v>
      </c>
      <c r="AE3558">
        <v>-1.36880000000002</v>
      </c>
      <c r="AF3558">
        <v>7.82086515637942</v>
      </c>
      <c r="AG3558">
        <v>-1.0978144776509999</v>
      </c>
      <c r="AH3558">
        <v>18.7432039099128</v>
      </c>
      <c r="AI3558">
        <v>93.094076480158904</v>
      </c>
      <c r="AJ3558">
        <v>67.350976985332593</v>
      </c>
      <c r="AK3558">
        <v>20.339095880352701</v>
      </c>
    </row>
    <row r="3559" spans="1:37" x14ac:dyDescent="0.2">
      <c r="A3559" t="str">
        <f>"20200111153505289"</f>
        <v>20200111153505289</v>
      </c>
      <c r="B3559" t="str">
        <f>"1578728105279721"</f>
        <v>1578728105279721</v>
      </c>
      <c r="C3559" t="s">
        <v>37</v>
      </c>
      <c r="D3559">
        <v>4.8515730000000001</v>
      </c>
      <c r="E3559">
        <v>0.60648659999999999</v>
      </c>
      <c r="F3559" t="s">
        <v>39</v>
      </c>
      <c r="G3559">
        <v>-226.13890000000001</v>
      </c>
      <c r="H3559" s="1">
        <v>-2.4480449999999999E-6</v>
      </c>
      <c r="I3559">
        <v>142.65809999999999</v>
      </c>
      <c r="J3559">
        <v>-205.8536</v>
      </c>
      <c r="K3559">
        <v>1.0978239999999999</v>
      </c>
      <c r="L3559">
        <v>143.74799999999999</v>
      </c>
      <c r="M3559">
        <v>-0.89969440000000001</v>
      </c>
      <c r="N3559">
        <v>0</v>
      </c>
      <c r="O3559">
        <v>-0.43633549999999899</v>
      </c>
      <c r="P3559">
        <v>-0.94846580000000003</v>
      </c>
      <c r="Q3559">
        <v>1.8633469999999999E-2</v>
      </c>
      <c r="R3559">
        <v>-0.31633230000000001</v>
      </c>
      <c r="S3559">
        <v>-3.11451699999999</v>
      </c>
      <c r="T3559">
        <v>-0.16674649999999999</v>
      </c>
      <c r="U3559">
        <v>-0.18005370000000001</v>
      </c>
      <c r="V3559">
        <v>0.12976070000000001</v>
      </c>
      <c r="W3559">
        <v>2.906945E-2</v>
      </c>
      <c r="X3559">
        <v>0.99111909999999903</v>
      </c>
      <c r="Y3559">
        <v>0.3825848</v>
      </c>
      <c r="Z3559">
        <v>3.28636E-2</v>
      </c>
      <c r="AA3559">
        <v>0.92333569999999998</v>
      </c>
      <c r="AB3559">
        <v>23</v>
      </c>
      <c r="AC3559">
        <v>-20.285299999999999</v>
      </c>
      <c r="AD3559">
        <v>-1.097826448045</v>
      </c>
      <c r="AE3559">
        <v>-1.0899000000000001</v>
      </c>
      <c r="AF3559">
        <v>7.8483336890844999</v>
      </c>
      <c r="AG3559">
        <v>-1.097826448045</v>
      </c>
      <c r="AH3559">
        <v>18.673109250067501</v>
      </c>
      <c r="AI3559">
        <v>93.102349479355894</v>
      </c>
      <c r="AJ3559">
        <v>67.202917069625101</v>
      </c>
      <c r="AK3559">
        <v>20.2851318376342</v>
      </c>
    </row>
    <row r="3560" spans="1:37" x14ac:dyDescent="0.2">
      <c r="A3560" t="str">
        <f>"20200111153505302"</f>
        <v>20200111153505302</v>
      </c>
      <c r="B3560" t="str">
        <f>"1578728105299238"</f>
        <v>1578728105299238</v>
      </c>
      <c r="C3560" t="s">
        <v>37</v>
      </c>
      <c r="D3560">
        <v>4.8566890000000003</v>
      </c>
      <c r="E3560">
        <v>0.60628319999999902</v>
      </c>
      <c r="F3560" t="s">
        <v>39</v>
      </c>
      <c r="G3560">
        <v>-226.12110000000001</v>
      </c>
      <c r="H3560" s="1">
        <v>-2.48974999999999E-6</v>
      </c>
      <c r="I3560">
        <v>142.7861</v>
      </c>
      <c r="J3560">
        <v>-205.98349999999999</v>
      </c>
      <c r="K3560">
        <v>1.097836</v>
      </c>
      <c r="L3560">
        <v>143.6927</v>
      </c>
      <c r="M3560">
        <v>-0.90249389999999996</v>
      </c>
      <c r="N3560">
        <v>0</v>
      </c>
      <c r="O3560">
        <v>-0.4305156</v>
      </c>
      <c r="P3560">
        <v>-0.95019900000000002</v>
      </c>
      <c r="Q3560">
        <v>1.843622E-2</v>
      </c>
      <c r="R3560">
        <v>-0.31109910000000002</v>
      </c>
      <c r="S3560">
        <v>-3.1169739999999999</v>
      </c>
      <c r="T3560">
        <v>-0.16883679999999901</v>
      </c>
      <c r="U3560">
        <v>-0.14791869999999999</v>
      </c>
      <c r="V3560">
        <v>0.1288203</v>
      </c>
      <c r="W3560">
        <v>2.889071E-2</v>
      </c>
      <c r="X3560">
        <v>0.99124699999999999</v>
      </c>
      <c r="Y3560">
        <v>0.38612609999999897</v>
      </c>
      <c r="Z3560">
        <v>3.3079780000000003E-2</v>
      </c>
      <c r="AA3560">
        <v>0.92185260000000002</v>
      </c>
      <c r="AB3560">
        <v>23</v>
      </c>
      <c r="AC3560">
        <v>-20.137599999999999</v>
      </c>
      <c r="AD3560">
        <v>-1.09783848975</v>
      </c>
      <c r="AE3560">
        <v>-0.90659999999999696</v>
      </c>
      <c r="AF3560">
        <v>7.8287617006507997</v>
      </c>
      <c r="AG3560">
        <v>-1.09783848975</v>
      </c>
      <c r="AH3560">
        <v>18.510957057345301</v>
      </c>
      <c r="AI3560">
        <v>93.126572963121902</v>
      </c>
      <c r="AJ3560">
        <v>67.075243121442895</v>
      </c>
      <c r="AK3560">
        <v>20.128345443529</v>
      </c>
    </row>
    <row r="3561" spans="1:37" x14ac:dyDescent="0.2">
      <c r="A3561" t="str">
        <f>"20200111153505321"</f>
        <v>20200111153505321</v>
      </c>
      <c r="B3561" t="str">
        <f>"1578728105309974"</f>
        <v>1578728105309974</v>
      </c>
      <c r="C3561" t="s">
        <v>37</v>
      </c>
      <c r="D3561">
        <v>4.8343850000000002</v>
      </c>
      <c r="E3561">
        <v>0.60611709999999996</v>
      </c>
      <c r="F3561" t="s">
        <v>39</v>
      </c>
      <c r="G3561">
        <v>-226.01499999999999</v>
      </c>
      <c r="H3561" s="1">
        <v>-2.550387E-6</v>
      </c>
      <c r="I3561">
        <v>142.84289999999999</v>
      </c>
      <c r="J3561">
        <v>-206.1703</v>
      </c>
      <c r="K3561">
        <v>1.097858</v>
      </c>
      <c r="L3561">
        <v>143.61500000000001</v>
      </c>
      <c r="M3561">
        <v>-0.90642540000000005</v>
      </c>
      <c r="N3561">
        <v>0</v>
      </c>
      <c r="O3561">
        <v>-0.42217510000000003</v>
      </c>
      <c r="P3561">
        <v>-0.95250499999999905</v>
      </c>
      <c r="Q3561">
        <v>1.865849E-2</v>
      </c>
      <c r="R3561">
        <v>-0.30395029999999901</v>
      </c>
      <c r="S3561">
        <v>-3.117264</v>
      </c>
      <c r="T3561">
        <v>-0.170844</v>
      </c>
      <c r="U3561">
        <v>-0.13223270000000001</v>
      </c>
      <c r="V3561">
        <v>0.1271274</v>
      </c>
      <c r="W3561">
        <v>2.9146180000000001E-2</v>
      </c>
      <c r="X3561">
        <v>0.99145810000000001</v>
      </c>
      <c r="Y3561">
        <v>0.38224249999999999</v>
      </c>
      <c r="Z3561">
        <v>3.2955310000000002E-2</v>
      </c>
      <c r="AA3561">
        <v>0.92347429999999997</v>
      </c>
      <c r="AB3561">
        <v>23</v>
      </c>
      <c r="AC3561">
        <v>-19.8446999999999</v>
      </c>
      <c r="AD3561">
        <v>-1.097860550387</v>
      </c>
      <c r="AE3561">
        <v>-0.77210000000002299</v>
      </c>
      <c r="AF3561">
        <v>7.6553116406444897</v>
      </c>
      <c r="AG3561">
        <v>-1.097860550387</v>
      </c>
      <c r="AH3561">
        <v>18.259377585182399</v>
      </c>
      <c r="AI3561">
        <v>93.173784726635802</v>
      </c>
      <c r="AJ3561">
        <v>67.253951921387298</v>
      </c>
      <c r="AK3561">
        <v>19.829623392836901</v>
      </c>
    </row>
    <row r="3562" spans="1:37" x14ac:dyDescent="0.2">
      <c r="A3562" t="str">
        <f>"20200111153505344"</f>
        <v>20200111153505344</v>
      </c>
      <c r="B3562" t="str">
        <f>"1578728105339254"</f>
        <v>1578728105339254</v>
      </c>
      <c r="C3562" t="s">
        <v>37</v>
      </c>
      <c r="D3562">
        <v>4.8386849999999999</v>
      </c>
      <c r="E3562">
        <v>0.60508269999999997</v>
      </c>
      <c r="F3562" t="s">
        <v>39</v>
      </c>
      <c r="G3562">
        <v>-226.1653</v>
      </c>
      <c r="H3562" s="1">
        <v>-2.50361799999999E-6</v>
      </c>
      <c r="I3562">
        <v>142.90950000000001</v>
      </c>
      <c r="J3562">
        <v>-206.3937</v>
      </c>
      <c r="K3562">
        <v>1.097899</v>
      </c>
      <c r="L3562">
        <v>143.5248</v>
      </c>
      <c r="M3562">
        <v>-0.9109855</v>
      </c>
      <c r="N3562">
        <v>0</v>
      </c>
      <c r="O3562">
        <v>-0.41224319999999998</v>
      </c>
      <c r="P3562">
        <v>-0.95516889999999999</v>
      </c>
      <c r="Q3562">
        <v>1.9157839999999999E-2</v>
      </c>
      <c r="R3562">
        <v>-0.29544159999999903</v>
      </c>
      <c r="S3562">
        <v>-3.1178590000000002</v>
      </c>
      <c r="T3562">
        <v>-0.17119089999999901</v>
      </c>
      <c r="U3562">
        <v>-0.1100006</v>
      </c>
      <c r="V3562">
        <v>0.12513630000000001</v>
      </c>
      <c r="W3562">
        <v>2.9686199999999999E-2</v>
      </c>
      <c r="X3562">
        <v>0.99169529999999995</v>
      </c>
      <c r="Y3562">
        <v>0.37874039999999998</v>
      </c>
      <c r="Z3562">
        <v>3.2431849999999998E-2</v>
      </c>
      <c r="AA3562">
        <v>0.92493459999999905</v>
      </c>
      <c r="AB3562">
        <v>23</v>
      </c>
      <c r="AC3562">
        <v>-19.771599999999999</v>
      </c>
      <c r="AD3562">
        <v>-1.097901503618</v>
      </c>
      <c r="AE3562">
        <v>-0.61529999999998997</v>
      </c>
      <c r="AF3562">
        <v>7.5674775213052197</v>
      </c>
      <c r="AG3562">
        <v>-1.097901503618</v>
      </c>
      <c r="AH3562">
        <v>18.210666194343801</v>
      </c>
      <c r="AI3562">
        <v>93.186556978370305</v>
      </c>
      <c r="AJ3562">
        <v>67.434578006036205</v>
      </c>
      <c r="AK3562">
        <v>19.750961166204601</v>
      </c>
    </row>
    <row r="3563" spans="1:37" x14ac:dyDescent="0.2">
      <c r="A3563" t="str">
        <f>"20200111153505358"</f>
        <v>20200111153505358</v>
      </c>
      <c r="B3563" t="str">
        <f>"1578728105349014"</f>
        <v>1578728105349014</v>
      </c>
      <c r="C3563" t="s">
        <v>37</v>
      </c>
      <c r="D3563">
        <v>4.8921049999999999</v>
      </c>
      <c r="E3563">
        <v>0.60480769999999995</v>
      </c>
      <c r="F3563" t="s">
        <v>39</v>
      </c>
      <c r="G3563">
        <v>-225.81489999999999</v>
      </c>
      <c r="H3563" s="1">
        <v>-2.6682129999999999E-6</v>
      </c>
      <c r="I3563">
        <v>142.9631</v>
      </c>
      <c r="J3563">
        <v>-206.5395</v>
      </c>
      <c r="K3563">
        <v>1.0979299999999901</v>
      </c>
      <c r="L3563">
        <v>143.46719999999999</v>
      </c>
      <c r="M3563">
        <v>-0.91388139999999995</v>
      </c>
      <c r="N3563">
        <v>0</v>
      </c>
      <c r="O3563">
        <v>-0.40578359999999902</v>
      </c>
      <c r="P3563">
        <v>-0.95698340000000004</v>
      </c>
      <c r="Q3563">
        <v>1.941739E-2</v>
      </c>
      <c r="R3563">
        <v>-0.289493</v>
      </c>
      <c r="S3563">
        <v>-3.11645499999999</v>
      </c>
      <c r="T3563">
        <v>-0.176177</v>
      </c>
      <c r="U3563">
        <v>-9.0133669999999999E-2</v>
      </c>
      <c r="V3563">
        <v>0.1242856</v>
      </c>
      <c r="W3563">
        <v>2.9964560000000001E-2</v>
      </c>
      <c r="X3563">
        <v>0.99179390000000001</v>
      </c>
      <c r="Y3563">
        <v>0.37800659999999903</v>
      </c>
      <c r="Z3563">
        <v>3.3043059999999999E-2</v>
      </c>
      <c r="AA3563">
        <v>0.92521299999999995</v>
      </c>
      <c r="AB3563">
        <v>23</v>
      </c>
      <c r="AC3563">
        <v>-19.275399999999902</v>
      </c>
      <c r="AD3563">
        <v>-1.097932668213</v>
      </c>
      <c r="AE3563">
        <v>-0.504099999999994</v>
      </c>
      <c r="AF3563">
        <v>7.3377533225136</v>
      </c>
      <c r="AG3563">
        <v>-1.097932668213</v>
      </c>
      <c r="AH3563">
        <v>17.763819988363402</v>
      </c>
      <c r="AI3563">
        <v>93.269493988599905</v>
      </c>
      <c r="AJ3563">
        <v>67.555804702577603</v>
      </c>
      <c r="AK3563">
        <v>19.251009857796198</v>
      </c>
    </row>
    <row r="3564" spans="1:37" x14ac:dyDescent="0.2">
      <c r="A3564" t="str">
        <f>"20200111153505378"</f>
        <v>20200111153505378</v>
      </c>
      <c r="B3564" t="str">
        <f>"1578728105369510"</f>
        <v>1578728105369510</v>
      </c>
      <c r="C3564" t="s">
        <v>37</v>
      </c>
      <c r="D3564">
        <v>4.8641819999999996</v>
      </c>
      <c r="E3564">
        <v>0.60448029999999997</v>
      </c>
      <c r="F3564" t="s">
        <v>39</v>
      </c>
      <c r="G3564">
        <v>-225.7645</v>
      </c>
      <c r="H3564" s="1">
        <v>-2.704519E-6</v>
      </c>
      <c r="I3564">
        <v>143.01840000000001</v>
      </c>
      <c r="J3564">
        <v>-206.7347</v>
      </c>
      <c r="K3564">
        <v>1.0979749999999999</v>
      </c>
      <c r="L3564">
        <v>143.3921</v>
      </c>
      <c r="M3564">
        <v>-0.91765129999999995</v>
      </c>
      <c r="N3564">
        <v>0</v>
      </c>
      <c r="O3564">
        <v>-0.3971845</v>
      </c>
      <c r="P3564">
        <v>-0.95906809999999998</v>
      </c>
      <c r="Q3564">
        <v>1.9799069999999998E-2</v>
      </c>
      <c r="R3564">
        <v>-0.2824835</v>
      </c>
      <c r="S3564">
        <v>-3.1164700000000001</v>
      </c>
      <c r="T3564">
        <v>-0.1779799</v>
      </c>
      <c r="U3564">
        <v>-7.2753910000000005E-2</v>
      </c>
      <c r="V3564">
        <v>0.1222283</v>
      </c>
      <c r="W3564">
        <v>3.03834999999999E-2</v>
      </c>
      <c r="X3564">
        <v>0.99203680000000005</v>
      </c>
      <c r="Y3564">
        <v>0.37446370000000001</v>
      </c>
      <c r="Z3564">
        <v>3.2833149999999998E-2</v>
      </c>
      <c r="AA3564">
        <v>0.92666009999999999</v>
      </c>
      <c r="AB3564">
        <v>23</v>
      </c>
      <c r="AC3564">
        <v>-19.029799999999899</v>
      </c>
      <c r="AD3564">
        <v>-1.097977704519</v>
      </c>
      <c r="AE3564">
        <v>-0.37369999999998499</v>
      </c>
      <c r="AF3564">
        <v>7.1920612401837802</v>
      </c>
      <c r="AG3564">
        <v>-1.097977704519</v>
      </c>
      <c r="AH3564">
        <v>17.5541467168994</v>
      </c>
      <c r="AI3564">
        <v>93.312506820356404</v>
      </c>
      <c r="AJ3564">
        <v>67.7207316468307</v>
      </c>
      <c r="AK3564">
        <v>19.002088487337499</v>
      </c>
    </row>
    <row r="3565" spans="1:37" x14ac:dyDescent="0.2">
      <c r="A3565" t="str">
        <f>"20200111153505392"</f>
        <v>20200111153505392</v>
      </c>
      <c r="B3565" t="str">
        <f>"1578728105389030"</f>
        <v>1578728105389030</v>
      </c>
      <c r="C3565" t="s">
        <v>37</v>
      </c>
      <c r="D3565">
        <v>4.8720270000000001</v>
      </c>
      <c r="E3565">
        <v>0.59815220000000002</v>
      </c>
      <c r="F3565" t="s">
        <v>39</v>
      </c>
      <c r="G3565">
        <v>-225.8759</v>
      </c>
      <c r="H3565" s="1">
        <v>-2.6705749999999998E-6</v>
      </c>
      <c r="I3565">
        <v>143.0703</v>
      </c>
      <c r="J3565">
        <v>-206.8717</v>
      </c>
      <c r="K3565">
        <v>1.0980190000000001</v>
      </c>
      <c r="L3565">
        <v>143.3408</v>
      </c>
      <c r="M3565">
        <v>-0.92021379999999997</v>
      </c>
      <c r="N3565">
        <v>0</v>
      </c>
      <c r="O3565">
        <v>-0.39121139999999999</v>
      </c>
      <c r="P3565">
        <v>-0.96037739999999905</v>
      </c>
      <c r="Q3565">
        <v>2.0230060000000001E-2</v>
      </c>
      <c r="R3565">
        <v>-0.27796799999999999</v>
      </c>
      <c r="S3565">
        <v>-3.1163180000000001</v>
      </c>
      <c r="T3565">
        <v>-0.178759</v>
      </c>
      <c r="U3565">
        <v>-5.238342E-2</v>
      </c>
      <c r="V3565">
        <v>0.1204469</v>
      </c>
      <c r="W3565">
        <v>3.0846299999999899E-2</v>
      </c>
      <c r="X3565">
        <v>0.99224040000000002</v>
      </c>
      <c r="Y3565">
        <v>0.37449060000000001</v>
      </c>
      <c r="Z3565">
        <v>3.266968E-2</v>
      </c>
      <c r="AA3565">
        <v>0.92665499999999901</v>
      </c>
      <c r="AB3565">
        <v>23</v>
      </c>
      <c r="AC3565">
        <v>-19.004200000000001</v>
      </c>
      <c r="AD3565">
        <v>-1.0980216705750001</v>
      </c>
      <c r="AE3565">
        <v>-0.27049999999999802</v>
      </c>
      <c r="AF3565">
        <v>7.1624122245426198</v>
      </c>
      <c r="AG3565">
        <v>-1.0980216705750001</v>
      </c>
      <c r="AH3565">
        <v>17.5366289319693</v>
      </c>
      <c r="AI3565">
        <v>93.317426885122103</v>
      </c>
      <c r="AJ3565">
        <v>67.783627164592104</v>
      </c>
      <c r="AK3565">
        <v>18.974697751503601</v>
      </c>
    </row>
    <row r="3566" spans="1:37" x14ac:dyDescent="0.2">
      <c r="A3566" t="str">
        <f>"20200111153505422"</f>
        <v>20200111153505422</v>
      </c>
      <c r="B3566" t="str">
        <f>"1578728105419286"</f>
        <v>1578728105419286</v>
      </c>
      <c r="C3566" t="s">
        <v>37</v>
      </c>
      <c r="D3566">
        <v>4.869624</v>
      </c>
      <c r="E3566">
        <v>0.59677789999999997</v>
      </c>
      <c r="F3566" t="s">
        <v>39</v>
      </c>
      <c r="G3566">
        <v>-223.29650000000001</v>
      </c>
      <c r="H3566" s="1">
        <v>-3.7266180000000001E-6</v>
      </c>
      <c r="I3566">
        <v>142.88040000000001</v>
      </c>
      <c r="J3566">
        <v>-207.16849999999999</v>
      </c>
      <c r="K3566">
        <v>1.0981259999999999</v>
      </c>
      <c r="L3566">
        <v>143.23240000000001</v>
      </c>
      <c r="M3566">
        <v>-0.92556109999999903</v>
      </c>
      <c r="N3566">
        <v>0</v>
      </c>
      <c r="O3566">
        <v>-0.378388</v>
      </c>
      <c r="P3566">
        <v>-0.9631402</v>
      </c>
      <c r="Q3566">
        <v>2.1939279999999999E-2</v>
      </c>
      <c r="R3566">
        <v>-0.26810489999999998</v>
      </c>
      <c r="S3566">
        <v>-3.1029659999999999</v>
      </c>
      <c r="T3566">
        <v>-0.2074387</v>
      </c>
      <c r="U3566">
        <v>-8.6959839999999997E-2</v>
      </c>
      <c r="V3566">
        <v>0.1168382</v>
      </c>
      <c r="W3566">
        <v>3.2615419999999999E-2</v>
      </c>
      <c r="X3566">
        <v>0.99261529999999998</v>
      </c>
      <c r="Y3566">
        <v>0.3507498</v>
      </c>
      <c r="Z3566">
        <v>3.6451850000000001E-2</v>
      </c>
      <c r="AA3566">
        <v>0.93575949999999997</v>
      </c>
      <c r="AB3566">
        <v>23</v>
      </c>
      <c r="AC3566">
        <v>-16.128</v>
      </c>
      <c r="AD3566">
        <v>-1.0981297266179999</v>
      </c>
      <c r="AE3566">
        <v>-0.35200000000000298</v>
      </c>
      <c r="AF3566">
        <v>5.7506564424400102</v>
      </c>
      <c r="AG3566">
        <v>-1.0981297266179999</v>
      </c>
      <c r="AH3566">
        <v>14.9923687701065</v>
      </c>
      <c r="AI3566">
        <v>93.912230824701197</v>
      </c>
      <c r="AJ3566">
        <v>69.014573012492207</v>
      </c>
      <c r="AK3566">
        <v>16.094938948449698</v>
      </c>
    </row>
    <row r="3567" spans="1:37" x14ac:dyDescent="0.2">
      <c r="A3567" t="str">
        <f>"20200111153505445"</f>
        <v>20200111153505445</v>
      </c>
      <c r="B3567" t="str">
        <f>"1578728105439782"</f>
        <v>1578728105439782</v>
      </c>
      <c r="C3567" t="s">
        <v>37</v>
      </c>
      <c r="D3567">
        <v>4.8636169999999996</v>
      </c>
      <c r="E3567">
        <v>0.59602549999999999</v>
      </c>
      <c r="F3567" t="s">
        <v>39</v>
      </c>
      <c r="G3567">
        <v>-223.0967</v>
      </c>
      <c r="H3567" s="1">
        <v>-3.8033539999999999E-6</v>
      </c>
      <c r="I3567">
        <v>142.89259999999999</v>
      </c>
      <c r="J3567">
        <v>-207.39619999999999</v>
      </c>
      <c r="K3567">
        <v>1.0982259999999999</v>
      </c>
      <c r="L3567">
        <v>143.1523</v>
      </c>
      <c r="M3567">
        <v>-0.92946019999999896</v>
      </c>
      <c r="N3567">
        <v>0</v>
      </c>
      <c r="O3567">
        <v>-0.36870749999999902</v>
      </c>
      <c r="P3567">
        <v>-0.9654914</v>
      </c>
      <c r="Q3567">
        <v>2.2016020000000001E-2</v>
      </c>
      <c r="R3567">
        <v>-0.25950289999999998</v>
      </c>
      <c r="S3567">
        <v>-3.1012729999999999</v>
      </c>
      <c r="T3567">
        <v>-0.2138099</v>
      </c>
      <c r="U3567">
        <v>-6.6146849999999993E-2</v>
      </c>
      <c r="V3567">
        <v>0.11532389999999999</v>
      </c>
      <c r="W3567">
        <v>3.2713599999999898E-2</v>
      </c>
      <c r="X3567">
        <v>0.99278909999999998</v>
      </c>
      <c r="Y3567">
        <v>0.34716819999999998</v>
      </c>
      <c r="Z3567">
        <v>3.6851519999999999E-2</v>
      </c>
      <c r="AA3567">
        <v>0.93707850000000004</v>
      </c>
      <c r="AB3567">
        <v>23</v>
      </c>
      <c r="AC3567">
        <v>-15.7005</v>
      </c>
      <c r="AD3567">
        <v>-1.0982298033539999</v>
      </c>
      <c r="AE3567">
        <v>-0.25970000000000898</v>
      </c>
      <c r="AF3567">
        <v>5.5209454082990304</v>
      </c>
      <c r="AG3567">
        <v>-1.0982298033539999</v>
      </c>
      <c r="AH3567">
        <v>14.618401861754601</v>
      </c>
      <c r="AI3567">
        <v>94.020208741464998</v>
      </c>
      <c r="AJ3567">
        <v>69.309906863995593</v>
      </c>
      <c r="AK3567">
        <v>15.6647572561512</v>
      </c>
    </row>
    <row r="3568" spans="1:37" x14ac:dyDescent="0.2">
      <c r="A3568" t="str">
        <f>"20200111153505468"</f>
        <v>20200111153505468</v>
      </c>
      <c r="B3568" t="str">
        <f>"1578728105459302"</f>
        <v>1578728105459302</v>
      </c>
      <c r="C3568" t="s">
        <v>37</v>
      </c>
      <c r="D3568">
        <v>4.8931569999999898</v>
      </c>
      <c r="E3568">
        <v>0.59506309999999996</v>
      </c>
      <c r="F3568" t="s">
        <v>39</v>
      </c>
      <c r="G3568">
        <v>-222.9949</v>
      </c>
      <c r="H3568" s="1">
        <v>-3.8447389999999998E-6</v>
      </c>
      <c r="I3568">
        <v>142.93049999999999</v>
      </c>
      <c r="J3568">
        <v>-207.62599999999901</v>
      </c>
      <c r="K3568">
        <v>1.098312</v>
      </c>
      <c r="L3568">
        <v>143.07399999999899</v>
      </c>
      <c r="M3568">
        <v>-0.93323500000000004</v>
      </c>
      <c r="N3568">
        <v>0</v>
      </c>
      <c r="O3568">
        <v>-0.35904700000000001</v>
      </c>
      <c r="P3568">
        <v>-0.96774519999999997</v>
      </c>
      <c r="Q3568">
        <v>2.1706949999999999E-2</v>
      </c>
      <c r="R3568">
        <v>-0.250994299999999</v>
      </c>
      <c r="S3568">
        <v>-3.1003270000000001</v>
      </c>
      <c r="T3568">
        <v>-0.21827969999999999</v>
      </c>
      <c r="U3568">
        <v>-4.4082639999999999E-2</v>
      </c>
      <c r="V3568">
        <v>0.11375449999999999</v>
      </c>
      <c r="W3568">
        <v>3.242432E-2</v>
      </c>
      <c r="X3568">
        <v>0.99297959999999996</v>
      </c>
      <c r="Y3568">
        <v>0.3440627</v>
      </c>
      <c r="Z3568">
        <v>3.6892620000000001E-2</v>
      </c>
      <c r="AA3568">
        <v>0.93822159999999999</v>
      </c>
      <c r="AB3568">
        <v>23</v>
      </c>
      <c r="AC3568">
        <v>-15.3689</v>
      </c>
      <c r="AD3568">
        <v>-1.098315844739</v>
      </c>
      <c r="AE3568">
        <v>-0.143499999999988</v>
      </c>
      <c r="AF3568">
        <v>5.3573052109241504</v>
      </c>
      <c r="AG3568">
        <v>-1.098315844739</v>
      </c>
      <c r="AH3568">
        <v>14.3223154596044</v>
      </c>
      <c r="AI3568">
        <v>94.108233573042995</v>
      </c>
      <c r="AJ3568">
        <v>69.491538695780903</v>
      </c>
      <c r="AK3568">
        <v>15.3308752829779</v>
      </c>
    </row>
    <row r="3569" spans="1:37" x14ac:dyDescent="0.2">
      <c r="A3569" t="str">
        <f>"20200111153505490"</f>
        <v>20200111153505490</v>
      </c>
      <c r="B3569" t="str">
        <f>"1578728105479798"</f>
        <v>1578728105479798</v>
      </c>
      <c r="C3569" t="s">
        <v>37</v>
      </c>
      <c r="D3569">
        <v>4.9014610000000003</v>
      </c>
      <c r="E3569">
        <v>0.59429019999999899</v>
      </c>
      <c r="F3569" t="s">
        <v>39</v>
      </c>
      <c r="G3569">
        <v>-223.02889999999999</v>
      </c>
      <c r="H3569" s="1">
        <v>-3.8372189999999998E-6</v>
      </c>
      <c r="I3569">
        <v>142.95330000000001</v>
      </c>
      <c r="J3569">
        <v>-207.8588</v>
      </c>
      <c r="K3569">
        <v>1.0983940000000001</v>
      </c>
      <c r="L3569">
        <v>142.99709999999999</v>
      </c>
      <c r="M3569">
        <v>-0.93689239999999996</v>
      </c>
      <c r="N3569">
        <v>0</v>
      </c>
      <c r="O3569">
        <v>-0.34939349999999902</v>
      </c>
      <c r="P3569">
        <v>-0.96999840000000004</v>
      </c>
      <c r="Q3569">
        <v>2.1142660000000001E-2</v>
      </c>
      <c r="R3569">
        <v>-0.24219079999999901</v>
      </c>
      <c r="S3569">
        <v>-3.0986479999999998</v>
      </c>
      <c r="T3569">
        <v>-0.22095239999999999</v>
      </c>
      <c r="U3569">
        <v>-2.426147E-2</v>
      </c>
      <c r="V3569">
        <v>0.1125135</v>
      </c>
      <c r="W3569">
        <v>3.1868609999999999E-2</v>
      </c>
      <c r="X3569">
        <v>0.99313899999999999</v>
      </c>
      <c r="Y3569">
        <v>0.34035310000000002</v>
      </c>
      <c r="Z3569">
        <v>3.6589040000000003E-2</v>
      </c>
      <c r="AA3569">
        <v>0.93958560000000002</v>
      </c>
      <c r="AB3569">
        <v>23</v>
      </c>
      <c r="AC3569">
        <v>-15.1700999999999</v>
      </c>
      <c r="AD3569">
        <v>-1.098397837219</v>
      </c>
      <c r="AE3569">
        <v>-4.3799999999975997E-2</v>
      </c>
      <c r="AF3569">
        <v>5.23228060308218</v>
      </c>
      <c r="AG3569">
        <v>-1.098397837219</v>
      </c>
      <c r="AH3569">
        <v>14.154963074798999</v>
      </c>
      <c r="AI3569">
        <v>94.162916861575198</v>
      </c>
      <c r="AJ3569">
        <v>69.713528522408893</v>
      </c>
      <c r="AK3569">
        <v>15.1309688310802</v>
      </c>
    </row>
    <row r="3570" spans="1:37" x14ac:dyDescent="0.2">
      <c r="A3570" t="str">
        <f>"20200111153505512"</f>
        <v>20200111153505512</v>
      </c>
      <c r="B3570" t="str">
        <f>"1578728105509079"</f>
        <v>1578728105509079</v>
      </c>
      <c r="C3570" t="s">
        <v>37</v>
      </c>
      <c r="D3570">
        <v>4.8747280000000002</v>
      </c>
      <c r="E3570">
        <v>0.58735950000000003</v>
      </c>
      <c r="F3570" t="s">
        <v>39</v>
      </c>
      <c r="G3570">
        <v>-223.1728</v>
      </c>
      <c r="H3570" s="1">
        <v>-3.7943459999999998E-6</v>
      </c>
      <c r="I3570">
        <v>142.98779999999999</v>
      </c>
      <c r="J3570">
        <v>-208.07749999999999</v>
      </c>
      <c r="K3570">
        <v>1.098471</v>
      </c>
      <c r="L3570">
        <v>142.9272</v>
      </c>
      <c r="M3570">
        <v>-0.94017899999999999</v>
      </c>
      <c r="N3570">
        <v>0</v>
      </c>
      <c r="O3570">
        <v>-0.34045229999999999</v>
      </c>
      <c r="P3570">
        <v>-0.9718521</v>
      </c>
      <c r="Q3570">
        <v>2.0545830000000001E-2</v>
      </c>
      <c r="R3570">
        <v>-0.23469499999999999</v>
      </c>
      <c r="S3570">
        <v>-3.0971679999999999</v>
      </c>
      <c r="T3570">
        <v>-0.22214400000000001</v>
      </c>
      <c r="U3570">
        <v>-1.876831E-3</v>
      </c>
      <c r="V3570">
        <v>0.1107069</v>
      </c>
      <c r="W3570">
        <v>3.1283829999999999E-2</v>
      </c>
      <c r="X3570">
        <v>0.99336059999999904</v>
      </c>
      <c r="Y3570">
        <v>0.33819260000000001</v>
      </c>
      <c r="Z3570">
        <v>3.6125709999999998E-2</v>
      </c>
      <c r="AA3570">
        <v>0.94038330000000003</v>
      </c>
      <c r="AB3570">
        <v>23</v>
      </c>
      <c r="AC3570">
        <v>-15.0953</v>
      </c>
      <c r="AD3570">
        <v>-1.098474794346</v>
      </c>
      <c r="AE3570">
        <v>6.0599999999993701E-2</v>
      </c>
      <c r="AF3570">
        <v>5.1692363675064801</v>
      </c>
      <c r="AG3570">
        <v>-1.098474794346</v>
      </c>
      <c r="AH3570">
        <v>14.098102363951099</v>
      </c>
      <c r="AI3570">
        <v>94.183966581192294</v>
      </c>
      <c r="AJ3570">
        <v>69.863939578277694</v>
      </c>
      <c r="AK3570">
        <v>15.056033400647401</v>
      </c>
    </row>
    <row r="3571" spans="1:37" x14ac:dyDescent="0.2">
      <c r="A3571" t="str">
        <f>"20200111153505535"</f>
        <v>20200111153505535</v>
      </c>
      <c r="B3571" t="str">
        <f>"1578728105529574"</f>
        <v>1578728105529574</v>
      </c>
      <c r="C3571" t="s">
        <v>37</v>
      </c>
      <c r="D3571">
        <v>4.8577639999999898</v>
      </c>
      <c r="E3571">
        <v>0.58702699999999997</v>
      </c>
      <c r="F3571" t="s">
        <v>39</v>
      </c>
      <c r="G3571">
        <v>-222.0712</v>
      </c>
      <c r="H3571" s="1">
        <v>-4.1329090000000003E-6</v>
      </c>
      <c r="I3571">
        <v>142.78299999999999</v>
      </c>
      <c r="J3571">
        <v>-208.30770000000001</v>
      </c>
      <c r="K3571">
        <v>1.0985549999999999</v>
      </c>
      <c r="L3571">
        <v>142.85579999999999</v>
      </c>
      <c r="M3571">
        <v>-0.94348600000000005</v>
      </c>
      <c r="N3571">
        <v>0</v>
      </c>
      <c r="O3571">
        <v>-0.331179</v>
      </c>
      <c r="P3571">
        <v>-0.97371679999999905</v>
      </c>
      <c r="Q3571">
        <v>2.06486E-2</v>
      </c>
      <c r="R3571">
        <v>-0.22682479999999999</v>
      </c>
      <c r="S3571">
        <v>-3.0843509999999998</v>
      </c>
      <c r="T3571">
        <v>-0.24211529999999901</v>
      </c>
      <c r="U3571">
        <v>-3.1753539999999997E-2</v>
      </c>
      <c r="V3571">
        <v>0.1089555</v>
      </c>
      <c r="W3571">
        <v>3.1393440000000002E-2</v>
      </c>
      <c r="X3571">
        <v>0.99355079999999996</v>
      </c>
      <c r="Y3571">
        <v>0.31950339999999999</v>
      </c>
      <c r="Z3571">
        <v>3.8090369999999998E-2</v>
      </c>
      <c r="AA3571">
        <v>0.94681919999999897</v>
      </c>
      <c r="AB3571">
        <v>23</v>
      </c>
      <c r="AC3571">
        <v>-13.763499999999899</v>
      </c>
      <c r="AD3571">
        <v>-1.0985591329090001</v>
      </c>
      <c r="AE3571">
        <v>-7.2800000000000795E-2</v>
      </c>
      <c r="AF3571">
        <v>4.4614218363102598</v>
      </c>
      <c r="AG3571">
        <v>-1.0985591329090001</v>
      </c>
      <c r="AH3571">
        <v>12.928424232797401</v>
      </c>
      <c r="AI3571">
        <v>94.592377815400894</v>
      </c>
      <c r="AJ3571">
        <v>70.961148049895897</v>
      </c>
      <c r="AK3571">
        <v>13.720614786269101</v>
      </c>
    </row>
    <row r="3572" spans="1:37" x14ac:dyDescent="0.2">
      <c r="A3572" t="str">
        <f>"20200111153505556"</f>
        <v>20200111153505556</v>
      </c>
      <c r="B3572" t="str">
        <f>"1578728105549094"</f>
        <v>1578728105549094</v>
      </c>
      <c r="C3572" t="s">
        <v>37</v>
      </c>
      <c r="D3572">
        <v>4.8551830000000002</v>
      </c>
      <c r="E3572">
        <v>0.58235550000000003</v>
      </c>
      <c r="F3572" t="s">
        <v>39</v>
      </c>
      <c r="G3572">
        <v>-222.34440000000001</v>
      </c>
      <c r="H3572" s="1">
        <v>-4.045519E-6</v>
      </c>
      <c r="I3572">
        <v>142.81440000000001</v>
      </c>
      <c r="J3572">
        <v>-208.53450000000001</v>
      </c>
      <c r="K3572">
        <v>1.0986389999999999</v>
      </c>
      <c r="L3572">
        <v>142.7877</v>
      </c>
      <c r="M3572">
        <v>-0.94660140000000004</v>
      </c>
      <c r="N3572">
        <v>0</v>
      </c>
      <c r="O3572">
        <v>-0.32216889999999998</v>
      </c>
      <c r="P3572">
        <v>-0.97549490000000005</v>
      </c>
      <c r="Q3572">
        <v>2.0859490000000001E-2</v>
      </c>
      <c r="R3572">
        <v>-0.21903300000000001</v>
      </c>
      <c r="S3572">
        <v>-3.0839840000000001</v>
      </c>
      <c r="T3572">
        <v>-0.24136379999999999</v>
      </c>
      <c r="U3572">
        <v>-9.0637210000000003E-3</v>
      </c>
      <c r="V3572">
        <v>0.1074196</v>
      </c>
      <c r="W3572">
        <v>3.160458E-2</v>
      </c>
      <c r="X3572">
        <v>0.99371129999999996</v>
      </c>
      <c r="Y3572">
        <v>0.31748130000000002</v>
      </c>
      <c r="Z3572">
        <v>3.7233780000000001E-2</v>
      </c>
      <c r="AA3572">
        <v>0.94753319999999996</v>
      </c>
      <c r="AB3572">
        <v>23</v>
      </c>
      <c r="AC3572">
        <v>-13.809900000000001</v>
      </c>
      <c r="AD3572">
        <v>-1.0986430455189999</v>
      </c>
      <c r="AE3572">
        <v>2.6700000000005199E-2</v>
      </c>
      <c r="AF3572">
        <v>4.4465946544440698</v>
      </c>
      <c r="AG3572">
        <v>-1.0986430455189999</v>
      </c>
      <c r="AH3572">
        <v>12.982701541151499</v>
      </c>
      <c r="AI3572">
        <v>94.577228394083704</v>
      </c>
      <c r="AJ3572">
        <v>71.093591429452999</v>
      </c>
      <c r="AK3572">
        <v>13.7669807826195</v>
      </c>
    </row>
    <row r="3573" spans="1:37" x14ac:dyDescent="0.2">
      <c r="A3573" t="str">
        <f>"20200111153505580"</f>
        <v>20200111153505580</v>
      </c>
      <c r="B3573" t="str">
        <f>"1578728105569590"</f>
        <v>1578728105569590</v>
      </c>
      <c r="C3573" t="s">
        <v>37</v>
      </c>
      <c r="D3573">
        <v>4.8308390000000001</v>
      </c>
      <c r="E3573">
        <v>0.58249549999999894</v>
      </c>
      <c r="F3573" t="s">
        <v>39</v>
      </c>
      <c r="G3573">
        <v>-221.5821</v>
      </c>
      <c r="H3573" s="1">
        <v>-4.2846060000000002E-6</v>
      </c>
      <c r="I3573">
        <v>142.69990000000001</v>
      </c>
      <c r="J3573">
        <v>-208.76349999999999</v>
      </c>
      <c r="K3573">
        <v>1.0987199999999999</v>
      </c>
      <c r="L3573">
        <v>142.72120000000001</v>
      </c>
      <c r="M3573">
        <v>-0.9496097</v>
      </c>
      <c r="N3573">
        <v>0</v>
      </c>
      <c r="O3573">
        <v>-0.31319200000000003</v>
      </c>
      <c r="P3573">
        <v>-0.97716250000000004</v>
      </c>
      <c r="Q3573">
        <v>2.0967099999999999E-2</v>
      </c>
      <c r="R3573">
        <v>-0.211456799999999</v>
      </c>
      <c r="S3573">
        <v>-3.076263</v>
      </c>
      <c r="T3573">
        <v>-0.25902969999999997</v>
      </c>
      <c r="U3573">
        <v>-2.0675659999999998E-2</v>
      </c>
      <c r="V3573">
        <v>0.10571469999999999</v>
      </c>
      <c r="W3573">
        <v>3.171181E-2</v>
      </c>
      <c r="X3573">
        <v>0.99389069999999902</v>
      </c>
      <c r="Y3573">
        <v>0.30466939999999998</v>
      </c>
      <c r="Z3573">
        <v>3.8783730000000002E-2</v>
      </c>
      <c r="AA3573">
        <v>0.95166819999999896</v>
      </c>
      <c r="AB3573">
        <v>23</v>
      </c>
      <c r="AC3573">
        <v>-12.8186</v>
      </c>
      <c r="AD3573">
        <v>-1.0987242846059999</v>
      </c>
      <c r="AE3573">
        <v>-2.1299999999996499E-2</v>
      </c>
      <c r="AF3573">
        <v>3.9656258272499301</v>
      </c>
      <c r="AG3573">
        <v>-1.0987242846059999</v>
      </c>
      <c r="AH3573">
        <v>12.0914320884661</v>
      </c>
      <c r="AI3573">
        <v>94.934843500346801</v>
      </c>
      <c r="AJ3573">
        <v>71.842066400091099</v>
      </c>
      <c r="AK3573">
        <v>12.7724748269599</v>
      </c>
    </row>
    <row r="3574" spans="1:37" x14ac:dyDescent="0.2">
      <c r="A3574" t="str">
        <f>"20200111153505600"</f>
        <v>20200111153505600</v>
      </c>
      <c r="B3574" t="str">
        <f>"1578728105589110"</f>
        <v>1578728105589110</v>
      </c>
      <c r="C3574" t="s">
        <v>37</v>
      </c>
      <c r="D3574">
        <v>4.8878949999999897</v>
      </c>
      <c r="E3574">
        <v>0.58178280000000004</v>
      </c>
      <c r="F3574" t="s">
        <v>39</v>
      </c>
      <c r="G3574">
        <v>-221.8494</v>
      </c>
      <c r="H3574" s="1">
        <v>-4.200964E-6</v>
      </c>
      <c r="I3574">
        <v>142.74119999999999</v>
      </c>
      <c r="J3574">
        <v>-208.97980000000001</v>
      </c>
      <c r="K3574">
        <v>1.098786</v>
      </c>
      <c r="L3574">
        <v>142.66040000000001</v>
      </c>
      <c r="M3574">
        <v>-0.95233089999999998</v>
      </c>
      <c r="N3574">
        <v>0</v>
      </c>
      <c r="O3574">
        <v>-0.30481999999999998</v>
      </c>
      <c r="P3574">
        <v>-0.9785722</v>
      </c>
      <c r="Q3574">
        <v>2.1347910000000001E-2</v>
      </c>
      <c r="R3574">
        <v>-0.20479520000000001</v>
      </c>
      <c r="S3574">
        <v>-3.0766909999999998</v>
      </c>
      <c r="T3574">
        <v>-0.25832689999999903</v>
      </c>
      <c r="U3574">
        <v>4.7149660000000001E-3</v>
      </c>
      <c r="V3574">
        <v>0.10373110000000001</v>
      </c>
      <c r="W3574">
        <v>3.209356E-2</v>
      </c>
      <c r="X3574">
        <v>0.99408750000000001</v>
      </c>
      <c r="Y3574">
        <v>0.30418519999999999</v>
      </c>
      <c r="Z3574">
        <v>3.7987599999999899E-2</v>
      </c>
      <c r="AA3574">
        <v>0.95185520000000001</v>
      </c>
      <c r="AB3574">
        <v>23</v>
      </c>
      <c r="AC3574">
        <v>-12.869599999999901</v>
      </c>
      <c r="AD3574">
        <v>-1.09879020096399</v>
      </c>
      <c r="AE3574">
        <v>8.0799999999982206E-2</v>
      </c>
      <c r="AF3574">
        <v>3.97121394371454</v>
      </c>
      <c r="AG3574">
        <v>-1.09879020096399</v>
      </c>
      <c r="AH3574">
        <v>12.1438898338789</v>
      </c>
      <c r="AI3574">
        <v>94.915308128742396</v>
      </c>
      <c r="AJ3574">
        <v>71.891564902436599</v>
      </c>
      <c r="AK3574">
        <v>12.8238816428519</v>
      </c>
    </row>
    <row r="3575" spans="1:37" x14ac:dyDescent="0.2">
      <c r="A3575" t="str">
        <f>"20200111153505624"</f>
        <v>20200111153505624</v>
      </c>
      <c r="B3575" t="str">
        <f>"1578728105619366"</f>
        <v>1578728105619366</v>
      </c>
      <c r="C3575" t="s">
        <v>37</v>
      </c>
      <c r="D3575">
        <v>4.8494359999999999</v>
      </c>
      <c r="E3575">
        <v>0.58116190000000001</v>
      </c>
      <c r="F3575" t="s">
        <v>39</v>
      </c>
      <c r="G3575">
        <v>-222.02350000000001</v>
      </c>
      <c r="H3575" s="1">
        <v>-4.1426720000000002E-6</v>
      </c>
      <c r="I3575">
        <v>142.7465</v>
      </c>
      <c r="J3575">
        <v>-209.22</v>
      </c>
      <c r="K3575">
        <v>1.0988450000000001</v>
      </c>
      <c r="L3575">
        <v>142.59530000000001</v>
      </c>
      <c r="M3575">
        <v>-0.95522809999999903</v>
      </c>
      <c r="N3575">
        <v>0</v>
      </c>
      <c r="O3575">
        <v>-0.29561729999999897</v>
      </c>
      <c r="P3575">
        <v>-0.98003850000000003</v>
      </c>
      <c r="Q3575">
        <v>2.1639220000000001E-2</v>
      </c>
      <c r="R3575">
        <v>-0.19762769999999999</v>
      </c>
      <c r="S3575">
        <v>-3.075577</v>
      </c>
      <c r="T3575">
        <v>-0.25908490000000001</v>
      </c>
      <c r="U3575">
        <v>2.030945E-2</v>
      </c>
      <c r="V3575">
        <v>0.1014108</v>
      </c>
      <c r="W3575">
        <v>3.2381420000000001E-2</v>
      </c>
      <c r="X3575">
        <v>0.99431749999999997</v>
      </c>
      <c r="Y3575">
        <v>0.29985499999999998</v>
      </c>
      <c r="Z3575">
        <v>3.7188949999999998E-2</v>
      </c>
      <c r="AA3575">
        <v>0.95325959999999998</v>
      </c>
      <c r="AB3575">
        <v>23</v>
      </c>
      <c r="AC3575">
        <v>-12.8035</v>
      </c>
      <c r="AD3575">
        <v>-1.098849142672</v>
      </c>
      <c r="AE3575">
        <v>0.15119999999998801</v>
      </c>
      <c r="AF3575">
        <v>3.9009313187727699</v>
      </c>
      <c r="AG3575">
        <v>-1.098849142672</v>
      </c>
      <c r="AH3575">
        <v>12.0973835279064</v>
      </c>
      <c r="AI3575">
        <v>94.940945223830596</v>
      </c>
      <c r="AJ3575">
        <v>72.127525855085096</v>
      </c>
      <c r="AK3575">
        <v>12.7581904208001</v>
      </c>
    </row>
    <row r="3576" spans="1:37" x14ac:dyDescent="0.2">
      <c r="A3576" t="str">
        <f>"20200111153505646"</f>
        <v>20200111153505646</v>
      </c>
      <c r="B3576" t="str">
        <f>"1578728105639862"</f>
        <v>1578728105639862</v>
      </c>
      <c r="C3576" t="s">
        <v>37</v>
      </c>
      <c r="D3576">
        <v>4.8609669999999996</v>
      </c>
      <c r="E3576">
        <v>0.58087330000000004</v>
      </c>
      <c r="F3576" t="s">
        <v>39</v>
      </c>
      <c r="G3576">
        <v>-222.0128</v>
      </c>
      <c r="H3576" s="1">
        <v>-4.1476629999999997E-6</v>
      </c>
      <c r="I3576">
        <v>142.7542</v>
      </c>
      <c r="J3576">
        <v>-209.45310000000001</v>
      </c>
      <c r="K3576">
        <v>1.0988830000000001</v>
      </c>
      <c r="L3576">
        <v>142.5343</v>
      </c>
      <c r="M3576">
        <v>-0.95792310000000003</v>
      </c>
      <c r="N3576">
        <v>0</v>
      </c>
      <c r="O3576">
        <v>-0.28676699999999999</v>
      </c>
      <c r="P3576">
        <v>-0.98130699999999904</v>
      </c>
      <c r="Q3576">
        <v>2.1706599999999899E-2</v>
      </c>
      <c r="R3576">
        <v>-0.191220899999999</v>
      </c>
      <c r="S3576">
        <v>-3.0746310000000001</v>
      </c>
      <c r="T3576">
        <v>-0.26409840000000001</v>
      </c>
      <c r="U3576">
        <v>3.8208010000000001E-2</v>
      </c>
      <c r="V3576">
        <v>9.8701689999999995E-2</v>
      </c>
      <c r="W3576">
        <v>3.2438130000000003E-2</v>
      </c>
      <c r="X3576">
        <v>0.99458829999999998</v>
      </c>
      <c r="Y3576">
        <v>0.29654320000000001</v>
      </c>
      <c r="Z3576">
        <v>3.7046490000000001E-2</v>
      </c>
      <c r="AA3576">
        <v>0.95430059999999906</v>
      </c>
      <c r="AB3576">
        <v>23</v>
      </c>
      <c r="AC3576">
        <v>-12.5596999999999</v>
      </c>
      <c r="AD3576">
        <v>-1.098887147663</v>
      </c>
      <c r="AE3576">
        <v>0.21989999999999499</v>
      </c>
      <c r="AF3576">
        <v>3.7836815968090098</v>
      </c>
      <c r="AG3576">
        <v>-1.098887147663</v>
      </c>
      <c r="AH3576">
        <v>11.878152662171001</v>
      </c>
      <c r="AI3576">
        <v>95.037553653854403</v>
      </c>
      <c r="AJ3576">
        <v>72.331177046177302</v>
      </c>
      <c r="AK3576">
        <v>12.514563917898601</v>
      </c>
    </row>
    <row r="3577" spans="1:37" x14ac:dyDescent="0.2">
      <c r="A3577" t="str">
        <f>"20200111153505670"</f>
        <v>20200111153505670</v>
      </c>
      <c r="B3577" t="str">
        <f>"1578728105659382"</f>
        <v>1578728105659382</v>
      </c>
      <c r="C3577" t="s">
        <v>37</v>
      </c>
      <c r="D3577">
        <v>4.8141749999999996</v>
      </c>
      <c r="E3577">
        <v>0.57702310000000001</v>
      </c>
      <c r="F3577" t="s">
        <v>39</v>
      </c>
      <c r="G3577">
        <v>-222.11709999999999</v>
      </c>
      <c r="H3577" s="1">
        <v>-4.1142749999999997E-6</v>
      </c>
      <c r="I3577">
        <v>142.76589999999999</v>
      </c>
      <c r="J3577">
        <v>-209.69229999999999</v>
      </c>
      <c r="K3577">
        <v>1.0989120000000001</v>
      </c>
      <c r="L3577">
        <v>142.47389999999999</v>
      </c>
      <c r="M3577">
        <v>-0.96057420000000004</v>
      </c>
      <c r="N3577">
        <v>0</v>
      </c>
      <c r="O3577">
        <v>-0.27776069999999897</v>
      </c>
      <c r="P3577">
        <v>-0.98261180000000004</v>
      </c>
      <c r="Q3577">
        <v>2.1810590000000001E-2</v>
      </c>
      <c r="R3577">
        <v>-0.1843872</v>
      </c>
      <c r="S3577">
        <v>-3.07402</v>
      </c>
      <c r="T3577">
        <v>-0.26674169999999903</v>
      </c>
      <c r="U3577">
        <v>5.6243899999999999E-2</v>
      </c>
      <c r="V3577">
        <v>9.6280729999999995E-2</v>
      </c>
      <c r="W3577">
        <v>3.2505810000000003E-2</v>
      </c>
      <c r="X3577">
        <v>0.99482329999999997</v>
      </c>
      <c r="Y3577">
        <v>0.29318149999999998</v>
      </c>
      <c r="Z3577">
        <v>3.652524E-2</v>
      </c>
      <c r="AA3577">
        <v>0.95535879999999995</v>
      </c>
      <c r="AB3577">
        <v>23</v>
      </c>
      <c r="AC3577">
        <v>-12.424799999999999</v>
      </c>
      <c r="AD3577">
        <v>-1.0989161142749999</v>
      </c>
      <c r="AE3577">
        <v>0.29200000000000098</v>
      </c>
      <c r="AF3577">
        <v>3.7029311196998802</v>
      </c>
      <c r="AG3577">
        <v>-1.0989161142749999</v>
      </c>
      <c r="AH3577">
        <v>11.762738580414601</v>
      </c>
      <c r="AI3577">
        <v>95.092305526735501</v>
      </c>
      <c r="AJ3577">
        <v>72.525904901554895</v>
      </c>
      <c r="AK3577">
        <v>12.380683923541101</v>
      </c>
    </row>
    <row r="3578" spans="1:37" x14ac:dyDescent="0.2">
      <c r="A3578" t="str">
        <f>"20200111153505691"</f>
        <v>20200111153505691</v>
      </c>
      <c r="B3578" t="str">
        <f>"1578728105679881"</f>
        <v>1578728105679881</v>
      </c>
      <c r="C3578" t="s">
        <v>37</v>
      </c>
      <c r="D3578">
        <v>4.8318750000000001</v>
      </c>
      <c r="E3578">
        <v>0.57617439999999998</v>
      </c>
      <c r="F3578" t="s">
        <v>39</v>
      </c>
      <c r="G3578">
        <v>-221.17490000000001</v>
      </c>
      <c r="H3578" s="1">
        <v>-4.414444E-6</v>
      </c>
      <c r="I3578">
        <v>142.6506</v>
      </c>
      <c r="J3578">
        <v>-209.91120000000001</v>
      </c>
      <c r="K3578">
        <v>1.098938</v>
      </c>
      <c r="L3578">
        <v>142.42060000000001</v>
      </c>
      <c r="M3578">
        <v>-0.96289969999999903</v>
      </c>
      <c r="N3578">
        <v>0</v>
      </c>
      <c r="O3578">
        <v>-0.26959260000000002</v>
      </c>
      <c r="P3578">
        <v>-0.98376849999999905</v>
      </c>
      <c r="Q3578">
        <v>2.217425E-2</v>
      </c>
      <c r="R3578">
        <v>-0.1780677</v>
      </c>
      <c r="S3578">
        <v>-3.068451</v>
      </c>
      <c r="T3578">
        <v>-0.29366059999999999</v>
      </c>
      <c r="U3578">
        <v>4.7225950000000003E-2</v>
      </c>
      <c r="V3578">
        <v>9.4223520000000005E-2</v>
      </c>
      <c r="W3578">
        <v>3.282036E-2</v>
      </c>
      <c r="X3578">
        <v>0.9950099</v>
      </c>
      <c r="Y3578">
        <v>0.2819005</v>
      </c>
      <c r="Z3578">
        <v>3.8970240000000003E-2</v>
      </c>
      <c r="AA3578">
        <v>0.9586519</v>
      </c>
      <c r="AB3578">
        <v>23</v>
      </c>
      <c r="AC3578">
        <v>-11.2637</v>
      </c>
      <c r="AD3578">
        <v>-1.0989424144439901</v>
      </c>
      <c r="AE3578">
        <v>0.22999999999998899</v>
      </c>
      <c r="AF3578">
        <v>3.22760122685531</v>
      </c>
      <c r="AG3578">
        <v>-1.0989424144439901</v>
      </c>
      <c r="AH3578">
        <v>10.6829359189008</v>
      </c>
      <c r="AI3578">
        <v>95.6239418685538</v>
      </c>
      <c r="AJ3578">
        <v>73.189026288209305</v>
      </c>
      <c r="AK3578">
        <v>11.2138398400014</v>
      </c>
    </row>
    <row r="3579" spans="1:37" x14ac:dyDescent="0.2">
      <c r="A3579" t="str">
        <f>"20200111153505713"</f>
        <v>20200111153505713</v>
      </c>
      <c r="B3579" t="str">
        <f>"1578728105709158"</f>
        <v>1578728105709158</v>
      </c>
      <c r="C3579" t="s">
        <v>37</v>
      </c>
      <c r="D3579">
        <v>4.845707</v>
      </c>
      <c r="E3579">
        <v>0.57490490000000005</v>
      </c>
      <c r="F3579" t="s">
        <v>39</v>
      </c>
      <c r="G3579">
        <v>-221.57919999999999</v>
      </c>
      <c r="H3579" s="1">
        <v>-4.2767799999999997E-6</v>
      </c>
      <c r="I3579">
        <v>142.65029999999999</v>
      </c>
      <c r="J3579">
        <v>-210.13650000000001</v>
      </c>
      <c r="K3579">
        <v>1.0989799999999901</v>
      </c>
      <c r="L3579">
        <v>142.36770000000001</v>
      </c>
      <c r="M3579">
        <v>-0.96519509999999897</v>
      </c>
      <c r="N3579">
        <v>0</v>
      </c>
      <c r="O3579">
        <v>-0.26125979999999999</v>
      </c>
      <c r="P3579">
        <v>-0.98476079999999999</v>
      </c>
      <c r="Q3579">
        <v>2.323793E-2</v>
      </c>
      <c r="R3579">
        <v>-0.172354799999999</v>
      </c>
      <c r="S3579">
        <v>-3.0669559999999998</v>
      </c>
      <c r="T3579">
        <v>-0.28885850000000002</v>
      </c>
      <c r="U3579">
        <v>6.037903E-2</v>
      </c>
      <c r="V3579">
        <v>9.140007E-2</v>
      </c>
      <c r="W3579">
        <v>3.3838779999999999E-2</v>
      </c>
      <c r="X3579">
        <v>0.99523909999999904</v>
      </c>
      <c r="Y3579">
        <v>0.27785949999999998</v>
      </c>
      <c r="Z3579">
        <v>3.7404729999999997E-2</v>
      </c>
      <c r="AA3579">
        <v>0.959893199999999</v>
      </c>
      <c r="AB3579">
        <v>23</v>
      </c>
      <c r="AC3579">
        <v>-11.442699999999901</v>
      </c>
      <c r="AD3579">
        <v>-1.09898427677999</v>
      </c>
      <c r="AE3579">
        <v>0.28259999999997298</v>
      </c>
      <c r="AF3579">
        <v>3.23271204929484</v>
      </c>
      <c r="AG3579">
        <v>-1.09898427677999</v>
      </c>
      <c r="AH3579">
        <v>10.8711674421846</v>
      </c>
      <c r="AI3579">
        <v>95.534579974480806</v>
      </c>
      <c r="AJ3579">
        <v>73.439329067681399</v>
      </c>
      <c r="AK3579">
        <v>11.394756477884</v>
      </c>
    </row>
    <row r="3580" spans="1:37" x14ac:dyDescent="0.2">
      <c r="A3580" t="str">
        <f>"20200111153505736"</f>
        <v>20200111153505736</v>
      </c>
      <c r="B3580" t="str">
        <f>"1578728105729653"</f>
        <v>1578728105729653</v>
      </c>
      <c r="C3580" t="s">
        <v>37</v>
      </c>
      <c r="D3580">
        <v>4.7495709999999898</v>
      </c>
      <c r="E3580">
        <v>0.57185280000000005</v>
      </c>
      <c r="F3580" t="s">
        <v>39</v>
      </c>
      <c r="G3580">
        <v>-221.76929999999999</v>
      </c>
      <c r="H3580" s="1">
        <v>-4.2078499999999999E-6</v>
      </c>
      <c r="I3580">
        <v>142.62639999999999</v>
      </c>
      <c r="J3580">
        <v>-210.37780000000001</v>
      </c>
      <c r="K3580">
        <v>1.099024</v>
      </c>
      <c r="L3580">
        <v>142.31319999999999</v>
      </c>
      <c r="M3580">
        <v>-0.96754569999999995</v>
      </c>
      <c r="N3580">
        <v>0</v>
      </c>
      <c r="O3580">
        <v>-0.25242129999999902</v>
      </c>
      <c r="P3580">
        <v>-0.98578980000000005</v>
      </c>
      <c r="Q3580">
        <v>2.3787530000000001E-2</v>
      </c>
      <c r="R3580">
        <v>-0.1662922</v>
      </c>
      <c r="S3580">
        <v>-3.0652009999999899</v>
      </c>
      <c r="T3580">
        <v>-0.28957929999999998</v>
      </c>
      <c r="U3580">
        <v>6.8161009999999994E-2</v>
      </c>
      <c r="V3580">
        <v>8.8418120000000003E-2</v>
      </c>
      <c r="W3580">
        <v>3.4334410000000003E-2</v>
      </c>
      <c r="X3580">
        <v>0.99549149999999997</v>
      </c>
      <c r="Y3580">
        <v>0.27157120000000001</v>
      </c>
      <c r="Z3580">
        <v>3.6411260000000001E-2</v>
      </c>
      <c r="AA3580">
        <v>0.96172930000000001</v>
      </c>
      <c r="AB3580">
        <v>24</v>
      </c>
      <c r="AC3580">
        <v>-11.391499999999899</v>
      </c>
      <c r="AD3580">
        <v>-1.09902820785</v>
      </c>
      <c r="AE3580">
        <v>0.31319999999999398</v>
      </c>
      <c r="AF3580">
        <v>3.1494205438320102</v>
      </c>
      <c r="AG3580">
        <v>-1.09902820785</v>
      </c>
      <c r="AH3580">
        <v>10.842650986761001</v>
      </c>
      <c r="AI3580">
        <v>95.559569207114706</v>
      </c>
      <c r="AJ3580">
        <v>73.803219957014505</v>
      </c>
      <c r="AK3580">
        <v>11.344152378396201</v>
      </c>
    </row>
    <row r="3581" spans="1:37" x14ac:dyDescent="0.2">
      <c r="A3581" t="str">
        <f>"20200111153505758"</f>
        <v>20200111153505758</v>
      </c>
      <c r="B3581" t="str">
        <f>"1578728105749174"</f>
        <v>1578728105749174</v>
      </c>
      <c r="C3581" t="s">
        <v>37</v>
      </c>
      <c r="D3581">
        <v>4.8354489999999997</v>
      </c>
      <c r="E3581">
        <v>0.56857179999999996</v>
      </c>
      <c r="F3581" t="s">
        <v>39</v>
      </c>
      <c r="G3581">
        <v>-222.1722</v>
      </c>
      <c r="H3581" s="1">
        <v>-4.0583749999999999E-6</v>
      </c>
      <c r="I3581">
        <v>142.55670000000001</v>
      </c>
      <c r="J3581">
        <v>-210.61789999999999</v>
      </c>
      <c r="K3581">
        <v>1.0990719999999901</v>
      </c>
      <c r="L3581">
        <v>142.261</v>
      </c>
      <c r="M3581">
        <v>-0.96977479999999905</v>
      </c>
      <c r="N3581">
        <v>0</v>
      </c>
      <c r="O3581">
        <v>-0.2437223</v>
      </c>
      <c r="P3581">
        <v>-0.98674569999999995</v>
      </c>
      <c r="Q3581">
        <v>2.4412059999999999E-2</v>
      </c>
      <c r="R3581">
        <v>-0.1604286</v>
      </c>
      <c r="S3581">
        <v>-3.060791</v>
      </c>
      <c r="T3581">
        <v>-0.28521180000000002</v>
      </c>
      <c r="U3581">
        <v>6.3201900000000005E-2</v>
      </c>
      <c r="V3581">
        <v>8.5393090000000005E-2</v>
      </c>
      <c r="W3581">
        <v>3.4898169999999999E-2</v>
      </c>
      <c r="X3581">
        <v>0.99573599999999995</v>
      </c>
      <c r="Y3581">
        <v>0.2615343</v>
      </c>
      <c r="Z3581">
        <v>3.4658649999999999E-2</v>
      </c>
      <c r="AA3581">
        <v>0.96457169999999903</v>
      </c>
      <c r="AB3581">
        <v>24</v>
      </c>
      <c r="AC3581">
        <v>-11.5543</v>
      </c>
      <c r="AD3581">
        <v>-1.0990760583750001</v>
      </c>
      <c r="AE3581">
        <v>0.29570000000001001</v>
      </c>
      <c r="AF3581">
        <v>3.0752071596539801</v>
      </c>
      <c r="AG3581">
        <v>-1.0990760583750001</v>
      </c>
      <c r="AH3581">
        <v>11.033985213240101</v>
      </c>
      <c r="AI3581">
        <v>95.480831697360799</v>
      </c>
      <c r="AJ3581">
        <v>74.426675337602703</v>
      </c>
      <c r="AK3581">
        <v>11.507115057340901</v>
      </c>
    </row>
    <row r="3582" spans="1:37" x14ac:dyDescent="0.2">
      <c r="A3582" t="str">
        <f>"20200111153505780"</f>
        <v>20200111153505780</v>
      </c>
      <c r="B3582" t="str">
        <f>"1578728105769684"</f>
        <v>1578728105769684</v>
      </c>
      <c r="C3582" t="s">
        <v>37</v>
      </c>
      <c r="D3582">
        <v>4.8060239999999999</v>
      </c>
      <c r="E3582">
        <v>0.56597569999999997</v>
      </c>
      <c r="F3582" t="s">
        <v>39</v>
      </c>
      <c r="G3582">
        <v>-223.01240000000001</v>
      </c>
      <c r="H3582" s="1">
        <v>-3.74400199999999E-6</v>
      </c>
      <c r="I3582">
        <v>142.4879</v>
      </c>
      <c r="J3582">
        <v>-210.84299999999999</v>
      </c>
      <c r="K3582">
        <v>1.0991150000000001</v>
      </c>
      <c r="L3582">
        <v>142.2141</v>
      </c>
      <c r="M3582">
        <v>-0.97176469999999904</v>
      </c>
      <c r="N3582">
        <v>0</v>
      </c>
      <c r="O3582">
        <v>-0.2356694</v>
      </c>
      <c r="P3582">
        <v>-0.98764540000000001</v>
      </c>
      <c r="Q3582">
        <v>2.4049270000000001E-2</v>
      </c>
      <c r="R3582">
        <v>-0.15484879999999901</v>
      </c>
      <c r="S3582">
        <v>-3.0560909999999999</v>
      </c>
      <c r="T3582">
        <v>-0.27099669999999998</v>
      </c>
      <c r="U3582">
        <v>5.5938719999999997E-2</v>
      </c>
      <c r="V3582">
        <v>8.2750110000000002E-2</v>
      </c>
      <c r="W3582">
        <v>3.44526E-2</v>
      </c>
      <c r="X3582">
        <v>0.99597459999999904</v>
      </c>
      <c r="Y3582">
        <v>0.25153110000000001</v>
      </c>
      <c r="Z3582">
        <v>3.184791E-2</v>
      </c>
      <c r="AA3582">
        <v>0.96732510000000005</v>
      </c>
      <c r="AB3582">
        <v>24</v>
      </c>
      <c r="AC3582">
        <v>-12.1694</v>
      </c>
      <c r="AD3582">
        <v>-1.099118744002</v>
      </c>
      <c r="AE3582">
        <v>0.27379999999999399</v>
      </c>
      <c r="AF3582">
        <v>3.1088857345539198</v>
      </c>
      <c r="AG3582">
        <v>-1.099118744002</v>
      </c>
      <c r="AH3582">
        <v>11.666927581705901</v>
      </c>
      <c r="AI3582">
        <v>95.201389780615798</v>
      </c>
      <c r="AJ3582">
        <v>75.079105513314403</v>
      </c>
      <c r="AK3582">
        <v>12.1239610573731</v>
      </c>
    </row>
    <row r="3583" spans="1:37" x14ac:dyDescent="0.2">
      <c r="A3583" t="str">
        <f>"20200111153505802"</f>
        <v>20200111153505802</v>
      </c>
      <c r="B3583" t="str">
        <f>"1578728105799926"</f>
        <v>1578728105799926</v>
      </c>
      <c r="C3583" t="s">
        <v>37</v>
      </c>
      <c r="D3583">
        <v>4.8101120000000002</v>
      </c>
      <c r="E3583">
        <v>0.5633011</v>
      </c>
      <c r="F3583" t="s">
        <v>39</v>
      </c>
      <c r="G3583">
        <v>-223.69759999999999</v>
      </c>
      <c r="H3583" s="1">
        <v>-3.43651299999999E-6</v>
      </c>
      <c r="I3583">
        <v>142.43680000000001</v>
      </c>
      <c r="J3583">
        <v>-211.0797</v>
      </c>
      <c r="K3583">
        <v>1.0991549999999899</v>
      </c>
      <c r="L3583">
        <v>142.16679999999999</v>
      </c>
      <c r="M3583">
        <v>-0.97375389999999995</v>
      </c>
      <c r="N3583">
        <v>0</v>
      </c>
      <c r="O3583">
        <v>-0.22731889999999999</v>
      </c>
      <c r="P3583">
        <v>-0.98860210000000004</v>
      </c>
      <c r="Q3583">
        <v>2.3824560000000002E-2</v>
      </c>
      <c r="R3583">
        <v>-0.1486555</v>
      </c>
      <c r="S3583">
        <v>-3.0521699999999998</v>
      </c>
      <c r="T3583">
        <v>-0.26097350000000002</v>
      </c>
      <c r="U3583">
        <v>5.2886959999999997E-2</v>
      </c>
      <c r="V3583">
        <v>8.0432870000000004E-2</v>
      </c>
      <c r="W3583">
        <v>3.4116149999999998E-2</v>
      </c>
      <c r="X3583">
        <v>0.99617599999999995</v>
      </c>
      <c r="Y3583">
        <v>0.2424666</v>
      </c>
      <c r="Z3583">
        <v>2.9628089999999999E-2</v>
      </c>
      <c r="AA3583">
        <v>0.96970730000000005</v>
      </c>
      <c r="AB3583">
        <v>24</v>
      </c>
      <c r="AC3583">
        <v>-12.617899999999899</v>
      </c>
      <c r="AD3583">
        <v>-1.0991584365129901</v>
      </c>
      <c r="AE3583">
        <v>0.27000000000001001</v>
      </c>
      <c r="AF3583">
        <v>3.1078309380248599</v>
      </c>
      <c r="AG3583">
        <v>-1.0991584365129901</v>
      </c>
      <c r="AH3583">
        <v>12.134109125041199</v>
      </c>
      <c r="AI3583">
        <v>95.014954980820505</v>
      </c>
      <c r="AJ3583">
        <v>75.634020888909305</v>
      </c>
      <c r="AK3583">
        <v>12.573916122923301</v>
      </c>
    </row>
    <row r="3584" spans="1:37" x14ac:dyDescent="0.2">
      <c r="A3584" t="str">
        <f>"20200111153505825"</f>
        <v>20200111153505825</v>
      </c>
      <c r="B3584" t="str">
        <f>"1578728105819446"</f>
        <v>1578728105819446</v>
      </c>
      <c r="C3584" t="s">
        <v>37</v>
      </c>
      <c r="D3584">
        <v>4.8044589999999996</v>
      </c>
      <c r="E3584">
        <v>0.56184100000000003</v>
      </c>
      <c r="F3584" t="s">
        <v>39</v>
      </c>
      <c r="G3584">
        <v>-224.56229999999999</v>
      </c>
      <c r="H3584" s="1">
        <v>-3.0538669999999998E-6</v>
      </c>
      <c r="I3584">
        <v>142.393</v>
      </c>
      <c r="J3584">
        <v>-211.3237</v>
      </c>
      <c r="K3584">
        <v>1.099194</v>
      </c>
      <c r="L3584">
        <v>142.12010000000001</v>
      </c>
      <c r="M3584">
        <v>-0.97569889999999904</v>
      </c>
      <c r="N3584">
        <v>0</v>
      </c>
      <c r="O3584">
        <v>-0.21882840000000001</v>
      </c>
      <c r="P3584">
        <v>-0.98949310000000001</v>
      </c>
      <c r="Q3584">
        <v>2.4080379999999998E-2</v>
      </c>
      <c r="R3584">
        <v>-0.14256150000000001</v>
      </c>
      <c r="S3584">
        <v>-3.048279</v>
      </c>
      <c r="T3584">
        <v>-0.24850839999999999</v>
      </c>
      <c r="U3584">
        <v>5.1162720000000002E-2</v>
      </c>
      <c r="V3584">
        <v>7.7887199999999907E-2</v>
      </c>
      <c r="W3584">
        <v>3.4261979999999997E-2</v>
      </c>
      <c r="X3584">
        <v>0.99637330000000002</v>
      </c>
      <c r="Y3584">
        <v>0.23369290000000001</v>
      </c>
      <c r="Z3584">
        <v>2.7218240000000001E-2</v>
      </c>
      <c r="AA3584">
        <v>0.97192939999999906</v>
      </c>
      <c r="AB3584">
        <v>24</v>
      </c>
      <c r="AC3584">
        <v>-13.2385999999999</v>
      </c>
      <c r="AD3584">
        <v>-1.099197053867</v>
      </c>
      <c r="AE3584">
        <v>0.27289999999999198</v>
      </c>
      <c r="AF3584">
        <v>3.1417987075814602</v>
      </c>
      <c r="AG3584">
        <v>-1.099197053867</v>
      </c>
      <c r="AH3584">
        <v>12.769979922730601</v>
      </c>
      <c r="AI3584">
        <v>94.777910522065895</v>
      </c>
      <c r="AJ3584">
        <v>76.1780373796025</v>
      </c>
      <c r="AK3584">
        <v>13.1966480785513</v>
      </c>
    </row>
    <row r="3585" spans="1:37" x14ac:dyDescent="0.2">
      <c r="A3585" t="str">
        <f>"20200111153505847"</f>
        <v>20200111153505847</v>
      </c>
      <c r="B3585" t="str">
        <f>"1578728105839942"</f>
        <v>1578728105839942</v>
      </c>
      <c r="C3585" t="s">
        <v>37</v>
      </c>
      <c r="D3585">
        <v>4.842066</v>
      </c>
      <c r="E3585">
        <v>0.56072010000000005</v>
      </c>
      <c r="F3585" t="s">
        <v>39</v>
      </c>
      <c r="G3585">
        <v>-225.16409999999999</v>
      </c>
      <c r="H3585" s="1">
        <v>-2.794312E-6</v>
      </c>
      <c r="I3585">
        <v>142.3877</v>
      </c>
      <c r="J3585">
        <v>-211.55799999999999</v>
      </c>
      <c r="K3585">
        <v>1.0992249999999999</v>
      </c>
      <c r="L3585">
        <v>142.077</v>
      </c>
      <c r="M3585">
        <v>-0.97747329999999999</v>
      </c>
      <c r="N3585">
        <v>0</v>
      </c>
      <c r="O3585">
        <v>-0.21076929999999899</v>
      </c>
      <c r="P3585">
        <v>-0.99024669999999904</v>
      </c>
      <c r="Q3585">
        <v>2.4442390000000001E-2</v>
      </c>
      <c r="R3585">
        <v>-0.13716489999999901</v>
      </c>
      <c r="S3585">
        <v>-3.0462189999999998</v>
      </c>
      <c r="T3585">
        <v>-0.24192919999999901</v>
      </c>
      <c r="U3585">
        <v>5.8914179999999997E-2</v>
      </c>
      <c r="V3585">
        <v>7.509238E-2</v>
      </c>
      <c r="W3585">
        <v>3.4516930000000001E-2</v>
      </c>
      <c r="X3585">
        <v>0.99657899999999999</v>
      </c>
      <c r="Y3585">
        <v>0.228269</v>
      </c>
      <c r="Z3585">
        <v>2.5675179999999999E-2</v>
      </c>
      <c r="AA3585">
        <v>0.97325949999999894</v>
      </c>
      <c r="AB3585">
        <v>24</v>
      </c>
      <c r="AC3585">
        <v>-13.6060999999999</v>
      </c>
      <c r="AD3585">
        <v>-1.0992277943119999</v>
      </c>
      <c r="AE3585">
        <v>0.31069999999999698</v>
      </c>
      <c r="AF3585">
        <v>3.1510868366475902</v>
      </c>
      <c r="AG3585">
        <v>-1.0992277943119999</v>
      </c>
      <c r="AH3585">
        <v>13.149143814933399</v>
      </c>
      <c r="AI3585">
        <v>94.647649729425893</v>
      </c>
      <c r="AJ3585">
        <v>76.523664221882697</v>
      </c>
      <c r="AK3585">
        <v>13.5660470683867</v>
      </c>
    </row>
    <row r="3586" spans="1:37" x14ac:dyDescent="0.2">
      <c r="A3586" t="str">
        <f>"20200111153505870"</f>
        <v>20200111153505870</v>
      </c>
      <c r="B3586" t="str">
        <f>"1578728105859461"</f>
        <v>1578728105859461</v>
      </c>
      <c r="C3586" t="s">
        <v>37</v>
      </c>
      <c r="D3586">
        <v>4.7757100000000001</v>
      </c>
      <c r="E3586">
        <v>0.55974809999999997</v>
      </c>
      <c r="F3586" t="s">
        <v>39</v>
      </c>
      <c r="G3586">
        <v>-225.7054</v>
      </c>
      <c r="H3586" s="1">
        <v>-2.5622919999999998E-6</v>
      </c>
      <c r="I3586">
        <v>142.38839999999999</v>
      </c>
      <c r="J3586">
        <v>-211.79820000000001</v>
      </c>
      <c r="K3586">
        <v>1.099251</v>
      </c>
      <c r="L3586">
        <v>142.03489999999999</v>
      </c>
      <c r="M3586">
        <v>-0.97919909999999999</v>
      </c>
      <c r="N3586">
        <v>0</v>
      </c>
      <c r="O3586">
        <v>-0.20260999999999901</v>
      </c>
      <c r="P3586">
        <v>-0.99090599999999995</v>
      </c>
      <c r="Q3586">
        <v>2.5006029999999999E-2</v>
      </c>
      <c r="R3586">
        <v>-0.1322131</v>
      </c>
      <c r="S3586">
        <v>-3.04466199999999</v>
      </c>
      <c r="T3586">
        <v>-0.236565099999999</v>
      </c>
      <c r="U3586">
        <v>6.7031859999999999E-2</v>
      </c>
      <c r="V3586">
        <v>7.1759340000000005E-2</v>
      </c>
      <c r="W3586">
        <v>3.4948680000000003E-2</v>
      </c>
      <c r="X3586">
        <v>0.99680949999999902</v>
      </c>
      <c r="Y3586">
        <v>0.2228504</v>
      </c>
      <c r="Z3586">
        <v>2.428756E-2</v>
      </c>
      <c r="AA3586">
        <v>0.97455009999999997</v>
      </c>
      <c r="AB3586">
        <v>24</v>
      </c>
      <c r="AC3586">
        <v>-13.9071999999999</v>
      </c>
      <c r="AD3586">
        <v>-1.0992535622920001</v>
      </c>
      <c r="AE3586">
        <v>0.35349999999999598</v>
      </c>
      <c r="AF3586">
        <v>3.14443919478681</v>
      </c>
      <c r="AG3586">
        <v>-1.0992535622920001</v>
      </c>
      <c r="AH3586">
        <v>13.463038514819701</v>
      </c>
      <c r="AI3586">
        <v>94.546016593368606</v>
      </c>
      <c r="AJ3586">
        <v>76.853613730221994</v>
      </c>
      <c r="AK3586">
        <v>13.869003651864899</v>
      </c>
    </row>
    <row r="3587" spans="1:37" x14ac:dyDescent="0.2">
      <c r="A3587" t="str">
        <f>"20200111153505893"</f>
        <v>20200111153505893</v>
      </c>
      <c r="B3587" t="str">
        <f>"1578728105889719"</f>
        <v>1578728105889719</v>
      </c>
      <c r="C3587" t="s">
        <v>37</v>
      </c>
      <c r="D3587">
        <v>4.8244020000000001</v>
      </c>
      <c r="E3587">
        <v>0.55853369999999902</v>
      </c>
      <c r="F3587" t="s">
        <v>39</v>
      </c>
      <c r="G3587">
        <v>-226.25040000000001</v>
      </c>
      <c r="H3587" s="1">
        <v>-2.3296359999999998E-6</v>
      </c>
      <c r="I3587">
        <v>142.39269999999999</v>
      </c>
      <c r="J3587">
        <v>-212.04150000000001</v>
      </c>
      <c r="K3587">
        <v>1.09927</v>
      </c>
      <c r="L3587">
        <v>141.994</v>
      </c>
      <c r="M3587">
        <v>-0.98085169999999999</v>
      </c>
      <c r="N3587">
        <v>0</v>
      </c>
      <c r="O3587">
        <v>-0.19446440000000001</v>
      </c>
      <c r="P3587">
        <v>-0.99153910000000001</v>
      </c>
      <c r="Q3587">
        <v>2.5217570000000002E-2</v>
      </c>
      <c r="R3587">
        <v>-0.12733649999999999</v>
      </c>
      <c r="S3587">
        <v>-3.04344199999999</v>
      </c>
      <c r="T3587">
        <v>-0.23148920000000001</v>
      </c>
      <c r="U3587">
        <v>7.5378420000000002E-2</v>
      </c>
      <c r="V3587">
        <v>6.8371399999999999E-2</v>
      </c>
      <c r="W3587">
        <v>3.4994909999999997E-2</v>
      </c>
      <c r="X3587">
        <v>0.99704599999999899</v>
      </c>
      <c r="Y3587">
        <v>0.21751770000000001</v>
      </c>
      <c r="Z3587">
        <v>2.2965340000000001E-2</v>
      </c>
      <c r="AA3587">
        <v>0.97578609999999899</v>
      </c>
      <c r="AB3587">
        <v>24</v>
      </c>
      <c r="AC3587">
        <v>-14.2089</v>
      </c>
      <c r="AD3587">
        <v>-1.0992723296360001</v>
      </c>
      <c r="AE3587">
        <v>0.39869999999999001</v>
      </c>
      <c r="AF3587">
        <v>3.13561685970474</v>
      </c>
      <c r="AG3587">
        <v>-1.0992723296360001</v>
      </c>
      <c r="AH3587">
        <v>13.7776782483338</v>
      </c>
      <c r="AI3587">
        <v>94.448486794864095</v>
      </c>
      <c r="AJ3587">
        <v>77.178627235785797</v>
      </c>
      <c r="AK3587">
        <v>14.1726818443151</v>
      </c>
    </row>
    <row r="3588" spans="1:37" x14ac:dyDescent="0.2">
      <c r="A3588" t="str">
        <f>"20200111153505915"</f>
        <v>20200111153505915</v>
      </c>
      <c r="B3588" t="str">
        <f>"1578728105909238"</f>
        <v>1578728105909238</v>
      </c>
      <c r="C3588" t="s">
        <v>37</v>
      </c>
      <c r="D3588">
        <v>4.8336879999999898</v>
      </c>
      <c r="E3588">
        <v>0.55783079999999996</v>
      </c>
      <c r="F3588" t="s">
        <v>39</v>
      </c>
      <c r="G3588">
        <v>-226.73089999999999</v>
      </c>
      <c r="H3588" s="1">
        <v>-2.1215719999999998E-6</v>
      </c>
      <c r="I3588">
        <v>142.38550000000001</v>
      </c>
      <c r="J3588">
        <v>-212.2756</v>
      </c>
      <c r="K3588">
        <v>1.0992879999999901</v>
      </c>
      <c r="L3588">
        <v>141.95660000000001</v>
      </c>
      <c r="M3588">
        <v>-0.98235260000000002</v>
      </c>
      <c r="N3588">
        <v>0</v>
      </c>
      <c r="O3588">
        <v>-0.186748</v>
      </c>
      <c r="P3588">
        <v>-0.99228189999999905</v>
      </c>
      <c r="Q3588">
        <v>2.500465E-2</v>
      </c>
      <c r="R3588">
        <v>-0.12145689999999899</v>
      </c>
      <c r="S3588">
        <v>-3.0418090000000002</v>
      </c>
      <c r="T3588">
        <v>-0.22763269999999999</v>
      </c>
      <c r="U3588">
        <v>8.1069950000000002E-2</v>
      </c>
      <c r="V3588">
        <v>6.6433220000000001E-2</v>
      </c>
      <c r="W3588">
        <v>3.4585079999999997E-2</v>
      </c>
      <c r="X3588">
        <v>0.9971913</v>
      </c>
      <c r="Y3588">
        <v>0.2117552</v>
      </c>
      <c r="Z3588">
        <v>2.1811520000000001E-2</v>
      </c>
      <c r="AA3588">
        <v>0.97707929999999998</v>
      </c>
      <c r="AB3588">
        <v>24</v>
      </c>
      <c r="AC3588">
        <v>-14.4552999999999</v>
      </c>
      <c r="AD3588">
        <v>-1.0992901215719999</v>
      </c>
      <c r="AE3588">
        <v>0.42889999999999801</v>
      </c>
      <c r="AF3588">
        <v>3.1030688226099401</v>
      </c>
      <c r="AG3588">
        <v>-1.0992901215719999</v>
      </c>
      <c r="AH3588">
        <v>14.0397481105569</v>
      </c>
      <c r="AI3588">
        <v>94.371947404345505</v>
      </c>
      <c r="AJ3588">
        <v>77.536835341299295</v>
      </c>
      <c r="AK3588">
        <v>14.420540971029</v>
      </c>
    </row>
    <row r="3589" spans="1:37" x14ac:dyDescent="0.2">
      <c r="A3589" t="str">
        <f>"20200111153505937"</f>
        <v>20200111153505937</v>
      </c>
      <c r="B3589" t="str">
        <f>"1578728105929734"</f>
        <v>1578728105929734</v>
      </c>
      <c r="C3589" t="s">
        <v>37</v>
      </c>
      <c r="D3589">
        <v>4.8464720000000003</v>
      </c>
      <c r="E3589">
        <v>0.55719619999999903</v>
      </c>
      <c r="F3589" t="s">
        <v>39</v>
      </c>
      <c r="G3589">
        <v>-226.9333</v>
      </c>
      <c r="H3589" s="1">
        <v>-2.0406750000000002E-6</v>
      </c>
      <c r="I3589">
        <v>142.40790000000001</v>
      </c>
      <c r="J3589">
        <v>-212.51570000000001</v>
      </c>
      <c r="K3589">
        <v>1.0993230000000001</v>
      </c>
      <c r="L3589">
        <v>141.91990000000001</v>
      </c>
      <c r="M3589">
        <v>-0.98380489999999998</v>
      </c>
      <c r="N3589">
        <v>0</v>
      </c>
      <c r="O3589">
        <v>-0.17895349999999999</v>
      </c>
      <c r="P3589">
        <v>-0.99276059999999999</v>
      </c>
      <c r="Q3589">
        <v>2.5742810000000001E-2</v>
      </c>
      <c r="R3589">
        <v>-0.1173211</v>
      </c>
      <c r="S3589">
        <v>-3.0405579999999999</v>
      </c>
      <c r="T3589">
        <v>-0.2280343</v>
      </c>
      <c r="U3589">
        <v>9.3627929999999998E-2</v>
      </c>
      <c r="V3589">
        <v>6.2677990000000003E-2</v>
      </c>
      <c r="W3589">
        <v>3.5130250000000002E-2</v>
      </c>
      <c r="X3589">
        <v>0.9974153</v>
      </c>
      <c r="Y3589">
        <v>0.20807619999999999</v>
      </c>
      <c r="Z3589">
        <v>2.114423E-2</v>
      </c>
      <c r="AA3589">
        <v>0.97788410000000003</v>
      </c>
      <c r="AB3589">
        <v>24</v>
      </c>
      <c r="AC3589">
        <v>-14.417599999999901</v>
      </c>
      <c r="AD3589">
        <v>-1.0993250406749999</v>
      </c>
      <c r="AE3589">
        <v>0.48799999999999899</v>
      </c>
      <c r="AF3589">
        <v>3.0426657863836102</v>
      </c>
      <c r="AG3589">
        <v>-1.0993250406749999</v>
      </c>
      <c r="AH3589">
        <v>14.016111447803601</v>
      </c>
      <c r="AI3589">
        <v>94.383021315073293</v>
      </c>
      <c r="AJ3589">
        <v>77.752070295265</v>
      </c>
      <c r="AK3589">
        <v>14.3846345365441</v>
      </c>
    </row>
    <row r="3590" spans="1:37" x14ac:dyDescent="0.2">
      <c r="A3590" t="str">
        <f>"20200111153505959"</f>
        <v>20200111153505959</v>
      </c>
      <c r="B3590" t="str">
        <f>"1578728105949254"</f>
        <v>1578728105949254</v>
      </c>
      <c r="C3590" t="s">
        <v>37</v>
      </c>
      <c r="D3590">
        <v>4.8221889999999998</v>
      </c>
      <c r="E3590">
        <v>0.55658879999999999</v>
      </c>
      <c r="F3590" t="s">
        <v>39</v>
      </c>
      <c r="G3590">
        <v>-227.35040000000001</v>
      </c>
      <c r="H3590" s="1">
        <v>-1.863921E-6</v>
      </c>
      <c r="I3590">
        <v>142.4161</v>
      </c>
      <c r="J3590">
        <v>-212.76130000000001</v>
      </c>
      <c r="K3590">
        <v>1.0993549999999901</v>
      </c>
      <c r="L3590">
        <v>141.88419999999999</v>
      </c>
      <c r="M3590">
        <v>-0.98520280000000005</v>
      </c>
      <c r="N3590">
        <v>0</v>
      </c>
      <c r="O3590">
        <v>-0.17110590000000001</v>
      </c>
      <c r="P3590">
        <v>-0.99319120000000005</v>
      </c>
      <c r="Q3590">
        <v>2.6818249999999998E-2</v>
      </c>
      <c r="R3590">
        <v>-0.1133682</v>
      </c>
      <c r="S3590">
        <v>-3.0397189999999998</v>
      </c>
      <c r="T3590">
        <v>-0.225257499999999</v>
      </c>
      <c r="U3590">
        <v>0.1016846</v>
      </c>
      <c r="V3590">
        <v>5.8695490000000003E-2</v>
      </c>
      <c r="W3590">
        <v>3.5997069999999999E-2</v>
      </c>
      <c r="X3590">
        <v>0.99762669999999998</v>
      </c>
      <c r="Y3590">
        <v>0.20293629999999999</v>
      </c>
      <c r="Z3590">
        <v>2.0128340000000002E-2</v>
      </c>
      <c r="AA3590">
        <v>0.97898510000000005</v>
      </c>
      <c r="AB3590">
        <v>24</v>
      </c>
      <c r="AC3590">
        <v>-14.5891</v>
      </c>
      <c r="AD3590">
        <v>-1.0993568639209901</v>
      </c>
      <c r="AE3590">
        <v>0.53190000000000703</v>
      </c>
      <c r="AF3590">
        <v>3.0034269835476599</v>
      </c>
      <c r="AG3590">
        <v>-1.0993568639209901</v>
      </c>
      <c r="AH3590">
        <v>14.2023736846575</v>
      </c>
      <c r="AI3590">
        <v>94.330838598623401</v>
      </c>
      <c r="AJ3590">
        <v>78.059380392364602</v>
      </c>
      <c r="AK3590">
        <v>14.558041675939901</v>
      </c>
    </row>
    <row r="3591" spans="1:37" x14ac:dyDescent="0.2">
      <c r="A3591" t="str">
        <f>"20200111153505981"</f>
        <v>20200111153505981</v>
      </c>
      <c r="B3591" t="str">
        <f>"1578728105969750"</f>
        <v>1578728105969750</v>
      </c>
      <c r="C3591" t="s">
        <v>37</v>
      </c>
      <c r="D3591">
        <v>4.8325209999999998</v>
      </c>
      <c r="E3591">
        <v>0.55609299999999995</v>
      </c>
      <c r="F3591" t="s">
        <v>39</v>
      </c>
      <c r="G3591">
        <v>-227.8732</v>
      </c>
      <c r="H3591" s="1">
        <v>-1.6427099999999901E-6</v>
      </c>
      <c r="I3591">
        <v>142.42750000000001</v>
      </c>
      <c r="J3591">
        <v>-212.9923</v>
      </c>
      <c r="K3591">
        <v>1.09938</v>
      </c>
      <c r="L3591">
        <v>141.85239999999999</v>
      </c>
      <c r="M3591">
        <v>-0.98643950000000002</v>
      </c>
      <c r="N3591">
        <v>0</v>
      </c>
      <c r="O3591">
        <v>-0.163841299999999</v>
      </c>
      <c r="P3591">
        <v>-0.99352289999999999</v>
      </c>
      <c r="Q3591">
        <v>2.7495769999999999E-2</v>
      </c>
      <c r="R3591">
        <v>-0.1102566</v>
      </c>
      <c r="S3591">
        <v>-3.0390320000000002</v>
      </c>
      <c r="T3591">
        <v>-0.22108409999999901</v>
      </c>
      <c r="U3591">
        <v>0.1092682</v>
      </c>
      <c r="V3591">
        <v>5.4464489999999997E-2</v>
      </c>
      <c r="W3591">
        <v>3.6479310000000001E-2</v>
      </c>
      <c r="X3591">
        <v>0.99784910000000004</v>
      </c>
      <c r="Y3591">
        <v>0.1982352</v>
      </c>
      <c r="Z3591">
        <v>1.906718E-2</v>
      </c>
      <c r="AA3591">
        <v>0.97996899999999998</v>
      </c>
      <c r="AB3591">
        <v>24</v>
      </c>
      <c r="AC3591">
        <v>-14.880899999999899</v>
      </c>
      <c r="AD3591">
        <v>-1.0993816427100001</v>
      </c>
      <c r="AE3591">
        <v>0.57510000000002004</v>
      </c>
      <c r="AF3591">
        <v>2.9892561143407801</v>
      </c>
      <c r="AG3591">
        <v>-1.0993816427100001</v>
      </c>
      <c r="AH3591">
        <v>14.5065023721674</v>
      </c>
      <c r="AI3591">
        <v>94.245047883244894</v>
      </c>
      <c r="AJ3591">
        <v>78.356426635085199</v>
      </c>
      <c r="AK3591">
        <v>14.852033638096501</v>
      </c>
    </row>
    <row r="3592" spans="1:37" x14ac:dyDescent="0.2">
      <c r="A3592" t="str">
        <f>"20200111153506004"</f>
        <v>20200111153506004</v>
      </c>
      <c r="B3592" t="str">
        <f>"1578728105999273"</f>
        <v>1578728105999273</v>
      </c>
      <c r="C3592" t="s">
        <v>37</v>
      </c>
      <c r="D3592">
        <v>4.8234649999999997</v>
      </c>
      <c r="E3592">
        <v>0.55541280000000004</v>
      </c>
      <c r="F3592" t="s">
        <v>39</v>
      </c>
      <c r="G3592">
        <v>-228.21809999999999</v>
      </c>
      <c r="H3592" s="1">
        <v>-1.4954130000000001E-6</v>
      </c>
      <c r="I3592">
        <v>142.43</v>
      </c>
      <c r="J3592">
        <v>-213.23759999999999</v>
      </c>
      <c r="K3592">
        <v>1.0993850000000001</v>
      </c>
      <c r="L3592">
        <v>141.8203</v>
      </c>
      <c r="M3592">
        <v>-0.98767660000000002</v>
      </c>
      <c r="N3592">
        <v>0</v>
      </c>
      <c r="O3592">
        <v>-0.15622729999999899</v>
      </c>
      <c r="P3592">
        <v>-0.99390140000000005</v>
      </c>
      <c r="Q3592">
        <v>2.814995E-2</v>
      </c>
      <c r="R3592">
        <v>-0.1066188</v>
      </c>
      <c r="S3592">
        <v>-3.0384220000000002</v>
      </c>
      <c r="T3592">
        <v>-0.2193908</v>
      </c>
      <c r="U3592">
        <v>0.115280199999999</v>
      </c>
      <c r="V3592">
        <v>5.0416929999999999E-2</v>
      </c>
      <c r="W3592">
        <v>3.6928179999999998E-2</v>
      </c>
      <c r="X3592">
        <v>0.99804530000000002</v>
      </c>
      <c r="Y3592">
        <v>0.1926639</v>
      </c>
      <c r="Z3592">
        <v>1.817995E-2</v>
      </c>
      <c r="AA3592">
        <v>0.98109639999999998</v>
      </c>
      <c r="AB3592">
        <v>24</v>
      </c>
      <c r="AC3592">
        <v>-14.980499999999999</v>
      </c>
      <c r="AD3592">
        <v>-1.0993864954129999</v>
      </c>
      <c r="AE3592">
        <v>0.60970000000000302</v>
      </c>
      <c r="AF3592">
        <v>2.9269411427397598</v>
      </c>
      <c r="AG3592">
        <v>-1.0993864954129999</v>
      </c>
      <c r="AH3592">
        <v>14.622660017302101</v>
      </c>
      <c r="AI3592">
        <v>94.216297872627095</v>
      </c>
      <c r="AJ3592">
        <v>78.680991179720195</v>
      </c>
      <c r="AK3592">
        <v>14.953187656849799</v>
      </c>
    </row>
    <row r="3593" spans="1:37" x14ac:dyDescent="0.2">
      <c r="A3593" t="str">
        <f>"20200111153506026"</f>
        <v>20200111153506026</v>
      </c>
      <c r="B3593" t="str">
        <f>"1578728106019769"</f>
        <v>1578728106019769</v>
      </c>
      <c r="C3593" t="s">
        <v>37</v>
      </c>
      <c r="D3593">
        <v>4.8611969999999998</v>
      </c>
      <c r="E3593">
        <v>0.55503539999999996</v>
      </c>
      <c r="F3593" t="s">
        <v>39</v>
      </c>
      <c r="G3593">
        <v>-228.54650000000001</v>
      </c>
      <c r="H3593" s="1">
        <v>-1.3548229999999999E-6</v>
      </c>
      <c r="I3593">
        <v>142.43119999999999</v>
      </c>
      <c r="J3593">
        <v>-213.48660000000001</v>
      </c>
      <c r="K3593">
        <v>1.0993709999999901</v>
      </c>
      <c r="L3593">
        <v>141.78960000000001</v>
      </c>
      <c r="M3593">
        <v>-0.98885789999999996</v>
      </c>
      <c r="N3593">
        <v>0</v>
      </c>
      <c r="O3593">
        <v>-0.148582399999999</v>
      </c>
      <c r="P3593">
        <v>-0.99424950000000001</v>
      </c>
      <c r="Q3593">
        <v>2.8417330000000001E-2</v>
      </c>
      <c r="R3593">
        <v>-0.1032486</v>
      </c>
      <c r="S3593">
        <v>-3.037598</v>
      </c>
      <c r="T3593">
        <v>-0.2181409</v>
      </c>
      <c r="U3593">
        <v>0.1212158</v>
      </c>
      <c r="V3593">
        <v>4.6075499999999998E-2</v>
      </c>
      <c r="W3593">
        <v>3.6986329999999998E-2</v>
      </c>
      <c r="X3593">
        <v>0.99825299999999995</v>
      </c>
      <c r="Y3593">
        <v>0.18703910000000001</v>
      </c>
      <c r="Z3593">
        <v>1.7335550000000002E-2</v>
      </c>
      <c r="AA3593">
        <v>0.9821995</v>
      </c>
      <c r="AB3593">
        <v>24</v>
      </c>
      <c r="AC3593">
        <v>-15.059900000000001</v>
      </c>
      <c r="AD3593">
        <v>-1.0993723548229899</v>
      </c>
      <c r="AE3593">
        <v>0.64159999999998196</v>
      </c>
      <c r="AF3593">
        <v>2.8570095681796301</v>
      </c>
      <c r="AG3593">
        <v>-1.0993723548229899</v>
      </c>
      <c r="AH3593">
        <v>14.719091243710301</v>
      </c>
      <c r="AI3593">
        <v>94.193524277695502</v>
      </c>
      <c r="AJ3593">
        <v>79.015349224448599</v>
      </c>
      <c r="AK3593">
        <v>15.0340536878078</v>
      </c>
    </row>
    <row r="3594" spans="1:37" x14ac:dyDescent="0.2">
      <c r="A3594" t="str">
        <f>"20200111153506049"</f>
        <v>20200111153506049</v>
      </c>
      <c r="B3594" t="str">
        <f>"1578728106039288"</f>
        <v>1578728106039288</v>
      </c>
      <c r="C3594" t="s">
        <v>37</v>
      </c>
      <c r="D3594">
        <v>4.8250630000000001</v>
      </c>
      <c r="E3594">
        <v>0.55467739999999999</v>
      </c>
      <c r="F3594" t="s">
        <v>39</v>
      </c>
      <c r="G3594">
        <v>-228.8434</v>
      </c>
      <c r="H3594" s="1">
        <v>-1.2305910000000001E-6</v>
      </c>
      <c r="I3594">
        <v>142.44299999999899</v>
      </c>
      <c r="J3594">
        <v>-213.73939999999999</v>
      </c>
      <c r="K3594">
        <v>1.0993329999999999</v>
      </c>
      <c r="L3594">
        <v>141.7602</v>
      </c>
      <c r="M3594">
        <v>-0.9899848</v>
      </c>
      <c r="N3594">
        <v>0</v>
      </c>
      <c r="O3594">
        <v>-0.1408964</v>
      </c>
      <c r="P3594">
        <v>-0.99454709999999902</v>
      </c>
      <c r="Q3594">
        <v>2.9105659999999998E-2</v>
      </c>
      <c r="R3594">
        <v>-0.1001428</v>
      </c>
      <c r="S3594">
        <v>-3.036972</v>
      </c>
      <c r="T3594">
        <v>-0.2174123</v>
      </c>
      <c r="U3594">
        <v>0.1292267</v>
      </c>
      <c r="V3594">
        <v>4.143844E-2</v>
      </c>
      <c r="W3594">
        <v>3.7453300000000002E-2</v>
      </c>
      <c r="X3594">
        <v>0.99843879999999996</v>
      </c>
      <c r="Y3594">
        <v>0.1820387</v>
      </c>
      <c r="Z3594">
        <v>1.6556479999999998E-2</v>
      </c>
      <c r="AA3594">
        <v>0.98315200000000003</v>
      </c>
      <c r="AB3594">
        <v>24</v>
      </c>
      <c r="AC3594">
        <v>-15.103999999999999</v>
      </c>
      <c r="AD3594">
        <v>-1.0993342305910001</v>
      </c>
      <c r="AE3594">
        <v>0.68279999999998597</v>
      </c>
      <c r="AF3594">
        <v>2.7894236425688499</v>
      </c>
      <c r="AG3594">
        <v>-1.0993342305910001</v>
      </c>
      <c r="AH3594">
        <v>14.778975253404401</v>
      </c>
      <c r="AI3594">
        <v>94.180568891814005</v>
      </c>
      <c r="AJ3594">
        <v>79.311577120921797</v>
      </c>
      <c r="AK3594">
        <v>15.080037451843801</v>
      </c>
    </row>
    <row r="3595" spans="1:37" x14ac:dyDescent="0.2">
      <c r="A3595" t="str">
        <f>"20200111153506071"</f>
        <v>20200111153506071</v>
      </c>
      <c r="B3595" t="str">
        <f>"1578728106059787"</f>
        <v>1578728106059787</v>
      </c>
      <c r="C3595" t="s">
        <v>37</v>
      </c>
      <c r="D3595">
        <v>4.850619</v>
      </c>
      <c r="E3595">
        <v>0.55437289999999995</v>
      </c>
      <c r="F3595" t="s">
        <v>39</v>
      </c>
      <c r="G3595">
        <v>-229.27289999999999</v>
      </c>
      <c r="H3595" s="1">
        <v>-1.0507829999999999E-6</v>
      </c>
      <c r="I3595">
        <v>142.45959999999999</v>
      </c>
      <c r="J3595">
        <v>-213.98869999999999</v>
      </c>
      <c r="K3595">
        <v>1.0992930000000001</v>
      </c>
      <c r="L3595">
        <v>141.73310000000001</v>
      </c>
      <c r="M3595">
        <v>-0.991027399999999</v>
      </c>
      <c r="N3595">
        <v>0</v>
      </c>
      <c r="O3595">
        <v>-0.1333838</v>
      </c>
      <c r="P3595">
        <v>-0.99484509999999904</v>
      </c>
      <c r="Q3595">
        <v>3.0001770000000001E-2</v>
      </c>
      <c r="R3595">
        <v>-9.6867480000000006E-2</v>
      </c>
      <c r="S3595">
        <v>-3.0364990000000001</v>
      </c>
      <c r="T3595">
        <v>-0.2148986</v>
      </c>
      <c r="U3595">
        <v>0.13673399999999999</v>
      </c>
      <c r="V3595">
        <v>3.7156080000000001E-2</v>
      </c>
      <c r="W3595">
        <v>3.8121349999999998E-2</v>
      </c>
      <c r="X3595">
        <v>0.99858210000000003</v>
      </c>
      <c r="Y3595">
        <v>0.17706159999999899</v>
      </c>
      <c r="Z3595">
        <v>1.5664020000000001E-2</v>
      </c>
      <c r="AA3595">
        <v>0.98407509999999998</v>
      </c>
      <c r="AB3595">
        <v>25</v>
      </c>
      <c r="AC3595">
        <v>-15.284199999999901</v>
      </c>
      <c r="AD3595">
        <v>-1.099294050783</v>
      </c>
      <c r="AE3595">
        <v>0.72649999999998705</v>
      </c>
      <c r="AF3595">
        <v>2.7445816940879899</v>
      </c>
      <c r="AG3595">
        <v>-1.099294050783</v>
      </c>
      <c r="AH3595">
        <v>14.973427532245701</v>
      </c>
      <c r="AI3595">
        <v>94.130344726072593</v>
      </c>
      <c r="AJ3595">
        <v>79.613166068716495</v>
      </c>
      <c r="AK3595">
        <v>15.2625262702157</v>
      </c>
    </row>
    <row r="3596" spans="1:37" x14ac:dyDescent="0.2">
      <c r="A3596" t="str">
        <f>"20200111153506092"</f>
        <v>20200111153506092</v>
      </c>
      <c r="B3596" t="str">
        <f>"1578728106090041"</f>
        <v>1578728106090041</v>
      </c>
      <c r="C3596" t="s">
        <v>37</v>
      </c>
      <c r="D3596">
        <v>4.8567790000000004</v>
      </c>
      <c r="E3596">
        <v>0.55400680000000002</v>
      </c>
      <c r="F3596" t="s">
        <v>39</v>
      </c>
      <c r="G3596">
        <v>-229.73410000000001</v>
      </c>
      <c r="H3596" s="1">
        <v>-8.5971180000000003E-7</v>
      </c>
      <c r="I3596">
        <v>142.48509999999999</v>
      </c>
      <c r="J3596">
        <v>-214.22460000000001</v>
      </c>
      <c r="K3596">
        <v>1.0992549999999901</v>
      </c>
      <c r="L3596">
        <v>141.70910000000001</v>
      </c>
      <c r="M3596">
        <v>-0.99195440000000001</v>
      </c>
      <c r="N3596">
        <v>0</v>
      </c>
      <c r="O3596">
        <v>-0.12632409999999999</v>
      </c>
      <c r="P3596">
        <v>-0.99508289999999999</v>
      </c>
      <c r="Q3596">
        <v>3.0177450000000001E-2</v>
      </c>
      <c r="R3596">
        <v>-9.4337459999999998E-2</v>
      </c>
      <c r="S3596">
        <v>-3.03608699999999</v>
      </c>
      <c r="T3596">
        <v>-0.211970399999999</v>
      </c>
      <c r="U3596">
        <v>0.1450195</v>
      </c>
      <c r="V3596">
        <v>3.2582010000000002E-2</v>
      </c>
      <c r="W3596">
        <v>3.8081320000000002E-2</v>
      </c>
      <c r="X3596">
        <v>0.9987433</v>
      </c>
      <c r="Y3596">
        <v>0.17278689999999999</v>
      </c>
      <c r="Z3596">
        <v>1.4814040000000001E-2</v>
      </c>
      <c r="AA3596">
        <v>0.98484780000000005</v>
      </c>
      <c r="AB3596">
        <v>25</v>
      </c>
      <c r="AC3596">
        <v>-15.509499999999999</v>
      </c>
      <c r="AD3596">
        <v>-1.0992558597117901</v>
      </c>
      <c r="AE3596">
        <v>0.77599999999998204</v>
      </c>
      <c r="AF3596">
        <v>2.71546702883386</v>
      </c>
      <c r="AG3596">
        <v>-1.0992558597117901</v>
      </c>
      <c r="AH3596">
        <v>15.2109934767144</v>
      </c>
      <c r="AI3596">
        <v>94.069306346005305</v>
      </c>
      <c r="AJ3596">
        <v>79.878182224012207</v>
      </c>
      <c r="AK3596">
        <v>15.490527659781099</v>
      </c>
    </row>
    <row r="3597" spans="1:37" x14ac:dyDescent="0.2">
      <c r="A3597" t="str">
        <f>"20200111153506116"</f>
        <v>20200111153506116</v>
      </c>
      <c r="B3597" t="str">
        <f>"1578728106110088"</f>
        <v>1578728106110088</v>
      </c>
      <c r="C3597" t="s">
        <v>37</v>
      </c>
      <c r="D3597">
        <v>4.8979559999999998</v>
      </c>
      <c r="E3597">
        <v>0.55375669999999899</v>
      </c>
      <c r="F3597" t="s">
        <v>40</v>
      </c>
      <c r="G3597">
        <v>-215.0455</v>
      </c>
      <c r="H3597">
        <v>1.0417289999999999</v>
      </c>
      <c r="I3597">
        <v>141.7499</v>
      </c>
      <c r="J3597">
        <v>-214.48679999999999</v>
      </c>
      <c r="K3597">
        <v>1.0992029999999999</v>
      </c>
      <c r="L3597">
        <v>141.6842</v>
      </c>
      <c r="M3597">
        <v>-0.99291879999999999</v>
      </c>
      <c r="N3597">
        <v>0</v>
      </c>
      <c r="O3597">
        <v>-0.11852699999999999</v>
      </c>
      <c r="P3597">
        <v>-0.99539560000000005</v>
      </c>
      <c r="Q3597">
        <v>3.0326809999999999E-2</v>
      </c>
      <c r="R3597">
        <v>-9.0929289999999996E-2</v>
      </c>
      <c r="S3597">
        <v>-3.0355379999999998</v>
      </c>
      <c r="T3597">
        <v>-0.212491399999999</v>
      </c>
      <c r="U3597">
        <v>0.15055850000000001</v>
      </c>
      <c r="V3597">
        <v>2.8152509999999999E-2</v>
      </c>
      <c r="W3597">
        <v>3.7973159999999999E-2</v>
      </c>
      <c r="X3597">
        <v>0.99888209999999999</v>
      </c>
      <c r="Y3597">
        <v>0.166877</v>
      </c>
      <c r="Z3597">
        <v>1.4103600000000001E-2</v>
      </c>
      <c r="AA3597">
        <v>0.98587689999999994</v>
      </c>
      <c r="AB3597">
        <v>25</v>
      </c>
      <c r="AC3597">
        <v>-0.55870000000001596</v>
      </c>
      <c r="AD3597">
        <v>-5.7473999999999997E-2</v>
      </c>
      <c r="AE3597">
        <v>6.5699999999992501E-2</v>
      </c>
      <c r="AF3597">
        <v>0.130101965002686</v>
      </c>
      <c r="AG3597">
        <v>-5.7473999999999997E-2</v>
      </c>
      <c r="AH3597">
        <v>0.54132352201502498</v>
      </c>
      <c r="AI3597">
        <v>95.893959642082294</v>
      </c>
      <c r="AJ3597">
        <v>76.485821555240094</v>
      </c>
      <c r="AK3597">
        <v>0.55969718371661603</v>
      </c>
    </row>
    <row r="3598" spans="1:37" x14ac:dyDescent="0.2">
      <c r="A3598" t="str">
        <f>"20200111153506139"</f>
        <v>20200111153506139</v>
      </c>
      <c r="B3598" t="str">
        <f>"1578728106129607"</f>
        <v>1578728106129607</v>
      </c>
      <c r="C3598" t="s">
        <v>37</v>
      </c>
      <c r="D3598">
        <v>4.9172900000000004</v>
      </c>
      <c r="E3598">
        <v>0.55350779999999999</v>
      </c>
      <c r="F3598" t="s">
        <v>40</v>
      </c>
      <c r="G3598">
        <v>-215.26660000000001</v>
      </c>
      <c r="H3598">
        <v>1.044592</v>
      </c>
      <c r="I3598">
        <v>141.72540000000001</v>
      </c>
      <c r="J3598">
        <v>-214.74619999999999</v>
      </c>
      <c r="K3598">
        <v>1.0991469999999901</v>
      </c>
      <c r="L3598">
        <v>141.66159999999999</v>
      </c>
      <c r="M3598">
        <v>-0.99380709999999906</v>
      </c>
      <c r="N3598">
        <v>0</v>
      </c>
      <c r="O3598">
        <v>-0.1108551</v>
      </c>
      <c r="P3598">
        <v>-0.99565749999999997</v>
      </c>
      <c r="Q3598">
        <v>3.0824890000000001E-2</v>
      </c>
      <c r="R3598">
        <v>-8.7842139999999999E-2</v>
      </c>
      <c r="S3598">
        <v>-3.0349119999999998</v>
      </c>
      <c r="T3598">
        <v>-0.21225140000000001</v>
      </c>
      <c r="U3598">
        <v>0.15971369999999999</v>
      </c>
      <c r="V3598">
        <v>2.353572E-2</v>
      </c>
      <c r="W3598">
        <v>3.8212830000000003E-2</v>
      </c>
      <c r="X3598">
        <v>0.9989924</v>
      </c>
      <c r="Y3598">
        <v>0.16226860000000001</v>
      </c>
      <c r="Z3598">
        <v>1.339536E-2</v>
      </c>
      <c r="AA3598">
        <v>0.98665569999999903</v>
      </c>
      <c r="AB3598">
        <v>25</v>
      </c>
      <c r="AC3598">
        <v>-0.52040000000002296</v>
      </c>
      <c r="AD3598">
        <v>-5.4554999999999902E-2</v>
      </c>
      <c r="AE3598">
        <v>6.3800000000014706E-2</v>
      </c>
      <c r="AF3598">
        <v>0.11980033454696799</v>
      </c>
      <c r="AG3598">
        <v>-5.4554999999999902E-2</v>
      </c>
      <c r="AH3598">
        <v>0.50465560534179799</v>
      </c>
      <c r="AI3598">
        <v>96.004314423329106</v>
      </c>
      <c r="AJ3598">
        <v>76.645732628652397</v>
      </c>
      <c r="AK3598">
        <v>0.52154160733872701</v>
      </c>
    </row>
    <row r="3599" spans="1:37" x14ac:dyDescent="0.2">
      <c r="A3599" t="str">
        <f>"20200111153506160"</f>
        <v>20200111153506160</v>
      </c>
      <c r="B3599" t="str">
        <f>"1578728106150108"</f>
        <v>1578728106150108</v>
      </c>
      <c r="C3599" t="s">
        <v>37</v>
      </c>
      <c r="D3599">
        <v>4.917713</v>
      </c>
      <c r="E3599">
        <v>0.55336890000000005</v>
      </c>
      <c r="F3599" t="s">
        <v>40</v>
      </c>
      <c r="G3599">
        <v>-215.49039999999999</v>
      </c>
      <c r="H3599">
        <v>1.0472440000000001</v>
      </c>
      <c r="I3599">
        <v>141.7029</v>
      </c>
      <c r="J3599">
        <v>-214.99260000000001</v>
      </c>
      <c r="K3599">
        <v>1.099094</v>
      </c>
      <c r="L3599">
        <v>141.642</v>
      </c>
      <c r="M3599">
        <v>-0.99459059999999899</v>
      </c>
      <c r="N3599">
        <v>0</v>
      </c>
      <c r="O3599">
        <v>-0.10361089999999901</v>
      </c>
      <c r="P3599">
        <v>-0.99588009999999905</v>
      </c>
      <c r="Q3599">
        <v>3.180521E-2</v>
      </c>
      <c r="R3599">
        <v>-8.4921620000000003E-2</v>
      </c>
      <c r="S3599">
        <v>-3.0344090000000001</v>
      </c>
      <c r="T3599">
        <v>-0.2113476</v>
      </c>
      <c r="U3599">
        <v>0.16763310000000001</v>
      </c>
      <c r="V3599">
        <v>1.9191719999999999E-2</v>
      </c>
      <c r="W3599">
        <v>3.8941379999999998E-2</v>
      </c>
      <c r="X3599">
        <v>0.99905719999999998</v>
      </c>
      <c r="Y3599">
        <v>0.15768760000000001</v>
      </c>
      <c r="Z3599">
        <v>1.267864E-2</v>
      </c>
      <c r="AA3599">
        <v>0.98740759999999905</v>
      </c>
      <c r="AB3599">
        <v>25</v>
      </c>
      <c r="AC3599">
        <v>-0.49779999999998298</v>
      </c>
      <c r="AD3599">
        <v>-5.1849999999999903E-2</v>
      </c>
      <c r="AE3599">
        <v>6.0900000000003701E-2</v>
      </c>
      <c r="AF3599">
        <v>0.110965017587509</v>
      </c>
      <c r="AG3599">
        <v>-5.1849999999999903E-2</v>
      </c>
      <c r="AH3599">
        <v>0.48364094827616599</v>
      </c>
      <c r="AI3599">
        <v>95.965336205569201</v>
      </c>
      <c r="AJ3599">
        <v>77.077888541558906</v>
      </c>
      <c r="AK3599">
        <v>0.49890903427144501</v>
      </c>
    </row>
    <row r="3600" spans="1:37" x14ac:dyDescent="0.2">
      <c r="A3600" t="str">
        <f>"20200111153506182"</f>
        <v>20200111153506182</v>
      </c>
      <c r="B3600" t="str">
        <f>"1578728106169643"</f>
        <v>1578728106169643</v>
      </c>
      <c r="C3600" t="s">
        <v>37</v>
      </c>
      <c r="D3600">
        <v>4.8687309999999897</v>
      </c>
      <c r="E3600">
        <v>0.55321779999999998</v>
      </c>
      <c r="F3600" t="s">
        <v>40</v>
      </c>
      <c r="G3600">
        <v>-215.93549999999999</v>
      </c>
      <c r="H3600">
        <v>1.03403</v>
      </c>
      <c r="I3600">
        <v>141.69669999999999</v>
      </c>
      <c r="J3600">
        <v>-215.24010000000001</v>
      </c>
      <c r="K3600">
        <v>1.0990420000000001</v>
      </c>
      <c r="L3600">
        <v>141.624</v>
      </c>
      <c r="M3600">
        <v>-0.99531939999999997</v>
      </c>
      <c r="N3600">
        <v>0</v>
      </c>
      <c r="O3600">
        <v>-9.6382179999999998E-2</v>
      </c>
      <c r="P3600">
        <v>-0.9961392</v>
      </c>
      <c r="Q3600">
        <v>3.2310739999999998E-2</v>
      </c>
      <c r="R3600">
        <v>-8.1626099999999993E-2</v>
      </c>
      <c r="S3600">
        <v>-3.0340729999999998</v>
      </c>
      <c r="T3600">
        <v>-0.20924209999999999</v>
      </c>
      <c r="U3600">
        <v>0.17576600000000001</v>
      </c>
      <c r="V3600">
        <v>1.524031E-2</v>
      </c>
      <c r="W3600">
        <v>3.9192949999999997E-2</v>
      </c>
      <c r="X3600">
        <v>0.99911539999999999</v>
      </c>
      <c r="Y3600">
        <v>0.15319659999999999</v>
      </c>
      <c r="Z3600">
        <v>1.1902390000000001E-2</v>
      </c>
      <c r="AA3600">
        <v>0.98812409999999995</v>
      </c>
      <c r="AB3600">
        <v>25</v>
      </c>
      <c r="AC3600">
        <v>-0.69539999999997804</v>
      </c>
      <c r="AD3600">
        <v>-6.5012E-2</v>
      </c>
      <c r="AE3600">
        <v>7.2699999999997503E-2</v>
      </c>
      <c r="AF3600">
        <v>0.13819259434626399</v>
      </c>
      <c r="AG3600">
        <v>-6.5012E-2</v>
      </c>
      <c r="AH3600">
        <v>0.67928234945085797</v>
      </c>
      <c r="AI3600">
        <v>95.3578575615402</v>
      </c>
      <c r="AJ3600">
        <v>78.500725846440204</v>
      </c>
      <c r="AK3600">
        <v>0.69623865416366304</v>
      </c>
    </row>
    <row r="3601" spans="1:37" x14ac:dyDescent="0.2">
      <c r="A3601" t="str">
        <f>"20200111153506204"</f>
        <v>20200111153506204</v>
      </c>
      <c r="B3601" t="str">
        <f>"1578728106199444"</f>
        <v>1578728106199444</v>
      </c>
      <c r="C3601" t="s">
        <v>37</v>
      </c>
      <c r="D3601">
        <v>4.8761839999999896</v>
      </c>
      <c r="E3601">
        <v>0.54403880000000004</v>
      </c>
      <c r="F3601" t="s">
        <v>40</v>
      </c>
      <c r="G3601">
        <v>-216.16460000000001</v>
      </c>
      <c r="H3601">
        <v>1.0353749999999999</v>
      </c>
      <c r="I3601">
        <v>141.68039999999999</v>
      </c>
      <c r="J3601">
        <v>-215.49250000000001</v>
      </c>
      <c r="K3601">
        <v>1.0989910000000001</v>
      </c>
      <c r="L3601">
        <v>141.60740000000001</v>
      </c>
      <c r="M3601">
        <v>-0.99600370000000005</v>
      </c>
      <c r="N3601">
        <v>0</v>
      </c>
      <c r="O3601">
        <v>-8.9054850000000005E-2</v>
      </c>
      <c r="P3601">
        <v>-0.99639239999999996</v>
      </c>
      <c r="Q3601">
        <v>3.3429550000000002E-2</v>
      </c>
      <c r="R3601">
        <v>-7.8005599999999994E-2</v>
      </c>
      <c r="S3601">
        <v>-3.033585</v>
      </c>
      <c r="T3601">
        <v>-0.2089261</v>
      </c>
      <c r="U3601">
        <v>0.185104399999999</v>
      </c>
      <c r="V3601">
        <v>1.152651E-2</v>
      </c>
      <c r="W3601">
        <v>4.00644E-2</v>
      </c>
      <c r="X3601">
        <v>0.99913059999999998</v>
      </c>
      <c r="Y3601">
        <v>0.1489925</v>
      </c>
      <c r="Z3601">
        <v>1.1238389999999999E-2</v>
      </c>
      <c r="AA3601">
        <v>0.9887745</v>
      </c>
      <c r="AB3601">
        <v>25</v>
      </c>
      <c r="AC3601">
        <v>-0.67210000000000003</v>
      </c>
      <c r="AD3601">
        <v>-6.3616000000000103E-2</v>
      </c>
      <c r="AE3601">
        <v>7.2999999999978998E-2</v>
      </c>
      <c r="AF3601">
        <v>0.131401559758617</v>
      </c>
      <c r="AG3601">
        <v>-6.3616000000000103E-2</v>
      </c>
      <c r="AH3601">
        <v>0.65710980670366004</v>
      </c>
      <c r="AI3601">
        <v>95.422972339169505</v>
      </c>
      <c r="AJ3601">
        <v>78.691778005131098</v>
      </c>
      <c r="AK3601">
        <v>0.67313198069109603</v>
      </c>
    </row>
    <row r="3602" spans="1:37" x14ac:dyDescent="0.2">
      <c r="A3602" t="str">
        <f>"20200111153506226"</f>
        <v>20200111153506226</v>
      </c>
      <c r="B3602" t="str">
        <f>"1578728106219941"</f>
        <v>1578728106219941</v>
      </c>
      <c r="C3602" t="s">
        <v>37</v>
      </c>
      <c r="D3602">
        <v>4.8775539999999999</v>
      </c>
      <c r="E3602">
        <v>0.54351910000000003</v>
      </c>
      <c r="F3602" t="s">
        <v>40</v>
      </c>
      <c r="G3602">
        <v>-216.39429999999999</v>
      </c>
      <c r="H3602">
        <v>1.039779</v>
      </c>
      <c r="I3602">
        <v>141.64420000000001</v>
      </c>
      <c r="J3602">
        <v>-215.76050000000001</v>
      </c>
      <c r="K3602">
        <v>1.09894</v>
      </c>
      <c r="L3602">
        <v>141.5917</v>
      </c>
      <c r="M3602">
        <v>-0.99666520000000003</v>
      </c>
      <c r="N3602">
        <v>0</v>
      </c>
      <c r="O3602">
        <v>-8.134334E-2</v>
      </c>
      <c r="P3602">
        <v>-0.99665389999999998</v>
      </c>
      <c r="Q3602">
        <v>3.5059880000000002E-2</v>
      </c>
      <c r="R3602">
        <v>-7.3839600000000005E-2</v>
      </c>
      <c r="S3602">
        <v>-3.0271759999999999</v>
      </c>
      <c r="T3602">
        <v>-0.198576</v>
      </c>
      <c r="U3602">
        <v>0.1232147</v>
      </c>
      <c r="V3602">
        <v>7.9829299999999992E-3</v>
      </c>
      <c r="W3602">
        <v>4.1434650000000003E-2</v>
      </c>
      <c r="X3602">
        <v>0.99910929999999998</v>
      </c>
      <c r="Y3602">
        <v>0.1213771</v>
      </c>
      <c r="Z3602">
        <v>9.3010239999999998E-3</v>
      </c>
      <c r="AA3602">
        <v>0.99256290000000003</v>
      </c>
      <c r="AB3602">
        <v>25</v>
      </c>
      <c r="AC3602">
        <v>-0.63379999999997905</v>
      </c>
      <c r="AD3602">
        <v>-5.9160999999999998E-2</v>
      </c>
      <c r="AE3602">
        <v>5.2500000000008998E-2</v>
      </c>
      <c r="AF3602">
        <v>0.10299125477644901</v>
      </c>
      <c r="AG3602">
        <v>-5.9160999999999998E-2</v>
      </c>
      <c r="AH3602">
        <v>0.622046035155991</v>
      </c>
      <c r="AI3602">
        <v>95.360353368760101</v>
      </c>
      <c r="AJ3602">
        <v>80.598906125411801</v>
      </c>
      <c r="AK3602">
        <v>0.63328389552768205</v>
      </c>
    </row>
    <row r="3603" spans="1:37" x14ac:dyDescent="0.2">
      <c r="A3603" t="str">
        <f>"20200111153506250"</f>
        <v>20200111153506250</v>
      </c>
      <c r="B3603" t="str">
        <f>"1578728106239460"</f>
        <v>1578728106239460</v>
      </c>
      <c r="C3603" t="s">
        <v>37</v>
      </c>
      <c r="D3603">
        <v>4.8722570000000003</v>
      </c>
      <c r="E3603">
        <v>0.54361440000000005</v>
      </c>
      <c r="F3603" t="s">
        <v>40</v>
      </c>
      <c r="G3603">
        <v>-216.63589999999999</v>
      </c>
      <c r="H3603">
        <v>1.052921</v>
      </c>
      <c r="I3603">
        <v>141.62970000000001</v>
      </c>
      <c r="J3603">
        <v>-216.02770000000001</v>
      </c>
      <c r="K3603">
        <v>1.0989089999999999</v>
      </c>
      <c r="L3603">
        <v>141.5779</v>
      </c>
      <c r="M3603">
        <v>-0.99725789999999903</v>
      </c>
      <c r="N3603">
        <v>0</v>
      </c>
      <c r="O3603">
        <v>-7.3747229999999997E-2</v>
      </c>
      <c r="P3603">
        <v>-0.99687579999999998</v>
      </c>
      <c r="Q3603">
        <v>3.6585079999999999E-2</v>
      </c>
      <c r="R3603">
        <v>-7.000265E-2</v>
      </c>
      <c r="S3603">
        <v>-3.0253749999999999</v>
      </c>
      <c r="T3603">
        <v>-0.15894029999999901</v>
      </c>
      <c r="U3603">
        <v>0.13111879999999901</v>
      </c>
      <c r="V3603">
        <v>4.2268920000000003E-3</v>
      </c>
      <c r="W3603">
        <v>4.270906E-2</v>
      </c>
      <c r="X3603">
        <v>0.99907860000000004</v>
      </c>
      <c r="Y3603">
        <v>0.11659849999999999</v>
      </c>
      <c r="Z3603">
        <v>6.9281129999999996E-3</v>
      </c>
      <c r="AA3603">
        <v>0.99315489999999995</v>
      </c>
      <c r="AB3603">
        <v>26</v>
      </c>
      <c r="AC3603">
        <v>-0.60819999999998198</v>
      </c>
      <c r="AD3603">
        <v>-4.5987999999999897E-2</v>
      </c>
      <c r="AE3603">
        <v>5.1800000000014203E-2</v>
      </c>
      <c r="AF3603">
        <v>9.5968125792235404E-2</v>
      </c>
      <c r="AG3603">
        <v>-4.5987999999999897E-2</v>
      </c>
      <c r="AH3603">
        <v>0.59932174129696902</v>
      </c>
      <c r="AI3603">
        <v>94.332917700555399</v>
      </c>
      <c r="AJ3603">
        <v>80.902578574445698</v>
      </c>
      <c r="AK3603">
        <v>0.60869641604276403</v>
      </c>
    </row>
    <row r="3604" spans="1:37" x14ac:dyDescent="0.2">
      <c r="A3604" t="str">
        <f>"20200111153506271"</f>
        <v>20200111153506271</v>
      </c>
      <c r="B3604" t="str">
        <f>"1578728106259959"</f>
        <v>1578728106259959</v>
      </c>
      <c r="C3604" t="s">
        <v>37</v>
      </c>
      <c r="D3604">
        <v>4.9152719999999999</v>
      </c>
      <c r="E3604">
        <v>0.54398819999999903</v>
      </c>
      <c r="F3604" t="s">
        <v>39</v>
      </c>
      <c r="G3604">
        <v>-240.21109999999999</v>
      </c>
      <c r="H3604" s="1">
        <v>-4.7557430000000002E-6</v>
      </c>
      <c r="I3604">
        <v>142.72559999999999</v>
      </c>
      <c r="J3604">
        <v>-216.2826</v>
      </c>
      <c r="K3604">
        <v>1.098908</v>
      </c>
      <c r="L3604">
        <v>141.56659999999999</v>
      </c>
      <c r="M3604">
        <v>-0.99775990000000003</v>
      </c>
      <c r="N3604">
        <v>0</v>
      </c>
      <c r="O3604">
        <v>-6.6636619999999994E-2</v>
      </c>
      <c r="P3604">
        <v>-0.99714210000000003</v>
      </c>
      <c r="Q3604">
        <v>3.7538120000000001E-2</v>
      </c>
      <c r="R3604">
        <v>-6.5565300000000007E-2</v>
      </c>
      <c r="S3604">
        <v>-3.0245060000000001</v>
      </c>
      <c r="T3604">
        <v>-0.13743659999999999</v>
      </c>
      <c r="U3604">
        <v>0.14353940000000001</v>
      </c>
      <c r="V3604">
        <v>1.5546129999999901E-3</v>
      </c>
      <c r="W3604">
        <v>4.3423650000000001E-2</v>
      </c>
      <c r="X3604">
        <v>0.99905560000000004</v>
      </c>
      <c r="Y3604">
        <v>0.11367719999999901</v>
      </c>
      <c r="Z3604">
        <v>5.6043639999999997E-3</v>
      </c>
      <c r="AA3604">
        <v>0.99350190000000005</v>
      </c>
      <c r="AB3604">
        <v>26</v>
      </c>
      <c r="AC3604">
        <v>-23.9284999999999</v>
      </c>
      <c r="AD3604">
        <v>-1.0989127557430001</v>
      </c>
      <c r="AE3604">
        <v>1.15899999999999</v>
      </c>
      <c r="AF3604">
        <v>2.7451895690541401</v>
      </c>
      <c r="AG3604">
        <v>-1.0989127557430001</v>
      </c>
      <c r="AH3604">
        <v>23.748109622711201</v>
      </c>
      <c r="AI3604">
        <v>92.631896361707504</v>
      </c>
      <c r="AJ3604">
        <v>83.406095960211999</v>
      </c>
      <c r="AK3604">
        <v>23.931493594572999</v>
      </c>
    </row>
    <row r="3605" spans="1:37" x14ac:dyDescent="0.2">
      <c r="A3605" t="str">
        <f>"20200111153506294"</f>
        <v>20200111153506294</v>
      </c>
      <c r="B3605" t="str">
        <f>"1578728106289236"</f>
        <v>1578728106289236</v>
      </c>
      <c r="C3605" t="s">
        <v>37</v>
      </c>
      <c r="D3605">
        <v>4.9060199999999998</v>
      </c>
      <c r="E3605">
        <v>0.54426180000000002</v>
      </c>
      <c r="F3605" t="s">
        <v>39</v>
      </c>
      <c r="G3605">
        <v>-242.32390000000001</v>
      </c>
      <c r="H3605" s="1">
        <v>-4.0751010000000004E-6</v>
      </c>
      <c r="I3605">
        <v>142.9419</v>
      </c>
      <c r="J3605">
        <v>-216.53989999999999</v>
      </c>
      <c r="K3605">
        <v>1.0989389999999899</v>
      </c>
      <c r="L3605">
        <v>141.55680000000001</v>
      </c>
      <c r="M3605">
        <v>-0.99820450000000005</v>
      </c>
      <c r="N3605">
        <v>0</v>
      </c>
      <c r="O3605">
        <v>-5.9631219999999999E-2</v>
      </c>
      <c r="P3605">
        <v>-0.99735599999999902</v>
      </c>
      <c r="Q3605">
        <v>3.8826220000000002E-2</v>
      </c>
      <c r="R3605">
        <v>-6.1428299999999998E-2</v>
      </c>
      <c r="S3605">
        <v>-3.0239259999999999</v>
      </c>
      <c r="T3605">
        <v>-0.127606</v>
      </c>
      <c r="U3605">
        <v>0.15971369999999999</v>
      </c>
      <c r="V3605">
        <v>-1.3112579999999901E-3</v>
      </c>
      <c r="W3605">
        <v>4.4485009999999998E-2</v>
      </c>
      <c r="X3605">
        <v>0.99900919999999904</v>
      </c>
      <c r="Y3605">
        <v>0.1120461</v>
      </c>
      <c r="Z3605">
        <v>4.8748159999999997E-3</v>
      </c>
      <c r="AA3605">
        <v>0.99369110000000005</v>
      </c>
      <c r="AB3605">
        <v>26</v>
      </c>
      <c r="AC3605">
        <v>-25.783999999999999</v>
      </c>
      <c r="AD3605">
        <v>-1.0989430751010001</v>
      </c>
      <c r="AE3605">
        <v>1.38509999999999</v>
      </c>
      <c r="AF3605">
        <v>2.9149111225737401</v>
      </c>
      <c r="AG3605">
        <v>-1.0989430751010001</v>
      </c>
      <c r="AH3605">
        <v>25.609132083880301</v>
      </c>
      <c r="AI3605">
        <v>92.441432836877794</v>
      </c>
      <c r="AJ3605">
        <v>83.506363015013207</v>
      </c>
      <c r="AK3605">
        <v>25.7979074504977</v>
      </c>
    </row>
    <row r="3606" spans="1:37" x14ac:dyDescent="0.2">
      <c r="A3606" t="str">
        <f>"20200111153506316"</f>
        <v>20200111153506316</v>
      </c>
      <c r="B3606" t="str">
        <f>"1578728106309338"</f>
        <v>1578728106309338</v>
      </c>
      <c r="C3606" t="s">
        <v>37</v>
      </c>
      <c r="D3606">
        <v>4.8861249999999998</v>
      </c>
      <c r="E3606">
        <v>0.54438869999999995</v>
      </c>
      <c r="F3606" t="s">
        <v>39</v>
      </c>
      <c r="G3606">
        <v>-243.9049</v>
      </c>
      <c r="H3606" s="1">
        <v>-3.5333359999999998E-6</v>
      </c>
      <c r="I3606">
        <v>143.13499999999999</v>
      </c>
      <c r="J3606">
        <v>-216.81360000000001</v>
      </c>
      <c r="K3606">
        <v>1.099011</v>
      </c>
      <c r="L3606">
        <v>141.548</v>
      </c>
      <c r="M3606">
        <v>-0.99861119999999903</v>
      </c>
      <c r="N3606">
        <v>0</v>
      </c>
      <c r="O3606">
        <v>-5.2411640000000002E-2</v>
      </c>
      <c r="P3606">
        <v>-0.99755519999999998</v>
      </c>
      <c r="Q3606">
        <v>3.9849000000000002E-2</v>
      </c>
      <c r="R3606">
        <v>-5.7409759999999997E-2</v>
      </c>
      <c r="S3606">
        <v>-3.0234220000000001</v>
      </c>
      <c r="T3606">
        <v>-0.12141680000000001</v>
      </c>
      <c r="U3606">
        <v>0.17437739999999999</v>
      </c>
      <c r="V3606">
        <v>-4.5146370000000002E-3</v>
      </c>
      <c r="W3606">
        <v>4.5277669999999999E-2</v>
      </c>
      <c r="X3606">
        <v>0.99896430000000003</v>
      </c>
      <c r="Y3606">
        <v>0.1096958</v>
      </c>
      <c r="Z3606">
        <v>4.3022030000000001E-3</v>
      </c>
      <c r="AA3606">
        <v>0.9939559</v>
      </c>
      <c r="AB3606">
        <v>26</v>
      </c>
      <c r="AC3606">
        <v>-27.091299999999901</v>
      </c>
      <c r="AD3606">
        <v>-1.099014533336</v>
      </c>
      <c r="AE3606">
        <v>1.58699999999998</v>
      </c>
      <c r="AF3606">
        <v>2.9998186633062498</v>
      </c>
      <c r="AG3606">
        <v>-1.099014533336</v>
      </c>
      <c r="AH3606">
        <v>26.926723836566399</v>
      </c>
      <c r="AI3606">
        <v>92.322875815270194</v>
      </c>
      <c r="AJ3606">
        <v>83.643076776274896</v>
      </c>
      <c r="AK3606">
        <v>27.115589640056101</v>
      </c>
    </row>
    <row r="3607" spans="1:37" x14ac:dyDescent="0.2">
      <c r="A3607" t="str">
        <f>"20200111153506339"</f>
        <v>20200111153506339</v>
      </c>
      <c r="B3607" t="str">
        <f>"1578728106329833"</f>
        <v>1578728106329833</v>
      </c>
      <c r="C3607" t="s">
        <v>37</v>
      </c>
      <c r="D3607">
        <v>4.8994479999999996</v>
      </c>
      <c r="E3607">
        <v>0.54434879999999997</v>
      </c>
      <c r="F3607" t="s">
        <v>39</v>
      </c>
      <c r="G3607">
        <v>-245.07310000000001</v>
      </c>
      <c r="H3607" s="1">
        <v>-3.0772419999999998E-6</v>
      </c>
      <c r="I3607">
        <v>143.30439999999999</v>
      </c>
      <c r="J3607">
        <v>-217.08750000000001</v>
      </c>
      <c r="K3607">
        <v>1.0991139999999999</v>
      </c>
      <c r="L3607">
        <v>141.54089999999999</v>
      </c>
      <c r="M3607">
        <v>-0.99895270000000003</v>
      </c>
      <c r="N3607">
        <v>0</v>
      </c>
      <c r="O3607">
        <v>-4.5469170000000003E-2</v>
      </c>
      <c r="P3607">
        <v>-0.99770400000000004</v>
      </c>
      <c r="Q3607">
        <v>4.0746400000000002E-2</v>
      </c>
      <c r="R3607">
        <v>-5.4098540000000001E-2</v>
      </c>
      <c r="S3607">
        <v>-3.0228730000000001</v>
      </c>
      <c r="T3607">
        <v>-0.1175596</v>
      </c>
      <c r="U3607">
        <v>0.18788150000000001</v>
      </c>
      <c r="V3607">
        <v>-8.1517029999999997E-3</v>
      </c>
      <c r="W3607">
        <v>4.5960269999999998E-2</v>
      </c>
      <c r="X3607">
        <v>0.99890999999999996</v>
      </c>
      <c r="Y3607">
        <v>0.1072365</v>
      </c>
      <c r="Z3607">
        <v>3.8485350000000002E-3</v>
      </c>
      <c r="AA3607">
        <v>0.9942261</v>
      </c>
      <c r="AB3607">
        <v>26</v>
      </c>
      <c r="AC3607">
        <v>-27.985600000000002</v>
      </c>
      <c r="AD3607">
        <v>-1.099117077242</v>
      </c>
      <c r="AE3607">
        <v>1.7634999999999901</v>
      </c>
      <c r="AF3607">
        <v>3.0295201398970399</v>
      </c>
      <c r="AG3607">
        <v>-1.099117077242</v>
      </c>
      <c r="AH3607">
        <v>27.833705957792901</v>
      </c>
      <c r="AI3607">
        <v>92.248097780357</v>
      </c>
      <c r="AJ3607">
        <v>83.788175684154396</v>
      </c>
      <c r="AK3607">
        <v>28.019658063088599</v>
      </c>
    </row>
    <row r="3608" spans="1:37" x14ac:dyDescent="0.2">
      <c r="A3608" t="str">
        <f>"20200111153506361"</f>
        <v>20200111153506361</v>
      </c>
      <c r="B3608" t="str">
        <f>"1578728106349353"</f>
        <v>1578728106349353</v>
      </c>
      <c r="C3608" t="s">
        <v>37</v>
      </c>
      <c r="D3608">
        <v>4.9005140000000003</v>
      </c>
      <c r="E3608">
        <v>0.54437460000000004</v>
      </c>
      <c r="F3608" t="s">
        <v>39</v>
      </c>
      <c r="G3608">
        <v>-245.94280000000001</v>
      </c>
      <c r="H3608" s="1">
        <v>-2.737477E-6</v>
      </c>
      <c r="I3608">
        <v>143.42959999999999</v>
      </c>
      <c r="J3608">
        <v>-217.34479999999999</v>
      </c>
      <c r="K3608">
        <v>1.0992309999999901</v>
      </c>
      <c r="L3608">
        <v>141.53569999999999</v>
      </c>
      <c r="M3608">
        <v>-0.99921759999999904</v>
      </c>
      <c r="N3608">
        <v>0</v>
      </c>
      <c r="O3608">
        <v>-3.924681E-2</v>
      </c>
      <c r="P3608">
        <v>-0.99784219999999901</v>
      </c>
      <c r="Q3608">
        <v>4.1375559999999999E-2</v>
      </c>
      <c r="R3608">
        <v>-5.0981400000000003E-2</v>
      </c>
      <c r="S3608">
        <v>-3.0223239999999998</v>
      </c>
      <c r="T3608">
        <v>-0.1151223</v>
      </c>
      <c r="U3608">
        <v>0.19783020000000001</v>
      </c>
      <c r="V3608">
        <v>-1.126512E-2</v>
      </c>
      <c r="W3608">
        <v>4.6393249999999997E-2</v>
      </c>
      <c r="X3608">
        <v>0.99885970000000002</v>
      </c>
      <c r="Y3608">
        <v>0.104326</v>
      </c>
      <c r="Z3608">
        <v>3.4770909999999999E-3</v>
      </c>
      <c r="AA3608">
        <v>0.99453709999999995</v>
      </c>
      <c r="AB3608">
        <v>26</v>
      </c>
      <c r="AC3608">
        <v>-28.597999999999999</v>
      </c>
      <c r="AD3608">
        <v>-1.09923373747699</v>
      </c>
      <c r="AE3608">
        <v>1.8938999999999999</v>
      </c>
      <c r="AF3608">
        <v>3.0104062136462999</v>
      </c>
      <c r="AG3608">
        <v>-1.09923373747699</v>
      </c>
      <c r="AH3608">
        <v>28.4597717457365</v>
      </c>
      <c r="AI3608">
        <v>92.199640385977105</v>
      </c>
      <c r="AJ3608">
        <v>83.9618435375926</v>
      </c>
      <c r="AK3608">
        <v>28.639648534857901</v>
      </c>
    </row>
    <row r="3609" spans="1:37" x14ac:dyDescent="0.2">
      <c r="A3609" t="str">
        <f>"20200111153506383"</f>
        <v>20200111153506383</v>
      </c>
      <c r="B3609" t="str">
        <f>"1578728106379610"</f>
        <v>1578728106379610</v>
      </c>
      <c r="C3609" t="s">
        <v>37</v>
      </c>
      <c r="D3609">
        <v>4.9051229999999997</v>
      </c>
      <c r="E3609">
        <v>0.54458030000000002</v>
      </c>
      <c r="F3609" t="s">
        <v>39</v>
      </c>
      <c r="G3609">
        <v>-246.7808</v>
      </c>
      <c r="H3609" s="1">
        <v>-2.412103E-6</v>
      </c>
      <c r="I3609">
        <v>143.55779999999999</v>
      </c>
      <c r="J3609">
        <v>-217.61529999999999</v>
      </c>
      <c r="K3609">
        <v>1.0993469999999901</v>
      </c>
      <c r="L3609">
        <v>141.5317</v>
      </c>
      <c r="M3609">
        <v>-0.99944549999999999</v>
      </c>
      <c r="N3609">
        <v>0</v>
      </c>
      <c r="O3609">
        <v>-3.2967990000000003E-2</v>
      </c>
      <c r="P3609">
        <v>-0.99800109999999997</v>
      </c>
      <c r="Q3609">
        <v>4.1761680000000002E-2</v>
      </c>
      <c r="R3609">
        <v>-4.7432969999999998E-2</v>
      </c>
      <c r="S3609">
        <v>-3.0217589999999999</v>
      </c>
      <c r="T3609">
        <v>-0.1128421</v>
      </c>
      <c r="U3609">
        <v>0.2075806</v>
      </c>
      <c r="V3609">
        <v>-1.400411E-2</v>
      </c>
      <c r="W3609">
        <v>4.6582350000000002E-2</v>
      </c>
      <c r="X3609">
        <v>0.99881629999999999</v>
      </c>
      <c r="Y3609">
        <v>0.1012942</v>
      </c>
      <c r="Z3609">
        <v>3.117889E-3</v>
      </c>
      <c r="AA3609">
        <v>0.99485159999999995</v>
      </c>
      <c r="AB3609">
        <v>27</v>
      </c>
      <c r="AC3609">
        <v>-29.165500000000002</v>
      </c>
      <c r="AD3609">
        <v>-1.0993494121030001</v>
      </c>
      <c r="AE3609">
        <v>2.02609999999998</v>
      </c>
      <c r="AF3609">
        <v>2.9823200728311701</v>
      </c>
      <c r="AG3609">
        <v>-1.0993494121030001</v>
      </c>
      <c r="AH3609">
        <v>29.041783987826999</v>
      </c>
      <c r="AI3609">
        <v>92.156512769618203</v>
      </c>
      <c r="AJ3609">
        <v>84.136810574143496</v>
      </c>
      <c r="AK3609">
        <v>29.2152018535267</v>
      </c>
    </row>
    <row r="3610" spans="1:37" x14ac:dyDescent="0.2">
      <c r="A3610" t="str">
        <f>"20200111153506405"</f>
        <v>20200111153506405</v>
      </c>
      <c r="B3610" t="str">
        <f>"1578728106400105"</f>
        <v>1578728106400105</v>
      </c>
      <c r="C3610" t="s">
        <v>37</v>
      </c>
      <c r="D3610">
        <v>4.9059619999999997</v>
      </c>
      <c r="E3610">
        <v>0.54445509999999997</v>
      </c>
      <c r="F3610" t="s">
        <v>39</v>
      </c>
      <c r="G3610">
        <v>-247.59219999999999</v>
      </c>
      <c r="H3610" s="1">
        <v>-2.1055579999999999E-6</v>
      </c>
      <c r="I3610">
        <v>143.714</v>
      </c>
      <c r="J3610">
        <v>-217.89859999999999</v>
      </c>
      <c r="K3610">
        <v>1.099451</v>
      </c>
      <c r="L3610">
        <v>141.529</v>
      </c>
      <c r="M3610">
        <v>-0.99963389999999996</v>
      </c>
      <c r="N3610">
        <v>0</v>
      </c>
      <c r="O3610">
        <v>-2.668823E-2</v>
      </c>
      <c r="P3610">
        <v>-0.99816099999999996</v>
      </c>
      <c r="Q3610">
        <v>4.2336279999999997E-2</v>
      </c>
      <c r="R3610">
        <v>-4.3385369999999999E-2</v>
      </c>
      <c r="S3610">
        <v>-3.0210880000000002</v>
      </c>
      <c r="T3610">
        <v>-0.11079310000000001</v>
      </c>
      <c r="U3610">
        <v>0.2199402</v>
      </c>
      <c r="V3610">
        <v>-1.6241800000000001E-2</v>
      </c>
      <c r="W3610">
        <v>4.6958649999999998E-2</v>
      </c>
      <c r="X3610">
        <v>0.99876480000000001</v>
      </c>
      <c r="Y3610">
        <v>9.9117510000000006E-2</v>
      </c>
      <c r="Z3610">
        <v>2.7917529999999901E-3</v>
      </c>
      <c r="AA3610">
        <v>0.99507179999999995</v>
      </c>
      <c r="AB3610">
        <v>27</v>
      </c>
      <c r="AC3610">
        <v>-29.6936</v>
      </c>
      <c r="AD3610">
        <v>-1.0994531055579999</v>
      </c>
      <c r="AE3610">
        <v>2.1850000000000001</v>
      </c>
      <c r="AF3610">
        <v>2.9726457163083899</v>
      </c>
      <c r="AG3610">
        <v>-1.0994531055579999</v>
      </c>
      <c r="AH3610">
        <v>29.5843679172525</v>
      </c>
      <c r="AI3610">
        <v>92.117667832215204</v>
      </c>
      <c r="AJ3610">
        <v>84.262162321929196</v>
      </c>
      <c r="AK3610">
        <v>29.753659350563399</v>
      </c>
    </row>
    <row r="3611" spans="1:37" x14ac:dyDescent="0.2">
      <c r="A3611" t="str">
        <f>"20200111153506428"</f>
        <v>20200111153506428</v>
      </c>
      <c r="B3611" t="str">
        <f>"1578728106419625"</f>
        <v>1578728106419625</v>
      </c>
      <c r="C3611" t="s">
        <v>37</v>
      </c>
      <c r="D3611">
        <v>4.9116019999999896</v>
      </c>
      <c r="E3611">
        <v>0.54439490000000001</v>
      </c>
      <c r="F3611" t="s">
        <v>39</v>
      </c>
      <c r="G3611">
        <v>-248.089</v>
      </c>
      <c r="H3611" s="1">
        <v>-1.9266969999999998E-6</v>
      </c>
      <c r="I3611">
        <v>143.84280000000001</v>
      </c>
      <c r="J3611">
        <v>-218.17169999999999</v>
      </c>
      <c r="K3611">
        <v>1.0995539999999999</v>
      </c>
      <c r="L3611">
        <v>141.52780000000001</v>
      </c>
      <c r="M3611">
        <v>-0.99977199999999899</v>
      </c>
      <c r="N3611">
        <v>0</v>
      </c>
      <c r="O3611">
        <v>-2.0925119999999998E-2</v>
      </c>
      <c r="P3611">
        <v>-0.99831429999999999</v>
      </c>
      <c r="Q3611">
        <v>4.1228500000000001E-2</v>
      </c>
      <c r="R3611">
        <v>-4.0853540000000001E-2</v>
      </c>
      <c r="S3611">
        <v>-3.020248</v>
      </c>
      <c r="T3611">
        <v>-0.1099892</v>
      </c>
      <c r="U3611">
        <v>0.23147579999999901</v>
      </c>
      <c r="V3611">
        <v>-1.9493730000000001E-2</v>
      </c>
      <c r="W3611">
        <v>4.5682090000000002E-2</v>
      </c>
      <c r="X3611">
        <v>0.99876580000000004</v>
      </c>
      <c r="Y3611">
        <v>9.7186750000000002E-2</v>
      </c>
      <c r="Z3611">
        <v>2.5272509999999999E-3</v>
      </c>
      <c r="AA3611">
        <v>0.99526299999999901</v>
      </c>
      <c r="AB3611">
        <v>27</v>
      </c>
      <c r="AC3611">
        <v>-29.917300000000001</v>
      </c>
      <c r="AD3611">
        <v>-1.0995559266970001</v>
      </c>
      <c r="AE3611">
        <v>2.3149999999999902</v>
      </c>
      <c r="AF3611">
        <v>2.9365787562031298</v>
      </c>
      <c r="AG3611">
        <v>-1.0995559266970001</v>
      </c>
      <c r="AH3611">
        <v>29.8222632372634</v>
      </c>
      <c r="AI3611">
        <v>92.1014022876019</v>
      </c>
      <c r="AJ3611">
        <v>84.376251656368794</v>
      </c>
      <c r="AK3611">
        <v>29.9866620786634</v>
      </c>
    </row>
    <row r="3612" spans="1:37" x14ac:dyDescent="0.2">
      <c r="A3612" t="str">
        <f>"20200111153506461"</f>
        <v>20200111153506461</v>
      </c>
      <c r="B3612" t="str">
        <f>"1578728106449881"</f>
        <v>1578728106449881</v>
      </c>
      <c r="C3612" t="s">
        <v>37</v>
      </c>
      <c r="D3612">
        <v>4.9041959999999998</v>
      </c>
      <c r="E3612">
        <v>0.54410439999999904</v>
      </c>
      <c r="F3612" t="s">
        <v>39</v>
      </c>
      <c r="G3612">
        <v>-247.00749999999999</v>
      </c>
      <c r="H3612" s="1">
        <v>-2.3817809999999999E-6</v>
      </c>
      <c r="I3612">
        <v>143.80930000000001</v>
      </c>
      <c r="J3612">
        <v>-218.57210000000001</v>
      </c>
      <c r="K3612">
        <v>1.099723</v>
      </c>
      <c r="L3612">
        <v>141.52809999999999</v>
      </c>
      <c r="M3612">
        <v>-0.99990769999999995</v>
      </c>
      <c r="N3612">
        <v>0</v>
      </c>
      <c r="O3612">
        <v>-1.299701E-2</v>
      </c>
      <c r="P3612">
        <v>-0.99858269999999905</v>
      </c>
      <c r="Q3612">
        <v>3.992511E-2</v>
      </c>
      <c r="R3612">
        <v>-3.5198790000000001E-2</v>
      </c>
      <c r="S3612">
        <v>-3.019577</v>
      </c>
      <c r="T3612">
        <v>-0.11514149999999999</v>
      </c>
      <c r="U3612">
        <v>0.2389221</v>
      </c>
      <c r="V3612">
        <v>-2.1794540000000001E-2</v>
      </c>
      <c r="W3612">
        <v>4.4121550000000002E-2</v>
      </c>
      <c r="X3612">
        <v>0.99878840000000002</v>
      </c>
      <c r="Y3612">
        <v>9.1752120000000006E-2</v>
      </c>
      <c r="Z3612">
        <v>2.2406729999999999E-3</v>
      </c>
      <c r="AA3612">
        <v>0.99577929999999903</v>
      </c>
      <c r="AB3612">
        <v>27</v>
      </c>
      <c r="AC3612">
        <v>-28.435399999999898</v>
      </c>
      <c r="AD3612">
        <v>-1.099725381781</v>
      </c>
      <c r="AE3612">
        <v>2.2812000000000099</v>
      </c>
      <c r="AF3612">
        <v>2.6466520582461399</v>
      </c>
      <c r="AG3612">
        <v>-1.099725381781</v>
      </c>
      <c r="AH3612">
        <v>28.361200063317401</v>
      </c>
      <c r="AI3612">
        <v>92.210974781803202</v>
      </c>
      <c r="AJ3612">
        <v>84.668628770999405</v>
      </c>
      <c r="AK3612">
        <v>28.505645617390702</v>
      </c>
    </row>
    <row r="3613" spans="1:37" x14ac:dyDescent="0.2">
      <c r="A3613" t="str">
        <f>"20200111153506487"</f>
        <v>20200111153506487</v>
      </c>
      <c r="B3613" t="str">
        <f>"1578728106479162"</f>
        <v>1578728106479162</v>
      </c>
      <c r="C3613" t="s">
        <v>37</v>
      </c>
      <c r="D3613">
        <v>4.9250249999999998</v>
      </c>
      <c r="E3613">
        <v>0.53845580000000004</v>
      </c>
      <c r="F3613" t="s">
        <v>39</v>
      </c>
      <c r="G3613">
        <v>-245.6704</v>
      </c>
      <c r="H3613" s="1">
        <v>-2.9552370000000001E-6</v>
      </c>
      <c r="I3613">
        <v>143.80889999999999</v>
      </c>
      <c r="J3613">
        <v>-218.8974</v>
      </c>
      <c r="K3613">
        <v>1.099888</v>
      </c>
      <c r="L3613">
        <v>141.53039999999999</v>
      </c>
      <c r="M3613">
        <v>-0.99996810000000003</v>
      </c>
      <c r="N3613">
        <v>0</v>
      </c>
      <c r="O3613">
        <v>-7.0539050000000001E-3</v>
      </c>
      <c r="P3613">
        <v>-0.99879660000000003</v>
      </c>
      <c r="Q3613">
        <v>3.8478749999999999E-2</v>
      </c>
      <c r="R3613">
        <v>-3.0415560000000001E-2</v>
      </c>
      <c r="S3613">
        <v>-3.0181269999999998</v>
      </c>
      <c r="T3613">
        <v>-0.1224841</v>
      </c>
      <c r="U3613">
        <v>0.25402829999999998</v>
      </c>
      <c r="V3613">
        <v>-2.2982510000000001E-2</v>
      </c>
      <c r="W3613">
        <v>4.2485149999999999E-2</v>
      </c>
      <c r="X3613">
        <v>0.99883269999999902</v>
      </c>
      <c r="Y3613">
        <v>9.0817980000000006E-2</v>
      </c>
      <c r="Z3613">
        <v>2.124487E-3</v>
      </c>
      <c r="AA3613">
        <v>0.99586520000000001</v>
      </c>
      <c r="AB3613">
        <v>27</v>
      </c>
      <c r="AC3613">
        <v>-26.773</v>
      </c>
      <c r="AD3613">
        <v>-1.099890955237</v>
      </c>
      <c r="AE3613">
        <v>2.2785000000000002</v>
      </c>
      <c r="AF3613">
        <v>2.4631715399531502</v>
      </c>
      <c r="AG3613">
        <v>-1.099890955237</v>
      </c>
      <c r="AH3613">
        <v>26.7115036016638</v>
      </c>
      <c r="AI3613">
        <v>92.347967274566102</v>
      </c>
      <c r="AJ3613">
        <v>84.731433401666493</v>
      </c>
      <c r="AK3613">
        <v>26.847372288742601</v>
      </c>
    </row>
    <row r="3614" spans="1:37" x14ac:dyDescent="0.2">
      <c r="A3614" t="str">
        <f>"20200111153506507"</f>
        <v>20200111153506507</v>
      </c>
      <c r="B3614" t="str">
        <f>"1578728106499658"</f>
        <v>1578728106499658</v>
      </c>
      <c r="C3614" t="s">
        <v>37</v>
      </c>
      <c r="D3614">
        <v>4.9257980000000003</v>
      </c>
      <c r="E3614">
        <v>0.53807859999999996</v>
      </c>
      <c r="F3614" t="s">
        <v>40</v>
      </c>
      <c r="G3614">
        <v>-219.7696</v>
      </c>
      <c r="H3614">
        <v>1.048448</v>
      </c>
      <c r="I3614">
        <v>141.59549999999999</v>
      </c>
      <c r="J3614">
        <v>-219.1465</v>
      </c>
      <c r="K3614">
        <v>1.100006</v>
      </c>
      <c r="L3614">
        <v>141.53309999999999</v>
      </c>
      <c r="M3614">
        <v>-0.99998949999999998</v>
      </c>
      <c r="N3614">
        <v>0</v>
      </c>
      <c r="O3614">
        <v>-2.7371850000000001E-3</v>
      </c>
      <c r="P3614">
        <v>-0.99890679999999998</v>
      </c>
      <c r="Q3614">
        <v>3.7453180000000003E-2</v>
      </c>
      <c r="R3614">
        <v>-2.7972480000000001E-2</v>
      </c>
      <c r="S3614">
        <v>-3.0173030000000001</v>
      </c>
      <c r="T3614">
        <v>-0.17786769999999999</v>
      </c>
      <c r="U3614">
        <v>0.22499079999999999</v>
      </c>
      <c r="V3614">
        <v>-2.4876410000000002E-2</v>
      </c>
      <c r="W3614">
        <v>4.1336980000000002E-2</v>
      </c>
      <c r="X3614">
        <v>0.99883549999999999</v>
      </c>
      <c r="Y3614">
        <v>7.6952190000000004E-2</v>
      </c>
      <c r="Z3614">
        <v>2.4240329999999999E-3</v>
      </c>
      <c r="AA3614">
        <v>0.99703180000000002</v>
      </c>
      <c r="AB3614">
        <v>28</v>
      </c>
      <c r="AC3614">
        <v>-0.62309999999999299</v>
      </c>
      <c r="AD3614">
        <v>-5.1557999999999903E-2</v>
      </c>
      <c r="AE3614">
        <v>6.2399999999996597E-2</v>
      </c>
      <c r="AF3614">
        <v>6.3673696421279902E-2</v>
      </c>
      <c r="AG3614">
        <v>-5.1557999999999903E-2</v>
      </c>
      <c r="AH3614">
        <v>0.61873269568534595</v>
      </c>
      <c r="AI3614">
        <v>94.738450265709901</v>
      </c>
      <c r="AJ3614">
        <v>84.124382764031097</v>
      </c>
      <c r="AK3614">
        <v>0.62413357199401198</v>
      </c>
    </row>
    <row r="3615" spans="1:37" x14ac:dyDescent="0.2">
      <c r="A3615" t="str">
        <f>"20200111153506529"</f>
        <v>20200111153506529</v>
      </c>
      <c r="B3615" t="str">
        <f>"1578728106519177"</f>
        <v>1578728106519177</v>
      </c>
      <c r="C3615" t="s">
        <v>37</v>
      </c>
      <c r="D3615">
        <v>4.983924</v>
      </c>
      <c r="E3615">
        <v>0.53774889999999997</v>
      </c>
      <c r="F3615" t="s">
        <v>40</v>
      </c>
      <c r="G3615">
        <v>-220.0206</v>
      </c>
      <c r="H3615">
        <v>1.048432</v>
      </c>
      <c r="I3615">
        <v>141.59950000000001</v>
      </c>
      <c r="J3615">
        <v>-219.43610000000001</v>
      </c>
      <c r="K3615">
        <v>1.1001700000000001</v>
      </c>
      <c r="L3615">
        <v>141.53720000000001</v>
      </c>
      <c r="M3615">
        <v>-0.99999189999999905</v>
      </c>
      <c r="N3615">
        <v>0</v>
      </c>
      <c r="O3615">
        <v>1.98022E-3</v>
      </c>
      <c r="P3615">
        <v>-0.99902190000000002</v>
      </c>
      <c r="Q3615">
        <v>3.6908789999999997E-2</v>
      </c>
      <c r="R3615">
        <v>-2.4354489999999999E-2</v>
      </c>
      <c r="S3615">
        <v>-3.01637299999999</v>
      </c>
      <c r="T3615">
        <v>-0.177981</v>
      </c>
      <c r="U3615">
        <v>0.22915650000000001</v>
      </c>
      <c r="V3615">
        <v>-2.5993530000000001E-2</v>
      </c>
      <c r="W3615">
        <v>4.0654250000000003E-2</v>
      </c>
      <c r="X3615">
        <v>0.99883509999999998</v>
      </c>
      <c r="Y3615">
        <v>7.3653949999999996E-2</v>
      </c>
      <c r="Z3615">
        <v>2.0513989999999902E-3</v>
      </c>
      <c r="AA3615">
        <v>0.99728169999999905</v>
      </c>
      <c r="AB3615">
        <v>28</v>
      </c>
      <c r="AC3615">
        <v>-0.58449999999999103</v>
      </c>
      <c r="AD3615">
        <v>-5.1737999999999999E-2</v>
      </c>
      <c r="AE3615">
        <v>6.2299999999993298E-2</v>
      </c>
      <c r="AF3615">
        <v>6.0672391674683197E-2</v>
      </c>
      <c r="AG3615">
        <v>-5.1737999999999999E-2</v>
      </c>
      <c r="AH3615">
        <v>0.58012786231345503</v>
      </c>
      <c r="AI3615">
        <v>95.068870551291397</v>
      </c>
      <c r="AJ3615">
        <v>84.029453954170293</v>
      </c>
      <c r="AK3615">
        <v>0.58558201508234997</v>
      </c>
    </row>
    <row r="3616" spans="1:37" x14ac:dyDescent="0.2">
      <c r="A3616" t="str">
        <f>"20200111153506551"</f>
        <v>20200111153506551</v>
      </c>
      <c r="B3616" t="str">
        <f>"1578728106539674"</f>
        <v>1578728106539674</v>
      </c>
      <c r="C3616" t="s">
        <v>37</v>
      </c>
      <c r="D3616">
        <v>4.9770250000000003</v>
      </c>
      <c r="E3616">
        <v>0.53729009999999999</v>
      </c>
      <c r="F3616" t="s">
        <v>40</v>
      </c>
      <c r="G3616">
        <v>-220.27500000000001</v>
      </c>
      <c r="H3616">
        <v>1.0508230000000001</v>
      </c>
      <c r="I3616">
        <v>141.60329999999999</v>
      </c>
      <c r="J3616">
        <v>-219.69730000000001</v>
      </c>
      <c r="K3616">
        <v>1.100336</v>
      </c>
      <c r="L3616">
        <v>141.5419</v>
      </c>
      <c r="M3616">
        <v>-0.99997649999999905</v>
      </c>
      <c r="N3616">
        <v>0</v>
      </c>
      <c r="O3616">
        <v>5.9377719999999896E-3</v>
      </c>
      <c r="P3616">
        <v>-0.99907119999999905</v>
      </c>
      <c r="Q3616">
        <v>3.7249369999999997E-2</v>
      </c>
      <c r="R3616">
        <v>-2.1665170000000001E-2</v>
      </c>
      <c r="S3616">
        <v>-3.0152890000000001</v>
      </c>
      <c r="T3616">
        <v>-0.1772881</v>
      </c>
      <c r="U3616">
        <v>0.2371674</v>
      </c>
      <c r="V3616">
        <v>-2.7273499999999999E-2</v>
      </c>
      <c r="W3616">
        <v>4.0881510000000003E-2</v>
      </c>
      <c r="X3616">
        <v>0.99879169999999995</v>
      </c>
      <c r="Y3616">
        <v>7.2377810000000001E-2</v>
      </c>
      <c r="Z3616">
        <v>1.774409E-3</v>
      </c>
      <c r="AA3616">
        <v>0.99737569999999998</v>
      </c>
      <c r="AB3616">
        <v>28</v>
      </c>
      <c r="AC3616">
        <v>-0.577699999999992</v>
      </c>
      <c r="AD3616">
        <v>-4.9512999999999897E-2</v>
      </c>
      <c r="AE3616">
        <v>6.1399999999991899E-2</v>
      </c>
      <c r="AF3616">
        <v>5.75506185601454E-2</v>
      </c>
      <c r="AG3616">
        <v>-4.9512999999999897E-2</v>
      </c>
      <c r="AH3616">
        <v>0.57388588641300997</v>
      </c>
      <c r="AI3616">
        <v>94.906592869707197</v>
      </c>
      <c r="AJ3616">
        <v>84.273390688538598</v>
      </c>
      <c r="AK3616">
        <v>0.57888567220972198</v>
      </c>
    </row>
    <row r="3617" spans="1:37" x14ac:dyDescent="0.2">
      <c r="A3617" t="str">
        <f>"20200111153506572"</f>
        <v>20200111153506572</v>
      </c>
      <c r="B3617" t="str">
        <f>"1578728106569929"</f>
        <v>1578728106569929</v>
      </c>
      <c r="C3617" t="s">
        <v>37</v>
      </c>
      <c r="D3617">
        <v>4.9482390000000001</v>
      </c>
      <c r="E3617">
        <v>0.53641039999999995</v>
      </c>
      <c r="F3617" t="s">
        <v>40</v>
      </c>
      <c r="G3617">
        <v>-220.52940000000001</v>
      </c>
      <c r="H3617">
        <v>1.051701</v>
      </c>
      <c r="I3617">
        <v>141.60839999999999</v>
      </c>
      <c r="J3617">
        <v>-219.98330000000001</v>
      </c>
      <c r="K3617">
        <v>1.100538</v>
      </c>
      <c r="L3617">
        <v>141.5478</v>
      </c>
      <c r="M3617">
        <v>-0.99994530000000004</v>
      </c>
      <c r="N3617">
        <v>0</v>
      </c>
      <c r="O3617">
        <v>9.9353779999999999E-3</v>
      </c>
      <c r="P3617">
        <v>-0.99907800000000002</v>
      </c>
      <c r="Q3617">
        <v>3.8941450000000002E-2</v>
      </c>
      <c r="R3617">
        <v>-1.8088469999999999E-2</v>
      </c>
      <c r="S3617">
        <v>-3.0146029999999899</v>
      </c>
      <c r="T3617">
        <v>-0.17613199999999901</v>
      </c>
      <c r="U3617">
        <v>0.24121090000000001</v>
      </c>
      <c r="V3617">
        <v>-2.769889E-2</v>
      </c>
      <c r="W3617">
        <v>4.2448939999999998E-2</v>
      </c>
      <c r="X3617">
        <v>0.99871460000000001</v>
      </c>
      <c r="Y3617">
        <v>6.9750210000000007E-2</v>
      </c>
      <c r="Z3617">
        <v>1.4536379999999999E-3</v>
      </c>
      <c r="AA3617">
        <v>0.99756339999999999</v>
      </c>
      <c r="AB3617">
        <v>28</v>
      </c>
      <c r="AC3617">
        <v>-0.54609999999999503</v>
      </c>
      <c r="AD3617">
        <v>-4.8836999999999998E-2</v>
      </c>
      <c r="AE3617">
        <v>6.0599999999993701E-2</v>
      </c>
      <c r="AF3617">
        <v>5.4738822121079098E-2</v>
      </c>
      <c r="AG3617">
        <v>-4.8836999999999998E-2</v>
      </c>
      <c r="AH3617">
        <v>0.54239013985695395</v>
      </c>
      <c r="AI3617">
        <v>95.1191934568904</v>
      </c>
      <c r="AJ3617">
        <v>84.237136796159504</v>
      </c>
      <c r="AK3617">
        <v>0.547328470874894</v>
      </c>
    </row>
    <row r="3618" spans="1:37" x14ac:dyDescent="0.2">
      <c r="A3618" t="str">
        <f>"20200111153506596"</f>
        <v>20200111153506596</v>
      </c>
      <c r="B3618" t="str">
        <f>"1578728106589450"</f>
        <v>1578728106589450</v>
      </c>
      <c r="C3618" t="s">
        <v>37</v>
      </c>
      <c r="D3618">
        <v>4.9640940000000002</v>
      </c>
      <c r="E3618">
        <v>0.53574089999999996</v>
      </c>
      <c r="F3618" t="s">
        <v>40</v>
      </c>
      <c r="G3618">
        <v>-220.78729999999999</v>
      </c>
      <c r="H3618">
        <v>1.054889</v>
      </c>
      <c r="I3618">
        <v>141.61330000000001</v>
      </c>
      <c r="J3618">
        <v>-220.27799999999999</v>
      </c>
      <c r="K3618">
        <v>1.1007549999999999</v>
      </c>
      <c r="L3618">
        <v>141.5547</v>
      </c>
      <c r="M3618">
        <v>-0.99990119999999905</v>
      </c>
      <c r="N3618">
        <v>0</v>
      </c>
      <c r="O3618">
        <v>1.3682730000000001E-2</v>
      </c>
      <c r="P3618">
        <v>-0.9990715</v>
      </c>
      <c r="Q3618">
        <v>4.0209660000000001E-2</v>
      </c>
      <c r="R3618">
        <v>-1.5476409999999999E-2</v>
      </c>
      <c r="S3618">
        <v>-3.013855</v>
      </c>
      <c r="T3618">
        <v>-0.17107610000000001</v>
      </c>
      <c r="U3618">
        <v>0.24455259999999901</v>
      </c>
      <c r="V3618">
        <v>-2.8845619999999999E-2</v>
      </c>
      <c r="W3618">
        <v>4.3599909999999999E-2</v>
      </c>
      <c r="X3618">
        <v>0.99863259999999898</v>
      </c>
      <c r="Y3618">
        <v>6.7145949999999996E-2</v>
      </c>
      <c r="Z3618">
        <v>1.126401E-3</v>
      </c>
      <c r="AA3618">
        <v>0.99774249999999998</v>
      </c>
      <c r="AB3618">
        <v>28</v>
      </c>
      <c r="AC3618">
        <v>-0.50929999999999598</v>
      </c>
      <c r="AD3618">
        <v>-4.58659999999999E-2</v>
      </c>
      <c r="AE3618">
        <v>5.86000000000126E-2</v>
      </c>
      <c r="AF3618">
        <v>5.1215916864499E-2</v>
      </c>
      <c r="AG3618">
        <v>-4.58659999999999E-2</v>
      </c>
      <c r="AH3618">
        <v>0.50600393454466697</v>
      </c>
      <c r="AI3618">
        <v>95.153153344921705</v>
      </c>
      <c r="AJ3618">
        <v>84.220408397880206</v>
      </c>
      <c r="AK3618">
        <v>0.51065325013256802</v>
      </c>
    </row>
    <row r="3619" spans="1:37" x14ac:dyDescent="0.2">
      <c r="A3619" t="str">
        <f>"20200111153506621"</f>
        <v>20200111153506621</v>
      </c>
      <c r="B3619" t="str">
        <f>"1578728106609561"</f>
        <v>1578728106609561</v>
      </c>
      <c r="C3619" t="s">
        <v>37</v>
      </c>
      <c r="D3619">
        <v>4.9688489999999996</v>
      </c>
      <c r="E3619">
        <v>0.53510500000000005</v>
      </c>
      <c r="F3619" t="s">
        <v>39</v>
      </c>
      <c r="G3619">
        <v>-240.18099999999899</v>
      </c>
      <c r="H3619" s="1">
        <v>-4.8474919999999902E-6</v>
      </c>
      <c r="I3619">
        <v>143.18520000000001</v>
      </c>
      <c r="J3619">
        <v>-220.58269999999999</v>
      </c>
      <c r="K3619">
        <v>1.100992</v>
      </c>
      <c r="L3619">
        <v>141.5625</v>
      </c>
      <c r="M3619">
        <v>-0.99984810000000002</v>
      </c>
      <c r="N3619">
        <v>0</v>
      </c>
      <c r="O3619">
        <v>1.7148710000000001E-2</v>
      </c>
      <c r="P3619">
        <v>-0.99908649999999999</v>
      </c>
      <c r="Q3619">
        <v>4.0800120000000002E-2</v>
      </c>
      <c r="R3619">
        <v>-1.271737E-2</v>
      </c>
      <c r="S3619">
        <v>-3.0133359999999998</v>
      </c>
      <c r="T3619">
        <v>-0.1666561</v>
      </c>
      <c r="U3619">
        <v>0.24687190000000001</v>
      </c>
      <c r="V3619">
        <v>-2.9572620000000001E-2</v>
      </c>
      <c r="W3619">
        <v>4.4067719999999998E-2</v>
      </c>
      <c r="X3619">
        <v>0.9985908</v>
      </c>
      <c r="Y3619">
        <v>6.4477530000000005E-2</v>
      </c>
      <c r="Z3619">
        <v>8.3274059999999999E-4</v>
      </c>
      <c r="AA3619">
        <v>0.99791879999999999</v>
      </c>
      <c r="AB3619">
        <v>28</v>
      </c>
      <c r="AC3619">
        <v>-19.598299999999899</v>
      </c>
      <c r="AD3619">
        <v>-1.100996847492</v>
      </c>
      <c r="AE3619">
        <v>1.6227</v>
      </c>
      <c r="AF3619">
        <v>1.2823546468186</v>
      </c>
      <c r="AG3619">
        <v>-1.100996847492</v>
      </c>
      <c r="AH3619">
        <v>19.561928535666901</v>
      </c>
      <c r="AI3619">
        <v>93.214473920538595</v>
      </c>
      <c r="AJ3619">
        <v>86.249422225860897</v>
      </c>
      <c r="AK3619">
        <v>19.6348077539085</v>
      </c>
    </row>
    <row r="3620" spans="1:37" x14ac:dyDescent="0.2">
      <c r="A3620" t="str">
        <f>"20200111153506640"</f>
        <v>20200111153506640</v>
      </c>
      <c r="B3620" t="str">
        <f>"1578728106630061"</f>
        <v>1578728106630061</v>
      </c>
      <c r="C3620" t="s">
        <v>37</v>
      </c>
      <c r="D3620">
        <v>5.0055990000000001</v>
      </c>
      <c r="E3620">
        <v>0.53482169999999996</v>
      </c>
      <c r="F3620" t="s">
        <v>40</v>
      </c>
      <c r="G3620">
        <v>-221.55369999999999</v>
      </c>
      <c r="H3620">
        <v>1.0474829999999999</v>
      </c>
      <c r="I3620">
        <v>141.643</v>
      </c>
      <c r="J3620">
        <v>-220.8528</v>
      </c>
      <c r="K3620">
        <v>1.10121</v>
      </c>
      <c r="L3620">
        <v>141.57</v>
      </c>
      <c r="M3620">
        <v>-0.99979850000000003</v>
      </c>
      <c r="N3620">
        <v>0</v>
      </c>
      <c r="O3620">
        <v>1.985162E-2</v>
      </c>
      <c r="P3620">
        <v>-0.99910529999999997</v>
      </c>
      <c r="Q3620">
        <v>4.0972059999999998E-2</v>
      </c>
      <c r="R3620">
        <v>-1.0488590000000001E-2</v>
      </c>
      <c r="S3620">
        <v>-3.0127109999999999</v>
      </c>
      <c r="T3620">
        <v>-0.16604179999999999</v>
      </c>
      <c r="U3620">
        <v>0.24980160000000001</v>
      </c>
      <c r="V3620">
        <v>-3.0069160000000001E-2</v>
      </c>
      <c r="W3620">
        <v>4.4133459999999999E-2</v>
      </c>
      <c r="X3620">
        <v>0.99857299999999904</v>
      </c>
      <c r="Y3620">
        <v>6.2767569999999995E-2</v>
      </c>
      <c r="Z3620">
        <v>6.3428620000000003E-4</v>
      </c>
      <c r="AA3620">
        <v>0.99802800000000003</v>
      </c>
      <c r="AB3620">
        <v>29</v>
      </c>
      <c r="AC3620">
        <v>-0.70089999999998998</v>
      </c>
      <c r="AD3620">
        <v>-5.3726999999999997E-2</v>
      </c>
      <c r="AE3620">
        <v>7.3000000000007503E-2</v>
      </c>
      <c r="AF3620">
        <v>5.8730163834068899E-2</v>
      </c>
      <c r="AG3620">
        <v>-5.3726999999999997E-2</v>
      </c>
      <c r="AH3620">
        <v>0.69815281079826497</v>
      </c>
      <c r="AI3620">
        <v>94.385148942486694</v>
      </c>
      <c r="AJ3620">
        <v>85.191473137178704</v>
      </c>
      <c r="AK3620">
        <v>0.702675721722684</v>
      </c>
    </row>
    <row r="3621" spans="1:37" x14ac:dyDescent="0.2">
      <c r="A3621" t="str">
        <f>"20200111153506662"</f>
        <v>20200111153506662</v>
      </c>
      <c r="B3621" t="str">
        <f>"1578728106649577"</f>
        <v>1578728106649577</v>
      </c>
      <c r="C3621" t="s">
        <v>37</v>
      </c>
      <c r="D3621">
        <v>5.0104470000000001</v>
      </c>
      <c r="E3621">
        <v>0.52840509999999996</v>
      </c>
      <c r="F3621" t="s">
        <v>40</v>
      </c>
      <c r="G3621">
        <v>-221.8143</v>
      </c>
      <c r="H3621">
        <v>1.0478959999999999</v>
      </c>
      <c r="I3621">
        <v>141.65129999999999</v>
      </c>
      <c r="J3621">
        <v>-221.1369</v>
      </c>
      <c r="K3621">
        <v>1.101415</v>
      </c>
      <c r="L3621">
        <v>141.57839999999999</v>
      </c>
      <c r="M3621">
        <v>-0.99974509999999905</v>
      </c>
      <c r="N3621">
        <v>0</v>
      </c>
      <c r="O3621">
        <v>2.2394600000000001E-2</v>
      </c>
      <c r="P3621">
        <v>-0.99915609999999999</v>
      </c>
      <c r="Q3621">
        <v>4.0223589999999997E-2</v>
      </c>
      <c r="R3621">
        <v>-8.3291670000000002E-3</v>
      </c>
      <c r="S3621">
        <v>-3.0122070000000001</v>
      </c>
      <c r="T3621">
        <v>-0.16701640000000001</v>
      </c>
      <c r="U3621">
        <v>0.2539825</v>
      </c>
      <c r="V3621">
        <v>-3.0479309999999999E-2</v>
      </c>
      <c r="W3621">
        <v>4.328216E-2</v>
      </c>
      <c r="X3621">
        <v>0.99859789999999904</v>
      </c>
      <c r="Y3621">
        <v>6.1623249999999997E-2</v>
      </c>
      <c r="Z3621">
        <v>4.658768E-4</v>
      </c>
      <c r="AA3621">
        <v>0.99809939999999997</v>
      </c>
      <c r="AB3621">
        <v>29</v>
      </c>
      <c r="AC3621">
        <v>-0.677400000000005</v>
      </c>
      <c r="AD3621">
        <v>-5.3518999999999997E-2</v>
      </c>
      <c r="AE3621">
        <v>7.29000000000041E-2</v>
      </c>
      <c r="AF3621">
        <v>5.73576240816688E-2</v>
      </c>
      <c r="AG3621">
        <v>-5.3518999999999997E-2</v>
      </c>
      <c r="AH3621">
        <v>0.67469941162851799</v>
      </c>
      <c r="AI3621">
        <v>94.519128587249398</v>
      </c>
      <c r="AJ3621">
        <v>85.140847913213193</v>
      </c>
      <c r="AK3621">
        <v>0.67924478389838405</v>
      </c>
    </row>
    <row r="3622" spans="1:37" x14ac:dyDescent="0.2">
      <c r="A3622" t="str">
        <f>"20200111153506685"</f>
        <v>20200111153506685</v>
      </c>
      <c r="B3622" t="str">
        <f>"1578728106679834"</f>
        <v>1578728106679834</v>
      </c>
      <c r="C3622" t="s">
        <v>37</v>
      </c>
      <c r="D3622">
        <v>5.0072089999999996</v>
      </c>
      <c r="E3622">
        <v>0.52692649999999996</v>
      </c>
      <c r="F3622" t="s">
        <v>40</v>
      </c>
      <c r="G3622">
        <v>-222.07509999999999</v>
      </c>
      <c r="H3622">
        <v>1.044689</v>
      </c>
      <c r="I3622">
        <v>141.64359999999999</v>
      </c>
      <c r="J3622">
        <v>-221.44069999999999</v>
      </c>
      <c r="K3622">
        <v>1.10161</v>
      </c>
      <c r="L3622">
        <v>141.58779999999999</v>
      </c>
      <c r="M3622">
        <v>-0.99968889999999999</v>
      </c>
      <c r="N3622">
        <v>0</v>
      </c>
      <c r="O3622">
        <v>2.4787259999999998E-2</v>
      </c>
      <c r="P3622">
        <v>-0.99916569999999905</v>
      </c>
      <c r="Q3622">
        <v>4.0316009999999999E-2</v>
      </c>
      <c r="R3622">
        <v>-6.5525699999999997E-3</v>
      </c>
      <c r="S3622">
        <v>-3.011612</v>
      </c>
      <c r="T3622">
        <v>-0.18210989999999999</v>
      </c>
      <c r="U3622">
        <v>0.20913699999999999</v>
      </c>
      <c r="V3622">
        <v>-3.111595E-2</v>
      </c>
      <c r="W3622">
        <v>4.3276929999999998E-2</v>
      </c>
      <c r="X3622">
        <v>0.99857839999999998</v>
      </c>
      <c r="Y3622">
        <v>4.4491790000000003E-2</v>
      </c>
      <c r="Z3622">
        <v>-1.5291959999999999E-4</v>
      </c>
      <c r="AA3622">
        <v>0.9990097</v>
      </c>
      <c r="AB3622">
        <v>29</v>
      </c>
      <c r="AC3622">
        <v>-0.63439999999999896</v>
      </c>
      <c r="AD3622">
        <v>-5.6920999999999999E-2</v>
      </c>
      <c r="AE3622">
        <v>5.5800000000004901E-2</v>
      </c>
      <c r="AF3622">
        <v>3.9740286975039403E-2</v>
      </c>
      <c r="AG3622">
        <v>-5.6920999999999999E-2</v>
      </c>
      <c r="AH3622">
        <v>0.63055098096274198</v>
      </c>
      <c r="AI3622">
        <v>95.148055419114996</v>
      </c>
      <c r="AJ3622">
        <v>86.393720436285903</v>
      </c>
      <c r="AK3622">
        <v>0.63436096210512105</v>
      </c>
    </row>
    <row r="3623" spans="1:37" x14ac:dyDescent="0.2">
      <c r="A3623" t="str">
        <f>"20200111153506708"</f>
        <v>20200111153506708</v>
      </c>
      <c r="B3623" t="str">
        <f>"1578728106699949"</f>
        <v>1578728106699949</v>
      </c>
      <c r="C3623" t="s">
        <v>37</v>
      </c>
      <c r="D3623">
        <v>5.0103710000000001</v>
      </c>
      <c r="E3623">
        <v>0.52620489999999998</v>
      </c>
      <c r="F3623" t="s">
        <v>40</v>
      </c>
      <c r="G3623">
        <v>-222.33850000000001</v>
      </c>
      <c r="H3623">
        <v>1.0449440000000001</v>
      </c>
      <c r="I3623">
        <v>141.64850000000001</v>
      </c>
      <c r="J3623">
        <v>-221.7388</v>
      </c>
      <c r="K3623">
        <v>1.1017920000000001</v>
      </c>
      <c r="L3623">
        <v>141.59739999999999</v>
      </c>
      <c r="M3623">
        <v>-0.99963639999999998</v>
      </c>
      <c r="N3623">
        <v>0</v>
      </c>
      <c r="O3623">
        <v>2.682611E-2</v>
      </c>
      <c r="P3623">
        <v>-0.99918909999999905</v>
      </c>
      <c r="Q3623">
        <v>3.999233E-2</v>
      </c>
      <c r="R3623">
        <v>-4.6311499999999997E-3</v>
      </c>
      <c r="S3623">
        <v>-3.01152</v>
      </c>
      <c r="T3623">
        <v>-0.1900878</v>
      </c>
      <c r="U3623">
        <v>0.20252989999999901</v>
      </c>
      <c r="V3623">
        <v>-3.1255539999999998E-2</v>
      </c>
      <c r="W3623">
        <v>4.2863890000000002E-2</v>
      </c>
      <c r="X3623">
        <v>0.99859189999999998</v>
      </c>
      <c r="Y3623">
        <v>4.0283590000000001E-2</v>
      </c>
      <c r="Z3623">
        <v>-4.2049589999999999E-4</v>
      </c>
      <c r="AA3623">
        <v>0.99918819999999997</v>
      </c>
      <c r="AB3623">
        <v>29</v>
      </c>
      <c r="AC3623">
        <v>-0.599700000000012</v>
      </c>
      <c r="AD3623">
        <v>-5.6848000000000003E-2</v>
      </c>
      <c r="AE3623">
        <v>5.1100000000019401E-2</v>
      </c>
      <c r="AF3623">
        <v>3.4684506444357499E-2</v>
      </c>
      <c r="AG3623">
        <v>-5.6848000000000003E-2</v>
      </c>
      <c r="AH3623">
        <v>0.59554207960731098</v>
      </c>
      <c r="AI3623">
        <v>95.443529744182698</v>
      </c>
      <c r="AJ3623">
        <v>86.666845942270498</v>
      </c>
      <c r="AK3623">
        <v>0.59925376817696296</v>
      </c>
    </row>
    <row r="3624" spans="1:37" x14ac:dyDescent="0.2">
      <c r="A3624" t="str">
        <f>"20200111153506730"</f>
        <v>20200111153506730</v>
      </c>
      <c r="B3624" t="str">
        <f>"1578728106719468"</f>
        <v>1578728106719468</v>
      </c>
      <c r="C3624" t="s">
        <v>37</v>
      </c>
      <c r="D3624">
        <v>4.9887050000000004</v>
      </c>
      <c r="E3624">
        <v>0.52579980000000004</v>
      </c>
      <c r="F3624" t="s">
        <v>40</v>
      </c>
      <c r="G3624">
        <v>-222.60400000000001</v>
      </c>
      <c r="H3624">
        <v>1.0463009999999999</v>
      </c>
      <c r="I3624">
        <v>141.65549999999999</v>
      </c>
      <c r="J3624">
        <v>-222.0299</v>
      </c>
      <c r="K3624">
        <v>1.101966</v>
      </c>
      <c r="L3624">
        <v>141.6071</v>
      </c>
      <c r="M3624">
        <v>-0.99958930000000001</v>
      </c>
      <c r="N3624">
        <v>0</v>
      </c>
      <c r="O3624">
        <v>2.8532760000000001E-2</v>
      </c>
      <c r="P3624">
        <v>-0.99925919999999901</v>
      </c>
      <c r="Q3624">
        <v>3.8410380000000001E-2</v>
      </c>
      <c r="R3624">
        <v>-2.4666239999999902E-3</v>
      </c>
      <c r="S3624">
        <v>-3.0111240000000001</v>
      </c>
      <c r="T3624">
        <v>-0.19315209999999999</v>
      </c>
      <c r="U3624">
        <v>0.20230100000000001</v>
      </c>
      <c r="V3624">
        <v>-3.0824870000000001E-2</v>
      </c>
      <c r="W3624">
        <v>4.1200250000000001E-2</v>
      </c>
      <c r="X3624">
        <v>0.99867530000000004</v>
      </c>
      <c r="Y3624">
        <v>3.8517040000000002E-2</v>
      </c>
      <c r="Z3624">
        <v>-5.9301340000000001E-4</v>
      </c>
      <c r="AA3624">
        <v>0.99925769999999903</v>
      </c>
      <c r="AB3624">
        <v>29</v>
      </c>
      <c r="AC3624">
        <v>-0.57410000000001504</v>
      </c>
      <c r="AD3624">
        <v>-5.5664999999999999E-2</v>
      </c>
      <c r="AE3624">
        <v>4.83999999999866E-2</v>
      </c>
      <c r="AF3624">
        <v>3.1703625616908801E-2</v>
      </c>
      <c r="AG3624">
        <v>-5.5664999999999999E-2</v>
      </c>
      <c r="AH3624">
        <v>0.56992699004395497</v>
      </c>
      <c r="AI3624">
        <v>95.569851668526397</v>
      </c>
      <c r="AJ3624">
        <v>86.816059266436895</v>
      </c>
      <c r="AK3624">
        <v>0.573515898718439</v>
      </c>
    </row>
    <row r="3625" spans="1:37" x14ac:dyDescent="0.2">
      <c r="A3625" t="str">
        <f>"20200111153506751"</f>
        <v>20200111153506751</v>
      </c>
      <c r="B3625" t="str">
        <f>"1578728106739967"</f>
        <v>1578728106739967</v>
      </c>
      <c r="C3625" t="s">
        <v>37</v>
      </c>
      <c r="D3625">
        <v>5.0192750000000004</v>
      </c>
      <c r="E3625">
        <v>0.52515509999999999</v>
      </c>
      <c r="F3625" t="s">
        <v>40</v>
      </c>
      <c r="G3625">
        <v>-222.86959999999999</v>
      </c>
      <c r="H3625">
        <v>1.0459290000000001</v>
      </c>
      <c r="I3625">
        <v>141.6645</v>
      </c>
      <c r="J3625">
        <v>-222.3134</v>
      </c>
      <c r="K3625">
        <v>1.1021299999999901</v>
      </c>
      <c r="L3625">
        <v>141.61670000000001</v>
      </c>
      <c r="M3625">
        <v>-0.9995484</v>
      </c>
      <c r="N3625">
        <v>0</v>
      </c>
      <c r="O3625">
        <v>2.993386E-2</v>
      </c>
      <c r="P3625">
        <v>-0.99937049999999905</v>
      </c>
      <c r="Q3625">
        <v>3.5479150000000001E-2</v>
      </c>
      <c r="R3625" s="1">
        <v>-3.1612760000000001E-5</v>
      </c>
      <c r="S3625">
        <v>-3.0104679999999999</v>
      </c>
      <c r="T3625">
        <v>-0.200985</v>
      </c>
      <c r="U3625">
        <v>0.2052002</v>
      </c>
      <c r="V3625">
        <v>-2.982315E-2</v>
      </c>
      <c r="W3625">
        <v>3.8194730000000003E-2</v>
      </c>
      <c r="X3625">
        <v>0.99882519999999997</v>
      </c>
      <c r="Y3625">
        <v>3.8091220000000002E-2</v>
      </c>
      <c r="Z3625">
        <v>-7.245509E-4</v>
      </c>
      <c r="AA3625">
        <v>0.999274</v>
      </c>
      <c r="AB3625">
        <v>30</v>
      </c>
      <c r="AC3625">
        <v>-0.55619999999998904</v>
      </c>
      <c r="AD3625">
        <v>-5.6200999999999703E-2</v>
      </c>
      <c r="AE3625">
        <v>4.7799999999995103E-2</v>
      </c>
      <c r="AF3625">
        <v>3.0816974163731199E-2</v>
      </c>
      <c r="AG3625">
        <v>-5.6200999999999703E-2</v>
      </c>
      <c r="AH3625">
        <v>0.55178913090107995</v>
      </c>
      <c r="AI3625">
        <v>95.806665903936505</v>
      </c>
      <c r="AJ3625">
        <v>86.803398096468698</v>
      </c>
      <c r="AK3625">
        <v>0.555499309880919</v>
      </c>
    </row>
    <row r="3626" spans="1:37" x14ac:dyDescent="0.2">
      <c r="A3626" t="str">
        <f>"20200111153506774"</f>
        <v>20200111153506774</v>
      </c>
      <c r="B3626" t="str">
        <f>"1578728106769245"</f>
        <v>1578728106769245</v>
      </c>
      <c r="C3626" t="s">
        <v>37</v>
      </c>
      <c r="D3626">
        <v>5.0129599999999996</v>
      </c>
      <c r="E3626">
        <v>0.52457889999999996</v>
      </c>
      <c r="F3626" t="s">
        <v>40</v>
      </c>
      <c r="G3626">
        <v>-223.1361</v>
      </c>
      <c r="H3626">
        <v>1.0440469999999999</v>
      </c>
      <c r="I3626">
        <v>141.67310000000001</v>
      </c>
      <c r="J3626">
        <v>-222.62430000000001</v>
      </c>
      <c r="K3626">
        <v>1.102309</v>
      </c>
      <c r="L3626">
        <v>141.62739999999999</v>
      </c>
      <c r="M3626">
        <v>-0.99951019999999902</v>
      </c>
      <c r="N3626">
        <v>0</v>
      </c>
      <c r="O3626">
        <v>3.119063E-2</v>
      </c>
      <c r="P3626">
        <v>-0.99946550000000001</v>
      </c>
      <c r="Q3626">
        <v>3.2608360000000003E-2</v>
      </c>
      <c r="R3626">
        <v>2.3865449999999999E-3</v>
      </c>
      <c r="S3626">
        <v>-3.00943</v>
      </c>
      <c r="T3626">
        <v>-0.21248609999999901</v>
      </c>
      <c r="U3626">
        <v>0.20635990000000001</v>
      </c>
      <c r="V3626">
        <v>-2.869269E-2</v>
      </c>
      <c r="W3626">
        <v>3.5251299999999999E-2</v>
      </c>
      <c r="X3626">
        <v>0.99896649999999998</v>
      </c>
      <c r="Y3626">
        <v>3.7244480000000003E-2</v>
      </c>
      <c r="Z3626">
        <v>-8.8442839999999996E-4</v>
      </c>
      <c r="AA3626">
        <v>0.99930580000000002</v>
      </c>
      <c r="AB3626">
        <v>30</v>
      </c>
      <c r="AC3626">
        <v>-0.51179999999999304</v>
      </c>
      <c r="AD3626">
        <v>-5.8262000000000001E-2</v>
      </c>
      <c r="AE3626">
        <v>4.5700000000010697E-2</v>
      </c>
      <c r="AF3626">
        <v>2.93371762595524E-2</v>
      </c>
      <c r="AG3626">
        <v>-5.8262000000000001E-2</v>
      </c>
      <c r="AH3626">
        <v>0.50646505531102004</v>
      </c>
      <c r="AI3626">
        <v>96.551377872846004</v>
      </c>
      <c r="AJ3626">
        <v>86.684825255175298</v>
      </c>
      <c r="AK3626">
        <v>0.51064859033006105</v>
      </c>
    </row>
    <row r="3627" spans="1:37" x14ac:dyDescent="0.2">
      <c r="A3627" t="str">
        <f>"20200111153506796"</f>
        <v>20200111153506796</v>
      </c>
      <c r="B3627" t="str">
        <f>"1578728106789740"</f>
        <v>1578728106789740</v>
      </c>
      <c r="C3627" t="s">
        <v>37</v>
      </c>
      <c r="D3627">
        <v>5.0248569999999999</v>
      </c>
      <c r="E3627">
        <v>0.51926679999999903</v>
      </c>
      <c r="F3627" t="s">
        <v>40</v>
      </c>
      <c r="G3627">
        <v>-223.40530000000001</v>
      </c>
      <c r="H3627">
        <v>1.0448759999999999</v>
      </c>
      <c r="I3627">
        <v>141.68170000000001</v>
      </c>
      <c r="J3627">
        <v>-222.9273</v>
      </c>
      <c r="K3627">
        <v>1.1024860000000001</v>
      </c>
      <c r="L3627">
        <v>141.63800000000001</v>
      </c>
      <c r="M3627">
        <v>-0.99948040000000005</v>
      </c>
      <c r="N3627">
        <v>0</v>
      </c>
      <c r="O3627">
        <v>3.2133719999999998E-2</v>
      </c>
      <c r="P3627">
        <v>-0.99954100000000001</v>
      </c>
      <c r="Q3627">
        <v>3.0100180000000001E-2</v>
      </c>
      <c r="R3627">
        <v>3.4384369999999999E-3</v>
      </c>
      <c r="S3627">
        <v>-3.0083310000000001</v>
      </c>
      <c r="T3627">
        <v>-0.2213137</v>
      </c>
      <c r="U3627">
        <v>0.20828249999999901</v>
      </c>
      <c r="V3627">
        <v>-2.8609450000000002E-2</v>
      </c>
      <c r="W3627">
        <v>3.2681670000000003E-2</v>
      </c>
      <c r="X3627">
        <v>0.99905630000000001</v>
      </c>
      <c r="Y3627">
        <v>3.69641E-2</v>
      </c>
      <c r="Z3627">
        <v>-1.0008110000000001E-3</v>
      </c>
      <c r="AA3627">
        <v>0.99931610000000004</v>
      </c>
      <c r="AB3627">
        <v>30</v>
      </c>
      <c r="AC3627">
        <v>-0.47800000000000797</v>
      </c>
      <c r="AD3627">
        <v>-5.7610000000000099E-2</v>
      </c>
      <c r="AE3627">
        <v>4.3700000000001099E-2</v>
      </c>
      <c r="AF3627">
        <v>2.7915333875677399E-2</v>
      </c>
      <c r="AG3627">
        <v>-5.7610000000000099E-2</v>
      </c>
      <c r="AH3627">
        <v>0.472352966027967</v>
      </c>
      <c r="AI3627">
        <v>96.941678869191406</v>
      </c>
      <c r="AJ3627">
        <v>86.617841424362595</v>
      </c>
      <c r="AK3627">
        <v>0.47667127297626</v>
      </c>
    </row>
    <row r="3628" spans="1:37" x14ac:dyDescent="0.2">
      <c r="A3628" t="str">
        <f>"20200111153506820"</f>
        <v>20200111153506820</v>
      </c>
      <c r="B3628" t="str">
        <f>"1578728106809864"</f>
        <v>1578728106809864</v>
      </c>
      <c r="C3628" t="s">
        <v>37</v>
      </c>
      <c r="D3628">
        <v>5.0478839999999998</v>
      </c>
      <c r="E3628">
        <v>0.51870899999999998</v>
      </c>
      <c r="F3628" t="s">
        <v>40</v>
      </c>
      <c r="G3628">
        <v>-223.67779999999999</v>
      </c>
      <c r="H3628">
        <v>1.0459860000000001</v>
      </c>
      <c r="I3628">
        <v>141.68020000000001</v>
      </c>
      <c r="J3628">
        <v>-223.2379</v>
      </c>
      <c r="K3628">
        <v>1.1026739999999999</v>
      </c>
      <c r="L3628">
        <v>141.64879999999999</v>
      </c>
      <c r="M3628">
        <v>-0.99945879999999998</v>
      </c>
      <c r="N3628">
        <v>0</v>
      </c>
      <c r="O3628">
        <v>3.2797399999999997E-2</v>
      </c>
      <c r="P3628">
        <v>-0.99960539999999998</v>
      </c>
      <c r="Q3628">
        <v>2.7647479999999999E-2</v>
      </c>
      <c r="R3628">
        <v>4.9591390000000004E-3</v>
      </c>
      <c r="S3628">
        <v>-3.0076139999999998</v>
      </c>
      <c r="T3628">
        <v>-0.22643930000000001</v>
      </c>
      <c r="U3628">
        <v>0.16902159999999999</v>
      </c>
      <c r="V3628">
        <v>-2.7777010000000001E-2</v>
      </c>
      <c r="W3628">
        <v>3.017189E-2</v>
      </c>
      <c r="X3628">
        <v>0.99915869999999996</v>
      </c>
      <c r="Y3628">
        <v>2.3359950000000001E-2</v>
      </c>
      <c r="Z3628">
        <v>-1.58552E-3</v>
      </c>
      <c r="AA3628">
        <v>0.99972589999999995</v>
      </c>
      <c r="AB3628">
        <v>30</v>
      </c>
      <c r="AC3628">
        <v>-0.43989999999999402</v>
      </c>
      <c r="AD3628">
        <v>-5.6687999999999801E-2</v>
      </c>
      <c r="AE3628">
        <v>3.14000000000191E-2</v>
      </c>
      <c r="AF3628">
        <v>1.66798964814091E-2</v>
      </c>
      <c r="AG3628">
        <v>-5.6687999999999801E-2</v>
      </c>
      <c r="AH3628">
        <v>0.43353031953277699</v>
      </c>
      <c r="AI3628">
        <v>97.444227966364295</v>
      </c>
      <c r="AJ3628">
        <v>87.796655780553294</v>
      </c>
      <c r="AK3628">
        <v>0.43753889683640901</v>
      </c>
    </row>
    <row r="3629" spans="1:37" x14ac:dyDescent="0.2">
      <c r="A3629" t="str">
        <f>"20200111153506842"</f>
        <v>20200111153506842</v>
      </c>
      <c r="B3629" t="str">
        <f>"1578728106829385"</f>
        <v>1578728106829385</v>
      </c>
      <c r="C3629" t="s">
        <v>37</v>
      </c>
      <c r="D3629">
        <v>4.9812769999999897</v>
      </c>
      <c r="E3629">
        <v>0.51792090000000002</v>
      </c>
      <c r="F3629" t="s">
        <v>40</v>
      </c>
      <c r="G3629">
        <v>-224.21199999999999</v>
      </c>
      <c r="H3629">
        <v>1.028076</v>
      </c>
      <c r="I3629">
        <v>141.70359999999999</v>
      </c>
      <c r="J3629">
        <v>-223.54069999999999</v>
      </c>
      <c r="K3629">
        <v>1.102859</v>
      </c>
      <c r="L3629">
        <v>141.6593</v>
      </c>
      <c r="M3629">
        <v>-0.99944709999999903</v>
      </c>
      <c r="N3629">
        <v>0</v>
      </c>
      <c r="O3629">
        <v>3.3160679999999998E-2</v>
      </c>
      <c r="P3629">
        <v>-0.99964459999999999</v>
      </c>
      <c r="Q3629">
        <v>2.5700279999999999E-2</v>
      </c>
      <c r="R3629">
        <v>7.0972619999999896E-3</v>
      </c>
      <c r="S3629">
        <v>-3.0066989999999998</v>
      </c>
      <c r="T3629">
        <v>-0.23026949999999999</v>
      </c>
      <c r="U3629">
        <v>0.1686096</v>
      </c>
      <c r="V3629">
        <v>-2.6021860000000001E-2</v>
      </c>
      <c r="W3629">
        <v>2.8175269999999999E-2</v>
      </c>
      <c r="X3629">
        <v>0.99926419999999905</v>
      </c>
      <c r="Y3629">
        <v>2.288045E-2</v>
      </c>
      <c r="Z3629">
        <v>-1.658812E-3</v>
      </c>
      <c r="AA3629">
        <v>0.99973679999999998</v>
      </c>
      <c r="AB3629">
        <v>30</v>
      </c>
      <c r="AC3629">
        <v>-0.67130000000002998</v>
      </c>
      <c r="AD3629">
        <v>-7.4783000000000002E-2</v>
      </c>
      <c r="AE3629">
        <v>4.4299999999992602E-2</v>
      </c>
      <c r="AF3629">
        <v>2.1746107118968901E-2</v>
      </c>
      <c r="AG3629">
        <v>-7.4783000000000002E-2</v>
      </c>
      <c r="AH3629">
        <v>0.66419292037546895</v>
      </c>
      <c r="AI3629">
        <v>96.4205966485723</v>
      </c>
      <c r="AJ3629">
        <v>88.124768867139693</v>
      </c>
      <c r="AK3629">
        <v>0.66874331827744204</v>
      </c>
    </row>
    <row r="3630" spans="1:37" x14ac:dyDescent="0.2">
      <c r="A3630" t="str">
        <f>"20200111153506863"</f>
        <v>20200111153506863</v>
      </c>
      <c r="B3630" t="str">
        <f>"1578728106859641"</f>
        <v>1578728106859641</v>
      </c>
      <c r="C3630" t="s">
        <v>37</v>
      </c>
      <c r="D3630">
        <v>5.0173540000000001</v>
      </c>
      <c r="E3630">
        <v>0.51690230000000004</v>
      </c>
      <c r="F3630" t="s">
        <v>40</v>
      </c>
      <c r="G3630">
        <v>-224.48660000000001</v>
      </c>
      <c r="H3630">
        <v>1.0287170000000001</v>
      </c>
      <c r="I3630">
        <v>141.7123</v>
      </c>
      <c r="J3630">
        <v>-223.8364</v>
      </c>
      <c r="K3630">
        <v>1.103024</v>
      </c>
      <c r="L3630">
        <v>141.6694</v>
      </c>
      <c r="M3630">
        <v>-0.99944219999999895</v>
      </c>
      <c r="N3630">
        <v>0</v>
      </c>
      <c r="O3630">
        <v>3.3311060000000003E-2</v>
      </c>
      <c r="P3630">
        <v>-0.99964709999999901</v>
      </c>
      <c r="Q3630">
        <v>2.4958480000000002E-2</v>
      </c>
      <c r="R3630">
        <v>9.1010729999999995E-3</v>
      </c>
      <c r="S3630">
        <v>-3.005951</v>
      </c>
      <c r="T3630">
        <v>-0.235678899999999</v>
      </c>
      <c r="U3630">
        <v>0.167968799999999</v>
      </c>
      <c r="V3630">
        <v>-2.4182149999999999E-2</v>
      </c>
      <c r="W3630">
        <v>2.7392119999999999E-2</v>
      </c>
      <c r="X3630">
        <v>0.9993322</v>
      </c>
      <c r="Y3630">
        <v>2.25344E-2</v>
      </c>
      <c r="Z3630">
        <v>-1.723383E-3</v>
      </c>
      <c r="AA3630">
        <v>0.99974459999999998</v>
      </c>
      <c r="AB3630">
        <v>31</v>
      </c>
      <c r="AC3630">
        <v>-0.65020000000001199</v>
      </c>
      <c r="AD3630">
        <v>-7.4306999999999901E-2</v>
      </c>
      <c r="AE3630">
        <v>4.2900000000002998E-2</v>
      </c>
      <c r="AF3630">
        <v>2.0944910339244401E-2</v>
      </c>
      <c r="AG3630">
        <v>-7.4306999999999901E-2</v>
      </c>
      <c r="AH3630">
        <v>0.64290779438104495</v>
      </c>
      <c r="AI3630">
        <v>96.589501967288598</v>
      </c>
      <c r="AJ3630">
        <v>88.134054859910705</v>
      </c>
      <c r="AK3630">
        <v>0.64752656439254996</v>
      </c>
    </row>
    <row r="3631" spans="1:37" x14ac:dyDescent="0.2">
      <c r="A3631" t="str">
        <f>"20200111153506888"</f>
        <v>20200111153506888</v>
      </c>
      <c r="B3631" t="str">
        <f>"1578728106879162"</f>
        <v>1578728106879162</v>
      </c>
      <c r="C3631" t="s">
        <v>37</v>
      </c>
      <c r="D3631">
        <v>5.0270679999999999</v>
      </c>
      <c r="E3631">
        <v>0.5130325</v>
      </c>
      <c r="F3631" t="s">
        <v>40</v>
      </c>
      <c r="G3631">
        <v>-224.76349999999999</v>
      </c>
      <c r="H3631">
        <v>1.0309170000000001</v>
      </c>
      <c r="I3631">
        <v>141.72040000000001</v>
      </c>
      <c r="J3631">
        <v>-224.1865</v>
      </c>
      <c r="K3631">
        <v>1.103218</v>
      </c>
      <c r="L3631">
        <v>141.68109999999999</v>
      </c>
      <c r="M3631">
        <v>-0.99944560000000005</v>
      </c>
      <c r="N3631">
        <v>0</v>
      </c>
      <c r="O3631">
        <v>3.3209710000000003E-2</v>
      </c>
      <c r="P3631">
        <v>-0.9996353</v>
      </c>
      <c r="Q3631">
        <v>2.5038609999999999E-2</v>
      </c>
      <c r="R3631">
        <v>1.013536E-2</v>
      </c>
      <c r="S3631">
        <v>-3.0054020000000001</v>
      </c>
      <c r="T3631">
        <v>-0.23385410000000001</v>
      </c>
      <c r="U3631">
        <v>0.16491700000000001</v>
      </c>
      <c r="V3631">
        <v>-2.306039E-2</v>
      </c>
      <c r="W3631">
        <v>2.7431210000000001E-2</v>
      </c>
      <c r="X3631">
        <v>0.99935759999999996</v>
      </c>
      <c r="Y3631">
        <v>2.16358E-2</v>
      </c>
      <c r="Z3631">
        <v>-1.7374689999999999E-3</v>
      </c>
      <c r="AA3631">
        <v>0.9997644</v>
      </c>
      <c r="AB3631">
        <v>31</v>
      </c>
      <c r="AC3631">
        <v>-0.57699999999999796</v>
      </c>
      <c r="AD3631">
        <v>-7.2300999999999893E-2</v>
      </c>
      <c r="AE3631">
        <v>3.9300000000025599E-2</v>
      </c>
      <c r="AF3631">
        <v>1.980670980075E-2</v>
      </c>
      <c r="AG3631">
        <v>-7.2300999999999893E-2</v>
      </c>
      <c r="AH3631">
        <v>0.56909261273033795</v>
      </c>
      <c r="AI3631">
        <v>97.236081944980398</v>
      </c>
      <c r="AJ3631">
        <v>88.006681220914899</v>
      </c>
      <c r="AK3631">
        <v>0.57400883461700702</v>
      </c>
    </row>
    <row r="3632" spans="1:37" x14ac:dyDescent="0.2">
      <c r="A3632" t="str">
        <f>"20200111153506909"</f>
        <v>20200111153506909</v>
      </c>
      <c r="B3632" t="str">
        <f>"1578728106899251"</f>
        <v>1578728106899251</v>
      </c>
      <c r="C3632" t="s">
        <v>37</v>
      </c>
      <c r="D3632">
        <v>4.9886549999999996</v>
      </c>
      <c r="E3632">
        <v>0.51234139999999995</v>
      </c>
      <c r="F3632" t="s">
        <v>40</v>
      </c>
      <c r="G3632">
        <v>-225.0506</v>
      </c>
      <c r="H3632">
        <v>1.046527</v>
      </c>
      <c r="I3632">
        <v>141.72049999999999</v>
      </c>
      <c r="J3632">
        <v>-224.4708</v>
      </c>
      <c r="K3632">
        <v>1.1033919999999999</v>
      </c>
      <c r="L3632">
        <v>141.69040000000001</v>
      </c>
      <c r="M3632">
        <v>-0.99945580000000001</v>
      </c>
      <c r="N3632">
        <v>0</v>
      </c>
      <c r="O3632">
        <v>3.2902050000000002E-2</v>
      </c>
      <c r="P3632">
        <v>-0.99958780000000003</v>
      </c>
      <c r="Q3632">
        <v>2.6711140000000001E-2</v>
      </c>
      <c r="R3632">
        <v>1.0521600000000001E-2</v>
      </c>
      <c r="S3632">
        <v>-3.0046539999999999</v>
      </c>
      <c r="T3632">
        <v>-0.19723450000000001</v>
      </c>
      <c r="U3632">
        <v>0.13630680000000001</v>
      </c>
      <c r="V3632">
        <v>-2.237695E-2</v>
      </c>
      <c r="W3632">
        <v>2.907564E-2</v>
      </c>
      <c r="X3632">
        <v>0.99932670000000001</v>
      </c>
      <c r="Y3632">
        <v>1.2469579999999999E-2</v>
      </c>
      <c r="Z3632">
        <v>-1.7470539999999901E-3</v>
      </c>
      <c r="AA3632">
        <v>0.9999207</v>
      </c>
      <c r="AB3632">
        <v>31</v>
      </c>
      <c r="AC3632">
        <v>-0.57980000000000498</v>
      </c>
      <c r="AD3632">
        <v>-5.6864999999999902E-2</v>
      </c>
      <c r="AE3632">
        <v>3.0099999999976E-2</v>
      </c>
      <c r="AF3632">
        <v>1.09024518768747E-2</v>
      </c>
      <c r="AG3632">
        <v>-5.6864999999999902E-2</v>
      </c>
      <c r="AH3632">
        <v>0.57496070877940497</v>
      </c>
      <c r="AI3632">
        <v>95.647313170510202</v>
      </c>
      <c r="AJ3632">
        <v>88.913682939951002</v>
      </c>
      <c r="AK3632">
        <v>0.57786876392658804</v>
      </c>
    </row>
    <row r="3633" spans="1:37" x14ac:dyDescent="0.2">
      <c r="A3633" t="str">
        <f>"20200111153506931"</f>
        <v>20200111153506931</v>
      </c>
      <c r="B3633" t="str">
        <f>"1578728106919740"</f>
        <v>1578728106919740</v>
      </c>
      <c r="C3633" t="s">
        <v>37</v>
      </c>
      <c r="D3633">
        <v>4.966558</v>
      </c>
      <c r="E3633">
        <v>0.51148950000000004</v>
      </c>
      <c r="F3633" t="s">
        <v>40</v>
      </c>
      <c r="G3633">
        <v>-225.3287</v>
      </c>
      <c r="H3633">
        <v>1.045858</v>
      </c>
      <c r="I3633">
        <v>141.72810000000001</v>
      </c>
      <c r="J3633">
        <v>-224.7775</v>
      </c>
      <c r="K3633">
        <v>1.103596</v>
      </c>
      <c r="L3633">
        <v>141.70009999999999</v>
      </c>
      <c r="M3633">
        <v>-0.99947430000000004</v>
      </c>
      <c r="N3633">
        <v>0</v>
      </c>
      <c r="O3633">
        <v>3.2339130000000001E-2</v>
      </c>
      <c r="P3633">
        <v>-0.99954519999999902</v>
      </c>
      <c r="Q3633">
        <v>2.8541279999999999E-2</v>
      </c>
      <c r="R3633">
        <v>9.7519449999999997E-3</v>
      </c>
      <c r="S3633">
        <v>-3.0052029999999998</v>
      </c>
      <c r="T3633">
        <v>-0.20157900000000001</v>
      </c>
      <c r="U3633">
        <v>0.13183590000000001</v>
      </c>
      <c r="V3633">
        <v>-2.2596359999999999E-2</v>
      </c>
      <c r="W3633">
        <v>3.087871E-2</v>
      </c>
      <c r="X3633">
        <v>0.99926769999999998</v>
      </c>
      <c r="Y3633">
        <v>1.154261E-2</v>
      </c>
      <c r="Z3633">
        <v>-1.778567E-3</v>
      </c>
      <c r="AA3633">
        <v>0.99993180000000004</v>
      </c>
      <c r="AB3633">
        <v>31</v>
      </c>
      <c r="AC3633">
        <v>-0.55119999999999403</v>
      </c>
      <c r="AD3633">
        <v>-5.7737999999999998E-2</v>
      </c>
      <c r="AE3633">
        <v>2.8000000000019998E-2</v>
      </c>
      <c r="AF3633">
        <v>1.00499893416445E-2</v>
      </c>
      <c r="AG3633">
        <v>-5.7737999999999998E-2</v>
      </c>
      <c r="AH3633">
        <v>0.54584334981090199</v>
      </c>
      <c r="AI3633">
        <v>96.037141147826503</v>
      </c>
      <c r="AJ3633">
        <v>88.945197519295306</v>
      </c>
      <c r="AK3633">
        <v>0.54898054743547497</v>
      </c>
    </row>
    <row r="3634" spans="1:37" x14ac:dyDescent="0.2">
      <c r="A3634" t="str">
        <f>"20200111153506952"</f>
        <v>20200111153506952</v>
      </c>
      <c r="B3634" t="str">
        <f>"1578728106949996"</f>
        <v>1578728106949996</v>
      </c>
      <c r="C3634" t="s">
        <v>37</v>
      </c>
      <c r="D3634">
        <v>5.0235459999999996</v>
      </c>
      <c r="E3634">
        <v>0.51086799999999999</v>
      </c>
      <c r="F3634" t="s">
        <v>40</v>
      </c>
      <c r="G3634">
        <v>-225.6123</v>
      </c>
      <c r="H3634">
        <v>1.049984</v>
      </c>
      <c r="I3634">
        <v>141.73439999999999</v>
      </c>
      <c r="J3634">
        <v>-225.07640000000001</v>
      </c>
      <c r="K3634">
        <v>1.1038019999999999</v>
      </c>
      <c r="L3634">
        <v>141.70920000000001</v>
      </c>
      <c r="M3634">
        <v>-0.99949889999999997</v>
      </c>
      <c r="N3634">
        <v>0</v>
      </c>
      <c r="O3634">
        <v>3.1565629999999997E-2</v>
      </c>
      <c r="P3634">
        <v>-0.99948579999999998</v>
      </c>
      <c r="Q3634">
        <v>3.1222349999999999E-2</v>
      </c>
      <c r="R3634">
        <v>7.2872769999999896E-3</v>
      </c>
      <c r="S3634">
        <v>-3.0057070000000001</v>
      </c>
      <c r="T3634">
        <v>-0.19322429999999999</v>
      </c>
      <c r="U3634">
        <v>0.12278749999999999</v>
      </c>
      <c r="V3634">
        <v>-2.4301969999999999E-2</v>
      </c>
      <c r="W3634">
        <v>3.353474E-2</v>
      </c>
      <c r="X3634">
        <v>0.99914210000000003</v>
      </c>
      <c r="Y3634">
        <v>9.3034929999999995E-3</v>
      </c>
      <c r="Z3634">
        <v>-1.727106E-3</v>
      </c>
      <c r="AA3634">
        <v>0.99995519999999904</v>
      </c>
      <c r="AB3634">
        <v>31</v>
      </c>
      <c r="AC3634">
        <v>-0.53589999999999705</v>
      </c>
      <c r="AD3634">
        <v>-5.3817999999999901E-2</v>
      </c>
      <c r="AE3634">
        <v>2.5199999999983898E-2</v>
      </c>
      <c r="AF3634">
        <v>8.1889684051845192E-3</v>
      </c>
      <c r="AG3634">
        <v>-5.3817999999999901E-2</v>
      </c>
      <c r="AH3634">
        <v>0.53108409581933502</v>
      </c>
      <c r="AI3634">
        <v>95.785695881085303</v>
      </c>
      <c r="AJ3634">
        <v>89.116606668052498</v>
      </c>
      <c r="AK3634">
        <v>0.53386679346048704</v>
      </c>
    </row>
    <row r="3635" spans="1:37" x14ac:dyDescent="0.2">
      <c r="A3635" t="str">
        <f>"20200111153506975"</f>
        <v>20200111153506975</v>
      </c>
      <c r="B3635" t="str">
        <f>"1578728106969515"</f>
        <v>1578728106969515</v>
      </c>
      <c r="C3635" t="s">
        <v>37</v>
      </c>
      <c r="D3635">
        <v>4.9856879999999997</v>
      </c>
      <c r="E3635">
        <v>0.51062070000000004</v>
      </c>
      <c r="F3635" t="s">
        <v>39</v>
      </c>
      <c r="G3635">
        <v>-243.17349999999999</v>
      </c>
      <c r="H3635" s="1">
        <v>-3.64513399999999E-6</v>
      </c>
      <c r="I3635">
        <v>142.3759</v>
      </c>
      <c r="J3635">
        <v>-225.39699999999999</v>
      </c>
      <c r="K3635">
        <v>1.104015</v>
      </c>
      <c r="L3635">
        <v>141.71850000000001</v>
      </c>
      <c r="M3635">
        <v>-0.99953199999999998</v>
      </c>
      <c r="N3635">
        <v>0</v>
      </c>
      <c r="O3635">
        <v>3.0505150000000002E-2</v>
      </c>
      <c r="P3635">
        <v>-0.99941489999999999</v>
      </c>
      <c r="Q3635">
        <v>3.3896679999999998E-2</v>
      </c>
      <c r="R3635">
        <v>4.5993459999999998E-3</v>
      </c>
      <c r="S3635">
        <v>-3.0064700000000002</v>
      </c>
      <c r="T3635">
        <v>-0.18337509999999899</v>
      </c>
      <c r="U3635">
        <v>0.1107788</v>
      </c>
      <c r="V3635">
        <v>-2.5947029999999999E-2</v>
      </c>
      <c r="W3635">
        <v>3.6184340000000002E-2</v>
      </c>
      <c r="X3635">
        <v>0.99900820000000001</v>
      </c>
      <c r="Y3635">
        <v>6.3649090000000002E-3</v>
      </c>
      <c r="Z3635">
        <v>-1.663924E-3</v>
      </c>
      <c r="AA3635">
        <v>0.99997839999999905</v>
      </c>
      <c r="AB3635">
        <v>31</v>
      </c>
      <c r="AC3635">
        <v>-17.776499999999899</v>
      </c>
      <c r="AD3635">
        <v>-1.1040186451339999</v>
      </c>
      <c r="AE3635">
        <v>0.65739999999999499</v>
      </c>
      <c r="AF3635">
        <v>0.114377275854588</v>
      </c>
      <c r="AG3635">
        <v>-1.1040186451339999</v>
      </c>
      <c r="AH3635">
        <v>17.720026608430398</v>
      </c>
      <c r="AI3635">
        <v>93.565042026133398</v>
      </c>
      <c r="AJ3635">
        <v>89.630178649548498</v>
      </c>
      <c r="AK3635">
        <v>17.754753795350599</v>
      </c>
    </row>
    <row r="3636" spans="1:37" x14ac:dyDescent="0.2">
      <c r="A3636" t="str">
        <f>"20200111153506997"</f>
        <v>20200111153506997</v>
      </c>
      <c r="B3636" t="str">
        <f>"1578728106990012"</f>
        <v>1578728106990012</v>
      </c>
      <c r="C3636" t="s">
        <v>37</v>
      </c>
      <c r="D3636">
        <v>5.0162979999999999</v>
      </c>
      <c r="E3636">
        <v>0.51049709999999904</v>
      </c>
      <c r="F3636" t="s">
        <v>39</v>
      </c>
      <c r="G3636">
        <v>-244.43989999999999</v>
      </c>
      <c r="H3636" s="1">
        <v>-3.0971040000000001E-6</v>
      </c>
      <c r="I3636">
        <v>142.35810000000001</v>
      </c>
      <c r="J3636">
        <v>-225.72319999999999</v>
      </c>
      <c r="K3636">
        <v>1.1042149999999999</v>
      </c>
      <c r="L3636">
        <v>141.72730000000001</v>
      </c>
      <c r="M3636">
        <v>-0.99957090000000004</v>
      </c>
      <c r="N3636">
        <v>0</v>
      </c>
      <c r="O3636">
        <v>2.9204689999999998E-2</v>
      </c>
      <c r="P3636">
        <v>-0.99940099999999998</v>
      </c>
      <c r="Q3636">
        <v>3.4561590000000003E-2</v>
      </c>
      <c r="R3636">
        <v>1.874849E-3</v>
      </c>
      <c r="S3636">
        <v>-3.0072019999999999</v>
      </c>
      <c r="T3636">
        <v>-0.17434379999999999</v>
      </c>
      <c r="U3636">
        <v>0.1010132</v>
      </c>
      <c r="V3636">
        <v>-2.738879E-2</v>
      </c>
      <c r="W3636">
        <v>3.682622E-2</v>
      </c>
      <c r="X3636">
        <v>0.99894629999999995</v>
      </c>
      <c r="Y3636">
        <v>4.4104330000000001E-3</v>
      </c>
      <c r="Z3636">
        <v>-1.5631689999999899E-3</v>
      </c>
      <c r="AA3636">
        <v>0.99998899999999902</v>
      </c>
      <c r="AB3636">
        <v>32</v>
      </c>
      <c r="AC3636">
        <v>-18.716699999999999</v>
      </c>
      <c r="AD3636">
        <v>-1.1042180971040001</v>
      </c>
      <c r="AE3636">
        <v>0.63079999999999303</v>
      </c>
      <c r="AF3636">
        <v>8.3623389097140802E-2</v>
      </c>
      <c r="AG3636">
        <v>-1.1042180971040001</v>
      </c>
      <c r="AH3636">
        <v>18.662257041471499</v>
      </c>
      <c r="AI3636">
        <v>93.386124596449704</v>
      </c>
      <c r="AJ3636">
        <v>89.743266037610894</v>
      </c>
      <c r="AK3636">
        <v>18.695082999524999</v>
      </c>
    </row>
    <row r="3637" spans="1:37" x14ac:dyDescent="0.2">
      <c r="A3637" t="str">
        <f>"20200111153507019"</f>
        <v>20200111153507019</v>
      </c>
      <c r="B3637" t="str">
        <f>"1578728107010091"</f>
        <v>1578728107010091</v>
      </c>
      <c r="C3637" t="s">
        <v>37</v>
      </c>
      <c r="D3637">
        <v>5.0014729999999998</v>
      </c>
      <c r="E3637">
        <v>0.51042940000000003</v>
      </c>
      <c r="F3637" t="s">
        <v>39</v>
      </c>
      <c r="G3637">
        <v>-244.90029999999999</v>
      </c>
      <c r="H3637" s="1">
        <v>-2.887667E-6</v>
      </c>
      <c r="I3637">
        <v>142.3133</v>
      </c>
      <c r="J3637">
        <v>-226.02850000000001</v>
      </c>
      <c r="K3637">
        <v>1.104358</v>
      </c>
      <c r="L3637">
        <v>141.73509999999999</v>
      </c>
      <c r="M3637">
        <v>-0.99961060000000002</v>
      </c>
      <c r="N3637">
        <v>0</v>
      </c>
      <c r="O3637">
        <v>2.780817E-2</v>
      </c>
      <c r="P3637">
        <v>-0.99945030000000001</v>
      </c>
      <c r="Q3637">
        <v>3.3113289999999997E-2</v>
      </c>
      <c r="R3637">
        <v>-1.632274E-3</v>
      </c>
      <c r="S3637">
        <v>-3.0076139999999998</v>
      </c>
      <c r="T3637">
        <v>-0.1731781</v>
      </c>
      <c r="U3637">
        <v>9.1903689999999996E-2</v>
      </c>
      <c r="V3637">
        <v>-2.9511409999999998E-2</v>
      </c>
      <c r="W3637">
        <v>3.5357560000000003E-2</v>
      </c>
      <c r="X3637">
        <v>0.99893889999999996</v>
      </c>
      <c r="Y3637">
        <v>2.777074E-3</v>
      </c>
      <c r="Z3637">
        <v>-1.5193069999999999E-3</v>
      </c>
      <c r="AA3637">
        <v>0.99999499999999997</v>
      </c>
      <c r="AB3637">
        <v>32</v>
      </c>
      <c r="AC3637">
        <v>-18.871799999999901</v>
      </c>
      <c r="AD3637">
        <v>-1.1043608876669999</v>
      </c>
      <c r="AE3637">
        <v>0.57820000000000904</v>
      </c>
      <c r="AF3637">
        <v>5.3003429418137099E-2</v>
      </c>
      <c r="AG3637">
        <v>-1.1043608876669999</v>
      </c>
      <c r="AH3637">
        <v>18.816205148968798</v>
      </c>
      <c r="AI3637">
        <v>93.358937747165598</v>
      </c>
      <c r="AJ3637">
        <v>89.838603759424203</v>
      </c>
      <c r="AK3637">
        <v>18.848660391174199</v>
      </c>
    </row>
    <row r="3638" spans="1:37" x14ac:dyDescent="0.2">
      <c r="A3638" t="str">
        <f>"20200111153507042"</f>
        <v>20200111153507042</v>
      </c>
      <c r="B3638" t="str">
        <f>"1578728107029608"</f>
        <v>1578728107029608</v>
      </c>
      <c r="C3638" t="s">
        <v>37</v>
      </c>
      <c r="D3638">
        <v>5.0048079999999997</v>
      </c>
      <c r="E3638">
        <v>0.51051069999999998</v>
      </c>
      <c r="F3638" t="s">
        <v>40</v>
      </c>
      <c r="G3638">
        <v>-227.02869999999999</v>
      </c>
      <c r="H3638">
        <v>1.0439529999999999</v>
      </c>
      <c r="I3638">
        <v>141.7621</v>
      </c>
      <c r="J3638">
        <v>-226.3536</v>
      </c>
      <c r="K3638">
        <v>1.1044750000000001</v>
      </c>
      <c r="L3638">
        <v>141.74270000000001</v>
      </c>
      <c r="M3638">
        <v>-0.9996545</v>
      </c>
      <c r="N3638">
        <v>0</v>
      </c>
      <c r="O3638">
        <v>2.6186830000000001E-2</v>
      </c>
      <c r="P3638">
        <v>-0.99950779999999995</v>
      </c>
      <c r="Q3638">
        <v>3.0945250000000001E-2</v>
      </c>
      <c r="R3638">
        <v>-5.1531090000000003E-3</v>
      </c>
      <c r="S3638">
        <v>-3.0077970000000001</v>
      </c>
      <c r="T3638">
        <v>-0.1816014</v>
      </c>
      <c r="U3638">
        <v>8.1344600000000003E-2</v>
      </c>
      <c r="V3638">
        <v>-3.1418090000000003E-2</v>
      </c>
      <c r="W3638">
        <v>3.3170650000000003E-2</v>
      </c>
      <c r="X3638">
        <v>0.99895579999999995</v>
      </c>
      <c r="Y3638">
        <v>8.9410309999999997E-4</v>
      </c>
      <c r="Z3638">
        <v>-1.5521199999999999E-3</v>
      </c>
      <c r="AA3638">
        <v>0.99999839999999995</v>
      </c>
      <c r="AB3638">
        <v>32</v>
      </c>
      <c r="AC3638">
        <v>-0.67509999999998604</v>
      </c>
      <c r="AD3638">
        <v>-6.0521999999999902E-2</v>
      </c>
      <c r="AE3638">
        <v>1.93999999999903E-2</v>
      </c>
      <c r="AF3638">
        <v>1.7009139141469501E-3</v>
      </c>
      <c r="AG3638">
        <v>-6.0521999999999902E-2</v>
      </c>
      <c r="AH3638">
        <v>0.66999623832336197</v>
      </c>
      <c r="AI3638">
        <v>95.161608312219201</v>
      </c>
      <c r="AJ3638">
        <v>89.854543990462403</v>
      </c>
      <c r="AK3638">
        <v>0.672726367076242</v>
      </c>
    </row>
    <row r="3639" spans="1:37" x14ac:dyDescent="0.2">
      <c r="A3639" t="str">
        <f>"20200111153507063"</f>
        <v>20200111153507063</v>
      </c>
      <c r="B3639" t="str">
        <f>"1578728107059864"</f>
        <v>1578728107059864</v>
      </c>
      <c r="C3639" t="s">
        <v>37</v>
      </c>
      <c r="D3639">
        <v>5.124034</v>
      </c>
      <c r="E3639">
        <v>0.51066489999999998</v>
      </c>
      <c r="F3639" t="s">
        <v>40</v>
      </c>
      <c r="G3639">
        <v>-227.3168</v>
      </c>
      <c r="H3639">
        <v>1.0432950000000001</v>
      </c>
      <c r="I3639">
        <v>141.76589999999999</v>
      </c>
      <c r="J3639">
        <v>-226.6686</v>
      </c>
      <c r="K3639">
        <v>1.1045689999999999</v>
      </c>
      <c r="L3639">
        <v>141.74950000000001</v>
      </c>
      <c r="M3639">
        <v>-0.99969649999999999</v>
      </c>
      <c r="N3639">
        <v>0</v>
      </c>
      <c r="O3639">
        <v>2.4534489999999999E-2</v>
      </c>
      <c r="P3639">
        <v>-0.99952890000000005</v>
      </c>
      <c r="Q3639">
        <v>2.943786E-2</v>
      </c>
      <c r="R3639">
        <v>-8.7015319999999997E-3</v>
      </c>
      <c r="S3639">
        <v>-3.0077820000000002</v>
      </c>
      <c r="T3639">
        <v>-0.1911486</v>
      </c>
      <c r="U3639">
        <v>7.191467E-2</v>
      </c>
      <c r="V3639">
        <v>-3.3318359999999998E-2</v>
      </c>
      <c r="W3639">
        <v>3.1646519999999997E-2</v>
      </c>
      <c r="X3639">
        <v>0.99894359999999904</v>
      </c>
      <c r="Y3639">
        <v>-5.814123E-4</v>
      </c>
      <c r="Z3639">
        <v>-1.5756329999999999E-3</v>
      </c>
      <c r="AA3639">
        <v>0.99999859999999896</v>
      </c>
      <c r="AB3639">
        <v>32</v>
      </c>
      <c r="AC3639">
        <v>-0.648200000000002</v>
      </c>
      <c r="AD3639">
        <v>-6.1274000000000002E-2</v>
      </c>
      <c r="AE3639">
        <v>1.6399999999975899E-2</v>
      </c>
      <c r="AF3639">
        <v>4.8741473911965901E-4</v>
      </c>
      <c r="AG3639">
        <v>-6.1274000000000002E-2</v>
      </c>
      <c r="AH3639">
        <v>0.64266815400158395</v>
      </c>
      <c r="AI3639">
        <v>95.446294955836706</v>
      </c>
      <c r="AJ3639">
        <v>89.9565455330319</v>
      </c>
      <c r="AK3639">
        <v>0.64558275752759298</v>
      </c>
    </row>
    <row r="3640" spans="1:37" x14ac:dyDescent="0.2">
      <c r="A3640" t="str">
        <f>"20200111153507088"</f>
        <v>20200111153507088</v>
      </c>
      <c r="B3640" t="str">
        <f>"1578728107079384"</f>
        <v>1578728107079384</v>
      </c>
      <c r="C3640" t="s">
        <v>37</v>
      </c>
      <c r="D3640">
        <v>4.988321</v>
      </c>
      <c r="E3640">
        <v>0.49844240000000001</v>
      </c>
      <c r="F3640" t="s">
        <v>40</v>
      </c>
      <c r="G3640">
        <v>-227.60640000000001</v>
      </c>
      <c r="H3640">
        <v>1.0427090000000001</v>
      </c>
      <c r="I3640">
        <v>141.76929999999999</v>
      </c>
      <c r="J3640">
        <v>-227.01159999999999</v>
      </c>
      <c r="K3640">
        <v>1.104633</v>
      </c>
      <c r="L3640">
        <v>141.75630000000001</v>
      </c>
      <c r="M3640">
        <v>-0.99974010000000002</v>
      </c>
      <c r="N3640">
        <v>0</v>
      </c>
      <c r="O3640">
        <v>2.2684200000000002E-2</v>
      </c>
      <c r="P3640">
        <v>-0.99951229999999902</v>
      </c>
      <c r="Q3640">
        <v>2.858979E-2</v>
      </c>
      <c r="R3640">
        <v>-1.25662E-2</v>
      </c>
      <c r="S3640">
        <v>-3.0077970000000001</v>
      </c>
      <c r="T3640">
        <v>-0.19852439999999999</v>
      </c>
      <c r="U3640">
        <v>6.3049320000000006E-2</v>
      </c>
      <c r="V3640">
        <v>-3.5335560000000002E-2</v>
      </c>
      <c r="W3640">
        <v>3.078386E-2</v>
      </c>
      <c r="X3640">
        <v>0.99890119999999905</v>
      </c>
      <c r="Y3640">
        <v>-1.6743489999999899E-3</v>
      </c>
      <c r="Z3640">
        <v>-1.5504479999999901E-3</v>
      </c>
      <c r="AA3640">
        <v>0.99999740000000004</v>
      </c>
      <c r="AB3640">
        <v>32</v>
      </c>
      <c r="AC3640">
        <v>-0.59480000000001998</v>
      </c>
      <c r="AD3640">
        <v>-6.1923999999999799E-2</v>
      </c>
      <c r="AE3640">
        <v>1.2999999999976799E-2</v>
      </c>
      <c r="AF3640">
        <v>-4.9062693391207699E-4</v>
      </c>
      <c r="AG3640">
        <v>-6.1923999999999799E-2</v>
      </c>
      <c r="AH3640">
        <v>0.588565616914142</v>
      </c>
      <c r="AI3640">
        <v>96.006088908357896</v>
      </c>
      <c r="AJ3640">
        <v>90.047761617922404</v>
      </c>
      <c r="AK3640">
        <v>0.59181442015577201</v>
      </c>
    </row>
    <row r="3641" spans="1:37" x14ac:dyDescent="0.2">
      <c r="A3641" t="str">
        <f>"20200111153507110"</f>
        <v>20200111153507110</v>
      </c>
      <c r="B3641" t="str">
        <f>"1578728107099518"</f>
        <v>1578728107099518</v>
      </c>
      <c r="C3641" t="s">
        <v>37</v>
      </c>
      <c r="D3641">
        <v>4.99451</v>
      </c>
      <c r="E3641">
        <v>0.49728059999999902</v>
      </c>
      <c r="F3641" t="s">
        <v>39</v>
      </c>
      <c r="G3641">
        <v>-245.1497</v>
      </c>
      <c r="H3641" s="1">
        <v>-2.5586739999999999E-6</v>
      </c>
      <c r="I3641">
        <v>141.47890000000001</v>
      </c>
      <c r="J3641">
        <v>-227.33420000000001</v>
      </c>
      <c r="K3641">
        <v>1.1046769999999999</v>
      </c>
      <c r="L3641">
        <v>141.7621</v>
      </c>
      <c r="M3641">
        <v>-0.99977830000000001</v>
      </c>
      <c r="N3641">
        <v>0</v>
      </c>
      <c r="O3641">
        <v>2.0934939999999999E-2</v>
      </c>
      <c r="P3641">
        <v>-0.99947900000000001</v>
      </c>
      <c r="Q3641">
        <v>2.7469099999999899E-2</v>
      </c>
      <c r="R3641">
        <v>-1.6946780000000002E-2</v>
      </c>
      <c r="S3641">
        <v>-3.006119</v>
      </c>
      <c r="T3641">
        <v>-0.18307699999999999</v>
      </c>
      <c r="U3641">
        <v>-4.5959470000000002E-2</v>
      </c>
      <c r="V3641">
        <v>-3.7966939999999998E-2</v>
      </c>
      <c r="W3641">
        <v>2.964951E-2</v>
      </c>
      <c r="X3641">
        <v>0.99883899999999903</v>
      </c>
      <c r="Y3641">
        <v>-3.6110379999999997E-2</v>
      </c>
      <c r="Z3641">
        <v>-2.3722029999999998E-3</v>
      </c>
      <c r="AA3641">
        <v>0.99934500000000004</v>
      </c>
      <c r="AB3641">
        <v>32</v>
      </c>
      <c r="AC3641">
        <v>-17.815499999999901</v>
      </c>
      <c r="AD3641">
        <v>-1.1046795586739999</v>
      </c>
      <c r="AE3641">
        <v>-0.28319999999999301</v>
      </c>
      <c r="AF3641">
        <v>-0.65359298837844104</v>
      </c>
      <c r="AG3641">
        <v>-1.1046795586739999</v>
      </c>
      <c r="AH3641">
        <v>17.737486440419399</v>
      </c>
      <c r="AI3641">
        <v>93.561331759715898</v>
      </c>
      <c r="AJ3641">
        <v>92.110286869391302</v>
      </c>
      <c r="AK3641">
        <v>17.7838670132756</v>
      </c>
    </row>
    <row r="3642" spans="1:37" x14ac:dyDescent="0.2">
      <c r="A3642" t="str">
        <f>"20200111153507132"</f>
        <v>20200111153507132</v>
      </c>
      <c r="B3642" t="str">
        <f>"1578728107129766"</f>
        <v>1578728107129766</v>
      </c>
      <c r="C3642" t="s">
        <v>37</v>
      </c>
      <c r="D3642">
        <v>4.9351050000000001</v>
      </c>
      <c r="E3642">
        <v>0.49743349999999997</v>
      </c>
      <c r="F3642" t="s">
        <v>39</v>
      </c>
      <c r="G3642">
        <v>-246.61799999999999</v>
      </c>
      <c r="H3642" s="1">
        <v>-1.887325E-6</v>
      </c>
      <c r="I3642">
        <v>141.32310000000001</v>
      </c>
      <c r="J3642">
        <v>-227.66820000000001</v>
      </c>
      <c r="K3642">
        <v>1.1046899999999999</v>
      </c>
      <c r="L3642">
        <v>141.76759999999999</v>
      </c>
      <c r="M3642">
        <v>-0.99981390000000003</v>
      </c>
      <c r="N3642">
        <v>0</v>
      </c>
      <c r="O3642">
        <v>1.9160770000000001E-2</v>
      </c>
      <c r="P3642">
        <v>-0.9993805</v>
      </c>
      <c r="Q3642">
        <v>2.8277610000000002E-2</v>
      </c>
      <c r="R3642">
        <v>-2.0957710000000001E-2</v>
      </c>
      <c r="S3642">
        <v>-3.00514199999999</v>
      </c>
      <c r="T3642">
        <v>-0.17215039999999901</v>
      </c>
      <c r="U3642">
        <v>-6.8405149999999998E-2</v>
      </c>
      <c r="V3642">
        <v>-4.0206789999999999E-2</v>
      </c>
      <c r="W3642">
        <v>3.0449279999999999E-2</v>
      </c>
      <c r="X3642">
        <v>0.99872729999999998</v>
      </c>
      <c r="Y3642">
        <v>-4.1808579999999998E-2</v>
      </c>
      <c r="Z3642">
        <v>-2.2929740000000001E-3</v>
      </c>
      <c r="AA3642">
        <v>0.99912299999999998</v>
      </c>
      <c r="AB3642">
        <v>33</v>
      </c>
      <c r="AC3642">
        <v>-18.9497999999999</v>
      </c>
      <c r="AD3642">
        <v>-1.104691887325</v>
      </c>
      <c r="AE3642">
        <v>-0.44449999999997603</v>
      </c>
      <c r="AF3642">
        <v>-0.80477862220403495</v>
      </c>
      <c r="AG3642">
        <v>-1.104691887325</v>
      </c>
      <c r="AH3642">
        <v>18.873699214048699</v>
      </c>
      <c r="AI3642">
        <v>93.346709381416503</v>
      </c>
      <c r="AJ3642">
        <v>92.441625386451506</v>
      </c>
      <c r="AK3642">
        <v>18.923121698574398</v>
      </c>
    </row>
    <row r="3643" spans="1:37" x14ac:dyDescent="0.2">
      <c r="A3643" t="str">
        <f>"20200111153507155"</f>
        <v>20200111153507155</v>
      </c>
      <c r="B3643" t="str">
        <f>"1578728107149286"</f>
        <v>1578728107149286</v>
      </c>
      <c r="C3643" t="s">
        <v>37</v>
      </c>
      <c r="D3643">
        <v>4.9418939999999996</v>
      </c>
      <c r="E3643">
        <v>0.49768649999999998</v>
      </c>
      <c r="F3643" t="s">
        <v>39</v>
      </c>
      <c r="G3643">
        <v>-248.28099999999901</v>
      </c>
      <c r="H3643" s="1">
        <v>-1.147054E-6</v>
      </c>
      <c r="I3643">
        <v>141.22210000000001</v>
      </c>
      <c r="J3643">
        <v>-227.99610000000001</v>
      </c>
      <c r="K3643">
        <v>1.1046739999999999</v>
      </c>
      <c r="L3643">
        <v>141.7724</v>
      </c>
      <c r="M3643">
        <v>-0.99984409999999901</v>
      </c>
      <c r="N3643">
        <v>0</v>
      </c>
      <c r="O3643">
        <v>1.7510060000000001E-2</v>
      </c>
      <c r="P3643">
        <v>-0.99925520000000001</v>
      </c>
      <c r="Q3643">
        <v>2.947433E-2</v>
      </c>
      <c r="R3643">
        <v>-2.4911989999999998E-2</v>
      </c>
      <c r="S3643">
        <v>-3.0047609999999998</v>
      </c>
      <c r="T3643">
        <v>-0.16103310000000001</v>
      </c>
      <c r="U3643">
        <v>-7.9498289999999999E-2</v>
      </c>
      <c r="V3643">
        <v>-4.2511979999999998E-2</v>
      </c>
      <c r="W3643">
        <v>3.1640799999999997E-2</v>
      </c>
      <c r="X3643">
        <v>0.9985948</v>
      </c>
      <c r="Y3643">
        <v>-4.3860099999999999E-2</v>
      </c>
      <c r="Z3643">
        <v>-2.1118370000000001E-3</v>
      </c>
      <c r="AA3643">
        <v>0.99903549999999997</v>
      </c>
      <c r="AB3643">
        <v>33</v>
      </c>
      <c r="AC3643">
        <v>-20.284899999999901</v>
      </c>
      <c r="AD3643">
        <v>-1.1046751470539999</v>
      </c>
      <c r="AE3643">
        <v>-0.55029999999999202</v>
      </c>
      <c r="AF3643">
        <v>-0.902731128918144</v>
      </c>
      <c r="AG3643">
        <v>-1.1046751470539999</v>
      </c>
      <c r="AH3643">
        <v>20.2122553579112</v>
      </c>
      <c r="AI3643">
        <v>93.125206493134996</v>
      </c>
      <c r="AJ3643">
        <v>92.557276896069794</v>
      </c>
      <c r="AK3643">
        <v>20.262539261530101</v>
      </c>
    </row>
    <row r="3644" spans="1:37" x14ac:dyDescent="0.2">
      <c r="A3644" t="str">
        <f>"20200111153507177"</f>
        <v>20200111153507177</v>
      </c>
      <c r="B3644" t="str">
        <f>"1578728107169783"</f>
        <v>1578728107169783</v>
      </c>
      <c r="C3644" t="s">
        <v>37</v>
      </c>
      <c r="D3644">
        <v>4.9622950000000001</v>
      </c>
      <c r="E3644">
        <v>0.49806929999999999</v>
      </c>
      <c r="F3644" t="s">
        <v>39</v>
      </c>
      <c r="G3644">
        <v>-249.48759999999999</v>
      </c>
      <c r="H3644" s="1">
        <v>-6.050748E-7</v>
      </c>
      <c r="I3644">
        <v>141.13059999999999</v>
      </c>
      <c r="J3644">
        <v>-228.32910000000001</v>
      </c>
      <c r="K3644">
        <v>1.1046209999999901</v>
      </c>
      <c r="L3644">
        <v>141.77690000000001</v>
      </c>
      <c r="M3644">
        <v>-0.99986960000000003</v>
      </c>
      <c r="N3644">
        <v>0</v>
      </c>
      <c r="O3644">
        <v>1.5975980000000001E-2</v>
      </c>
      <c r="P3644">
        <v>-0.99909419999999904</v>
      </c>
      <c r="Q3644">
        <v>3.099965E-2</v>
      </c>
      <c r="R3644">
        <v>-2.9153310000000002E-2</v>
      </c>
      <c r="S3644">
        <v>-3.004562</v>
      </c>
      <c r="T3644">
        <v>-0.1544365</v>
      </c>
      <c r="U3644">
        <v>-8.9721679999999998E-2</v>
      </c>
      <c r="V3644">
        <v>-4.521849E-2</v>
      </c>
      <c r="W3644">
        <v>3.3164920000000001E-2</v>
      </c>
      <c r="X3644">
        <v>0.99842640000000005</v>
      </c>
      <c r="Y3644">
        <v>-4.5732199999999897E-2</v>
      </c>
      <c r="Z3644">
        <v>-1.994773E-3</v>
      </c>
      <c r="AA3644">
        <v>0.9989517</v>
      </c>
      <c r="AB3644">
        <v>33</v>
      </c>
      <c r="AC3644">
        <v>-21.158499999999901</v>
      </c>
      <c r="AD3644">
        <v>-1.1046216050747999</v>
      </c>
      <c r="AE3644">
        <v>-0.64630000000002497</v>
      </c>
      <c r="AF3644">
        <v>-0.98157337420244095</v>
      </c>
      <c r="AG3644">
        <v>-1.1046216050747999</v>
      </c>
      <c r="AH3644">
        <v>21.088050968085099</v>
      </c>
      <c r="AI3644">
        <v>92.995255596025103</v>
      </c>
      <c r="AJ3644">
        <v>92.6649901623815</v>
      </c>
      <c r="AK3644">
        <v>21.139762742563999</v>
      </c>
    </row>
    <row r="3645" spans="1:37" x14ac:dyDescent="0.2">
      <c r="A3645" t="str">
        <f>"20200111153507200"</f>
        <v>20200111153507200</v>
      </c>
      <c r="B3645" t="str">
        <f>"1578728107189301"</f>
        <v>1578728107189301</v>
      </c>
      <c r="C3645" t="s">
        <v>37</v>
      </c>
      <c r="D3645">
        <v>4.9742480000000002</v>
      </c>
      <c r="E3645">
        <v>0.49842839999999999</v>
      </c>
      <c r="F3645" t="s">
        <v>39</v>
      </c>
      <c r="G3645">
        <v>-250.745</v>
      </c>
      <c r="H3645" s="1">
        <v>-4.2743869999999902E-6</v>
      </c>
      <c r="I3645">
        <v>141.03630000000001</v>
      </c>
      <c r="J3645">
        <v>-228.6609</v>
      </c>
      <c r="K3645">
        <v>1.104527</v>
      </c>
      <c r="L3645">
        <v>141.78100000000001</v>
      </c>
      <c r="M3645">
        <v>-0.99989030000000001</v>
      </c>
      <c r="N3645">
        <v>0</v>
      </c>
      <c r="O3645">
        <v>1.463832E-2</v>
      </c>
      <c r="P3645">
        <v>-0.99891289999999999</v>
      </c>
      <c r="Q3645">
        <v>3.3114490000000003E-2</v>
      </c>
      <c r="R3645">
        <v>-3.2812229999999998E-2</v>
      </c>
      <c r="S3645">
        <v>-3.0044400000000002</v>
      </c>
      <c r="T3645">
        <v>-0.14805499999999999</v>
      </c>
      <c r="U3645">
        <v>-9.9243159999999997E-2</v>
      </c>
      <c r="V3645">
        <v>-4.7536790000000002E-2</v>
      </c>
      <c r="W3645">
        <v>3.5286079999999997E-2</v>
      </c>
      <c r="X3645">
        <v>0.99824599999999997</v>
      </c>
      <c r="Y3645">
        <v>-4.75656E-2</v>
      </c>
      <c r="Z3645">
        <v>-1.8917070000000001E-3</v>
      </c>
      <c r="AA3645">
        <v>0.99886629999999998</v>
      </c>
      <c r="AB3645">
        <v>33</v>
      </c>
      <c r="AC3645">
        <v>-22.084099999999999</v>
      </c>
      <c r="AD3645">
        <v>-1.1045312743869999</v>
      </c>
      <c r="AE3645">
        <v>-0.74469999999999403</v>
      </c>
      <c r="AF3645">
        <v>-1.0652335250246601</v>
      </c>
      <c r="AG3645">
        <v>-1.1045312743869999</v>
      </c>
      <c r="AH3645">
        <v>22.0158230444077</v>
      </c>
      <c r="AI3645">
        <v>92.868764019039503</v>
      </c>
      <c r="AJ3645">
        <v>92.770090559205897</v>
      </c>
      <c r="AK3645">
        <v>22.069235965968801</v>
      </c>
    </row>
    <row r="3646" spans="1:37" x14ac:dyDescent="0.2">
      <c r="A3646" t="str">
        <f>"20200111153507221"</f>
        <v>20200111153507221</v>
      </c>
      <c r="B3646" t="str">
        <f>"1578728107209329"</f>
        <v>1578728107209329</v>
      </c>
      <c r="C3646" t="s">
        <v>37</v>
      </c>
      <c r="D3646">
        <v>4.9383299999999997</v>
      </c>
      <c r="E3646">
        <v>0.49877060000000001</v>
      </c>
      <c r="F3646" t="s">
        <v>39</v>
      </c>
      <c r="G3646">
        <v>-252.3887</v>
      </c>
      <c r="H3646" s="1">
        <v>-3.5980379999999999E-6</v>
      </c>
      <c r="I3646">
        <v>140.93350000000001</v>
      </c>
      <c r="J3646">
        <v>-228.9888</v>
      </c>
      <c r="K3646">
        <v>1.1043989999999999</v>
      </c>
      <c r="L3646">
        <v>141.78469999999999</v>
      </c>
      <c r="M3646">
        <v>-0.99990569999999901</v>
      </c>
      <c r="N3646">
        <v>0</v>
      </c>
      <c r="O3646">
        <v>1.3538629999999999E-2</v>
      </c>
      <c r="P3646">
        <v>-0.99873809999999996</v>
      </c>
      <c r="Q3646">
        <v>3.53715E-2</v>
      </c>
      <c r="R3646">
        <v>-3.5655590000000001E-2</v>
      </c>
      <c r="S3646">
        <v>-3.0043790000000001</v>
      </c>
      <c r="T3646">
        <v>-0.139854799999999</v>
      </c>
      <c r="U3646">
        <v>-0.1072998</v>
      </c>
      <c r="V3646">
        <v>-4.9274320000000003E-2</v>
      </c>
      <c r="W3646">
        <v>3.7557180000000003E-2</v>
      </c>
      <c r="X3646">
        <v>0.99807889999999999</v>
      </c>
      <c r="Y3646">
        <v>-4.9150680000000002E-2</v>
      </c>
      <c r="Z3646">
        <v>-1.772718E-3</v>
      </c>
      <c r="AA3646">
        <v>0.99878979999999995</v>
      </c>
      <c r="AB3646">
        <v>33</v>
      </c>
      <c r="AC3646">
        <v>-23.399899999999999</v>
      </c>
      <c r="AD3646">
        <v>-1.1044025980379999</v>
      </c>
      <c r="AE3646">
        <v>-0.85119999999997698</v>
      </c>
      <c r="AF3646">
        <v>-1.16533300953485</v>
      </c>
      <c r="AG3646">
        <v>-1.1044025980379999</v>
      </c>
      <c r="AH3646">
        <v>23.334321636411602</v>
      </c>
      <c r="AI3646">
        <v>92.706392608970205</v>
      </c>
      <c r="AJ3646">
        <v>92.859017648659005</v>
      </c>
      <c r="AK3646">
        <v>23.389490639027802</v>
      </c>
    </row>
    <row r="3647" spans="1:37" x14ac:dyDescent="0.2">
      <c r="A3647" t="str">
        <f>"20200111153507244"</f>
        <v>20200111153507244</v>
      </c>
      <c r="B3647" t="str">
        <f>"1578728107239585"</f>
        <v>1578728107239585</v>
      </c>
      <c r="C3647" t="s">
        <v>37</v>
      </c>
      <c r="D3647">
        <v>4.9860389999999999</v>
      </c>
      <c r="E3647">
        <v>0.49953500000000001</v>
      </c>
      <c r="F3647" t="s">
        <v>39</v>
      </c>
      <c r="G3647">
        <v>-254.17619999999999</v>
      </c>
      <c r="H3647" s="1">
        <v>-2.8056380000000001E-6</v>
      </c>
      <c r="I3647">
        <v>140.8374</v>
      </c>
      <c r="J3647">
        <v>-229.33080000000001</v>
      </c>
      <c r="K3647">
        <v>1.104266</v>
      </c>
      <c r="L3647">
        <v>141.7885</v>
      </c>
      <c r="M3647">
        <v>-0.99991819999999898</v>
      </c>
      <c r="N3647">
        <v>0</v>
      </c>
      <c r="O3647">
        <v>1.2590169999999999E-2</v>
      </c>
      <c r="P3647">
        <v>-0.99867260000000002</v>
      </c>
      <c r="Q3647">
        <v>3.574927E-2</v>
      </c>
      <c r="R3647">
        <v>-3.7087370000000001E-2</v>
      </c>
      <c r="S3647">
        <v>-3.00441</v>
      </c>
      <c r="T3647">
        <v>-0.13173589999999999</v>
      </c>
      <c r="U3647">
        <v>-0.1129913</v>
      </c>
      <c r="V3647">
        <v>-4.9746150000000003E-2</v>
      </c>
      <c r="W3647">
        <v>3.7956490000000002E-2</v>
      </c>
      <c r="X3647">
        <v>0.99804040000000005</v>
      </c>
      <c r="Y3647">
        <v>-5.0100119999999998E-2</v>
      </c>
      <c r="Z3647">
        <v>-1.6490789999999999E-3</v>
      </c>
      <c r="AA3647">
        <v>0.99874280000000004</v>
      </c>
      <c r="AB3647">
        <v>34</v>
      </c>
      <c r="AC3647">
        <v>-24.845399999999898</v>
      </c>
      <c r="AD3647">
        <v>-1.1042688056379999</v>
      </c>
      <c r="AE3647">
        <v>-0.95109999999999595</v>
      </c>
      <c r="AF3647">
        <v>-1.2613451904116399</v>
      </c>
      <c r="AG3647">
        <v>-1.1042688056379999</v>
      </c>
      <c r="AH3647">
        <v>24.782572071772599</v>
      </c>
      <c r="AI3647">
        <v>92.548020062998702</v>
      </c>
      <c r="AJ3647">
        <v>92.913638213273401</v>
      </c>
      <c r="AK3647">
        <v>24.839208517524899</v>
      </c>
    </row>
    <row r="3648" spans="1:37" x14ac:dyDescent="0.2">
      <c r="A3648" t="str">
        <f>"20200111153507265"</f>
        <v>20200111153507265</v>
      </c>
      <c r="B3648" t="str">
        <f>"1578728107259104"</f>
        <v>1578728107259104</v>
      </c>
      <c r="C3648" t="s">
        <v>37</v>
      </c>
      <c r="D3648">
        <v>4.9468069999999997</v>
      </c>
      <c r="E3648">
        <v>0.4998977</v>
      </c>
      <c r="F3648" t="s">
        <v>39</v>
      </c>
      <c r="G3648">
        <v>-254.85980000000001</v>
      </c>
      <c r="H3648" s="1">
        <v>-2.5143510000000001E-6</v>
      </c>
      <c r="I3648">
        <v>140.84479999999999</v>
      </c>
      <c r="J3648">
        <v>-229.66560000000001</v>
      </c>
      <c r="K3648">
        <v>1.1041379999999901</v>
      </c>
      <c r="L3648">
        <v>141.7921</v>
      </c>
      <c r="M3648">
        <v>-0.99992700000000001</v>
      </c>
      <c r="N3648">
        <v>0</v>
      </c>
      <c r="O3648">
        <v>1.186338E-2</v>
      </c>
      <c r="P3648">
        <v>-0.99864019999999998</v>
      </c>
      <c r="Q3648">
        <v>3.5855480000000002E-2</v>
      </c>
      <c r="R3648">
        <v>-3.7845759999999999E-2</v>
      </c>
      <c r="S3648">
        <v>-3.0045169999999999</v>
      </c>
      <c r="T3648">
        <v>-0.1299622</v>
      </c>
      <c r="U3648">
        <v>-0.1110535</v>
      </c>
      <c r="V3648">
        <v>-4.9766369999999997E-2</v>
      </c>
      <c r="W3648">
        <v>3.8086080000000001E-2</v>
      </c>
      <c r="X3648">
        <v>0.99803449999999905</v>
      </c>
      <c r="Y3648">
        <v>-4.8733070000000003E-2</v>
      </c>
      <c r="Z3648">
        <v>-1.565901E-3</v>
      </c>
      <c r="AA3648">
        <v>0.99881059999999999</v>
      </c>
      <c r="AB3648">
        <v>34</v>
      </c>
      <c r="AC3648">
        <v>-25.194199999999899</v>
      </c>
      <c r="AD3648">
        <v>-1.1041405143509999</v>
      </c>
      <c r="AE3648">
        <v>-0.94730000000001202</v>
      </c>
      <c r="AF3648">
        <v>-1.2437370821329199</v>
      </c>
      <c r="AG3648">
        <v>-1.1041405143509999</v>
      </c>
      <c r="AH3648">
        <v>25.1329853612954</v>
      </c>
      <c r="AI3648">
        <v>92.512426104859799</v>
      </c>
      <c r="AJ3648">
        <v>92.8330419144785</v>
      </c>
      <c r="AK3648">
        <v>25.187952703147499</v>
      </c>
    </row>
    <row r="3649" spans="1:37" x14ac:dyDescent="0.2">
      <c r="A3649" t="str">
        <f>"20200111153507289"</f>
        <v>20200111153507289</v>
      </c>
      <c r="B3649" t="str">
        <f>"1578728107279600"</f>
        <v>1578728107279600</v>
      </c>
      <c r="C3649" t="s">
        <v>37</v>
      </c>
      <c r="D3649">
        <v>4.947038</v>
      </c>
      <c r="E3649">
        <v>0.50036159999999996</v>
      </c>
      <c r="F3649" t="s">
        <v>39</v>
      </c>
      <c r="G3649">
        <v>-255.0428</v>
      </c>
      <c r="H3649" s="1">
        <v>-2.43965599999999E-6</v>
      </c>
      <c r="I3649">
        <v>140.85919999999999</v>
      </c>
      <c r="J3649">
        <v>-230.02260000000001</v>
      </c>
      <c r="K3649">
        <v>1.103988</v>
      </c>
      <c r="L3649">
        <v>141.79580000000001</v>
      </c>
      <c r="M3649">
        <v>-0.99993330000000002</v>
      </c>
      <c r="N3649">
        <v>0</v>
      </c>
      <c r="O3649">
        <v>1.131004E-2</v>
      </c>
      <c r="P3649">
        <v>-0.9985849</v>
      </c>
      <c r="Q3649">
        <v>3.7460769999999997E-2</v>
      </c>
      <c r="R3649">
        <v>-3.775121E-2</v>
      </c>
      <c r="S3649">
        <v>-3.0045929999999998</v>
      </c>
      <c r="T3649">
        <v>-0.13072739999999999</v>
      </c>
      <c r="U3649">
        <v>-0.1104431</v>
      </c>
      <c r="V3649">
        <v>-4.9106959999999998E-2</v>
      </c>
      <c r="W3649">
        <v>3.9719919999999999E-2</v>
      </c>
      <c r="X3649">
        <v>0.99800339999999998</v>
      </c>
      <c r="Y3649">
        <v>-4.7977350000000002E-2</v>
      </c>
      <c r="Z3649">
        <v>-1.534594E-3</v>
      </c>
      <c r="AA3649">
        <v>0.99884719999999905</v>
      </c>
      <c r="AB3649">
        <v>34</v>
      </c>
      <c r="AC3649">
        <v>-25.0201999999999</v>
      </c>
      <c r="AD3649">
        <v>-1.1039904396560001</v>
      </c>
      <c r="AE3649">
        <v>-0.93660000000002697</v>
      </c>
      <c r="AF3649">
        <v>-1.2171539415661401</v>
      </c>
      <c r="AG3649">
        <v>-1.1039904396560001</v>
      </c>
      <c r="AH3649">
        <v>24.959480452537999</v>
      </c>
      <c r="AI3649">
        <v>92.529614387177801</v>
      </c>
      <c r="AJ3649">
        <v>92.791828255275405</v>
      </c>
      <c r="AK3649">
        <v>25.013514808378002</v>
      </c>
    </row>
    <row r="3650" spans="1:37" x14ac:dyDescent="0.2">
      <c r="A3650" t="str">
        <f>"20200111153507309"</f>
        <v>20200111153507309</v>
      </c>
      <c r="B3650" t="str">
        <f>"1578728107300096"</f>
        <v>1578728107300096</v>
      </c>
      <c r="C3650" t="s">
        <v>37</v>
      </c>
      <c r="D3650">
        <v>4.9429540000000003</v>
      </c>
      <c r="E3650">
        <v>0.50078710000000004</v>
      </c>
      <c r="F3650" t="s">
        <v>39</v>
      </c>
      <c r="G3650">
        <v>-256.00279999999998</v>
      </c>
      <c r="H3650" s="1">
        <v>-2.031833E-6</v>
      </c>
      <c r="I3650">
        <v>140.8742</v>
      </c>
      <c r="J3650">
        <v>-230.34110000000001</v>
      </c>
      <c r="K3650">
        <v>1.1038589999999999</v>
      </c>
      <c r="L3650">
        <v>141.79900000000001</v>
      </c>
      <c r="M3650">
        <v>-0.99993690000000002</v>
      </c>
      <c r="N3650">
        <v>0</v>
      </c>
      <c r="O3650">
        <v>1.098943E-2</v>
      </c>
      <c r="P3650">
        <v>-0.99857600000000002</v>
      </c>
      <c r="Q3650">
        <v>3.796973E-2</v>
      </c>
      <c r="R3650">
        <v>-3.7475260000000003E-2</v>
      </c>
      <c r="S3650">
        <v>-3.0050349999999999</v>
      </c>
      <c r="T3650">
        <v>-0.12769469999999999</v>
      </c>
      <c r="U3650">
        <v>-0.1065826</v>
      </c>
      <c r="V3650">
        <v>-4.8499170000000001E-2</v>
      </c>
      <c r="W3650">
        <v>4.0253549999999999E-2</v>
      </c>
      <c r="X3650">
        <v>0.9980118</v>
      </c>
      <c r="Y3650">
        <v>-4.6374440000000003E-2</v>
      </c>
      <c r="Z3650">
        <v>-1.4511939999999901E-3</v>
      </c>
      <c r="AA3650">
        <v>0.99892309999999995</v>
      </c>
      <c r="AB3650">
        <v>34</v>
      </c>
      <c r="AC3650">
        <v>-25.6616999999999</v>
      </c>
      <c r="AD3650">
        <v>-1.103861031833</v>
      </c>
      <c r="AE3650">
        <v>-0.92480000000000395</v>
      </c>
      <c r="AF3650">
        <v>-1.2045264508451601</v>
      </c>
      <c r="AG3650">
        <v>-1.103861031833</v>
      </c>
      <c r="AH3650">
        <v>25.6026744363358</v>
      </c>
      <c r="AI3650">
        <v>92.466058082852797</v>
      </c>
      <c r="AJ3650">
        <v>92.693602601879704</v>
      </c>
      <c r="AK3650">
        <v>25.654752609241601</v>
      </c>
    </row>
    <row r="3651" spans="1:37" x14ac:dyDescent="0.2">
      <c r="A3651" t="str">
        <f>"20200111153507332"</f>
        <v>20200111153507332</v>
      </c>
      <c r="B3651" t="str">
        <f>"1578728107319617"</f>
        <v>1578728107319617</v>
      </c>
      <c r="C3651" t="s">
        <v>37</v>
      </c>
      <c r="D3651">
        <v>4.9421599999999897</v>
      </c>
      <c r="E3651">
        <v>0.50128109999999904</v>
      </c>
      <c r="F3651" t="s">
        <v>39</v>
      </c>
      <c r="G3651">
        <v>-256.18180000000001</v>
      </c>
      <c r="H3651" s="1">
        <v>-1.9666660000000001E-6</v>
      </c>
      <c r="I3651">
        <v>140.91800000000001</v>
      </c>
      <c r="J3651">
        <v>-230.6825</v>
      </c>
      <c r="K3651">
        <v>1.103718</v>
      </c>
      <c r="L3651">
        <v>141.80260000000001</v>
      </c>
      <c r="M3651">
        <v>-0.99993889999999996</v>
      </c>
      <c r="N3651">
        <v>0</v>
      </c>
      <c r="O3651">
        <v>1.080134E-2</v>
      </c>
      <c r="P3651">
        <v>-0.99865190000000004</v>
      </c>
      <c r="Q3651">
        <v>3.5972160000000003E-2</v>
      </c>
      <c r="R3651">
        <v>-3.7423110000000002E-2</v>
      </c>
      <c r="S3651">
        <v>-3.005325</v>
      </c>
      <c r="T3651">
        <v>-0.12838160000000001</v>
      </c>
      <c r="U3651">
        <v>-0.10246279999999899</v>
      </c>
      <c r="V3651">
        <v>-4.824498E-2</v>
      </c>
      <c r="W3651">
        <v>3.8281460000000003E-2</v>
      </c>
      <c r="X3651">
        <v>0.99810169999999998</v>
      </c>
      <c r="Y3651">
        <v>-4.4816380000000003E-2</v>
      </c>
      <c r="Z3651">
        <v>-1.4176029999999999E-3</v>
      </c>
      <c r="AA3651">
        <v>0.99899419999999906</v>
      </c>
      <c r="AB3651">
        <v>34</v>
      </c>
      <c r="AC3651">
        <v>-25.499300000000002</v>
      </c>
      <c r="AD3651">
        <v>-1.103719966666</v>
      </c>
      <c r="AE3651">
        <v>-0.88460000000000505</v>
      </c>
      <c r="AF3651">
        <v>-1.15780917984124</v>
      </c>
      <c r="AG3651">
        <v>-1.103719966666</v>
      </c>
      <c r="AH3651">
        <v>25.440650969856499</v>
      </c>
      <c r="AI3651">
        <v>92.481603179309204</v>
      </c>
      <c r="AJ3651">
        <v>92.605744538741007</v>
      </c>
      <c r="AK3651">
        <v>25.4908893848724</v>
      </c>
    </row>
    <row r="3652" spans="1:37" x14ac:dyDescent="0.2">
      <c r="A3652" t="str">
        <f>"20200111153507354"</f>
        <v>20200111153507354</v>
      </c>
      <c r="B3652" t="str">
        <f>"1578728107349873"</f>
        <v>1578728107349873</v>
      </c>
      <c r="C3652" t="s">
        <v>37</v>
      </c>
      <c r="D3652">
        <v>4.9688210000000002</v>
      </c>
      <c r="E3652">
        <v>0.50806109999999904</v>
      </c>
      <c r="F3652" t="s">
        <v>39</v>
      </c>
      <c r="G3652">
        <v>-255.0257</v>
      </c>
      <c r="H3652" s="1">
        <v>-2.485991E-6</v>
      </c>
      <c r="I3652">
        <v>141.00559999999999</v>
      </c>
      <c r="J3652">
        <v>-231.03190000000001</v>
      </c>
      <c r="K3652">
        <v>1.103575</v>
      </c>
      <c r="L3652">
        <v>141.80619999999999</v>
      </c>
      <c r="M3652">
        <v>-0.99993940000000003</v>
      </c>
      <c r="N3652">
        <v>0</v>
      </c>
      <c r="O3652">
        <v>1.0752350000000001E-2</v>
      </c>
      <c r="P3652">
        <v>-0.99872000000000005</v>
      </c>
      <c r="Q3652">
        <v>3.462262E-2</v>
      </c>
      <c r="R3652">
        <v>-3.6875169999999999E-2</v>
      </c>
      <c r="S3652">
        <v>-3.0052949999999998</v>
      </c>
      <c r="T3652">
        <v>-0.13626060000000001</v>
      </c>
      <c r="U3652">
        <v>-9.8373409999999994E-2</v>
      </c>
      <c r="V3652">
        <v>-4.7635289999999997E-2</v>
      </c>
      <c r="W3652">
        <v>3.6958209999999998E-2</v>
      </c>
      <c r="X3652">
        <v>0.99818079999999998</v>
      </c>
      <c r="Y3652">
        <v>-4.3404999999999999E-2</v>
      </c>
      <c r="Z3652">
        <v>-1.4703749999999999E-3</v>
      </c>
      <c r="AA3652">
        <v>0.99905650000000001</v>
      </c>
      <c r="AB3652">
        <v>34</v>
      </c>
      <c r="AC3652">
        <v>-23.9938</v>
      </c>
      <c r="AD3652">
        <v>-1.1035774859909999</v>
      </c>
      <c r="AE3652">
        <v>-0.80060000000000198</v>
      </c>
      <c r="AF3652">
        <v>-1.0563120590941</v>
      </c>
      <c r="AG3652">
        <v>-1.1035774859909999</v>
      </c>
      <c r="AH3652">
        <v>23.933230789153001</v>
      </c>
      <c r="AI3652">
        <v>92.637513149223693</v>
      </c>
      <c r="AJ3652">
        <v>92.527154431595903</v>
      </c>
      <c r="AK3652">
        <v>23.981935168802298</v>
      </c>
    </row>
    <row r="3653" spans="1:37" x14ac:dyDescent="0.2">
      <c r="A3653" t="str">
        <f>"20200111153507369"</f>
        <v>20200111153507369</v>
      </c>
      <c r="B3653" t="str">
        <f>"1578728107359633"</f>
        <v>1578728107359633</v>
      </c>
      <c r="C3653" t="s">
        <v>37</v>
      </c>
      <c r="D3653">
        <v>4.952439</v>
      </c>
      <c r="E3653">
        <v>0.507637</v>
      </c>
      <c r="F3653" t="s">
        <v>39</v>
      </c>
      <c r="G3653">
        <v>-249.46260000000001</v>
      </c>
      <c r="H3653" s="1">
        <v>-7.2699299999999905E-7</v>
      </c>
      <c r="I3653">
        <v>141.54849999999999</v>
      </c>
      <c r="J3653">
        <v>-231.26249999999999</v>
      </c>
      <c r="K3653">
        <v>1.103491</v>
      </c>
      <c r="L3653">
        <v>141.80869999999999</v>
      </c>
      <c r="M3653">
        <v>-0.99993899999999902</v>
      </c>
      <c r="N3653">
        <v>0</v>
      </c>
      <c r="O3653">
        <v>1.079273E-2</v>
      </c>
      <c r="P3653">
        <v>-0.99872240000000001</v>
      </c>
      <c r="Q3653">
        <v>3.4737410000000003E-2</v>
      </c>
      <c r="R3653">
        <v>-3.670379E-2</v>
      </c>
      <c r="S3653">
        <v>-3.0085299999999999</v>
      </c>
      <c r="T3653">
        <v>-0.18014279999999999</v>
      </c>
      <c r="U3653">
        <v>-4.2068479999999998E-2</v>
      </c>
      <c r="V3653">
        <v>-4.749751E-2</v>
      </c>
      <c r="W3653">
        <v>3.708877E-2</v>
      </c>
      <c r="X3653">
        <v>0.99818249999999997</v>
      </c>
      <c r="Y3653">
        <v>-2.4709020000000002E-2</v>
      </c>
      <c r="Z3653">
        <v>-1.3846920000000001E-3</v>
      </c>
      <c r="AA3653">
        <v>0.99969379999999997</v>
      </c>
      <c r="AB3653">
        <v>35</v>
      </c>
      <c r="AC3653">
        <v>-18.200099999999999</v>
      </c>
      <c r="AD3653">
        <v>-1.103491726993</v>
      </c>
      <c r="AE3653">
        <v>-0.26019999999999699</v>
      </c>
      <c r="AF3653">
        <v>-0.45494206831671702</v>
      </c>
      <c r="AG3653">
        <v>-1.103491726993</v>
      </c>
      <c r="AH3653">
        <v>18.129598581831001</v>
      </c>
      <c r="AI3653">
        <v>93.482023556905006</v>
      </c>
      <c r="AJ3653">
        <v>91.437472046128605</v>
      </c>
      <c r="AK3653">
        <v>18.1688472671051</v>
      </c>
    </row>
    <row r="3654" spans="1:37" x14ac:dyDescent="0.2">
      <c r="A3654" t="str">
        <f>"20200111153507388"</f>
        <v>20200111153507388</v>
      </c>
      <c r="B3654" t="str">
        <f>"1578728107380128"</f>
        <v>1578728107380128</v>
      </c>
      <c r="C3654" t="s">
        <v>37</v>
      </c>
      <c r="D3654">
        <v>4.9682309999999896</v>
      </c>
      <c r="E3654">
        <v>0.5079901</v>
      </c>
      <c r="F3654" t="s">
        <v>39</v>
      </c>
      <c r="G3654">
        <v>-249.96789999999999</v>
      </c>
      <c r="H3654" s="1">
        <v>-4.6262769999999997E-6</v>
      </c>
      <c r="I3654">
        <v>141.5292</v>
      </c>
      <c r="J3654">
        <v>-231.5736</v>
      </c>
      <c r="K3654">
        <v>1.1033839999999999</v>
      </c>
      <c r="L3654">
        <v>141.81209999999999</v>
      </c>
      <c r="M3654">
        <v>-0.99993779999999999</v>
      </c>
      <c r="N3654">
        <v>0</v>
      </c>
      <c r="O3654">
        <v>1.090986E-2</v>
      </c>
      <c r="P3654">
        <v>-0.99874349999999901</v>
      </c>
      <c r="Q3654">
        <v>3.5659129999999997E-2</v>
      </c>
      <c r="R3654">
        <v>-3.5212689999999998E-2</v>
      </c>
      <c r="S3654">
        <v>-3.0083470000000001</v>
      </c>
      <c r="T3654">
        <v>-0.17747279999999899</v>
      </c>
      <c r="U3654">
        <v>-4.4937129999999999E-2</v>
      </c>
      <c r="V3654">
        <v>-4.6115509999999998E-2</v>
      </c>
      <c r="W3654">
        <v>3.8031290000000002E-2</v>
      </c>
      <c r="X3654">
        <v>0.99821190000000004</v>
      </c>
      <c r="Y3654">
        <v>-2.577983E-2</v>
      </c>
      <c r="Z3654">
        <v>-1.4027389999999901E-3</v>
      </c>
      <c r="AA3654">
        <v>0.99966659999999996</v>
      </c>
      <c r="AB3654">
        <v>35</v>
      </c>
      <c r="AC3654">
        <v>-18.394299999999902</v>
      </c>
      <c r="AD3654">
        <v>-1.1033886262770001</v>
      </c>
      <c r="AE3654">
        <v>-0.282899999999983</v>
      </c>
      <c r="AF3654">
        <v>-0.48182961007950498</v>
      </c>
      <c r="AG3654">
        <v>-1.1033886262770001</v>
      </c>
      <c r="AH3654">
        <v>18.324199534440201</v>
      </c>
      <c r="AI3654">
        <v>93.444707329323705</v>
      </c>
      <c r="AJ3654">
        <v>91.506229133201401</v>
      </c>
      <c r="AK3654">
        <v>18.3637119017841</v>
      </c>
    </row>
    <row r="3655" spans="1:37" x14ac:dyDescent="0.2">
      <c r="A3655" t="str">
        <f>"20200111153507411"</f>
        <v>20200111153507411</v>
      </c>
      <c r="B3655" t="str">
        <f>"1578728107399651"</f>
        <v>1578728107399651</v>
      </c>
      <c r="C3655" t="s">
        <v>37</v>
      </c>
      <c r="D3655">
        <v>4.9995909999999997</v>
      </c>
      <c r="E3655">
        <v>0.50811640000000002</v>
      </c>
      <c r="F3655" t="s">
        <v>39</v>
      </c>
      <c r="G3655">
        <v>-250.8715</v>
      </c>
      <c r="H3655" s="1">
        <v>-4.3257690000000004E-6</v>
      </c>
      <c r="I3655">
        <v>141.5686</v>
      </c>
      <c r="J3655">
        <v>-231.9195</v>
      </c>
      <c r="K3655">
        <v>1.1032709999999999</v>
      </c>
      <c r="L3655">
        <v>141.816</v>
      </c>
      <c r="M3655">
        <v>-0.99993549999999998</v>
      </c>
      <c r="N3655">
        <v>0</v>
      </c>
      <c r="O3655">
        <v>1.1109320000000001E-2</v>
      </c>
      <c r="P3655">
        <v>-0.99886490000000006</v>
      </c>
      <c r="Q3655">
        <v>3.3040559999999997E-2</v>
      </c>
      <c r="R3655">
        <v>-3.4313799999999998E-2</v>
      </c>
      <c r="S3655">
        <v>-3.0085449999999998</v>
      </c>
      <c r="T3655">
        <v>-0.172018899999999</v>
      </c>
      <c r="U3655">
        <v>-3.7948610000000001E-2</v>
      </c>
      <c r="V3655">
        <v>-4.540872E-2</v>
      </c>
      <c r="W3655">
        <v>3.5433810000000003E-2</v>
      </c>
      <c r="X3655">
        <v>0.99833989999999995</v>
      </c>
      <c r="Y3655">
        <v>-2.3663509999999999E-2</v>
      </c>
      <c r="Z3655">
        <v>-1.3105770000000001E-3</v>
      </c>
      <c r="AA3655">
        <v>0.99971909999999897</v>
      </c>
      <c r="AB3655">
        <v>35</v>
      </c>
      <c r="AC3655">
        <v>-18.952000000000002</v>
      </c>
      <c r="AD3655">
        <v>-1.10327532576899</v>
      </c>
      <c r="AE3655">
        <v>-0.24739999999999801</v>
      </c>
      <c r="AF3655">
        <v>-0.45638278429349399</v>
      </c>
      <c r="AG3655">
        <v>-1.10327532576899</v>
      </c>
      <c r="AH3655">
        <v>18.8840967456646</v>
      </c>
      <c r="AI3655">
        <v>93.342646256546004</v>
      </c>
      <c r="AJ3655">
        <v>91.384430433333407</v>
      </c>
      <c r="AK3655">
        <v>18.921802546001501</v>
      </c>
    </row>
    <row r="3656" spans="1:37" x14ac:dyDescent="0.2">
      <c r="A3656" t="str">
        <f>"20200111153507432"</f>
        <v>20200111153507432</v>
      </c>
      <c r="B3656" t="str">
        <f>"1578728107419169"</f>
        <v>1578728107419169</v>
      </c>
      <c r="C3656" t="s">
        <v>37</v>
      </c>
      <c r="D3656">
        <v>4.9862640000000003</v>
      </c>
      <c r="E3656">
        <v>0.50792749999999998</v>
      </c>
      <c r="F3656" t="s">
        <v>39</v>
      </c>
      <c r="G3656">
        <v>-250.30940000000001</v>
      </c>
      <c r="H3656" s="1">
        <v>-4.5236820000000003E-6</v>
      </c>
      <c r="I3656">
        <v>141.60589999999999</v>
      </c>
      <c r="J3656">
        <v>-232.2543</v>
      </c>
      <c r="K3656">
        <v>1.103181</v>
      </c>
      <c r="L3656">
        <v>141.81989999999999</v>
      </c>
      <c r="M3656">
        <v>-0.99993279999999995</v>
      </c>
      <c r="N3656">
        <v>0</v>
      </c>
      <c r="O3656">
        <v>1.1353230000000001E-2</v>
      </c>
      <c r="P3656">
        <v>-0.99899579999999999</v>
      </c>
      <c r="Q3656">
        <v>2.96628E-2</v>
      </c>
      <c r="R3656">
        <v>-3.3581680000000003E-2</v>
      </c>
      <c r="S3656">
        <v>-3.008194</v>
      </c>
      <c r="T3656">
        <v>-0.18047289999999999</v>
      </c>
      <c r="U3656">
        <v>-3.4347530000000001E-2</v>
      </c>
      <c r="V3656">
        <v>-4.4915869999999997E-2</v>
      </c>
      <c r="W3656">
        <v>3.2074980000000003E-2</v>
      </c>
      <c r="X3656">
        <v>0.99847569999999997</v>
      </c>
      <c r="Y3656">
        <v>-2.27078E-2</v>
      </c>
      <c r="Z3656">
        <v>-1.3610199999999999E-3</v>
      </c>
      <c r="AA3656">
        <v>0.9997412</v>
      </c>
      <c r="AB3656">
        <v>35</v>
      </c>
      <c r="AC3656">
        <v>-18.055099999999999</v>
      </c>
      <c r="AD3656">
        <v>-1.1031855236820001</v>
      </c>
      <c r="AE3656">
        <v>-0.213999999999998</v>
      </c>
      <c r="AF3656">
        <v>-0.4174123517628</v>
      </c>
      <c r="AG3656">
        <v>-1.1031855236820001</v>
      </c>
      <c r="AH3656">
        <v>17.9843744270005</v>
      </c>
      <c r="AI3656">
        <v>93.509258579041102</v>
      </c>
      <c r="AJ3656">
        <v>91.329580470905</v>
      </c>
      <c r="AK3656">
        <v>18.0230123703451</v>
      </c>
    </row>
    <row r="3657" spans="1:37" x14ac:dyDescent="0.2">
      <c r="A3657" t="str">
        <f>"20200111153507447"</f>
        <v>20200111153507447</v>
      </c>
      <c r="B3657" t="str">
        <f>"1578728107439665"</f>
        <v>1578728107439665</v>
      </c>
      <c r="C3657" t="s">
        <v>37</v>
      </c>
      <c r="D3657">
        <v>4.9558029999999897</v>
      </c>
      <c r="E3657">
        <v>0.50749029999999995</v>
      </c>
      <c r="F3657" t="s">
        <v>39</v>
      </c>
      <c r="G3657">
        <v>-249.8707</v>
      </c>
      <c r="H3657" s="1">
        <v>-5.7184059999999997E-7</v>
      </c>
      <c r="I3657">
        <v>141.6234</v>
      </c>
      <c r="J3657">
        <v>-232.4821</v>
      </c>
      <c r="K3657">
        <v>1.103137</v>
      </c>
      <c r="L3657">
        <v>141.82259999999999</v>
      </c>
      <c r="M3657">
        <v>-0.99993050000000006</v>
      </c>
      <c r="N3657">
        <v>0</v>
      </c>
      <c r="O3657">
        <v>1.1541269999999999E-2</v>
      </c>
      <c r="P3657">
        <v>-0.99902150000000001</v>
      </c>
      <c r="Q3657">
        <v>2.9045430000000001E-2</v>
      </c>
      <c r="R3657">
        <v>-3.3351720000000001E-2</v>
      </c>
      <c r="S3657">
        <v>-3.0074770000000002</v>
      </c>
      <c r="T3657">
        <v>-0.18833569999999999</v>
      </c>
      <c r="U3657">
        <v>-3.3538819999999997E-2</v>
      </c>
      <c r="V3657">
        <v>-4.4871029999999999E-2</v>
      </c>
      <c r="W3657">
        <v>3.1469219999999999E-2</v>
      </c>
      <c r="X3657">
        <v>0.99849699999999997</v>
      </c>
      <c r="Y3657">
        <v>-2.262405E-2</v>
      </c>
      <c r="Z3657">
        <v>-1.429687E-3</v>
      </c>
      <c r="AA3657">
        <v>0.99974300000000005</v>
      </c>
      <c r="AB3657">
        <v>35</v>
      </c>
      <c r="AC3657">
        <v>-17.388599999999901</v>
      </c>
      <c r="AD3657">
        <v>-1.1031375718406</v>
      </c>
      <c r="AE3657">
        <v>-0.19919999999999</v>
      </c>
      <c r="AF3657">
        <v>-0.39827114260326202</v>
      </c>
      <c r="AG3657">
        <v>-1.1031375718406</v>
      </c>
      <c r="AH3657">
        <v>17.315462983756898</v>
      </c>
      <c r="AI3657">
        <v>93.644325240350796</v>
      </c>
      <c r="AJ3657">
        <v>91.317621871433403</v>
      </c>
      <c r="AK3657">
        <v>17.355137301309099</v>
      </c>
    </row>
    <row r="3658" spans="1:37" x14ac:dyDescent="0.2">
      <c r="A3658" t="str">
        <f>"20200111153507461"</f>
        <v>20200111153507461</v>
      </c>
      <c r="B3658" t="str">
        <f>"1578728107449425"</f>
        <v>1578728107449425</v>
      </c>
      <c r="C3658" t="s">
        <v>37</v>
      </c>
      <c r="D3658">
        <v>4.9652089999999998</v>
      </c>
      <c r="E3658">
        <v>0.50749029999999995</v>
      </c>
      <c r="F3658" t="s">
        <v>39</v>
      </c>
      <c r="G3658">
        <v>-250.42869999999999</v>
      </c>
      <c r="H3658" s="1">
        <v>-4.4827710000000004E-6</v>
      </c>
      <c r="I3658">
        <v>141.60429999999999</v>
      </c>
      <c r="J3658">
        <v>-232.7124</v>
      </c>
      <c r="K3658">
        <v>1.1030990000000001</v>
      </c>
      <c r="L3658">
        <v>141.8254</v>
      </c>
      <c r="M3658">
        <v>-0.99992819999999905</v>
      </c>
      <c r="N3658">
        <v>0</v>
      </c>
      <c r="O3658">
        <v>1.1743119999999999E-2</v>
      </c>
      <c r="P3658">
        <v>-0.99904349999999997</v>
      </c>
      <c r="Q3658">
        <v>2.895296E-2</v>
      </c>
      <c r="R3658">
        <v>-3.2767409999999997E-2</v>
      </c>
      <c r="S3658">
        <v>-3.0070950000000001</v>
      </c>
      <c r="T3658">
        <v>-0.1848397</v>
      </c>
      <c r="U3658">
        <v>-3.6560059999999998E-2</v>
      </c>
      <c r="V3658">
        <v>-4.4485469999999999E-2</v>
      </c>
      <c r="W3658">
        <v>3.1388199999999998E-2</v>
      </c>
      <c r="X3658">
        <v>0.99851679999999998</v>
      </c>
      <c r="Y3658">
        <v>-2.3831350000000001E-2</v>
      </c>
      <c r="Z3658">
        <v>-1.4528329999999999E-3</v>
      </c>
      <c r="AA3658">
        <v>0.99971489999999996</v>
      </c>
      <c r="AB3658">
        <v>35</v>
      </c>
      <c r="AC3658">
        <v>-17.716299999999901</v>
      </c>
      <c r="AD3658">
        <v>-1.103103482771</v>
      </c>
      <c r="AE3658">
        <v>-0.22110000000000599</v>
      </c>
      <c r="AF3658">
        <v>-0.427472964651047</v>
      </c>
      <c r="AG3658">
        <v>-1.103103482771</v>
      </c>
      <c r="AH3658">
        <v>17.644087987770501</v>
      </c>
      <c r="AI3658">
        <v>93.576413234510099</v>
      </c>
      <c r="AJ3658">
        <v>91.387864666110104</v>
      </c>
      <c r="AK3658">
        <v>17.683704683956801</v>
      </c>
    </row>
    <row r="3659" spans="1:37" x14ac:dyDescent="0.2">
      <c r="A3659" t="str">
        <f>"20200111153507490"</f>
        <v>20200111153507490</v>
      </c>
      <c r="B3659" t="str">
        <f>"1578728107479681"</f>
        <v>1578728107479681</v>
      </c>
      <c r="C3659" t="s">
        <v>37</v>
      </c>
      <c r="D3659">
        <v>4.9719639999999998</v>
      </c>
      <c r="E3659">
        <v>0.50441340000000001</v>
      </c>
      <c r="F3659" t="s">
        <v>39</v>
      </c>
      <c r="G3659">
        <v>-250.62599999999901</v>
      </c>
      <c r="H3659" s="1">
        <v>-4.4177470000000003E-6</v>
      </c>
      <c r="I3659">
        <v>141.61609999999999</v>
      </c>
      <c r="J3659">
        <v>-233.16749999999999</v>
      </c>
      <c r="K3659">
        <v>1.1030739999999899</v>
      </c>
      <c r="L3659">
        <v>141.83109999999999</v>
      </c>
      <c r="M3659">
        <v>-0.99992289999999995</v>
      </c>
      <c r="N3659">
        <v>0</v>
      </c>
      <c r="O3659">
        <v>1.2171929999999999E-2</v>
      </c>
      <c r="P3659">
        <v>-0.99887959999999998</v>
      </c>
      <c r="Q3659">
        <v>3.509603E-2</v>
      </c>
      <c r="R3659">
        <v>-3.1743479999999998E-2</v>
      </c>
      <c r="S3659">
        <v>-3.00707999999999</v>
      </c>
      <c r="T3659">
        <v>-0.1851739</v>
      </c>
      <c r="U3659">
        <v>-3.5110469999999998E-2</v>
      </c>
      <c r="V3659">
        <v>-4.3880490000000001E-2</v>
      </c>
      <c r="W3659">
        <v>3.7552410000000001E-2</v>
      </c>
      <c r="X3659">
        <v>0.99833079999999996</v>
      </c>
      <c r="Y3659">
        <v>-2.3777320000000001E-2</v>
      </c>
      <c r="Z3659">
        <v>-1.4801839999999901E-3</v>
      </c>
      <c r="AA3659">
        <v>0.99971620000000005</v>
      </c>
      <c r="AB3659">
        <v>36</v>
      </c>
      <c r="AC3659">
        <v>-17.458499999999901</v>
      </c>
      <c r="AD3659">
        <v>-1.1030784177470001</v>
      </c>
      <c r="AE3659">
        <v>-0.21500000000000299</v>
      </c>
      <c r="AF3659">
        <v>-0.42578882993884998</v>
      </c>
      <c r="AG3659">
        <v>-1.1030784177470001</v>
      </c>
      <c r="AH3659">
        <v>17.3851971581154</v>
      </c>
      <c r="AI3659">
        <v>93.629424389309406</v>
      </c>
      <c r="AJ3659">
        <v>91.4029767187386</v>
      </c>
      <c r="AK3659">
        <v>17.425359633303</v>
      </c>
    </row>
    <row r="3660" spans="1:37" x14ac:dyDescent="0.2">
      <c r="A3660" t="str">
        <f>"20200111153507512"</f>
        <v>20200111153507512</v>
      </c>
      <c r="B3660" t="str">
        <f>"1578728107499201"</f>
        <v>1578728107499201</v>
      </c>
      <c r="C3660" t="s">
        <v>37</v>
      </c>
      <c r="D3660">
        <v>4.9992470000000004</v>
      </c>
      <c r="E3660">
        <v>0.50416229999999995</v>
      </c>
      <c r="F3660" t="s">
        <v>39</v>
      </c>
      <c r="G3660">
        <v>-259.26170000000002</v>
      </c>
      <c r="H3660" s="1">
        <v>-7.5478779999999996E-7</v>
      </c>
      <c r="I3660">
        <v>141.32900000000001</v>
      </c>
      <c r="J3660">
        <v>-233.5325</v>
      </c>
      <c r="K3660">
        <v>1.103065</v>
      </c>
      <c r="L3660">
        <v>141.83580000000001</v>
      </c>
      <c r="M3660">
        <v>-0.99991859999999999</v>
      </c>
      <c r="N3660">
        <v>0</v>
      </c>
      <c r="O3660">
        <v>1.252838E-2</v>
      </c>
      <c r="P3660">
        <v>-0.99870720000000002</v>
      </c>
      <c r="Q3660">
        <v>3.9829650000000001E-2</v>
      </c>
      <c r="R3660">
        <v>-3.1589939999999997E-2</v>
      </c>
      <c r="S3660">
        <v>-3.0060119999999899</v>
      </c>
      <c r="T3660">
        <v>-0.12707280000000001</v>
      </c>
      <c r="U3660">
        <v>-5.7830810000000003E-2</v>
      </c>
      <c r="V3660">
        <v>-4.4074439999999999E-2</v>
      </c>
      <c r="W3660">
        <v>4.2301730000000003E-2</v>
      </c>
      <c r="X3660">
        <v>0.99813229999999997</v>
      </c>
      <c r="Y3660">
        <v>-3.1719909999999997E-2</v>
      </c>
      <c r="Z3660">
        <v>-1.1994180000000001E-3</v>
      </c>
      <c r="AA3660">
        <v>0.999496099999999</v>
      </c>
      <c r="AB3660">
        <v>36</v>
      </c>
      <c r="AC3660">
        <v>-25.729199999999999</v>
      </c>
      <c r="AD3660">
        <v>-1.1030657547878</v>
      </c>
      <c r="AE3660">
        <v>-0.50679999999999803</v>
      </c>
      <c r="AF3660">
        <v>-0.827585829921202</v>
      </c>
      <c r="AG3660">
        <v>-1.1030657547878</v>
      </c>
      <c r="AH3660">
        <v>25.673660874839602</v>
      </c>
      <c r="AI3660">
        <v>92.458917593986101</v>
      </c>
      <c r="AJ3660">
        <v>91.846279820874003</v>
      </c>
      <c r="AK3660">
        <v>25.7106692849786</v>
      </c>
    </row>
    <row r="3661" spans="1:37" x14ac:dyDescent="0.2">
      <c r="A3661" t="str">
        <f>"20200111153507534"</f>
        <v>20200111153507534</v>
      </c>
      <c r="B3661" t="str">
        <f>"1578728107529457"</f>
        <v>1578728107529457</v>
      </c>
      <c r="C3661" t="s">
        <v>37</v>
      </c>
      <c r="D3661">
        <v>4.9261349999999897</v>
      </c>
      <c r="E3661">
        <v>0.50391189999999997</v>
      </c>
      <c r="F3661" t="s">
        <v>39</v>
      </c>
      <c r="G3661">
        <v>-263.13049999999998</v>
      </c>
      <c r="H3661" s="1">
        <v>-3.363335E-6</v>
      </c>
      <c r="I3661">
        <v>141.2475</v>
      </c>
      <c r="J3661">
        <v>-233.8826</v>
      </c>
      <c r="K3661">
        <v>1.103043</v>
      </c>
      <c r="L3661">
        <v>141.84039999999999</v>
      </c>
      <c r="M3661">
        <v>-0.99991409999999903</v>
      </c>
      <c r="N3661">
        <v>0</v>
      </c>
      <c r="O3661">
        <v>1.2876169999999999E-2</v>
      </c>
      <c r="P3661">
        <v>-0.99858840000000004</v>
      </c>
      <c r="Q3661">
        <v>4.2762639999999998E-2</v>
      </c>
      <c r="R3661">
        <v>-3.1503089999999997E-2</v>
      </c>
      <c r="S3661">
        <v>-3.0064700000000002</v>
      </c>
      <c r="T3661">
        <v>-0.1120461</v>
      </c>
      <c r="U3661">
        <v>-5.9753420000000002E-2</v>
      </c>
      <c r="V3661">
        <v>-4.4328560000000003E-2</v>
      </c>
      <c r="W3661">
        <v>4.5250520000000002E-2</v>
      </c>
      <c r="X3661">
        <v>0.99799169999999904</v>
      </c>
      <c r="Y3661">
        <v>-3.271139E-2</v>
      </c>
      <c r="Z3661">
        <v>-1.0889439999999999E-3</v>
      </c>
      <c r="AA3661">
        <v>0.99946429999999997</v>
      </c>
      <c r="AB3661">
        <v>36</v>
      </c>
      <c r="AC3661">
        <v>-29.247899999999898</v>
      </c>
      <c r="AD3661">
        <v>-1.1030463633350001</v>
      </c>
      <c r="AE3661">
        <v>-0.59289999999998599</v>
      </c>
      <c r="AF3661">
        <v>-0.96807655755994404</v>
      </c>
      <c r="AG3661">
        <v>-1.1030463633350001</v>
      </c>
      <c r="AH3661">
        <v>29.196331443438201</v>
      </c>
      <c r="AI3661">
        <v>92.162435855931804</v>
      </c>
      <c r="AJ3661">
        <v>91.899087475076897</v>
      </c>
      <c r="AK3661">
        <v>29.2331943731105</v>
      </c>
    </row>
    <row r="3662" spans="1:37" x14ac:dyDescent="0.2">
      <c r="A3662" t="str">
        <f>"20200111153507556"</f>
        <v>20200111153507556</v>
      </c>
      <c r="B3662" t="str">
        <f>"1578728107549952"</f>
        <v>1578728107549952</v>
      </c>
      <c r="C3662" t="s">
        <v>37</v>
      </c>
      <c r="D3662">
        <v>4.9250249999999998</v>
      </c>
      <c r="E3662">
        <v>0.50353829999999999</v>
      </c>
      <c r="F3662" t="s">
        <v>39</v>
      </c>
      <c r="G3662">
        <v>-264.8562</v>
      </c>
      <c r="H3662" s="1">
        <v>-2.6118429999999998E-6</v>
      </c>
      <c r="I3662">
        <v>141.2054</v>
      </c>
      <c r="J3662">
        <v>-234.2475</v>
      </c>
      <c r="K3662">
        <v>1.10302099999999</v>
      </c>
      <c r="L3662">
        <v>141.84540000000001</v>
      </c>
      <c r="M3662">
        <v>-0.9999093</v>
      </c>
      <c r="N3662">
        <v>0</v>
      </c>
      <c r="O3662">
        <v>1.324117E-2</v>
      </c>
      <c r="P3662">
        <v>-0.99853169999999902</v>
      </c>
      <c r="Q3662">
        <v>4.3958379999999998E-2</v>
      </c>
      <c r="R3662">
        <v>-3.1657699999999997E-2</v>
      </c>
      <c r="S3662">
        <v>-3.0068969999999999</v>
      </c>
      <c r="T3662">
        <v>-0.10708330000000001</v>
      </c>
      <c r="U3662">
        <v>-6.1645510000000001E-2</v>
      </c>
      <c r="V3662">
        <v>-4.484287E-2</v>
      </c>
      <c r="W3662">
        <v>4.6461839999999997E-2</v>
      </c>
      <c r="X3662">
        <v>0.99791299999999905</v>
      </c>
      <c r="Y3662">
        <v>-3.3703950000000003E-2</v>
      </c>
      <c r="Z3662">
        <v>-1.071249E-3</v>
      </c>
      <c r="AA3662">
        <v>0.99943130000000002</v>
      </c>
      <c r="AB3662">
        <v>36</v>
      </c>
      <c r="AC3662">
        <v>-30.608699999999999</v>
      </c>
      <c r="AD3662">
        <v>-1.1030236118429999</v>
      </c>
      <c r="AE3662">
        <v>-0.640000000000014</v>
      </c>
      <c r="AF3662">
        <v>-1.04388511023057</v>
      </c>
      <c r="AG3662">
        <v>-1.1030236118429999</v>
      </c>
      <c r="AH3662">
        <v>30.557876677690398</v>
      </c>
      <c r="AI3662">
        <v>92.0660589942581</v>
      </c>
      <c r="AJ3662">
        <v>91.956515581229596</v>
      </c>
      <c r="AK3662">
        <v>30.595590928442199</v>
      </c>
    </row>
    <row r="3663" spans="1:37" x14ac:dyDescent="0.2">
      <c r="A3663" t="str">
        <f>"20200111153507580"</f>
        <v>20200111153507580</v>
      </c>
      <c r="B3663" t="str">
        <f>"1578728107569472"</f>
        <v>1578728107569472</v>
      </c>
      <c r="C3663" t="s">
        <v>37</v>
      </c>
      <c r="D3663">
        <v>4.9408089999999998</v>
      </c>
      <c r="E3663">
        <v>0.50313240000000004</v>
      </c>
      <c r="F3663" t="s">
        <v>39</v>
      </c>
      <c r="G3663">
        <v>-265.90129999999999</v>
      </c>
      <c r="H3663" s="1">
        <v>-2.1507079999999998E-6</v>
      </c>
      <c r="I3663">
        <v>141.1574</v>
      </c>
      <c r="J3663">
        <v>-234.62090000000001</v>
      </c>
      <c r="K3663">
        <v>1.1029949999999999</v>
      </c>
      <c r="L3663">
        <v>141.85059999999999</v>
      </c>
      <c r="M3663">
        <v>-0.99990429999999997</v>
      </c>
      <c r="N3663">
        <v>0</v>
      </c>
      <c r="O3663">
        <v>1.3615749999999999E-2</v>
      </c>
      <c r="P3663">
        <v>-0.99852969999999897</v>
      </c>
      <c r="Q3663">
        <v>4.4117490000000002E-2</v>
      </c>
      <c r="R3663">
        <v>-3.150439E-2</v>
      </c>
      <c r="S3663">
        <v>-3.0069430000000001</v>
      </c>
      <c r="T3663">
        <v>-0.1047815</v>
      </c>
      <c r="U3663">
        <v>-6.5353389999999997E-2</v>
      </c>
      <c r="V3663">
        <v>-4.5060919999999997E-2</v>
      </c>
      <c r="W3663">
        <v>4.6636179999999999E-2</v>
      </c>
      <c r="X3663">
        <v>0.99789509999999904</v>
      </c>
      <c r="Y3663">
        <v>-3.530991E-2</v>
      </c>
      <c r="Z3663">
        <v>-1.089224E-3</v>
      </c>
      <c r="AA3663">
        <v>0.99937580000000004</v>
      </c>
      <c r="AB3663">
        <v>36</v>
      </c>
      <c r="AC3663">
        <v>-31.280399999999901</v>
      </c>
      <c r="AD3663">
        <v>-1.1029971507080001</v>
      </c>
      <c r="AE3663">
        <v>-0.69319999999999005</v>
      </c>
      <c r="AF3663">
        <v>-1.1176541377709599</v>
      </c>
      <c r="AG3663">
        <v>-1.1029971507080001</v>
      </c>
      <c r="AH3663">
        <v>31.229251072817199</v>
      </c>
      <c r="AI3663">
        <v>92.021516279871804</v>
      </c>
      <c r="AJ3663">
        <v>92.049666377360396</v>
      </c>
      <c r="AK3663">
        <v>31.2687044191985</v>
      </c>
    </row>
    <row r="3664" spans="1:37" x14ac:dyDescent="0.2">
      <c r="A3664" t="str">
        <f>"20200111153507599"</f>
        <v>20200111153507599</v>
      </c>
      <c r="B3664" t="str">
        <f>"1578728107589971"</f>
        <v>1578728107589971</v>
      </c>
      <c r="C3664" t="s">
        <v>37</v>
      </c>
      <c r="D3664">
        <v>4.9139480000000004</v>
      </c>
      <c r="E3664">
        <v>0.50266529999999998</v>
      </c>
      <c r="F3664" t="s">
        <v>39</v>
      </c>
      <c r="G3664">
        <v>-266.54930000000002</v>
      </c>
      <c r="H3664" s="1">
        <v>-1.863484E-6</v>
      </c>
      <c r="I3664">
        <v>141.12260000000001</v>
      </c>
      <c r="J3664">
        <v>-234.95910000000001</v>
      </c>
      <c r="K3664">
        <v>1.1029690000000001</v>
      </c>
      <c r="L3664">
        <v>141.85550000000001</v>
      </c>
      <c r="M3664">
        <v>-0.99989950000000005</v>
      </c>
      <c r="N3664">
        <v>0</v>
      </c>
      <c r="O3664">
        <v>1.3954680000000001E-2</v>
      </c>
      <c r="P3664">
        <v>-0.99855479999999996</v>
      </c>
      <c r="Q3664">
        <v>4.3994900000000003E-2</v>
      </c>
      <c r="R3664">
        <v>-3.087028E-2</v>
      </c>
      <c r="S3664">
        <v>-3.006866</v>
      </c>
      <c r="T3664">
        <v>-0.103875299999999</v>
      </c>
      <c r="U3664">
        <v>-6.8557740000000006E-2</v>
      </c>
      <c r="V3664">
        <v>-4.476422E-2</v>
      </c>
      <c r="W3664">
        <v>4.6528050000000001E-2</v>
      </c>
      <c r="X3664">
        <v>0.99791350000000001</v>
      </c>
      <c r="Y3664">
        <v>-3.6713139999999998E-2</v>
      </c>
      <c r="Z3664">
        <v>-1.115757E-3</v>
      </c>
      <c r="AA3664">
        <v>0.99932520000000002</v>
      </c>
      <c r="AB3664">
        <v>37</v>
      </c>
      <c r="AC3664">
        <v>-31.590199999999999</v>
      </c>
      <c r="AD3664">
        <v>-1.1029708634840001</v>
      </c>
      <c r="AE3664">
        <v>-0.7329</v>
      </c>
      <c r="AF3664">
        <v>-1.1722328996587099</v>
      </c>
      <c r="AG3664">
        <v>-1.1029708634840001</v>
      </c>
      <c r="AH3664">
        <v>31.538470136111101</v>
      </c>
      <c r="AI3664">
        <v>92.001564330213</v>
      </c>
      <c r="AJ3664">
        <v>92.128609738052205</v>
      </c>
      <c r="AK3664">
        <v>31.579515088473201</v>
      </c>
    </row>
    <row r="3665" spans="1:37" x14ac:dyDescent="0.2">
      <c r="A3665" t="str">
        <f>"20200111153507623"</f>
        <v>20200111153507623</v>
      </c>
      <c r="B3665" t="str">
        <f>"1578728107620226"</f>
        <v>1578728107620226</v>
      </c>
      <c r="C3665" t="s">
        <v>37</v>
      </c>
      <c r="D3665">
        <v>4.9310890000000001</v>
      </c>
      <c r="E3665">
        <v>0.50218220000000002</v>
      </c>
      <c r="F3665" t="s">
        <v>39</v>
      </c>
      <c r="G3665">
        <v>-267.04349999999999</v>
      </c>
      <c r="H3665" s="1">
        <v>-1.645078E-6</v>
      </c>
      <c r="I3665">
        <v>141.0986</v>
      </c>
      <c r="J3665">
        <v>-235.33279999999999</v>
      </c>
      <c r="K3665">
        <v>1.10294</v>
      </c>
      <c r="L3665">
        <v>141.86099999999999</v>
      </c>
      <c r="M3665">
        <v>-0.99989430000000001</v>
      </c>
      <c r="N3665">
        <v>0</v>
      </c>
      <c r="O3665">
        <v>1.4329130000000001E-2</v>
      </c>
      <c r="P3665">
        <v>-0.99862280000000003</v>
      </c>
      <c r="Q3665">
        <v>4.3202110000000002E-2</v>
      </c>
      <c r="R3665">
        <v>-2.9770609999999999E-2</v>
      </c>
      <c r="S3665">
        <v>-3.0067140000000001</v>
      </c>
      <c r="T3665">
        <v>-0.10336239999999999</v>
      </c>
      <c r="U3665">
        <v>-7.0922849999999996E-2</v>
      </c>
      <c r="V3665">
        <v>-4.4038229999999998E-2</v>
      </c>
      <c r="W3665">
        <v>4.5749739999999997E-2</v>
      </c>
      <c r="X3665">
        <v>0.99798180000000003</v>
      </c>
      <c r="Y3665">
        <v>-3.7873549999999999E-2</v>
      </c>
      <c r="Z3665">
        <v>-1.143102E-3</v>
      </c>
      <c r="AA3665">
        <v>0.99928189999999995</v>
      </c>
      <c r="AB3665">
        <v>37</v>
      </c>
      <c r="AC3665">
        <v>-31.710699999999999</v>
      </c>
      <c r="AD3665">
        <v>-1.1029416450780001</v>
      </c>
      <c r="AE3665">
        <v>-0.76239999999998498</v>
      </c>
      <c r="AF3665">
        <v>-1.21524056613461</v>
      </c>
      <c r="AG3665">
        <v>-1.1029416450780001</v>
      </c>
      <c r="AH3665">
        <v>31.6582435284603</v>
      </c>
      <c r="AI3665">
        <v>91.993853577859397</v>
      </c>
      <c r="AJ3665">
        <v>92.198289573013099</v>
      </c>
      <c r="AK3665">
        <v>31.7007519345097</v>
      </c>
    </row>
    <row r="3666" spans="1:37" x14ac:dyDescent="0.2">
      <c r="A3666" t="str">
        <f>"20200111153507645"</f>
        <v>20200111153507645</v>
      </c>
      <c r="B3666" t="str">
        <f>"1578728107639745"</f>
        <v>1578728107639745</v>
      </c>
      <c r="C3666" t="s">
        <v>37</v>
      </c>
      <c r="D3666">
        <v>4.926221</v>
      </c>
      <c r="E3666">
        <v>0.50201019999999996</v>
      </c>
      <c r="F3666" t="s">
        <v>39</v>
      </c>
      <c r="G3666">
        <v>-267.10820000000001</v>
      </c>
      <c r="H3666" s="1">
        <v>-1.6175739999999999E-6</v>
      </c>
      <c r="I3666">
        <v>141.09950000000001</v>
      </c>
      <c r="J3666">
        <v>-235.70590000000001</v>
      </c>
      <c r="K3666">
        <v>1.1029059999999999</v>
      </c>
      <c r="L3666">
        <v>141.86670000000001</v>
      </c>
      <c r="M3666">
        <v>-0.99988869999999896</v>
      </c>
      <c r="N3666">
        <v>0</v>
      </c>
      <c r="O3666">
        <v>1.4703509999999999E-2</v>
      </c>
      <c r="P3666">
        <v>-0.9987414</v>
      </c>
      <c r="Q3666">
        <v>4.1666149999999999E-2</v>
      </c>
      <c r="R3666">
        <v>-2.791894E-2</v>
      </c>
      <c r="S3666">
        <v>-3.0064850000000001</v>
      </c>
      <c r="T3666">
        <v>-0.10435709999999999</v>
      </c>
      <c r="U3666">
        <v>-7.2052000000000005E-2</v>
      </c>
      <c r="V3666">
        <v>-4.2563030000000002E-2</v>
      </c>
      <c r="W3666">
        <v>4.4228259999999998E-2</v>
      </c>
      <c r="X3666">
        <v>0.99811430000000001</v>
      </c>
      <c r="Y3666">
        <v>-3.8623299999999999E-2</v>
      </c>
      <c r="Z3666">
        <v>-1.1801750000000001E-3</v>
      </c>
      <c r="AA3666">
        <v>0.99925319999999995</v>
      </c>
      <c r="AB3666">
        <v>37</v>
      </c>
      <c r="AC3666">
        <v>-31.4023</v>
      </c>
      <c r="AD3666">
        <v>-1.102907617574</v>
      </c>
      <c r="AE3666">
        <v>-0.76720000000000199</v>
      </c>
      <c r="AF3666">
        <v>-1.22732950728348</v>
      </c>
      <c r="AG3666">
        <v>-1.102907617574</v>
      </c>
      <c r="AH3666">
        <v>31.3489774058324</v>
      </c>
      <c r="AI3666">
        <v>92.013385779557396</v>
      </c>
      <c r="AJ3666">
        <v>92.242015888199305</v>
      </c>
      <c r="AK3666">
        <v>31.392373712794399</v>
      </c>
    </row>
    <row r="3667" spans="1:37" x14ac:dyDescent="0.2">
      <c r="A3667" t="str">
        <f>"20200111153507669"</f>
        <v>20200111153507669</v>
      </c>
      <c r="B3667" t="str">
        <f>"1578728107659264"</f>
        <v>1578728107659264</v>
      </c>
      <c r="C3667" t="s">
        <v>37</v>
      </c>
      <c r="D3667">
        <v>4.8938189999999997</v>
      </c>
      <c r="E3667">
        <v>0.50183900000000004</v>
      </c>
      <c r="F3667" t="s">
        <v>39</v>
      </c>
      <c r="G3667">
        <v>-265.99250000000001</v>
      </c>
      <c r="H3667" s="1">
        <v>-2.118466E-6</v>
      </c>
      <c r="I3667">
        <v>141.1832</v>
      </c>
      <c r="J3667">
        <v>-236.0985</v>
      </c>
      <c r="K3667">
        <v>1.1028770000000001</v>
      </c>
      <c r="L3667">
        <v>141.87280000000001</v>
      </c>
      <c r="M3667">
        <v>-0.99988279999999996</v>
      </c>
      <c r="N3667">
        <v>0</v>
      </c>
      <c r="O3667">
        <v>1.50984E-2</v>
      </c>
      <c r="P3667">
        <v>-0.99886450000000004</v>
      </c>
      <c r="Q3667">
        <v>3.9631670000000001E-2</v>
      </c>
      <c r="R3667">
        <v>-2.644403E-2</v>
      </c>
      <c r="S3667">
        <v>-3.0064540000000002</v>
      </c>
      <c r="T3667">
        <v>-0.10948239999999899</v>
      </c>
      <c r="U3667">
        <v>-6.7840579999999998E-2</v>
      </c>
      <c r="V3667">
        <v>-4.148483E-2</v>
      </c>
      <c r="W3667">
        <v>4.2208830000000003E-2</v>
      </c>
      <c r="X3667">
        <v>0.99824709999999905</v>
      </c>
      <c r="Y3667">
        <v>-3.7616339999999998E-2</v>
      </c>
      <c r="Z3667">
        <v>-1.2341780000000001E-3</v>
      </c>
      <c r="AA3667">
        <v>0.9992915</v>
      </c>
      <c r="AB3667">
        <v>37</v>
      </c>
      <c r="AC3667">
        <v>-29.893999999999998</v>
      </c>
      <c r="AD3667">
        <v>-1.1028791184660001</v>
      </c>
      <c r="AE3667">
        <v>-0.68960000000001198</v>
      </c>
      <c r="AF3667">
        <v>-1.1393245115716299</v>
      </c>
      <c r="AG3667">
        <v>-1.1028791184660001</v>
      </c>
      <c r="AH3667">
        <v>29.839587700772402</v>
      </c>
      <c r="AI3667">
        <v>92.115163970954796</v>
      </c>
      <c r="AJ3667">
        <v>92.186584900696204</v>
      </c>
      <c r="AK3667">
        <v>29.8816899931163</v>
      </c>
    </row>
    <row r="3668" spans="1:37" x14ac:dyDescent="0.2">
      <c r="A3668" t="str">
        <f>"20200111153507690"</f>
        <v>20200111153507690</v>
      </c>
      <c r="B3668" t="str">
        <f>"1578728107679763"</f>
        <v>1578728107679763</v>
      </c>
      <c r="C3668" t="s">
        <v>37</v>
      </c>
      <c r="D3668">
        <v>4.8624219999999996</v>
      </c>
      <c r="E3668">
        <v>0.50170959999999998</v>
      </c>
      <c r="F3668" t="s">
        <v>39</v>
      </c>
      <c r="G3668">
        <v>-264.71800000000002</v>
      </c>
      <c r="H3668" s="1">
        <v>-2.6847190000000002E-6</v>
      </c>
      <c r="I3668">
        <v>141.25649999999999</v>
      </c>
      <c r="J3668">
        <v>-236.45509999999999</v>
      </c>
      <c r="K3668">
        <v>1.1028610000000001</v>
      </c>
      <c r="L3668">
        <v>141.8784</v>
      </c>
      <c r="M3668">
        <v>-0.99987729999999997</v>
      </c>
      <c r="N3668">
        <v>0</v>
      </c>
      <c r="O3668">
        <v>1.54571E-2</v>
      </c>
      <c r="P3668">
        <v>-0.99895809999999996</v>
      </c>
      <c r="Q3668">
        <v>3.8418479999999998E-2</v>
      </c>
      <c r="R3668">
        <v>-2.463394E-2</v>
      </c>
      <c r="S3668">
        <v>-3.006256</v>
      </c>
      <c r="T3668">
        <v>-0.1158491</v>
      </c>
      <c r="U3668">
        <v>-6.4727779999999999E-2</v>
      </c>
      <c r="V3668">
        <v>-4.0034979999999998E-2</v>
      </c>
      <c r="W3668">
        <v>4.1009199999999899E-2</v>
      </c>
      <c r="X3668">
        <v>0.99835640000000003</v>
      </c>
      <c r="Y3668">
        <v>-3.6938169999999999E-2</v>
      </c>
      <c r="Z3668">
        <v>-1.3067529999999999E-3</v>
      </c>
      <c r="AA3668">
        <v>0.99931669999999995</v>
      </c>
      <c r="AB3668">
        <v>37</v>
      </c>
      <c r="AC3668">
        <v>-28.262899999999998</v>
      </c>
      <c r="AD3668">
        <v>-1.1028636847190001</v>
      </c>
      <c r="AE3668">
        <v>-0.62190000000001</v>
      </c>
      <c r="AF3668">
        <v>-1.05708076297146</v>
      </c>
      <c r="AG3668">
        <v>-1.1028636847190001</v>
      </c>
      <c r="AH3668">
        <v>28.2069810843829</v>
      </c>
      <c r="AI3668">
        <v>92.237495937908307</v>
      </c>
      <c r="AJ3668">
        <v>92.146204023716294</v>
      </c>
      <c r="AK3668">
        <v>28.248318709991398</v>
      </c>
    </row>
    <row r="3669" spans="1:37" x14ac:dyDescent="0.2">
      <c r="A3669" t="str">
        <f>"20200111153507711"</f>
        <v>20200111153507711</v>
      </c>
      <c r="B3669" t="str">
        <f>"1578728107699281"</f>
        <v>1578728107699281</v>
      </c>
      <c r="C3669" t="s">
        <v>37</v>
      </c>
      <c r="D3669">
        <v>4.8706550000000002</v>
      </c>
      <c r="E3669">
        <v>0.50230520000000001</v>
      </c>
      <c r="F3669" t="s">
        <v>39</v>
      </c>
      <c r="G3669">
        <v>-264.22550000000001</v>
      </c>
      <c r="H3669" s="1">
        <v>-2.9135210000000001E-6</v>
      </c>
      <c r="I3669">
        <v>141.32230000000001</v>
      </c>
      <c r="J3669">
        <v>-236.8219</v>
      </c>
      <c r="K3669">
        <v>1.102854</v>
      </c>
      <c r="L3669">
        <v>141.8844</v>
      </c>
      <c r="M3669">
        <v>-0.99987139999999997</v>
      </c>
      <c r="N3669">
        <v>0</v>
      </c>
      <c r="O3669">
        <v>1.5824209999999998E-2</v>
      </c>
      <c r="P3669">
        <v>-0.99896779999999996</v>
      </c>
      <c r="Q3669">
        <v>3.905575E-2</v>
      </c>
      <c r="R3669">
        <v>-2.3196910000000001E-2</v>
      </c>
      <c r="S3669">
        <v>-3.0062259999999998</v>
      </c>
      <c r="T3669">
        <v>-0.11938849999999999</v>
      </c>
      <c r="U3669">
        <v>-6.019592E-2</v>
      </c>
      <c r="V3669">
        <v>-3.8963739999999997E-2</v>
      </c>
      <c r="W3669">
        <v>4.1660000000000003E-2</v>
      </c>
      <c r="X3669">
        <v>0.99837180000000003</v>
      </c>
      <c r="Y3669">
        <v>-3.579765E-2</v>
      </c>
      <c r="Z3669">
        <v>-1.3386139999999999E-3</v>
      </c>
      <c r="AA3669">
        <v>0.99935819999999997</v>
      </c>
      <c r="AB3669">
        <v>37</v>
      </c>
      <c r="AC3669">
        <v>-27.403600000000001</v>
      </c>
      <c r="AD3669">
        <v>-1.102856913521</v>
      </c>
      <c r="AE3669">
        <v>-0.56209999999998606</v>
      </c>
      <c r="AF3669">
        <v>-0.99406204674097498</v>
      </c>
      <c r="AG3669">
        <v>-1.102856913521</v>
      </c>
      <c r="AH3669">
        <v>27.346999798825198</v>
      </c>
      <c r="AI3669">
        <v>92.307865094521404</v>
      </c>
      <c r="AJ3669">
        <v>92.081782084184994</v>
      </c>
      <c r="AK3669">
        <v>27.3872753431483</v>
      </c>
    </row>
    <row r="3670" spans="1:37" x14ac:dyDescent="0.2">
      <c r="A3670" t="str">
        <f>"20200111153507734"</f>
        <v>20200111153507734</v>
      </c>
      <c r="B3670" t="str">
        <f>"1578728107729538"</f>
        <v>1578728107729538</v>
      </c>
      <c r="C3670" t="s">
        <v>37</v>
      </c>
      <c r="D3670">
        <v>4.898809</v>
      </c>
      <c r="E3670">
        <v>0.50433589999999995</v>
      </c>
      <c r="F3670" t="s">
        <v>39</v>
      </c>
      <c r="G3670">
        <v>-264.89120000000003</v>
      </c>
      <c r="H3670" s="1">
        <v>-2.65096999999999E-6</v>
      </c>
      <c r="I3670">
        <v>141.40899999999999</v>
      </c>
      <c r="J3670">
        <v>-237.19970000000001</v>
      </c>
      <c r="K3670">
        <v>1.1028659999999999</v>
      </c>
      <c r="L3670">
        <v>141.89070000000001</v>
      </c>
      <c r="M3670">
        <v>-0.99986559999999902</v>
      </c>
      <c r="N3670">
        <v>0</v>
      </c>
      <c r="O3670">
        <v>1.6191770000000001E-2</v>
      </c>
      <c r="P3670">
        <v>-0.99893050000000005</v>
      </c>
      <c r="Q3670">
        <v>4.0607949999999997E-2</v>
      </c>
      <c r="R3670">
        <v>-2.211581E-2</v>
      </c>
      <c r="S3670">
        <v>-3.0065309999999998</v>
      </c>
      <c r="T3670">
        <v>-0.11812789999999999</v>
      </c>
      <c r="U3670">
        <v>-5.0918579999999998E-2</v>
      </c>
      <c r="V3670">
        <v>-3.8248039999999997E-2</v>
      </c>
      <c r="W3670">
        <v>4.3226899999999999E-2</v>
      </c>
      <c r="X3670">
        <v>0.99833289999999997</v>
      </c>
      <c r="Y3670">
        <v>-3.3082840000000002E-2</v>
      </c>
      <c r="Z3670">
        <v>-1.2855169999999999E-3</v>
      </c>
      <c r="AA3670">
        <v>0.9994518</v>
      </c>
      <c r="AB3670">
        <v>38</v>
      </c>
      <c r="AC3670">
        <v>-27.691500000000001</v>
      </c>
      <c r="AD3670">
        <v>-1.1028686509700001</v>
      </c>
      <c r="AE3670">
        <v>-0.481700000000017</v>
      </c>
      <c r="AF3670">
        <v>-0.92854033761157495</v>
      </c>
      <c r="AG3670">
        <v>-1.1028686509700001</v>
      </c>
      <c r="AH3670">
        <v>27.636247130012499</v>
      </c>
      <c r="AI3670">
        <v>92.283979700511097</v>
      </c>
      <c r="AJ3670">
        <v>91.9243364196345</v>
      </c>
      <c r="AK3670">
        <v>27.6738262958158</v>
      </c>
    </row>
    <row r="3671" spans="1:37" x14ac:dyDescent="0.2">
      <c r="A3671" t="str">
        <f>"20200111153507757"</f>
        <v>20200111153507757</v>
      </c>
      <c r="B3671" t="str">
        <f>"1578728107749059"</f>
        <v>1578728107749059</v>
      </c>
      <c r="C3671" t="s">
        <v>37</v>
      </c>
      <c r="D3671">
        <v>4.8172139999999999</v>
      </c>
      <c r="E3671">
        <v>0.50521590000000005</v>
      </c>
      <c r="F3671" t="s">
        <v>39</v>
      </c>
      <c r="G3671">
        <v>-268.45519999999999</v>
      </c>
      <c r="H3671" s="1">
        <v>-1.1627229999999999E-6</v>
      </c>
      <c r="I3671">
        <v>141.56180000000001</v>
      </c>
      <c r="J3671">
        <v>-237.60230000000001</v>
      </c>
      <c r="K3671">
        <v>1.102886</v>
      </c>
      <c r="L3671">
        <v>141.89750000000001</v>
      </c>
      <c r="M3671">
        <v>-0.99985959999999996</v>
      </c>
      <c r="N3671">
        <v>0</v>
      </c>
      <c r="O3671">
        <v>1.6558969999999999E-2</v>
      </c>
      <c r="P3671">
        <v>-0.99888189999999999</v>
      </c>
      <c r="Q3671">
        <v>4.2235719999999997E-2</v>
      </c>
      <c r="R3671">
        <v>-2.124444E-2</v>
      </c>
      <c r="S3671">
        <v>-3.006821</v>
      </c>
      <c r="T3671">
        <v>-0.1060976</v>
      </c>
      <c r="U3671">
        <v>-3.1631470000000002E-2</v>
      </c>
      <c r="V3671">
        <v>-3.7741660000000003E-2</v>
      </c>
      <c r="W3671">
        <v>4.4868959999999999E-2</v>
      </c>
      <c r="X3671">
        <v>0.99827969999999899</v>
      </c>
      <c r="Y3671">
        <v>-2.7048860000000001E-2</v>
      </c>
      <c r="Z3671">
        <v>-1.061148E-3</v>
      </c>
      <c r="AA3671">
        <v>0.99963359999999901</v>
      </c>
      <c r="AB3671">
        <v>38</v>
      </c>
      <c r="AC3671">
        <v>-30.852899999999899</v>
      </c>
      <c r="AD3671">
        <v>-1.1028871627229999</v>
      </c>
      <c r="AE3671">
        <v>-0.335700000000002</v>
      </c>
      <c r="AF3671">
        <v>-0.84546766986666899</v>
      </c>
      <c r="AG3671">
        <v>-1.1028871627229999</v>
      </c>
      <c r="AH3671">
        <v>30.8037538544101</v>
      </c>
      <c r="AI3671">
        <v>92.049751511899899</v>
      </c>
      <c r="AJ3671">
        <v>91.572197034128195</v>
      </c>
      <c r="AK3671">
        <v>30.835084355285499</v>
      </c>
    </row>
    <row r="3672" spans="1:37" x14ac:dyDescent="0.2">
      <c r="A3672" t="str">
        <f>"20200111153507779"</f>
        <v>20200111153507779</v>
      </c>
      <c r="B3672" t="str">
        <f>"1578728107769552"</f>
        <v>1578728107769552</v>
      </c>
      <c r="C3672" t="s">
        <v>37</v>
      </c>
      <c r="D3672">
        <v>4.8477629999999996</v>
      </c>
      <c r="E3672">
        <v>0.50593259999999995</v>
      </c>
      <c r="F3672" t="s">
        <v>39</v>
      </c>
      <c r="G3672">
        <v>-271.32060000000001</v>
      </c>
      <c r="H3672" s="1">
        <v>-4.1867360000000002E-6</v>
      </c>
      <c r="I3672">
        <v>141.6463</v>
      </c>
      <c r="J3672">
        <v>-237.9684</v>
      </c>
      <c r="K3672">
        <v>1.1029149999999901</v>
      </c>
      <c r="L3672">
        <v>141.90379999999999</v>
      </c>
      <c r="M3672">
        <v>-0.99985449999999998</v>
      </c>
      <c r="N3672">
        <v>0</v>
      </c>
      <c r="O3672">
        <v>1.6862120000000001E-2</v>
      </c>
      <c r="P3672">
        <v>-0.99883440000000001</v>
      </c>
      <c r="Q3672">
        <v>4.3754029999999999E-2</v>
      </c>
      <c r="R3672">
        <v>-2.038997E-2</v>
      </c>
      <c r="S3672">
        <v>-3.007034</v>
      </c>
      <c r="T3672">
        <v>-9.835708E-2</v>
      </c>
      <c r="U3672">
        <v>-2.23999E-2</v>
      </c>
      <c r="V3672">
        <v>-3.7189720000000002E-2</v>
      </c>
      <c r="W3672">
        <v>4.6399450000000002E-2</v>
      </c>
      <c r="X3672">
        <v>0.99823050000000002</v>
      </c>
      <c r="Y3672">
        <v>-2.4287610000000001E-2</v>
      </c>
      <c r="Z3672">
        <v>-9.4847899999999903E-4</v>
      </c>
      <c r="AA3672">
        <v>0.9997045</v>
      </c>
      <c r="AB3672">
        <v>38</v>
      </c>
      <c r="AC3672">
        <v>-33.352200000000003</v>
      </c>
      <c r="AD3672">
        <v>-1.10291918673599</v>
      </c>
      <c r="AE3672">
        <v>-0.25749999999999301</v>
      </c>
      <c r="AF3672">
        <v>-0.81895853925831597</v>
      </c>
      <c r="AG3672">
        <v>-1.10291918673599</v>
      </c>
      <c r="AH3672">
        <v>33.306695740788498</v>
      </c>
      <c r="AI3672">
        <v>91.896028932192806</v>
      </c>
      <c r="AJ3672">
        <v>91.408528042800995</v>
      </c>
      <c r="AK3672">
        <v>33.335013199201804</v>
      </c>
    </row>
    <row r="3673" spans="1:37" x14ac:dyDescent="0.2">
      <c r="A3673" t="str">
        <f>"20200111153507800"</f>
        <v>20200111153507800</v>
      </c>
      <c r="B3673" t="str">
        <f>"1578728107790049"</f>
        <v>1578728107790049</v>
      </c>
      <c r="C3673" t="s">
        <v>37</v>
      </c>
      <c r="D3673">
        <v>4.860633</v>
      </c>
      <c r="E3673">
        <v>0.50646689999999905</v>
      </c>
      <c r="F3673" t="s">
        <v>39</v>
      </c>
      <c r="G3673">
        <v>-274.43869999999998</v>
      </c>
      <c r="H3673" s="1">
        <v>-2.9291559999999999E-6</v>
      </c>
      <c r="I3673">
        <v>141.72479999999999</v>
      </c>
      <c r="J3673">
        <v>-238.3347</v>
      </c>
      <c r="K3673">
        <v>1.1029500000000001</v>
      </c>
      <c r="L3673">
        <v>141.9102</v>
      </c>
      <c r="M3673">
        <v>-0.99985000000000002</v>
      </c>
      <c r="N3673">
        <v>0</v>
      </c>
      <c r="O3673">
        <v>1.7130699999999999E-2</v>
      </c>
      <c r="P3673">
        <v>-0.99876969999999998</v>
      </c>
      <c r="Q3673">
        <v>4.5698030000000001E-2</v>
      </c>
      <c r="R3673">
        <v>-1.9258979999999998E-2</v>
      </c>
      <c r="S3673">
        <v>-3.0071560000000002</v>
      </c>
      <c r="T3673">
        <v>-9.0941309999999997E-2</v>
      </c>
      <c r="U3673">
        <v>-1.4755249999999999E-2</v>
      </c>
      <c r="V3673">
        <v>-3.6327159999999997E-2</v>
      </c>
      <c r="W3673">
        <v>4.8355130000000003E-2</v>
      </c>
      <c r="X3673">
        <v>0.99816939999999998</v>
      </c>
      <c r="Y3673">
        <v>-2.2018590000000001E-2</v>
      </c>
      <c r="Z3673">
        <v>-8.5078789999999997E-4</v>
      </c>
      <c r="AA3673">
        <v>0.99975720000000001</v>
      </c>
      <c r="AB3673">
        <v>38</v>
      </c>
      <c r="AC3673">
        <v>-36.1039999999999</v>
      </c>
      <c r="AD3673">
        <v>-1.1029529291560001</v>
      </c>
      <c r="AE3673">
        <v>-0.185400000000015</v>
      </c>
      <c r="AF3673">
        <v>-0.80311210824621304</v>
      </c>
      <c r="AG3673">
        <v>-1.1029529291560001</v>
      </c>
      <c r="AH3673">
        <v>36.061871712418203</v>
      </c>
      <c r="AI3673">
        <v>91.751412227767304</v>
      </c>
      <c r="AJ3673">
        <v>91.275788721083103</v>
      </c>
      <c r="AK3673">
        <v>36.087672211231002</v>
      </c>
    </row>
    <row r="3674" spans="1:37" x14ac:dyDescent="0.2">
      <c r="A3674" t="str">
        <f>"20200111153507824"</f>
        <v>20200111153507824</v>
      </c>
      <c r="B3674" t="str">
        <f>"1578728107819329"</f>
        <v>1578728107819329</v>
      </c>
      <c r="C3674" t="s">
        <v>37</v>
      </c>
      <c r="D3674">
        <v>4.8264420000000001</v>
      </c>
      <c r="E3674">
        <v>0.50711139999999999</v>
      </c>
      <c r="F3674" t="s">
        <v>39</v>
      </c>
      <c r="G3674">
        <v>-278.3365</v>
      </c>
      <c r="H3674" s="1">
        <v>-1.279553E-6</v>
      </c>
      <c r="I3674">
        <v>141.80940000000001</v>
      </c>
      <c r="J3674">
        <v>-238.7313</v>
      </c>
      <c r="K3674">
        <v>1.1029819999999999</v>
      </c>
      <c r="L3674">
        <v>141.91720000000001</v>
      </c>
      <c r="M3674">
        <v>-0.99984549999999905</v>
      </c>
      <c r="N3674">
        <v>0</v>
      </c>
      <c r="O3674">
        <v>1.738717E-2</v>
      </c>
      <c r="P3674">
        <v>-0.99870419999999904</v>
      </c>
      <c r="Q3674">
        <v>4.748815E-2</v>
      </c>
      <c r="R3674">
        <v>-1.8305149999999999E-2</v>
      </c>
      <c r="S3674">
        <v>-3.0073240000000001</v>
      </c>
      <c r="T3674">
        <v>-8.2919839999999995E-2</v>
      </c>
      <c r="U3674">
        <v>-7.5683590000000002E-3</v>
      </c>
      <c r="V3674">
        <v>-3.5629559999999998E-2</v>
      </c>
      <c r="W3674">
        <v>5.0158250000000001E-2</v>
      </c>
      <c r="X3674">
        <v>0.99810549999999998</v>
      </c>
      <c r="Y3674">
        <v>-1.9889250000000001E-2</v>
      </c>
      <c r="Z3674">
        <v>-7.5345109999999996E-4</v>
      </c>
      <c r="AA3674">
        <v>0.99980190000000002</v>
      </c>
      <c r="AB3674">
        <v>38</v>
      </c>
      <c r="AC3674">
        <v>-39.605200000000004</v>
      </c>
      <c r="AD3674">
        <v>-1.1029832795529999</v>
      </c>
      <c r="AE3674">
        <v>-0.107799999999997</v>
      </c>
      <c r="AF3674">
        <v>-0.79579113837134796</v>
      </c>
      <c r="AG3674">
        <v>-1.1029832795529999</v>
      </c>
      <c r="AH3674">
        <v>39.566651208566</v>
      </c>
      <c r="AI3674">
        <v>91.596474661984402</v>
      </c>
      <c r="AJ3674">
        <v>91.152215959999296</v>
      </c>
      <c r="AK3674">
        <v>39.5900207566402</v>
      </c>
    </row>
    <row r="3675" spans="1:37" x14ac:dyDescent="0.2">
      <c r="A3675" t="str">
        <f>"20200111153507846"</f>
        <v>20200111153507846</v>
      </c>
      <c r="B3675" t="str">
        <f>"1578728107839825"</f>
        <v>1578728107839825</v>
      </c>
      <c r="C3675" t="s">
        <v>37</v>
      </c>
      <c r="D3675">
        <v>4.7942</v>
      </c>
      <c r="E3675">
        <v>0.50752739999999996</v>
      </c>
      <c r="F3675" t="s">
        <v>51</v>
      </c>
      <c r="G3675">
        <v>-283.32080000000002</v>
      </c>
      <c r="H3675" s="1">
        <v>-5.8360490000000004E-6</v>
      </c>
      <c r="I3675">
        <v>141.9212</v>
      </c>
      <c r="J3675">
        <v>-239.11949999999999</v>
      </c>
      <c r="K3675">
        <v>1.103</v>
      </c>
      <c r="L3675">
        <v>141.92410000000001</v>
      </c>
      <c r="M3675">
        <v>-0.999841599999999</v>
      </c>
      <c r="N3675">
        <v>0</v>
      </c>
      <c r="O3675">
        <v>1.7606799999999999E-2</v>
      </c>
      <c r="P3675">
        <v>-0.9986564</v>
      </c>
      <c r="Q3675">
        <v>4.881224E-2</v>
      </c>
      <c r="R3675">
        <v>-1.7415710000000001E-2</v>
      </c>
      <c r="S3675">
        <v>-3.0074160000000001</v>
      </c>
      <c r="T3675">
        <v>-7.4392799999999995E-2</v>
      </c>
      <c r="U3675">
        <v>2.7465820000000001E-4</v>
      </c>
      <c r="V3675">
        <v>-3.4960850000000002E-2</v>
      </c>
      <c r="W3675">
        <v>5.1495480000000003E-2</v>
      </c>
      <c r="X3675">
        <v>0.99806109999999904</v>
      </c>
      <c r="Y3675">
        <v>-1.7504809999999999E-2</v>
      </c>
      <c r="Z3675">
        <v>-6.5191789999999999E-4</v>
      </c>
      <c r="AA3675">
        <v>0.99984660000000003</v>
      </c>
      <c r="AB3675">
        <v>38</v>
      </c>
      <c r="AC3675">
        <v>-44.201300000000003</v>
      </c>
      <c r="AD3675">
        <v>-1.103005836049</v>
      </c>
      <c r="AE3675">
        <v>-2.9000000000110001E-3</v>
      </c>
      <c r="AF3675">
        <v>-0.78065951167025505</v>
      </c>
      <c r="AG3675">
        <v>-1.103005836049</v>
      </c>
      <c r="AH3675">
        <v>44.166894027073504</v>
      </c>
      <c r="AI3675">
        <v>91.430360538387205</v>
      </c>
      <c r="AJ3675">
        <v>91.012609991875706</v>
      </c>
      <c r="AK3675">
        <v>44.187561362291298</v>
      </c>
    </row>
    <row r="3676" spans="1:37" x14ac:dyDescent="0.2">
      <c r="A3676" t="str">
        <f>"20200111153507869"</f>
        <v>20200111153507869</v>
      </c>
      <c r="B3676" t="str">
        <f>"1578728107859345"</f>
        <v>1578728107859345</v>
      </c>
      <c r="C3676" t="s">
        <v>37</v>
      </c>
      <c r="D3676">
        <v>4.8460609999999997</v>
      </c>
      <c r="E3676">
        <v>0.50799189999999905</v>
      </c>
      <c r="F3676" t="s">
        <v>51</v>
      </c>
      <c r="G3676">
        <v>-286.90690000000001</v>
      </c>
      <c r="H3676" s="1">
        <v>-7.8074290000000002E-6</v>
      </c>
      <c r="I3676">
        <v>142.0204</v>
      </c>
      <c r="J3676">
        <v>-239.52080000000001</v>
      </c>
      <c r="K3676">
        <v>1.1030199999999999</v>
      </c>
      <c r="L3676">
        <v>141.93129999999999</v>
      </c>
      <c r="M3676">
        <v>-0.99983799999999901</v>
      </c>
      <c r="N3676">
        <v>0</v>
      </c>
      <c r="O3676">
        <v>1.780205E-2</v>
      </c>
      <c r="P3676">
        <v>-0.99866350000000004</v>
      </c>
      <c r="Q3676">
        <v>4.8970649999999998E-2</v>
      </c>
      <c r="R3676">
        <v>-1.6536760000000001E-2</v>
      </c>
      <c r="S3676">
        <v>-3.0075229999999999</v>
      </c>
      <c r="T3676">
        <v>-6.9418309999999997E-2</v>
      </c>
      <c r="U3676">
        <v>6.0577390000000004E-3</v>
      </c>
      <c r="V3676">
        <v>-3.4279980000000002E-2</v>
      </c>
      <c r="W3676">
        <v>5.166834E-2</v>
      </c>
      <c r="X3676">
        <v>0.99807579999999996</v>
      </c>
      <c r="Y3676">
        <v>-1.577926E-2</v>
      </c>
      <c r="Z3676">
        <v>-5.9290790000000003E-4</v>
      </c>
      <c r="AA3676">
        <v>0.99987530000000002</v>
      </c>
      <c r="AB3676">
        <v>39</v>
      </c>
      <c r="AC3676">
        <v>-47.386099999999999</v>
      </c>
      <c r="AD3676">
        <v>-1.1030278074290001</v>
      </c>
      <c r="AE3676">
        <v>8.91000000000019E-2</v>
      </c>
      <c r="AF3676">
        <v>-0.75407823110424499</v>
      </c>
      <c r="AG3676">
        <v>-1.1030278074290001</v>
      </c>
      <c r="AH3676">
        <v>47.354518407859103</v>
      </c>
      <c r="AI3676">
        <v>91.334179020152206</v>
      </c>
      <c r="AJ3676">
        <v>90.912306789267106</v>
      </c>
      <c r="AK3676">
        <v>47.373365069022199</v>
      </c>
    </row>
    <row r="3677" spans="1:37" x14ac:dyDescent="0.2">
      <c r="A3677" t="str">
        <f>"20200111153507890"</f>
        <v>20200111153507890</v>
      </c>
      <c r="B3677" t="str">
        <f>"1578728107879841"</f>
        <v>1578728107879841</v>
      </c>
      <c r="C3677" t="s">
        <v>37</v>
      </c>
      <c r="D3677">
        <v>4.8265560000000001</v>
      </c>
      <c r="E3677">
        <v>0.5083995</v>
      </c>
      <c r="F3677" t="s">
        <v>51</v>
      </c>
      <c r="G3677">
        <v>-287.55470000000003</v>
      </c>
      <c r="H3677" s="1">
        <v>-8.2469000000000006E-6</v>
      </c>
      <c r="I3677">
        <v>142.13210000000001</v>
      </c>
      <c r="J3677">
        <v>-239.89709999999999</v>
      </c>
      <c r="K3677">
        <v>1.1030279999999999</v>
      </c>
      <c r="L3677">
        <v>141.93809999999999</v>
      </c>
      <c r="M3677">
        <v>-0.99983519999999904</v>
      </c>
      <c r="N3677">
        <v>0</v>
      </c>
      <c r="O3677">
        <v>1.795623E-2</v>
      </c>
      <c r="P3677">
        <v>-0.99870179999999997</v>
      </c>
      <c r="Q3677">
        <v>4.8401529999999998E-2</v>
      </c>
      <c r="R3677">
        <v>-1.5879270000000001E-2</v>
      </c>
      <c r="S3677">
        <v>-3.0076290000000001</v>
      </c>
      <c r="T3677">
        <v>-6.9065689999999999E-2</v>
      </c>
      <c r="U3677">
        <v>1.2573239999999999E-2</v>
      </c>
      <c r="V3677">
        <v>-3.3780280000000003E-2</v>
      </c>
      <c r="W3677">
        <v>5.111309E-2</v>
      </c>
      <c r="X3677">
        <v>0.99812140000000005</v>
      </c>
      <c r="Y3677">
        <v>-1.376804E-2</v>
      </c>
      <c r="Z3677">
        <v>-5.7032250000000001E-4</v>
      </c>
      <c r="AA3677">
        <v>0.99990499999999904</v>
      </c>
      <c r="AB3677">
        <v>39</v>
      </c>
      <c r="AC3677">
        <v>-47.657600000000002</v>
      </c>
      <c r="AD3677">
        <v>-1.1030362468999999</v>
      </c>
      <c r="AE3677">
        <v>0.19400000000001599</v>
      </c>
      <c r="AF3677">
        <v>-0.66143084542436203</v>
      </c>
      <c r="AG3677">
        <v>-1.1030362468999999</v>
      </c>
      <c r="AH3677">
        <v>47.627886358274502</v>
      </c>
      <c r="AI3677">
        <v>91.326574421662897</v>
      </c>
      <c r="AJ3677">
        <v>90.795642275031099</v>
      </c>
      <c r="AK3677">
        <v>47.645248857383102</v>
      </c>
    </row>
    <row r="3678" spans="1:37" x14ac:dyDescent="0.2">
      <c r="A3678" t="str">
        <f>"20200111153507913"</f>
        <v>20200111153507913</v>
      </c>
      <c r="B3678" t="str">
        <f>"1578728107899360"</f>
        <v>1578728107899360</v>
      </c>
      <c r="C3678" t="s">
        <v>37</v>
      </c>
      <c r="D3678">
        <v>4.8179410000000003</v>
      </c>
      <c r="E3678">
        <v>0.50880069999999999</v>
      </c>
      <c r="F3678" t="s">
        <v>51</v>
      </c>
      <c r="G3678">
        <v>-286.38810000000001</v>
      </c>
      <c r="H3678" s="1">
        <v>-7.5469039999999998E-6</v>
      </c>
      <c r="I3678">
        <v>142.21340000000001</v>
      </c>
      <c r="J3678">
        <v>-240.274</v>
      </c>
      <c r="K3678">
        <v>1.1030389999999901</v>
      </c>
      <c r="L3678">
        <v>141.94499999999999</v>
      </c>
      <c r="M3678">
        <v>-0.99983299999999997</v>
      </c>
      <c r="N3678">
        <v>0</v>
      </c>
      <c r="O3678">
        <v>1.8077269999999999E-2</v>
      </c>
      <c r="P3678">
        <v>-0.99876119999999902</v>
      </c>
      <c r="Q3678">
        <v>4.7490199999999899E-2</v>
      </c>
      <c r="R3678">
        <v>-1.486898E-2</v>
      </c>
      <c r="S3678">
        <v>-3.00766</v>
      </c>
      <c r="T3678">
        <v>-7.1359160000000005E-2</v>
      </c>
      <c r="U3678">
        <v>1.7807010000000002E-2</v>
      </c>
      <c r="V3678">
        <v>-3.2896040000000001E-2</v>
      </c>
      <c r="W3678">
        <v>5.02154E-2</v>
      </c>
      <c r="X3678">
        <v>0.99819650000000004</v>
      </c>
      <c r="Y3678">
        <v>-1.214903E-2</v>
      </c>
      <c r="Z3678">
        <v>-5.7291320000000005E-4</v>
      </c>
      <c r="AA3678">
        <v>0.99992599999999998</v>
      </c>
      <c r="AB3678">
        <v>39</v>
      </c>
      <c r="AC3678">
        <v>-46.114100000000001</v>
      </c>
      <c r="AD3678">
        <v>-1.1030465469039901</v>
      </c>
      <c r="AE3678">
        <v>0.26840000000001302</v>
      </c>
      <c r="AF3678">
        <v>-0.56494066233927098</v>
      </c>
      <c r="AG3678">
        <v>-1.1030465469039901</v>
      </c>
      <c r="AH3678">
        <v>46.085049233567098</v>
      </c>
      <c r="AI3678">
        <v>91.371010832382794</v>
      </c>
      <c r="AJ3678">
        <v>90.702333943726202</v>
      </c>
      <c r="AK3678">
        <v>46.101709648308102</v>
      </c>
    </row>
    <row r="3679" spans="1:37" x14ac:dyDescent="0.2">
      <c r="A3679" t="str">
        <f>"20200111153507935"</f>
        <v>20200111153507935</v>
      </c>
      <c r="B3679" t="str">
        <f>"1578728107929616"</f>
        <v>1578728107929616</v>
      </c>
      <c r="C3679" t="s">
        <v>37</v>
      </c>
      <c r="D3679">
        <v>4.789587</v>
      </c>
      <c r="E3679">
        <v>0.50929329999999995</v>
      </c>
      <c r="F3679" t="s">
        <v>51</v>
      </c>
      <c r="G3679">
        <v>-284.5181</v>
      </c>
      <c r="H3679" s="1">
        <v>-6.488423E-6</v>
      </c>
      <c r="I3679">
        <v>142.29650000000001</v>
      </c>
      <c r="J3679">
        <v>-240.67769999999999</v>
      </c>
      <c r="K3679">
        <v>1.1030580000000001</v>
      </c>
      <c r="L3679">
        <v>141.95240000000001</v>
      </c>
      <c r="M3679">
        <v>-0.99983120000000003</v>
      </c>
      <c r="N3679">
        <v>0</v>
      </c>
      <c r="O3679">
        <v>1.8170499999999999E-2</v>
      </c>
      <c r="P3679">
        <v>-0.99883099999999903</v>
      </c>
      <c r="Q3679">
        <v>4.6152440000000003E-2</v>
      </c>
      <c r="R3679">
        <v>-1.4377590000000001E-2</v>
      </c>
      <c r="S3679">
        <v>-3.0076450000000001</v>
      </c>
      <c r="T3679">
        <v>-7.4983359999999999E-2</v>
      </c>
      <c r="U3679">
        <v>2.3895260000000001E-2</v>
      </c>
      <c r="V3679">
        <v>-3.2503110000000002E-2</v>
      </c>
      <c r="W3679">
        <v>4.8892369999999997E-2</v>
      </c>
      <c r="X3679">
        <v>0.99827500000000002</v>
      </c>
      <c r="Y3679">
        <v>-1.02179E-2</v>
      </c>
      <c r="Z3679">
        <v>-5.8025379999999895E-4</v>
      </c>
      <c r="AA3679">
        <v>0.99994760000000005</v>
      </c>
      <c r="AB3679">
        <v>39</v>
      </c>
      <c r="AC3679">
        <v>-43.840400000000002</v>
      </c>
      <c r="AD3679">
        <v>-1.1030644884230001</v>
      </c>
      <c r="AE3679">
        <v>0.34409999999999702</v>
      </c>
      <c r="AF3679">
        <v>-0.45227544269202802</v>
      </c>
      <c r="AG3679">
        <v>-1.1030644884230001</v>
      </c>
      <c r="AH3679">
        <v>43.811680293539602</v>
      </c>
      <c r="AI3679">
        <v>91.442177628947306</v>
      </c>
      <c r="AJ3679">
        <v>90.591453087727203</v>
      </c>
      <c r="AK3679">
        <v>43.827897901736101</v>
      </c>
    </row>
    <row r="3680" spans="1:37" x14ac:dyDescent="0.2">
      <c r="A3680" t="str">
        <f>"20200111153507958"</f>
        <v>20200111153507958</v>
      </c>
      <c r="B3680" t="str">
        <f>"1578728107949146"</f>
        <v>1578728107949146</v>
      </c>
      <c r="C3680" t="s">
        <v>37</v>
      </c>
      <c r="D3680">
        <v>4.803553</v>
      </c>
      <c r="E3680">
        <v>0.50959279999999996</v>
      </c>
      <c r="F3680" t="s">
        <v>51</v>
      </c>
      <c r="G3680">
        <v>-282.24689999999998</v>
      </c>
      <c r="H3680" s="1">
        <v>-5.5009589999999999E-6</v>
      </c>
      <c r="I3680">
        <v>142.35749999999999</v>
      </c>
      <c r="J3680">
        <v>-241.09479999999999</v>
      </c>
      <c r="K3680">
        <v>1.103081</v>
      </c>
      <c r="L3680">
        <v>141.96</v>
      </c>
      <c r="M3680">
        <v>-0.99983029999999995</v>
      </c>
      <c r="N3680">
        <v>0</v>
      </c>
      <c r="O3680">
        <v>1.8221040000000001E-2</v>
      </c>
      <c r="P3680">
        <v>-0.99886580000000003</v>
      </c>
      <c r="Q3680">
        <v>4.548895E-2</v>
      </c>
      <c r="R3680">
        <v>-1.408264E-2</v>
      </c>
      <c r="S3680">
        <v>-3.0076139999999998</v>
      </c>
      <c r="T3680">
        <v>-7.9808950000000003E-2</v>
      </c>
      <c r="U3680">
        <v>2.9312129999999999E-2</v>
      </c>
      <c r="V3680">
        <v>-3.2264220000000003E-2</v>
      </c>
      <c r="W3680">
        <v>4.8243689999999999E-2</v>
      </c>
      <c r="X3680">
        <v>0.99831440000000005</v>
      </c>
      <c r="Y3680">
        <v>-8.4669510000000003E-3</v>
      </c>
      <c r="Z3680">
        <v>-5.9569669999999996E-4</v>
      </c>
      <c r="AA3680">
        <v>0.99996399999999996</v>
      </c>
      <c r="AB3680">
        <v>39</v>
      </c>
      <c r="AC3680">
        <v>-41.152099999999898</v>
      </c>
      <c r="AD3680">
        <v>-1.1030865009590001</v>
      </c>
      <c r="AE3680">
        <v>0.39749999999997898</v>
      </c>
      <c r="AF3680">
        <v>-0.35214981273545598</v>
      </c>
      <c r="AG3680">
        <v>-1.1030865009590001</v>
      </c>
      <c r="AH3680">
        <v>41.122966230805901</v>
      </c>
      <c r="AI3680">
        <v>91.536482872278199</v>
      </c>
      <c r="AJ3680">
        <v>90.490631068386406</v>
      </c>
      <c r="AK3680">
        <v>41.139265439956603</v>
      </c>
    </row>
    <row r="3681" spans="1:37" x14ac:dyDescent="0.2">
      <c r="A3681" t="str">
        <f>"20200111153507981"</f>
        <v>20200111153507981</v>
      </c>
      <c r="B3681" t="str">
        <f>"1578728107969645"</f>
        <v>1578728107969645</v>
      </c>
      <c r="C3681" t="s">
        <v>37</v>
      </c>
      <c r="D3681">
        <v>4.8175679999999996</v>
      </c>
      <c r="E3681">
        <v>0.50980439999999905</v>
      </c>
      <c r="F3681" t="s">
        <v>51</v>
      </c>
      <c r="G3681">
        <v>-281.23239999999998</v>
      </c>
      <c r="H3681" s="1">
        <v>-5.0632150000000003E-6</v>
      </c>
      <c r="I3681">
        <v>142.39500000000001</v>
      </c>
      <c r="J3681">
        <v>-241.4744</v>
      </c>
      <c r="K3681">
        <v>1.103111</v>
      </c>
      <c r="L3681">
        <v>141.96690000000001</v>
      </c>
      <c r="M3681">
        <v>-0.99983069999999896</v>
      </c>
      <c r="N3681">
        <v>0</v>
      </c>
      <c r="O3681">
        <v>1.8196790000000001E-2</v>
      </c>
      <c r="P3681">
        <v>-0.99892639999999999</v>
      </c>
      <c r="Q3681">
        <v>4.4264909999999998E-2</v>
      </c>
      <c r="R3681">
        <v>-1.366699E-2</v>
      </c>
      <c r="S3681">
        <v>-3.0076139999999998</v>
      </c>
      <c r="T3681">
        <v>-8.2656980000000005E-2</v>
      </c>
      <c r="U3681">
        <v>3.259277E-2</v>
      </c>
      <c r="V3681">
        <v>-3.1831440000000003E-2</v>
      </c>
      <c r="W3681">
        <v>4.703152E-2</v>
      </c>
      <c r="X3681">
        <v>0.99838609999999905</v>
      </c>
      <c r="Y3681">
        <v>-7.3518200000000002E-3</v>
      </c>
      <c r="Z3681">
        <v>-6.009559E-4</v>
      </c>
      <c r="AA3681">
        <v>0.9999728</v>
      </c>
      <c r="AB3681">
        <v>39</v>
      </c>
      <c r="AC3681">
        <v>-39.757999999999903</v>
      </c>
      <c r="AD3681">
        <v>-1.1031160632150001</v>
      </c>
      <c r="AE3681">
        <v>0.42809999999999998</v>
      </c>
      <c r="AF3681">
        <v>-0.29521431668140002</v>
      </c>
      <c r="AG3681">
        <v>-1.1031160632150001</v>
      </c>
      <c r="AH3681">
        <v>39.728626444171503</v>
      </c>
      <c r="AI3681">
        <v>91.590437970906294</v>
      </c>
      <c r="AJ3681">
        <v>90.425743968574395</v>
      </c>
      <c r="AK3681">
        <v>39.745034604113997</v>
      </c>
    </row>
    <row r="3682" spans="1:37" x14ac:dyDescent="0.2">
      <c r="A3682" t="str">
        <f>"20200111153508001"</f>
        <v>20200111153508001</v>
      </c>
      <c r="B3682" t="str">
        <f>"1578728107989152"</f>
        <v>1578728107989152</v>
      </c>
      <c r="C3682" t="s">
        <v>37</v>
      </c>
      <c r="D3682">
        <v>4.7949089999999996</v>
      </c>
      <c r="E3682">
        <v>0.5099475</v>
      </c>
      <c r="F3682" t="s">
        <v>39</v>
      </c>
      <c r="G3682">
        <v>-279.71730000000002</v>
      </c>
      <c r="H3682" s="1">
        <v>-8.490959E-7</v>
      </c>
      <c r="I3682">
        <v>142.4179</v>
      </c>
      <c r="J3682">
        <v>-241.85820000000001</v>
      </c>
      <c r="K3682">
        <v>1.1031610000000001</v>
      </c>
      <c r="L3682">
        <v>141.97380000000001</v>
      </c>
      <c r="M3682">
        <v>-0.99983259999999996</v>
      </c>
      <c r="N3682">
        <v>0</v>
      </c>
      <c r="O3682">
        <v>1.808879E-2</v>
      </c>
      <c r="P3682">
        <v>-0.99900440000000001</v>
      </c>
      <c r="Q3682">
        <v>4.245616E-2</v>
      </c>
      <c r="R3682">
        <v>-1.3701369999999999E-2</v>
      </c>
      <c r="S3682">
        <v>-3.007568</v>
      </c>
      <c r="T3682">
        <v>-8.6753129999999998E-2</v>
      </c>
      <c r="U3682">
        <v>3.5476679999999997E-2</v>
      </c>
      <c r="V3682">
        <v>-3.1767429999999999E-2</v>
      </c>
      <c r="W3682">
        <v>4.5234799999999999E-2</v>
      </c>
      <c r="X3682">
        <v>0.99847109999999994</v>
      </c>
      <c r="Y3682">
        <v>-6.284413E-3</v>
      </c>
      <c r="Z3682">
        <v>-6.1222499999999999E-4</v>
      </c>
      <c r="AA3682">
        <v>0.99998009999999904</v>
      </c>
      <c r="AB3682">
        <v>40</v>
      </c>
      <c r="AC3682">
        <v>-37.859099999999998</v>
      </c>
      <c r="AD3682">
        <v>-1.1031618490959001</v>
      </c>
      <c r="AE3682">
        <v>0.444099999999991</v>
      </c>
      <c r="AF3682">
        <v>-0.240596310607915</v>
      </c>
      <c r="AG3682">
        <v>-1.1031618490959001</v>
      </c>
      <c r="AH3682">
        <v>37.828824390956697</v>
      </c>
      <c r="AI3682">
        <v>91.670348831239195</v>
      </c>
      <c r="AJ3682">
        <v>90.364403798294504</v>
      </c>
      <c r="AK3682">
        <v>37.845670920883599</v>
      </c>
    </row>
    <row r="3683" spans="1:37" x14ac:dyDescent="0.2">
      <c r="A3683" t="str">
        <f>"20200111153508016"</f>
        <v>20200111153508016</v>
      </c>
      <c r="B3683" t="str">
        <f>"1578728108009648"</f>
        <v>1578728108009648</v>
      </c>
      <c r="C3683" t="s">
        <v>37</v>
      </c>
      <c r="D3683">
        <v>4.8076980000000002</v>
      </c>
      <c r="E3683">
        <v>0.51008310000000001</v>
      </c>
      <c r="F3683" t="s">
        <v>39</v>
      </c>
      <c r="G3683">
        <v>-277.74459999999999</v>
      </c>
      <c r="H3683" s="1">
        <v>-1.6937500000000001E-6</v>
      </c>
      <c r="I3683">
        <v>142.4118</v>
      </c>
      <c r="J3683">
        <v>-242.1199</v>
      </c>
      <c r="K3683">
        <v>1.1032</v>
      </c>
      <c r="L3683">
        <v>141.9785</v>
      </c>
      <c r="M3683">
        <v>-0.99983449999999996</v>
      </c>
      <c r="N3683">
        <v>0</v>
      </c>
      <c r="O3683">
        <v>1.797286E-2</v>
      </c>
      <c r="P3683">
        <v>-0.99903869999999895</v>
      </c>
      <c r="Q3683">
        <v>4.1532289999999999E-2</v>
      </c>
      <c r="R3683">
        <v>-1.40404E-2</v>
      </c>
      <c r="S3683">
        <v>-3.007431</v>
      </c>
      <c r="T3683">
        <v>-9.2449899999999904E-2</v>
      </c>
      <c r="U3683">
        <v>3.6712649999999999E-2</v>
      </c>
      <c r="V3683">
        <v>-3.1995370000000002E-2</v>
      </c>
      <c r="W3683">
        <v>4.431877E-2</v>
      </c>
      <c r="X3683">
        <v>0.99850490000000003</v>
      </c>
      <c r="Y3683">
        <v>-5.7559589999999997E-3</v>
      </c>
      <c r="Z3683">
        <v>-6.4075470000000002E-4</v>
      </c>
      <c r="AA3683">
        <v>0.99998330000000002</v>
      </c>
      <c r="AB3683">
        <v>40</v>
      </c>
      <c r="AC3683">
        <v>-35.624699999999898</v>
      </c>
      <c r="AD3683">
        <v>-1.10320169375</v>
      </c>
      <c r="AE3683">
        <v>0.43330000000000202</v>
      </c>
      <c r="AF3683">
        <v>-0.206851943148881</v>
      </c>
      <c r="AG3683">
        <v>-1.10320169375</v>
      </c>
      <c r="AH3683">
        <v>35.592605969291299</v>
      </c>
      <c r="AI3683">
        <v>91.775298629153298</v>
      </c>
      <c r="AJ3683">
        <v>90.332979549382998</v>
      </c>
      <c r="AK3683">
        <v>35.610299653172099</v>
      </c>
    </row>
    <row r="3684" spans="1:37" x14ac:dyDescent="0.2">
      <c r="A3684" t="str">
        <f>"20200111153508036"</f>
        <v>20200111153508036</v>
      </c>
      <c r="B3684" t="str">
        <f>"1578728108029168"</f>
        <v>1578728108029168</v>
      </c>
      <c r="C3684" t="s">
        <v>37</v>
      </c>
      <c r="D3684">
        <v>4.8299129999999897</v>
      </c>
      <c r="E3684">
        <v>0.51017330000000005</v>
      </c>
      <c r="F3684" t="s">
        <v>39</v>
      </c>
      <c r="G3684">
        <v>-276.90460000000002</v>
      </c>
      <c r="H3684" s="1">
        <v>-2.05182899999999E-6</v>
      </c>
      <c r="I3684">
        <v>142.4032</v>
      </c>
      <c r="J3684">
        <v>-242.4768</v>
      </c>
      <c r="K3684">
        <v>1.103261</v>
      </c>
      <c r="L3684">
        <v>141.98480000000001</v>
      </c>
      <c r="M3684">
        <v>-0.99983849999999996</v>
      </c>
      <c r="N3684">
        <v>0</v>
      </c>
      <c r="O3684">
        <v>1.774937E-2</v>
      </c>
      <c r="P3684">
        <v>-0.99908819999999998</v>
      </c>
      <c r="Q3684">
        <v>4.0005979999999997E-2</v>
      </c>
      <c r="R3684">
        <v>-1.492049E-2</v>
      </c>
      <c r="S3684">
        <v>-3.007355</v>
      </c>
      <c r="T3684">
        <v>-9.5378879999999999E-2</v>
      </c>
      <c r="U3684">
        <v>3.6727910000000002E-2</v>
      </c>
      <c r="V3684">
        <v>-3.2660769999999999E-2</v>
      </c>
      <c r="W3684">
        <v>4.2802430000000002E-2</v>
      </c>
      <c r="X3684">
        <v>0.99854959999999904</v>
      </c>
      <c r="Y3684">
        <v>-5.5265560000000002E-3</v>
      </c>
      <c r="Z3684">
        <v>-6.5033989999999998E-4</v>
      </c>
      <c r="AA3684">
        <v>0.99998449999999905</v>
      </c>
      <c r="AB3684">
        <v>40</v>
      </c>
      <c r="AC3684">
        <v>-34.427799999999998</v>
      </c>
      <c r="AD3684">
        <v>-1.1032630518290001</v>
      </c>
      <c r="AE3684">
        <v>0.418399999999991</v>
      </c>
      <c r="AF3684">
        <v>-0.192542398862524</v>
      </c>
      <c r="AG3684">
        <v>-1.1032630518290001</v>
      </c>
      <c r="AH3684">
        <v>34.394487411728697</v>
      </c>
      <c r="AI3684">
        <v>91.837203144141498</v>
      </c>
      <c r="AJ3684">
        <v>90.320741852098706</v>
      </c>
      <c r="AK3684">
        <v>34.412716054569898</v>
      </c>
    </row>
    <row r="3685" spans="1:37" x14ac:dyDescent="0.2">
      <c r="A3685" t="str">
        <f>"20200111153508060"</f>
        <v>20200111153508060</v>
      </c>
      <c r="B3685" t="str">
        <f>"1578728108049667"</f>
        <v>1578728108049667</v>
      </c>
      <c r="C3685" t="s">
        <v>37</v>
      </c>
      <c r="D3685">
        <v>4.8286530000000001</v>
      </c>
      <c r="E3685">
        <v>0.51028149999999906</v>
      </c>
      <c r="F3685" t="s">
        <v>39</v>
      </c>
      <c r="G3685">
        <v>-275.69670000000002</v>
      </c>
      <c r="H3685" s="1">
        <v>-2.5614900000000001E-6</v>
      </c>
      <c r="I3685">
        <v>142.37119999999999</v>
      </c>
      <c r="J3685">
        <v>-242.89769999999999</v>
      </c>
      <c r="K3685">
        <v>1.1033520000000001</v>
      </c>
      <c r="L3685">
        <v>141.99199999999999</v>
      </c>
      <c r="M3685">
        <v>-0.99984519999999899</v>
      </c>
      <c r="N3685">
        <v>0</v>
      </c>
      <c r="O3685">
        <v>1.7371669999999999E-2</v>
      </c>
      <c r="P3685">
        <v>-0.99909219999999899</v>
      </c>
      <c r="Q3685">
        <v>3.9608119999999997E-2</v>
      </c>
      <c r="R3685">
        <v>-1.5693889999999999E-2</v>
      </c>
      <c r="S3685">
        <v>-3.007263</v>
      </c>
      <c r="T3685">
        <v>-9.9874260000000006E-2</v>
      </c>
      <c r="U3685">
        <v>3.4988400000000003E-2</v>
      </c>
      <c r="V3685">
        <v>-3.3066980000000003E-2</v>
      </c>
      <c r="W3685">
        <v>4.2415590000000003E-2</v>
      </c>
      <c r="X3685">
        <v>0.99855269999999996</v>
      </c>
      <c r="Y3685">
        <v>-5.72574E-3</v>
      </c>
      <c r="Z3685">
        <v>-6.717677E-4</v>
      </c>
      <c r="AA3685">
        <v>0.99998339999999997</v>
      </c>
      <c r="AB3685">
        <v>40</v>
      </c>
      <c r="AC3685">
        <v>-32.798999999999999</v>
      </c>
      <c r="AD3685">
        <v>-1.10335456149</v>
      </c>
      <c r="AE3685">
        <v>0.37919999999996801</v>
      </c>
      <c r="AF3685">
        <v>-0.190417392582442</v>
      </c>
      <c r="AG3685">
        <v>-1.10335456149</v>
      </c>
      <c r="AH3685">
        <v>32.763566326860797</v>
      </c>
      <c r="AI3685">
        <v>91.928746422418399</v>
      </c>
      <c r="AJ3685">
        <v>90.3329915307378</v>
      </c>
      <c r="AK3685">
        <v>32.782692514898201</v>
      </c>
    </row>
    <row r="3686" spans="1:37" x14ac:dyDescent="0.2">
      <c r="A3686" t="str">
        <f>"20200111153508080"</f>
        <v>20200111153508080</v>
      </c>
      <c r="B3686" t="str">
        <f>"1578728108069694"</f>
        <v>1578728108069694</v>
      </c>
      <c r="C3686" t="s">
        <v>37</v>
      </c>
      <c r="D3686">
        <v>4.8394830000000004</v>
      </c>
      <c r="E3686">
        <v>0.51035989999999998</v>
      </c>
      <c r="F3686" t="s">
        <v>39</v>
      </c>
      <c r="G3686">
        <v>-275.96440000000001</v>
      </c>
      <c r="H3686" s="1">
        <v>-2.44401399999999E-6</v>
      </c>
      <c r="I3686">
        <v>142.3614</v>
      </c>
      <c r="J3686">
        <v>-243.28030000000001</v>
      </c>
      <c r="K3686">
        <v>1.103451</v>
      </c>
      <c r="L3686">
        <v>141.9983</v>
      </c>
      <c r="M3686">
        <v>-0.99985299999999999</v>
      </c>
      <c r="N3686">
        <v>0</v>
      </c>
      <c r="O3686">
        <v>1.6904579999999999E-2</v>
      </c>
      <c r="P3686">
        <v>-0.99906899999999998</v>
      </c>
      <c r="Q3686">
        <v>3.9797600000000002E-2</v>
      </c>
      <c r="R3686">
        <v>-1.6652630000000002E-2</v>
      </c>
      <c r="S3686">
        <v>-3.0072329999999998</v>
      </c>
      <c r="T3686">
        <v>-0.10034410000000001</v>
      </c>
      <c r="U3686">
        <v>3.3599850000000001E-2</v>
      </c>
      <c r="V3686">
        <v>-3.356903E-2</v>
      </c>
      <c r="W3686">
        <v>4.2614730000000003E-2</v>
      </c>
      <c r="X3686">
        <v>0.99852750000000001</v>
      </c>
      <c r="Y3686">
        <v>-5.7202879999999996E-3</v>
      </c>
      <c r="Z3686">
        <v>-6.5926600000000004E-4</v>
      </c>
      <c r="AA3686">
        <v>0.99998339999999997</v>
      </c>
      <c r="AB3686">
        <v>40</v>
      </c>
      <c r="AC3686">
        <v>-32.684100000000001</v>
      </c>
      <c r="AD3686">
        <v>-1.103453444014</v>
      </c>
      <c r="AE3686">
        <v>0.36310000000000198</v>
      </c>
      <c r="AF3686">
        <v>-0.18924945392678599</v>
      </c>
      <c r="AG3686">
        <v>-1.103453444014</v>
      </c>
      <c r="AH3686">
        <v>32.648359174415397</v>
      </c>
      <c r="AI3686">
        <v>91.935720777552206</v>
      </c>
      <c r="AJ3686">
        <v>90.332116952152603</v>
      </c>
      <c r="AK3686">
        <v>32.667549366926004</v>
      </c>
    </row>
    <row r="3687" spans="1:37" x14ac:dyDescent="0.2">
      <c r="A3687" t="str">
        <f>"20200111153508102"</f>
        <v>20200111153508102</v>
      </c>
      <c r="B3687" t="str">
        <f>"1578728108089210"</f>
        <v>1578728108089210</v>
      </c>
      <c r="C3687" t="s">
        <v>37</v>
      </c>
      <c r="D3687">
        <v>4.8135669999999999</v>
      </c>
      <c r="E3687">
        <v>0.51040319999999995</v>
      </c>
      <c r="F3687" t="s">
        <v>39</v>
      </c>
      <c r="G3687">
        <v>-276.83530000000002</v>
      </c>
      <c r="H3687" s="1">
        <v>-2.0668470000000001E-6</v>
      </c>
      <c r="I3687">
        <v>142.34790000000001</v>
      </c>
      <c r="J3687">
        <v>-243.66730000000001</v>
      </c>
      <c r="K3687">
        <v>1.103539</v>
      </c>
      <c r="L3687">
        <v>142.0044</v>
      </c>
      <c r="M3687">
        <v>-0.99986260000000005</v>
      </c>
      <c r="N3687">
        <v>0</v>
      </c>
      <c r="O3687">
        <v>1.6334350000000001E-2</v>
      </c>
      <c r="P3687">
        <v>-0.99904939999999998</v>
      </c>
      <c r="Q3687">
        <v>3.9648699999999898E-2</v>
      </c>
      <c r="R3687">
        <v>-1.812542E-2</v>
      </c>
      <c r="S3687">
        <v>-3.007263</v>
      </c>
      <c r="T3687">
        <v>-9.8893880000000003E-2</v>
      </c>
      <c r="U3687">
        <v>3.1341550000000003E-2</v>
      </c>
      <c r="V3687">
        <v>-3.4481970000000001E-2</v>
      </c>
      <c r="W3687">
        <v>4.2474190000000002E-2</v>
      </c>
      <c r="X3687">
        <v>0.99850239999999901</v>
      </c>
      <c r="Y3687">
        <v>-5.9015150000000004E-3</v>
      </c>
      <c r="Z3687">
        <v>-6.3397529999999896E-4</v>
      </c>
      <c r="AA3687">
        <v>0.99998240000000005</v>
      </c>
      <c r="AB3687">
        <v>41</v>
      </c>
      <c r="AC3687">
        <v>-33.167999999999999</v>
      </c>
      <c r="AD3687">
        <v>-1.103541066847</v>
      </c>
      <c r="AE3687">
        <v>0.34350000000000502</v>
      </c>
      <c r="AF3687">
        <v>-0.19810643238143699</v>
      </c>
      <c r="AG3687">
        <v>-1.103541066847</v>
      </c>
      <c r="AH3687">
        <v>33.132512765611999</v>
      </c>
      <c r="AI3687">
        <v>91.907605135754395</v>
      </c>
      <c r="AJ3687">
        <v>90.342579727868397</v>
      </c>
      <c r="AK3687">
        <v>33.151477360869002</v>
      </c>
    </row>
    <row r="3688" spans="1:37" x14ac:dyDescent="0.2">
      <c r="A3688" t="str">
        <f>"20200111153508116"</f>
        <v>20200111153508116</v>
      </c>
      <c r="B3688" t="str">
        <f>"1578728108109706"</f>
        <v>1578728108109706</v>
      </c>
      <c r="C3688" t="s">
        <v>37</v>
      </c>
      <c r="D3688">
        <v>4.8555910000000004</v>
      </c>
      <c r="E3688">
        <v>0.51039599999999996</v>
      </c>
      <c r="F3688" t="s">
        <v>39</v>
      </c>
      <c r="G3688">
        <v>-277.19380000000001</v>
      </c>
      <c r="H3688" s="1">
        <v>-1.902937E-6</v>
      </c>
      <c r="I3688">
        <v>142.31</v>
      </c>
      <c r="J3688">
        <v>-243.9341</v>
      </c>
      <c r="K3688">
        <v>1.103599</v>
      </c>
      <c r="L3688">
        <v>142.0085</v>
      </c>
      <c r="M3688">
        <v>-0.99986969999999997</v>
      </c>
      <c r="N3688">
        <v>0</v>
      </c>
      <c r="O3688">
        <v>1.5890370000000001E-2</v>
      </c>
      <c r="P3688">
        <v>-0.99904009999999999</v>
      </c>
      <c r="Q3688">
        <v>3.9398919999999997E-2</v>
      </c>
      <c r="R3688">
        <v>-1.9151120000000001E-2</v>
      </c>
      <c r="S3688">
        <v>-3.007263</v>
      </c>
      <c r="T3688">
        <v>-9.8985550000000005E-2</v>
      </c>
      <c r="U3688">
        <v>2.742004E-2</v>
      </c>
      <c r="V3688">
        <v>-3.5070339999999998E-2</v>
      </c>
      <c r="W3688">
        <v>4.2230740000000003E-2</v>
      </c>
      <c r="X3688">
        <v>0.99849219999999905</v>
      </c>
      <c r="Y3688">
        <v>-6.7611030000000001E-3</v>
      </c>
      <c r="Z3688">
        <v>-6.341033E-4</v>
      </c>
      <c r="AA3688">
        <v>0.99997689999999995</v>
      </c>
      <c r="AB3688">
        <v>41</v>
      </c>
      <c r="AC3688">
        <v>-33.259700000000002</v>
      </c>
      <c r="AD3688">
        <v>-1.103600902937</v>
      </c>
      <c r="AE3688">
        <v>0.30150000000000399</v>
      </c>
      <c r="AF3688">
        <v>-0.22679945597214299</v>
      </c>
      <c r="AG3688">
        <v>-1.103600902937</v>
      </c>
      <c r="AH3688">
        <v>33.223715250617403</v>
      </c>
      <c r="AI3688">
        <v>91.902465180578204</v>
      </c>
      <c r="AJ3688">
        <v>90.391119707101893</v>
      </c>
      <c r="AK3688">
        <v>33.242813178193899</v>
      </c>
    </row>
    <row r="3689" spans="1:37" x14ac:dyDescent="0.2">
      <c r="A3689" t="str">
        <f>"20200111153508138"</f>
        <v>20200111153508138</v>
      </c>
      <c r="B3689" t="str">
        <f>"1578728108130202"</f>
        <v>1578728108130202</v>
      </c>
      <c r="C3689" t="s">
        <v>37</v>
      </c>
      <c r="D3689">
        <v>4.8530819999999997</v>
      </c>
      <c r="E3689">
        <v>0.51041919999999996</v>
      </c>
      <c r="F3689" t="s">
        <v>39</v>
      </c>
      <c r="G3689">
        <v>-277.63619999999997</v>
      </c>
      <c r="H3689" s="1">
        <v>-1.705268E-6</v>
      </c>
      <c r="I3689">
        <v>142.28039999999999</v>
      </c>
      <c r="J3689">
        <v>-244.31790000000001</v>
      </c>
      <c r="K3689">
        <v>1.1036900000000001</v>
      </c>
      <c r="L3689">
        <v>142.01410000000001</v>
      </c>
      <c r="M3689">
        <v>-0.99988060000000001</v>
      </c>
      <c r="N3689">
        <v>0</v>
      </c>
      <c r="O3689">
        <v>1.5182319999999999E-2</v>
      </c>
      <c r="P3689">
        <v>-0.99904740000000003</v>
      </c>
      <c r="Q3689">
        <v>3.8611380000000001E-2</v>
      </c>
      <c r="R3689">
        <v>-2.0336159999999999E-2</v>
      </c>
      <c r="S3689">
        <v>-3.0072169999999998</v>
      </c>
      <c r="T3689">
        <v>-9.8473790000000005E-2</v>
      </c>
      <c r="U3689">
        <v>2.426147E-2</v>
      </c>
      <c r="V3689">
        <v>-3.5556659999999997E-2</v>
      </c>
      <c r="W3689">
        <v>4.1452749999999997E-2</v>
      </c>
      <c r="X3689">
        <v>0.99850759999999905</v>
      </c>
      <c r="Y3689">
        <v>-7.1033859999999997E-3</v>
      </c>
      <c r="Z3689">
        <v>-6.132663E-4</v>
      </c>
      <c r="AA3689">
        <v>0.99997459999999905</v>
      </c>
      <c r="AB3689">
        <v>41</v>
      </c>
      <c r="AC3689">
        <v>-33.318299999999901</v>
      </c>
      <c r="AD3689">
        <v>-1.103691705268</v>
      </c>
      <c r="AE3689">
        <v>0.266299999999972</v>
      </c>
      <c r="AF3689">
        <v>-0.239319289886016</v>
      </c>
      <c r="AG3689">
        <v>-1.103691705268</v>
      </c>
      <c r="AH3689">
        <v>33.281984466135299</v>
      </c>
      <c r="AI3689">
        <v>91.899288134934096</v>
      </c>
      <c r="AJ3689">
        <v>90.411987120519697</v>
      </c>
      <c r="AK3689">
        <v>33.301139606729002</v>
      </c>
    </row>
    <row r="3690" spans="1:37" x14ac:dyDescent="0.2">
      <c r="A3690" t="str">
        <f>"20200111153508160"</f>
        <v>20200111153508160</v>
      </c>
      <c r="B3690" t="str">
        <f>"1578728108149722"</f>
        <v>1578728108149722</v>
      </c>
      <c r="C3690" t="s">
        <v>37</v>
      </c>
      <c r="D3690">
        <v>4.8633639999999998</v>
      </c>
      <c r="E3690">
        <v>0.51046709999999995</v>
      </c>
      <c r="F3690" t="s">
        <v>39</v>
      </c>
      <c r="G3690">
        <v>-277.61380000000003</v>
      </c>
      <c r="H3690" s="1">
        <v>-1.7056940000000001E-6</v>
      </c>
      <c r="I3690">
        <v>142.24590000000001</v>
      </c>
      <c r="J3690">
        <v>-244.72380000000001</v>
      </c>
      <c r="K3690">
        <v>1.103774</v>
      </c>
      <c r="L3690">
        <v>142.0198</v>
      </c>
      <c r="M3690">
        <v>-0.99989269999999997</v>
      </c>
      <c r="N3690">
        <v>0</v>
      </c>
      <c r="O3690">
        <v>1.435969E-2</v>
      </c>
      <c r="P3690">
        <v>-0.99903509999999995</v>
      </c>
      <c r="Q3690">
        <v>3.8369540000000001E-2</v>
      </c>
      <c r="R3690">
        <v>-2.1368660000000001E-2</v>
      </c>
      <c r="S3690">
        <v>-3.007126</v>
      </c>
      <c r="T3690">
        <v>-9.9680190000000002E-2</v>
      </c>
      <c r="U3690">
        <v>2.0935059999999998E-2</v>
      </c>
      <c r="V3690">
        <v>-3.5776019999999999E-2</v>
      </c>
      <c r="W3690">
        <v>4.12212E-2</v>
      </c>
      <c r="X3690">
        <v>0.99850930000000004</v>
      </c>
      <c r="Y3690">
        <v>-7.3865279999999998E-3</v>
      </c>
      <c r="Z3690">
        <v>-5.9823139999999999E-4</v>
      </c>
      <c r="AA3690">
        <v>0.99997250000000004</v>
      </c>
      <c r="AB3690">
        <v>41</v>
      </c>
      <c r="AC3690">
        <v>-32.89</v>
      </c>
      <c r="AD3690">
        <v>-1.1037757056940001</v>
      </c>
      <c r="AE3690">
        <v>0.22610000000000199</v>
      </c>
      <c r="AF3690">
        <v>-0.245938522629227</v>
      </c>
      <c r="AG3690">
        <v>-1.1037757056940001</v>
      </c>
      <c r="AH3690">
        <v>32.8528568599816</v>
      </c>
      <c r="AI3690">
        <v>91.924220477747795</v>
      </c>
      <c r="AJ3690">
        <v>90.428911744437102</v>
      </c>
      <c r="AK3690">
        <v>32.872313737062001</v>
      </c>
    </row>
    <row r="3691" spans="1:37" x14ac:dyDescent="0.2">
      <c r="A3691" t="str">
        <f>"20200111153508180"</f>
        <v>20200111153508180</v>
      </c>
      <c r="B3691" t="str">
        <f>"1578728108169242"</f>
        <v>1578728108169242</v>
      </c>
      <c r="C3691" t="s">
        <v>37</v>
      </c>
      <c r="D3691">
        <v>4.8222969999999998</v>
      </c>
      <c r="E3691">
        <v>0.51051659999999999</v>
      </c>
      <c r="F3691" t="s">
        <v>39</v>
      </c>
      <c r="G3691">
        <v>-277.95350000000002</v>
      </c>
      <c r="H3691" s="1">
        <v>-1.553261E-6</v>
      </c>
      <c r="I3691">
        <v>142.22069999999999</v>
      </c>
      <c r="J3691">
        <v>-245.1172</v>
      </c>
      <c r="K3691">
        <v>1.103842</v>
      </c>
      <c r="L3691">
        <v>142.0249</v>
      </c>
      <c r="M3691">
        <v>-0.99990460000000003</v>
      </c>
      <c r="N3691">
        <v>0</v>
      </c>
      <c r="O3691">
        <v>1.350898E-2</v>
      </c>
      <c r="P3691">
        <v>-0.99901030000000002</v>
      </c>
      <c r="Q3691">
        <v>3.843746E-2</v>
      </c>
      <c r="R3691">
        <v>-2.2391879999999999E-2</v>
      </c>
      <c r="S3691">
        <v>-3.0070950000000001</v>
      </c>
      <c r="T3691">
        <v>-9.9885340000000003E-2</v>
      </c>
      <c r="U3691">
        <v>1.818848E-2</v>
      </c>
      <c r="V3691">
        <v>-3.595636E-2</v>
      </c>
      <c r="W3691">
        <v>4.1299820000000001E-2</v>
      </c>
      <c r="X3691">
        <v>0.99849959999999904</v>
      </c>
      <c r="Y3691">
        <v>-7.4493750000000003E-3</v>
      </c>
      <c r="Z3691">
        <v>-5.7226719999999996E-4</v>
      </c>
      <c r="AA3691">
        <v>0.99997209999999903</v>
      </c>
      <c r="AB3691">
        <v>41</v>
      </c>
      <c r="AC3691">
        <v>-32.836300000000001</v>
      </c>
      <c r="AD3691">
        <v>-1.103843553261</v>
      </c>
      <c r="AE3691">
        <v>0.19579999999999101</v>
      </c>
      <c r="AF3691">
        <v>-0.24752491612382199</v>
      </c>
      <c r="AG3691">
        <v>-1.103843553261</v>
      </c>
      <c r="AH3691">
        <v>32.798884890909598</v>
      </c>
      <c r="AI3691">
        <v>91.927501984494796</v>
      </c>
      <c r="AJ3691">
        <v>90.432388595964198</v>
      </c>
      <c r="AK3691">
        <v>32.818387974751502</v>
      </c>
    </row>
    <row r="3692" spans="1:37" x14ac:dyDescent="0.2">
      <c r="A3692" t="str">
        <f>"20200111153508203"</f>
        <v>20200111153508203</v>
      </c>
      <c r="B3692" t="str">
        <f>"1578728108189740"</f>
        <v>1578728108189740</v>
      </c>
      <c r="C3692" t="s">
        <v>37</v>
      </c>
      <c r="D3692">
        <v>4.8123110000000002</v>
      </c>
      <c r="E3692">
        <v>0.51055439999999996</v>
      </c>
      <c r="F3692" t="s">
        <v>39</v>
      </c>
      <c r="G3692">
        <v>-278.47329999999999</v>
      </c>
      <c r="H3692" s="1">
        <v>-1.323687E-6</v>
      </c>
      <c r="I3692">
        <v>142.19589999999999</v>
      </c>
      <c r="J3692">
        <v>-245.51859999999999</v>
      </c>
      <c r="K3692">
        <v>1.1038950000000001</v>
      </c>
      <c r="L3692">
        <v>142.02969999999999</v>
      </c>
      <c r="M3692">
        <v>-0.99991629999999998</v>
      </c>
      <c r="N3692">
        <v>0</v>
      </c>
      <c r="O3692">
        <v>1.260615E-2</v>
      </c>
      <c r="P3692">
        <v>-0.99898469999999995</v>
      </c>
      <c r="Q3692">
        <v>3.828786E-2</v>
      </c>
      <c r="R3692">
        <v>-2.3741379999999999E-2</v>
      </c>
      <c r="S3692">
        <v>-3.007126</v>
      </c>
      <c r="T3692">
        <v>-9.9514130000000006E-2</v>
      </c>
      <c r="U3692">
        <v>1.542664E-2</v>
      </c>
      <c r="V3692">
        <v>-3.6410310000000001E-2</v>
      </c>
      <c r="W3692">
        <v>4.1162129999999998E-2</v>
      </c>
      <c r="X3692">
        <v>0.99848879999999995</v>
      </c>
      <c r="Y3692">
        <v>-7.4655009999999898E-3</v>
      </c>
      <c r="Z3692">
        <v>-5.4053819999999998E-4</v>
      </c>
      <c r="AA3692">
        <v>0.99997199999999997</v>
      </c>
      <c r="AB3692">
        <v>41</v>
      </c>
      <c r="AC3692">
        <v>-32.954700000000003</v>
      </c>
      <c r="AD3692">
        <v>-1.1038963236870001</v>
      </c>
      <c r="AE3692">
        <v>0.16620000000000301</v>
      </c>
      <c r="AF3692">
        <v>-0.24896750581683799</v>
      </c>
      <c r="AG3692">
        <v>-1.1038963236870001</v>
      </c>
      <c r="AH3692">
        <v>32.917241854834202</v>
      </c>
      <c r="AI3692">
        <v>91.920668178375095</v>
      </c>
      <c r="AJ3692">
        <v>90.433344791854793</v>
      </c>
      <c r="AK3692">
        <v>32.936687496499303</v>
      </c>
    </row>
    <row r="3693" spans="1:37" x14ac:dyDescent="0.2">
      <c r="A3693" t="str">
        <f>"20200111153508216"</f>
        <v>20200111153508216</v>
      </c>
      <c r="B3693" t="str">
        <f>"1578728108210234"</f>
        <v>1578728108210234</v>
      </c>
      <c r="C3693" t="s">
        <v>37</v>
      </c>
      <c r="D3693">
        <v>4.8750790000000004</v>
      </c>
      <c r="E3693">
        <v>0.51063599999999998</v>
      </c>
      <c r="F3693" t="s">
        <v>39</v>
      </c>
      <c r="G3693">
        <v>-278.82839999999999</v>
      </c>
      <c r="H3693" s="1">
        <v>-1.161899E-6</v>
      </c>
      <c r="I3693">
        <v>142.16040000000001</v>
      </c>
      <c r="J3693">
        <v>-245.77619999999999</v>
      </c>
      <c r="K3693">
        <v>1.103928</v>
      </c>
      <c r="L3693">
        <v>142.0326</v>
      </c>
      <c r="M3693">
        <v>-0.99992349999999997</v>
      </c>
      <c r="N3693">
        <v>0</v>
      </c>
      <c r="O3693">
        <v>1.201463E-2</v>
      </c>
      <c r="P3693">
        <v>-0.99897250000000004</v>
      </c>
      <c r="Q3693">
        <v>3.8096709999999999E-2</v>
      </c>
      <c r="R3693">
        <v>-2.4549809999999998E-2</v>
      </c>
      <c r="S3693">
        <v>-3.0071560000000002</v>
      </c>
      <c r="T3693">
        <v>-9.9657889999999999E-2</v>
      </c>
      <c r="U3693">
        <v>1.1810299999999999E-2</v>
      </c>
      <c r="V3693">
        <v>-3.6631030000000002E-2</v>
      </c>
      <c r="W3693">
        <v>4.0978229999999997E-2</v>
      </c>
      <c r="X3693">
        <v>0.9984883</v>
      </c>
      <c r="Y3693">
        <v>-8.0764740000000002E-3</v>
      </c>
      <c r="Z3693">
        <v>-5.3184E-4</v>
      </c>
      <c r="AA3693">
        <v>0.99996719999999895</v>
      </c>
      <c r="AB3693">
        <v>41</v>
      </c>
      <c r="AC3693">
        <v>-33.052199999999999</v>
      </c>
      <c r="AD3693">
        <v>-1.1039291618989999</v>
      </c>
      <c r="AE3693">
        <v>0.12780000000000699</v>
      </c>
      <c r="AF3693">
        <v>-0.26902079766401898</v>
      </c>
      <c r="AG3693">
        <v>-1.1039291618989999</v>
      </c>
      <c r="AH3693">
        <v>33.014521631260102</v>
      </c>
      <c r="AI3693">
        <v>91.915061133506796</v>
      </c>
      <c r="AJ3693">
        <v>90.466867742030104</v>
      </c>
      <c r="AK3693">
        <v>33.034068328394099</v>
      </c>
    </row>
    <row r="3694" spans="1:37" x14ac:dyDescent="0.2">
      <c r="A3694" t="str">
        <f>"20200111153508229"</f>
        <v>20200111153508229</v>
      </c>
      <c r="B3694" t="str">
        <f>"1578728108219995"</f>
        <v>1578728108219995</v>
      </c>
      <c r="C3694" t="s">
        <v>37</v>
      </c>
      <c r="D3694">
        <v>4.8624650000000003</v>
      </c>
      <c r="E3694">
        <v>0.51068530000000001</v>
      </c>
      <c r="F3694" t="s">
        <v>39</v>
      </c>
      <c r="G3694">
        <v>-278.9692</v>
      </c>
      <c r="H3694" s="1">
        <v>-1.097061E-6</v>
      </c>
      <c r="I3694">
        <v>142.1437</v>
      </c>
      <c r="J3694">
        <v>-246.02260000000001</v>
      </c>
      <c r="K3694">
        <v>1.103958</v>
      </c>
      <c r="L3694">
        <v>142.03530000000001</v>
      </c>
      <c r="M3694">
        <v>-0.99993019999999999</v>
      </c>
      <c r="N3694">
        <v>0</v>
      </c>
      <c r="O3694">
        <v>1.144125E-2</v>
      </c>
      <c r="P3694">
        <v>-0.9989635</v>
      </c>
      <c r="Q3694">
        <v>3.788118E-2</v>
      </c>
      <c r="R3694">
        <v>-2.5238880000000002E-2</v>
      </c>
      <c r="S3694">
        <v>-3.0071409999999998</v>
      </c>
      <c r="T3694">
        <v>-0.10001110000000001</v>
      </c>
      <c r="U3694">
        <v>1.00708E-2</v>
      </c>
      <c r="V3694">
        <v>-3.6749879999999999E-2</v>
      </c>
      <c r="W3694">
        <v>4.0770969999999997E-2</v>
      </c>
      <c r="X3694">
        <v>0.99849249999999901</v>
      </c>
      <c r="Y3694">
        <v>-8.081721E-3</v>
      </c>
      <c r="Z3694">
        <v>-5.1475199999999896E-4</v>
      </c>
      <c r="AA3694">
        <v>0.99996719999999895</v>
      </c>
      <c r="AB3694">
        <v>41</v>
      </c>
      <c r="AC3694">
        <v>-32.946599999999897</v>
      </c>
      <c r="AD3694">
        <v>-1.103959097061</v>
      </c>
      <c r="AE3694">
        <v>0.10839999999998801</v>
      </c>
      <c r="AF3694">
        <v>-0.26825783645347401</v>
      </c>
      <c r="AG3694">
        <v>-1.103959097061</v>
      </c>
      <c r="AH3694">
        <v>32.908735729060503</v>
      </c>
      <c r="AI3694">
        <v>91.921264547678504</v>
      </c>
      <c r="AJ3694">
        <v>90.467040166890996</v>
      </c>
      <c r="AK3694">
        <v>32.928340001280802</v>
      </c>
    </row>
    <row r="3695" spans="1:37" x14ac:dyDescent="0.2">
      <c r="A3695" t="str">
        <f>"20200111153508248"</f>
        <v>20200111153508248</v>
      </c>
      <c r="B3695" t="str">
        <f>"1578728108239514"</f>
        <v>1578728108239514</v>
      </c>
      <c r="C3695" t="s">
        <v>37</v>
      </c>
      <c r="D3695">
        <v>4.9460499999999996</v>
      </c>
      <c r="E3695">
        <v>0.51078590000000001</v>
      </c>
      <c r="F3695" t="s">
        <v>39</v>
      </c>
      <c r="G3695">
        <v>-278.9821</v>
      </c>
      <c r="H3695" s="1">
        <v>-1.0871740000000001E-6</v>
      </c>
      <c r="I3695">
        <v>142.12729999999999</v>
      </c>
      <c r="J3695">
        <v>-246.3715</v>
      </c>
      <c r="K3695">
        <v>1.103988</v>
      </c>
      <c r="L3695">
        <v>142.03880000000001</v>
      </c>
      <c r="M3695">
        <v>-0.99993920000000003</v>
      </c>
      <c r="N3695">
        <v>0</v>
      </c>
      <c r="O3695">
        <v>1.0624140000000001E-2</v>
      </c>
      <c r="P3695">
        <v>-0.9989768</v>
      </c>
      <c r="Q3695">
        <v>3.6994060000000002E-2</v>
      </c>
      <c r="R3695">
        <v>-2.602761E-2</v>
      </c>
      <c r="S3695">
        <v>-3.0071409999999998</v>
      </c>
      <c r="T3695">
        <v>-0.1007227</v>
      </c>
      <c r="U3695">
        <v>8.4075929999999997E-3</v>
      </c>
      <c r="V3695">
        <v>-3.6725000000000001E-2</v>
      </c>
      <c r="W3695">
        <v>3.9895739999999999E-2</v>
      </c>
      <c r="X3695">
        <v>0.99852870000000005</v>
      </c>
      <c r="Y3695">
        <v>-7.8180990000000002E-3</v>
      </c>
      <c r="Z3695">
        <v>-4.866397E-4</v>
      </c>
      <c r="AA3695">
        <v>0.99996929999999995</v>
      </c>
      <c r="AB3695">
        <v>42</v>
      </c>
      <c r="AC3695">
        <v>-32.610599999999998</v>
      </c>
      <c r="AD3695">
        <v>-1.1039890871739999</v>
      </c>
      <c r="AE3695">
        <v>8.8499999999981996E-2</v>
      </c>
      <c r="AF3695">
        <v>-0.25767077878432998</v>
      </c>
      <c r="AG3695">
        <v>-1.1039890871739999</v>
      </c>
      <c r="AH3695">
        <v>32.572369742100499</v>
      </c>
      <c r="AI3695">
        <v>91.941146265884001</v>
      </c>
      <c r="AJ3695">
        <v>90.453241207007693</v>
      </c>
      <c r="AK3695">
        <v>32.592091935789298</v>
      </c>
    </row>
    <row r="3696" spans="1:37" x14ac:dyDescent="0.2">
      <c r="A3696" t="str">
        <f>"20200111153508270"</f>
        <v>20200111153508270</v>
      </c>
      <c r="B3696" t="str">
        <f>"1578728108260013"</f>
        <v>1578728108260013</v>
      </c>
      <c r="C3696" t="s">
        <v>37</v>
      </c>
      <c r="D3696">
        <v>4.8753630000000001</v>
      </c>
      <c r="E3696">
        <v>0.51085219999999998</v>
      </c>
      <c r="F3696" t="s">
        <v>39</v>
      </c>
      <c r="G3696">
        <v>-278.51560000000001</v>
      </c>
      <c r="H3696" s="1">
        <v>-1.283098E-6</v>
      </c>
      <c r="I3696">
        <v>142.11160000000001</v>
      </c>
      <c r="J3696">
        <v>-246.78630000000001</v>
      </c>
      <c r="K3696">
        <v>1.104017</v>
      </c>
      <c r="L3696">
        <v>142.04259999999999</v>
      </c>
      <c r="M3696">
        <v>-0.99994910000000004</v>
      </c>
      <c r="N3696">
        <v>0</v>
      </c>
      <c r="O3696">
        <v>9.6471449999999993E-3</v>
      </c>
      <c r="P3696">
        <v>-0.99900549999999999</v>
      </c>
      <c r="Q3696">
        <v>3.551994E-2</v>
      </c>
      <c r="R3696">
        <v>-2.695722E-2</v>
      </c>
      <c r="S3696">
        <v>-3.0070950000000001</v>
      </c>
      <c r="T3696">
        <v>-0.1032788</v>
      </c>
      <c r="U3696">
        <v>6.8206789999999996E-3</v>
      </c>
      <c r="V3696">
        <v>-3.6679959999999998E-2</v>
      </c>
      <c r="W3696">
        <v>3.8437260000000001E-2</v>
      </c>
      <c r="X3696">
        <v>0.99858760000000002</v>
      </c>
      <c r="Y3696">
        <v>-7.3690459999999998E-3</v>
      </c>
      <c r="Z3696">
        <v>-4.5773769999999899E-4</v>
      </c>
      <c r="AA3696">
        <v>0.9999728</v>
      </c>
      <c r="AB3696">
        <v>42</v>
      </c>
      <c r="AC3696">
        <v>-31.729299999999899</v>
      </c>
      <c r="AD3696">
        <v>-1.1040182830980001</v>
      </c>
      <c r="AE3696">
        <v>6.9000000000016798E-2</v>
      </c>
      <c r="AF3696">
        <v>-0.23681499763457101</v>
      </c>
      <c r="AG3696">
        <v>-1.1040182830980001</v>
      </c>
      <c r="AH3696">
        <v>31.6901225180514</v>
      </c>
      <c r="AI3696">
        <v>91.995203774183693</v>
      </c>
      <c r="AJ3696">
        <v>90.428153829981298</v>
      </c>
      <c r="AK3696">
        <v>31.7102318332999</v>
      </c>
    </row>
    <row r="3697" spans="1:37" x14ac:dyDescent="0.2">
      <c r="A3697" t="str">
        <f>"20200111153508286"</f>
        <v>20200111153508286</v>
      </c>
      <c r="B3697" t="str">
        <f>"1578728108279531"</f>
        <v>1578728108279531</v>
      </c>
      <c r="C3697" t="s">
        <v>37</v>
      </c>
      <c r="D3697">
        <v>5.0169569999999997</v>
      </c>
      <c r="E3697">
        <v>0.51093199999999905</v>
      </c>
      <c r="F3697" t="s">
        <v>39</v>
      </c>
      <c r="G3697">
        <v>-277.59539999999998</v>
      </c>
      <c r="H3697" s="1">
        <v>-1.6718E-6</v>
      </c>
      <c r="I3697">
        <v>142.08879999999999</v>
      </c>
      <c r="J3697">
        <v>-247.0729</v>
      </c>
      <c r="K3697">
        <v>1.104039</v>
      </c>
      <c r="L3697">
        <v>142.04499999999999</v>
      </c>
      <c r="M3697">
        <v>-0.99995519999999904</v>
      </c>
      <c r="N3697">
        <v>0</v>
      </c>
      <c r="O3697">
        <v>8.9707269999999995E-3</v>
      </c>
      <c r="P3697">
        <v>-0.99903419999999898</v>
      </c>
      <c r="Q3697">
        <v>3.4376860000000002E-2</v>
      </c>
      <c r="R3697">
        <v>-2.7364630000000001E-2</v>
      </c>
      <c r="S3697">
        <v>-3.006958</v>
      </c>
      <c r="T3697">
        <v>-0.107752</v>
      </c>
      <c r="U3697">
        <v>4.5166019999999998E-3</v>
      </c>
      <c r="V3697">
        <v>-3.6412010000000002E-2</v>
      </c>
      <c r="W3697">
        <v>3.7305110000000002E-2</v>
      </c>
      <c r="X3697">
        <v>0.99864030000000004</v>
      </c>
      <c r="Y3697">
        <v>-7.4582260000000001E-3</v>
      </c>
      <c r="Z3697">
        <v>-4.5494019999999999E-4</v>
      </c>
      <c r="AA3697">
        <v>0.99997209999999903</v>
      </c>
      <c r="AB3697">
        <v>42</v>
      </c>
      <c r="AC3697">
        <v>-30.522499999999901</v>
      </c>
      <c r="AD3697">
        <v>-1.1040406718</v>
      </c>
      <c r="AE3697">
        <v>4.3800000000004502E-2</v>
      </c>
      <c r="AF3697">
        <v>-0.22971147987128401</v>
      </c>
      <c r="AG3697">
        <v>-1.1040406718</v>
      </c>
      <c r="AH3697">
        <v>30.4817834403758</v>
      </c>
      <c r="AI3697">
        <v>92.074269619797306</v>
      </c>
      <c r="AJ3697">
        <v>90.431774249104095</v>
      </c>
      <c r="AK3697">
        <v>30.5026358676581</v>
      </c>
    </row>
    <row r="3698" spans="1:37" x14ac:dyDescent="0.2">
      <c r="A3698" t="str">
        <f>"20200111153508303"</f>
        <v>20200111153508303</v>
      </c>
      <c r="B3698" t="str">
        <f>"1578728108300026"</f>
        <v>1578728108300026</v>
      </c>
      <c r="C3698" t="s">
        <v>37</v>
      </c>
      <c r="D3698">
        <v>4.9922659999999999</v>
      </c>
      <c r="E3698">
        <v>0.55684739999999999</v>
      </c>
      <c r="F3698" t="s">
        <v>39</v>
      </c>
      <c r="G3698">
        <v>-276.84399999999999</v>
      </c>
      <c r="H3698" s="1">
        <v>-1.9925540000000002E-6</v>
      </c>
      <c r="I3698">
        <v>142.0829</v>
      </c>
      <c r="J3698">
        <v>-247.40360000000001</v>
      </c>
      <c r="K3698">
        <v>1.1040540000000001</v>
      </c>
      <c r="L3698">
        <v>142.04750000000001</v>
      </c>
      <c r="M3698">
        <v>-0.99996200000000002</v>
      </c>
      <c r="N3698">
        <v>0</v>
      </c>
      <c r="O3698">
        <v>8.1892690000000008E-3</v>
      </c>
      <c r="P3698">
        <v>-0.99904699999999902</v>
      </c>
      <c r="Q3698">
        <v>3.3717829999999997E-2</v>
      </c>
      <c r="R3698">
        <v>-2.7722139999999999E-2</v>
      </c>
      <c r="S3698">
        <v>-3.006821</v>
      </c>
      <c r="T3698">
        <v>-0.11150599999999999</v>
      </c>
      <c r="U3698">
        <v>3.8299559999999998E-3</v>
      </c>
      <c r="V3698">
        <v>-3.5990019999999998E-2</v>
      </c>
      <c r="W3698">
        <v>3.6659919999999999E-2</v>
      </c>
      <c r="X3698">
        <v>0.99867950000000005</v>
      </c>
      <c r="Y3698">
        <v>-6.9052119999999896E-3</v>
      </c>
      <c r="Z3698">
        <v>-4.3158129999999999E-4</v>
      </c>
      <c r="AA3698">
        <v>0.99997599999999998</v>
      </c>
      <c r="AB3698">
        <v>42</v>
      </c>
      <c r="AC3698">
        <v>-29.440399999999901</v>
      </c>
      <c r="AD3698">
        <v>-1.1040559925540001</v>
      </c>
      <c r="AE3698">
        <v>3.5399999999981398E-2</v>
      </c>
      <c r="AF3698">
        <v>-0.20540874208809301</v>
      </c>
      <c r="AG3698">
        <v>-1.1040559925540001</v>
      </c>
      <c r="AH3698">
        <v>29.3983582270989</v>
      </c>
      <c r="AI3698">
        <v>92.150681080726599</v>
      </c>
      <c r="AJ3698">
        <v>90.400323800138096</v>
      </c>
      <c r="AK3698">
        <v>29.4197994356667</v>
      </c>
    </row>
    <row r="3699" spans="1:37" x14ac:dyDescent="0.2">
      <c r="A3699" t="str">
        <f>"20200111153508317"</f>
        <v>20200111153508317</v>
      </c>
      <c r="B3699" t="str">
        <f>"1578728108309786"</f>
        <v>1578728108309786</v>
      </c>
      <c r="C3699" t="s">
        <v>37</v>
      </c>
      <c r="D3699">
        <v>4.9672049999999999</v>
      </c>
      <c r="E3699">
        <v>0.56319889999999995</v>
      </c>
      <c r="F3699" t="s">
        <v>40</v>
      </c>
      <c r="G3699">
        <v>-248.3913</v>
      </c>
      <c r="H3699">
        <v>0.99179409999999901</v>
      </c>
      <c r="I3699">
        <v>142.1678</v>
      </c>
      <c r="J3699">
        <v>-247.6679</v>
      </c>
      <c r="K3699">
        <v>1.1040700000000001</v>
      </c>
      <c r="L3699">
        <v>142.04939999999999</v>
      </c>
      <c r="M3699">
        <v>-0.99996689999999999</v>
      </c>
      <c r="N3699">
        <v>0</v>
      </c>
      <c r="O3699">
        <v>7.5649250000000001E-3</v>
      </c>
      <c r="P3699">
        <v>-0.99905200000000005</v>
      </c>
      <c r="Q3699">
        <v>3.3260659999999997E-2</v>
      </c>
      <c r="R3699">
        <v>-2.8090440000000001E-2</v>
      </c>
      <c r="S3699">
        <v>-3.0246729999999999</v>
      </c>
      <c r="T3699">
        <v>-0.3438445</v>
      </c>
      <c r="U3699">
        <v>0.36756899999999998</v>
      </c>
      <c r="V3699">
        <v>-3.5735830000000003E-2</v>
      </c>
      <c r="W3699">
        <v>3.6213410000000001E-2</v>
      </c>
      <c r="X3699">
        <v>0.99870490000000001</v>
      </c>
      <c r="Y3699">
        <v>0.11245719999999999</v>
      </c>
      <c r="Z3699">
        <v>5.4944039999999996E-3</v>
      </c>
      <c r="AA3699">
        <v>0.99364140000000001</v>
      </c>
      <c r="AB3699">
        <v>42</v>
      </c>
      <c r="AC3699">
        <v>-0.72339999999999705</v>
      </c>
      <c r="AD3699">
        <v>-0.1122759</v>
      </c>
      <c r="AE3699">
        <v>0.118400000000008</v>
      </c>
      <c r="AF3699">
        <v>0.110335604940275</v>
      </c>
      <c r="AG3699">
        <v>-0.1122759</v>
      </c>
      <c r="AH3699">
        <v>0.70767271676724397</v>
      </c>
      <c r="AI3699">
        <v>98.909249022026202</v>
      </c>
      <c r="AJ3699">
        <v>81.138172253624404</v>
      </c>
      <c r="AK3699">
        <v>0.72496930796764003</v>
      </c>
    </row>
    <row r="3700" spans="1:37" x14ac:dyDescent="0.2">
      <c r="A3700" t="str">
        <f>"20200111153508330"</f>
        <v>20200111153508330</v>
      </c>
      <c r="B3700" t="str">
        <f>"1578728108319547"</f>
        <v>1578728108319547</v>
      </c>
      <c r="C3700" t="s">
        <v>37</v>
      </c>
      <c r="D3700">
        <v>4.9410769999999999</v>
      </c>
      <c r="E3700">
        <v>0.56762579999999996</v>
      </c>
      <c r="F3700" t="s">
        <v>40</v>
      </c>
      <c r="G3700">
        <v>-248.39850000000001</v>
      </c>
      <c r="H3700">
        <v>1.0070589999999999</v>
      </c>
      <c r="I3700">
        <v>142.15020000000001</v>
      </c>
      <c r="J3700">
        <v>-247.91130000000001</v>
      </c>
      <c r="K3700">
        <v>1.1040840000000001</v>
      </c>
      <c r="L3700">
        <v>142.05090000000001</v>
      </c>
      <c r="M3700">
        <v>-0.99997099999999906</v>
      </c>
      <c r="N3700">
        <v>0</v>
      </c>
      <c r="O3700">
        <v>6.9904930000000004E-3</v>
      </c>
      <c r="P3700">
        <v>-0.99904999999999999</v>
      </c>
      <c r="Q3700">
        <v>3.3035509999999997E-2</v>
      </c>
      <c r="R3700">
        <v>-2.8423830000000001E-2</v>
      </c>
      <c r="S3700">
        <v>-3.0279689999999899</v>
      </c>
      <c r="T3700">
        <v>-0.4022</v>
      </c>
      <c r="U3700">
        <v>0.41712949999999999</v>
      </c>
      <c r="V3700">
        <v>-3.5496090000000001E-2</v>
      </c>
      <c r="W3700">
        <v>3.599898E-2</v>
      </c>
      <c r="X3700">
        <v>0.99872119999999998</v>
      </c>
      <c r="Y3700">
        <v>0.12849440000000001</v>
      </c>
      <c r="Z3700">
        <v>7.5370380000000002E-3</v>
      </c>
      <c r="AA3700">
        <v>0.99168159999999905</v>
      </c>
      <c r="AB3700">
        <v>42</v>
      </c>
      <c r="AC3700">
        <v>-0.48720000000000102</v>
      </c>
      <c r="AD3700">
        <v>-9.7025000000000097E-2</v>
      </c>
      <c r="AE3700">
        <v>9.92999999999995E-2</v>
      </c>
      <c r="AF3700">
        <v>9.2374343786062199E-2</v>
      </c>
      <c r="AG3700">
        <v>-9.7025000000000097E-2</v>
      </c>
      <c r="AH3700">
        <v>0.46998604527834797</v>
      </c>
      <c r="AI3700">
        <v>101.451268673206</v>
      </c>
      <c r="AJ3700">
        <v>78.880426643503597</v>
      </c>
      <c r="AK3700">
        <v>0.48870620291877498</v>
      </c>
    </row>
    <row r="3701" spans="1:37" x14ac:dyDescent="0.2">
      <c r="A3701" t="str">
        <f>"20200111153508348"</f>
        <v>20200111153508348</v>
      </c>
      <c r="B3701" t="str">
        <f>"1578728108340045"</f>
        <v>1578728108340045</v>
      </c>
      <c r="C3701" t="s">
        <v>37</v>
      </c>
      <c r="D3701">
        <v>4.8822830000000002</v>
      </c>
      <c r="E3701">
        <v>0.57136940000000003</v>
      </c>
      <c r="F3701" t="s">
        <v>40</v>
      </c>
      <c r="G3701">
        <v>-248.76400000000001</v>
      </c>
      <c r="H3701">
        <v>0.97630409999999901</v>
      </c>
      <c r="I3701">
        <v>142.1781</v>
      </c>
      <c r="J3701">
        <v>-248.2627</v>
      </c>
      <c r="K3701">
        <v>1.104098</v>
      </c>
      <c r="L3701">
        <v>142.05289999999999</v>
      </c>
      <c r="M3701">
        <v>-0.99997649999999905</v>
      </c>
      <c r="N3701">
        <v>0</v>
      </c>
      <c r="O3701">
        <v>6.1611979999999997E-3</v>
      </c>
      <c r="P3701">
        <v>-0.99903929999999996</v>
      </c>
      <c r="Q3701">
        <v>3.3013849999999997E-2</v>
      </c>
      <c r="R3701">
        <v>-2.8822399999999901E-2</v>
      </c>
      <c r="S3701">
        <v>-3.0307309999999998</v>
      </c>
      <c r="T3701">
        <v>-0.454242699999999</v>
      </c>
      <c r="U3701">
        <v>0.45135500000000001</v>
      </c>
      <c r="V3701">
        <v>-3.5068429999999998E-2</v>
      </c>
      <c r="W3701">
        <v>3.5992299999999998E-2</v>
      </c>
      <c r="X3701">
        <v>0.99873659999999997</v>
      </c>
      <c r="Y3701">
        <v>0.13974520000000001</v>
      </c>
      <c r="Z3701">
        <v>9.4448409999999903E-3</v>
      </c>
      <c r="AA3701">
        <v>0.99014249999999904</v>
      </c>
      <c r="AB3701">
        <v>42</v>
      </c>
      <c r="AC3701">
        <v>-0.50130000000001396</v>
      </c>
      <c r="AD3701">
        <v>-0.12779389999999999</v>
      </c>
      <c r="AE3701">
        <v>0.125200000000006</v>
      </c>
      <c r="AF3701">
        <v>0.11507003180692001</v>
      </c>
      <c r="AG3701">
        <v>-0.12779389999999999</v>
      </c>
      <c r="AH3701">
        <v>0.47312053068370302</v>
      </c>
      <c r="AI3701">
        <v>104.70602180149901</v>
      </c>
      <c r="AJ3701">
        <v>76.330218191105899</v>
      </c>
      <c r="AK3701">
        <v>0.50340384350110401</v>
      </c>
    </row>
    <row r="3702" spans="1:37" x14ac:dyDescent="0.2">
      <c r="A3702" t="str">
        <f>"20200111153508371"</f>
        <v>20200111153508371</v>
      </c>
      <c r="B3702" t="str">
        <f>"1578728108359562"</f>
        <v>1578728108359562</v>
      </c>
      <c r="C3702" t="s">
        <v>37</v>
      </c>
      <c r="D3702">
        <v>4.8884189999999998</v>
      </c>
      <c r="E3702">
        <v>0.5727158</v>
      </c>
      <c r="F3702" t="s">
        <v>40</v>
      </c>
      <c r="G3702">
        <v>-249.1361</v>
      </c>
      <c r="H3702">
        <v>0.95623760000000002</v>
      </c>
      <c r="I3702">
        <v>142.19120000000001</v>
      </c>
      <c r="J3702">
        <v>-248.6917</v>
      </c>
      <c r="K3702">
        <v>1.1041190000000001</v>
      </c>
      <c r="L3702">
        <v>142.0549</v>
      </c>
      <c r="M3702">
        <v>-0.99998209999999998</v>
      </c>
      <c r="N3702">
        <v>0</v>
      </c>
      <c r="O3702">
        <v>5.1494920000000003E-3</v>
      </c>
      <c r="P3702">
        <v>-0.99900900000000004</v>
      </c>
      <c r="Q3702">
        <v>3.2993990000000001E-2</v>
      </c>
      <c r="R3702">
        <v>-2.987565E-2</v>
      </c>
      <c r="S3702">
        <v>-3.0337070000000002</v>
      </c>
      <c r="T3702">
        <v>-0.51358000000000004</v>
      </c>
      <c r="U3702">
        <v>0.4802246</v>
      </c>
      <c r="V3702">
        <v>-3.5112730000000002E-2</v>
      </c>
      <c r="W3702">
        <v>3.5989920000000002E-2</v>
      </c>
      <c r="X3702">
        <v>0.99873509999999999</v>
      </c>
      <c r="Y3702">
        <v>0.14926099999999901</v>
      </c>
      <c r="Z3702">
        <v>1.1608759999999999E-2</v>
      </c>
      <c r="AA3702">
        <v>0.98872969999999905</v>
      </c>
      <c r="AB3702">
        <v>43</v>
      </c>
      <c r="AC3702">
        <v>-0.44440000000000102</v>
      </c>
      <c r="AD3702">
        <v>-0.1478814</v>
      </c>
      <c r="AE3702">
        <v>0.136300000000005</v>
      </c>
      <c r="AF3702">
        <v>0.121692894726545</v>
      </c>
      <c r="AG3702">
        <v>-0.1478814</v>
      </c>
      <c r="AH3702">
        <v>0.40418715720606702</v>
      </c>
      <c r="AI3702">
        <v>109.307346105523</v>
      </c>
      <c r="AJ3702">
        <v>73.2439732236042</v>
      </c>
      <c r="AK3702">
        <v>0.44726426991568202</v>
      </c>
    </row>
    <row r="3703" spans="1:37" x14ac:dyDescent="0.2">
      <c r="A3703" t="str">
        <f>"20200111153508385"</f>
        <v>20200111153508385</v>
      </c>
      <c r="B3703" t="str">
        <f>"1578728108380058"</f>
        <v>1578728108380058</v>
      </c>
      <c r="C3703" t="s">
        <v>37</v>
      </c>
      <c r="D3703">
        <v>4.8988879999999897</v>
      </c>
      <c r="E3703">
        <v>0.57401289999999905</v>
      </c>
      <c r="F3703" t="s">
        <v>40</v>
      </c>
      <c r="G3703">
        <v>-249.5187</v>
      </c>
      <c r="H3703">
        <v>0.95654740000000005</v>
      </c>
      <c r="I3703">
        <v>142.18809999999999</v>
      </c>
      <c r="J3703">
        <v>-248.96350000000001</v>
      </c>
      <c r="K3703">
        <v>1.1041289999999999</v>
      </c>
      <c r="L3703">
        <v>142.05600000000001</v>
      </c>
      <c r="M3703">
        <v>-0.99998519999999902</v>
      </c>
      <c r="N3703">
        <v>0</v>
      </c>
      <c r="O3703">
        <v>4.5087950000000003E-3</v>
      </c>
      <c r="P3703">
        <v>-0.99898500000000001</v>
      </c>
      <c r="Q3703">
        <v>3.3140459999999997E-2</v>
      </c>
      <c r="R3703">
        <v>-3.0513749999999999E-2</v>
      </c>
      <c r="S3703">
        <v>-3.0354610000000002</v>
      </c>
      <c r="T3703">
        <v>-0.5417092</v>
      </c>
      <c r="U3703">
        <v>0.48767089999999902</v>
      </c>
      <c r="V3703">
        <v>-3.5112530000000003E-2</v>
      </c>
      <c r="W3703">
        <v>3.6147650000000003E-2</v>
      </c>
      <c r="X3703">
        <v>0.99872939999999999</v>
      </c>
      <c r="Y3703">
        <v>0.15190039999999999</v>
      </c>
      <c r="Z3703">
        <v>1.257086E-2</v>
      </c>
      <c r="AA3703">
        <v>0.98831589999999903</v>
      </c>
      <c r="AB3703">
        <v>43</v>
      </c>
      <c r="AC3703">
        <v>-0.55519999999998404</v>
      </c>
      <c r="AD3703">
        <v>-0.14758160000000001</v>
      </c>
      <c r="AE3703">
        <v>0.13209999999997901</v>
      </c>
      <c r="AF3703">
        <v>0.121472168116877</v>
      </c>
      <c r="AG3703">
        <v>-0.14758160000000001</v>
      </c>
      <c r="AH3703">
        <v>0.52095238153965095</v>
      </c>
      <c r="AI3703">
        <v>105.423707800399</v>
      </c>
      <c r="AJ3703">
        <v>76.874675658078601</v>
      </c>
      <c r="AK3703">
        <v>0.55491188500284405</v>
      </c>
    </row>
    <row r="3704" spans="1:37" x14ac:dyDescent="0.2">
      <c r="A3704" t="str">
        <f>"20200111153508404"</f>
        <v>20200111153508404</v>
      </c>
      <c r="B3704" t="str">
        <f>"1578728108399579"</f>
        <v>1578728108399579</v>
      </c>
      <c r="C3704" t="s">
        <v>37</v>
      </c>
      <c r="D3704">
        <v>4.9037199999999999</v>
      </c>
      <c r="E3704">
        <v>0.57436229999999999</v>
      </c>
      <c r="F3704" t="s">
        <v>40</v>
      </c>
      <c r="G3704">
        <v>-249.89320000000001</v>
      </c>
      <c r="H3704">
        <v>0.93380189999999996</v>
      </c>
      <c r="I3704">
        <v>142.2079</v>
      </c>
      <c r="J3704">
        <v>-249.33160000000001</v>
      </c>
      <c r="K3704">
        <v>1.104141</v>
      </c>
      <c r="L3704">
        <v>142.05719999999999</v>
      </c>
      <c r="M3704">
        <v>-0.99998849999999995</v>
      </c>
      <c r="N3704">
        <v>0</v>
      </c>
      <c r="O3704">
        <v>3.6415079999999999E-3</v>
      </c>
      <c r="P3704">
        <v>-0.99895509999999998</v>
      </c>
      <c r="Q3704">
        <v>3.3083710000000002E-2</v>
      </c>
      <c r="R3704">
        <v>-3.1527649999999997E-2</v>
      </c>
      <c r="S3704">
        <v>-3.036667</v>
      </c>
      <c r="T3704">
        <v>-0.55635140000000005</v>
      </c>
      <c r="U3704">
        <v>0.49589539999999999</v>
      </c>
      <c r="V3704">
        <v>-3.5260680000000003E-2</v>
      </c>
      <c r="W3704">
        <v>3.6106190000000003E-2</v>
      </c>
      <c r="X3704">
        <v>0.99872569999999905</v>
      </c>
      <c r="Y3704">
        <v>0.1551168</v>
      </c>
      <c r="Z3704">
        <v>1.3344440000000001E-2</v>
      </c>
      <c r="AA3704">
        <v>0.98780599999999996</v>
      </c>
      <c r="AB3704">
        <v>43</v>
      </c>
      <c r="AC3704">
        <v>-0.56159999999999799</v>
      </c>
      <c r="AD3704">
        <v>-0.17033909999999899</v>
      </c>
      <c r="AE3704">
        <v>0.1507</v>
      </c>
      <c r="AF3704">
        <v>0.136905039768206</v>
      </c>
      <c r="AG3704">
        <v>-0.17033909999999899</v>
      </c>
      <c r="AH3704">
        <v>0.51771585331333103</v>
      </c>
      <c r="AI3704">
        <v>107.64517291349399</v>
      </c>
      <c r="AJ3704">
        <v>75.187730525202994</v>
      </c>
      <c r="AK3704">
        <v>0.56195026797279402</v>
      </c>
    </row>
    <row r="3705" spans="1:37" x14ac:dyDescent="0.2">
      <c r="A3705" t="str">
        <f>"20200111153508426"</f>
        <v>20200111153508426</v>
      </c>
      <c r="B3705" t="str">
        <f>"1578728108420074"</f>
        <v>1578728108420074</v>
      </c>
      <c r="C3705" t="s">
        <v>37</v>
      </c>
      <c r="D3705">
        <v>4.8933299999999997</v>
      </c>
      <c r="E3705">
        <v>0.57524299999999995</v>
      </c>
      <c r="F3705" t="s">
        <v>40</v>
      </c>
      <c r="G3705">
        <v>-250.27610000000001</v>
      </c>
      <c r="H3705">
        <v>0.92791270000000003</v>
      </c>
      <c r="I3705">
        <v>142.2115</v>
      </c>
      <c r="J3705">
        <v>-249.76650000000001</v>
      </c>
      <c r="K3705">
        <v>1.1041570000000001</v>
      </c>
      <c r="L3705">
        <v>142.0581</v>
      </c>
      <c r="M3705">
        <v>-0.99999169999999904</v>
      </c>
      <c r="N3705">
        <v>0</v>
      </c>
      <c r="O3705">
        <v>2.616911E-3</v>
      </c>
      <c r="P3705">
        <v>-0.99889019999999995</v>
      </c>
      <c r="Q3705">
        <v>3.356191E-2</v>
      </c>
      <c r="R3705">
        <v>-3.3051199999999899E-2</v>
      </c>
      <c r="S3705">
        <v>-3.0375519999999998</v>
      </c>
      <c r="T3705">
        <v>-0.56678709999999999</v>
      </c>
      <c r="U3705">
        <v>0.49562070000000003</v>
      </c>
      <c r="V3705">
        <v>-3.5763410000000002E-2</v>
      </c>
      <c r="W3705">
        <v>3.6601769999999999E-2</v>
      </c>
      <c r="X3705">
        <v>0.99868979999999996</v>
      </c>
      <c r="Y3705">
        <v>0.15587479999999901</v>
      </c>
      <c r="Z3705">
        <v>1.3844840000000001E-2</v>
      </c>
      <c r="AA3705">
        <v>0.9876798</v>
      </c>
      <c r="AB3705">
        <v>43</v>
      </c>
      <c r="AC3705">
        <v>-0.50960000000000605</v>
      </c>
      <c r="AD3705">
        <v>-0.17624429999999999</v>
      </c>
      <c r="AE3705">
        <v>0.15340000000000401</v>
      </c>
      <c r="AF3705">
        <v>0.137036642514162</v>
      </c>
      <c r="AG3705">
        <v>-0.17624429999999999</v>
      </c>
      <c r="AH3705">
        <v>0.45959449013507597</v>
      </c>
      <c r="AI3705">
        <v>110.177868569992</v>
      </c>
      <c r="AJ3705">
        <v>73.397072010142793</v>
      </c>
      <c r="AK3705">
        <v>0.51094832423305203</v>
      </c>
    </row>
    <row r="3706" spans="1:37" x14ac:dyDescent="0.2">
      <c r="A3706" t="str">
        <f>"20200111153508449"</f>
        <v>20200111153508449</v>
      </c>
      <c r="B3706" t="str">
        <f>"1578728108439594"</f>
        <v>1578728108439594</v>
      </c>
      <c r="C3706" t="s">
        <v>37</v>
      </c>
      <c r="D3706">
        <v>4.89649</v>
      </c>
      <c r="E3706">
        <v>0.57613829999999999</v>
      </c>
      <c r="F3706" t="s">
        <v>40</v>
      </c>
      <c r="G3706">
        <v>-250.66499999999999</v>
      </c>
      <c r="H3706">
        <v>0.93374749999999995</v>
      </c>
      <c r="I3706">
        <v>142.2054</v>
      </c>
      <c r="J3706">
        <v>-250.1935</v>
      </c>
      <c r="K3706">
        <v>1.104169</v>
      </c>
      <c r="L3706">
        <v>142.05869999999999</v>
      </c>
      <c r="M3706">
        <v>-0.99999369999999999</v>
      </c>
      <c r="N3706">
        <v>0</v>
      </c>
      <c r="O3706">
        <v>1.6115229999999999E-3</v>
      </c>
      <c r="P3706">
        <v>-0.99883580000000005</v>
      </c>
      <c r="Q3706">
        <v>3.3594869999999999E-2</v>
      </c>
      <c r="R3706">
        <v>-3.461612E-2</v>
      </c>
      <c r="S3706">
        <v>-3.0391539999999999</v>
      </c>
      <c r="T3706">
        <v>-0.57654329999999998</v>
      </c>
      <c r="U3706">
        <v>0.49778749999999999</v>
      </c>
      <c r="V3706">
        <v>-3.6325749999999997E-2</v>
      </c>
      <c r="W3706">
        <v>3.665181E-2</v>
      </c>
      <c r="X3706">
        <v>0.99866769999999905</v>
      </c>
      <c r="Y3706">
        <v>0.157341799999999</v>
      </c>
      <c r="Z3706">
        <v>1.4395939999999999E-2</v>
      </c>
      <c r="AA3706">
        <v>0.98743930000000002</v>
      </c>
      <c r="AB3706">
        <v>43</v>
      </c>
      <c r="AC3706">
        <v>-0.47149999999999098</v>
      </c>
      <c r="AD3706">
        <v>-0.170421499999999</v>
      </c>
      <c r="AE3706">
        <v>0.14670000000000899</v>
      </c>
      <c r="AF3706">
        <v>0.130406924471834</v>
      </c>
      <c r="AG3706">
        <v>-0.170421499999999</v>
      </c>
      <c r="AH3706">
        <v>0.42152683501236698</v>
      </c>
      <c r="AI3706">
        <v>111.118305832619</v>
      </c>
      <c r="AJ3706">
        <v>72.809604556932996</v>
      </c>
      <c r="AK3706">
        <v>0.47300563024978398</v>
      </c>
    </row>
    <row r="3707" spans="1:37" x14ac:dyDescent="0.2">
      <c r="A3707" t="str">
        <f>"20200111153508463"</f>
        <v>20200111153508463</v>
      </c>
      <c r="B3707" t="str">
        <f>"1578728108460090"</f>
        <v>1578728108460090</v>
      </c>
      <c r="C3707" t="s">
        <v>37</v>
      </c>
      <c r="D3707">
        <v>4.918939</v>
      </c>
      <c r="E3707">
        <v>0.57690980000000003</v>
      </c>
      <c r="F3707" t="s">
        <v>40</v>
      </c>
      <c r="G3707">
        <v>-251.0548</v>
      </c>
      <c r="H3707">
        <v>0.93849559999999999</v>
      </c>
      <c r="I3707">
        <v>142.20070000000001</v>
      </c>
      <c r="J3707">
        <v>-250.4716</v>
      </c>
      <c r="K3707">
        <v>1.104177</v>
      </c>
      <c r="L3707">
        <v>142.05879999999999</v>
      </c>
      <c r="M3707">
        <v>-0.99999459999999996</v>
      </c>
      <c r="N3707">
        <v>0</v>
      </c>
      <c r="O3707">
        <v>9.5619270000000004E-4</v>
      </c>
      <c r="P3707">
        <v>-0.99880639999999998</v>
      </c>
      <c r="Q3707">
        <v>3.3657159999999998E-2</v>
      </c>
      <c r="R3707">
        <v>-3.5402999999999997E-2</v>
      </c>
      <c r="S3707">
        <v>-3.0404969999999998</v>
      </c>
      <c r="T3707">
        <v>-0.58499230000000002</v>
      </c>
      <c r="U3707">
        <v>0.50024409999999997</v>
      </c>
      <c r="V3707">
        <v>-3.6458989999999997E-2</v>
      </c>
      <c r="W3707">
        <v>3.6726149999999999E-2</v>
      </c>
      <c r="X3707">
        <v>0.99866010000000005</v>
      </c>
      <c r="Y3707">
        <v>0.15858549999999999</v>
      </c>
      <c r="Z3707">
        <v>1.4837940000000001E-2</v>
      </c>
      <c r="AA3707">
        <v>0.98723379999999905</v>
      </c>
      <c r="AB3707">
        <v>43</v>
      </c>
      <c r="AC3707">
        <v>-0.58320000000000405</v>
      </c>
      <c r="AD3707">
        <v>-0.16568139999999901</v>
      </c>
      <c r="AE3707">
        <v>0.14190000000002001</v>
      </c>
      <c r="AF3707">
        <v>0.131335033160277</v>
      </c>
      <c r="AG3707">
        <v>-0.16568139999999901</v>
      </c>
      <c r="AH3707">
        <v>0.54203438639883195</v>
      </c>
      <c r="AI3707">
        <v>106.545095681576</v>
      </c>
      <c r="AJ3707">
        <v>76.379718647264099</v>
      </c>
      <c r="AK3707">
        <v>0.58180795223160198</v>
      </c>
    </row>
    <row r="3708" spans="1:37" x14ac:dyDescent="0.2">
      <c r="A3708" t="str">
        <f>"20200111153508476"</f>
        <v>20200111153508476</v>
      </c>
      <c r="B3708" t="str">
        <f>"1578728108469851"</f>
        <v>1578728108469851</v>
      </c>
      <c r="C3708" t="s">
        <v>37</v>
      </c>
      <c r="D3708">
        <v>4.9200290000000004</v>
      </c>
      <c r="E3708">
        <v>0.57728100000000004</v>
      </c>
      <c r="F3708" t="s">
        <v>40</v>
      </c>
      <c r="G3708">
        <v>-251.4358</v>
      </c>
      <c r="H3708">
        <v>0.91652919999999904</v>
      </c>
      <c r="I3708">
        <v>142.21850000000001</v>
      </c>
      <c r="J3708">
        <v>-250.7424</v>
      </c>
      <c r="K3708">
        <v>1.1041809999999901</v>
      </c>
      <c r="L3708">
        <v>142.05869999999999</v>
      </c>
      <c r="M3708">
        <v>-0.99999499999999997</v>
      </c>
      <c r="N3708">
        <v>0</v>
      </c>
      <c r="O3708">
        <v>3.1874939999999998E-4</v>
      </c>
      <c r="P3708">
        <v>-0.99877280000000002</v>
      </c>
      <c r="Q3708">
        <v>3.3760940000000003E-2</v>
      </c>
      <c r="R3708">
        <v>-3.6239380000000002E-2</v>
      </c>
      <c r="S3708">
        <v>-3.0413969999999999</v>
      </c>
      <c r="T3708">
        <v>-0.59194049999999998</v>
      </c>
      <c r="U3708">
        <v>0.50393679999999996</v>
      </c>
      <c r="V3708">
        <v>-3.6659310000000001E-2</v>
      </c>
      <c r="W3708">
        <v>3.6841939999999997E-2</v>
      </c>
      <c r="X3708">
        <v>0.99864850000000005</v>
      </c>
      <c r="Y3708">
        <v>0.16022829999999999</v>
      </c>
      <c r="Z3708">
        <v>1.52847E-2</v>
      </c>
      <c r="AA3708">
        <v>0.98696159999999999</v>
      </c>
      <c r="AB3708">
        <v>43</v>
      </c>
      <c r="AC3708">
        <v>-0.69339999999999602</v>
      </c>
      <c r="AD3708">
        <v>-0.18765179999999901</v>
      </c>
      <c r="AE3708">
        <v>0.15980000000001801</v>
      </c>
      <c r="AF3708">
        <v>0.149202722443603</v>
      </c>
      <c r="AG3708">
        <v>-0.18765179999999901</v>
      </c>
      <c r="AH3708">
        <v>0.64836088594164498</v>
      </c>
      <c r="AI3708">
        <v>105.75126394581299</v>
      </c>
      <c r="AJ3708">
        <v>77.040544855044899</v>
      </c>
      <c r="AK3708">
        <v>0.69126441312052</v>
      </c>
    </row>
    <row r="3709" spans="1:37" x14ac:dyDescent="0.2">
      <c r="A3709" t="str">
        <f>"20200111153508494"</f>
        <v>20200111153508494</v>
      </c>
      <c r="B3709" t="str">
        <f>"1578728108489371"</f>
        <v>1578728108489371</v>
      </c>
      <c r="C3709" t="s">
        <v>37</v>
      </c>
      <c r="D3709">
        <v>4.8767990000000001</v>
      </c>
      <c r="E3709">
        <v>0.57777909999999999</v>
      </c>
      <c r="F3709" t="s">
        <v>40</v>
      </c>
      <c r="G3709">
        <v>-251.4555</v>
      </c>
      <c r="H3709">
        <v>0.96495629999999999</v>
      </c>
      <c r="I3709">
        <v>142.17699999999999</v>
      </c>
      <c r="J3709">
        <v>-251.06549999999999</v>
      </c>
      <c r="K3709">
        <v>1.1041829999999999</v>
      </c>
      <c r="L3709">
        <v>142.05840000000001</v>
      </c>
      <c r="M3709">
        <v>-0.99999490000000002</v>
      </c>
      <c r="N3709">
        <v>0</v>
      </c>
      <c r="O3709">
        <v>-4.4119489999999999E-4</v>
      </c>
      <c r="P3709">
        <v>-0.99875340000000001</v>
      </c>
      <c r="Q3709">
        <v>3.3312590000000003E-2</v>
      </c>
      <c r="R3709">
        <v>-3.7177549999999997E-2</v>
      </c>
      <c r="S3709">
        <v>-3.042068</v>
      </c>
      <c r="T3709">
        <v>-0.59396040000000005</v>
      </c>
      <c r="U3709">
        <v>0.50453190000000003</v>
      </c>
      <c r="V3709">
        <v>-3.6837979999999999E-2</v>
      </c>
      <c r="W3709">
        <v>3.640736E-2</v>
      </c>
      <c r="X3709">
        <v>0.99865780000000004</v>
      </c>
      <c r="Y3709">
        <v>0.16108259999999999</v>
      </c>
      <c r="Z3709">
        <v>1.556049E-2</v>
      </c>
      <c r="AA3709">
        <v>0.98681830000000004</v>
      </c>
      <c r="AB3709">
        <v>43</v>
      </c>
      <c r="AC3709">
        <v>-0.390000000000014</v>
      </c>
      <c r="AD3709">
        <v>-0.13922669999999901</v>
      </c>
      <c r="AE3709">
        <v>0.118600000000014</v>
      </c>
      <c r="AF3709">
        <v>0.10636415510241901</v>
      </c>
      <c r="AG3709">
        <v>-0.13922669999999901</v>
      </c>
      <c r="AH3709">
        <v>0.34921051698121103</v>
      </c>
      <c r="AI3709">
        <v>110.876402509126</v>
      </c>
      <c r="AJ3709">
        <v>73.060070258000394</v>
      </c>
      <c r="AK3709">
        <v>0.390698595664006</v>
      </c>
    </row>
    <row r="3710" spans="1:37" x14ac:dyDescent="0.2">
      <c r="A3710" t="str">
        <f>"20200111153508517"</f>
        <v>20200111153508517</v>
      </c>
      <c r="B3710" t="str">
        <f>"1578728108509867"</f>
        <v>1578728108509867</v>
      </c>
      <c r="C3710" t="s">
        <v>37</v>
      </c>
      <c r="D3710">
        <v>4.8953319999999998</v>
      </c>
      <c r="E3710">
        <v>0.57829019999999898</v>
      </c>
      <c r="F3710" t="s">
        <v>40</v>
      </c>
      <c r="G3710">
        <v>-251.84039999999999</v>
      </c>
      <c r="H3710">
        <v>0.95167019999999902</v>
      </c>
      <c r="I3710">
        <v>142.1875</v>
      </c>
      <c r="J3710">
        <v>-251.51990000000001</v>
      </c>
      <c r="K3710">
        <v>1.104185</v>
      </c>
      <c r="L3710">
        <v>142.05760000000001</v>
      </c>
      <c r="M3710">
        <v>-0.99999369999999999</v>
      </c>
      <c r="N3710">
        <v>0</v>
      </c>
      <c r="O3710">
        <v>-1.5096910000000001E-3</v>
      </c>
      <c r="P3710">
        <v>-0.99871559999999904</v>
      </c>
      <c r="Q3710">
        <v>3.3035559999999999E-2</v>
      </c>
      <c r="R3710">
        <v>-3.8413919999999997E-2</v>
      </c>
      <c r="S3710">
        <v>-3.0425419999999899</v>
      </c>
      <c r="T3710">
        <v>-0.59890379999999999</v>
      </c>
      <c r="U3710">
        <v>0.50567629999999997</v>
      </c>
      <c r="V3710">
        <v>-3.7007859999999997E-2</v>
      </c>
      <c r="W3710">
        <v>3.6150519999999998E-2</v>
      </c>
      <c r="X3710">
        <v>0.99866089999999996</v>
      </c>
      <c r="Y3710">
        <v>0.16238060000000001</v>
      </c>
      <c r="Z3710">
        <v>1.6017449999999999E-2</v>
      </c>
      <c r="AA3710">
        <v>0.98659819999999998</v>
      </c>
      <c r="AB3710">
        <v>44</v>
      </c>
      <c r="AC3710">
        <v>-0.32049999999998102</v>
      </c>
      <c r="AD3710">
        <v>-0.15251480000000001</v>
      </c>
      <c r="AE3710">
        <v>0.12989999999999199</v>
      </c>
      <c r="AF3710">
        <v>0.109153622352748</v>
      </c>
      <c r="AG3710">
        <v>-0.15251480000000001</v>
      </c>
      <c r="AH3710">
        <v>0.26814921801747799</v>
      </c>
      <c r="AI3710">
        <v>117.780056801237</v>
      </c>
      <c r="AJ3710">
        <v>67.850580751432005</v>
      </c>
      <c r="AK3710">
        <v>0.32722970619299102</v>
      </c>
    </row>
    <row r="3711" spans="1:37" x14ac:dyDescent="0.2">
      <c r="A3711" t="str">
        <f>"20200111153508540"</f>
        <v>20200111153508540</v>
      </c>
      <c r="B3711" t="str">
        <f>"1578728108529386"</f>
        <v>1578728108529386</v>
      </c>
      <c r="C3711" t="s">
        <v>37</v>
      </c>
      <c r="D3711">
        <v>4.9039149999999996</v>
      </c>
      <c r="E3711">
        <v>0.57885959999999903</v>
      </c>
      <c r="F3711" t="s">
        <v>40</v>
      </c>
      <c r="G3711">
        <v>-252.2371</v>
      </c>
      <c r="H3711">
        <v>0.96228840000000004</v>
      </c>
      <c r="I3711">
        <v>142.17699999999999</v>
      </c>
      <c r="J3711">
        <v>-251.96700000000001</v>
      </c>
      <c r="K3711">
        <v>1.1041920000000001</v>
      </c>
      <c r="L3711">
        <v>142.05629999999999</v>
      </c>
      <c r="M3711">
        <v>-0.99999159999999998</v>
      </c>
      <c r="N3711">
        <v>0</v>
      </c>
      <c r="O3711">
        <v>-2.5598229999999902E-3</v>
      </c>
      <c r="P3711">
        <v>-0.99869129999999995</v>
      </c>
      <c r="Q3711">
        <v>3.2407619999999998E-2</v>
      </c>
      <c r="R3711">
        <v>-3.9570920000000002E-2</v>
      </c>
      <c r="S3711">
        <v>-3.0432589999999999</v>
      </c>
      <c r="T3711">
        <v>-0.60214449999999997</v>
      </c>
      <c r="U3711">
        <v>0.50642399999999999</v>
      </c>
      <c r="V3711">
        <v>-3.7114870000000001E-2</v>
      </c>
      <c r="W3711">
        <v>3.5541980000000001E-2</v>
      </c>
      <c r="X3711">
        <v>0.99867870000000003</v>
      </c>
      <c r="Y3711">
        <v>0.1635412</v>
      </c>
      <c r="Z3711">
        <v>1.6415920000000001E-2</v>
      </c>
      <c r="AA3711">
        <v>0.9863999</v>
      </c>
      <c r="AB3711">
        <v>44</v>
      </c>
      <c r="AC3711">
        <v>-0.27009999999998502</v>
      </c>
      <c r="AD3711">
        <v>-0.14190359999999999</v>
      </c>
      <c r="AE3711">
        <v>0.12070000000002699</v>
      </c>
      <c r="AF3711">
        <v>9.8685964254640102E-2</v>
      </c>
      <c r="AG3711">
        <v>-0.14190359999999999</v>
      </c>
      <c r="AH3711">
        <v>0.219328424857583</v>
      </c>
      <c r="AI3711">
        <v>120.541338305566</v>
      </c>
      <c r="AJ3711">
        <v>65.774824033204595</v>
      </c>
      <c r="AK3711">
        <v>0.27924990453773901</v>
      </c>
    </row>
    <row r="3712" spans="1:37" x14ac:dyDescent="0.2">
      <c r="A3712" t="str">
        <f>"20200111153508560"</f>
        <v>20200111153508560</v>
      </c>
      <c r="B3712" t="str">
        <f>"1578728108549885"</f>
        <v>1578728108549885</v>
      </c>
      <c r="C3712" t="s">
        <v>37</v>
      </c>
      <c r="D3712">
        <v>4.8907109999999996</v>
      </c>
      <c r="E3712">
        <v>0.58834889999999995</v>
      </c>
      <c r="F3712" t="s">
        <v>40</v>
      </c>
      <c r="G3712">
        <v>-253.0001</v>
      </c>
      <c r="H3712">
        <v>0.89829799999999904</v>
      </c>
      <c r="I3712">
        <v>142.22880000000001</v>
      </c>
      <c r="J3712">
        <v>-252.3751</v>
      </c>
      <c r="K3712">
        <v>1.104196</v>
      </c>
      <c r="L3712">
        <v>142.0547</v>
      </c>
      <c r="M3712">
        <v>-0.99998860000000001</v>
      </c>
      <c r="N3712">
        <v>0</v>
      </c>
      <c r="O3712">
        <v>-3.5176729999999998E-3</v>
      </c>
      <c r="P3712">
        <v>-0.99866690000000002</v>
      </c>
      <c r="Q3712">
        <v>3.184675E-2</v>
      </c>
      <c r="R3712">
        <v>-4.0628049999999999E-2</v>
      </c>
      <c r="S3712">
        <v>-3.0437159999999999</v>
      </c>
      <c r="T3712">
        <v>-0.60662680000000002</v>
      </c>
      <c r="U3712">
        <v>0.50770569999999904</v>
      </c>
      <c r="V3712">
        <v>-3.7214629999999999E-2</v>
      </c>
      <c r="W3712">
        <v>3.4999679999999998E-2</v>
      </c>
      <c r="X3712">
        <v>0.99869419999999898</v>
      </c>
      <c r="Y3712">
        <v>0.16477829999999999</v>
      </c>
      <c r="Z3712">
        <v>1.6841930000000001E-2</v>
      </c>
      <c r="AA3712">
        <v>0.98618680000000003</v>
      </c>
      <c r="AB3712">
        <v>44</v>
      </c>
      <c r="AC3712">
        <v>-0.625</v>
      </c>
      <c r="AD3712">
        <v>-0.205898</v>
      </c>
      <c r="AE3712">
        <v>0.174100000000009</v>
      </c>
      <c r="AF3712">
        <v>0.16016652303381099</v>
      </c>
      <c r="AG3712">
        <v>-0.205898</v>
      </c>
      <c r="AH3712">
        <v>0.56725352397892603</v>
      </c>
      <c r="AI3712">
        <v>109.255128201728</v>
      </c>
      <c r="AJ3712">
        <v>74.232740547738999</v>
      </c>
      <c r="AK3712">
        <v>0.62435876062665296</v>
      </c>
    </row>
    <row r="3713" spans="1:37" x14ac:dyDescent="0.2">
      <c r="A3713" t="str">
        <f>"20200111153508574"</f>
        <v>20200111153508574</v>
      </c>
      <c r="B3713" t="str">
        <f>"1578728108569403"</f>
        <v>1578728108569403</v>
      </c>
      <c r="C3713" t="s">
        <v>37</v>
      </c>
      <c r="D3713">
        <v>4.8333309999999896</v>
      </c>
      <c r="E3713">
        <v>0.59092659999999997</v>
      </c>
      <c r="F3713" t="s">
        <v>40</v>
      </c>
      <c r="G3713">
        <v>-253.38650000000001</v>
      </c>
      <c r="H3713">
        <v>0.87228969999999995</v>
      </c>
      <c r="I3713">
        <v>142.24719999999999</v>
      </c>
      <c r="J3713">
        <v>-252.64879999999999</v>
      </c>
      <c r="K3713">
        <v>1.104198</v>
      </c>
      <c r="L3713">
        <v>142.05340000000001</v>
      </c>
      <c r="M3713">
        <v>-0.99998619999999905</v>
      </c>
      <c r="N3713">
        <v>0</v>
      </c>
      <c r="O3713">
        <v>-4.15945799999999E-3</v>
      </c>
      <c r="P3713">
        <v>-0.99865669999999995</v>
      </c>
      <c r="Q3713">
        <v>3.1487639999999997E-2</v>
      </c>
      <c r="R3713">
        <v>-4.11568E-2</v>
      </c>
      <c r="S3713">
        <v>-3.0498810000000001</v>
      </c>
      <c r="T3713">
        <v>-0.69935999999999998</v>
      </c>
      <c r="U3713">
        <v>0.57984919999999995</v>
      </c>
      <c r="V3713">
        <v>-3.7102209999999997E-2</v>
      </c>
      <c r="W3713">
        <v>3.4653699999999898E-2</v>
      </c>
      <c r="X3713">
        <v>0.99871049999999995</v>
      </c>
      <c r="Y3713">
        <v>0.18609229999999999</v>
      </c>
      <c r="Z3713">
        <v>2.18164E-2</v>
      </c>
      <c r="AA3713">
        <v>0.98229</v>
      </c>
      <c r="AB3713">
        <v>44</v>
      </c>
      <c r="AC3713">
        <v>-0.73770000000001701</v>
      </c>
      <c r="AD3713">
        <v>-0.23190830000000001</v>
      </c>
      <c r="AE3713">
        <v>0.19379999999998099</v>
      </c>
      <c r="AF3713">
        <v>0.180207296847371</v>
      </c>
      <c r="AG3713">
        <v>-0.23190830000000001</v>
      </c>
      <c r="AH3713">
        <v>0.67452981272714496</v>
      </c>
      <c r="AI3713">
        <v>108.37431188385099</v>
      </c>
      <c r="AJ3713">
        <v>75.042203692706906</v>
      </c>
      <c r="AK3713">
        <v>0.73569463617974296</v>
      </c>
    </row>
    <row r="3714" spans="1:37" x14ac:dyDescent="0.2">
      <c r="A3714" t="str">
        <f>"20200111153508593"</f>
        <v>20200111153508593</v>
      </c>
      <c r="B3714" t="str">
        <f>"1578728108589899"</f>
        <v>1578728108589899</v>
      </c>
      <c r="C3714" t="s">
        <v>37</v>
      </c>
      <c r="D3714">
        <v>4.8000749999999996</v>
      </c>
      <c r="E3714">
        <v>0.59169669999999996</v>
      </c>
      <c r="F3714" t="s">
        <v>40</v>
      </c>
      <c r="G3714">
        <v>-253.4085</v>
      </c>
      <c r="H3714">
        <v>0.930392</v>
      </c>
      <c r="I3714">
        <v>142.20269999999999</v>
      </c>
      <c r="J3714">
        <v>-253.02770000000001</v>
      </c>
      <c r="K3714">
        <v>1.104195</v>
      </c>
      <c r="L3714">
        <v>142.0514</v>
      </c>
      <c r="M3714">
        <v>-0.99998199999999904</v>
      </c>
      <c r="N3714">
        <v>0</v>
      </c>
      <c r="O3714">
        <v>-5.0473200000000001E-3</v>
      </c>
      <c r="P3714">
        <v>-0.99861650000000002</v>
      </c>
      <c r="Q3714">
        <v>3.107511E-2</v>
      </c>
      <c r="R3714">
        <v>-4.242481E-2</v>
      </c>
      <c r="S3714">
        <v>-3.050751</v>
      </c>
      <c r="T3714">
        <v>-0.69799909999999998</v>
      </c>
      <c r="U3714">
        <v>0.59896850000000001</v>
      </c>
      <c r="V3714">
        <v>-3.7483229999999999E-2</v>
      </c>
      <c r="W3714">
        <v>3.4257210000000003E-2</v>
      </c>
      <c r="X3714">
        <v>0.99870990000000004</v>
      </c>
      <c r="Y3714">
        <v>0.19268379999999999</v>
      </c>
      <c r="Z3714">
        <v>2.2693109999999999E-2</v>
      </c>
      <c r="AA3714">
        <v>0.9809985</v>
      </c>
      <c r="AB3714">
        <v>44</v>
      </c>
      <c r="AC3714">
        <v>-0.38079999999999298</v>
      </c>
      <c r="AD3714">
        <v>-0.17380300000000001</v>
      </c>
      <c r="AE3714">
        <v>0.151299999999992</v>
      </c>
      <c r="AF3714">
        <v>0.12985709840245999</v>
      </c>
      <c r="AG3714">
        <v>-0.17380300000000001</v>
      </c>
      <c r="AH3714">
        <v>0.32208427815913898</v>
      </c>
      <c r="AI3714">
        <v>116.586775024419</v>
      </c>
      <c r="AJ3714">
        <v>68.041822154372298</v>
      </c>
      <c r="AK3714">
        <v>0.38834086966452502</v>
      </c>
    </row>
    <row r="3715" spans="1:37" x14ac:dyDescent="0.2">
      <c r="A3715" t="str">
        <f>"20200111153508617"</f>
        <v>20200111153508617</v>
      </c>
      <c r="B3715" t="str">
        <f>"1578728108609418"</f>
        <v>1578728108609418</v>
      </c>
      <c r="C3715" t="s">
        <v>37</v>
      </c>
      <c r="D3715">
        <v>4.8290819999999997</v>
      </c>
      <c r="E3715">
        <v>0.59156059999999999</v>
      </c>
      <c r="F3715" t="s">
        <v>40</v>
      </c>
      <c r="G3715">
        <v>-253.80500000000001</v>
      </c>
      <c r="H3715">
        <v>0.92743969999999898</v>
      </c>
      <c r="I3715">
        <v>142.20480000000001</v>
      </c>
      <c r="J3715">
        <v>-253.4957</v>
      </c>
      <c r="K3715">
        <v>1.104195</v>
      </c>
      <c r="L3715">
        <v>142.04839999999999</v>
      </c>
      <c r="M3715">
        <v>-0.99997569999999902</v>
      </c>
      <c r="N3715">
        <v>0</v>
      </c>
      <c r="O3715">
        <v>-6.1426329999999998E-3</v>
      </c>
      <c r="P3715">
        <v>-0.99856180000000005</v>
      </c>
      <c r="Q3715">
        <v>3.0597780000000002E-2</v>
      </c>
      <c r="R3715">
        <v>-4.4024359999999998E-2</v>
      </c>
      <c r="S3715">
        <v>-3.0512999999999999</v>
      </c>
      <c r="T3715">
        <v>-0.69391939999999996</v>
      </c>
      <c r="U3715">
        <v>0.60159300000000004</v>
      </c>
      <c r="V3715">
        <v>-3.7988130000000002E-2</v>
      </c>
      <c r="W3715">
        <v>3.3799709999999997E-2</v>
      </c>
      <c r="X3715">
        <v>0.99870639999999999</v>
      </c>
      <c r="Y3715">
        <v>0.194523</v>
      </c>
      <c r="Z3715">
        <v>2.3006390000000002E-2</v>
      </c>
      <c r="AA3715">
        <v>0.980628099999999</v>
      </c>
      <c r="AB3715">
        <v>44</v>
      </c>
      <c r="AC3715">
        <v>-0.30930000000000701</v>
      </c>
      <c r="AD3715">
        <v>-0.1767553</v>
      </c>
      <c r="AE3715">
        <v>0.156400000000019</v>
      </c>
      <c r="AF3715">
        <v>0.12562480268595699</v>
      </c>
      <c r="AG3715">
        <v>-0.1767553</v>
      </c>
      <c r="AH3715">
        <v>0.24469405541577699</v>
      </c>
      <c r="AI3715">
        <v>122.725269355533</v>
      </c>
      <c r="AJ3715">
        <v>62.824244377006401</v>
      </c>
      <c r="AK3715">
        <v>0.32695444313205901</v>
      </c>
    </row>
    <row r="3716" spans="1:37" x14ac:dyDescent="0.2">
      <c r="A3716" t="str">
        <f>"20200111153508630"</f>
        <v>20200111153508630</v>
      </c>
      <c r="B3716" t="str">
        <f>"1578728108620154"</f>
        <v>1578728108620154</v>
      </c>
      <c r="C3716" t="s">
        <v>37</v>
      </c>
      <c r="D3716">
        <v>4.8027829999999998</v>
      </c>
      <c r="E3716">
        <v>0.59116279999999999</v>
      </c>
      <c r="F3716" t="s">
        <v>40</v>
      </c>
      <c r="G3716">
        <v>-254.20930000000001</v>
      </c>
      <c r="H3716">
        <v>0.94221939999999904</v>
      </c>
      <c r="I3716">
        <v>142.18790000000001</v>
      </c>
      <c r="J3716">
        <v>-253.7647</v>
      </c>
      <c r="K3716">
        <v>1.1042000000000001</v>
      </c>
      <c r="L3716">
        <v>142.04640000000001</v>
      </c>
      <c r="M3716">
        <v>-0.99997169999999902</v>
      </c>
      <c r="N3716">
        <v>0</v>
      </c>
      <c r="O3716">
        <v>-6.7715400000000004E-3</v>
      </c>
      <c r="P3716">
        <v>-0.99852469999999904</v>
      </c>
      <c r="Q3716">
        <v>3.0475720000000001E-2</v>
      </c>
      <c r="R3716">
        <v>-4.4941660000000001E-2</v>
      </c>
      <c r="S3716">
        <v>-3.0518190000000001</v>
      </c>
      <c r="T3716">
        <v>-0.69284959999999995</v>
      </c>
      <c r="U3716">
        <v>0.59594729999999996</v>
      </c>
      <c r="V3716">
        <v>-3.827734E-2</v>
      </c>
      <c r="W3716">
        <v>3.3689150000000001E-2</v>
      </c>
      <c r="X3716">
        <v>0.99869909999999995</v>
      </c>
      <c r="Y3716">
        <v>0.19338749999999999</v>
      </c>
      <c r="Z3716">
        <v>2.298557E-2</v>
      </c>
      <c r="AA3716">
        <v>0.98085309999999903</v>
      </c>
      <c r="AB3716">
        <v>44</v>
      </c>
      <c r="AC3716">
        <v>-0.44460000000000799</v>
      </c>
      <c r="AD3716">
        <v>-0.1619806</v>
      </c>
      <c r="AE3716">
        <v>0.14150000000000701</v>
      </c>
      <c r="AF3716">
        <v>0.12896376926275099</v>
      </c>
      <c r="AG3716">
        <v>-0.1619806</v>
      </c>
      <c r="AH3716">
        <v>0.39591334081656099</v>
      </c>
      <c r="AI3716">
        <v>111.25670921632199</v>
      </c>
      <c r="AJ3716">
        <v>71.957634785341895</v>
      </c>
      <c r="AK3716">
        <v>0.44678489454696901</v>
      </c>
    </row>
    <row r="3717" spans="1:37" x14ac:dyDescent="0.2">
      <c r="A3717" t="str">
        <f>"20200111153508650"</f>
        <v>20200111153508650</v>
      </c>
      <c r="B3717" t="str">
        <f>"1578728108639677"</f>
        <v>1578728108639677</v>
      </c>
      <c r="C3717" t="s">
        <v>37</v>
      </c>
      <c r="D3717">
        <v>4.7817129999999999</v>
      </c>
      <c r="E3717">
        <v>0.59031650000000002</v>
      </c>
      <c r="F3717" t="s">
        <v>40</v>
      </c>
      <c r="G3717">
        <v>-254.5992</v>
      </c>
      <c r="H3717">
        <v>0.91471659999999899</v>
      </c>
      <c r="I3717">
        <v>142.2079</v>
      </c>
      <c r="J3717">
        <v>-254.15860000000001</v>
      </c>
      <c r="K3717">
        <v>1.1042049999999899</v>
      </c>
      <c r="L3717">
        <v>142.04320000000001</v>
      </c>
      <c r="M3717">
        <v>-0.99996479999999999</v>
      </c>
      <c r="N3717">
        <v>0</v>
      </c>
      <c r="O3717">
        <v>-7.6913509999999999E-3</v>
      </c>
      <c r="P3717">
        <v>-0.99845830000000002</v>
      </c>
      <c r="Q3717">
        <v>3.0605380000000001E-2</v>
      </c>
      <c r="R3717">
        <v>-4.6304749999999999E-2</v>
      </c>
      <c r="S3717">
        <v>-3.0521699999999998</v>
      </c>
      <c r="T3717">
        <v>-0.69307489999999905</v>
      </c>
      <c r="U3717">
        <v>0.59021000000000001</v>
      </c>
      <c r="V3717">
        <v>-3.8723359999999998E-2</v>
      </c>
      <c r="W3717">
        <v>3.3835459999999998E-2</v>
      </c>
      <c r="X3717">
        <v>0.99867700000000004</v>
      </c>
      <c r="Y3717">
        <v>0.1924862</v>
      </c>
      <c r="Z3717">
        <v>2.30986E-2</v>
      </c>
      <c r="AA3717">
        <v>0.98102780000000001</v>
      </c>
      <c r="AB3717">
        <v>45</v>
      </c>
      <c r="AC3717">
        <v>-0.440599999999989</v>
      </c>
      <c r="AD3717">
        <v>-0.1894884</v>
      </c>
      <c r="AE3717">
        <v>0.164699999999982</v>
      </c>
      <c r="AF3717">
        <v>0.14461533460637399</v>
      </c>
      <c r="AG3717">
        <v>-0.1894884</v>
      </c>
      <c r="AH3717">
        <v>0.37798037510496302</v>
      </c>
      <c r="AI3717">
        <v>115.089861338383</v>
      </c>
      <c r="AJ3717">
        <v>69.063143632022602</v>
      </c>
      <c r="AK3717">
        <v>0.44686531830335902</v>
      </c>
    </row>
    <row r="3718" spans="1:37" x14ac:dyDescent="0.2">
      <c r="A3718" t="str">
        <f>"20200111153508671"</f>
        <v>20200111153508671</v>
      </c>
      <c r="B3718" t="str">
        <f>"1578728108660170"</f>
        <v>1578728108660170</v>
      </c>
      <c r="C3718" t="s">
        <v>37</v>
      </c>
      <c r="D3718">
        <v>4.7108290000000004</v>
      </c>
      <c r="E3718">
        <v>0.5898139</v>
      </c>
      <c r="F3718" t="s">
        <v>40</v>
      </c>
      <c r="G3718">
        <v>-255</v>
      </c>
      <c r="H3718">
        <v>0.91339349999999997</v>
      </c>
      <c r="I3718">
        <v>142.203</v>
      </c>
      <c r="J3718">
        <v>-254.59950000000001</v>
      </c>
      <c r="K3718">
        <v>1.104204</v>
      </c>
      <c r="L3718">
        <v>142.0393</v>
      </c>
      <c r="M3718">
        <v>-0.99995639999999997</v>
      </c>
      <c r="N3718">
        <v>0</v>
      </c>
      <c r="O3718">
        <v>-8.7176240000000002E-3</v>
      </c>
      <c r="P3718">
        <v>-0.99835949999999996</v>
      </c>
      <c r="Q3718">
        <v>3.098793E-2</v>
      </c>
      <c r="R3718">
        <v>-4.8149270000000001E-2</v>
      </c>
      <c r="S3718">
        <v>-3.0527039999999999</v>
      </c>
      <c r="T3718">
        <v>-0.69230769999999997</v>
      </c>
      <c r="U3718">
        <v>0.57925419999999905</v>
      </c>
      <c r="V3718">
        <v>-3.9545219999999999E-2</v>
      </c>
      <c r="W3718">
        <v>3.4235759999999997E-2</v>
      </c>
      <c r="X3718">
        <v>0.99863109999999999</v>
      </c>
      <c r="Y3718">
        <v>0.190105</v>
      </c>
      <c r="Z3718">
        <v>2.3040809999999998E-2</v>
      </c>
      <c r="AA3718">
        <v>0.98149339999999996</v>
      </c>
      <c r="AB3718">
        <v>45</v>
      </c>
      <c r="AC3718">
        <v>-0.40049999999999297</v>
      </c>
      <c r="AD3718">
        <v>-0.19081049999999999</v>
      </c>
      <c r="AE3718">
        <v>0.16370000000000501</v>
      </c>
      <c r="AF3718">
        <v>0.139963347507473</v>
      </c>
      <c r="AG3718">
        <v>-0.19081049999999999</v>
      </c>
      <c r="AH3718">
        <v>0.33408129902991301</v>
      </c>
      <c r="AI3718">
        <v>117.77969010546001</v>
      </c>
      <c r="AJ3718">
        <v>67.268754841459597</v>
      </c>
      <c r="AK3718">
        <v>0.40940041514055903</v>
      </c>
    </row>
    <row r="3719" spans="1:37" x14ac:dyDescent="0.2">
      <c r="A3719" t="str">
        <f>"20200111153508696"</f>
        <v>20200111153508696</v>
      </c>
      <c r="B3719" t="str">
        <f>"1578728108689451"</f>
        <v>1578728108689451</v>
      </c>
      <c r="C3719" t="s">
        <v>37</v>
      </c>
      <c r="D3719">
        <v>4.8490699999999904</v>
      </c>
      <c r="E3719">
        <v>0.58940760000000003</v>
      </c>
      <c r="F3719" t="s">
        <v>40</v>
      </c>
      <c r="G3719">
        <v>-255.4058</v>
      </c>
      <c r="H3719">
        <v>0.92151629999999995</v>
      </c>
      <c r="I3719">
        <v>142.18979999999999</v>
      </c>
      <c r="J3719">
        <v>-255.09719999999999</v>
      </c>
      <c r="K3719">
        <v>1.1042130000000001</v>
      </c>
      <c r="L3719">
        <v>142.0343</v>
      </c>
      <c r="M3719">
        <v>-0.99994570000000005</v>
      </c>
      <c r="N3719">
        <v>0</v>
      </c>
      <c r="O3719">
        <v>-9.867631E-3</v>
      </c>
      <c r="P3719">
        <v>-0.99828220000000001</v>
      </c>
      <c r="Q3719">
        <v>3.10565999999999E-2</v>
      </c>
      <c r="R3719">
        <v>-4.9686929999999997E-2</v>
      </c>
      <c r="S3719">
        <v>-3.0538789999999998</v>
      </c>
      <c r="T3719">
        <v>-0.69209169999999998</v>
      </c>
      <c r="U3719">
        <v>0.56927490000000003</v>
      </c>
      <c r="V3719">
        <v>-3.9935560000000002E-2</v>
      </c>
      <c r="W3719">
        <v>3.4326790000000003E-2</v>
      </c>
      <c r="X3719">
        <v>0.99861250000000001</v>
      </c>
      <c r="Y3719">
        <v>0.1880898</v>
      </c>
      <c r="Z3719">
        <v>2.306364E-2</v>
      </c>
      <c r="AA3719">
        <v>0.981881</v>
      </c>
      <c r="AB3719">
        <v>45</v>
      </c>
      <c r="AC3719">
        <v>-0.30860000000001198</v>
      </c>
      <c r="AD3719">
        <v>-0.18269669999999899</v>
      </c>
      <c r="AE3719">
        <v>0.15549999999998901</v>
      </c>
      <c r="AF3719">
        <v>0.123904428740373</v>
      </c>
      <c r="AG3719">
        <v>-0.18269669999999899</v>
      </c>
      <c r="AH3719">
        <v>0.239974136488525</v>
      </c>
      <c r="AI3719">
        <v>124.077147586794</v>
      </c>
      <c r="AJ3719">
        <v>62.6916032042962</v>
      </c>
      <c r="AK3719">
        <v>0.32606437682730899</v>
      </c>
    </row>
    <row r="3720" spans="1:37" x14ac:dyDescent="0.2">
      <c r="A3720" t="str">
        <f>"20200111153508717"</f>
        <v>20200111153508717</v>
      </c>
      <c r="B3720" t="str">
        <f>"1578728108709946"</f>
        <v>1578728108709946</v>
      </c>
      <c r="C3720" t="s">
        <v>37</v>
      </c>
      <c r="D3720">
        <v>4.7218589999999896</v>
      </c>
      <c r="E3720">
        <v>0.5862252</v>
      </c>
      <c r="F3720" t="s">
        <v>40</v>
      </c>
      <c r="G3720">
        <v>-255.81710000000001</v>
      </c>
      <c r="H3720">
        <v>0.94124560000000002</v>
      </c>
      <c r="I3720">
        <v>142.16669999999999</v>
      </c>
      <c r="J3720">
        <v>-255.52420000000001</v>
      </c>
      <c r="K3720">
        <v>1.1042130000000001</v>
      </c>
      <c r="L3720">
        <v>142.02959999999999</v>
      </c>
      <c r="M3720">
        <v>-0.99993529999999997</v>
      </c>
      <c r="N3720">
        <v>0</v>
      </c>
      <c r="O3720">
        <v>-1.084308E-2</v>
      </c>
      <c r="P3720">
        <v>-0.99820239999999905</v>
      </c>
      <c r="Q3720">
        <v>3.1857620000000003E-2</v>
      </c>
      <c r="R3720">
        <v>-5.0764910000000003E-2</v>
      </c>
      <c r="S3720">
        <v>-3.0546570000000002</v>
      </c>
      <c r="T3720">
        <v>-0.69153629999999999</v>
      </c>
      <c r="U3720">
        <v>0.56124879999999999</v>
      </c>
      <c r="V3720">
        <v>-4.0042990000000001E-2</v>
      </c>
      <c r="W3720">
        <v>3.514693E-2</v>
      </c>
      <c r="X3720">
        <v>0.99857960000000001</v>
      </c>
      <c r="Y3720">
        <v>0.18652859999999999</v>
      </c>
      <c r="Z3720">
        <v>2.3088520000000001E-2</v>
      </c>
      <c r="AA3720">
        <v>0.982178199999999</v>
      </c>
      <c r="AB3720">
        <v>45</v>
      </c>
      <c r="AC3720">
        <v>-0.29290000000000299</v>
      </c>
      <c r="AD3720">
        <v>-0.16296739999999901</v>
      </c>
      <c r="AE3720">
        <v>0.137100000000003</v>
      </c>
      <c r="AF3720">
        <v>0.111862073681399</v>
      </c>
      <c r="AG3720">
        <v>-0.16296739999999901</v>
      </c>
      <c r="AH3720">
        <v>0.23238518792718199</v>
      </c>
      <c r="AI3720">
        <v>122.288155921936</v>
      </c>
      <c r="AJ3720">
        <v>64.295468827308994</v>
      </c>
      <c r="AK3720">
        <v>0.30508092788474001</v>
      </c>
    </row>
    <row r="3721" spans="1:37" x14ac:dyDescent="0.2">
      <c r="A3721" t="str">
        <f>"20200111153508740"</f>
        <v>20200111153508740</v>
      </c>
      <c r="B3721" t="str">
        <f>"1578728108729465"</f>
        <v>1578728108729465</v>
      </c>
      <c r="C3721" t="s">
        <v>37</v>
      </c>
      <c r="D3721">
        <v>4.8053929999999996</v>
      </c>
      <c r="E3721">
        <v>0.51039029999999996</v>
      </c>
      <c r="F3721" t="s">
        <v>40</v>
      </c>
      <c r="G3721">
        <v>-256.2251</v>
      </c>
      <c r="H3721">
        <v>0.94779040000000003</v>
      </c>
      <c r="I3721">
        <v>142.15170000000001</v>
      </c>
      <c r="J3721">
        <v>-255.96530000000001</v>
      </c>
      <c r="K3721">
        <v>1.1042080000000001</v>
      </c>
      <c r="L3721">
        <v>142.02430000000001</v>
      </c>
      <c r="M3721">
        <v>-0.99992409999999998</v>
      </c>
      <c r="N3721">
        <v>0</v>
      </c>
      <c r="O3721">
        <v>-1.1835780000000001E-2</v>
      </c>
      <c r="P3721">
        <v>-0.99813799999999997</v>
      </c>
      <c r="Q3721">
        <v>3.2241140000000001E-2</v>
      </c>
      <c r="R3721">
        <v>-5.1781889999999997E-2</v>
      </c>
      <c r="S3721">
        <v>-3.05425999999999</v>
      </c>
      <c r="T3721">
        <v>-0.68157389999999995</v>
      </c>
      <c r="U3721">
        <v>0.53265379999999996</v>
      </c>
      <c r="V3721">
        <v>-4.007003E-2</v>
      </c>
      <c r="W3721">
        <v>3.5551510000000001E-2</v>
      </c>
      <c r="X3721">
        <v>0.99856420000000001</v>
      </c>
      <c r="Y3721">
        <v>0.1788949</v>
      </c>
      <c r="Z3721">
        <v>2.2166580000000002E-2</v>
      </c>
      <c r="AA3721">
        <v>0.9836184</v>
      </c>
      <c r="AB3721">
        <v>45</v>
      </c>
      <c r="AC3721">
        <v>-0.25979999999998399</v>
      </c>
      <c r="AD3721">
        <v>-0.15641759999999999</v>
      </c>
      <c r="AE3721">
        <v>0.12739999999999399</v>
      </c>
      <c r="AF3721">
        <v>0.100962875293842</v>
      </c>
      <c r="AG3721">
        <v>-0.15641759999999999</v>
      </c>
      <c r="AH3721">
        <v>0.199868709881315</v>
      </c>
      <c r="AI3721">
        <v>124.935704979932</v>
      </c>
      <c r="AJ3721">
        <v>63.199560330366403</v>
      </c>
      <c r="AK3721">
        <v>0.27314367824824598</v>
      </c>
    </row>
    <row r="3722" spans="1:37" x14ac:dyDescent="0.2">
      <c r="A3722" t="str">
        <f>"20200111153508760"</f>
        <v>20200111153508760</v>
      </c>
      <c r="B3722" t="str">
        <f>"1578728108749967"</f>
        <v>1578728108749967</v>
      </c>
      <c r="C3722" t="s">
        <v>37</v>
      </c>
      <c r="D3722">
        <v>4.8082969999999996</v>
      </c>
      <c r="E3722">
        <v>0.50544209999999901</v>
      </c>
      <c r="F3722" t="s">
        <v>40</v>
      </c>
      <c r="G3722">
        <v>-257.05650000000003</v>
      </c>
      <c r="H3722">
        <v>0.98604130000000001</v>
      </c>
      <c r="I3722">
        <v>141.99780000000001</v>
      </c>
      <c r="J3722">
        <v>-256.3997</v>
      </c>
      <c r="K3722">
        <v>1.1041969999999901</v>
      </c>
      <c r="L3722">
        <v>142.0187</v>
      </c>
      <c r="M3722">
        <v>-0.99991229999999998</v>
      </c>
      <c r="N3722">
        <v>0</v>
      </c>
      <c r="O3722">
        <v>-1.278958E-2</v>
      </c>
      <c r="P3722">
        <v>-0.99808750000000002</v>
      </c>
      <c r="Q3722">
        <v>3.2225400000000001E-2</v>
      </c>
      <c r="R3722">
        <v>-5.2754669999999997E-2</v>
      </c>
      <c r="S3722">
        <v>-3.0123289999999998</v>
      </c>
      <c r="T3722">
        <v>-0.32625569999999998</v>
      </c>
      <c r="U3722">
        <v>-7.3486330000000002E-2</v>
      </c>
      <c r="V3722">
        <v>-4.0090489999999999E-2</v>
      </c>
      <c r="W3722">
        <v>3.5557699999999998E-2</v>
      </c>
      <c r="X3722">
        <v>0.99856319999999998</v>
      </c>
      <c r="Y3722">
        <v>-1.1606989999999999E-2</v>
      </c>
      <c r="Z3722">
        <v>7.542502E-4</v>
      </c>
      <c r="AA3722">
        <v>0.9999323</v>
      </c>
      <c r="AB3722">
        <v>46</v>
      </c>
      <c r="AC3722">
        <v>-0.65680000000003202</v>
      </c>
      <c r="AD3722">
        <v>-0.118155699999999</v>
      </c>
      <c r="AE3722">
        <v>-2.0899999999983199E-2</v>
      </c>
      <c r="AF3722">
        <v>-1.2106639097003E-2</v>
      </c>
      <c r="AG3722">
        <v>-0.118155699999999</v>
      </c>
      <c r="AH3722">
        <v>0.63643765685437104</v>
      </c>
      <c r="AI3722">
        <v>100.515455140443</v>
      </c>
      <c r="AJ3722">
        <v>91.089777870364202</v>
      </c>
      <c r="AK3722">
        <v>0.64742584997434005</v>
      </c>
    </row>
    <row r="3723" spans="1:37" x14ac:dyDescent="0.2">
      <c r="A3723" t="str">
        <f>"20200111153508784"</f>
        <v>20200111153508784</v>
      </c>
      <c r="B3723" t="str">
        <f>"1578728108769482"</f>
        <v>1578728108769482</v>
      </c>
      <c r="C3723" t="s">
        <v>37</v>
      </c>
      <c r="D3723">
        <v>4.7697310000000002</v>
      </c>
      <c r="E3723">
        <v>0.50386690000000001</v>
      </c>
      <c r="F3723" t="s">
        <v>40</v>
      </c>
      <c r="G3723">
        <v>-257.49130000000002</v>
      </c>
      <c r="H3723">
        <v>1.0327170000000001</v>
      </c>
      <c r="I3723">
        <v>141.9769</v>
      </c>
      <c r="J3723">
        <v>-256.85430000000002</v>
      </c>
      <c r="K3723">
        <v>1.1041780000000001</v>
      </c>
      <c r="L3723">
        <v>142.01230000000001</v>
      </c>
      <c r="M3723">
        <v>-0.99989930000000005</v>
      </c>
      <c r="N3723">
        <v>0</v>
      </c>
      <c r="O3723">
        <v>-1.376398E-2</v>
      </c>
      <c r="P3723">
        <v>-0.99800949999999899</v>
      </c>
      <c r="Q3723">
        <v>3.2002059999999999E-2</v>
      </c>
      <c r="R3723">
        <v>-5.4341689999999998E-2</v>
      </c>
      <c r="S3723">
        <v>-3.0060119999999899</v>
      </c>
      <c r="T3723">
        <v>-0.1968963</v>
      </c>
      <c r="U3723">
        <v>-0.115280199999999</v>
      </c>
      <c r="V3723">
        <v>-4.0703110000000001E-2</v>
      </c>
      <c r="W3723">
        <v>3.5354699999999899E-2</v>
      </c>
      <c r="X3723">
        <v>0.99854560000000003</v>
      </c>
      <c r="Y3723">
        <v>-2.4541049999999998E-2</v>
      </c>
      <c r="Z3723" s="1">
        <v>9.7606909999999901E-5</v>
      </c>
      <c r="AA3723">
        <v>0.9996988</v>
      </c>
      <c r="AB3723">
        <v>46</v>
      </c>
      <c r="AC3723">
        <v>-0.63700000000000001</v>
      </c>
      <c r="AD3723">
        <v>-7.1460999999999997E-2</v>
      </c>
      <c r="AE3723">
        <v>-3.5400000000009799E-2</v>
      </c>
      <c r="AF3723">
        <v>-2.6298980684618101E-2</v>
      </c>
      <c r="AG3723">
        <v>-7.1460999999999997E-2</v>
      </c>
      <c r="AH3723">
        <v>0.62952856997185103</v>
      </c>
      <c r="AI3723">
        <v>96.470618513455506</v>
      </c>
      <c r="AJ3723">
        <v>92.392178871642102</v>
      </c>
      <c r="AK3723">
        <v>0.63411712744323001</v>
      </c>
    </row>
    <row r="3724" spans="1:37" x14ac:dyDescent="0.2">
      <c r="A3724" t="str">
        <f>"20200111153508805"</f>
        <v>20200111153508805</v>
      </c>
      <c r="B3724" t="str">
        <f>"1578728108799738"</f>
        <v>1578728108799738</v>
      </c>
      <c r="C3724" t="s">
        <v>37</v>
      </c>
      <c r="D3724">
        <v>4.7196730000000002</v>
      </c>
      <c r="E3724">
        <v>0.50286750000000002</v>
      </c>
      <c r="F3724" t="s">
        <v>39</v>
      </c>
      <c r="G3724">
        <v>-279.12439999999998</v>
      </c>
      <c r="H3724" s="1">
        <v>-7.3468140000000001E-7</v>
      </c>
      <c r="I3724">
        <v>141.03200000000001</v>
      </c>
      <c r="J3724">
        <v>-257.32549999999998</v>
      </c>
      <c r="K3724">
        <v>1.104152</v>
      </c>
      <c r="L3724">
        <v>142.00530000000001</v>
      </c>
      <c r="M3724">
        <v>-0.99988529999999998</v>
      </c>
      <c r="N3724">
        <v>0</v>
      </c>
      <c r="O3724">
        <v>-1.4742399999999999E-2</v>
      </c>
      <c r="P3724">
        <v>-0.99791289999999999</v>
      </c>
      <c r="Q3724">
        <v>3.1799210000000001E-2</v>
      </c>
      <c r="R3724">
        <v>-5.6205430000000001E-2</v>
      </c>
      <c r="S3724">
        <v>-3.003571</v>
      </c>
      <c r="T3724">
        <v>-0.14892069999999999</v>
      </c>
      <c r="U3724">
        <v>-0.13220209999999999</v>
      </c>
      <c r="V3724">
        <v>-4.1588989999999999E-2</v>
      </c>
      <c r="W3724">
        <v>3.5173139999999999E-2</v>
      </c>
      <c r="X3724">
        <v>0.9985155</v>
      </c>
      <c r="Y3724">
        <v>-2.9221670000000002E-2</v>
      </c>
      <c r="Z3724" s="1">
        <v>6.4414340000000004E-6</v>
      </c>
      <c r="AA3724">
        <v>0.99957289999999999</v>
      </c>
      <c r="AB3724">
        <v>46</v>
      </c>
      <c r="AC3724">
        <v>-21.7989</v>
      </c>
      <c r="AD3724">
        <v>-1.1041527346814</v>
      </c>
      <c r="AE3724">
        <v>-0.97329999999999395</v>
      </c>
      <c r="AF3724">
        <v>-0.65015945472820003</v>
      </c>
      <c r="AG3724">
        <v>-1.1041527346814</v>
      </c>
      <c r="AH3724">
        <v>21.755175781971801</v>
      </c>
      <c r="AI3724">
        <v>92.904177646461306</v>
      </c>
      <c r="AJ3724">
        <v>91.711790746689005</v>
      </c>
      <c r="AK3724">
        <v>21.7928780541389</v>
      </c>
    </row>
    <row r="3725" spans="1:37" x14ac:dyDescent="0.2">
      <c r="A3725" t="str">
        <f>"20200111153508828"</f>
        <v>20200111153508828</v>
      </c>
      <c r="B3725" t="str">
        <f>"1578728108819865"</f>
        <v>1578728108819865</v>
      </c>
      <c r="C3725" t="s">
        <v>37</v>
      </c>
      <c r="D3725">
        <v>4.7428819999999998</v>
      </c>
      <c r="E3725">
        <v>0.50267729999999999</v>
      </c>
      <c r="F3725" t="s">
        <v>51</v>
      </c>
      <c r="G3725">
        <v>-283.4434</v>
      </c>
      <c r="H3725" s="1">
        <v>-5.5079509999999997E-6</v>
      </c>
      <c r="I3725">
        <v>140.73929999999999</v>
      </c>
      <c r="J3725">
        <v>-257.78870000000001</v>
      </c>
      <c r="K3725">
        <v>1.1041239999999899</v>
      </c>
      <c r="L3725">
        <v>141.99799999999999</v>
      </c>
      <c r="M3725">
        <v>-0.99987130000000002</v>
      </c>
      <c r="N3725">
        <v>0</v>
      </c>
      <c r="O3725">
        <v>-1.5660670000000002E-2</v>
      </c>
      <c r="P3725">
        <v>-0.99784289999999998</v>
      </c>
      <c r="Q3725">
        <v>3.1503829999999997E-2</v>
      </c>
      <c r="R3725">
        <v>-5.7594569999999998E-2</v>
      </c>
      <c r="S3725">
        <v>-3.0021360000000001</v>
      </c>
      <c r="T3725">
        <v>-0.1269178</v>
      </c>
      <c r="U3725">
        <v>-0.14552309999999999</v>
      </c>
      <c r="V3725">
        <v>-4.2059319999999997E-2</v>
      </c>
      <c r="W3725">
        <v>3.4900550000000002E-2</v>
      </c>
      <c r="X3725">
        <v>0.99850539999999999</v>
      </c>
      <c r="Y3725">
        <v>-3.2752759999999999E-2</v>
      </c>
      <c r="Z3725" s="1">
        <v>-3.0304829999999899E-5</v>
      </c>
      <c r="AA3725">
        <v>0.99946349999999995</v>
      </c>
      <c r="AB3725">
        <v>46</v>
      </c>
      <c r="AC3725">
        <v>-25.654699999999899</v>
      </c>
      <c r="AD3725">
        <v>-1.1041295079509901</v>
      </c>
      <c r="AE3725">
        <v>-1.2586999999999999</v>
      </c>
      <c r="AF3725">
        <v>-0.85519315821282604</v>
      </c>
      <c r="AG3725">
        <v>-1.1041295079509901</v>
      </c>
      <c r="AH3725">
        <v>25.623917342368301</v>
      </c>
      <c r="AI3725">
        <v>92.465966138444003</v>
      </c>
      <c r="AJ3725">
        <v>91.911525750915601</v>
      </c>
      <c r="AK3725">
        <v>25.661948431027302</v>
      </c>
    </row>
    <row r="3726" spans="1:37" x14ac:dyDescent="0.2">
      <c r="A3726" t="str">
        <f>"20200111153508850"</f>
        <v>20200111153508850</v>
      </c>
      <c r="B3726" t="str">
        <f>"1578728108839382"</f>
        <v>1578728108839382</v>
      </c>
      <c r="C3726" t="s">
        <v>37</v>
      </c>
      <c r="D3726">
        <v>4.7560650000000004</v>
      </c>
      <c r="E3726">
        <v>0.5026292</v>
      </c>
      <c r="F3726" t="s">
        <v>51</v>
      </c>
      <c r="G3726">
        <v>-284.77850000000001</v>
      </c>
      <c r="H3726" s="1">
        <v>-6.0672080000000003E-6</v>
      </c>
      <c r="I3726">
        <v>140.63800000000001</v>
      </c>
      <c r="J3726">
        <v>-258.23779999999999</v>
      </c>
      <c r="K3726">
        <v>1.1040889999999901</v>
      </c>
      <c r="L3726">
        <v>141.9906</v>
      </c>
      <c r="M3726">
        <v>-0.99985769999999996</v>
      </c>
      <c r="N3726">
        <v>0</v>
      </c>
      <c r="O3726">
        <v>-1.6496500000000001E-2</v>
      </c>
      <c r="P3726">
        <v>-0.99773400000000001</v>
      </c>
      <c r="Q3726">
        <v>3.1706129999999999E-2</v>
      </c>
      <c r="R3726">
        <v>-5.9345809999999999E-2</v>
      </c>
      <c r="S3726">
        <v>-3.0016479999999999</v>
      </c>
      <c r="T3726">
        <v>-0.122795</v>
      </c>
      <c r="U3726">
        <v>-0.15126039999999999</v>
      </c>
      <c r="V3726">
        <v>-4.2975029999999997E-2</v>
      </c>
      <c r="W3726">
        <v>3.5124049999999997E-2</v>
      </c>
      <c r="X3726">
        <v>0.99845859999999997</v>
      </c>
      <c r="Y3726">
        <v>-3.3831569999999998E-2</v>
      </c>
      <c r="Z3726" s="1">
        <v>-1.7223239999999899E-5</v>
      </c>
      <c r="AA3726">
        <v>0.99942759999999997</v>
      </c>
      <c r="AB3726">
        <v>46</v>
      </c>
      <c r="AC3726">
        <v>-26.540700000000001</v>
      </c>
      <c r="AD3726">
        <v>-1.1040950672079901</v>
      </c>
      <c r="AE3726">
        <v>-1.35259999999999</v>
      </c>
      <c r="AF3726">
        <v>-0.91300862989481701</v>
      </c>
      <c r="AG3726">
        <v>-1.1040950672079901</v>
      </c>
      <c r="AH3726">
        <v>26.513636954976999</v>
      </c>
      <c r="AI3726">
        <v>92.383152887517895</v>
      </c>
      <c r="AJ3726">
        <v>91.972225800065701</v>
      </c>
      <c r="AK3726">
        <v>26.552317323654101</v>
      </c>
    </row>
    <row r="3727" spans="1:37" x14ac:dyDescent="0.2">
      <c r="A3727" t="str">
        <f>"20200111153508872"</f>
        <v>20200111153508872</v>
      </c>
      <c r="B3727" t="str">
        <f>"1578728108859879"</f>
        <v>1578728108859879</v>
      </c>
      <c r="C3727" t="s">
        <v>37</v>
      </c>
      <c r="D3727">
        <v>4.7411479999999999</v>
      </c>
      <c r="E3727">
        <v>0.50275579999999997</v>
      </c>
      <c r="F3727" t="s">
        <v>51</v>
      </c>
      <c r="G3727">
        <v>-286.78539999999998</v>
      </c>
      <c r="H3727" s="1">
        <v>-7.2395610000000001E-6</v>
      </c>
      <c r="I3727">
        <v>140.4991</v>
      </c>
      <c r="J3727">
        <v>-258.69569999999999</v>
      </c>
      <c r="K3727">
        <v>1.104044</v>
      </c>
      <c r="L3727">
        <v>141.98269999999999</v>
      </c>
      <c r="M3727">
        <v>-0.99984430000000002</v>
      </c>
      <c r="N3727">
        <v>0</v>
      </c>
      <c r="O3727">
        <v>-1.7279900000000001E-2</v>
      </c>
      <c r="P3727">
        <v>-0.99762640000000002</v>
      </c>
      <c r="Q3727">
        <v>3.2172119999999998E-2</v>
      </c>
      <c r="R3727">
        <v>-6.0881249999999998E-2</v>
      </c>
      <c r="S3727">
        <v>-3.0011899999999998</v>
      </c>
      <c r="T3727">
        <v>-0.116072699999999</v>
      </c>
      <c r="U3727">
        <v>-0.1567993</v>
      </c>
      <c r="V3727">
        <v>-4.3727460000000003E-2</v>
      </c>
      <c r="W3727">
        <v>3.5614420000000001E-2</v>
      </c>
      <c r="X3727">
        <v>0.99840849999999903</v>
      </c>
      <c r="Y3727">
        <v>-3.4897160000000003E-2</v>
      </c>
      <c r="Z3727" s="1">
        <v>-6.6127399999999903E-6</v>
      </c>
      <c r="AA3727">
        <v>0.99939089999999997</v>
      </c>
      <c r="AB3727">
        <v>46</v>
      </c>
      <c r="AC3727">
        <v>-28.089700000000001</v>
      </c>
      <c r="AD3727">
        <v>-1.104051239561</v>
      </c>
      <c r="AE3727">
        <v>-1.48359999999999</v>
      </c>
      <c r="AF3727">
        <v>-0.99645309299816798</v>
      </c>
      <c r="AG3727">
        <v>-1.104051239561</v>
      </c>
      <c r="AH3727">
        <v>28.067902663030999</v>
      </c>
      <c r="AI3727">
        <v>92.251152076301196</v>
      </c>
      <c r="AJ3727">
        <v>92.033233114666004</v>
      </c>
      <c r="AK3727">
        <v>28.107276776797601</v>
      </c>
    </row>
    <row r="3728" spans="1:37" x14ac:dyDescent="0.2">
      <c r="A3728" t="str">
        <f>"20200111153508895"</f>
        <v>20200111153508895</v>
      </c>
      <c r="B3728" t="str">
        <f>"1578728108890135"</f>
        <v>1578728108890135</v>
      </c>
      <c r="C3728" t="s">
        <v>37</v>
      </c>
      <c r="D3728">
        <v>4.7403240000000002</v>
      </c>
      <c r="E3728">
        <v>0.50276120000000002</v>
      </c>
      <c r="F3728" t="s">
        <v>51</v>
      </c>
      <c r="G3728">
        <v>-289.12880000000001</v>
      </c>
      <c r="H3728" s="1">
        <v>-8.6523069999999993E-6</v>
      </c>
      <c r="I3728">
        <v>140.35679999999999</v>
      </c>
      <c r="J3728">
        <v>-259.18650000000002</v>
      </c>
      <c r="K3728">
        <v>1.1039779999999999</v>
      </c>
      <c r="L3728">
        <v>141.97389999999999</v>
      </c>
      <c r="M3728">
        <v>-0.99983109999999997</v>
      </c>
      <c r="N3728">
        <v>0</v>
      </c>
      <c r="O3728">
        <v>-1.8029670000000001E-2</v>
      </c>
      <c r="P3728">
        <v>-0.99749200000000005</v>
      </c>
      <c r="Q3728">
        <v>3.209795E-2</v>
      </c>
      <c r="R3728">
        <v>-6.3083920000000002E-2</v>
      </c>
      <c r="S3728">
        <v>-3.0008240000000002</v>
      </c>
      <c r="T3728">
        <v>-0.10886419999999999</v>
      </c>
      <c r="U3728">
        <v>-0.1603241</v>
      </c>
      <c r="V3728">
        <v>-4.5177620000000002E-2</v>
      </c>
      <c r="W3728">
        <v>3.5565810000000003E-2</v>
      </c>
      <c r="X3728">
        <v>0.9983457</v>
      </c>
      <c r="Y3728">
        <v>-3.532648E-2</v>
      </c>
      <c r="Z3728" s="1">
        <v>1.317885E-5</v>
      </c>
      <c r="AA3728">
        <v>0.99937580000000004</v>
      </c>
      <c r="AB3728">
        <v>46</v>
      </c>
      <c r="AC3728">
        <v>-29.9422999999999</v>
      </c>
      <c r="AD3728">
        <v>-1.1039866523070001</v>
      </c>
      <c r="AE3728">
        <v>-1.61709999999999</v>
      </c>
      <c r="AF3728">
        <v>-1.07552607217387</v>
      </c>
      <c r="AG3728">
        <v>-1.1039866523070001</v>
      </c>
      <c r="AH3728">
        <v>29.926024785854899</v>
      </c>
      <c r="AI3728">
        <v>92.111351227527194</v>
      </c>
      <c r="AJ3728">
        <v>92.058295209951595</v>
      </c>
      <c r="AK3728">
        <v>29.965688751370202</v>
      </c>
    </row>
    <row r="3729" spans="1:37" x14ac:dyDescent="0.2">
      <c r="A3729" t="str">
        <f>"20200111153508918"</f>
        <v>20200111153508918</v>
      </c>
      <c r="B3729" t="str">
        <f>"1578728108909726"</f>
        <v>1578728108909726</v>
      </c>
      <c r="C3729" t="s">
        <v>37</v>
      </c>
      <c r="D3729">
        <v>4.7464500000000003</v>
      </c>
      <c r="E3729">
        <v>0.50296620000000003</v>
      </c>
      <c r="F3729" t="s">
        <v>51</v>
      </c>
      <c r="G3729">
        <v>-290.84370000000001</v>
      </c>
      <c r="H3729" s="1">
        <v>-9.0092330000000003E-6</v>
      </c>
      <c r="I3729">
        <v>140.21639999999999</v>
      </c>
      <c r="J3729">
        <v>-259.66739999999999</v>
      </c>
      <c r="K3729">
        <v>1.103898</v>
      </c>
      <c r="L3729">
        <v>141.9649</v>
      </c>
      <c r="M3729">
        <v>-0.99981939999999903</v>
      </c>
      <c r="N3729">
        <v>0</v>
      </c>
      <c r="O3729">
        <v>-1.8661230000000001E-2</v>
      </c>
      <c r="P3729">
        <v>-0.99738320000000003</v>
      </c>
      <c r="Q3729">
        <v>3.184385E-2</v>
      </c>
      <c r="R3729">
        <v>-6.4906290000000005E-2</v>
      </c>
      <c r="S3729">
        <v>-3.0003660000000001</v>
      </c>
      <c r="T3729">
        <v>-0.10463219999999999</v>
      </c>
      <c r="U3729">
        <v>-0.16656489999999999</v>
      </c>
      <c r="V3729">
        <v>-4.6363799999999997E-2</v>
      </c>
      <c r="W3729">
        <v>3.5339929999999999E-2</v>
      </c>
      <c r="X3729">
        <v>0.9982993</v>
      </c>
      <c r="Y3729">
        <v>-3.677623E-2</v>
      </c>
      <c r="Z3729" s="1">
        <v>9.4058920000000006E-6</v>
      </c>
      <c r="AA3729">
        <v>0.99932350000000003</v>
      </c>
      <c r="AB3729">
        <v>47</v>
      </c>
      <c r="AC3729">
        <v>-31.176300000000001</v>
      </c>
      <c r="AD3729">
        <v>-1.1039070092329999</v>
      </c>
      <c r="AE3729">
        <v>-1.7484999999999999</v>
      </c>
      <c r="AF3729">
        <v>-1.1649476646210899</v>
      </c>
      <c r="AG3729">
        <v>-1.1039070092329999</v>
      </c>
      <c r="AH3729">
        <v>31.164549909876602</v>
      </c>
      <c r="AI3729">
        <v>92.027261483746699</v>
      </c>
      <c r="AJ3729">
        <v>92.140750382378798</v>
      </c>
      <c r="AK3729">
        <v>31.205846965457098</v>
      </c>
    </row>
    <row r="3730" spans="1:37" x14ac:dyDescent="0.2">
      <c r="A3730" t="str">
        <f>"20200111153508940"</f>
        <v>20200111153508940</v>
      </c>
      <c r="B3730" t="str">
        <f>"1578728108930225"</f>
        <v>1578728108930225</v>
      </c>
      <c r="C3730" t="s">
        <v>37</v>
      </c>
      <c r="D3730">
        <v>4.7140930000000001</v>
      </c>
      <c r="E3730">
        <v>0.50316830000000001</v>
      </c>
      <c r="F3730" t="s">
        <v>51</v>
      </c>
      <c r="G3730">
        <v>-291.93079999999998</v>
      </c>
      <c r="H3730" s="1">
        <v>-8.8921230000000004E-6</v>
      </c>
      <c r="I3730">
        <v>140.1344</v>
      </c>
      <c r="J3730">
        <v>-260.1148</v>
      </c>
      <c r="K3730">
        <v>1.1038159999999999</v>
      </c>
      <c r="L3730">
        <v>141.9564</v>
      </c>
      <c r="M3730">
        <v>-0.99981039999999999</v>
      </c>
      <c r="N3730">
        <v>0</v>
      </c>
      <c r="O3730">
        <v>-1.9141350000000001E-2</v>
      </c>
      <c r="P3730">
        <v>-0.99730249999999998</v>
      </c>
      <c r="Q3730">
        <v>3.1849719999999998E-2</v>
      </c>
      <c r="R3730">
        <v>-6.6136029999999998E-2</v>
      </c>
      <c r="S3730">
        <v>-3.000092</v>
      </c>
      <c r="T3730">
        <v>-0.1026493</v>
      </c>
      <c r="U3730">
        <v>-0.1702118</v>
      </c>
      <c r="V3730">
        <v>-4.7108230000000001E-2</v>
      </c>
      <c r="W3730">
        <v>3.5374240000000001E-2</v>
      </c>
      <c r="X3730">
        <v>0.99826319999999902</v>
      </c>
      <c r="Y3730">
        <v>-3.75126E-2</v>
      </c>
      <c r="Z3730" s="1">
        <v>1.304597E-5</v>
      </c>
      <c r="AA3730">
        <v>0.99929609999999902</v>
      </c>
      <c r="AB3730">
        <v>47</v>
      </c>
      <c r="AC3730">
        <v>-31.815999999999899</v>
      </c>
      <c r="AD3730">
        <v>-1.1038248921229901</v>
      </c>
      <c r="AE3730">
        <v>-1.8220000000000001</v>
      </c>
      <c r="AF3730">
        <v>-1.2112079666300899</v>
      </c>
      <c r="AG3730">
        <v>-1.1038248921229901</v>
      </c>
      <c r="AH3730">
        <v>31.806886595026398</v>
      </c>
      <c r="AI3730">
        <v>91.986154341239995</v>
      </c>
      <c r="AJ3730">
        <v>92.1807726927358</v>
      </c>
      <c r="AK3730">
        <v>31.849073597198601</v>
      </c>
    </row>
    <row r="3731" spans="1:37" x14ac:dyDescent="0.2">
      <c r="A3731" t="str">
        <f>"20200111153508962"</f>
        <v>20200111153508962</v>
      </c>
      <c r="B3731" t="str">
        <f>"1578728108949742"</f>
        <v>1578728108949742</v>
      </c>
      <c r="C3731" t="s">
        <v>37</v>
      </c>
      <c r="D3731">
        <v>4.6451229999999999</v>
      </c>
      <c r="E3731">
        <v>0.50259449999999894</v>
      </c>
      <c r="F3731" t="s">
        <v>51</v>
      </c>
      <c r="G3731">
        <v>-292.15989999999999</v>
      </c>
      <c r="H3731" s="1">
        <v>-8.8667680000000003E-6</v>
      </c>
      <c r="I3731">
        <v>140.1146</v>
      </c>
      <c r="J3731">
        <v>-260.57420000000002</v>
      </c>
      <c r="K3731">
        <v>1.1037269999999999</v>
      </c>
      <c r="L3731">
        <v>141.94749999999999</v>
      </c>
      <c r="M3731">
        <v>-0.99980270000000004</v>
      </c>
      <c r="N3731">
        <v>0</v>
      </c>
      <c r="O3731">
        <v>-1.952833E-2</v>
      </c>
      <c r="P3731">
        <v>-0.99721959999999998</v>
      </c>
      <c r="Q3731">
        <v>3.2347870000000001E-2</v>
      </c>
      <c r="R3731">
        <v>-6.7134559999999996E-2</v>
      </c>
      <c r="S3731">
        <v>-3</v>
      </c>
      <c r="T3731">
        <v>-0.103338</v>
      </c>
      <c r="U3731">
        <v>-0.1724243</v>
      </c>
      <c r="V3731">
        <v>-4.771471E-2</v>
      </c>
      <c r="W3731">
        <v>3.5903669999999999E-2</v>
      </c>
      <c r="X3731">
        <v>0.99821550000000003</v>
      </c>
      <c r="Y3731">
        <v>-3.7862020000000003E-2</v>
      </c>
      <c r="Z3731" s="1">
        <v>2.043054E-5</v>
      </c>
      <c r="AA3731">
        <v>0.99928300000000003</v>
      </c>
      <c r="AB3731">
        <v>47</v>
      </c>
      <c r="AC3731">
        <v>-31.5856999999999</v>
      </c>
      <c r="AD3731">
        <v>-1.103735866768</v>
      </c>
      <c r="AE3731">
        <v>-1.83289999999999</v>
      </c>
      <c r="AF3731">
        <v>-1.21425268189318</v>
      </c>
      <c r="AG3731">
        <v>-1.103735866768</v>
      </c>
      <c r="AH3731">
        <v>31.577041218997199</v>
      </c>
      <c r="AI3731">
        <v>92.000409852733299</v>
      </c>
      <c r="AJ3731">
        <v>92.202147199422598</v>
      </c>
      <c r="AK3731">
        <v>31.619648552527</v>
      </c>
    </row>
    <row r="3732" spans="1:37" x14ac:dyDescent="0.2">
      <c r="A3732" t="str">
        <f>"20200111153508984"</f>
        <v>20200111153508984</v>
      </c>
      <c r="B3732" t="str">
        <f>"1578728108979999"</f>
        <v>1578728108979999</v>
      </c>
      <c r="C3732" t="s">
        <v>37</v>
      </c>
      <c r="D3732">
        <v>4.6146760000000002</v>
      </c>
      <c r="E3732">
        <v>0.45150770000000001</v>
      </c>
      <c r="F3732" t="s">
        <v>51</v>
      </c>
      <c r="G3732">
        <v>-292.62509999999997</v>
      </c>
      <c r="H3732" s="1">
        <v>-8.802072E-6</v>
      </c>
      <c r="I3732">
        <v>140.02420000000001</v>
      </c>
      <c r="J3732">
        <v>-261.05590000000001</v>
      </c>
      <c r="K3732">
        <v>1.1036239999999999</v>
      </c>
      <c r="L3732">
        <v>141.93799999999999</v>
      </c>
      <c r="M3732">
        <v>-0.99979649999999998</v>
      </c>
      <c r="N3732">
        <v>0</v>
      </c>
      <c r="O3732">
        <v>-1.9837110000000002E-2</v>
      </c>
      <c r="P3732">
        <v>-0.99711949999999905</v>
      </c>
      <c r="Q3732">
        <v>3.228731E-2</v>
      </c>
      <c r="R3732">
        <v>-6.863234E-2</v>
      </c>
      <c r="S3732">
        <v>-2.999603</v>
      </c>
      <c r="T3732">
        <v>-0.10329719999999901</v>
      </c>
      <c r="U3732">
        <v>-0.17999270000000001</v>
      </c>
      <c r="V3732">
        <v>-4.889756E-2</v>
      </c>
      <c r="W3732">
        <v>3.5875079999999997E-2</v>
      </c>
      <c r="X3732">
        <v>0.99815929999999997</v>
      </c>
      <c r="Y3732">
        <v>-4.0072400000000001E-2</v>
      </c>
      <c r="Z3732" s="1">
        <v>-6.9783419999999996E-6</v>
      </c>
      <c r="AA3732">
        <v>0.9991968</v>
      </c>
      <c r="AB3732">
        <v>47</v>
      </c>
      <c r="AC3732">
        <v>-31.569199999999899</v>
      </c>
      <c r="AD3732">
        <v>-1.1036328020720001</v>
      </c>
      <c r="AE3732">
        <v>-1.91379999999998</v>
      </c>
      <c r="AF3732">
        <v>-1.28561205475957</v>
      </c>
      <c r="AG3732">
        <v>-1.1036328020720001</v>
      </c>
      <c r="AH3732">
        <v>31.5625197372899</v>
      </c>
      <c r="AI3732">
        <v>92.000962640107801</v>
      </c>
      <c r="AJ3732">
        <v>92.332495917870503</v>
      </c>
      <c r="AK3732">
        <v>31.607965070278802</v>
      </c>
    </row>
    <row r="3733" spans="1:37" x14ac:dyDescent="0.2">
      <c r="A3733" t="str">
        <f>"20200111153509008"</f>
        <v>20200111153509008</v>
      </c>
      <c r="B3733" t="str">
        <f>"1578728108999518"</f>
        <v>1578728108999518</v>
      </c>
      <c r="C3733" t="s">
        <v>37</v>
      </c>
      <c r="D3733">
        <v>4.5755109999999997</v>
      </c>
      <c r="E3733">
        <v>0.45164179999999998</v>
      </c>
      <c r="F3733" t="s">
        <v>51</v>
      </c>
      <c r="G3733">
        <v>-281.53320000000002</v>
      </c>
      <c r="H3733" s="1">
        <v>-3.6345659999999998E-6</v>
      </c>
      <c r="I3733">
        <v>137.86949999999999</v>
      </c>
      <c r="J3733">
        <v>-261.55419999999998</v>
      </c>
      <c r="K3733">
        <v>1.103518</v>
      </c>
      <c r="L3733">
        <v>141.928</v>
      </c>
      <c r="M3733">
        <v>-0.99979189999999996</v>
      </c>
      <c r="N3733">
        <v>0</v>
      </c>
      <c r="O3733">
        <v>-2.0065449999999999E-2</v>
      </c>
      <c r="P3733">
        <v>-0.99709269999999905</v>
      </c>
      <c r="Q3733">
        <v>3.1699989999999997E-2</v>
      </c>
      <c r="R3733">
        <v>-6.9292060000000003E-2</v>
      </c>
      <c r="S3733">
        <v>-2.9731749999999999</v>
      </c>
      <c r="T3733">
        <v>-0.1602402</v>
      </c>
      <c r="U3733">
        <v>-0.5907135</v>
      </c>
      <c r="V3733">
        <v>-4.932069E-2</v>
      </c>
      <c r="W3733">
        <v>3.5322770000000003E-2</v>
      </c>
      <c r="X3733">
        <v>0.9981582</v>
      </c>
      <c r="Y3733">
        <v>-0.17493590000000001</v>
      </c>
      <c r="Z3733">
        <v>-3.5955609999999902E-3</v>
      </c>
      <c r="AA3733">
        <v>0.98457320000000004</v>
      </c>
      <c r="AB3733">
        <v>47</v>
      </c>
      <c r="AC3733">
        <v>-19.978999999999999</v>
      </c>
      <c r="AD3733">
        <v>-1.1035216345659999</v>
      </c>
      <c r="AE3733">
        <v>-4.0585000000000004</v>
      </c>
      <c r="AF3733">
        <v>-3.6461098080527399</v>
      </c>
      <c r="AG3733">
        <v>-1.1035216345659999</v>
      </c>
      <c r="AH3733">
        <v>19.997822096583199</v>
      </c>
      <c r="AI3733">
        <v>93.107374194214501</v>
      </c>
      <c r="AJ3733">
        <v>100.33297238615199</v>
      </c>
      <c r="AK3733">
        <v>20.357425312080299</v>
      </c>
    </row>
    <row r="3734" spans="1:37" x14ac:dyDescent="0.2">
      <c r="A3734" t="str">
        <f>"20200111153509028"</f>
        <v>20200111153509028</v>
      </c>
      <c r="B3734" t="str">
        <f>"1578728109020017"</f>
        <v>1578728109020017</v>
      </c>
      <c r="C3734" t="s">
        <v>37</v>
      </c>
      <c r="D3734">
        <v>4.6033879999999998</v>
      </c>
      <c r="E3734">
        <v>0.452239</v>
      </c>
      <c r="F3734" t="s">
        <v>51</v>
      </c>
      <c r="G3734">
        <v>-282.5215</v>
      </c>
      <c r="H3734" s="1">
        <v>-4.0287850000000001E-6</v>
      </c>
      <c r="I3734">
        <v>137.7534</v>
      </c>
      <c r="J3734">
        <v>-261.9973</v>
      </c>
      <c r="K3734">
        <v>1.1034379999999999</v>
      </c>
      <c r="L3734">
        <v>141.91919999999999</v>
      </c>
      <c r="M3734">
        <v>-0.99978889999999998</v>
      </c>
      <c r="N3734">
        <v>0</v>
      </c>
      <c r="O3734">
        <v>-2.0207119999999999E-2</v>
      </c>
      <c r="P3734">
        <v>-0.99708680000000005</v>
      </c>
      <c r="Q3734">
        <v>3.140942E-2</v>
      </c>
      <c r="R3734">
        <v>-6.950837E-2</v>
      </c>
      <c r="S3734">
        <v>-2.972626</v>
      </c>
      <c r="T3734">
        <v>-0.15645100000000001</v>
      </c>
      <c r="U3734">
        <v>-0.59185790000000005</v>
      </c>
      <c r="V3734">
        <v>-4.9388260000000003E-2</v>
      </c>
      <c r="W3734">
        <v>3.5062589999999998E-2</v>
      </c>
      <c r="X3734">
        <v>0.99816399999999905</v>
      </c>
      <c r="Y3734">
        <v>-0.17520559999999999</v>
      </c>
      <c r="Z3734">
        <v>-3.5108119999999999E-3</v>
      </c>
      <c r="AA3734">
        <v>0.984525599999999</v>
      </c>
      <c r="AB3734">
        <v>47</v>
      </c>
      <c r="AC3734">
        <v>-20.5242</v>
      </c>
      <c r="AD3734">
        <v>-1.103442028785</v>
      </c>
      <c r="AE3734">
        <v>-4.1657999999999902</v>
      </c>
      <c r="AF3734">
        <v>-3.7398294487641</v>
      </c>
      <c r="AG3734">
        <v>-1.103442028785</v>
      </c>
      <c r="AH3734">
        <v>20.547147863458498</v>
      </c>
      <c r="AI3734">
        <v>93.024404185185702</v>
      </c>
      <c r="AJ3734">
        <v>100.315601029098</v>
      </c>
      <c r="AK3734">
        <v>20.9138517241459</v>
      </c>
    </row>
    <row r="3735" spans="1:37" x14ac:dyDescent="0.2">
      <c r="A3735" t="str">
        <f>"20200111153509051"</f>
        <v>20200111153509051</v>
      </c>
      <c r="B3735" t="str">
        <f>"1578728109039535"</f>
        <v>1578728109039535</v>
      </c>
      <c r="C3735" t="s">
        <v>37</v>
      </c>
      <c r="D3735">
        <v>4.603631</v>
      </c>
      <c r="E3735">
        <v>0.45262349999999901</v>
      </c>
      <c r="F3735" t="s">
        <v>51</v>
      </c>
      <c r="G3735">
        <v>-283.07940000000002</v>
      </c>
      <c r="H3735" s="1">
        <v>-4.2746139999999997E-6</v>
      </c>
      <c r="I3735">
        <v>137.7492</v>
      </c>
      <c r="J3735">
        <v>-262.47089999999997</v>
      </c>
      <c r="K3735">
        <v>1.103356</v>
      </c>
      <c r="L3735">
        <v>141.90960000000001</v>
      </c>
      <c r="M3735">
        <v>-0.99978690000000003</v>
      </c>
      <c r="N3735">
        <v>0</v>
      </c>
      <c r="O3735">
        <v>-2.0310809999999999E-2</v>
      </c>
      <c r="P3735">
        <v>-0.9971681</v>
      </c>
      <c r="Q3735">
        <v>3.0545849999999999E-2</v>
      </c>
      <c r="R3735">
        <v>-6.8727209999999997E-2</v>
      </c>
      <c r="S3735">
        <v>-2.9726870000000001</v>
      </c>
      <c r="T3735">
        <v>-0.1555908</v>
      </c>
      <c r="U3735">
        <v>-0.58798219999999901</v>
      </c>
      <c r="V3735">
        <v>-4.8494830000000003E-2</v>
      </c>
      <c r="W3735">
        <v>3.4231949999999997E-2</v>
      </c>
      <c r="X3735">
        <v>0.99823669999999998</v>
      </c>
      <c r="Y3735">
        <v>-0.17386869999999999</v>
      </c>
      <c r="Z3735">
        <v>-3.4519020000000002E-3</v>
      </c>
      <c r="AA3735">
        <v>0.98476280000000005</v>
      </c>
      <c r="AB3735">
        <v>48</v>
      </c>
      <c r="AC3735">
        <v>-20.608499999999999</v>
      </c>
      <c r="AD3735">
        <v>-1.1033602746140001</v>
      </c>
      <c r="AE3735">
        <v>-4.1604000000000099</v>
      </c>
      <c r="AF3735">
        <v>-3.73068856039824</v>
      </c>
      <c r="AG3735">
        <v>-1.1033602746140001</v>
      </c>
      <c r="AH3735">
        <v>20.631926171569202</v>
      </c>
      <c r="AI3735">
        <v>93.012405726972204</v>
      </c>
      <c r="AJ3735">
        <v>100.249538936034</v>
      </c>
      <c r="AK3735">
        <v>20.995519011907401</v>
      </c>
    </row>
    <row r="3736" spans="1:37" x14ac:dyDescent="0.2">
      <c r="A3736" t="str">
        <f>"20200111153509073"</f>
        <v>20200111153509073</v>
      </c>
      <c r="B3736" t="str">
        <f>"1578728109069790"</f>
        <v>1578728109069790</v>
      </c>
      <c r="C3736" t="s">
        <v>37</v>
      </c>
      <c r="D3736">
        <v>4.7559509999999996</v>
      </c>
      <c r="E3736">
        <v>0.45317439999999998</v>
      </c>
      <c r="F3736" t="s">
        <v>51</v>
      </c>
      <c r="G3736">
        <v>-283.35289999999998</v>
      </c>
      <c r="H3736" s="1">
        <v>-4.421012E-6</v>
      </c>
      <c r="I3736">
        <v>137.81549999999999</v>
      </c>
      <c r="J3736">
        <v>-262.95209999999997</v>
      </c>
      <c r="K3736">
        <v>1.103283</v>
      </c>
      <c r="L3736">
        <v>141.8997</v>
      </c>
      <c r="M3736">
        <v>-0.99978519999999904</v>
      </c>
      <c r="N3736">
        <v>0</v>
      </c>
      <c r="O3736">
        <v>-2.0381179999999999E-2</v>
      </c>
      <c r="P3736">
        <v>-0.99727940000000004</v>
      </c>
      <c r="Q3736">
        <v>2.931595E-2</v>
      </c>
      <c r="R3736">
        <v>-6.763429E-2</v>
      </c>
      <c r="S3736">
        <v>-2.9731749999999999</v>
      </c>
      <c r="T3736">
        <v>-0.15709619999999999</v>
      </c>
      <c r="U3736">
        <v>-0.58291630000000005</v>
      </c>
      <c r="V3736">
        <v>-4.7323360000000002E-2</v>
      </c>
      <c r="W3736">
        <v>3.3034819999999999E-2</v>
      </c>
      <c r="X3736">
        <v>0.99833320000000003</v>
      </c>
      <c r="Y3736">
        <v>-0.17215139999999901</v>
      </c>
      <c r="Z3736">
        <v>-3.4366729999999999E-3</v>
      </c>
      <c r="AA3736">
        <v>0.98506450000000001</v>
      </c>
      <c r="AB3736">
        <v>48</v>
      </c>
      <c r="AC3736">
        <v>-20.4008</v>
      </c>
      <c r="AD3736">
        <v>-1.1032874210120001</v>
      </c>
      <c r="AE3736">
        <v>-4.0842000000000098</v>
      </c>
      <c r="AF3736">
        <v>-3.6572720287179501</v>
      </c>
      <c r="AG3736">
        <v>-1.1032874210120001</v>
      </c>
      <c r="AH3736">
        <v>20.422375857044798</v>
      </c>
      <c r="AI3736">
        <v>93.043978203141094</v>
      </c>
      <c r="AJ3736">
        <v>100.152997298922</v>
      </c>
      <c r="AK3736">
        <v>20.776580986096199</v>
      </c>
    </row>
    <row r="3737" spans="1:37" x14ac:dyDescent="0.2">
      <c r="A3737" t="str">
        <f>"20200111153509097"</f>
        <v>20200111153509097</v>
      </c>
      <c r="B3737" t="str">
        <f>"1578728109090287"</f>
        <v>1578728109090287</v>
      </c>
      <c r="C3737" t="s">
        <v>37</v>
      </c>
      <c r="D3737">
        <v>4.5726050000000003</v>
      </c>
      <c r="E3737">
        <v>0.45352100000000001</v>
      </c>
      <c r="F3737" t="s">
        <v>51</v>
      </c>
      <c r="G3737">
        <v>-283.80689999999998</v>
      </c>
      <c r="H3737" s="1">
        <v>-4.6408090000000001E-6</v>
      </c>
      <c r="I3737">
        <v>137.86410000000001</v>
      </c>
      <c r="J3737">
        <v>-263.45229999999998</v>
      </c>
      <c r="K3737">
        <v>1.103218</v>
      </c>
      <c r="L3737">
        <v>141.8895</v>
      </c>
      <c r="M3737">
        <v>-0.99978419999999901</v>
      </c>
      <c r="N3737">
        <v>0</v>
      </c>
      <c r="O3737">
        <v>-2.0430259999999999E-2</v>
      </c>
      <c r="P3737">
        <v>-0.99736320000000001</v>
      </c>
      <c r="Q3737">
        <v>2.9018990000000001E-2</v>
      </c>
      <c r="R3737">
        <v>-6.6520969999999999E-2</v>
      </c>
      <c r="S3737">
        <v>-2.9737550000000001</v>
      </c>
      <c r="T3737">
        <v>-0.1573213</v>
      </c>
      <c r="U3737">
        <v>-0.57545469999999999</v>
      </c>
      <c r="V3737">
        <v>-4.6154580000000001E-2</v>
      </c>
      <c r="W3737">
        <v>3.2770309999999997E-2</v>
      </c>
      <c r="X3737">
        <v>0.99839659999999997</v>
      </c>
      <c r="Y3737">
        <v>-0.1696877</v>
      </c>
      <c r="Z3737">
        <v>-3.3746459999999998E-3</v>
      </c>
      <c r="AA3737">
        <v>0.98549209999999998</v>
      </c>
      <c r="AB3737">
        <v>48</v>
      </c>
      <c r="AC3737">
        <v>-20.354600000000001</v>
      </c>
      <c r="AD3737">
        <v>-1.103222640809</v>
      </c>
      <c r="AE3737">
        <v>-4.0253999999999897</v>
      </c>
      <c r="AF3737">
        <v>-3.5985337195915399</v>
      </c>
      <c r="AG3737">
        <v>-1.103222640809</v>
      </c>
      <c r="AH3737">
        <v>20.3749901785676</v>
      </c>
      <c r="AI3737">
        <v>93.052160378727194</v>
      </c>
      <c r="AJ3737">
        <v>100.016017065466</v>
      </c>
      <c r="AK3737">
        <v>20.719719349039401</v>
      </c>
    </row>
    <row r="3738" spans="1:37" x14ac:dyDescent="0.2">
      <c r="A3738" t="str">
        <f>"20200111153509120"</f>
        <v>20200111153509120</v>
      </c>
      <c r="B3738" t="str">
        <f>"1578728109109809"</f>
        <v>1578728109109809</v>
      </c>
      <c r="C3738" t="s">
        <v>37</v>
      </c>
      <c r="D3738">
        <v>4.5845479999999998</v>
      </c>
      <c r="E3738">
        <v>0.45376289999999903</v>
      </c>
      <c r="F3738" t="s">
        <v>51</v>
      </c>
      <c r="G3738">
        <v>-284.41829999999999</v>
      </c>
      <c r="H3738" s="1">
        <v>-4.9169529999999901E-6</v>
      </c>
      <c r="I3738">
        <v>137.87729999999999</v>
      </c>
      <c r="J3738">
        <v>-263.94909999999999</v>
      </c>
      <c r="K3738">
        <v>1.103159</v>
      </c>
      <c r="L3738">
        <v>141.8794</v>
      </c>
      <c r="M3738">
        <v>-0.99978349999999905</v>
      </c>
      <c r="N3738">
        <v>0</v>
      </c>
      <c r="O3738">
        <v>-2.046365E-2</v>
      </c>
      <c r="P3738">
        <v>-0.99739500000000003</v>
      </c>
      <c r="Q3738">
        <v>2.8825299999999901E-2</v>
      </c>
      <c r="R3738">
        <v>-6.6125939999999994E-2</v>
      </c>
      <c r="S3738">
        <v>-2.9745180000000002</v>
      </c>
      <c r="T3738">
        <v>-0.15651779999999901</v>
      </c>
      <c r="U3738">
        <v>-0.56922910000000004</v>
      </c>
      <c r="V3738">
        <v>-4.5722069999999997E-2</v>
      </c>
      <c r="W3738">
        <v>3.2606839999999998E-2</v>
      </c>
      <c r="X3738">
        <v>0.99842189999999997</v>
      </c>
      <c r="Y3738">
        <v>-0.1676231</v>
      </c>
      <c r="Z3738">
        <v>-3.3017099999999998E-3</v>
      </c>
      <c r="AA3738">
        <v>0.98584559999999999</v>
      </c>
      <c r="AB3738">
        <v>48</v>
      </c>
      <c r="AC3738">
        <v>-20.469200000000001</v>
      </c>
      <c r="AD3738">
        <v>-1.1031639169530001</v>
      </c>
      <c r="AE3738">
        <v>-4.0021000000000102</v>
      </c>
      <c r="AF3738">
        <v>-3.5723902963154801</v>
      </c>
      <c r="AG3738">
        <v>-1.1031639169530001</v>
      </c>
      <c r="AH3738">
        <v>20.489490359619602</v>
      </c>
      <c r="AI3738">
        <v>93.0361421313779</v>
      </c>
      <c r="AJ3738">
        <v>99.890235239744499</v>
      </c>
      <c r="AK3738">
        <v>20.827821735693401</v>
      </c>
    </row>
    <row r="3739" spans="1:37" x14ac:dyDescent="0.2">
      <c r="A3739" t="str">
        <f>"20200111153509141"</f>
        <v>20200111153509141</v>
      </c>
      <c r="B3739" t="str">
        <f>"1578728109129327"</f>
        <v>1578728109129327</v>
      </c>
      <c r="C3739" t="s">
        <v>37</v>
      </c>
      <c r="D3739">
        <v>4.5746149999999997</v>
      </c>
      <c r="E3739">
        <v>0.45394259999999997</v>
      </c>
      <c r="F3739" t="s">
        <v>51</v>
      </c>
      <c r="G3739">
        <v>-284.88420000000002</v>
      </c>
      <c r="H3739" s="1">
        <v>-5.1314949999999902E-6</v>
      </c>
      <c r="I3739">
        <v>137.8981</v>
      </c>
      <c r="J3739">
        <v>-264.39760000000001</v>
      </c>
      <c r="K3739">
        <v>1.1031150000000001</v>
      </c>
      <c r="L3739">
        <v>141.87010000000001</v>
      </c>
      <c r="M3739">
        <v>-0.99978269999999902</v>
      </c>
      <c r="N3739">
        <v>0</v>
      </c>
      <c r="O3739">
        <v>-2.048589E-2</v>
      </c>
      <c r="P3739">
        <v>-0.99742310000000001</v>
      </c>
      <c r="Q3739">
        <v>2.875459E-2</v>
      </c>
      <c r="R3739">
        <v>-6.5728629999999996E-2</v>
      </c>
      <c r="S3739">
        <v>-2.97482299999999</v>
      </c>
      <c r="T3739">
        <v>-0.15675629999999999</v>
      </c>
      <c r="U3739">
        <v>-0.56571959999999999</v>
      </c>
      <c r="V3739">
        <v>-4.5297940000000002E-2</v>
      </c>
      <c r="W3739">
        <v>3.2563000000000002E-2</v>
      </c>
      <c r="X3739">
        <v>0.99844259999999996</v>
      </c>
      <c r="Y3739">
        <v>-0.1664612</v>
      </c>
      <c r="Z3739">
        <v>-3.275278E-3</v>
      </c>
      <c r="AA3739">
        <v>0.98604259999999999</v>
      </c>
      <c r="AB3739">
        <v>48</v>
      </c>
      <c r="AC3739">
        <v>-20.486599999999999</v>
      </c>
      <c r="AD3739">
        <v>-1.1031201314950001</v>
      </c>
      <c r="AE3739">
        <v>-3.972</v>
      </c>
      <c r="AF3739">
        <v>-3.54158068137578</v>
      </c>
      <c r="AG3739">
        <v>-1.1031201314950001</v>
      </c>
      <c r="AH3739">
        <v>20.506369376527001</v>
      </c>
      <c r="AI3739">
        <v>93.034367192210894</v>
      </c>
      <c r="AJ3739">
        <v>99.798685897709206</v>
      </c>
      <c r="AK3739">
        <v>20.8391663161885</v>
      </c>
    </row>
    <row r="3740" spans="1:37" x14ac:dyDescent="0.2">
      <c r="A3740" t="str">
        <f>"20200111153509163"</f>
        <v>20200111153509163</v>
      </c>
      <c r="B3740" t="str">
        <f>"1578728109159583"</f>
        <v>1578728109159583</v>
      </c>
      <c r="C3740" t="s">
        <v>37</v>
      </c>
      <c r="D3740">
        <v>4.5730879999999896</v>
      </c>
      <c r="E3740">
        <v>0.45389259999999898</v>
      </c>
      <c r="F3740" t="s">
        <v>51</v>
      </c>
      <c r="G3740">
        <v>-285.43299999999999</v>
      </c>
      <c r="H3740" s="1">
        <v>-5.4850809999999999E-6</v>
      </c>
      <c r="I3740">
        <v>137.8896</v>
      </c>
      <c r="J3740">
        <v>-264.89179999999999</v>
      </c>
      <c r="K3740">
        <v>1.1030739999999899</v>
      </c>
      <c r="L3740">
        <v>141.85990000000001</v>
      </c>
      <c r="M3740">
        <v>-0.99978230000000001</v>
      </c>
      <c r="N3740">
        <v>0</v>
      </c>
      <c r="O3740">
        <v>-2.0507069999999999E-2</v>
      </c>
      <c r="P3740">
        <v>-0.99741979999999997</v>
      </c>
      <c r="Q3740">
        <v>2.922924E-2</v>
      </c>
      <c r="R3740">
        <v>-6.5572439999999996E-2</v>
      </c>
      <c r="S3740">
        <v>-2.97512799999999</v>
      </c>
      <c r="T3740">
        <v>-0.1560184</v>
      </c>
      <c r="U3740">
        <v>-0.56297299999999995</v>
      </c>
      <c r="V3740">
        <v>-4.5118180000000001E-2</v>
      </c>
      <c r="W3740">
        <v>3.3066270000000002E-2</v>
      </c>
      <c r="X3740">
        <v>0.99843419999999905</v>
      </c>
      <c r="Y3740">
        <v>-0.1655461</v>
      </c>
      <c r="Z3740">
        <v>-3.2349620000000001E-3</v>
      </c>
      <c r="AA3740">
        <v>0.98619679999999998</v>
      </c>
      <c r="AB3740">
        <v>48</v>
      </c>
      <c r="AC3740">
        <v>-20.5412</v>
      </c>
      <c r="AD3740">
        <v>-1.103079485081</v>
      </c>
      <c r="AE3740">
        <v>-3.9702999999999999</v>
      </c>
      <c r="AF3740">
        <v>-3.5383856756193701</v>
      </c>
      <c r="AG3740">
        <v>-1.103079485081</v>
      </c>
      <c r="AH3740">
        <v>20.561141696436199</v>
      </c>
      <c r="AI3740">
        <v>93.026499019318607</v>
      </c>
      <c r="AJ3740">
        <v>99.764440526760396</v>
      </c>
      <c r="AK3740">
        <v>20.892522715095001</v>
      </c>
    </row>
    <row r="3741" spans="1:37" x14ac:dyDescent="0.2">
      <c r="A3741" t="str">
        <f>"20200111153509185"</f>
        <v>20200111153509185</v>
      </c>
      <c r="B3741" t="str">
        <f>"1578728109180079"</f>
        <v>1578728109180079</v>
      </c>
      <c r="C3741" t="s">
        <v>37</v>
      </c>
      <c r="D3741">
        <v>4.5485889999999998</v>
      </c>
      <c r="E3741">
        <v>0.45358559999999998</v>
      </c>
      <c r="F3741" t="s">
        <v>51</v>
      </c>
      <c r="G3741">
        <v>-286.21640000000002</v>
      </c>
      <c r="H3741" s="1">
        <v>-5.9737699999999999E-6</v>
      </c>
      <c r="I3741">
        <v>137.82640000000001</v>
      </c>
      <c r="J3741">
        <v>-265.38440000000003</v>
      </c>
      <c r="K3741">
        <v>1.10304</v>
      </c>
      <c r="L3741">
        <v>141.84979999999999</v>
      </c>
      <c r="M3741">
        <v>-0.9997819</v>
      </c>
      <c r="N3741">
        <v>0</v>
      </c>
      <c r="O3741">
        <v>-2.0525539999999998E-2</v>
      </c>
      <c r="P3741">
        <v>-0.99738879999999996</v>
      </c>
      <c r="Q3741">
        <v>2.9436919999999998E-2</v>
      </c>
      <c r="R3741">
        <v>-6.5949300000000002E-2</v>
      </c>
      <c r="S3741">
        <v>-2.9752809999999998</v>
      </c>
      <c r="T3741">
        <v>-0.15390490000000001</v>
      </c>
      <c r="U3741">
        <v>-0.56277469999999996</v>
      </c>
      <c r="V3741">
        <v>-4.5474889999999997E-2</v>
      </c>
      <c r="W3741">
        <v>3.3301699999999997E-2</v>
      </c>
      <c r="X3741">
        <v>0.99841019999999903</v>
      </c>
      <c r="Y3741">
        <v>-0.16546050000000001</v>
      </c>
      <c r="Z3741">
        <v>-3.1879149999999999E-3</v>
      </c>
      <c r="AA3741">
        <v>0.98621130000000001</v>
      </c>
      <c r="AB3741">
        <v>49</v>
      </c>
      <c r="AC3741">
        <v>-20.831999999999901</v>
      </c>
      <c r="AD3741">
        <v>-1.10304597377</v>
      </c>
      <c r="AE3741">
        <v>-4.0233999999999801</v>
      </c>
      <c r="AF3741">
        <v>-3.5852707347132999</v>
      </c>
      <c r="AG3741">
        <v>-1.10304597377</v>
      </c>
      <c r="AH3741">
        <v>20.8538297385685</v>
      </c>
      <c r="AI3741">
        <v>92.984091407792903</v>
      </c>
      <c r="AJ3741">
        <v>99.755143612011807</v>
      </c>
      <c r="AK3741">
        <v>21.188513195282201</v>
      </c>
    </row>
    <row r="3742" spans="1:37" x14ac:dyDescent="0.2">
      <c r="A3742" t="str">
        <f>"20200111153509207"</f>
        <v>20200111153509207</v>
      </c>
      <c r="B3742" t="str">
        <f>"1578728109199598"</f>
        <v>1578728109199598</v>
      </c>
      <c r="C3742" t="s">
        <v>37</v>
      </c>
      <c r="D3742">
        <v>4.5210099999999898</v>
      </c>
      <c r="E3742">
        <v>0.45333249999999897</v>
      </c>
      <c r="F3742" t="s">
        <v>51</v>
      </c>
      <c r="G3742">
        <v>-286.77730000000003</v>
      </c>
      <c r="H3742" s="1">
        <v>-6.3057270000000001E-6</v>
      </c>
      <c r="I3742">
        <v>137.77709999999999</v>
      </c>
      <c r="J3742">
        <v>-265.86829999999998</v>
      </c>
      <c r="K3742">
        <v>1.1030089999999999</v>
      </c>
      <c r="L3742">
        <v>141.8398</v>
      </c>
      <c r="M3742">
        <v>-0.99978140000000004</v>
      </c>
      <c r="N3742">
        <v>0</v>
      </c>
      <c r="O3742">
        <v>-2.0541779999999999E-2</v>
      </c>
      <c r="P3742">
        <v>-0.99736809999999998</v>
      </c>
      <c r="Q3742">
        <v>2.9406959999999999E-2</v>
      </c>
      <c r="R3742">
        <v>-6.6274390000000002E-2</v>
      </c>
      <c r="S3742">
        <v>-2.9749759999999998</v>
      </c>
      <c r="T3742">
        <v>-0.15339359999999999</v>
      </c>
      <c r="U3742">
        <v>-0.56636049999999905</v>
      </c>
      <c r="V3742">
        <v>-4.5781490000000001E-2</v>
      </c>
      <c r="W3742">
        <v>3.3297889999999997E-2</v>
      </c>
      <c r="X3742">
        <v>0.99839639999999996</v>
      </c>
      <c r="Y3742">
        <v>-0.16660999999999901</v>
      </c>
      <c r="Z3742">
        <v>-3.2058339999999999E-3</v>
      </c>
      <c r="AA3742">
        <v>0.98601759999999905</v>
      </c>
      <c r="AB3742">
        <v>49</v>
      </c>
      <c r="AC3742">
        <v>-20.908999999999999</v>
      </c>
      <c r="AD3742">
        <v>-1.103015305727</v>
      </c>
      <c r="AE3742">
        <v>-4.0627000000000004</v>
      </c>
      <c r="AF3742">
        <v>-3.6226168075701799</v>
      </c>
      <c r="AG3742">
        <v>-1.103015305727</v>
      </c>
      <c r="AH3742">
        <v>20.9319116942895</v>
      </c>
      <c r="AI3742">
        <v>92.972329345714897</v>
      </c>
      <c r="AJ3742">
        <v>99.8187317376767</v>
      </c>
      <c r="AK3742">
        <v>21.2716929856721</v>
      </c>
    </row>
    <row r="3743" spans="1:37" x14ac:dyDescent="0.2">
      <c r="A3743" t="str">
        <f>"20200111153509222"</f>
        <v>20200111153509222</v>
      </c>
      <c r="B3743" t="str">
        <f>"1578728109209902"</f>
        <v>1578728109209902</v>
      </c>
      <c r="C3743" t="s">
        <v>37</v>
      </c>
      <c r="D3743">
        <v>4.5451350000000001</v>
      </c>
      <c r="E3743">
        <v>0.45316590000000001</v>
      </c>
      <c r="F3743" t="s">
        <v>51</v>
      </c>
      <c r="G3743">
        <v>-287.1191</v>
      </c>
      <c r="H3743" s="1">
        <v>-6.5168269999999997E-6</v>
      </c>
      <c r="I3743">
        <v>137.7724</v>
      </c>
      <c r="J3743">
        <v>-266.1814</v>
      </c>
      <c r="K3743">
        <v>1.102994</v>
      </c>
      <c r="L3743">
        <v>141.83340000000001</v>
      </c>
      <c r="M3743">
        <v>-0.99978129999999998</v>
      </c>
      <c r="N3743">
        <v>0</v>
      </c>
      <c r="O3743">
        <v>-2.0551739999999999E-2</v>
      </c>
      <c r="P3743">
        <v>-0.99735739999999995</v>
      </c>
      <c r="Q3743">
        <v>2.9398219999999999E-2</v>
      </c>
      <c r="R3743">
        <v>-6.6439490000000004E-2</v>
      </c>
      <c r="S3743">
        <v>-2.97464</v>
      </c>
      <c r="T3743">
        <v>-0.15439810000000001</v>
      </c>
      <c r="U3743">
        <v>-0.56935119999999995</v>
      </c>
      <c r="V3743">
        <v>-4.5935719999999999E-2</v>
      </c>
      <c r="W3743">
        <v>3.3306460000000003E-2</v>
      </c>
      <c r="X3743">
        <v>0.99838899999999997</v>
      </c>
      <c r="Y3743">
        <v>-0.16757330000000001</v>
      </c>
      <c r="Z3743">
        <v>-3.2511079999999999E-3</v>
      </c>
      <c r="AA3743">
        <v>0.98585429999999996</v>
      </c>
      <c r="AB3743">
        <v>49</v>
      </c>
      <c r="AC3743">
        <v>-20.9377</v>
      </c>
      <c r="AD3743">
        <v>-1.1030005168269901</v>
      </c>
      <c r="AE3743">
        <v>-4.0609999999999999</v>
      </c>
      <c r="AF3743">
        <v>-3.6201504959157398</v>
      </c>
      <c r="AG3743">
        <v>-1.1030005168269901</v>
      </c>
      <c r="AH3743">
        <v>20.960677934253798</v>
      </c>
      <c r="AI3743">
        <v>92.968394388659704</v>
      </c>
      <c r="AJ3743">
        <v>99.798972115797994</v>
      </c>
      <c r="AK3743">
        <v>21.299580259167399</v>
      </c>
    </row>
    <row r="3744" spans="1:37" x14ac:dyDescent="0.2">
      <c r="A3744" t="str">
        <f>"20200111153509235"</f>
        <v>20200111153509235</v>
      </c>
      <c r="B3744" t="str">
        <f>"1578728109229422"</f>
        <v>1578728109229422</v>
      </c>
      <c r="C3744" t="s">
        <v>37</v>
      </c>
      <c r="D3744">
        <v>5.9659789999999999</v>
      </c>
      <c r="E3744">
        <v>0.45334659999999899</v>
      </c>
      <c r="F3744" t="s">
        <v>51</v>
      </c>
      <c r="G3744">
        <v>-287.41800000000001</v>
      </c>
      <c r="H3744" s="1">
        <v>-6.697193E-6</v>
      </c>
      <c r="I3744">
        <v>137.756</v>
      </c>
      <c r="J3744">
        <v>-266.48250000000002</v>
      </c>
      <c r="K3744">
        <v>1.102978</v>
      </c>
      <c r="L3744">
        <v>141.8271</v>
      </c>
      <c r="M3744">
        <v>-0.99978089999999997</v>
      </c>
      <c r="N3744">
        <v>0</v>
      </c>
      <c r="O3744">
        <v>-2.05604E-2</v>
      </c>
      <c r="P3744">
        <v>-0.99736919999999996</v>
      </c>
      <c r="Q3744">
        <v>2.950156E-2</v>
      </c>
      <c r="R3744">
        <v>-6.6214319999999993E-2</v>
      </c>
      <c r="S3744">
        <v>-2.9744570000000001</v>
      </c>
      <c r="T3744">
        <v>-0.15448909999999999</v>
      </c>
      <c r="U3744">
        <v>-0.57109069999999995</v>
      </c>
      <c r="V3744">
        <v>-4.5700369999999997E-2</v>
      </c>
      <c r="W3744">
        <v>3.3426079999999997E-2</v>
      </c>
      <c r="X3744">
        <v>0.99839580000000006</v>
      </c>
      <c r="Y3744">
        <v>-0.16813120000000001</v>
      </c>
      <c r="Z3744">
        <v>-3.2669420000000001E-3</v>
      </c>
      <c r="AA3744">
        <v>0.98575919999999895</v>
      </c>
      <c r="AB3744">
        <v>49</v>
      </c>
      <c r="AC3744">
        <v>-20.935499999999902</v>
      </c>
      <c r="AD3744">
        <v>-1.102984697193</v>
      </c>
      <c r="AE3744">
        <v>-4.0711000000000004</v>
      </c>
      <c r="AF3744">
        <v>-3.63008494812216</v>
      </c>
      <c r="AG3744">
        <v>-1.102984697193</v>
      </c>
      <c r="AH3744">
        <v>20.958723123499801</v>
      </c>
      <c r="AI3744">
        <v>92.968384365034694</v>
      </c>
      <c r="AJ3744">
        <v>99.826237702419206</v>
      </c>
      <c r="AK3744">
        <v>21.2993466317713</v>
      </c>
    </row>
    <row r="3745" spans="1:37" x14ac:dyDescent="0.2">
      <c r="A3745" t="str">
        <f>"20200111153509252"</f>
        <v>20200111153509252</v>
      </c>
      <c r="B3745" t="str">
        <f>"1578728109240158"</f>
        <v>1578728109240158</v>
      </c>
      <c r="C3745" t="s">
        <v>37</v>
      </c>
      <c r="D3745">
        <v>4.6092909999999998</v>
      </c>
      <c r="E3745">
        <v>0.5009382</v>
      </c>
      <c r="F3745" t="s">
        <v>51</v>
      </c>
      <c r="G3745">
        <v>-287.70519999999999</v>
      </c>
      <c r="H3745" s="1">
        <v>-6.8801210000000004E-6</v>
      </c>
      <c r="I3745">
        <v>137.76779999999999</v>
      </c>
      <c r="J3745">
        <v>-266.83969999999999</v>
      </c>
      <c r="K3745">
        <v>1.1029659999999999</v>
      </c>
      <c r="L3745">
        <v>141.81979999999999</v>
      </c>
      <c r="M3745">
        <v>-0.99978060000000002</v>
      </c>
      <c r="N3745">
        <v>0</v>
      </c>
      <c r="O3745">
        <v>-2.056991E-2</v>
      </c>
      <c r="P3745">
        <v>-0.99733669999999996</v>
      </c>
      <c r="Q3745">
        <v>3.0179640000000001E-2</v>
      </c>
      <c r="R3745">
        <v>-6.6396860000000002E-2</v>
      </c>
      <c r="S3745">
        <v>-2.974701</v>
      </c>
      <c r="T3745">
        <v>-0.15460099999999999</v>
      </c>
      <c r="U3745">
        <v>-0.56898499999999996</v>
      </c>
      <c r="V3745">
        <v>-4.5873039999999997E-2</v>
      </c>
      <c r="W3745">
        <v>3.4122819999999998E-2</v>
      </c>
      <c r="X3745">
        <v>0.99836429999999998</v>
      </c>
      <c r="Y3745">
        <v>-0.16743429999999901</v>
      </c>
      <c r="Z3745">
        <v>-3.2508309999999901E-3</v>
      </c>
      <c r="AA3745">
        <v>0.98587789999999997</v>
      </c>
      <c r="AB3745">
        <v>49</v>
      </c>
      <c r="AC3745">
        <v>-20.865500000000001</v>
      </c>
      <c r="AD3745">
        <v>-1.1029728801209999</v>
      </c>
      <c r="AE3745">
        <v>-4.0519999999999898</v>
      </c>
      <c r="AF3745">
        <v>-3.61221107873242</v>
      </c>
      <c r="AG3745">
        <v>-1.1029728801209999</v>
      </c>
      <c r="AH3745">
        <v>20.888188514737902</v>
      </c>
      <c r="AI3745">
        <v>92.978493346904301</v>
      </c>
      <c r="AJ3745">
        <v>99.811171514010098</v>
      </c>
      <c r="AK3745">
        <v>21.226894202375199</v>
      </c>
    </row>
    <row r="3746" spans="1:37" x14ac:dyDescent="0.2">
      <c r="A3746" t="str">
        <f>"20200111153509267"</f>
        <v>20200111153509267</v>
      </c>
      <c r="B3746" t="str">
        <f>"1578728109259678"</f>
        <v>1578728109259678</v>
      </c>
      <c r="C3746" t="s">
        <v>37</v>
      </c>
      <c r="D3746">
        <v>4.5860399999999997</v>
      </c>
      <c r="E3746">
        <v>0.5162409</v>
      </c>
      <c r="F3746" t="s">
        <v>51</v>
      </c>
      <c r="G3746">
        <v>-302.13279999999997</v>
      </c>
      <c r="H3746" s="1">
        <v>-8.3485960000000007E-6</v>
      </c>
      <c r="I3746">
        <v>139.57220000000001</v>
      </c>
      <c r="J3746">
        <v>-267.17770000000002</v>
      </c>
      <c r="K3746">
        <v>1.102959</v>
      </c>
      <c r="L3746">
        <v>141.81280000000001</v>
      </c>
      <c r="M3746">
        <v>-0.99978040000000001</v>
      </c>
      <c r="N3746">
        <v>0</v>
      </c>
      <c r="O3746">
        <v>-2.0577870000000002E-2</v>
      </c>
      <c r="P3746">
        <v>-0.99732410000000005</v>
      </c>
      <c r="Q3746">
        <v>3.0421150000000001E-2</v>
      </c>
      <c r="R3746">
        <v>-6.6477670000000003E-2</v>
      </c>
      <c r="S3746">
        <v>-2.998138</v>
      </c>
      <c r="T3746">
        <v>-9.3697550000000004E-2</v>
      </c>
      <c r="U3746">
        <v>-0.1909332</v>
      </c>
      <c r="V3746">
        <v>-4.5945E-2</v>
      </c>
      <c r="W3746">
        <v>3.4382070000000001E-2</v>
      </c>
      <c r="X3746">
        <v>0.99835209999999996</v>
      </c>
      <c r="Y3746">
        <v>-4.299439E-2</v>
      </c>
      <c r="Z3746" s="1">
        <v>-2.8828679999999999E-5</v>
      </c>
      <c r="AA3746">
        <v>0.9990753</v>
      </c>
      <c r="AB3746">
        <v>49</v>
      </c>
      <c r="AC3746">
        <v>-34.955099999999902</v>
      </c>
      <c r="AD3746">
        <v>-1.1029673485960001</v>
      </c>
      <c r="AE3746">
        <v>-2.2406000000000001</v>
      </c>
      <c r="AF3746">
        <v>-1.51931189696763</v>
      </c>
      <c r="AG3746">
        <v>-1.1029673485960001</v>
      </c>
      <c r="AH3746">
        <v>34.959140948434801</v>
      </c>
      <c r="AI3746">
        <v>91.805389951429405</v>
      </c>
      <c r="AJ3746">
        <v>92.488488391304102</v>
      </c>
      <c r="AK3746">
        <v>35.009518440916402</v>
      </c>
    </row>
    <row r="3747" spans="1:37" x14ac:dyDescent="0.2">
      <c r="A3747" t="str">
        <f>"20200111153509281"</f>
        <v>20200111153509281</v>
      </c>
      <c r="B3747" t="str">
        <f>"1578728109269438"</f>
        <v>1578728109269438</v>
      </c>
      <c r="C3747" t="s">
        <v>37</v>
      </c>
      <c r="D3747">
        <v>4.5045609999999998</v>
      </c>
      <c r="E3747">
        <v>0.51812579999999997</v>
      </c>
      <c r="F3747" t="s">
        <v>51</v>
      </c>
      <c r="G3747">
        <v>-306.6979</v>
      </c>
      <c r="H3747" s="1">
        <v>-9.3998499999999995E-6</v>
      </c>
      <c r="I3747">
        <v>140.89879999999999</v>
      </c>
      <c r="J3747">
        <v>-267.47460000000001</v>
      </c>
      <c r="K3747">
        <v>1.1029500000000001</v>
      </c>
      <c r="L3747">
        <v>141.80670000000001</v>
      </c>
      <c r="M3747">
        <v>-0.99978020000000001</v>
      </c>
      <c r="N3747">
        <v>0</v>
      </c>
      <c r="O3747">
        <v>-2.0584290000000002E-2</v>
      </c>
      <c r="P3747">
        <v>-0.99730569999999896</v>
      </c>
      <c r="Q3747">
        <v>3.055513E-2</v>
      </c>
      <c r="R3747">
        <v>-6.6692699999999994E-2</v>
      </c>
      <c r="S3747">
        <v>-3.0060119999999899</v>
      </c>
      <c r="T3747">
        <v>-8.3894730000000001E-2</v>
      </c>
      <c r="U3747">
        <v>-6.9519040000000004E-2</v>
      </c>
      <c r="V3747">
        <v>-4.6153260000000002E-2</v>
      </c>
      <c r="W3747">
        <v>3.453171E-2</v>
      </c>
      <c r="X3747">
        <v>0.99833729999999998</v>
      </c>
      <c r="Y3747">
        <v>-2.5436529999999999E-3</v>
      </c>
      <c r="Z3747">
        <v>5.3875440000000004E-4</v>
      </c>
      <c r="AA3747">
        <v>0.99999660000000001</v>
      </c>
      <c r="AB3747">
        <v>49</v>
      </c>
      <c r="AC3747">
        <v>-39.223300000000002</v>
      </c>
      <c r="AD3747">
        <v>-1.10295939985</v>
      </c>
      <c r="AE3747">
        <v>-0.90790000000001203</v>
      </c>
      <c r="AF3747">
        <v>-0.100238236667931</v>
      </c>
      <c r="AG3747">
        <v>-1.10295939985</v>
      </c>
      <c r="AH3747">
        <v>39.202695570217898</v>
      </c>
      <c r="AI3747">
        <v>91.611574021833505</v>
      </c>
      <c r="AJ3747">
        <v>90.146500522662905</v>
      </c>
      <c r="AK3747">
        <v>39.218336363402599</v>
      </c>
    </row>
    <row r="3748" spans="1:37" x14ac:dyDescent="0.2">
      <c r="A3748" t="str">
        <f>"20200111153509296"</f>
        <v>20200111153509296</v>
      </c>
      <c r="B3748" t="str">
        <f>"1578728109289937"</f>
        <v>1578728109289937</v>
      </c>
      <c r="C3748" t="s">
        <v>37</v>
      </c>
      <c r="D3748">
        <v>4.5408749999999998</v>
      </c>
      <c r="E3748">
        <v>0.51899849999999903</v>
      </c>
      <c r="F3748" t="s">
        <v>51</v>
      </c>
      <c r="G3748">
        <v>-308.11970000000002</v>
      </c>
      <c r="H3748" s="1">
        <v>-9.6528929999999995E-6</v>
      </c>
      <c r="I3748">
        <v>141.06309999999999</v>
      </c>
      <c r="J3748">
        <v>-267.84440000000001</v>
      </c>
      <c r="K3748">
        <v>1.10294</v>
      </c>
      <c r="L3748">
        <v>141.79910000000001</v>
      </c>
      <c r="M3748">
        <v>-0.99978009999999995</v>
      </c>
      <c r="N3748">
        <v>0</v>
      </c>
      <c r="O3748">
        <v>-2.0591439999999999E-2</v>
      </c>
      <c r="P3748">
        <v>-0.99722239999999995</v>
      </c>
      <c r="Q3748">
        <v>3.0940949999999998E-2</v>
      </c>
      <c r="R3748">
        <v>-6.7752209999999993E-2</v>
      </c>
      <c r="S3748">
        <v>-3.0069270000000001</v>
      </c>
      <c r="T3748">
        <v>-8.1597210000000003E-2</v>
      </c>
      <c r="U3748">
        <v>-5.5007929999999997E-2</v>
      </c>
      <c r="V3748">
        <v>-4.7206539999999998E-2</v>
      </c>
      <c r="W3748">
        <v>3.4936290000000002E-2</v>
      </c>
      <c r="X3748">
        <v>0.99827399999999999</v>
      </c>
      <c r="Y3748">
        <v>2.2929389999999999E-3</v>
      </c>
      <c r="Z3748">
        <v>5.8967929999999996E-4</v>
      </c>
      <c r="AA3748">
        <v>0.99999720000000003</v>
      </c>
      <c r="AB3748">
        <v>49</v>
      </c>
      <c r="AC3748">
        <v>-40.275300000000001</v>
      </c>
      <c r="AD3748">
        <v>-1.1029496528929901</v>
      </c>
      <c r="AE3748">
        <v>-0.73600000000001797</v>
      </c>
      <c r="AF3748">
        <v>9.3418969382226102E-2</v>
      </c>
      <c r="AG3748">
        <v>-1.1029496528929901</v>
      </c>
      <c r="AH3748">
        <v>40.251739048316601</v>
      </c>
      <c r="AI3748">
        <v>91.569581404009497</v>
      </c>
      <c r="AJ3748">
        <v>89.8670243028416</v>
      </c>
      <c r="AK3748">
        <v>40.266955701349403</v>
      </c>
    </row>
    <row r="3749" spans="1:37" x14ac:dyDescent="0.2">
      <c r="A3749" t="str">
        <f>"20200111153509320"</f>
        <v>20200111153509320</v>
      </c>
      <c r="B3749" t="str">
        <f>"1578728109309755"</f>
        <v>1578728109309755</v>
      </c>
      <c r="C3749" t="s">
        <v>37</v>
      </c>
      <c r="D3749">
        <v>4.5692969999999997</v>
      </c>
      <c r="E3749">
        <v>0.51900539999999995</v>
      </c>
      <c r="F3749" t="s">
        <v>51</v>
      </c>
      <c r="G3749">
        <v>-311.04320000000001</v>
      </c>
      <c r="H3749" s="1">
        <v>-9.4602469999999999E-6</v>
      </c>
      <c r="I3749">
        <v>141.065</v>
      </c>
      <c r="J3749">
        <v>-268.3449</v>
      </c>
      <c r="K3749">
        <v>1.102932</v>
      </c>
      <c r="L3749">
        <v>141.78870000000001</v>
      </c>
      <c r="M3749">
        <v>-0.9997798</v>
      </c>
      <c r="N3749">
        <v>0</v>
      </c>
      <c r="O3749">
        <v>-2.059954E-2</v>
      </c>
      <c r="P3749">
        <v>-0.99718479999999998</v>
      </c>
      <c r="Q3749">
        <v>3.1310240000000003E-2</v>
      </c>
      <c r="R3749">
        <v>-6.8134050000000002E-2</v>
      </c>
      <c r="S3749">
        <v>-3.007263</v>
      </c>
      <c r="T3749">
        <v>-7.6781150000000006E-2</v>
      </c>
      <c r="U3749">
        <v>-5.1101679999999997E-2</v>
      </c>
      <c r="V3749">
        <v>-4.7580499999999998E-2</v>
      </c>
      <c r="W3749">
        <v>3.5331349999999997E-2</v>
      </c>
      <c r="X3749">
        <v>0.99824239999999997</v>
      </c>
      <c r="Y3749">
        <v>3.6021550000000001E-3</v>
      </c>
      <c r="Z3749">
        <v>5.717494E-4</v>
      </c>
      <c r="AA3749">
        <v>0.99999329999999997</v>
      </c>
      <c r="AB3749">
        <v>49</v>
      </c>
      <c r="AC3749">
        <v>-42.698300000000003</v>
      </c>
      <c r="AD3749">
        <v>-1.102941460247</v>
      </c>
      <c r="AE3749">
        <v>-0.723700000000007</v>
      </c>
      <c r="AF3749">
        <v>0.155921938672166</v>
      </c>
      <c r="AG3749">
        <v>-1.102941460247</v>
      </c>
      <c r="AH3749">
        <v>42.675680725659603</v>
      </c>
      <c r="AI3749">
        <v>91.480454527166998</v>
      </c>
      <c r="AJ3749">
        <v>89.790662290195797</v>
      </c>
      <c r="AK3749">
        <v>42.690215704703597</v>
      </c>
    </row>
    <row r="3750" spans="1:37" x14ac:dyDescent="0.2">
      <c r="A3750" t="str">
        <f>"20200111153509333"</f>
        <v>20200111153509333</v>
      </c>
      <c r="B3750" t="str">
        <f>"1578728109329259"</f>
        <v>1578728109329259</v>
      </c>
      <c r="C3750" t="s">
        <v>37</v>
      </c>
      <c r="D3750">
        <v>4.5568819999999999</v>
      </c>
      <c r="E3750">
        <v>0.5191576</v>
      </c>
      <c r="F3750" t="s">
        <v>51</v>
      </c>
      <c r="G3750">
        <v>-312.48360000000002</v>
      </c>
      <c r="H3750" s="1">
        <v>-8.9072199999999997E-6</v>
      </c>
      <c r="I3750">
        <v>141.0239</v>
      </c>
      <c r="J3750">
        <v>-268.64749999999998</v>
      </c>
      <c r="K3750">
        <v>1.1029260000000001</v>
      </c>
      <c r="L3750">
        <v>141.7825</v>
      </c>
      <c r="M3750">
        <v>-0.99977950000000004</v>
      </c>
      <c r="N3750">
        <v>0</v>
      </c>
      <c r="O3750">
        <v>-2.0603719999999999E-2</v>
      </c>
      <c r="P3750">
        <v>-0.99716689999999997</v>
      </c>
      <c r="Q3750">
        <v>3.1407289999999997E-2</v>
      </c>
      <c r="R3750">
        <v>-6.8352330000000003E-2</v>
      </c>
      <c r="S3750">
        <v>-3.007263</v>
      </c>
      <c r="T3750">
        <v>-7.5145719999999999E-2</v>
      </c>
      <c r="U3750">
        <v>-5.2108759999999997E-2</v>
      </c>
      <c r="V3750">
        <v>-4.7794030000000001E-2</v>
      </c>
      <c r="W3750">
        <v>3.5443339999999997E-2</v>
      </c>
      <c r="X3750">
        <v>0.99822819999999901</v>
      </c>
      <c r="Y3750">
        <v>3.2719909999999902E-3</v>
      </c>
      <c r="Z3750">
        <v>5.5555329999999997E-4</v>
      </c>
      <c r="AA3750">
        <v>0.99999450000000001</v>
      </c>
      <c r="AB3750">
        <v>50</v>
      </c>
      <c r="AC3750">
        <v>-43.836100000000002</v>
      </c>
      <c r="AD3750">
        <v>-1.1029349072200001</v>
      </c>
      <c r="AE3750">
        <v>-0.75860000000000105</v>
      </c>
      <c r="AF3750">
        <v>0.14466363988325401</v>
      </c>
      <c r="AG3750">
        <v>-1.1029349072200001</v>
      </c>
      <c r="AH3750">
        <v>43.814696009244699</v>
      </c>
      <c r="AI3750">
        <v>91.441978012171703</v>
      </c>
      <c r="AJ3750">
        <v>89.810826351646895</v>
      </c>
      <c r="AK3750">
        <v>43.828814487284397</v>
      </c>
    </row>
    <row r="3751" spans="1:37" x14ac:dyDescent="0.2">
      <c r="A3751" t="str">
        <f>"20200111153509346"</f>
        <v>20200111153509346</v>
      </c>
      <c r="B3751" t="str">
        <f>"1578728109339996"</f>
        <v>1578728109339996</v>
      </c>
      <c r="C3751" t="s">
        <v>37</v>
      </c>
      <c r="D3751">
        <v>4.5803849999999997</v>
      </c>
      <c r="E3751">
        <v>0.51916530000000005</v>
      </c>
      <c r="F3751" t="s">
        <v>51</v>
      </c>
      <c r="G3751">
        <v>-314.47550000000001</v>
      </c>
      <c r="H3751" s="1">
        <v>-8.1498469999999997E-6</v>
      </c>
      <c r="I3751">
        <v>140.99539999999999</v>
      </c>
      <c r="J3751">
        <v>-268.94069999999999</v>
      </c>
      <c r="K3751">
        <v>1.102922</v>
      </c>
      <c r="L3751">
        <v>141.7765</v>
      </c>
      <c r="M3751">
        <v>-0.99977939999999998</v>
      </c>
      <c r="N3751">
        <v>0</v>
      </c>
      <c r="O3751">
        <v>-2.060731E-2</v>
      </c>
      <c r="P3751">
        <v>-0.99715599999999904</v>
      </c>
      <c r="Q3751">
        <v>3.1324520000000002E-2</v>
      </c>
      <c r="R3751">
        <v>-6.8546599999999999E-2</v>
      </c>
      <c r="S3751">
        <v>-3.007263</v>
      </c>
      <c r="T3751">
        <v>-7.2375300000000004E-2</v>
      </c>
      <c r="U3751">
        <v>-5.1651000000000002E-2</v>
      </c>
      <c r="V3751">
        <v>-4.7985020000000003E-2</v>
      </c>
      <c r="W3751">
        <v>3.5376150000000002E-2</v>
      </c>
      <c r="X3751">
        <v>0.99822140000000004</v>
      </c>
      <c r="Y3751">
        <v>3.4282430000000001E-3</v>
      </c>
      <c r="Z3751">
        <v>5.370444E-4</v>
      </c>
      <c r="AA3751">
        <v>0.99999400000000005</v>
      </c>
      <c r="AB3751">
        <v>50</v>
      </c>
      <c r="AC3751">
        <v>-45.534799999999997</v>
      </c>
      <c r="AD3751">
        <v>-1.1029301498469899</v>
      </c>
      <c r="AE3751">
        <v>-0.78110000000000901</v>
      </c>
      <c r="AF3751">
        <v>0.15733107050620701</v>
      </c>
      <c r="AG3751">
        <v>-1.1029301498469899</v>
      </c>
      <c r="AH3751">
        <v>45.514531790396298</v>
      </c>
      <c r="AI3751">
        <v>91.388139082852803</v>
      </c>
      <c r="AJ3751">
        <v>89.801945223475002</v>
      </c>
      <c r="AK3751">
        <v>45.5281650418748</v>
      </c>
    </row>
    <row r="3752" spans="1:37" x14ac:dyDescent="0.2">
      <c r="A3752" t="str">
        <f>"20200111153509364"</f>
        <v>20200111153509364</v>
      </c>
      <c r="B3752" t="str">
        <f>"1578728109359515"</f>
        <v>1578728109359515</v>
      </c>
      <c r="C3752" t="s">
        <v>37</v>
      </c>
      <c r="D3752">
        <v>4.5358199999999904</v>
      </c>
      <c r="E3752">
        <v>0.51915690000000003</v>
      </c>
      <c r="F3752" t="s">
        <v>51</v>
      </c>
      <c r="G3752">
        <v>-314.5838</v>
      </c>
      <c r="H3752" s="1">
        <v>-8.1061140000000002E-6</v>
      </c>
      <c r="I3752">
        <v>140.98419999999999</v>
      </c>
      <c r="J3752">
        <v>-269.32429999999999</v>
      </c>
      <c r="K3752">
        <v>1.102919</v>
      </c>
      <c r="L3752">
        <v>141.76849999999999</v>
      </c>
      <c r="M3752">
        <v>-0.99977929999999904</v>
      </c>
      <c r="N3752">
        <v>0</v>
      </c>
      <c r="O3752">
        <v>-2.0611730000000002E-2</v>
      </c>
      <c r="P3752">
        <v>-0.99715569999999898</v>
      </c>
      <c r="Q3752">
        <v>3.1054689999999999E-2</v>
      </c>
      <c r="R3752">
        <v>-6.8676420000000002E-2</v>
      </c>
      <c r="S3752">
        <v>-3.007263</v>
      </c>
      <c r="T3752">
        <v>-7.2668189999999994E-2</v>
      </c>
      <c r="U3752">
        <v>-5.2200320000000001E-2</v>
      </c>
      <c r="V3752">
        <v>-4.8109680000000002E-2</v>
      </c>
      <c r="W3752">
        <v>3.5125009999999998E-2</v>
      </c>
      <c r="X3752">
        <v>0.99822429999999995</v>
      </c>
      <c r="Y3752">
        <v>3.250055E-3</v>
      </c>
      <c r="Z3752">
        <v>5.3717070000000003E-4</v>
      </c>
      <c r="AA3752">
        <v>0.99999459999999996</v>
      </c>
      <c r="AB3752">
        <v>50</v>
      </c>
      <c r="AC3752">
        <v>-45.259500000000003</v>
      </c>
      <c r="AD3752">
        <v>-1.102927106114</v>
      </c>
      <c r="AE3752">
        <v>-0.784300000000001</v>
      </c>
      <c r="AF3752">
        <v>0.14866266045030699</v>
      </c>
      <c r="AG3752">
        <v>-1.102927106114</v>
      </c>
      <c r="AH3752">
        <v>45.239193566380699</v>
      </c>
      <c r="AI3752">
        <v>91.396581294917397</v>
      </c>
      <c r="AJ3752">
        <v>89.811718298154005</v>
      </c>
      <c r="AK3752">
        <v>45.252880387048002</v>
      </c>
    </row>
    <row r="3753" spans="1:37" x14ac:dyDescent="0.2">
      <c r="A3753" t="str">
        <f>"20200111153509387"</f>
        <v>20200111153509387</v>
      </c>
      <c r="B3753" t="str">
        <f>"1578728109380010"</f>
        <v>1578728109380010</v>
      </c>
      <c r="C3753" t="s">
        <v>37</v>
      </c>
      <c r="D3753">
        <v>4.6333229999999999</v>
      </c>
      <c r="E3753">
        <v>0.51920230000000001</v>
      </c>
      <c r="F3753" t="s">
        <v>51</v>
      </c>
      <c r="G3753">
        <v>-314.12900000000002</v>
      </c>
      <c r="H3753" s="1">
        <v>-8.277143E-6</v>
      </c>
      <c r="I3753">
        <v>140.9836</v>
      </c>
      <c r="J3753">
        <v>-269.85669999999999</v>
      </c>
      <c r="K3753">
        <v>1.102911</v>
      </c>
      <c r="L3753">
        <v>141.7576</v>
      </c>
      <c r="M3753">
        <v>-0.99977899999999997</v>
      </c>
      <c r="N3753">
        <v>0</v>
      </c>
      <c r="O3753">
        <v>-2.0617239999999998E-2</v>
      </c>
      <c r="P3753">
        <v>-0.99714020000000003</v>
      </c>
      <c r="Q3753">
        <v>3.0941130000000001E-2</v>
      </c>
      <c r="R3753">
        <v>-6.895018E-2</v>
      </c>
      <c r="S3753">
        <v>-3.0072939999999999</v>
      </c>
      <c r="T3753">
        <v>-7.4028490000000002E-2</v>
      </c>
      <c r="U3753">
        <v>-5.2688599999999898E-2</v>
      </c>
      <c r="V3753">
        <v>-4.837781E-2</v>
      </c>
      <c r="W3753">
        <v>3.5038279999999998E-2</v>
      </c>
      <c r="X3753">
        <v>0.99821439999999995</v>
      </c>
      <c r="Y3753">
        <v>3.0932120000000001E-3</v>
      </c>
      <c r="Z3753">
        <v>5.4542220000000001E-4</v>
      </c>
      <c r="AA3753">
        <v>0.99999509999999903</v>
      </c>
      <c r="AB3753">
        <v>50</v>
      </c>
      <c r="AC3753">
        <v>-44.272300000000001</v>
      </c>
      <c r="AD3753">
        <v>-1.1029192771430001</v>
      </c>
      <c r="AE3753">
        <v>-0.77400000000000002</v>
      </c>
      <c r="AF3753">
        <v>0.13885870952336701</v>
      </c>
      <c r="AG3753">
        <v>-1.1029192771430001</v>
      </c>
      <c r="AH3753">
        <v>44.251392542298902</v>
      </c>
      <c r="AI3753">
        <v>91.427734245068805</v>
      </c>
      <c r="AJ3753">
        <v>89.820209231082003</v>
      </c>
      <c r="AK3753">
        <v>44.265352755916602</v>
      </c>
    </row>
    <row r="3754" spans="1:37" x14ac:dyDescent="0.2">
      <c r="A3754" t="str">
        <f>"20200111153509410"</f>
        <v>20200111153509410</v>
      </c>
      <c r="B3754" t="str">
        <f>"1578728109399531"</f>
        <v>1578728109399531</v>
      </c>
      <c r="C3754" t="s">
        <v>37</v>
      </c>
      <c r="D3754">
        <v>4.5707559999999896</v>
      </c>
      <c r="E3754">
        <v>0.5192582</v>
      </c>
      <c r="F3754" t="s">
        <v>51</v>
      </c>
      <c r="G3754">
        <v>-314.68939999999998</v>
      </c>
      <c r="H3754" s="1">
        <v>-8.0618639999999997E-6</v>
      </c>
      <c r="I3754">
        <v>140.96709999999999</v>
      </c>
      <c r="J3754">
        <v>-270.34460000000001</v>
      </c>
      <c r="K3754">
        <v>1.1029089999999999</v>
      </c>
      <c r="L3754">
        <v>141.7475</v>
      </c>
      <c r="M3754">
        <v>-0.99977890000000003</v>
      </c>
      <c r="N3754">
        <v>0</v>
      </c>
      <c r="O3754">
        <v>-2.062168E-2</v>
      </c>
      <c r="P3754">
        <v>-0.99715049999999905</v>
      </c>
      <c r="Q3754">
        <v>3.0799449999999999E-2</v>
      </c>
      <c r="R3754">
        <v>-6.8867150000000002E-2</v>
      </c>
      <c r="S3754">
        <v>-3.0072329999999998</v>
      </c>
      <c r="T3754">
        <v>-7.3980329999999997E-2</v>
      </c>
      <c r="U3754">
        <v>-5.3024290000000002E-2</v>
      </c>
      <c r="V3754">
        <v>-4.8289940000000003E-2</v>
      </c>
      <c r="W3754">
        <v>3.4922000000000002E-2</v>
      </c>
      <c r="X3754">
        <v>0.99822269999999902</v>
      </c>
      <c r="Y3754">
        <v>2.9857459999999901E-3</v>
      </c>
      <c r="Z3754">
        <v>5.4386549999999999E-4</v>
      </c>
      <c r="AA3754">
        <v>0.99999539999999998</v>
      </c>
      <c r="AB3754">
        <v>50</v>
      </c>
      <c r="AC3754">
        <v>-44.3447999999999</v>
      </c>
      <c r="AD3754">
        <v>-1.1029170618639901</v>
      </c>
      <c r="AE3754">
        <v>-0.78040000000001397</v>
      </c>
      <c r="AF3754">
        <v>0.13415499509599399</v>
      </c>
      <c r="AG3754">
        <v>-1.1029170618639901</v>
      </c>
      <c r="AH3754">
        <v>44.3240534741795</v>
      </c>
      <c r="AI3754">
        <v>91.425392337063201</v>
      </c>
      <c r="AJ3754">
        <v>89.826584191976195</v>
      </c>
      <c r="AK3754">
        <v>44.337976273054998</v>
      </c>
    </row>
    <row r="3755" spans="1:37" x14ac:dyDescent="0.2">
      <c r="A3755" t="str">
        <f>"20200111153509424"</f>
        <v>20200111153509424</v>
      </c>
      <c r="B3755" t="str">
        <f>"1578728109420028"</f>
        <v>1578728109420028</v>
      </c>
      <c r="C3755" t="s">
        <v>37</v>
      </c>
      <c r="D3755">
        <v>4.5968999999999998</v>
      </c>
      <c r="E3755">
        <v>0.51926300000000003</v>
      </c>
      <c r="F3755" t="s">
        <v>51</v>
      </c>
      <c r="G3755">
        <v>-315.37509999999997</v>
      </c>
      <c r="H3755" s="1">
        <v>-7.775297E-6</v>
      </c>
      <c r="I3755">
        <v>140.96539999999999</v>
      </c>
      <c r="J3755">
        <v>-270.6925</v>
      </c>
      <c r="K3755">
        <v>1.1029070000000001</v>
      </c>
      <c r="L3755">
        <v>141.74029999999999</v>
      </c>
      <c r="M3755">
        <v>-0.99977879999999997</v>
      </c>
      <c r="N3755">
        <v>0</v>
      </c>
      <c r="O3755">
        <v>-2.0624449999999999E-2</v>
      </c>
      <c r="P3755">
        <v>-0.99715049999999905</v>
      </c>
      <c r="Q3755">
        <v>3.0803440000000001E-2</v>
      </c>
      <c r="R3755">
        <v>-6.8864469999999997E-2</v>
      </c>
      <c r="S3755">
        <v>-3.007263</v>
      </c>
      <c r="T3755">
        <v>-7.365584E-2</v>
      </c>
      <c r="U3755">
        <v>-5.2230829999999999E-2</v>
      </c>
      <c r="V3755">
        <v>-4.8283729999999997E-2</v>
      </c>
      <c r="W3755">
        <v>3.4942969999999997E-2</v>
      </c>
      <c r="X3755">
        <v>0.99822219999999995</v>
      </c>
      <c r="Y3755">
        <v>3.2524379999999999E-3</v>
      </c>
      <c r="Z3755">
        <v>5.4480990000000003E-4</v>
      </c>
      <c r="AA3755">
        <v>0.99999459999999996</v>
      </c>
      <c r="AB3755">
        <v>50</v>
      </c>
      <c r="AC3755">
        <v>-44.682599999999901</v>
      </c>
      <c r="AD3755">
        <v>-1.1029147752970001</v>
      </c>
      <c r="AE3755">
        <v>-0.77490000000000203</v>
      </c>
      <c r="AF3755">
        <v>0.14673732903914399</v>
      </c>
      <c r="AG3755">
        <v>-1.1029147752970001</v>
      </c>
      <c r="AH3755">
        <v>44.661874790734899</v>
      </c>
      <c r="AI3755">
        <v>91.414611015643501</v>
      </c>
      <c r="AJ3755">
        <v>89.811754445175197</v>
      </c>
      <c r="AK3755">
        <v>44.675731808987599</v>
      </c>
    </row>
    <row r="3756" spans="1:37" x14ac:dyDescent="0.2">
      <c r="A3756" t="str">
        <f>"20200111153509437"</f>
        <v>20200111153509437</v>
      </c>
      <c r="B3756" t="str">
        <f>"1578728109429788"</f>
        <v>1578728109429788</v>
      </c>
      <c r="C3756" t="s">
        <v>37</v>
      </c>
      <c r="D3756">
        <v>4.5800199999999904</v>
      </c>
      <c r="E3756">
        <v>0.51925749999999904</v>
      </c>
      <c r="F3756" t="s">
        <v>51</v>
      </c>
      <c r="G3756">
        <v>-315.39859999999999</v>
      </c>
      <c r="H3756" s="1">
        <v>-7.7647200000000001E-6</v>
      </c>
      <c r="I3756">
        <v>140.9648</v>
      </c>
      <c r="J3756">
        <v>-270.99979999999999</v>
      </c>
      <c r="K3756">
        <v>1.1029070000000001</v>
      </c>
      <c r="L3756">
        <v>141.73400000000001</v>
      </c>
      <c r="M3756">
        <v>-0.99977859999999996</v>
      </c>
      <c r="N3756">
        <v>0</v>
      </c>
      <c r="O3756">
        <v>-2.062638E-2</v>
      </c>
      <c r="P3756">
        <v>-0.99715159999999903</v>
      </c>
      <c r="Q3756">
        <v>3.1086720000000002E-2</v>
      </c>
      <c r="R3756">
        <v>-6.8718139999999997E-2</v>
      </c>
      <c r="S3756">
        <v>-3.0072939999999999</v>
      </c>
      <c r="T3756">
        <v>-7.4190969999999995E-2</v>
      </c>
      <c r="U3756">
        <v>-5.2169799999999898E-2</v>
      </c>
      <c r="V3756">
        <v>-4.8136140000000001E-2</v>
      </c>
      <c r="W3756">
        <v>3.5242240000000001E-2</v>
      </c>
      <c r="X3756">
        <v>0.99821879999999996</v>
      </c>
      <c r="Y3756">
        <v>3.274725E-3</v>
      </c>
      <c r="Z3756">
        <v>5.4908379999999996E-4</v>
      </c>
      <c r="AA3756">
        <v>0.99999450000000001</v>
      </c>
      <c r="AB3756">
        <v>50</v>
      </c>
      <c r="AC3756">
        <v>-44.398800000000001</v>
      </c>
      <c r="AD3756">
        <v>-1.1029147647199999</v>
      </c>
      <c r="AE3756">
        <v>-0.76920000000001199</v>
      </c>
      <c r="AF3756">
        <v>0.146667612452449</v>
      </c>
      <c r="AG3756">
        <v>-1.1029147647199999</v>
      </c>
      <c r="AH3756">
        <v>44.377843639546299</v>
      </c>
      <c r="AI3756">
        <v>91.423661119809594</v>
      </c>
      <c r="AJ3756">
        <v>89.8106396368253</v>
      </c>
      <c r="AK3756">
        <v>44.391789088330299</v>
      </c>
    </row>
    <row r="3757" spans="1:37" x14ac:dyDescent="0.2">
      <c r="A3757" t="str">
        <f>"20200111153509454"</f>
        <v>20200111153509454</v>
      </c>
      <c r="B3757" t="str">
        <f>"1578728109449308"</f>
        <v>1578728109449308</v>
      </c>
      <c r="C3757" t="s">
        <v>37</v>
      </c>
      <c r="D3757">
        <v>4.5961720000000001</v>
      </c>
      <c r="E3757">
        <v>0.51923229999999998</v>
      </c>
      <c r="F3757" t="s">
        <v>51</v>
      </c>
      <c r="G3757">
        <v>-316.40789999999998</v>
      </c>
      <c r="H3757" s="1">
        <v>-7.3139999999999998E-6</v>
      </c>
      <c r="I3757">
        <v>140.9529</v>
      </c>
      <c r="J3757">
        <v>-271.34100000000001</v>
      </c>
      <c r="K3757">
        <v>1.1029070000000001</v>
      </c>
      <c r="L3757">
        <v>141.7269</v>
      </c>
      <c r="M3757">
        <v>-0.99977859999999996</v>
      </c>
      <c r="N3757">
        <v>0</v>
      </c>
      <c r="O3757">
        <v>-2.0628790000000001E-2</v>
      </c>
      <c r="P3757">
        <v>-0.99715719999999997</v>
      </c>
      <c r="Q3757">
        <v>3.1345320000000003E-2</v>
      </c>
      <c r="R3757">
        <v>-6.8518739999999995E-2</v>
      </c>
      <c r="S3757">
        <v>-3.0073240000000001</v>
      </c>
      <c r="T3757">
        <v>-7.3044540000000005E-2</v>
      </c>
      <c r="U3757">
        <v>-5.1727290000000002E-2</v>
      </c>
      <c r="V3757">
        <v>-4.793385E-2</v>
      </c>
      <c r="W3757">
        <v>3.5518149999999998E-2</v>
      </c>
      <c r="X3757">
        <v>0.99821879999999996</v>
      </c>
      <c r="Y3757">
        <v>3.424589E-3</v>
      </c>
      <c r="Z3757">
        <v>5.4247520000000001E-4</v>
      </c>
      <c r="AA3757">
        <v>0.99999400000000005</v>
      </c>
      <c r="AB3757">
        <v>50</v>
      </c>
      <c r="AC3757">
        <v>-45.066899999999897</v>
      </c>
      <c r="AD3757">
        <v>-1.102914314</v>
      </c>
      <c r="AE3757">
        <v>-0.77400000000000002</v>
      </c>
      <c r="AF3757">
        <v>0.155755063086953</v>
      </c>
      <c r="AG3757">
        <v>-1.102914314</v>
      </c>
      <c r="AH3757">
        <v>45.0463054559009</v>
      </c>
      <c r="AI3757">
        <v>91.402541995466606</v>
      </c>
      <c r="AJ3757">
        <v>89.801891140711703</v>
      </c>
      <c r="AK3757">
        <v>45.060074510036301</v>
      </c>
    </row>
    <row r="3758" spans="1:37" x14ac:dyDescent="0.2">
      <c r="A3758" t="str">
        <f>"20200111153509467"</f>
        <v>20200111153509467</v>
      </c>
      <c r="B3758" t="str">
        <f>"1578728109460043"</f>
        <v>1578728109460043</v>
      </c>
      <c r="C3758" t="s">
        <v>37</v>
      </c>
      <c r="D3758">
        <v>4.6071669999999996</v>
      </c>
      <c r="E3758">
        <v>0.51923940000000002</v>
      </c>
      <c r="F3758" t="s">
        <v>51</v>
      </c>
      <c r="G3758">
        <v>-317.1284</v>
      </c>
      <c r="H3758" s="1">
        <v>-6.9927620000000004E-6</v>
      </c>
      <c r="I3758">
        <v>140.94630000000001</v>
      </c>
      <c r="J3758">
        <v>-271.66379999999998</v>
      </c>
      <c r="K3758">
        <v>1.1028990000000001</v>
      </c>
      <c r="L3758">
        <v>141.72020000000001</v>
      </c>
      <c r="M3758">
        <v>-0.99977839999999996</v>
      </c>
      <c r="N3758">
        <v>0</v>
      </c>
      <c r="O3758">
        <v>-2.0630720000000002E-2</v>
      </c>
      <c r="P3758">
        <v>-0.9971489</v>
      </c>
      <c r="Q3758">
        <v>3.1501120000000001E-2</v>
      </c>
      <c r="R3758">
        <v>-6.8573120000000001E-2</v>
      </c>
      <c r="S3758">
        <v>-3.007263</v>
      </c>
      <c r="T3758">
        <v>-7.2438119999999995E-2</v>
      </c>
      <c r="U3758">
        <v>-5.1269530000000001E-2</v>
      </c>
      <c r="V3758">
        <v>-4.7986399999999999E-2</v>
      </c>
      <c r="W3758">
        <v>3.5690180000000002E-2</v>
      </c>
      <c r="X3758">
        <v>0.99821009999999999</v>
      </c>
      <c r="Y3758">
        <v>3.5784200000000001E-3</v>
      </c>
      <c r="Z3758">
        <v>5.3988370000000003E-4</v>
      </c>
      <c r="AA3758">
        <v>0.99999340000000003</v>
      </c>
      <c r="AB3758">
        <v>51</v>
      </c>
      <c r="AC3758">
        <v>-45.464599999999997</v>
      </c>
      <c r="AD3758">
        <v>-1.102905992762</v>
      </c>
      <c r="AE3758">
        <v>-0.77389999999999703</v>
      </c>
      <c r="AF3758">
        <v>0.16414380081774901</v>
      </c>
      <c r="AG3758">
        <v>-1.102905992762</v>
      </c>
      <c r="AH3758">
        <v>45.444154443634901</v>
      </c>
      <c r="AI3758">
        <v>91.390256787549305</v>
      </c>
      <c r="AJ3758">
        <v>89.793049155915</v>
      </c>
      <c r="AK3758">
        <v>45.457832305480203</v>
      </c>
    </row>
    <row r="3759" spans="1:37" x14ac:dyDescent="0.2">
      <c r="A3759" t="str">
        <f>"20200111153509482"</f>
        <v>20200111153509482</v>
      </c>
      <c r="B3759" t="str">
        <f>"1578728109479563"</f>
        <v>1578728109479563</v>
      </c>
      <c r="C3759" t="s">
        <v>37</v>
      </c>
      <c r="D3759">
        <v>4.6029479999999996</v>
      </c>
      <c r="E3759">
        <v>0.51924309999999996</v>
      </c>
      <c r="F3759" t="s">
        <v>51</v>
      </c>
      <c r="G3759">
        <v>-317.87920000000003</v>
      </c>
      <c r="H3759" s="1">
        <v>-6.6559600000000001E-6</v>
      </c>
      <c r="I3759">
        <v>140.9316</v>
      </c>
      <c r="J3759">
        <v>-272.00389999999999</v>
      </c>
      <c r="K3759">
        <v>1.1029</v>
      </c>
      <c r="L3759">
        <v>141.7132</v>
      </c>
      <c r="M3759">
        <v>-0.99977830000000001</v>
      </c>
      <c r="N3759">
        <v>0</v>
      </c>
      <c r="O3759">
        <v>-2.0632540000000001E-2</v>
      </c>
      <c r="P3759">
        <v>-0.99715859999999901</v>
      </c>
      <c r="Q3759">
        <v>3.1313649999999998E-2</v>
      </c>
      <c r="R3759">
        <v>-6.8513770000000002E-2</v>
      </c>
      <c r="S3759">
        <v>-3.0073240000000001</v>
      </c>
      <c r="T3759">
        <v>-7.1768280000000004E-2</v>
      </c>
      <c r="U3759">
        <v>-5.1315310000000003E-2</v>
      </c>
      <c r="V3759">
        <v>-4.7925269999999999E-2</v>
      </c>
      <c r="W3759">
        <v>3.5519589999999997E-2</v>
      </c>
      <c r="X3759">
        <v>0.99821919999999897</v>
      </c>
      <c r="Y3759">
        <v>3.56550099999999E-3</v>
      </c>
      <c r="Z3759">
        <v>5.3477099999999997E-4</v>
      </c>
      <c r="AA3759">
        <v>0.99999349999999998</v>
      </c>
      <c r="AB3759">
        <v>51</v>
      </c>
      <c r="AC3759">
        <v>-45.875300000000003</v>
      </c>
      <c r="AD3759">
        <v>-1.10290665596</v>
      </c>
      <c r="AE3759">
        <v>-0.78159999999999696</v>
      </c>
      <c r="AF3759">
        <v>0.165003357440131</v>
      </c>
      <c r="AG3759">
        <v>-1.10290665596</v>
      </c>
      <c r="AH3759">
        <v>45.8551646308944</v>
      </c>
      <c r="AI3759">
        <v>91.377801323190795</v>
      </c>
      <c r="AJ3759">
        <v>89.793830089605393</v>
      </c>
      <c r="AK3759">
        <v>45.868723031344103</v>
      </c>
    </row>
    <row r="3760" spans="1:37" x14ac:dyDescent="0.2">
      <c r="A3760" t="str">
        <f>"20200111153509500"</f>
        <v>20200111153509500</v>
      </c>
      <c r="B3760" t="str">
        <f>"1578728109489324"</f>
        <v>1578728109489324</v>
      </c>
      <c r="C3760" t="s">
        <v>37</v>
      </c>
      <c r="D3760">
        <v>4.5866230000000003</v>
      </c>
      <c r="E3760">
        <v>0.51923079999999999</v>
      </c>
      <c r="F3760" t="s">
        <v>51</v>
      </c>
      <c r="G3760">
        <v>-318.14620000000002</v>
      </c>
      <c r="H3760" s="1">
        <v>-6.5370600000000002E-6</v>
      </c>
      <c r="I3760">
        <v>140.9298</v>
      </c>
      <c r="J3760">
        <v>-272.38959999999997</v>
      </c>
      <c r="K3760">
        <v>1.102908</v>
      </c>
      <c r="L3760">
        <v>141.70529999999999</v>
      </c>
      <c r="M3760">
        <v>-0.99977819999999995</v>
      </c>
      <c r="N3760">
        <v>0</v>
      </c>
      <c r="O3760">
        <v>-2.0634599999999899E-2</v>
      </c>
      <c r="P3760">
        <v>-0.99717339999999999</v>
      </c>
      <c r="Q3760">
        <v>3.1250399999999998E-2</v>
      </c>
      <c r="R3760">
        <v>-6.8329570000000006E-2</v>
      </c>
      <c r="S3760">
        <v>-3.007263</v>
      </c>
      <c r="T3760">
        <v>-7.1880459999999993E-2</v>
      </c>
      <c r="U3760">
        <v>-5.1055910000000003E-2</v>
      </c>
      <c r="V3760">
        <v>-4.7737809999999999E-2</v>
      </c>
      <c r="W3760">
        <v>3.5475270000000003E-2</v>
      </c>
      <c r="X3760">
        <v>0.998229699999999</v>
      </c>
      <c r="Y3760">
        <v>3.653402E-3</v>
      </c>
      <c r="Z3760">
        <v>5.3671749999999999E-4</v>
      </c>
      <c r="AA3760">
        <v>0.99999319999999903</v>
      </c>
      <c r="AB3760">
        <v>51</v>
      </c>
      <c r="AC3760">
        <v>-45.756599999999999</v>
      </c>
      <c r="AD3760">
        <v>-1.10291453706</v>
      </c>
      <c r="AE3760">
        <v>-0.77549999999999297</v>
      </c>
      <c r="AF3760">
        <v>0.16874463143544599</v>
      </c>
      <c r="AG3760">
        <v>-1.10291453706</v>
      </c>
      <c r="AH3760">
        <v>45.736294625597097</v>
      </c>
      <c r="AI3760">
        <v>91.381390293080202</v>
      </c>
      <c r="AJ3760">
        <v>89.788607463589301</v>
      </c>
      <c r="AK3760">
        <v>45.749902090672499</v>
      </c>
    </row>
    <row r="3761" spans="1:37" x14ac:dyDescent="0.2">
      <c r="A3761" t="str">
        <f>"20200111153509522"</f>
        <v>20200111153509522</v>
      </c>
      <c r="B3761" t="str">
        <f>"1578728109509819"</f>
        <v>1578728109509819</v>
      </c>
      <c r="C3761" t="s">
        <v>37</v>
      </c>
      <c r="D3761">
        <v>4.6208519999999904</v>
      </c>
      <c r="E3761">
        <v>0.51929269999999905</v>
      </c>
      <c r="F3761" t="s">
        <v>51</v>
      </c>
      <c r="G3761">
        <v>-318.18639999999999</v>
      </c>
      <c r="H3761" s="1">
        <v>-6.5201419999999902E-6</v>
      </c>
      <c r="I3761">
        <v>140.9333</v>
      </c>
      <c r="J3761">
        <v>-272.89499999999998</v>
      </c>
      <c r="K3761">
        <v>1.1029199999999999</v>
      </c>
      <c r="L3761">
        <v>141.69479999999999</v>
      </c>
      <c r="M3761">
        <v>-0.9997779</v>
      </c>
      <c r="N3761">
        <v>0</v>
      </c>
      <c r="O3761">
        <v>-2.0636910000000001E-2</v>
      </c>
      <c r="P3761">
        <v>-0.99718240000000002</v>
      </c>
      <c r="Q3761">
        <v>3.199842E-2</v>
      </c>
      <c r="R3761">
        <v>-6.7848350000000002E-2</v>
      </c>
      <c r="S3761">
        <v>-3.0072939999999999</v>
      </c>
      <c r="T3761">
        <v>-7.2423929999999997E-2</v>
      </c>
      <c r="U3761">
        <v>-5.0689699999999997E-2</v>
      </c>
      <c r="V3761">
        <v>-4.7254310000000001E-2</v>
      </c>
      <c r="W3761">
        <v>3.6249629999999998E-2</v>
      </c>
      <c r="X3761">
        <v>0.99822489999999997</v>
      </c>
      <c r="Y3761">
        <v>3.7774859999999901E-3</v>
      </c>
      <c r="Z3761">
        <v>5.4231929999999998E-4</v>
      </c>
      <c r="AA3761">
        <v>0.99999269999999996</v>
      </c>
      <c r="AB3761">
        <v>51</v>
      </c>
      <c r="AC3761">
        <v>-45.291400000000003</v>
      </c>
      <c r="AD3761">
        <v>-1.102926520142</v>
      </c>
      <c r="AE3761">
        <v>-0.76149999999998297</v>
      </c>
      <c r="AF3761">
        <v>0.17324255267028499</v>
      </c>
      <c r="AG3761">
        <v>-1.102926520142</v>
      </c>
      <c r="AH3761">
        <v>45.270631221395902</v>
      </c>
      <c r="AI3761">
        <v>91.395608415545595</v>
      </c>
      <c r="AJ3761">
        <v>89.780740440801395</v>
      </c>
      <c r="AK3761">
        <v>45.284395889472897</v>
      </c>
    </row>
    <row r="3762" spans="1:37" x14ac:dyDescent="0.2">
      <c r="A3762" t="str">
        <f>"20200111153509543"</f>
        <v>20200111153509543</v>
      </c>
      <c r="B3762" t="str">
        <f>"1578728109540075"</f>
        <v>1578728109540075</v>
      </c>
      <c r="C3762" t="s">
        <v>37</v>
      </c>
      <c r="D3762">
        <v>4.6409039999999999</v>
      </c>
      <c r="E3762">
        <v>0.51938509999999904</v>
      </c>
      <c r="F3762" t="s">
        <v>39</v>
      </c>
      <c r="G3762">
        <v>-320.61970000000002</v>
      </c>
      <c r="H3762" s="1">
        <v>-4.2965380000000001E-6</v>
      </c>
      <c r="I3762">
        <v>140.92089999999999</v>
      </c>
      <c r="J3762">
        <v>-273.39679999999998</v>
      </c>
      <c r="K3762">
        <v>1.1029329999999999</v>
      </c>
      <c r="L3762">
        <v>141.68450000000001</v>
      </c>
      <c r="M3762">
        <v>-0.9997779</v>
      </c>
      <c r="N3762">
        <v>0</v>
      </c>
      <c r="O3762">
        <v>-2.0639230000000001E-2</v>
      </c>
      <c r="P3762">
        <v>-0.99718999999999902</v>
      </c>
      <c r="Q3762">
        <v>3.284956E-2</v>
      </c>
      <c r="R3762">
        <v>-6.7329059999999996E-2</v>
      </c>
      <c r="S3762">
        <v>-3.0074160000000001</v>
      </c>
      <c r="T3762">
        <v>-6.9501880000000002E-2</v>
      </c>
      <c r="U3762">
        <v>-4.8767089999999999E-2</v>
      </c>
      <c r="V3762">
        <v>-4.6732530000000001E-2</v>
      </c>
      <c r="W3762">
        <v>3.7133090000000001E-2</v>
      </c>
      <c r="X3762">
        <v>0.99821700000000002</v>
      </c>
      <c r="Y3762">
        <v>4.4199950000000003E-3</v>
      </c>
      <c r="Z3762">
        <v>5.2790339999999995E-4</v>
      </c>
      <c r="AA3762">
        <v>0.99999009999999999</v>
      </c>
      <c r="AB3762">
        <v>51</v>
      </c>
      <c r="AC3762">
        <v>-47.222900000000003</v>
      </c>
      <c r="AD3762">
        <v>-1.102937296538</v>
      </c>
      <c r="AE3762">
        <v>-0.76360000000002504</v>
      </c>
      <c r="AF3762">
        <v>0.211100683392725</v>
      </c>
      <c r="AG3762">
        <v>-1.102937296538</v>
      </c>
      <c r="AH3762">
        <v>47.202858528972598</v>
      </c>
      <c r="AI3762">
        <v>91.338510543205899</v>
      </c>
      <c r="AJ3762">
        <v>89.743763450948606</v>
      </c>
      <c r="AK3762">
        <v>47.216214243465402</v>
      </c>
    </row>
    <row r="3763" spans="1:37" x14ac:dyDescent="0.2">
      <c r="A3763" t="str">
        <f>"20200111153509566"</f>
        <v>20200111153509566</v>
      </c>
      <c r="B3763" t="str">
        <f>"1578728109559595"</f>
        <v>1578728109559595</v>
      </c>
      <c r="C3763" t="s">
        <v>37</v>
      </c>
      <c r="D3763">
        <v>4.6397659999999998</v>
      </c>
      <c r="E3763">
        <v>0.5194259</v>
      </c>
      <c r="F3763" t="s">
        <v>39</v>
      </c>
      <c r="G3763">
        <v>-323.98289999999997</v>
      </c>
      <c r="H3763" s="1">
        <v>-2.9060619999999998E-6</v>
      </c>
      <c r="I3763">
        <v>140.9034</v>
      </c>
      <c r="J3763">
        <v>-273.90730000000002</v>
      </c>
      <c r="K3763">
        <v>1.1029469999999999</v>
      </c>
      <c r="L3763">
        <v>141.6739</v>
      </c>
      <c r="M3763">
        <v>-0.99977759999999904</v>
      </c>
      <c r="N3763">
        <v>0</v>
      </c>
      <c r="O3763">
        <v>-2.0641110000000001E-2</v>
      </c>
      <c r="P3763">
        <v>-0.997224</v>
      </c>
      <c r="Q3763">
        <v>3.2489530000000003E-2</v>
      </c>
      <c r="R3763">
        <v>-6.6998000000000002E-2</v>
      </c>
      <c r="S3763">
        <v>-3.0074459999999998</v>
      </c>
      <c r="T3763">
        <v>-6.5571779999999996E-2</v>
      </c>
      <c r="U3763">
        <v>-4.6432500000000002E-2</v>
      </c>
      <c r="V3763">
        <v>-4.6398920000000003E-2</v>
      </c>
      <c r="W3763">
        <v>3.6819060000000001E-2</v>
      </c>
      <c r="X3763">
        <v>0.99824419999999903</v>
      </c>
      <c r="Y3763">
        <v>5.1986609999999898E-3</v>
      </c>
      <c r="Z3763">
        <v>5.0658669999999997E-4</v>
      </c>
      <c r="AA3763">
        <v>0.99998639999999905</v>
      </c>
      <c r="AB3763">
        <v>51</v>
      </c>
      <c r="AC3763">
        <v>-50.075599999999902</v>
      </c>
      <c r="AD3763">
        <v>-1.1029499060619901</v>
      </c>
      <c r="AE3763">
        <v>-0.77049999999999796</v>
      </c>
      <c r="AF3763">
        <v>0.26316215027911499</v>
      </c>
      <c r="AG3763">
        <v>-1.1029499060619901</v>
      </c>
      <c r="AH3763">
        <v>50.056557045239799</v>
      </c>
      <c r="AI3763">
        <v>91.262237786534101</v>
      </c>
      <c r="AJ3763">
        <v>89.698781887614103</v>
      </c>
      <c r="AK3763">
        <v>50.069398398981903</v>
      </c>
    </row>
    <row r="3764" spans="1:37" x14ac:dyDescent="0.2">
      <c r="A3764" t="str">
        <f>"20200111153509588"</f>
        <v>20200111153509588</v>
      </c>
      <c r="B3764" t="str">
        <f>"1578728109580093"</f>
        <v>1578728109580093</v>
      </c>
      <c r="C3764" t="s">
        <v>37</v>
      </c>
      <c r="D3764">
        <v>4.6559599999999897</v>
      </c>
      <c r="E3764">
        <v>0.51942069999999996</v>
      </c>
      <c r="F3764" t="s">
        <v>39</v>
      </c>
      <c r="G3764">
        <v>-325.49470000000002</v>
      </c>
      <c r="H3764" s="1">
        <v>-2.257438E-6</v>
      </c>
      <c r="I3764">
        <v>140.90299999999999</v>
      </c>
      <c r="J3764">
        <v>-274.43090000000001</v>
      </c>
      <c r="K3764">
        <v>1.102975</v>
      </c>
      <c r="L3764">
        <v>141.66309999999999</v>
      </c>
      <c r="M3764">
        <v>-0.99977729999999998</v>
      </c>
      <c r="N3764">
        <v>0</v>
      </c>
      <c r="O3764">
        <v>-2.0643169999999999E-2</v>
      </c>
      <c r="P3764">
        <v>-0.99723269999999997</v>
      </c>
      <c r="Q3764">
        <v>3.2528880000000003E-2</v>
      </c>
      <c r="R3764">
        <v>-6.685141E-2</v>
      </c>
      <c r="S3764">
        <v>-3.0074459999999998</v>
      </c>
      <c r="T3764">
        <v>-6.429994E-2</v>
      </c>
      <c r="U3764">
        <v>-4.4937129999999999E-2</v>
      </c>
      <c r="V3764">
        <v>-4.6249749999999999E-2</v>
      </c>
      <c r="W3764">
        <v>3.6929139999999999E-2</v>
      </c>
      <c r="X3764">
        <v>0.99824709999999905</v>
      </c>
      <c r="Y3764">
        <v>5.6979379999999996E-3</v>
      </c>
      <c r="Z3764">
        <v>5.0214599999999997E-4</v>
      </c>
      <c r="AA3764">
        <v>0.99998369999999903</v>
      </c>
      <c r="AB3764">
        <v>51</v>
      </c>
      <c r="AC3764">
        <v>-51.063800000000001</v>
      </c>
      <c r="AD3764">
        <v>-1.1029772574379999</v>
      </c>
      <c r="AE3764">
        <v>-0.760099999999994</v>
      </c>
      <c r="AF3764">
        <v>0.29405364115232402</v>
      </c>
      <c r="AG3764">
        <v>-1.1029772574379999</v>
      </c>
      <c r="AH3764">
        <v>51.044799329612502</v>
      </c>
      <c r="AI3764">
        <v>91.237835425249003</v>
      </c>
      <c r="AJ3764">
        <v>89.669940004807899</v>
      </c>
      <c r="AK3764">
        <v>51.057561290906797</v>
      </c>
    </row>
    <row r="3765" spans="1:37" x14ac:dyDescent="0.2">
      <c r="A3765" t="str">
        <f>"20200111153509602"</f>
        <v>20200111153509602</v>
      </c>
      <c r="B3765" t="str">
        <f>"1578728109599611"</f>
        <v>1578728109599611</v>
      </c>
      <c r="C3765" t="s">
        <v>37</v>
      </c>
      <c r="D3765">
        <v>4.6610329999999998</v>
      </c>
      <c r="E3765">
        <v>0.5196096</v>
      </c>
      <c r="F3765" t="s">
        <v>39</v>
      </c>
      <c r="G3765">
        <v>-326.9873</v>
      </c>
      <c r="H3765" s="1">
        <v>-1.6123509999999999E-6</v>
      </c>
      <c r="I3765">
        <v>140.8852</v>
      </c>
      <c r="J3765">
        <v>-274.74689999999998</v>
      </c>
      <c r="K3765">
        <v>1.1029959999999901</v>
      </c>
      <c r="L3765">
        <v>141.6566</v>
      </c>
      <c r="M3765">
        <v>-0.99977700000000003</v>
      </c>
      <c r="N3765">
        <v>0</v>
      </c>
      <c r="O3765">
        <v>-2.0644369999999999E-2</v>
      </c>
      <c r="P3765">
        <v>-0.99722489999999997</v>
      </c>
      <c r="Q3765">
        <v>3.2997230000000002E-2</v>
      </c>
      <c r="R3765">
        <v>-6.6738179999999994E-2</v>
      </c>
      <c r="S3765">
        <v>-3.00738499999999</v>
      </c>
      <c r="T3765">
        <v>-6.311464E-2</v>
      </c>
      <c r="U3765">
        <v>-4.4509890000000003E-2</v>
      </c>
      <c r="V3765">
        <v>-4.6135540000000003E-2</v>
      </c>
      <c r="W3765">
        <v>3.7457589999999999E-2</v>
      </c>
      <c r="X3765">
        <v>0.99823269999999997</v>
      </c>
      <c r="Y3765">
        <v>5.8410609999999998E-3</v>
      </c>
      <c r="Z3765">
        <v>4.9442919999999997E-4</v>
      </c>
      <c r="AA3765">
        <v>0.99998279999999995</v>
      </c>
      <c r="AB3765">
        <v>52</v>
      </c>
      <c r="AC3765">
        <v>-52.240400000000001</v>
      </c>
      <c r="AD3765">
        <v>-1.1029976123509999</v>
      </c>
      <c r="AE3765">
        <v>-0.77139999999999898</v>
      </c>
      <c r="AF3765">
        <v>0.30710832657042197</v>
      </c>
      <c r="AG3765">
        <v>-1.1029976123509999</v>
      </c>
      <c r="AH3765">
        <v>52.221916403751202</v>
      </c>
      <c r="AI3765">
        <v>91.209963649695197</v>
      </c>
      <c r="AJ3765">
        <v>89.6630570202352</v>
      </c>
      <c r="AK3765">
        <v>52.234466323850597</v>
      </c>
    </row>
    <row r="3766" spans="1:37" x14ac:dyDescent="0.2">
      <c r="A3766" t="str">
        <f>"20200111153509621"</f>
        <v>20200111153509621</v>
      </c>
      <c r="B3766" t="str">
        <f>"1578728109609371"</f>
        <v>1578728109609371</v>
      </c>
      <c r="C3766" t="s">
        <v>37</v>
      </c>
      <c r="D3766">
        <v>4.6660599999999999</v>
      </c>
      <c r="E3766">
        <v>0.55271059999999905</v>
      </c>
      <c r="F3766" t="s">
        <v>39</v>
      </c>
      <c r="G3766">
        <v>-329.23770000000002</v>
      </c>
      <c r="H3766" s="1">
        <v>-6.468547E-7</v>
      </c>
      <c r="I3766">
        <v>140.88489999999999</v>
      </c>
      <c r="J3766">
        <v>-275.18290000000002</v>
      </c>
      <c r="K3766">
        <v>1.1030329999999999</v>
      </c>
      <c r="L3766">
        <v>141.64760000000001</v>
      </c>
      <c r="M3766">
        <v>-0.99977640000000001</v>
      </c>
      <c r="N3766">
        <v>0</v>
      </c>
      <c r="O3766">
        <v>-2.0645839999999999E-2</v>
      </c>
      <c r="P3766">
        <v>-0.99717080000000002</v>
      </c>
      <c r="Q3766">
        <v>3.4602470000000003E-2</v>
      </c>
      <c r="R3766">
        <v>-6.6731830000000006E-2</v>
      </c>
      <c r="S3766">
        <v>-3.0074770000000002</v>
      </c>
      <c r="T3766">
        <v>-6.087708E-2</v>
      </c>
      <c r="U3766">
        <v>-4.2587279999999998E-2</v>
      </c>
      <c r="V3766">
        <v>-4.6129150000000001E-2</v>
      </c>
      <c r="W3766">
        <v>3.918866E-2</v>
      </c>
      <c r="X3766">
        <v>0.99816649999999996</v>
      </c>
      <c r="Y3766">
        <v>6.4823980000000003E-3</v>
      </c>
      <c r="Z3766">
        <v>4.8341239999999999E-4</v>
      </c>
      <c r="AA3766">
        <v>0.9999789</v>
      </c>
      <c r="AB3766">
        <v>52</v>
      </c>
      <c r="AC3766">
        <v>-54.0548</v>
      </c>
      <c r="AD3766">
        <v>-1.1030336468547</v>
      </c>
      <c r="AE3766">
        <v>-0.76270000000002303</v>
      </c>
      <c r="AF3766">
        <v>0.35333388716325798</v>
      </c>
      <c r="AG3766">
        <v>-1.1030336468547</v>
      </c>
      <c r="AH3766">
        <v>54.036528587345799</v>
      </c>
      <c r="AI3766">
        <v>91.169376495243</v>
      </c>
      <c r="AJ3766">
        <v>89.625359872187104</v>
      </c>
      <c r="AK3766">
        <v>54.048940321091898</v>
      </c>
    </row>
    <row r="3767" spans="1:37" x14ac:dyDescent="0.2">
      <c r="A3767" t="str">
        <f>"20200111153509635"</f>
        <v>20200111153509635</v>
      </c>
      <c r="B3767" t="str">
        <f>"1578728109629869"</f>
        <v>1578728109629869</v>
      </c>
      <c r="C3767" t="s">
        <v>37</v>
      </c>
      <c r="D3767">
        <v>4.6575889999999998</v>
      </c>
      <c r="E3767">
        <v>0.56218990000000002</v>
      </c>
      <c r="F3767" t="s">
        <v>39</v>
      </c>
      <c r="G3767">
        <v>-326.94420000000002</v>
      </c>
      <c r="H3767" s="1">
        <v>-2.83923499999999E-6</v>
      </c>
      <c r="I3767">
        <v>145.42670000000001</v>
      </c>
      <c r="J3767">
        <v>-275.53370000000001</v>
      </c>
      <c r="K3767">
        <v>1.1030690000000001</v>
      </c>
      <c r="L3767">
        <v>141.6403</v>
      </c>
      <c r="M3767">
        <v>-0.99977559999999999</v>
      </c>
      <c r="N3767">
        <v>0</v>
      </c>
      <c r="O3767">
        <v>-2.064678E-2</v>
      </c>
      <c r="P3767">
        <v>-0.99717489999999998</v>
      </c>
      <c r="Q3767">
        <v>3.5015289999999998E-2</v>
      </c>
      <c r="R3767">
        <v>-6.6455249999999993E-2</v>
      </c>
      <c r="S3767">
        <v>-3.0255130000000001</v>
      </c>
      <c r="T3767">
        <v>-6.4473870000000003E-2</v>
      </c>
      <c r="U3767">
        <v>0.2209015</v>
      </c>
      <c r="V3767">
        <v>-4.5851589999999998E-2</v>
      </c>
      <c r="W3767">
        <v>3.975327E-2</v>
      </c>
      <c r="X3767">
        <v>0.99815699999999996</v>
      </c>
      <c r="Y3767">
        <v>9.336999E-2</v>
      </c>
      <c r="Z3767">
        <v>1.4328399999999999E-3</v>
      </c>
      <c r="AA3767">
        <v>0.99563040000000003</v>
      </c>
      <c r="AB3767">
        <v>52</v>
      </c>
      <c r="AC3767">
        <v>-51.410499999999999</v>
      </c>
      <c r="AD3767">
        <v>-1.1030718392350001</v>
      </c>
      <c r="AE3767">
        <v>3.7864000000000102</v>
      </c>
      <c r="AF3767">
        <v>4.8448476747289897</v>
      </c>
      <c r="AG3767">
        <v>-1.1030718392350001</v>
      </c>
      <c r="AH3767">
        <v>51.297874435938297</v>
      </c>
      <c r="AI3767">
        <v>91.226400661050604</v>
      </c>
      <c r="AJ3767">
        <v>84.604681825796803</v>
      </c>
      <c r="AK3767">
        <v>51.537959196296597</v>
      </c>
    </row>
    <row r="3768" spans="1:37" x14ac:dyDescent="0.2">
      <c r="A3768" t="str">
        <f>"20200111153509655"</f>
        <v>20200111153509655</v>
      </c>
      <c r="B3768" t="str">
        <f>"1578728109649387"</f>
        <v>1578728109649387</v>
      </c>
      <c r="C3768" t="s">
        <v>37</v>
      </c>
      <c r="D3768">
        <v>4.6133639999999998</v>
      </c>
      <c r="E3768">
        <v>0.56471959999999999</v>
      </c>
      <c r="F3768" t="s">
        <v>39</v>
      </c>
      <c r="G3768">
        <v>-329.36239999999998</v>
      </c>
      <c r="H3768" s="1">
        <v>-2.19866099999999E-6</v>
      </c>
      <c r="I3768">
        <v>146.91810000000001</v>
      </c>
      <c r="J3768">
        <v>-275.98140000000001</v>
      </c>
      <c r="K3768">
        <v>1.103129</v>
      </c>
      <c r="L3768">
        <v>141.6311</v>
      </c>
      <c r="M3768">
        <v>-0.9997743</v>
      </c>
      <c r="N3768">
        <v>0</v>
      </c>
      <c r="O3768">
        <v>-2.064846E-2</v>
      </c>
      <c r="P3768">
        <v>-0.99714879999999995</v>
      </c>
      <c r="Q3768">
        <v>3.5398609999999997E-2</v>
      </c>
      <c r="R3768">
        <v>-6.6643480000000005E-2</v>
      </c>
      <c r="S3768">
        <v>-3.0304869999999999</v>
      </c>
      <c r="T3768">
        <v>-6.2101599999999903E-2</v>
      </c>
      <c r="U3768">
        <v>0.29713440000000002</v>
      </c>
      <c r="V3768">
        <v>-4.6038410000000002E-2</v>
      </c>
      <c r="W3768">
        <v>4.0396019999999998E-2</v>
      </c>
      <c r="X3768">
        <v>0.99812259999999997</v>
      </c>
      <c r="Y3768">
        <v>0.11808099999999901</v>
      </c>
      <c r="Z3768">
        <v>1.6290219999999999E-3</v>
      </c>
      <c r="AA3768">
        <v>0.99300270000000002</v>
      </c>
      <c r="AB3768">
        <v>52</v>
      </c>
      <c r="AC3768">
        <v>-53.380999999999901</v>
      </c>
      <c r="AD3768">
        <v>-1.103131198661</v>
      </c>
      <c r="AE3768">
        <v>5.2869999999999999</v>
      </c>
      <c r="AF3768">
        <v>6.3854215695213696</v>
      </c>
      <c r="AG3768">
        <v>-1.103131198661</v>
      </c>
      <c r="AH3768">
        <v>53.2379344783308</v>
      </c>
      <c r="AI3768">
        <v>91.178598110131006</v>
      </c>
      <c r="AJ3768">
        <v>83.160547965637804</v>
      </c>
      <c r="AK3768">
        <v>53.630850958949097</v>
      </c>
    </row>
    <row r="3769" spans="1:37" x14ac:dyDescent="0.2">
      <c r="A3769" t="str">
        <f>"20200111153509678"</f>
        <v>20200111153509678</v>
      </c>
      <c r="B3769" t="str">
        <f>"1578728109669882"</f>
        <v>1578728109669882</v>
      </c>
      <c r="C3769" t="s">
        <v>37</v>
      </c>
      <c r="D3769">
        <v>4.6524369999999999</v>
      </c>
      <c r="E3769">
        <v>0.5646023</v>
      </c>
      <c r="F3769" t="s">
        <v>39</v>
      </c>
      <c r="G3769">
        <v>-326.97140000000002</v>
      </c>
      <c r="H3769" s="1">
        <v>-3.206287E-6</v>
      </c>
      <c r="I3769">
        <v>146.96</v>
      </c>
      <c r="J3769">
        <v>-276.51940000000002</v>
      </c>
      <c r="K3769">
        <v>1.1032309999999901</v>
      </c>
      <c r="L3769">
        <v>141.6199</v>
      </c>
      <c r="M3769">
        <v>-0.99977199999999899</v>
      </c>
      <c r="N3769">
        <v>0</v>
      </c>
      <c r="O3769">
        <v>-2.0650290000000002E-2</v>
      </c>
      <c r="P3769">
        <v>-0.99717939999999905</v>
      </c>
      <c r="Q3769">
        <v>3.4707830000000002E-2</v>
      </c>
      <c r="R3769">
        <v>-6.6547999999999996E-2</v>
      </c>
      <c r="S3769">
        <v>-3.0320130000000001</v>
      </c>
      <c r="T3769">
        <v>-6.5595509999999996E-2</v>
      </c>
      <c r="U3769">
        <v>0.31687929999999997</v>
      </c>
      <c r="V3769">
        <v>-4.5940830000000002E-2</v>
      </c>
      <c r="W3769">
        <v>4.0141110000000001E-2</v>
      </c>
      <c r="X3769">
        <v>0.99813739999999995</v>
      </c>
      <c r="Y3769">
        <v>0.124428</v>
      </c>
      <c r="Z3769">
        <v>1.787739E-3</v>
      </c>
      <c r="AA3769">
        <v>0.99222699999999997</v>
      </c>
      <c r="AB3769">
        <v>52</v>
      </c>
      <c r="AC3769">
        <v>-50.451999999999998</v>
      </c>
      <c r="AD3769">
        <v>-1.10323420628699</v>
      </c>
      <c r="AE3769">
        <v>5.3400999999999996</v>
      </c>
      <c r="AF3769">
        <v>6.3778091853546499</v>
      </c>
      <c r="AG3769">
        <v>-1.10323420628699</v>
      </c>
      <c r="AH3769">
        <v>50.307176387767903</v>
      </c>
      <c r="AI3769">
        <v>91.246319979624303</v>
      </c>
      <c r="AJ3769">
        <v>82.774739198581102</v>
      </c>
      <c r="AK3769">
        <v>50.721845114592497</v>
      </c>
    </row>
    <row r="3770" spans="1:37" x14ac:dyDescent="0.2">
      <c r="A3770" t="str">
        <f>"20200111153509710"</f>
        <v>20200111153509710</v>
      </c>
      <c r="B3770" t="str">
        <f>"1578728109700142"</f>
        <v>1578728109700142</v>
      </c>
      <c r="C3770" t="s">
        <v>37</v>
      </c>
      <c r="D3770">
        <v>4.6562089999999996</v>
      </c>
      <c r="E3770">
        <v>0.5647044</v>
      </c>
      <c r="F3770" t="s">
        <v>39</v>
      </c>
      <c r="G3770">
        <v>-324.3374</v>
      </c>
      <c r="H3770" s="1">
        <v>-4.0407260000000004E-6</v>
      </c>
      <c r="I3770">
        <v>146.61109999999999</v>
      </c>
      <c r="J3770">
        <v>-277.25099999999998</v>
      </c>
      <c r="K3770">
        <v>1.103407</v>
      </c>
      <c r="L3770">
        <v>141.60480000000001</v>
      </c>
      <c r="M3770">
        <v>-0.99976710000000002</v>
      </c>
      <c r="N3770">
        <v>0</v>
      </c>
      <c r="O3770">
        <v>-2.065198E-2</v>
      </c>
      <c r="P3770">
        <v>-0.99722730000000004</v>
      </c>
      <c r="Q3770">
        <v>3.364135E-2</v>
      </c>
      <c r="R3770">
        <v>-6.6380090000000003E-2</v>
      </c>
      <c r="S3770">
        <v>-3.0320429999999998</v>
      </c>
      <c r="T3770">
        <v>-6.9954039999999995E-2</v>
      </c>
      <c r="U3770">
        <v>0.3164825</v>
      </c>
      <c r="V3770">
        <v>-4.576943E-2</v>
      </c>
      <c r="W3770">
        <v>3.9918130000000003E-2</v>
      </c>
      <c r="X3770">
        <v>0.99815419999999999</v>
      </c>
      <c r="Y3770">
        <v>0.1242958</v>
      </c>
      <c r="Z3770">
        <v>1.905009E-3</v>
      </c>
      <c r="AA3770">
        <v>0.9922434</v>
      </c>
      <c r="AB3770">
        <v>52</v>
      </c>
      <c r="AC3770">
        <v>-47.086399999999998</v>
      </c>
      <c r="AD3770">
        <v>-1.103411040726</v>
      </c>
      <c r="AE3770">
        <v>5.00629999999998</v>
      </c>
      <c r="AF3770">
        <v>5.9744345785019304</v>
      </c>
      <c r="AG3770">
        <v>-1.103411040726</v>
      </c>
      <c r="AH3770">
        <v>46.947472628196103</v>
      </c>
      <c r="AI3770">
        <v>91.335612984722601</v>
      </c>
      <c r="AJ3770">
        <v>82.747644027489102</v>
      </c>
      <c r="AK3770">
        <v>47.338954050895701</v>
      </c>
    </row>
    <row r="3771" spans="1:37" x14ac:dyDescent="0.2">
      <c r="A3771" t="str">
        <f>"20200111153509732"</f>
        <v>20200111153509732</v>
      </c>
      <c r="B3771" t="str">
        <f>"1578728109729419"</f>
        <v>1578728109729419</v>
      </c>
      <c r="C3771" t="s">
        <v>37</v>
      </c>
      <c r="D3771">
        <v>4.6003600000000002</v>
      </c>
      <c r="E3771">
        <v>0.56510019999999905</v>
      </c>
      <c r="F3771" t="s">
        <v>51</v>
      </c>
      <c r="G3771">
        <v>-318.40910000000002</v>
      </c>
      <c r="H3771" s="1">
        <v>-7.7379309999999905E-6</v>
      </c>
      <c r="I3771">
        <v>145.9205</v>
      </c>
      <c r="J3771">
        <v>-277.76839999999999</v>
      </c>
      <c r="K3771">
        <v>1.10354</v>
      </c>
      <c r="L3771">
        <v>141.5941</v>
      </c>
      <c r="M3771">
        <v>-0.99976239999999905</v>
      </c>
      <c r="N3771">
        <v>0</v>
      </c>
      <c r="O3771">
        <v>-2.0651619999999999E-2</v>
      </c>
      <c r="P3771">
        <v>-0.99724979999999996</v>
      </c>
      <c r="Q3771">
        <v>3.3096260000000002E-2</v>
      </c>
      <c r="R3771">
        <v>-6.6315170000000007E-2</v>
      </c>
      <c r="S3771">
        <v>-3.032257</v>
      </c>
      <c r="T3771">
        <v>-8.1292390000000006E-2</v>
      </c>
      <c r="U3771">
        <v>0.31794739999999999</v>
      </c>
      <c r="V3771">
        <v>-4.5704420000000003E-2</v>
      </c>
      <c r="W3771">
        <v>4.007107E-2</v>
      </c>
      <c r="X3771">
        <v>0.99815100000000001</v>
      </c>
      <c r="Y3771">
        <v>0.1247489</v>
      </c>
      <c r="Z3771">
        <v>2.2195159999999999E-3</v>
      </c>
      <c r="AA3771">
        <v>0.99218589999999995</v>
      </c>
      <c r="AB3771">
        <v>52</v>
      </c>
      <c r="AC3771">
        <v>-40.640700000000002</v>
      </c>
      <c r="AD3771">
        <v>-1.1035477379309999</v>
      </c>
      <c r="AE3771">
        <v>4.3263999999999996</v>
      </c>
      <c r="AF3771">
        <v>5.1610312621737702</v>
      </c>
      <c r="AG3771">
        <v>-1.1035477379309999</v>
      </c>
      <c r="AH3771">
        <v>40.513146206588701</v>
      </c>
      <c r="AI3771">
        <v>91.547805608862802</v>
      </c>
      <c r="AJ3771">
        <v>82.740107676973594</v>
      </c>
      <c r="AK3771">
        <v>40.855465691330203</v>
      </c>
    </row>
    <row r="3772" spans="1:37" x14ac:dyDescent="0.2">
      <c r="A3772" t="str">
        <f>"20200111153509755"</f>
        <v>20200111153509755</v>
      </c>
      <c r="B3772" t="str">
        <f>"1578728109749916"</f>
        <v>1578728109749916</v>
      </c>
      <c r="C3772" t="s">
        <v>37</v>
      </c>
      <c r="D3772">
        <v>4.6763459999999997</v>
      </c>
      <c r="E3772">
        <v>0.56533489999999997</v>
      </c>
      <c r="F3772" t="s">
        <v>51</v>
      </c>
      <c r="G3772">
        <v>-316.07760000000002</v>
      </c>
      <c r="H3772" s="1">
        <v>-8.7021090000000005E-6</v>
      </c>
      <c r="I3772">
        <v>145.65639999999999</v>
      </c>
      <c r="J3772">
        <v>-278.3075</v>
      </c>
      <c r="K3772">
        <v>1.1036809999999999</v>
      </c>
      <c r="L3772">
        <v>141.583</v>
      </c>
      <c r="M3772">
        <v>-0.999756599999999</v>
      </c>
      <c r="N3772">
        <v>0</v>
      </c>
      <c r="O3772">
        <v>-2.065065E-2</v>
      </c>
      <c r="P3772">
        <v>-0.99725909999999995</v>
      </c>
      <c r="Q3772">
        <v>3.2380190000000003E-2</v>
      </c>
      <c r="R3772">
        <v>-6.6527539999999996E-2</v>
      </c>
      <c r="S3772">
        <v>-3.0325319999999998</v>
      </c>
      <c r="T3772">
        <v>-8.7356210000000004E-2</v>
      </c>
      <c r="U3772">
        <v>0.32156370000000001</v>
      </c>
      <c r="V3772">
        <v>-4.5917979999999997E-2</v>
      </c>
      <c r="W3772">
        <v>4.014206E-2</v>
      </c>
      <c r="X3772">
        <v>0.99813839999999998</v>
      </c>
      <c r="Y3772">
        <v>0.1259004</v>
      </c>
      <c r="Z3772">
        <v>2.4011589999999999E-3</v>
      </c>
      <c r="AA3772">
        <v>0.99203999999999903</v>
      </c>
      <c r="AB3772">
        <v>52</v>
      </c>
      <c r="AC3772">
        <v>-37.770099999999999</v>
      </c>
      <c r="AD3772">
        <v>-1.103689702109</v>
      </c>
      <c r="AE3772">
        <v>4.0733999999999897</v>
      </c>
      <c r="AF3772">
        <v>4.8484395400943496</v>
      </c>
      <c r="AG3772">
        <v>-1.103689702109</v>
      </c>
      <c r="AH3772">
        <v>37.646148471710603</v>
      </c>
      <c r="AI3772">
        <v>91.665537765066304</v>
      </c>
      <c r="AJ3772">
        <v>82.661285969825698</v>
      </c>
      <c r="AK3772">
        <v>37.973121963917698</v>
      </c>
    </row>
    <row r="3773" spans="1:37" x14ac:dyDescent="0.2">
      <c r="A3773" t="str">
        <f>"20200111153509778"</f>
        <v>20200111153509778</v>
      </c>
      <c r="B3773" t="str">
        <f>"1578728109769435"</f>
        <v>1578728109769435</v>
      </c>
      <c r="C3773" t="s">
        <v>37</v>
      </c>
      <c r="D3773">
        <v>4.7393429999999999</v>
      </c>
      <c r="E3773">
        <v>0.56464459999999905</v>
      </c>
      <c r="F3773" t="s">
        <v>51</v>
      </c>
      <c r="G3773">
        <v>-313.77690000000001</v>
      </c>
      <c r="H3773" s="1">
        <v>-9.565319E-6</v>
      </c>
      <c r="I3773">
        <v>145.3612</v>
      </c>
      <c r="J3773">
        <v>-278.82080000000002</v>
      </c>
      <c r="K3773">
        <v>1.1038059999999901</v>
      </c>
      <c r="L3773">
        <v>141.57239999999999</v>
      </c>
      <c r="M3773">
        <v>-0.99975020000000003</v>
      </c>
      <c r="N3773">
        <v>0</v>
      </c>
      <c r="O3773">
        <v>-2.0649589999999999E-2</v>
      </c>
      <c r="P3773">
        <v>-0.99723229999999996</v>
      </c>
      <c r="Q3773">
        <v>3.202663E-2</v>
      </c>
      <c r="R3773">
        <v>-6.7098569999999996E-2</v>
      </c>
      <c r="S3773">
        <v>-3.032867</v>
      </c>
      <c r="T3773">
        <v>-9.4372750000000005E-2</v>
      </c>
      <c r="U3773">
        <v>0.32305909999999999</v>
      </c>
      <c r="V3773">
        <v>-4.6489750000000003E-2</v>
      </c>
      <c r="W3773">
        <v>4.05704E-2</v>
      </c>
      <c r="X3773">
        <v>0.99809459999999905</v>
      </c>
      <c r="Y3773">
        <v>0.12636140000000001</v>
      </c>
      <c r="Z3773">
        <v>2.6007019999999999E-3</v>
      </c>
      <c r="AA3773">
        <v>0.99198090000000005</v>
      </c>
      <c r="AB3773">
        <v>52</v>
      </c>
      <c r="AC3773">
        <v>-34.9560999999999</v>
      </c>
      <c r="AD3773">
        <v>-1.1038155653189901</v>
      </c>
      <c r="AE3773">
        <v>3.7888000000000002</v>
      </c>
      <c r="AF3773">
        <v>4.5054073361943603</v>
      </c>
      <c r="AG3773">
        <v>-1.1038155653189901</v>
      </c>
      <c r="AH3773">
        <v>34.836073507629401</v>
      </c>
      <c r="AI3773">
        <v>91.799885781781398</v>
      </c>
      <c r="AJ3773">
        <v>82.630747550754407</v>
      </c>
      <c r="AK3773">
        <v>35.1435502118985</v>
      </c>
    </row>
    <row r="3774" spans="1:37" x14ac:dyDescent="0.2">
      <c r="A3774" t="str">
        <f>"20200111153509800"</f>
        <v>20200111153509800</v>
      </c>
      <c r="B3774" t="str">
        <f>"1578728109789933"</f>
        <v>1578728109789933</v>
      </c>
      <c r="C3774" t="s">
        <v>37</v>
      </c>
      <c r="D3774">
        <v>4.7024429999999997</v>
      </c>
      <c r="E3774">
        <v>0.52154889999999998</v>
      </c>
      <c r="F3774" t="s">
        <v>51</v>
      </c>
      <c r="G3774">
        <v>-314.29469999999998</v>
      </c>
      <c r="H3774" s="1">
        <v>-9.3460360000000001E-6</v>
      </c>
      <c r="I3774">
        <v>145.2689</v>
      </c>
      <c r="J3774">
        <v>-279.33510000000001</v>
      </c>
      <c r="K3774">
        <v>1.103917</v>
      </c>
      <c r="L3774">
        <v>141.56180000000001</v>
      </c>
      <c r="M3774">
        <v>-0.9997433</v>
      </c>
      <c r="N3774">
        <v>0</v>
      </c>
      <c r="O3774">
        <v>-2.0650129999999999E-2</v>
      </c>
      <c r="P3774">
        <v>-0.99719449999999998</v>
      </c>
      <c r="Q3774">
        <v>3.2222479999999998E-2</v>
      </c>
      <c r="R3774">
        <v>-6.7562999999999998E-2</v>
      </c>
      <c r="S3774">
        <v>-3.0326230000000001</v>
      </c>
      <c r="T3774">
        <v>-9.4363929999999999E-2</v>
      </c>
      <c r="U3774">
        <v>0.3160095</v>
      </c>
      <c r="V3774">
        <v>-4.6954320000000001E-2</v>
      </c>
      <c r="W3774">
        <v>4.1519449999999999E-2</v>
      </c>
      <c r="X3774">
        <v>0.99803379999999997</v>
      </c>
      <c r="Y3774">
        <v>0.1240906</v>
      </c>
      <c r="Z3774">
        <v>2.5657750000000002E-3</v>
      </c>
      <c r="AA3774">
        <v>0.99226759999999903</v>
      </c>
      <c r="AB3774">
        <v>52</v>
      </c>
      <c r="AC3774">
        <v>-34.959599999999902</v>
      </c>
      <c r="AD3774">
        <v>-1.103926346036</v>
      </c>
      <c r="AE3774">
        <v>3.7070999999999898</v>
      </c>
      <c r="AF3774">
        <v>4.4238989905927504</v>
      </c>
      <c r="AG3774">
        <v>-1.103926346036</v>
      </c>
      <c r="AH3774">
        <v>34.841234675273597</v>
      </c>
      <c r="AI3774">
        <v>91.800334767065294</v>
      </c>
      <c r="AJ3774">
        <v>82.763700693526403</v>
      </c>
      <c r="AK3774">
        <v>35.138314833724301</v>
      </c>
    </row>
    <row r="3775" spans="1:37" x14ac:dyDescent="0.2">
      <c r="A3775" t="str">
        <f>"20200111153509821"</f>
        <v>20200111153509821</v>
      </c>
      <c r="B3775" t="str">
        <f>"1578728109809451"</f>
        <v>1578728109809451</v>
      </c>
      <c r="C3775" t="s">
        <v>37</v>
      </c>
      <c r="D3775">
        <v>4.7125839999999997</v>
      </c>
      <c r="E3775">
        <v>0.51284289999999999</v>
      </c>
      <c r="F3775" t="s">
        <v>39</v>
      </c>
      <c r="G3775">
        <v>-349.51170000000002</v>
      </c>
      <c r="H3775" s="1">
        <v>-5.295564E-7</v>
      </c>
      <c r="I3775">
        <v>140.88560000000001</v>
      </c>
      <c r="J3775">
        <v>-279.827</v>
      </c>
      <c r="K3775">
        <v>1.1039939999999999</v>
      </c>
      <c r="L3775">
        <v>141.55160000000001</v>
      </c>
      <c r="M3775">
        <v>-0.99973699999999999</v>
      </c>
      <c r="N3775">
        <v>0</v>
      </c>
      <c r="O3775">
        <v>-2.0650729999999999E-2</v>
      </c>
      <c r="P3775">
        <v>-0.99715669999999901</v>
      </c>
      <c r="Q3775">
        <v>3.3685689999999997E-2</v>
      </c>
      <c r="R3775">
        <v>-6.740699E-2</v>
      </c>
      <c r="S3775">
        <v>-3.007965</v>
      </c>
      <c r="T3775">
        <v>-4.7317030000000003E-2</v>
      </c>
      <c r="U3775">
        <v>-2.8976439999999999E-2</v>
      </c>
      <c r="V3775">
        <v>-4.6798260000000001E-2</v>
      </c>
      <c r="W3775">
        <v>4.3642790000000001E-2</v>
      </c>
      <c r="X3775">
        <v>0.99795049999999996</v>
      </c>
      <c r="Y3775">
        <v>1.1016150000000001E-2</v>
      </c>
      <c r="Z3775">
        <v>4.114489E-4</v>
      </c>
      <c r="AA3775">
        <v>0.99993929999999998</v>
      </c>
      <c r="AB3775">
        <v>52</v>
      </c>
      <c r="AC3775">
        <v>-69.684700000000007</v>
      </c>
      <c r="AD3775">
        <v>-1.1039945295564</v>
      </c>
      <c r="AE3775">
        <v>-0.66599999999999604</v>
      </c>
      <c r="AF3775">
        <v>0.77305953108434899</v>
      </c>
      <c r="AG3775">
        <v>-1.1039945295564</v>
      </c>
      <c r="AH3775">
        <v>69.666108392432903</v>
      </c>
      <c r="AI3775">
        <v>90.907830814895206</v>
      </c>
      <c r="AJ3775">
        <v>89.364235614901006</v>
      </c>
      <c r="AK3775">
        <v>69.679143820128203</v>
      </c>
    </row>
    <row r="3776" spans="1:37" x14ac:dyDescent="0.2">
      <c r="A3776" t="str">
        <f>"20200111153509844"</f>
        <v>20200111153509844</v>
      </c>
      <c r="B3776" t="str">
        <f>"1578728109839707"</f>
        <v>1578728109839707</v>
      </c>
      <c r="C3776" t="s">
        <v>37</v>
      </c>
      <c r="D3776">
        <v>4.6889029999999998</v>
      </c>
      <c r="E3776">
        <v>0.51345680000000005</v>
      </c>
      <c r="F3776" t="s">
        <v>39</v>
      </c>
      <c r="G3776">
        <v>-340.16079999999999</v>
      </c>
      <c r="H3776" s="1">
        <v>-4.2082589999999902E-6</v>
      </c>
      <c r="I3776">
        <v>139.58840000000001</v>
      </c>
      <c r="J3776">
        <v>-280.35509999999999</v>
      </c>
      <c r="K3776">
        <v>1.1040719999999999</v>
      </c>
      <c r="L3776">
        <v>141.54069999999999</v>
      </c>
      <c r="M3776">
        <v>-0.99973040000000002</v>
      </c>
      <c r="N3776">
        <v>0</v>
      </c>
      <c r="O3776">
        <v>-2.0651909999999999E-2</v>
      </c>
      <c r="P3776">
        <v>-0.99719349999999995</v>
      </c>
      <c r="Q3776">
        <v>3.3766129999999998E-2</v>
      </c>
      <c r="R3776">
        <v>-6.6821110000000003E-2</v>
      </c>
      <c r="S3776">
        <v>-3.003784</v>
      </c>
      <c r="T3776">
        <v>-5.4963829999999998E-2</v>
      </c>
      <c r="U3776">
        <v>-9.7732540000000007E-2</v>
      </c>
      <c r="V3776">
        <v>-4.6210050000000003E-2</v>
      </c>
      <c r="W3776">
        <v>4.4361640000000001E-2</v>
      </c>
      <c r="X3776">
        <v>0.99794620000000001</v>
      </c>
      <c r="Y3776">
        <v>-1.1871649999999999E-2</v>
      </c>
      <c r="Z3776">
        <v>2.6915350000000001E-4</v>
      </c>
      <c r="AA3776">
        <v>0.99992950000000003</v>
      </c>
      <c r="AB3776">
        <v>52</v>
      </c>
      <c r="AC3776">
        <v>-59.805700000000002</v>
      </c>
      <c r="AD3776">
        <v>-1.1040762082590001</v>
      </c>
      <c r="AE3776">
        <v>-1.9522999999999799</v>
      </c>
      <c r="AF3776">
        <v>-0.71646816741783304</v>
      </c>
      <c r="AG3776">
        <v>-1.1040762082590001</v>
      </c>
      <c r="AH3776">
        <v>59.812901426314603</v>
      </c>
      <c r="AI3776">
        <v>91.0574171451143</v>
      </c>
      <c r="AJ3776">
        <v>90.686284028492594</v>
      </c>
      <c r="AK3776">
        <v>59.827380754488999</v>
      </c>
    </row>
    <row r="3777" spans="1:37" x14ac:dyDescent="0.2">
      <c r="A3777" t="str">
        <f>"20200111153509867"</f>
        <v>20200111153509867</v>
      </c>
      <c r="B3777" t="str">
        <f>"1578728109860206"</f>
        <v>1578728109860206</v>
      </c>
      <c r="C3777" t="s">
        <v>37</v>
      </c>
      <c r="D3777">
        <v>4.640326</v>
      </c>
      <c r="E3777">
        <v>0.51375899999999997</v>
      </c>
      <c r="F3777" t="s">
        <v>39</v>
      </c>
      <c r="G3777">
        <v>-342.47719999999998</v>
      </c>
      <c r="H3777" s="1">
        <v>-3.2191719999999899E-6</v>
      </c>
      <c r="I3777">
        <v>139.6524</v>
      </c>
      <c r="J3777">
        <v>-280.8818</v>
      </c>
      <c r="K3777">
        <v>1.1041219999999901</v>
      </c>
      <c r="L3777">
        <v>141.52979999999999</v>
      </c>
      <c r="M3777">
        <v>-0.99972419999999995</v>
      </c>
      <c r="N3777">
        <v>0</v>
      </c>
      <c r="O3777">
        <v>-2.065268E-2</v>
      </c>
      <c r="P3777">
        <v>-0.99725490000000006</v>
      </c>
      <c r="Q3777">
        <v>3.4885670000000001E-2</v>
      </c>
      <c r="R3777">
        <v>-6.5315209999999999E-2</v>
      </c>
      <c r="S3777">
        <v>-3.0041500000000001</v>
      </c>
      <c r="T3777">
        <v>-5.3391809999999998E-2</v>
      </c>
      <c r="U3777">
        <v>-9.1308589999999995E-2</v>
      </c>
      <c r="V3777">
        <v>-4.4702390000000002E-2</v>
      </c>
      <c r="W3777">
        <v>4.6051729999999999E-2</v>
      </c>
      <c r="X3777">
        <v>0.99793829999999994</v>
      </c>
      <c r="Y3777">
        <v>-9.7309300000000005E-3</v>
      </c>
      <c r="Z3777">
        <v>2.8046879999999997E-4</v>
      </c>
      <c r="AA3777">
        <v>0.99995259999999997</v>
      </c>
      <c r="AB3777">
        <v>52</v>
      </c>
      <c r="AC3777">
        <v>-61.595399999999898</v>
      </c>
      <c r="AD3777">
        <v>-1.1041252191719999</v>
      </c>
      <c r="AE3777">
        <v>-1.87739999999999</v>
      </c>
      <c r="AF3777">
        <v>-0.60461583051989898</v>
      </c>
      <c r="AG3777">
        <v>-1.1041252191719999</v>
      </c>
      <c r="AH3777">
        <v>61.601261027579099</v>
      </c>
      <c r="AI3777">
        <v>91.026795473570701</v>
      </c>
      <c r="AJ3777">
        <v>90.562339510631901</v>
      </c>
      <c r="AK3777">
        <v>61.614121863336401</v>
      </c>
    </row>
    <row r="3778" spans="1:37" x14ac:dyDescent="0.2">
      <c r="A3778" t="str">
        <f>"20200111153509889"</f>
        <v>20200111153509889</v>
      </c>
      <c r="B3778" t="str">
        <f>"1578728109879726"</f>
        <v>1578728109879726</v>
      </c>
      <c r="C3778" t="s">
        <v>37</v>
      </c>
      <c r="D3778">
        <v>4.6946139999999996</v>
      </c>
      <c r="E3778">
        <v>0.51418169999999996</v>
      </c>
      <c r="F3778" t="s">
        <v>39</v>
      </c>
      <c r="G3778">
        <v>-347.99610000000001</v>
      </c>
      <c r="H3778" s="1">
        <v>-8.4884530000000003E-7</v>
      </c>
      <c r="I3778">
        <v>139.6421</v>
      </c>
      <c r="J3778">
        <v>-281.39679999999998</v>
      </c>
      <c r="K3778">
        <v>1.1041559999999999</v>
      </c>
      <c r="L3778">
        <v>141.51920000000001</v>
      </c>
      <c r="M3778">
        <v>-0.99971849999999995</v>
      </c>
      <c r="N3778">
        <v>0</v>
      </c>
      <c r="O3778">
        <v>-2.0653310000000001E-2</v>
      </c>
      <c r="P3778">
        <v>-0.99725399999999997</v>
      </c>
      <c r="Q3778">
        <v>3.5600949999999999E-2</v>
      </c>
      <c r="R3778">
        <v>-6.4942529999999998E-2</v>
      </c>
      <c r="S3778">
        <v>-3.0044559999999998</v>
      </c>
      <c r="T3778">
        <v>-4.9427510000000001E-2</v>
      </c>
      <c r="U3778">
        <v>-8.4503170000000002E-2</v>
      </c>
      <c r="V3778">
        <v>-4.4328720000000002E-2</v>
      </c>
      <c r="W3778">
        <v>4.7264439999999998E-2</v>
      </c>
      <c r="X3778">
        <v>0.99789830000000002</v>
      </c>
      <c r="Y3778">
        <v>-7.4640669999999996E-3</v>
      </c>
      <c r="Z3778">
        <v>2.7828529999999899E-4</v>
      </c>
      <c r="AA3778">
        <v>0.99997209999999903</v>
      </c>
      <c r="AB3778">
        <v>52</v>
      </c>
      <c r="AC3778">
        <v>-66.599299999999999</v>
      </c>
      <c r="AD3778">
        <v>-1.1041568488453</v>
      </c>
      <c r="AE3778">
        <v>-1.87710000000001</v>
      </c>
      <c r="AF3778">
        <v>-0.50097218358717799</v>
      </c>
      <c r="AG3778">
        <v>-1.1041568488453</v>
      </c>
      <c r="AH3778">
        <v>66.605570121675498</v>
      </c>
      <c r="AI3778">
        <v>90.949709521592297</v>
      </c>
      <c r="AJ3778">
        <v>90.430940692497799</v>
      </c>
      <c r="AK3778">
        <v>66.616605337625998</v>
      </c>
    </row>
    <row r="3779" spans="1:37" x14ac:dyDescent="0.2">
      <c r="A3779" t="str">
        <f>"20200111153509910"</f>
        <v>20200111153509910</v>
      </c>
      <c r="B3779" t="str">
        <f>"1578728109899243"</f>
        <v>1578728109899243</v>
      </c>
      <c r="C3779" t="s">
        <v>37</v>
      </c>
      <c r="D3779">
        <v>4.6514790000000001</v>
      </c>
      <c r="E3779">
        <v>0.51449840000000002</v>
      </c>
      <c r="F3779" t="s">
        <v>39</v>
      </c>
      <c r="G3779">
        <v>-352.15030000000002</v>
      </c>
      <c r="H3779" s="1">
        <v>-3.3566600000000001E-6</v>
      </c>
      <c r="I3779">
        <v>139.6421</v>
      </c>
      <c r="J3779">
        <v>-281.89479999999998</v>
      </c>
      <c r="K3779">
        <v>1.104187</v>
      </c>
      <c r="L3779">
        <v>141.50890000000001</v>
      </c>
      <c r="M3779">
        <v>-0.99971339999999997</v>
      </c>
      <c r="N3779">
        <v>0</v>
      </c>
      <c r="O3779">
        <v>-2.065318E-2</v>
      </c>
      <c r="P3779">
        <v>-0.99723680000000003</v>
      </c>
      <c r="Q3779">
        <v>3.661611E-2</v>
      </c>
      <c r="R3779">
        <v>-6.4640429999999999E-2</v>
      </c>
      <c r="S3779">
        <v>-3.0047299999999999</v>
      </c>
      <c r="T3779">
        <v>-4.6890969999999997E-2</v>
      </c>
      <c r="U3779">
        <v>-7.9711909999999997E-2</v>
      </c>
      <c r="V3779">
        <v>-4.402731E-2</v>
      </c>
      <c r="W3779">
        <v>4.8706630000000001E-2</v>
      </c>
      <c r="X3779">
        <v>0.99784229999999996</v>
      </c>
      <c r="Y3779">
        <v>-5.868196E-3</v>
      </c>
      <c r="Z3779">
        <v>2.7643790000000002E-4</v>
      </c>
      <c r="AA3779">
        <v>0.999982699999999</v>
      </c>
      <c r="AB3779">
        <v>52</v>
      </c>
      <c r="AC3779">
        <v>-70.255499999999998</v>
      </c>
      <c r="AD3779">
        <v>-1.10419035666</v>
      </c>
      <c r="AE3779">
        <v>-1.86680000000001</v>
      </c>
      <c r="AF3779">
        <v>-0.415193434894709</v>
      </c>
      <c r="AG3779">
        <v>-1.10419035666</v>
      </c>
      <c r="AH3779">
        <v>70.261726898765701</v>
      </c>
      <c r="AI3779">
        <v>90.900335619390802</v>
      </c>
      <c r="AJ3779">
        <v>90.338570594002704</v>
      </c>
      <c r="AK3779">
        <v>70.271629330255706</v>
      </c>
    </row>
    <row r="3780" spans="1:37" x14ac:dyDescent="0.2">
      <c r="A3780" t="str">
        <f>"20200111153509933"</f>
        <v>20200111153509933</v>
      </c>
      <c r="B3780" t="str">
        <f>"1578728109929500"</f>
        <v>1578728109929500</v>
      </c>
      <c r="C3780" t="s">
        <v>37</v>
      </c>
      <c r="D3780">
        <v>4.6807419999999897</v>
      </c>
      <c r="E3780">
        <v>0.51486999999999905</v>
      </c>
      <c r="F3780" t="s">
        <v>39</v>
      </c>
      <c r="G3780">
        <v>-355.84050000000002</v>
      </c>
      <c r="H3780" s="1">
        <v>-1.772962E-6</v>
      </c>
      <c r="I3780">
        <v>139.6397</v>
      </c>
      <c r="J3780">
        <v>-282.41629999999998</v>
      </c>
      <c r="K3780">
        <v>1.104201</v>
      </c>
      <c r="L3780">
        <v>141.49809999999999</v>
      </c>
      <c r="M3780">
        <v>-0.999708499999999</v>
      </c>
      <c r="N3780">
        <v>0</v>
      </c>
      <c r="O3780">
        <v>-2.0653060000000001E-2</v>
      </c>
      <c r="P3780">
        <v>-0.99716719999999903</v>
      </c>
      <c r="Q3780">
        <v>3.7782009999999998E-2</v>
      </c>
      <c r="R3780">
        <v>-6.5038819999999997E-2</v>
      </c>
      <c r="S3780">
        <v>-3.0050349999999999</v>
      </c>
      <c r="T3780">
        <v>-4.4872519999999999E-2</v>
      </c>
      <c r="U3780">
        <v>-7.5958250000000005E-2</v>
      </c>
      <c r="V3780">
        <v>-4.4427349999999997E-2</v>
      </c>
      <c r="W3780">
        <v>5.026684E-2</v>
      </c>
      <c r="X3780">
        <v>0.99774719999999995</v>
      </c>
      <c r="Y3780">
        <v>-4.6172369999999997E-3</v>
      </c>
      <c r="Z3780">
        <v>2.7385590000000002E-4</v>
      </c>
      <c r="AA3780">
        <v>0.99998929999999997</v>
      </c>
      <c r="AB3780">
        <v>52</v>
      </c>
      <c r="AC3780">
        <v>-73.424199999999999</v>
      </c>
      <c r="AD3780">
        <v>-1.1042027729620001</v>
      </c>
      <c r="AE3780">
        <v>-1.8583999999999801</v>
      </c>
      <c r="AF3780">
        <v>-0.34137340885390499</v>
      </c>
      <c r="AG3780">
        <v>-1.1042027729620001</v>
      </c>
      <c r="AH3780">
        <v>73.430324521562696</v>
      </c>
      <c r="AI3780">
        <v>90.861506571022304</v>
      </c>
      <c r="AJ3780">
        <v>90.266362906405803</v>
      </c>
      <c r="AK3780">
        <v>73.439419652596001</v>
      </c>
    </row>
    <row r="3781" spans="1:37" x14ac:dyDescent="0.2">
      <c r="A3781" t="str">
        <f>"20200111153509956"</f>
        <v>20200111153509956</v>
      </c>
      <c r="B3781" t="str">
        <f>"1578728109949995"</f>
        <v>1578728109949995</v>
      </c>
      <c r="C3781" t="s">
        <v>37</v>
      </c>
      <c r="D3781">
        <v>4.6885839999999996</v>
      </c>
      <c r="E3781">
        <v>0.51477910000000004</v>
      </c>
      <c r="F3781" t="s">
        <v>39</v>
      </c>
      <c r="G3781">
        <v>-355.52109999999999</v>
      </c>
      <c r="H3781" s="1">
        <v>-1.9243949999999998E-6</v>
      </c>
      <c r="I3781">
        <v>139.69380000000001</v>
      </c>
      <c r="J3781">
        <v>-282.95890000000003</v>
      </c>
      <c r="K3781">
        <v>1.1042179999999999</v>
      </c>
      <c r="L3781">
        <v>141.48689999999999</v>
      </c>
      <c r="M3781">
        <v>-0.99970400000000004</v>
      </c>
      <c r="N3781">
        <v>0</v>
      </c>
      <c r="O3781">
        <v>-2.0652190000000001E-2</v>
      </c>
      <c r="P3781">
        <v>-0.99709110000000001</v>
      </c>
      <c r="Q3781">
        <v>3.7966279999999998E-2</v>
      </c>
      <c r="R3781">
        <v>-6.6095020000000004E-2</v>
      </c>
      <c r="S3781">
        <v>-3.0054319999999999</v>
      </c>
      <c r="T3781">
        <v>-4.539526E-2</v>
      </c>
      <c r="U3781">
        <v>-7.4172970000000005E-2</v>
      </c>
      <c r="V3781">
        <v>-4.5485119999999997E-2</v>
      </c>
      <c r="W3781">
        <v>5.081165E-2</v>
      </c>
      <c r="X3781">
        <v>0.99767189999999994</v>
      </c>
      <c r="Y3781">
        <v>-4.0211439999999999E-3</v>
      </c>
      <c r="Z3781">
        <v>2.8150099999999997E-4</v>
      </c>
      <c r="AA3781">
        <v>0.99999189999999905</v>
      </c>
      <c r="AB3781">
        <v>52</v>
      </c>
      <c r="AC3781">
        <v>-72.562199999999905</v>
      </c>
      <c r="AD3781">
        <v>-1.1042199243949999</v>
      </c>
      <c r="AE3781">
        <v>-1.7930999999999799</v>
      </c>
      <c r="AF3781">
        <v>-0.29395718661606601</v>
      </c>
      <c r="AG3781">
        <v>-1.1042199243949999</v>
      </c>
      <c r="AH3781">
        <v>72.566961550268005</v>
      </c>
      <c r="AI3781">
        <v>90.871770550273894</v>
      </c>
      <c r="AJ3781">
        <v>90.232094794478201</v>
      </c>
      <c r="AK3781">
        <v>72.575957596900295</v>
      </c>
    </row>
    <row r="3782" spans="1:37" x14ac:dyDescent="0.2">
      <c r="A3782" t="str">
        <f>"20200111153509979"</f>
        <v>20200111153509979</v>
      </c>
      <c r="B3782" t="str">
        <f>"1578728109969514"</f>
        <v>1578728109969514</v>
      </c>
      <c r="C3782" t="s">
        <v>37</v>
      </c>
      <c r="D3782">
        <v>4.6833159999999996</v>
      </c>
      <c r="E3782">
        <v>0.51451550000000001</v>
      </c>
      <c r="F3782" t="s">
        <v>39</v>
      </c>
      <c r="G3782">
        <v>-357.2432</v>
      </c>
      <c r="H3782" s="1">
        <v>-1.1758569999999999E-6</v>
      </c>
      <c r="I3782">
        <v>139.5549</v>
      </c>
      <c r="J3782">
        <v>-283.46179999999998</v>
      </c>
      <c r="K3782">
        <v>1.104228</v>
      </c>
      <c r="L3782">
        <v>141.47649999999999</v>
      </c>
      <c r="M3782">
        <v>-0.99970029999999999</v>
      </c>
      <c r="N3782">
        <v>0</v>
      </c>
      <c r="O3782">
        <v>-2.064649E-2</v>
      </c>
      <c r="P3782">
        <v>-0.99698449999999905</v>
      </c>
      <c r="Q3782">
        <v>3.8096140000000001E-2</v>
      </c>
      <c r="R3782">
        <v>-6.7608390000000004E-2</v>
      </c>
      <c r="S3782">
        <v>-3.0052490000000001</v>
      </c>
      <c r="T3782">
        <v>-4.4672370000000003E-2</v>
      </c>
      <c r="U3782">
        <v>-7.8155520000000006E-2</v>
      </c>
      <c r="V3782">
        <v>-4.7005430000000001E-2</v>
      </c>
      <c r="W3782">
        <v>5.1231659999999998E-2</v>
      </c>
      <c r="X3782">
        <v>0.99757999999999902</v>
      </c>
      <c r="Y3782">
        <v>-5.3523919999999897E-3</v>
      </c>
      <c r="Z3782">
        <v>2.6705419999999998E-4</v>
      </c>
      <c r="AA3782">
        <v>0.99998560000000003</v>
      </c>
      <c r="AB3782">
        <v>51</v>
      </c>
      <c r="AC3782">
        <v>-73.781400000000005</v>
      </c>
      <c r="AD3782">
        <v>-1.104229175857</v>
      </c>
      <c r="AE3782">
        <v>-1.92159999999998</v>
      </c>
      <c r="AF3782">
        <v>-0.39764256418513</v>
      </c>
      <c r="AG3782">
        <v>-1.104229175857</v>
      </c>
      <c r="AH3782">
        <v>73.788831047158993</v>
      </c>
      <c r="AI3782">
        <v>90.857338839908294</v>
      </c>
      <c r="AJ3782">
        <v>90.308759737989206</v>
      </c>
      <c r="AK3782">
        <v>73.798164130199297</v>
      </c>
    </row>
    <row r="3783" spans="1:37" x14ac:dyDescent="0.2">
      <c r="A3783" t="str">
        <f>"20200111153510000"</f>
        <v>20200111153510000</v>
      </c>
      <c r="B3783" t="str">
        <f>"1578728109990014"</f>
        <v>1578728109990014</v>
      </c>
      <c r="C3783" t="s">
        <v>37</v>
      </c>
      <c r="D3783">
        <v>4.7055280000000002</v>
      </c>
      <c r="E3783">
        <v>0.51424499999999995</v>
      </c>
      <c r="F3783" t="s">
        <v>39</v>
      </c>
      <c r="G3783">
        <v>-360.04250000000002</v>
      </c>
      <c r="H3783" s="1">
        <v>-4.3079879999999998E-6</v>
      </c>
      <c r="I3783">
        <v>139.31200000000001</v>
      </c>
      <c r="J3783">
        <v>-283.94639999999998</v>
      </c>
      <c r="K3783">
        <v>1.104244</v>
      </c>
      <c r="L3783">
        <v>141.4665</v>
      </c>
      <c r="M3783">
        <v>-0.99969739999999996</v>
      </c>
      <c r="N3783">
        <v>0</v>
      </c>
      <c r="O3783">
        <v>-2.0631529999999999E-2</v>
      </c>
      <c r="P3783">
        <v>-0.99682929999999903</v>
      </c>
      <c r="Q3783">
        <v>3.8921490000000003E-2</v>
      </c>
      <c r="R3783">
        <v>-6.9402220000000001E-2</v>
      </c>
      <c r="S3783">
        <v>-3.0050050000000001</v>
      </c>
      <c r="T3783">
        <v>-4.3329720000000002E-2</v>
      </c>
      <c r="U3783">
        <v>-8.4930420000000006E-2</v>
      </c>
      <c r="V3783">
        <v>-4.8816419999999999E-2</v>
      </c>
      <c r="W3783">
        <v>5.230025E-2</v>
      </c>
      <c r="X3783">
        <v>0.99743749999999998</v>
      </c>
      <c r="Y3783">
        <v>-7.6219019999999998E-3</v>
      </c>
      <c r="Z3783">
        <v>2.4246719999999999E-4</v>
      </c>
      <c r="AA3783">
        <v>0.9999709</v>
      </c>
      <c r="AB3783">
        <v>51</v>
      </c>
      <c r="AC3783">
        <v>-76.096100000000007</v>
      </c>
      <c r="AD3783">
        <v>-1.1042483079880001</v>
      </c>
      <c r="AE3783">
        <v>-2.1544999999999801</v>
      </c>
      <c r="AF3783">
        <v>-0.583798637043486</v>
      </c>
      <c r="AG3783">
        <v>-1.1042483079880001</v>
      </c>
      <c r="AH3783">
        <v>76.108340708712007</v>
      </c>
      <c r="AI3783">
        <v>90.831215963672406</v>
      </c>
      <c r="AJ3783">
        <v>90.439485891640004</v>
      </c>
      <c r="AK3783">
        <v>76.118589783361699</v>
      </c>
    </row>
    <row r="3784" spans="1:37" x14ac:dyDescent="0.2">
      <c r="A3784" t="str">
        <f>"20200111153510023"</f>
        <v>20200111153510023</v>
      </c>
      <c r="B3784" t="str">
        <f>"1578728110019293"</f>
        <v>1578728110019293</v>
      </c>
      <c r="C3784" t="s">
        <v>37</v>
      </c>
      <c r="D3784">
        <v>4.6960259999999998</v>
      </c>
      <c r="E3784">
        <v>0.51391880000000001</v>
      </c>
      <c r="F3784" t="s">
        <v>39</v>
      </c>
      <c r="G3784">
        <v>-366.04680000000002</v>
      </c>
      <c r="H3784" s="1">
        <v>-1.7982349999999999E-6</v>
      </c>
      <c r="I3784">
        <v>138.93979999999999</v>
      </c>
      <c r="J3784">
        <v>-284.46800000000002</v>
      </c>
      <c r="K3784">
        <v>1.104257</v>
      </c>
      <c r="L3784">
        <v>141.45570000000001</v>
      </c>
      <c r="M3784">
        <v>-0.99969490000000005</v>
      </c>
      <c r="N3784">
        <v>0</v>
      </c>
      <c r="O3784">
        <v>-2.0605109999999999E-2</v>
      </c>
      <c r="P3784">
        <v>-0.99669370000000002</v>
      </c>
      <c r="Q3784">
        <v>4.0175389999999998E-2</v>
      </c>
      <c r="R3784">
        <v>-7.0627330000000002E-2</v>
      </c>
      <c r="S3784">
        <v>-3.0046689999999998</v>
      </c>
      <c r="T3784">
        <v>-4.0412660000000003E-2</v>
      </c>
      <c r="U3784">
        <v>-9.2468259999999997E-2</v>
      </c>
      <c r="V3784">
        <v>-5.0068550000000003E-2</v>
      </c>
      <c r="W3784">
        <v>5.3781610000000001E-2</v>
      </c>
      <c r="X3784">
        <v>0.99729669999999904</v>
      </c>
      <c r="Y3784">
        <v>-1.015744E-2</v>
      </c>
      <c r="Z3784">
        <v>2.0875939999999901E-4</v>
      </c>
      <c r="AA3784">
        <v>0.99994839999999996</v>
      </c>
      <c r="AB3784">
        <v>51</v>
      </c>
      <c r="AC3784">
        <v>-81.578800000000001</v>
      </c>
      <c r="AD3784">
        <v>-1.1042587982350001</v>
      </c>
      <c r="AE3784">
        <v>-2.51590000000001</v>
      </c>
      <c r="AF3784">
        <v>-0.83411696181158301</v>
      </c>
      <c r="AG3784">
        <v>-1.1042587982350001</v>
      </c>
      <c r="AH3784">
        <v>81.598385435174194</v>
      </c>
      <c r="AI3784">
        <v>90.775287422745706</v>
      </c>
      <c r="AJ3784">
        <v>90.585669884842105</v>
      </c>
      <c r="AK3784">
        <v>81.610119741529104</v>
      </c>
    </row>
    <row r="3785" spans="1:37" x14ac:dyDescent="0.2">
      <c r="A3785" t="str">
        <f>"20200111153510045"</f>
        <v>20200111153510045</v>
      </c>
      <c r="B3785" t="str">
        <f>"1578728110039787"</f>
        <v>1578728110039787</v>
      </c>
      <c r="C3785" t="s">
        <v>37</v>
      </c>
      <c r="D3785">
        <v>4.6282819999999996</v>
      </c>
      <c r="E3785">
        <v>0.48502060000000002</v>
      </c>
      <c r="F3785" t="s">
        <v>39</v>
      </c>
      <c r="G3785">
        <v>-371.14980000000003</v>
      </c>
      <c r="H3785" s="1">
        <v>-3.9583720000000002E-6</v>
      </c>
      <c r="I3785">
        <v>138.60509999999999</v>
      </c>
      <c r="J3785">
        <v>-284.97489999999999</v>
      </c>
      <c r="K3785">
        <v>1.1042650000000001</v>
      </c>
      <c r="L3785">
        <v>141.4453</v>
      </c>
      <c r="M3785">
        <v>-0.99969300000000005</v>
      </c>
      <c r="N3785">
        <v>0</v>
      </c>
      <c r="O3785">
        <v>-2.0569279999999999E-2</v>
      </c>
      <c r="P3785">
        <v>-0.99661669999999902</v>
      </c>
      <c r="Q3785">
        <v>4.0610550000000002E-2</v>
      </c>
      <c r="R3785">
        <v>-7.145907E-2</v>
      </c>
      <c r="S3785">
        <v>-3.0044559999999998</v>
      </c>
      <c r="T3785">
        <v>-3.8274530000000001E-2</v>
      </c>
      <c r="U3785">
        <v>-9.8800659999999998E-2</v>
      </c>
      <c r="V3785">
        <v>-5.0936559999999999E-2</v>
      </c>
      <c r="W3785">
        <v>5.4410100000000003E-2</v>
      </c>
      <c r="X3785">
        <v>0.99721859999999996</v>
      </c>
      <c r="Y3785">
        <v>-1.230054E-2</v>
      </c>
      <c r="Z3785">
        <v>1.8361939999999999E-4</v>
      </c>
      <c r="AA3785">
        <v>0.99992429999999999</v>
      </c>
      <c r="AB3785">
        <v>51</v>
      </c>
      <c r="AC3785">
        <v>-86.174899999999994</v>
      </c>
      <c r="AD3785">
        <v>-1.104268958372</v>
      </c>
      <c r="AE3785">
        <v>-2.8401999999999998</v>
      </c>
      <c r="AF3785">
        <v>-1.0666992337668599</v>
      </c>
      <c r="AG3785">
        <v>-1.104268958372</v>
      </c>
      <c r="AH3785">
        <v>86.200951612200299</v>
      </c>
      <c r="AI3785">
        <v>90.733885717148794</v>
      </c>
      <c r="AJ3785">
        <v>90.708974130997504</v>
      </c>
      <c r="AK3785">
        <v>86.214623562575696</v>
      </c>
    </row>
    <row r="3786" spans="1:37" x14ac:dyDescent="0.2">
      <c r="A3786" t="str">
        <f>"20200111153510068"</f>
        <v>20200111153510068</v>
      </c>
      <c r="B3786" t="str">
        <f>"1578728110059325"</f>
        <v>1578728110059325</v>
      </c>
      <c r="C3786" t="s">
        <v>37</v>
      </c>
      <c r="D3786">
        <v>4.7588109999999997</v>
      </c>
      <c r="E3786">
        <v>0.47133389999999997</v>
      </c>
      <c r="F3786" t="s">
        <v>51</v>
      </c>
      <c r="G3786">
        <v>-319.24009999999998</v>
      </c>
      <c r="H3786" s="1">
        <v>-5.0458059999999998E-6</v>
      </c>
      <c r="I3786">
        <v>137.6583</v>
      </c>
      <c r="J3786">
        <v>-285.495</v>
      </c>
      <c r="K3786">
        <v>1.1042719999999999</v>
      </c>
      <c r="L3786">
        <v>141.43459999999999</v>
      </c>
      <c r="M3786">
        <v>-0.99969149999999996</v>
      </c>
      <c r="N3786">
        <v>0</v>
      </c>
      <c r="O3786">
        <v>-2.051994E-2</v>
      </c>
      <c r="P3786">
        <v>-0.99649179999999904</v>
      </c>
      <c r="Q3786">
        <v>4.1695490000000002E-2</v>
      </c>
      <c r="R3786">
        <v>-7.2566779999999997E-2</v>
      </c>
      <c r="S3786">
        <v>-2.9904169999999999</v>
      </c>
      <c r="T3786">
        <v>-9.6372719999999995E-2</v>
      </c>
      <c r="U3786">
        <v>-0.3305054</v>
      </c>
      <c r="V3786">
        <v>-5.2094109999999999E-2</v>
      </c>
      <c r="W3786">
        <v>5.5666569999999999E-2</v>
      </c>
      <c r="X3786">
        <v>0.99708949999999996</v>
      </c>
      <c r="Y3786">
        <v>-8.9396409999999996E-2</v>
      </c>
      <c r="Z3786">
        <v>-7.7678879999999999E-4</v>
      </c>
      <c r="AA3786">
        <v>0.99599579999999999</v>
      </c>
      <c r="AB3786">
        <v>51</v>
      </c>
      <c r="AC3786">
        <v>-33.745099999999901</v>
      </c>
      <c r="AD3786">
        <v>-1.1042770458059901</v>
      </c>
      <c r="AE3786">
        <v>-3.7762999999999902</v>
      </c>
      <c r="AF3786">
        <v>-3.0797322935597702</v>
      </c>
      <c r="AG3786">
        <v>-1.1042770458059901</v>
      </c>
      <c r="AH3786">
        <v>33.779764249289798</v>
      </c>
      <c r="AI3786">
        <v>91.864632311240499</v>
      </c>
      <c r="AJ3786">
        <v>95.209307477565702</v>
      </c>
      <c r="AK3786">
        <v>33.9378351037819</v>
      </c>
    </row>
    <row r="3787" spans="1:37" x14ac:dyDescent="0.2">
      <c r="A3787" t="str">
        <f>"20200111153510089"</f>
        <v>20200111153510089</v>
      </c>
      <c r="B3787" t="str">
        <f>"1578728110079806"</f>
        <v>1578728110079806</v>
      </c>
      <c r="C3787" t="s">
        <v>37</v>
      </c>
      <c r="D3787">
        <v>4.6497519999999897</v>
      </c>
      <c r="E3787">
        <v>0.46811659999999999</v>
      </c>
      <c r="F3787" t="s">
        <v>51</v>
      </c>
      <c r="G3787">
        <v>-315.12810000000002</v>
      </c>
      <c r="H3787" s="1">
        <v>-6.704334E-6</v>
      </c>
      <c r="I3787">
        <v>137.03909999999999</v>
      </c>
      <c r="J3787">
        <v>-285.99529999999999</v>
      </c>
      <c r="K3787">
        <v>1.1042909999999999</v>
      </c>
      <c r="L3787">
        <v>141.42439999999999</v>
      </c>
      <c r="M3787">
        <v>-0.99969069999999904</v>
      </c>
      <c r="N3787">
        <v>0</v>
      </c>
      <c r="O3787">
        <v>-2.0461010000000002E-2</v>
      </c>
      <c r="P3787">
        <v>-0.99643379999999904</v>
      </c>
      <c r="Q3787">
        <v>4.2910980000000001E-2</v>
      </c>
      <c r="R3787">
        <v>-7.2654659999999996E-2</v>
      </c>
      <c r="S3787">
        <v>-2.9830019999999999</v>
      </c>
      <c r="T3787">
        <v>-0.11116179999999901</v>
      </c>
      <c r="U3787">
        <v>-0.44247439999999999</v>
      </c>
      <c r="V3787">
        <v>-5.2240340000000003E-2</v>
      </c>
      <c r="W3787">
        <v>5.7025310000000003E-2</v>
      </c>
      <c r="X3787">
        <v>0.99700499999999903</v>
      </c>
      <c r="Y3787">
        <v>-0.12638239999999901</v>
      </c>
      <c r="Z3787">
        <v>-1.5833889999999999E-3</v>
      </c>
      <c r="AA3787">
        <v>0.99198030000000004</v>
      </c>
      <c r="AB3787">
        <v>51</v>
      </c>
      <c r="AC3787">
        <v>-29.1328</v>
      </c>
      <c r="AD3787">
        <v>-1.1042977043340001</v>
      </c>
      <c r="AE3787">
        <v>-4.3853</v>
      </c>
      <c r="AF3787">
        <v>-3.7829206615425601</v>
      </c>
      <c r="AG3787">
        <v>-1.1042977043340001</v>
      </c>
      <c r="AH3787">
        <v>29.175444929551499</v>
      </c>
      <c r="AI3787">
        <v>92.149646950907993</v>
      </c>
      <c r="AJ3787">
        <v>97.3878171969167</v>
      </c>
      <c r="AK3787">
        <v>29.440389756058099</v>
      </c>
    </row>
    <row r="3788" spans="1:37" x14ac:dyDescent="0.2">
      <c r="A3788" t="str">
        <f>"20200111153510112"</f>
        <v>20200111153510112</v>
      </c>
      <c r="B3788" t="str">
        <f>"1578728110099322"</f>
        <v>1578728110099322</v>
      </c>
      <c r="C3788" t="s">
        <v>37</v>
      </c>
      <c r="D3788">
        <v>4.6518559999999898</v>
      </c>
      <c r="E3788">
        <v>0.46701809999999899</v>
      </c>
      <c r="F3788" t="s">
        <v>51</v>
      </c>
      <c r="G3788">
        <v>-315.98970000000003</v>
      </c>
      <c r="H3788" s="1">
        <v>-6.2181769999999996E-6</v>
      </c>
      <c r="I3788">
        <v>136.71379999999999</v>
      </c>
      <c r="J3788">
        <v>-286.50400000000002</v>
      </c>
      <c r="K3788">
        <v>1.104306</v>
      </c>
      <c r="L3788">
        <v>141.41409999999999</v>
      </c>
      <c r="M3788">
        <v>-0.99969030000000003</v>
      </c>
      <c r="N3788">
        <v>0</v>
      </c>
      <c r="O3788">
        <v>-2.039028E-2</v>
      </c>
      <c r="P3788">
        <v>-0.99635910000000005</v>
      </c>
      <c r="Q3788">
        <v>4.558243E-2</v>
      </c>
      <c r="R3788">
        <v>-7.2046769999999996E-2</v>
      </c>
      <c r="S3788">
        <v>-2.9813230000000002</v>
      </c>
      <c r="T3788">
        <v>-0.10976269999999901</v>
      </c>
      <c r="U3788">
        <v>-0.46821590000000002</v>
      </c>
      <c r="V3788">
        <v>-5.1702249999999998E-2</v>
      </c>
      <c r="W3788">
        <v>5.982146E-2</v>
      </c>
      <c r="X3788">
        <v>0.99686919999999901</v>
      </c>
      <c r="Y3788">
        <v>-0.13489470000000001</v>
      </c>
      <c r="Z3788">
        <v>-1.7216239999999999E-3</v>
      </c>
      <c r="AA3788">
        <v>0.99085840000000003</v>
      </c>
      <c r="AB3788">
        <v>51</v>
      </c>
      <c r="AC3788">
        <v>-29.485700000000001</v>
      </c>
      <c r="AD3788">
        <v>-1.104312218177</v>
      </c>
      <c r="AE3788">
        <v>-4.7002999999999897</v>
      </c>
      <c r="AF3788">
        <v>-4.0924415590717498</v>
      </c>
      <c r="AG3788">
        <v>-1.104312218177</v>
      </c>
      <c r="AH3788">
        <v>29.5350170337538</v>
      </c>
      <c r="AI3788">
        <v>92.121041790901302</v>
      </c>
      <c r="AJ3788">
        <v>97.888807025893897</v>
      </c>
      <c r="AK3788">
        <v>29.837640901615501</v>
      </c>
    </row>
    <row r="3789" spans="1:37" x14ac:dyDescent="0.2">
      <c r="A3789" t="str">
        <f>"20200111153510135"</f>
        <v>20200111153510135</v>
      </c>
      <c r="B3789" t="str">
        <f>"1578728110129580"</f>
        <v>1578728110129580</v>
      </c>
      <c r="C3789" t="s">
        <v>37</v>
      </c>
      <c r="D3789">
        <v>4.6594259999999998</v>
      </c>
      <c r="E3789">
        <v>0.466306099999999</v>
      </c>
      <c r="F3789" t="s">
        <v>51</v>
      </c>
      <c r="G3789">
        <v>-317.55619999999999</v>
      </c>
      <c r="H3789" s="1">
        <v>-5.4435789999999999E-6</v>
      </c>
      <c r="I3789">
        <v>136.464</v>
      </c>
      <c r="J3789">
        <v>-287.03750000000002</v>
      </c>
      <c r="K3789">
        <v>1.1043259999999999</v>
      </c>
      <c r="L3789">
        <v>141.4033</v>
      </c>
      <c r="M3789">
        <v>-0.99969030000000003</v>
      </c>
      <c r="N3789">
        <v>0</v>
      </c>
      <c r="O3789">
        <v>-2.0307680000000002E-2</v>
      </c>
      <c r="P3789">
        <v>-0.99635399999999996</v>
      </c>
      <c r="Q3789">
        <v>4.7473509999999997E-2</v>
      </c>
      <c r="R3789">
        <v>-7.0886399999999905E-2</v>
      </c>
      <c r="S3789">
        <v>-2.9814449999999999</v>
      </c>
      <c r="T3789">
        <v>-0.10602930000000001</v>
      </c>
      <c r="U3789">
        <v>-0.4752808</v>
      </c>
      <c r="V3789">
        <v>-5.062316E-2</v>
      </c>
      <c r="W3789">
        <v>6.182617E-2</v>
      </c>
      <c r="X3789">
        <v>0.99680230000000003</v>
      </c>
      <c r="Y3789">
        <v>-0.1372641</v>
      </c>
      <c r="Z3789">
        <v>-1.707503E-3</v>
      </c>
      <c r="AA3789">
        <v>0.990533</v>
      </c>
      <c r="AB3789">
        <v>51</v>
      </c>
      <c r="AC3789">
        <v>-30.5186999999999</v>
      </c>
      <c r="AD3789">
        <v>-1.1043314435789999</v>
      </c>
      <c r="AE3789">
        <v>-4.9393000000000002</v>
      </c>
      <c r="AF3789">
        <v>-4.3129499208631001</v>
      </c>
      <c r="AG3789">
        <v>-1.1043314435789999</v>
      </c>
      <c r="AH3789">
        <v>30.5737103022058</v>
      </c>
      <c r="AI3789">
        <v>92.0483777520936</v>
      </c>
      <c r="AJ3789">
        <v>98.029576287203795</v>
      </c>
      <c r="AK3789">
        <v>30.896162328036102</v>
      </c>
    </row>
    <row r="3790" spans="1:37" x14ac:dyDescent="0.2">
      <c r="A3790" t="str">
        <f>"20200111153510156"</f>
        <v>20200111153510156</v>
      </c>
      <c r="B3790" t="str">
        <f>"1578728110150078"</f>
        <v>1578728110150078</v>
      </c>
      <c r="C3790" t="s">
        <v>37</v>
      </c>
      <c r="D3790">
        <v>4.6376140000000001</v>
      </c>
      <c r="E3790">
        <v>0.46605419999999997</v>
      </c>
      <c r="F3790" t="s">
        <v>51</v>
      </c>
      <c r="G3790">
        <v>-318.85910000000001</v>
      </c>
      <c r="H3790" s="1">
        <v>-4.7462679999999997E-6</v>
      </c>
      <c r="I3790">
        <v>136.3098</v>
      </c>
      <c r="J3790">
        <v>-287.54349999999999</v>
      </c>
      <c r="K3790">
        <v>1.1043350000000001</v>
      </c>
      <c r="L3790">
        <v>141.393</v>
      </c>
      <c r="M3790">
        <v>-0.99969079999999999</v>
      </c>
      <c r="N3790">
        <v>0</v>
      </c>
      <c r="O3790">
        <v>-2.0223640000000001E-2</v>
      </c>
      <c r="P3790">
        <v>-0.9963495</v>
      </c>
      <c r="Q3790">
        <v>4.9617830000000002E-2</v>
      </c>
      <c r="R3790">
        <v>-6.9468429999999998E-2</v>
      </c>
      <c r="S3790">
        <v>-2.9819339999999999</v>
      </c>
      <c r="T3790">
        <v>-0.1034844</v>
      </c>
      <c r="U3790">
        <v>-0.47729490000000002</v>
      </c>
      <c r="V3790">
        <v>-4.9287190000000002E-2</v>
      </c>
      <c r="W3790">
        <v>6.4062869999999994E-2</v>
      </c>
      <c r="X3790">
        <v>0.99672799999999995</v>
      </c>
      <c r="Y3790">
        <v>-0.1379775</v>
      </c>
      <c r="Z3790">
        <v>-1.681377E-3</v>
      </c>
      <c r="AA3790">
        <v>0.99043389999999998</v>
      </c>
      <c r="AB3790">
        <v>51</v>
      </c>
      <c r="AC3790">
        <v>-31.3156</v>
      </c>
      <c r="AD3790">
        <v>-1.104339746268</v>
      </c>
      <c r="AE3790">
        <v>-5.0831999999999997</v>
      </c>
      <c r="AF3790">
        <v>-4.4433944750335597</v>
      </c>
      <c r="AG3790">
        <v>-1.104339746268</v>
      </c>
      <c r="AH3790">
        <v>31.3739902566148</v>
      </c>
      <c r="AI3790">
        <v>91.996031439249606</v>
      </c>
      <c r="AJ3790">
        <v>98.061000871891594</v>
      </c>
      <c r="AK3790">
        <v>31.706317751484502</v>
      </c>
    </row>
    <row r="3791" spans="1:37" x14ac:dyDescent="0.2">
      <c r="A3791" t="str">
        <f>"20200111153510179"</f>
        <v>20200111153510179</v>
      </c>
      <c r="B3791" t="str">
        <f>"1578728110169594"</f>
        <v>1578728110169594</v>
      </c>
      <c r="C3791" t="s">
        <v>37</v>
      </c>
      <c r="D3791">
        <v>4.6306250000000002</v>
      </c>
      <c r="E3791">
        <v>0.4657326</v>
      </c>
      <c r="F3791" t="s">
        <v>39</v>
      </c>
      <c r="G3791">
        <v>-321.02429999999998</v>
      </c>
      <c r="H3791" s="1">
        <v>-4.4638279999999901E-6</v>
      </c>
      <c r="I3791">
        <v>136.0592</v>
      </c>
      <c r="J3791">
        <v>-288.0385</v>
      </c>
      <c r="K3791">
        <v>1.1043529999999999</v>
      </c>
      <c r="L3791">
        <v>141.38310000000001</v>
      </c>
      <c r="M3791">
        <v>-0.99969140000000001</v>
      </c>
      <c r="N3791">
        <v>0</v>
      </c>
      <c r="O3791">
        <v>-2.013763E-2</v>
      </c>
      <c r="P3791">
        <v>-0.99631069999999999</v>
      </c>
      <c r="Q3791">
        <v>5.1602929999999998E-2</v>
      </c>
      <c r="R3791">
        <v>-6.8573300000000004E-2</v>
      </c>
      <c r="S3791">
        <v>-2.982758</v>
      </c>
      <c r="T3791">
        <v>-9.8384260000000001E-2</v>
      </c>
      <c r="U3791">
        <v>-0.47517399999999999</v>
      </c>
      <c r="V3791">
        <v>-4.847742E-2</v>
      </c>
      <c r="W3791">
        <v>6.6125580000000003E-2</v>
      </c>
      <c r="X3791">
        <v>0.99663299999999999</v>
      </c>
      <c r="Y3791">
        <v>-0.13734009999999999</v>
      </c>
      <c r="Z3791">
        <v>-1.5905820000000001E-3</v>
      </c>
      <c r="AA3791">
        <v>0.99052269999999898</v>
      </c>
      <c r="AB3791">
        <v>51</v>
      </c>
      <c r="AC3791">
        <v>-32.985799999999898</v>
      </c>
      <c r="AD3791">
        <v>-1.104357463828</v>
      </c>
      <c r="AE3791">
        <v>-5.3239000000000001</v>
      </c>
      <c r="AF3791">
        <v>-4.6534104956579698</v>
      </c>
      <c r="AG3791">
        <v>-1.104357463828</v>
      </c>
      <c r="AH3791">
        <v>33.050226383628903</v>
      </c>
      <c r="AI3791">
        <v>91.895120407435698</v>
      </c>
      <c r="AJ3791">
        <v>98.014456605014004</v>
      </c>
      <c r="AK3791">
        <v>33.3944800627009</v>
      </c>
    </row>
    <row r="3792" spans="1:37" x14ac:dyDescent="0.2">
      <c r="A3792" t="str">
        <f>"20200111153510200"</f>
        <v>20200111153510200</v>
      </c>
      <c r="B3792" t="str">
        <f>"1578728110190091"</f>
        <v>1578728110190091</v>
      </c>
      <c r="C3792" t="s">
        <v>37</v>
      </c>
      <c r="D3792">
        <v>4.6802080000000004</v>
      </c>
      <c r="E3792">
        <v>0.465545299999999</v>
      </c>
      <c r="F3792" t="s">
        <v>39</v>
      </c>
      <c r="G3792">
        <v>-323.35930000000002</v>
      </c>
      <c r="H3792" s="1">
        <v>-3.5143910000000001E-6</v>
      </c>
      <c r="I3792">
        <v>135.7646</v>
      </c>
      <c r="J3792">
        <v>-288.53870000000001</v>
      </c>
      <c r="K3792">
        <v>1.104355</v>
      </c>
      <c r="L3792">
        <v>141.37309999999999</v>
      </c>
      <c r="M3792">
        <v>-0.99969229999999998</v>
      </c>
      <c r="N3792">
        <v>0</v>
      </c>
      <c r="O3792">
        <v>-2.0046660000000001E-2</v>
      </c>
      <c r="P3792">
        <v>-0.99614159999999996</v>
      </c>
      <c r="Q3792">
        <v>5.2839599999999903E-2</v>
      </c>
      <c r="R3792">
        <v>-7.0073029999999994E-2</v>
      </c>
      <c r="S3792">
        <v>-2.983276</v>
      </c>
      <c r="T3792">
        <v>-9.3276860000000003E-2</v>
      </c>
      <c r="U3792">
        <v>-0.47454829999999998</v>
      </c>
      <c r="V3792">
        <v>-5.0069280000000001E-2</v>
      </c>
      <c r="W3792">
        <v>6.7428230000000006E-2</v>
      </c>
      <c r="X3792">
        <v>0.99646699999999999</v>
      </c>
      <c r="Y3792">
        <v>-0.1372072</v>
      </c>
      <c r="Z3792">
        <v>-1.508576E-3</v>
      </c>
      <c r="AA3792">
        <v>0.99054120000000001</v>
      </c>
      <c r="AB3792">
        <v>51</v>
      </c>
      <c r="AC3792">
        <v>-34.820599999999999</v>
      </c>
      <c r="AD3792">
        <v>-1.104358514391</v>
      </c>
      <c r="AE3792">
        <v>-5.6084999999999896</v>
      </c>
      <c r="AF3792">
        <v>-4.9044529123084502</v>
      </c>
      <c r="AG3792">
        <v>-1.104358514391</v>
      </c>
      <c r="AH3792">
        <v>34.891835225238403</v>
      </c>
      <c r="AI3792">
        <v>91.795222498184401</v>
      </c>
      <c r="AJ3792">
        <v>98.001167885101907</v>
      </c>
      <c r="AK3792">
        <v>35.252140807084899</v>
      </c>
    </row>
    <row r="3793" spans="1:37" x14ac:dyDescent="0.2">
      <c r="A3793" t="str">
        <f>"20200111153510224"</f>
        <v>20200111153510224</v>
      </c>
      <c r="B3793" t="str">
        <f>"1578728110219371"</f>
        <v>1578728110219371</v>
      </c>
      <c r="C3793" t="s">
        <v>37</v>
      </c>
      <c r="D3793">
        <v>4.6635739999999997</v>
      </c>
      <c r="E3793">
        <v>0.46510619999999903</v>
      </c>
      <c r="F3793" t="s">
        <v>39</v>
      </c>
      <c r="G3793">
        <v>-324.82839999999999</v>
      </c>
      <c r="H3793" s="1">
        <v>-2.9251939999999998E-6</v>
      </c>
      <c r="I3793">
        <v>135.53309999999999</v>
      </c>
      <c r="J3793">
        <v>-289.06020000000001</v>
      </c>
      <c r="K3793">
        <v>1.1043609999999999</v>
      </c>
      <c r="L3793">
        <v>141.36269999999999</v>
      </c>
      <c r="M3793">
        <v>-0.99969330000000001</v>
      </c>
      <c r="N3793">
        <v>0</v>
      </c>
      <c r="O3793">
        <v>-1.9947889999999999E-2</v>
      </c>
      <c r="P3793">
        <v>-0.9956351</v>
      </c>
      <c r="Q3793">
        <v>5.5943779999999999E-2</v>
      </c>
      <c r="R3793">
        <v>-7.4705839999999996E-2</v>
      </c>
      <c r="S3793">
        <v>-2.982666</v>
      </c>
      <c r="T3793">
        <v>-9.0767860000000006E-2</v>
      </c>
      <c r="U3793">
        <v>-0.47998049999999998</v>
      </c>
      <c r="V3793">
        <v>-5.4807259999999997E-2</v>
      </c>
      <c r="W3793">
        <v>7.0587360000000002E-2</v>
      </c>
      <c r="X3793">
        <v>0.99599879999999996</v>
      </c>
      <c r="Y3793">
        <v>-0.13909730000000001</v>
      </c>
      <c r="Z3793">
        <v>-1.4996569999999999E-3</v>
      </c>
      <c r="AA3793">
        <v>0.99027759999999998</v>
      </c>
      <c r="AB3793">
        <v>51</v>
      </c>
      <c r="AC3793">
        <v>-35.768199999999901</v>
      </c>
      <c r="AD3793">
        <v>-1.1043639251940001</v>
      </c>
      <c r="AE3793">
        <v>-5.8295999999999903</v>
      </c>
      <c r="AF3793">
        <v>-5.1101173836075402</v>
      </c>
      <c r="AG3793">
        <v>-1.1043639251940001</v>
      </c>
      <c r="AH3793">
        <v>35.844096053677099</v>
      </c>
      <c r="AI3793">
        <v>91.747082281209899</v>
      </c>
      <c r="AJ3793">
        <v>98.113703901735605</v>
      </c>
      <c r="AK3793">
        <v>36.223364576730702</v>
      </c>
    </row>
    <row r="3794" spans="1:37" x14ac:dyDescent="0.2">
      <c r="A3794" t="str">
        <f>"20200111153510238"</f>
        <v>20200111153510238</v>
      </c>
      <c r="B3794" t="str">
        <f>"1578728110230107"</f>
        <v>1578728110230107</v>
      </c>
      <c r="C3794" t="s">
        <v>37</v>
      </c>
      <c r="D3794">
        <v>4.6733409999999997</v>
      </c>
      <c r="E3794">
        <v>0.465059099999999</v>
      </c>
      <c r="F3794" t="s">
        <v>39</v>
      </c>
      <c r="G3794">
        <v>-328.88400000000001</v>
      </c>
      <c r="H3794" s="1">
        <v>-1.668692E-6</v>
      </c>
      <c r="I3794">
        <v>134.71979999999999</v>
      </c>
      <c r="J3794">
        <v>-289.39940000000001</v>
      </c>
      <c r="K3794">
        <v>1.104368</v>
      </c>
      <c r="L3794">
        <v>141.35589999999999</v>
      </c>
      <c r="M3794">
        <v>-0.99969399999999997</v>
      </c>
      <c r="N3794">
        <v>0</v>
      </c>
      <c r="O3794">
        <v>-1.988237E-2</v>
      </c>
      <c r="P3794">
        <v>-0.99539630000000001</v>
      </c>
      <c r="Q3794">
        <v>5.6962480000000003E-2</v>
      </c>
      <c r="R3794">
        <v>-7.7082970000000001E-2</v>
      </c>
      <c r="S3794">
        <v>-2.980499</v>
      </c>
      <c r="T3794">
        <v>-8.2653050000000006E-2</v>
      </c>
      <c r="U3794">
        <v>-0.49716189999999999</v>
      </c>
      <c r="V3794">
        <v>-5.7252480000000001E-2</v>
      </c>
      <c r="W3794">
        <v>7.1639460000000002E-2</v>
      </c>
      <c r="X3794">
        <v>0.99578609999999901</v>
      </c>
      <c r="Y3794">
        <v>-0.14483889999999999</v>
      </c>
      <c r="Z3794">
        <v>-1.446845E-3</v>
      </c>
      <c r="AA3794">
        <v>0.98945419999999995</v>
      </c>
      <c r="AB3794">
        <v>51</v>
      </c>
      <c r="AC3794">
        <v>-39.4846</v>
      </c>
      <c r="AD3794">
        <v>-1.1043696686919999</v>
      </c>
      <c r="AE3794">
        <v>-6.6360999999999901</v>
      </c>
      <c r="AF3794">
        <v>-5.8452083808352997</v>
      </c>
      <c r="AG3794">
        <v>-1.1043696686919999</v>
      </c>
      <c r="AH3794">
        <v>39.578637110538601</v>
      </c>
      <c r="AI3794">
        <v>91.581177703441298</v>
      </c>
      <c r="AJ3794">
        <v>98.401053683896606</v>
      </c>
      <c r="AK3794">
        <v>40.023175897324997</v>
      </c>
    </row>
    <row r="3795" spans="1:37" x14ac:dyDescent="0.2">
      <c r="A3795" t="str">
        <f>"20200111153510258"</f>
        <v>20200111153510258</v>
      </c>
      <c r="B3795" t="str">
        <f>"1578728110249627"</f>
        <v>1578728110249627</v>
      </c>
      <c r="C3795" t="s">
        <v>37</v>
      </c>
      <c r="D3795">
        <v>4.661867</v>
      </c>
      <c r="E3795">
        <v>0.46482010000000001</v>
      </c>
      <c r="F3795" t="s">
        <v>39</v>
      </c>
      <c r="G3795">
        <v>-330.71600000000001</v>
      </c>
      <c r="H3795" s="1">
        <v>-5.3023400000000003E-6</v>
      </c>
      <c r="I3795">
        <v>134.35509999999999</v>
      </c>
      <c r="J3795">
        <v>-289.84969999999998</v>
      </c>
      <c r="K3795">
        <v>1.1043879999999999</v>
      </c>
      <c r="L3795">
        <v>141.34710000000001</v>
      </c>
      <c r="M3795">
        <v>-0.99969529999999995</v>
      </c>
      <c r="N3795">
        <v>0</v>
      </c>
      <c r="O3795">
        <v>-1.9792899999999999E-2</v>
      </c>
      <c r="P3795">
        <v>-0.99491549999999995</v>
      </c>
      <c r="Q3795">
        <v>5.9349289999999999E-2</v>
      </c>
      <c r="R3795">
        <v>-8.1368309999999999E-2</v>
      </c>
      <c r="S3795">
        <v>-2.9793699999999999</v>
      </c>
      <c r="T3795">
        <v>-7.9637289999999999E-2</v>
      </c>
      <c r="U3795">
        <v>-0.50483699999999998</v>
      </c>
      <c r="V3795">
        <v>-6.1634069999999999E-2</v>
      </c>
      <c r="W3795">
        <v>7.4062500000000003E-2</v>
      </c>
      <c r="X3795">
        <v>0.99534709999999904</v>
      </c>
      <c r="Y3795">
        <v>-0.14746899999999999</v>
      </c>
      <c r="Z3795">
        <v>-1.4315689999999999E-3</v>
      </c>
      <c r="AA3795">
        <v>0.98906559999999899</v>
      </c>
      <c r="AB3795">
        <v>51</v>
      </c>
      <c r="AC3795">
        <v>-40.866300000000003</v>
      </c>
      <c r="AD3795">
        <v>-1.1043933023399899</v>
      </c>
      <c r="AE3795">
        <v>-6.9920000000000098</v>
      </c>
      <c r="AF3795">
        <v>-6.1772962592268099</v>
      </c>
      <c r="AG3795">
        <v>-1.1043933023399899</v>
      </c>
      <c r="AH3795">
        <v>40.967630823976002</v>
      </c>
      <c r="AI3795">
        <v>91.5269363384336</v>
      </c>
      <c r="AJ3795">
        <v>98.574737127570003</v>
      </c>
      <c r="AK3795">
        <v>41.445451487106503</v>
      </c>
    </row>
    <row r="3796" spans="1:37" x14ac:dyDescent="0.2">
      <c r="A3796" t="str">
        <f>"20200111153510279"</f>
        <v>20200111153510279</v>
      </c>
      <c r="B3796" t="str">
        <f>"1578728110270126"</f>
        <v>1578728110270126</v>
      </c>
      <c r="C3796" t="s">
        <v>37</v>
      </c>
      <c r="D3796">
        <v>4.7230530000000002</v>
      </c>
      <c r="E3796">
        <v>0.4647039</v>
      </c>
      <c r="F3796" t="s">
        <v>39</v>
      </c>
      <c r="G3796">
        <v>-335.29410000000001</v>
      </c>
      <c r="H3796" s="1">
        <v>-3.4421660000000002E-6</v>
      </c>
      <c r="I3796">
        <v>133.41200000000001</v>
      </c>
      <c r="J3796">
        <v>-290.32560000000001</v>
      </c>
      <c r="K3796">
        <v>1.104417</v>
      </c>
      <c r="L3796">
        <v>141.33770000000001</v>
      </c>
      <c r="M3796">
        <v>-0.99969669999999899</v>
      </c>
      <c r="N3796">
        <v>0</v>
      </c>
      <c r="O3796">
        <v>-1.969626E-2</v>
      </c>
      <c r="P3796">
        <v>-0.99456979999999995</v>
      </c>
      <c r="Q3796">
        <v>6.0983040000000002E-2</v>
      </c>
      <c r="R3796">
        <v>-8.4333140000000001E-2</v>
      </c>
      <c r="S3796">
        <v>-2.977112</v>
      </c>
      <c r="T3796">
        <v>-7.2349910000000003E-2</v>
      </c>
      <c r="U3796">
        <v>-0.51983639999999998</v>
      </c>
      <c r="V3796">
        <v>-6.469975E-2</v>
      </c>
      <c r="W3796">
        <v>7.5730060000000002E-2</v>
      </c>
      <c r="X3796">
        <v>0.99502710000000005</v>
      </c>
      <c r="Y3796">
        <v>-0.15253229999999901</v>
      </c>
      <c r="Z3796">
        <v>-1.364419E-3</v>
      </c>
      <c r="AA3796">
        <v>0.98829750000000005</v>
      </c>
      <c r="AB3796">
        <v>51</v>
      </c>
      <c r="AC3796">
        <v>-44.968499999999999</v>
      </c>
      <c r="AD3796">
        <v>-1.104420442166</v>
      </c>
      <c r="AE3796">
        <v>-7.9257</v>
      </c>
      <c r="AF3796">
        <v>-7.0342389498412601</v>
      </c>
      <c r="AG3796">
        <v>-1.104420442166</v>
      </c>
      <c r="AH3796">
        <v>45.089520347254002</v>
      </c>
      <c r="AI3796">
        <v>91.386356959218602</v>
      </c>
      <c r="AJ3796">
        <v>98.867015668657601</v>
      </c>
      <c r="AK3796">
        <v>45.648276060131401</v>
      </c>
    </row>
    <row r="3797" spans="1:37" x14ac:dyDescent="0.2">
      <c r="A3797" t="str">
        <f>"20200111153510295"</f>
        <v>20200111153510295</v>
      </c>
      <c r="B3797" t="str">
        <f>"1578728110289643"</f>
        <v>1578728110289643</v>
      </c>
      <c r="C3797" t="s">
        <v>37</v>
      </c>
      <c r="D3797">
        <v>4.8123579999999997</v>
      </c>
      <c r="E3797">
        <v>0.46479789999999999</v>
      </c>
      <c r="F3797" t="s">
        <v>39</v>
      </c>
      <c r="G3797">
        <v>-338.67160000000001</v>
      </c>
      <c r="H3797" s="1">
        <v>-2.3274520000000001E-6</v>
      </c>
      <c r="I3797">
        <v>132.7269</v>
      </c>
      <c r="J3797">
        <v>-290.68979999999999</v>
      </c>
      <c r="K3797">
        <v>1.1044350000000001</v>
      </c>
      <c r="L3797">
        <v>141.3306</v>
      </c>
      <c r="M3797">
        <v>-0.99969769999999902</v>
      </c>
      <c r="N3797">
        <v>0</v>
      </c>
      <c r="O3797">
        <v>-1.9620789999999999E-2</v>
      </c>
      <c r="P3797">
        <v>-0.9943824</v>
      </c>
      <c r="Q3797">
        <v>6.2196729999999999E-2</v>
      </c>
      <c r="R3797">
        <v>-8.5647119999999993E-2</v>
      </c>
      <c r="S3797">
        <v>-2.975616</v>
      </c>
      <c r="T3797">
        <v>-6.7975160000000007E-2</v>
      </c>
      <c r="U3797">
        <v>-0.52998350000000005</v>
      </c>
      <c r="V3797">
        <v>-6.6091670000000005E-2</v>
      </c>
      <c r="W3797">
        <v>7.6966220000000002E-2</v>
      </c>
      <c r="X3797">
        <v>0.99484069999999902</v>
      </c>
      <c r="Y3797">
        <v>-0.1559622</v>
      </c>
      <c r="Z3797">
        <v>-1.3227739999999899E-3</v>
      </c>
      <c r="AA3797">
        <v>0.98776219999999904</v>
      </c>
      <c r="AB3797">
        <v>51</v>
      </c>
      <c r="AC3797">
        <v>-47.9818</v>
      </c>
      <c r="AD3797">
        <v>-1.1044373274520001</v>
      </c>
      <c r="AE3797">
        <v>-8.6036999999999999</v>
      </c>
      <c r="AF3797">
        <v>-7.6565689507294499</v>
      </c>
      <c r="AG3797">
        <v>-1.1044373274520001</v>
      </c>
      <c r="AH3797">
        <v>48.116692013576298</v>
      </c>
      <c r="AI3797">
        <v>91.298565018924506</v>
      </c>
      <c r="AJ3797">
        <v>99.041388229840393</v>
      </c>
      <c r="AK3797">
        <v>48.734575818784997</v>
      </c>
    </row>
    <row r="3798" spans="1:37" x14ac:dyDescent="0.2">
      <c r="A3798" t="str">
        <f>"20200111153510313"</f>
        <v>20200111153510313</v>
      </c>
      <c r="B3798" t="str">
        <f>"1578728110299402"</f>
        <v>1578728110299402</v>
      </c>
      <c r="C3798" t="s">
        <v>37</v>
      </c>
      <c r="D3798">
        <v>6.0198679999999998</v>
      </c>
      <c r="E3798">
        <v>0.46479789999999999</v>
      </c>
      <c r="F3798" t="s">
        <v>39</v>
      </c>
      <c r="G3798">
        <v>-340.99669999999998</v>
      </c>
      <c r="H3798" s="1">
        <v>-5.1404309999999997E-6</v>
      </c>
      <c r="I3798">
        <v>132.3116</v>
      </c>
      <c r="J3798">
        <v>-291.0822</v>
      </c>
      <c r="K3798">
        <v>1.1044670000000001</v>
      </c>
      <c r="L3798">
        <v>141.32299999999901</v>
      </c>
      <c r="M3798">
        <v>-0.999699</v>
      </c>
      <c r="N3798">
        <v>0</v>
      </c>
      <c r="O3798">
        <v>-1.9538630000000001E-2</v>
      </c>
      <c r="P3798">
        <v>-0.99398790000000004</v>
      </c>
      <c r="Q3798">
        <v>6.5418409999999996E-2</v>
      </c>
      <c r="R3798">
        <v>-8.7797399999999998E-2</v>
      </c>
      <c r="S3798">
        <v>-2.975098</v>
      </c>
      <c r="T3798">
        <v>-6.5315490000000004E-2</v>
      </c>
      <c r="U3798">
        <v>-0.53337100000000004</v>
      </c>
      <c r="V3798">
        <v>-6.832916E-2</v>
      </c>
      <c r="W3798">
        <v>8.0207239999999999E-2</v>
      </c>
      <c r="X3798">
        <v>0.99443349999999897</v>
      </c>
      <c r="Y3798">
        <v>-0.1571651</v>
      </c>
      <c r="Z3798">
        <v>-1.2860089999999901E-3</v>
      </c>
      <c r="AA3798">
        <v>0.98757150000000005</v>
      </c>
      <c r="AB3798">
        <v>51</v>
      </c>
      <c r="AC3798">
        <v>-49.914499999999897</v>
      </c>
      <c r="AD3798">
        <v>-1.1044721404310001</v>
      </c>
      <c r="AE3798">
        <v>-9.0113999999999805</v>
      </c>
      <c r="AF3798">
        <v>-8.0305032932813205</v>
      </c>
      <c r="AG3798">
        <v>-1.1044721404310001</v>
      </c>
      <c r="AH3798">
        <v>50.057323877569999</v>
      </c>
      <c r="AI3798">
        <v>91.248024646968105</v>
      </c>
      <c r="AJ3798">
        <v>99.114081962115407</v>
      </c>
      <c r="AK3798">
        <v>50.709412495475902</v>
      </c>
    </row>
    <row r="3799" spans="1:37" x14ac:dyDescent="0.2">
      <c r="A3799" t="str">
        <f>"20200111153510328"</f>
        <v>20200111153510328</v>
      </c>
      <c r="B3799" t="str">
        <f>"1578728110319902"</f>
        <v>1578728110319902</v>
      </c>
      <c r="C3799" t="s">
        <v>37</v>
      </c>
      <c r="D3799">
        <v>4.8089129999999898</v>
      </c>
      <c r="E3799">
        <v>0.50075959999999997</v>
      </c>
      <c r="F3799" t="s">
        <v>39</v>
      </c>
      <c r="G3799">
        <v>-350.55829999999997</v>
      </c>
      <c r="H3799" s="1">
        <v>-5.6461249999999899E-6</v>
      </c>
      <c r="I3799">
        <v>130.52090000000001</v>
      </c>
      <c r="J3799">
        <v>-291.43990000000002</v>
      </c>
      <c r="K3799">
        <v>1.104495</v>
      </c>
      <c r="L3799">
        <v>141.31610000000001</v>
      </c>
      <c r="M3799">
        <v>-0.99970020000000004</v>
      </c>
      <c r="N3799">
        <v>0</v>
      </c>
      <c r="O3799">
        <v>-1.9463020000000001E-2</v>
      </c>
      <c r="P3799">
        <v>-0.99382130000000002</v>
      </c>
      <c r="Q3799">
        <v>6.7819000000000004E-2</v>
      </c>
      <c r="R3799">
        <v>-8.7860789999999994E-2</v>
      </c>
      <c r="S3799">
        <v>-2.9740599999999899</v>
      </c>
      <c r="T3799">
        <v>-5.5228350000000002E-2</v>
      </c>
      <c r="U3799">
        <v>-0.54014589999999996</v>
      </c>
      <c r="V3799">
        <v>-6.8469719999999998E-2</v>
      </c>
      <c r="W3799">
        <v>8.2623909999999995E-2</v>
      </c>
      <c r="X3799">
        <v>0.9942259</v>
      </c>
      <c r="Y3799">
        <v>-0.15948670000000001</v>
      </c>
      <c r="Z3799">
        <v>-1.110366E-3</v>
      </c>
      <c r="AA3799">
        <v>0.98719939999999995</v>
      </c>
      <c r="AB3799">
        <v>51</v>
      </c>
      <c r="AC3799">
        <v>-59.118399999999902</v>
      </c>
      <c r="AD3799">
        <v>-1.104500646125</v>
      </c>
      <c r="AE3799">
        <v>-10.7951999999999</v>
      </c>
      <c r="AF3799">
        <v>-9.6391491299696792</v>
      </c>
      <c r="AG3799">
        <v>-1.104500646125</v>
      </c>
      <c r="AH3799">
        <v>59.297299752659299</v>
      </c>
      <c r="AI3799">
        <v>91.053273721842899</v>
      </c>
      <c r="AJ3799">
        <v>99.233028492038102</v>
      </c>
      <c r="AK3799">
        <v>60.085795955315596</v>
      </c>
    </row>
    <row r="3800" spans="1:37" x14ac:dyDescent="0.2">
      <c r="A3800" t="str">
        <f>"20200111153510347"</f>
        <v>20200111153510347</v>
      </c>
      <c r="B3800" t="str">
        <f>"1578728110339418"</f>
        <v>1578728110339418</v>
      </c>
      <c r="C3800" t="s">
        <v>37</v>
      </c>
      <c r="D3800">
        <v>4.7340419999999996</v>
      </c>
      <c r="E3800">
        <v>0.50237969999999998</v>
      </c>
      <c r="F3800" t="s">
        <v>39</v>
      </c>
      <c r="G3800">
        <v>-393.81290000000001</v>
      </c>
      <c r="H3800" s="1">
        <v>-3.9572150000000002E-6</v>
      </c>
      <c r="I3800">
        <v>132.60429999999999</v>
      </c>
      <c r="J3800">
        <v>-291.86369999999999</v>
      </c>
      <c r="K3800">
        <v>1.1045339999999999</v>
      </c>
      <c r="L3800">
        <v>141.30789999999999</v>
      </c>
      <c r="M3800">
        <v>-0.99970170000000003</v>
      </c>
      <c r="N3800">
        <v>0</v>
      </c>
      <c r="O3800">
        <v>-1.9372150000000001E-2</v>
      </c>
      <c r="P3800">
        <v>-0.99357890000000004</v>
      </c>
      <c r="Q3800">
        <v>7.3010179999999994E-2</v>
      </c>
      <c r="R3800">
        <v>-8.6433300000000005E-2</v>
      </c>
      <c r="S3800">
        <v>-2.9982599999999899</v>
      </c>
      <c r="T3800">
        <v>-3.2348160000000001E-2</v>
      </c>
      <c r="U3800">
        <v>-0.25514219999999999</v>
      </c>
      <c r="V3800">
        <v>-6.7134479999999996E-2</v>
      </c>
      <c r="W3800">
        <v>8.7830069999999996E-2</v>
      </c>
      <c r="X3800">
        <v>0.99387060000000005</v>
      </c>
      <c r="Y3800">
        <v>-6.5467209999999998E-2</v>
      </c>
      <c r="Z3800">
        <v>-1.4392180000000001E-4</v>
      </c>
      <c r="AA3800">
        <v>0.99785469999999898</v>
      </c>
      <c r="AB3800">
        <v>51</v>
      </c>
      <c r="AC3800">
        <v>-101.9492</v>
      </c>
      <c r="AD3800">
        <v>-1.10453795721499</v>
      </c>
      <c r="AE3800">
        <v>-8.7035999999999891</v>
      </c>
      <c r="AF3800">
        <v>-6.7259888639799499</v>
      </c>
      <c r="AG3800">
        <v>-1.10453795721499</v>
      </c>
      <c r="AH3800">
        <v>102.08679408053101</v>
      </c>
      <c r="AI3800">
        <v>90.618552090564194</v>
      </c>
      <c r="AJ3800">
        <v>93.769484741603407</v>
      </c>
      <c r="AK3800">
        <v>102.314087279993</v>
      </c>
    </row>
    <row r="3801" spans="1:37" x14ac:dyDescent="0.2">
      <c r="A3801" t="str">
        <f>"20200111153510363"</f>
        <v>20200111153510363</v>
      </c>
      <c r="B3801" t="str">
        <f>"1578728110359915"</f>
        <v>1578728110359915</v>
      </c>
      <c r="C3801" t="s">
        <v>37</v>
      </c>
      <c r="D3801">
        <v>4.7976449999999904</v>
      </c>
      <c r="E3801">
        <v>0.50261140000000004</v>
      </c>
      <c r="F3801" t="s">
        <v>58</v>
      </c>
      <c r="G3801">
        <v>0</v>
      </c>
      <c r="H3801">
        <v>0</v>
      </c>
      <c r="I3801">
        <v>0</v>
      </c>
      <c r="J3801">
        <v>-292.22230000000002</v>
      </c>
      <c r="K3801">
        <v>1.1045499999999999</v>
      </c>
      <c r="L3801">
        <v>141.30099999999999</v>
      </c>
      <c r="M3801">
        <v>-0.99970289999999995</v>
      </c>
      <c r="N3801">
        <v>0</v>
      </c>
      <c r="O3801">
        <v>-1.9293769999999998E-2</v>
      </c>
      <c r="P3801">
        <v>-0.99344089999999996</v>
      </c>
      <c r="Q3801">
        <v>7.5753899999999999E-2</v>
      </c>
      <c r="R3801">
        <v>-8.5651089999999999E-2</v>
      </c>
      <c r="S3801">
        <v>-2.9995729999999998</v>
      </c>
      <c r="T3801">
        <v>-1.2616870000000001E-2</v>
      </c>
      <c r="U3801">
        <v>-0.23864749999999901</v>
      </c>
      <c r="V3801">
        <v>-6.6432249999999998E-2</v>
      </c>
      <c r="W3801">
        <v>9.0586109999999997E-2</v>
      </c>
      <c r="X3801">
        <v>0.99367039999999995</v>
      </c>
      <c r="Y3801">
        <v>-6.0059630000000003E-2</v>
      </c>
      <c r="Z3801" s="1">
        <v>-4.5097099999999999E-5</v>
      </c>
      <c r="AA3801">
        <v>0.99819480000000005</v>
      </c>
      <c r="AB3801">
        <v>51</v>
      </c>
      <c r="AC3801">
        <v>-2.9995729999999998</v>
      </c>
      <c r="AD3801">
        <v>-1.2616870000000001E-2</v>
      </c>
      <c r="AE3801">
        <v>-0.23864749999999901</v>
      </c>
      <c r="AF3801">
        <v>-0.18072039799340001</v>
      </c>
      <c r="AG3801">
        <v>-1.2616870000000001E-2</v>
      </c>
      <c r="AH3801">
        <v>3.0035666443268498</v>
      </c>
      <c r="AI3801">
        <v>90.2402424415138</v>
      </c>
      <c r="AJ3801">
        <v>93.443255644203802</v>
      </c>
      <c r="AK3801">
        <v>3.0090250305659398</v>
      </c>
    </row>
    <row r="3802" spans="1:37" x14ac:dyDescent="0.2">
      <c r="A3802" t="str">
        <f>"20200111153510379"</f>
        <v>20200111153510379</v>
      </c>
      <c r="B3802" t="str">
        <f>"1578728110369675"</f>
        <v>1578728110369675</v>
      </c>
      <c r="C3802" t="s">
        <v>37</v>
      </c>
      <c r="D3802">
        <v>4.8215890000000003</v>
      </c>
      <c r="E3802">
        <v>0.50257540000000001</v>
      </c>
      <c r="F3802" t="s">
        <v>58</v>
      </c>
      <c r="G3802">
        <v>0</v>
      </c>
      <c r="H3802">
        <v>0</v>
      </c>
      <c r="I3802">
        <v>0</v>
      </c>
      <c r="J3802">
        <v>-292.59879999999998</v>
      </c>
      <c r="K3802">
        <v>1.1045700000000001</v>
      </c>
      <c r="L3802">
        <v>141.2938</v>
      </c>
      <c r="M3802">
        <v>-0.9997045</v>
      </c>
      <c r="N3802">
        <v>0</v>
      </c>
      <c r="O3802">
        <v>-1.9210250000000002E-2</v>
      </c>
      <c r="P3802">
        <v>-0.99324230000000002</v>
      </c>
      <c r="Q3802">
        <v>8.0663940000000003E-2</v>
      </c>
      <c r="R3802">
        <v>-8.3446790000000007E-2</v>
      </c>
      <c r="S3802">
        <v>-3.0000309999999999</v>
      </c>
      <c r="T3802">
        <v>-5.7258609999999996E-3</v>
      </c>
      <c r="U3802">
        <v>-0.23457339999999999</v>
      </c>
      <c r="V3802">
        <v>-6.4312400000000006E-2</v>
      </c>
      <c r="W3802">
        <v>9.5504720000000001E-2</v>
      </c>
      <c r="X3802">
        <v>0.99334929999999999</v>
      </c>
      <c r="Y3802">
        <v>-5.8784019999999999E-2</v>
      </c>
      <c r="Z3802" s="1">
        <v>-1.9407760000000001E-5</v>
      </c>
      <c r="AA3802">
        <v>0.99827080000000001</v>
      </c>
      <c r="AB3802">
        <v>51</v>
      </c>
      <c r="AC3802">
        <v>-3.0000309999999999</v>
      </c>
      <c r="AD3802">
        <v>-5.7258609999999996E-3</v>
      </c>
      <c r="AE3802">
        <v>-0.23457339999999999</v>
      </c>
      <c r="AF3802">
        <v>-0.176891723021495</v>
      </c>
      <c r="AG3802">
        <v>-5.7258609999999996E-3</v>
      </c>
      <c r="AH3802">
        <v>3.0039731071803502</v>
      </c>
      <c r="AI3802">
        <v>90.109022265388006</v>
      </c>
      <c r="AJ3802">
        <v>93.370023097242196</v>
      </c>
      <c r="AK3802">
        <v>3.0091822636424799</v>
      </c>
    </row>
    <row r="3803" spans="1:37" x14ac:dyDescent="0.2">
      <c r="A3803" t="str">
        <f>"20200111153510401"</f>
        <v>20200111153510401</v>
      </c>
      <c r="B3803" t="str">
        <f>"1578728110389197"</f>
        <v>1578728110389197</v>
      </c>
      <c r="C3803" t="s">
        <v>37</v>
      </c>
      <c r="D3803">
        <v>4.7929740000000001</v>
      </c>
      <c r="E3803">
        <v>0.50272070000000002</v>
      </c>
      <c r="F3803" t="s">
        <v>58</v>
      </c>
      <c r="G3803">
        <v>0</v>
      </c>
      <c r="H3803">
        <v>0</v>
      </c>
      <c r="I3803">
        <v>0</v>
      </c>
      <c r="J3803">
        <v>-293.10270000000003</v>
      </c>
      <c r="K3803">
        <v>1.1045860000000001</v>
      </c>
      <c r="L3803">
        <v>141.2842</v>
      </c>
      <c r="M3803">
        <v>-0.9997064</v>
      </c>
      <c r="N3803">
        <v>0</v>
      </c>
      <c r="O3803">
        <v>-1.909539E-2</v>
      </c>
      <c r="P3803">
        <v>-0.99306209999999995</v>
      </c>
      <c r="Q3803">
        <v>8.4309770000000006E-2</v>
      </c>
      <c r="R3803">
        <v>-8.1972610000000001E-2</v>
      </c>
      <c r="S3803">
        <v>-3.0007630000000001</v>
      </c>
      <c r="T3803">
        <v>5.5048469999999898E-3</v>
      </c>
      <c r="U3803">
        <v>-0.2283936</v>
      </c>
      <c r="V3803">
        <v>-6.2953960000000003E-2</v>
      </c>
      <c r="W3803">
        <v>9.9162730000000004E-2</v>
      </c>
      <c r="X3803">
        <v>0.99307780000000001</v>
      </c>
      <c r="Y3803">
        <v>-5.6835990000000003E-2</v>
      </c>
      <c r="Z3803" s="1">
        <v>1.70814899999999E-5</v>
      </c>
      <c r="AA3803">
        <v>0.99838349999999898</v>
      </c>
      <c r="AB3803">
        <v>51</v>
      </c>
      <c r="AC3803">
        <v>-3.0007630000000001</v>
      </c>
      <c r="AD3803">
        <v>5.5048469999999898E-3</v>
      </c>
      <c r="AE3803">
        <v>-0.2283936</v>
      </c>
      <c r="AF3803">
        <v>-0.171044259627401</v>
      </c>
      <c r="AG3803">
        <v>5.5048469999999898E-3</v>
      </c>
      <c r="AH3803">
        <v>3.0045674353493301</v>
      </c>
      <c r="AI3803">
        <v>89.895194795271806</v>
      </c>
      <c r="AJ3803">
        <v>93.258222082781899</v>
      </c>
      <c r="AK3803">
        <v>3.0094371426653201</v>
      </c>
    </row>
    <row r="3804" spans="1:37" x14ac:dyDescent="0.2">
      <c r="A3804" t="str">
        <f>"20200111153510425"</f>
        <v>20200111153510425</v>
      </c>
      <c r="B3804" t="str">
        <f>"1578728110419451"</f>
        <v>1578728110419451</v>
      </c>
      <c r="C3804" t="s">
        <v>37</v>
      </c>
      <c r="D3804">
        <v>4.8439239999999897</v>
      </c>
      <c r="E3804">
        <v>0.50325690000000001</v>
      </c>
      <c r="F3804" t="s">
        <v>58</v>
      </c>
      <c r="G3804">
        <v>0</v>
      </c>
      <c r="H3804">
        <v>0</v>
      </c>
      <c r="I3804">
        <v>0</v>
      </c>
      <c r="J3804">
        <v>-293.62569999999999</v>
      </c>
      <c r="K3804">
        <v>1.1046009999999999</v>
      </c>
      <c r="L3804">
        <v>141.27440000000001</v>
      </c>
      <c r="M3804">
        <v>-0.999708499999999</v>
      </c>
      <c r="N3804">
        <v>0</v>
      </c>
      <c r="O3804">
        <v>-1.897443E-2</v>
      </c>
      <c r="P3804">
        <v>-0.99291739999999995</v>
      </c>
      <c r="Q3804">
        <v>8.8865470000000002E-2</v>
      </c>
      <c r="R3804">
        <v>-7.8856419999999997E-2</v>
      </c>
      <c r="S3804">
        <v>-3.001709</v>
      </c>
      <c r="T3804">
        <v>1.004303E-2</v>
      </c>
      <c r="U3804">
        <v>-0.22286990000000001</v>
      </c>
      <c r="V3804">
        <v>-5.9958450000000003E-2</v>
      </c>
      <c r="W3804">
        <v>0.10372719999999901</v>
      </c>
      <c r="X3804">
        <v>0.99279689999999998</v>
      </c>
      <c r="Y3804">
        <v>-5.5105870000000001E-2</v>
      </c>
      <c r="Z3804" s="1">
        <v>2.86690799999999E-5</v>
      </c>
      <c r="AA3804">
        <v>0.99848049999999999</v>
      </c>
      <c r="AB3804">
        <v>51</v>
      </c>
      <c r="AC3804">
        <v>-3.001709</v>
      </c>
      <c r="AD3804">
        <v>1.004303E-2</v>
      </c>
      <c r="AE3804">
        <v>-0.22286990000000001</v>
      </c>
      <c r="AF3804">
        <v>-0.165865855397546</v>
      </c>
      <c r="AG3804">
        <v>1.004303E-2</v>
      </c>
      <c r="AH3804">
        <v>3.0053643222553998</v>
      </c>
      <c r="AI3804">
        <v>89.808826256451795</v>
      </c>
      <c r="AJ3804">
        <v>93.158945522292498</v>
      </c>
      <c r="AK3804">
        <v>3.0099546597787801</v>
      </c>
    </row>
    <row r="3805" spans="1:37" x14ac:dyDescent="0.2">
      <c r="A3805" t="str">
        <f>"20200111153510447"</f>
        <v>20200111153510447</v>
      </c>
      <c r="B3805" t="str">
        <f>"1578728110439949"</f>
        <v>1578728110439949</v>
      </c>
      <c r="C3805" t="s">
        <v>37</v>
      </c>
      <c r="D3805">
        <v>4.8105909999999996</v>
      </c>
      <c r="E3805">
        <v>0.50360660000000002</v>
      </c>
      <c r="F3805" t="s">
        <v>58</v>
      </c>
      <c r="G3805">
        <v>0</v>
      </c>
      <c r="H3805">
        <v>0</v>
      </c>
      <c r="I3805">
        <v>0</v>
      </c>
      <c r="J3805">
        <v>-294.14210000000003</v>
      </c>
      <c r="K3805">
        <v>1.1046240000000001</v>
      </c>
      <c r="L3805">
        <v>141.2646</v>
      </c>
      <c r="M3805">
        <v>-0.99971069999999995</v>
      </c>
      <c r="N3805">
        <v>0</v>
      </c>
      <c r="O3805">
        <v>-1.8853709999999999E-2</v>
      </c>
      <c r="P3805">
        <v>-0.99286849999999904</v>
      </c>
      <c r="Q3805">
        <v>9.2319670000000006E-2</v>
      </c>
      <c r="R3805">
        <v>-7.5431349999999994E-2</v>
      </c>
      <c r="S3805">
        <v>-3.0033569999999998</v>
      </c>
      <c r="T3805">
        <v>1.5347599999999999E-2</v>
      </c>
      <c r="U3805">
        <v>-0.20977779999999999</v>
      </c>
      <c r="V3805">
        <v>-5.665274E-2</v>
      </c>
      <c r="W3805">
        <v>0.1071887</v>
      </c>
      <c r="X3805">
        <v>0.99262329999999999</v>
      </c>
      <c r="Y3805">
        <v>-5.0855249999999998E-2</v>
      </c>
      <c r="Z3805" s="1">
        <v>3.3561939999999997E-5</v>
      </c>
      <c r="AA3805">
        <v>0.99870599999999998</v>
      </c>
      <c r="AB3805">
        <v>51</v>
      </c>
      <c r="AC3805">
        <v>-3.0033569999999998</v>
      </c>
      <c r="AD3805">
        <v>1.5347599999999999E-2</v>
      </c>
      <c r="AE3805">
        <v>-0.20977779999999999</v>
      </c>
      <c r="AF3805">
        <v>-0.153105787462678</v>
      </c>
      <c r="AG3805">
        <v>1.5347599999999999E-2</v>
      </c>
      <c r="AH3805">
        <v>3.0067004395813401</v>
      </c>
      <c r="AI3805">
        <v>89.707916619460406</v>
      </c>
      <c r="AJ3805">
        <v>92.915070915829702</v>
      </c>
      <c r="AK3805">
        <v>3.0106352260542799</v>
      </c>
    </row>
    <row r="3806" spans="1:37" x14ac:dyDescent="0.2">
      <c r="A3806" t="str">
        <f>"20200111153510469"</f>
        <v>20200111153510469</v>
      </c>
      <c r="B3806" t="str">
        <f>"1578728110459466"</f>
        <v>1578728110459466</v>
      </c>
      <c r="C3806" t="s">
        <v>37</v>
      </c>
      <c r="D3806">
        <v>4.8467139999999898</v>
      </c>
      <c r="E3806">
        <v>0.50380270000000005</v>
      </c>
      <c r="F3806" t="s">
        <v>58</v>
      </c>
      <c r="G3806">
        <v>0</v>
      </c>
      <c r="H3806">
        <v>0</v>
      </c>
      <c r="I3806">
        <v>0</v>
      </c>
      <c r="J3806">
        <v>-294.62</v>
      </c>
      <c r="K3806">
        <v>1.104633</v>
      </c>
      <c r="L3806">
        <v>141.25569999999999</v>
      </c>
      <c r="M3806">
        <v>-0.99971270000000001</v>
      </c>
      <c r="N3806">
        <v>0</v>
      </c>
      <c r="O3806">
        <v>-1.8740719999999999E-2</v>
      </c>
      <c r="P3806">
        <v>-0.99284789999999901</v>
      </c>
      <c r="Q3806">
        <v>9.4763730000000004E-2</v>
      </c>
      <c r="R3806">
        <v>-7.2616470000000002E-2</v>
      </c>
      <c r="S3806">
        <v>-3.0048219999999999</v>
      </c>
      <c r="T3806">
        <v>1.8547299999999999E-2</v>
      </c>
      <c r="U3806">
        <v>-0.1972961</v>
      </c>
      <c r="V3806">
        <v>-5.3949579999999997E-2</v>
      </c>
      <c r="W3806">
        <v>0.1096394</v>
      </c>
      <c r="X3806">
        <v>0.99250629999999995</v>
      </c>
      <c r="Y3806">
        <v>-4.6804180000000001E-2</v>
      </c>
      <c r="Z3806" s="1">
        <v>2.875105E-5</v>
      </c>
      <c r="AA3806">
        <v>0.99890409999999996</v>
      </c>
      <c r="AB3806">
        <v>51</v>
      </c>
      <c r="AC3806">
        <v>-3.0048219999999999</v>
      </c>
      <c r="AD3806">
        <v>1.8547299999999999E-2</v>
      </c>
      <c r="AE3806">
        <v>-0.1972961</v>
      </c>
      <c r="AF3806">
        <v>-0.14093727975746301</v>
      </c>
      <c r="AG3806">
        <v>1.8547299999999999E-2</v>
      </c>
      <c r="AH3806">
        <v>3.0078779430701301</v>
      </c>
      <c r="AI3806">
        <v>89.647092079143604</v>
      </c>
      <c r="AJ3806">
        <v>92.682691792750305</v>
      </c>
      <c r="AK3806">
        <v>3.0112351352178601</v>
      </c>
    </row>
    <row r="3807" spans="1:37" x14ac:dyDescent="0.2">
      <c r="A3807" t="str">
        <f>"20200111153510483"</f>
        <v>20200111153510483</v>
      </c>
      <c r="B3807" t="str">
        <f>"1578728110479964"</f>
        <v>1578728110479964</v>
      </c>
      <c r="C3807" t="s">
        <v>37</v>
      </c>
      <c r="D3807">
        <v>4.7985100000000003</v>
      </c>
      <c r="E3807">
        <v>0.50377850000000002</v>
      </c>
      <c r="F3807" t="s">
        <v>42</v>
      </c>
      <c r="G3807">
        <v>-500.70839999999998</v>
      </c>
      <c r="H3807">
        <v>2.3663069999999999</v>
      </c>
      <c r="I3807">
        <v>128.4161</v>
      </c>
      <c r="J3807">
        <v>-294.9538</v>
      </c>
      <c r="K3807">
        <v>1.1046400000000001</v>
      </c>
      <c r="L3807">
        <v>141.24950000000001</v>
      </c>
      <c r="M3807">
        <v>-0.99971399999999999</v>
      </c>
      <c r="N3807">
        <v>0</v>
      </c>
      <c r="O3807">
        <v>-1.8661469999999999E-2</v>
      </c>
      <c r="P3807">
        <v>-0.99278519999999904</v>
      </c>
      <c r="Q3807">
        <v>9.6005750000000001E-2</v>
      </c>
      <c r="R3807">
        <v>-7.183784E-2</v>
      </c>
      <c r="S3807">
        <v>-3.0061650000000002</v>
      </c>
      <c r="T3807">
        <v>1.840425E-2</v>
      </c>
      <c r="U3807">
        <v>-0.18728639999999999</v>
      </c>
      <c r="V3807">
        <v>-5.3250249999999999E-2</v>
      </c>
      <c r="W3807">
        <v>0.11088439999999999</v>
      </c>
      <c r="X3807">
        <v>0.99240569999999895</v>
      </c>
      <c r="Y3807">
        <v>-4.354148E-2</v>
      </c>
      <c r="Z3807" s="1">
        <v>1.902566E-5</v>
      </c>
      <c r="AA3807">
        <v>0.99905159999999904</v>
      </c>
      <c r="AB3807">
        <v>51</v>
      </c>
      <c r="AC3807">
        <v>-205.75460000000001</v>
      </c>
      <c r="AD3807">
        <v>1.2616670000000001</v>
      </c>
      <c r="AE3807">
        <v>-12.833399999999999</v>
      </c>
      <c r="AF3807">
        <v>-8.9907151698762906</v>
      </c>
      <c r="AG3807">
        <v>1.2616670000000001</v>
      </c>
      <c r="AH3807">
        <v>205.95056491563199</v>
      </c>
      <c r="AI3807">
        <v>89.649340559898306</v>
      </c>
      <c r="AJ3807">
        <v>92.499644388640505</v>
      </c>
      <c r="AK3807">
        <v>206.150575919527</v>
      </c>
    </row>
    <row r="3808" spans="1:37" x14ac:dyDescent="0.2">
      <c r="A3808" t="str">
        <f>"20200111153510503"</f>
        <v>20200111153510503</v>
      </c>
      <c r="B3808" t="str">
        <f>"1578728110499483"</f>
        <v>1578728110499483</v>
      </c>
      <c r="C3808" t="s">
        <v>37</v>
      </c>
      <c r="D3808">
        <v>4.8200149999999997</v>
      </c>
      <c r="E3808">
        <v>0.50373290000000004</v>
      </c>
      <c r="F3808" t="s">
        <v>58</v>
      </c>
      <c r="G3808">
        <v>0</v>
      </c>
      <c r="H3808">
        <v>0</v>
      </c>
      <c r="I3808">
        <v>0</v>
      </c>
      <c r="J3808">
        <v>-295.39940000000001</v>
      </c>
      <c r="K3808">
        <v>1.104641</v>
      </c>
      <c r="L3808">
        <v>141.2413</v>
      </c>
      <c r="M3808">
        <v>-0.99971599999999905</v>
      </c>
      <c r="N3808">
        <v>0</v>
      </c>
      <c r="O3808">
        <v>-1.85548E-2</v>
      </c>
      <c r="P3808">
        <v>-0.99261900000000003</v>
      </c>
      <c r="Q3808">
        <v>9.8045099999999996E-2</v>
      </c>
      <c r="R3808">
        <v>-7.1380319999999997E-2</v>
      </c>
      <c r="S3808">
        <v>-3.0068969999999999</v>
      </c>
      <c r="T3808">
        <v>1.5668390000000001E-2</v>
      </c>
      <c r="U3808">
        <v>-0.184951799999999</v>
      </c>
      <c r="V3808">
        <v>-5.2900599999999999E-2</v>
      </c>
      <c r="W3808">
        <v>0.1129267</v>
      </c>
      <c r="X3808">
        <v>0.99219409999999897</v>
      </c>
      <c r="Y3808">
        <v>-4.2860389999999998E-2</v>
      </c>
      <c r="Z3808" s="1">
        <v>1.4976059999999999E-5</v>
      </c>
      <c r="AA3808">
        <v>0.99908109999999895</v>
      </c>
      <c r="AB3808">
        <v>50</v>
      </c>
      <c r="AC3808">
        <v>-3.0068969999999999</v>
      </c>
      <c r="AD3808">
        <v>1.5668390000000001E-2</v>
      </c>
      <c r="AE3808">
        <v>-0.184951799999999</v>
      </c>
      <c r="AF3808">
        <v>-0.12911784763457801</v>
      </c>
      <c r="AG3808">
        <v>1.5668390000000001E-2</v>
      </c>
      <c r="AH3808">
        <v>3.00972994492624</v>
      </c>
      <c r="AI3808">
        <v>89.701999985837404</v>
      </c>
      <c r="AJ3808">
        <v>92.456490929306298</v>
      </c>
      <c r="AK3808">
        <v>3.0125390052925001</v>
      </c>
    </row>
    <row r="3809" spans="1:37" x14ac:dyDescent="0.2">
      <c r="A3809" t="str">
        <f>"20200111153510526"</f>
        <v>20200111153510526</v>
      </c>
      <c r="B3809" t="str">
        <f>"1578728110519979"</f>
        <v>1578728110519979</v>
      </c>
      <c r="C3809" t="s">
        <v>37</v>
      </c>
      <c r="D3809">
        <v>4.8245990000000001</v>
      </c>
      <c r="E3809">
        <v>0.50363210000000003</v>
      </c>
      <c r="F3809" t="s">
        <v>58</v>
      </c>
      <c r="G3809">
        <v>0</v>
      </c>
      <c r="H3809">
        <v>0</v>
      </c>
      <c r="I3809">
        <v>0</v>
      </c>
      <c r="J3809">
        <v>-295.90129999999999</v>
      </c>
      <c r="K3809">
        <v>1.104635</v>
      </c>
      <c r="L3809">
        <v>141.2321</v>
      </c>
      <c r="M3809">
        <v>-0.999718199999999</v>
      </c>
      <c r="N3809">
        <v>0</v>
      </c>
      <c r="O3809">
        <v>-1.8434530000000001E-2</v>
      </c>
      <c r="P3809">
        <v>-0.99243119999999996</v>
      </c>
      <c r="Q3809">
        <v>9.9895629999999999E-2</v>
      </c>
      <c r="R3809">
        <v>-7.1424089999999996E-2</v>
      </c>
      <c r="S3809">
        <v>-3.0075069999999999</v>
      </c>
      <c r="T3809">
        <v>1.603889E-2</v>
      </c>
      <c r="U3809">
        <v>-0.18360899999999999</v>
      </c>
      <c r="V3809">
        <v>-5.3066210000000003E-2</v>
      </c>
      <c r="W3809">
        <v>0.11477899999999901</v>
      </c>
      <c r="X3809">
        <v>0.99197269999999904</v>
      </c>
      <c r="Y3809">
        <v>-4.2523739999999997E-2</v>
      </c>
      <c r="Z3809" s="1">
        <v>1.507092E-5</v>
      </c>
      <c r="AA3809">
        <v>0.99909539999999997</v>
      </c>
      <c r="AB3809">
        <v>50</v>
      </c>
      <c r="AC3809">
        <v>-3.0075069999999999</v>
      </c>
      <c r="AD3809">
        <v>1.603889E-2</v>
      </c>
      <c r="AE3809">
        <v>-0.18360899999999999</v>
      </c>
      <c r="AF3809">
        <v>-0.12812598192133001</v>
      </c>
      <c r="AG3809">
        <v>1.603889E-2</v>
      </c>
      <c r="AH3809">
        <v>3.01029564703668</v>
      </c>
      <c r="AI3809">
        <v>89.695006442145797</v>
      </c>
      <c r="AJ3809">
        <v>92.437185816092295</v>
      </c>
      <c r="AK3809">
        <v>3.0130637888706802</v>
      </c>
    </row>
    <row r="3810" spans="1:37" x14ac:dyDescent="0.2">
      <c r="A3810" t="str">
        <f>"20200111153510548"</f>
        <v>20200111153510548</v>
      </c>
      <c r="B3810" t="str">
        <f>"1578728110539499"</f>
        <v>1578728110539499</v>
      </c>
      <c r="C3810" t="s">
        <v>37</v>
      </c>
      <c r="D3810">
        <v>4.7909860000000002</v>
      </c>
      <c r="E3810">
        <v>0.50345070000000003</v>
      </c>
      <c r="F3810" t="s">
        <v>58</v>
      </c>
      <c r="G3810">
        <v>0</v>
      </c>
      <c r="H3810">
        <v>0</v>
      </c>
      <c r="I3810">
        <v>0</v>
      </c>
      <c r="J3810">
        <v>-296.3965</v>
      </c>
      <c r="K3810">
        <v>1.104625</v>
      </c>
      <c r="L3810">
        <v>141.22299999999899</v>
      </c>
      <c r="M3810">
        <v>-0.99972019999999995</v>
      </c>
      <c r="N3810">
        <v>0</v>
      </c>
      <c r="O3810">
        <v>-1.8315809999999998E-2</v>
      </c>
      <c r="P3810">
        <v>-0.99216199999999999</v>
      </c>
      <c r="Q3810">
        <v>0.10147869999999901</v>
      </c>
      <c r="R3810">
        <v>-7.2913640000000002E-2</v>
      </c>
      <c r="S3810">
        <v>-3.0079959999999999</v>
      </c>
      <c r="T3810">
        <v>1.5875819999999999E-2</v>
      </c>
      <c r="U3810">
        <v>-0.18450929999999999</v>
      </c>
      <c r="V3810">
        <v>-5.4677940000000001E-2</v>
      </c>
      <c r="W3810">
        <v>0.1163633</v>
      </c>
      <c r="X3810">
        <v>0.99170049999999899</v>
      </c>
      <c r="Y3810">
        <v>-4.2930419999999997E-2</v>
      </c>
      <c r="Z3810" s="1">
        <v>1.6613180000000001E-5</v>
      </c>
      <c r="AA3810">
        <v>0.99907800000000002</v>
      </c>
      <c r="AB3810">
        <v>50</v>
      </c>
      <c r="AC3810">
        <v>-3.0079959999999999</v>
      </c>
      <c r="AD3810">
        <v>1.5875819999999999E-2</v>
      </c>
      <c r="AE3810">
        <v>-0.18450929999999999</v>
      </c>
      <c r="AF3810">
        <v>-0.12937469533270099</v>
      </c>
      <c r="AG3810">
        <v>1.5875819999999999E-2</v>
      </c>
      <c r="AH3810">
        <v>3.0107875620294999</v>
      </c>
      <c r="AI3810">
        <v>89.698161881424895</v>
      </c>
      <c r="AJ3810">
        <v>92.460507942712198</v>
      </c>
      <c r="AK3810">
        <v>3.0136077377662498</v>
      </c>
    </row>
    <row r="3811" spans="1:37" x14ac:dyDescent="0.2">
      <c r="A3811" t="str">
        <f>"20200111153510569"</f>
        <v>20200111153510569</v>
      </c>
      <c r="B3811" t="str">
        <f>"1578728110559997"</f>
        <v>1578728110559997</v>
      </c>
      <c r="C3811" t="s">
        <v>37</v>
      </c>
      <c r="D3811">
        <v>4.7909139999999999</v>
      </c>
      <c r="E3811">
        <v>0.50349709999999903</v>
      </c>
      <c r="F3811" t="s">
        <v>58</v>
      </c>
      <c r="G3811">
        <v>0</v>
      </c>
      <c r="H3811">
        <v>0</v>
      </c>
      <c r="I3811">
        <v>0</v>
      </c>
      <c r="J3811">
        <v>-296.8879</v>
      </c>
      <c r="K3811">
        <v>1.1046180000000001</v>
      </c>
      <c r="L3811">
        <v>141.2141</v>
      </c>
      <c r="M3811">
        <v>-0.99972229999999995</v>
      </c>
      <c r="N3811">
        <v>0</v>
      </c>
      <c r="O3811">
        <v>-1.8197930000000001E-2</v>
      </c>
      <c r="P3811">
        <v>-0.99184629999999996</v>
      </c>
      <c r="Q3811">
        <v>0.10367850000000001</v>
      </c>
      <c r="R3811">
        <v>-7.4106829999999999E-2</v>
      </c>
      <c r="S3811">
        <v>-3.008057</v>
      </c>
      <c r="T3811">
        <v>1.596498E-2</v>
      </c>
      <c r="U3811">
        <v>-0.19041440000000001</v>
      </c>
      <c r="V3811">
        <v>-5.5992479999999997E-2</v>
      </c>
      <c r="W3811">
        <v>0.118561999999999</v>
      </c>
      <c r="X3811">
        <v>0.99136669999999905</v>
      </c>
      <c r="Y3811">
        <v>-4.5000579999999998E-2</v>
      </c>
      <c r="Z3811" s="1">
        <v>2.281848E-5</v>
      </c>
      <c r="AA3811">
        <v>0.99898699999999996</v>
      </c>
      <c r="AB3811">
        <v>50</v>
      </c>
      <c r="AC3811">
        <v>-3.008057</v>
      </c>
      <c r="AD3811">
        <v>1.596498E-2</v>
      </c>
      <c r="AE3811">
        <v>-0.19041440000000001</v>
      </c>
      <c r="AF3811">
        <v>-0.135632508724775</v>
      </c>
      <c r="AG3811">
        <v>1.596498E-2</v>
      </c>
      <c r="AH3811">
        <v>3.0109398270029599</v>
      </c>
      <c r="AI3811">
        <v>89.696509790167497</v>
      </c>
      <c r="AJ3811">
        <v>92.579234640657205</v>
      </c>
      <c r="AK3811">
        <v>3.0140354509929099</v>
      </c>
    </row>
    <row r="3812" spans="1:37" x14ac:dyDescent="0.2">
      <c r="A3812" t="str">
        <f>"20200111153510585"</f>
        <v>20200111153510585</v>
      </c>
      <c r="B3812" t="str">
        <f>"1578728110579516"</f>
        <v>1578728110579516</v>
      </c>
      <c r="C3812" t="s">
        <v>37</v>
      </c>
      <c r="D3812">
        <v>4.7985699999999998</v>
      </c>
      <c r="E3812">
        <v>0.5035366</v>
      </c>
      <c r="F3812" t="s">
        <v>58</v>
      </c>
      <c r="G3812">
        <v>0</v>
      </c>
      <c r="H3812">
        <v>0</v>
      </c>
      <c r="I3812">
        <v>0</v>
      </c>
      <c r="J3812">
        <v>-297.21690000000001</v>
      </c>
      <c r="K3812">
        <v>1.1046129999999901</v>
      </c>
      <c r="L3812">
        <v>141.2081</v>
      </c>
      <c r="M3812">
        <v>-0.99972369999999899</v>
      </c>
      <c r="N3812">
        <v>0</v>
      </c>
      <c r="O3812">
        <v>-1.8118780000000001E-2</v>
      </c>
      <c r="P3812">
        <v>-0.99166089999999996</v>
      </c>
      <c r="Q3812">
        <v>0.10511479999999999</v>
      </c>
      <c r="R3812">
        <v>-7.4563130000000005E-2</v>
      </c>
      <c r="S3812">
        <v>-3.0083310000000001</v>
      </c>
      <c r="T3812">
        <v>1.80552E-2</v>
      </c>
      <c r="U3812">
        <v>-0.19342039999999999</v>
      </c>
      <c r="V3812">
        <v>-5.6529599999999902E-2</v>
      </c>
      <c r="W3812">
        <v>0.119997399999999</v>
      </c>
      <c r="X3812">
        <v>0.99116349999999998</v>
      </c>
      <c r="Y3812">
        <v>-4.606793E-2</v>
      </c>
      <c r="Z3812" s="1">
        <v>2.9477009999999902E-5</v>
      </c>
      <c r="AA3812">
        <v>0.99893829999999995</v>
      </c>
      <c r="AB3812">
        <v>50</v>
      </c>
      <c r="AC3812">
        <v>-3.0083310000000001</v>
      </c>
      <c r="AD3812">
        <v>1.80552E-2</v>
      </c>
      <c r="AE3812">
        <v>-0.19342039999999999</v>
      </c>
      <c r="AF3812">
        <v>-0.13887025987405599</v>
      </c>
      <c r="AG3812">
        <v>1.80552E-2</v>
      </c>
      <c r="AH3812">
        <v>3.0112339600579299</v>
      </c>
      <c r="AI3812">
        <v>89.656826375557401</v>
      </c>
      <c r="AJ3812">
        <v>92.640461116898194</v>
      </c>
      <c r="AK3812">
        <v>3.01448849749517</v>
      </c>
    </row>
    <row r="3813" spans="1:37" x14ac:dyDescent="0.2">
      <c r="A3813" t="str">
        <f>"20200111153510599"</f>
        <v>20200111153510599</v>
      </c>
      <c r="B3813" t="str">
        <f>"1578728110590251"</f>
        <v>1578728110590251</v>
      </c>
      <c r="C3813" t="s">
        <v>37</v>
      </c>
      <c r="D3813">
        <v>4.7841559999999896</v>
      </c>
      <c r="E3813">
        <v>0.50359579999999904</v>
      </c>
      <c r="F3813" t="s">
        <v>58</v>
      </c>
      <c r="G3813">
        <v>0</v>
      </c>
      <c r="H3813">
        <v>0</v>
      </c>
      <c r="I3813">
        <v>0</v>
      </c>
      <c r="J3813">
        <v>-297.54509999999999</v>
      </c>
      <c r="K3813">
        <v>1.104608</v>
      </c>
      <c r="L3813">
        <v>141.2022</v>
      </c>
      <c r="M3813">
        <v>-0.99972519999999998</v>
      </c>
      <c r="N3813">
        <v>0</v>
      </c>
      <c r="O3813">
        <v>-1.803975E-2</v>
      </c>
      <c r="P3813">
        <v>-0.99147350000000001</v>
      </c>
      <c r="Q3813">
        <v>0.1064586</v>
      </c>
      <c r="R3813">
        <v>-7.5146669999999999E-2</v>
      </c>
      <c r="S3813">
        <v>-3.008759</v>
      </c>
      <c r="T3813">
        <v>1.795399E-2</v>
      </c>
      <c r="U3813">
        <v>-0.1942596</v>
      </c>
      <c r="V3813">
        <v>-5.7194620000000002E-2</v>
      </c>
      <c r="W3813">
        <v>0.1213398</v>
      </c>
      <c r="X3813">
        <v>0.9909618</v>
      </c>
      <c r="Y3813">
        <v>-4.64153E-2</v>
      </c>
      <c r="Z3813" s="1">
        <v>3.0813709999999898E-5</v>
      </c>
      <c r="AA3813">
        <v>0.99892219999999998</v>
      </c>
      <c r="AB3813">
        <v>50</v>
      </c>
      <c r="AC3813">
        <v>-3.008759</v>
      </c>
      <c r="AD3813">
        <v>1.795399E-2</v>
      </c>
      <c r="AE3813">
        <v>-0.1942596</v>
      </c>
      <c r="AF3813">
        <v>-0.13993967611920899</v>
      </c>
      <c r="AG3813">
        <v>1.795399E-2</v>
      </c>
      <c r="AH3813">
        <v>3.0116672694865598</v>
      </c>
      <c r="AI3813">
        <v>89.658804608315705</v>
      </c>
      <c r="AJ3813">
        <v>92.660383475594301</v>
      </c>
      <c r="AK3813">
        <v>3.01497018240743</v>
      </c>
    </row>
    <row r="3814" spans="1:37" x14ac:dyDescent="0.2">
      <c r="A3814" t="str">
        <f>"20200111153510614"</f>
        <v>20200111153510614</v>
      </c>
      <c r="B3814" t="str">
        <f>"1578728110609771"</f>
        <v>1578728110609771</v>
      </c>
      <c r="C3814" t="s">
        <v>37</v>
      </c>
      <c r="D3814">
        <v>4.8341059999999896</v>
      </c>
      <c r="E3814">
        <v>0.50363249999999904</v>
      </c>
      <c r="F3814" t="s">
        <v>58</v>
      </c>
      <c r="G3814">
        <v>0</v>
      </c>
      <c r="H3814">
        <v>0</v>
      </c>
      <c r="I3814">
        <v>0</v>
      </c>
      <c r="J3814">
        <v>-297.88889999999998</v>
      </c>
      <c r="K3814">
        <v>1.1046100000000001</v>
      </c>
      <c r="L3814">
        <v>141.1961</v>
      </c>
      <c r="M3814">
        <v>-0.99972669999999997</v>
      </c>
      <c r="N3814">
        <v>0</v>
      </c>
      <c r="O3814">
        <v>-1.7958579999999998E-2</v>
      </c>
      <c r="P3814">
        <v>-0.99112960000000006</v>
      </c>
      <c r="Q3814">
        <v>0.10868119999999901</v>
      </c>
      <c r="R3814">
        <v>-7.6491649999999994E-2</v>
      </c>
      <c r="S3814">
        <v>-3.0088810000000001</v>
      </c>
      <c r="T3814">
        <v>2.0073770000000001E-2</v>
      </c>
      <c r="U3814">
        <v>-0.1951447</v>
      </c>
      <c r="V3814">
        <v>-5.8624780000000001E-2</v>
      </c>
      <c r="W3814">
        <v>0.1235589</v>
      </c>
      <c r="X3814">
        <v>0.99060400000000004</v>
      </c>
      <c r="Y3814">
        <v>-4.678624E-2</v>
      </c>
      <c r="Z3814" s="1">
        <v>3.6226929999999999E-5</v>
      </c>
      <c r="AA3814">
        <v>0.99890489999999998</v>
      </c>
      <c r="AB3814">
        <v>50</v>
      </c>
      <c r="AC3814">
        <v>-3.0088810000000001</v>
      </c>
      <c r="AD3814">
        <v>2.0073770000000001E-2</v>
      </c>
      <c r="AE3814">
        <v>-0.1951447</v>
      </c>
      <c r="AF3814">
        <v>-0.141065686390977</v>
      </c>
      <c r="AG3814">
        <v>2.0073770000000001E-2</v>
      </c>
      <c r="AH3814">
        <v>3.0117670791937199</v>
      </c>
      <c r="AI3814">
        <v>89.618540953830106</v>
      </c>
      <c r="AJ3814">
        <v>92.6816701090724</v>
      </c>
      <c r="AK3814">
        <v>3.0151357222244601</v>
      </c>
    </row>
    <row r="3815" spans="1:37" x14ac:dyDescent="0.2">
      <c r="A3815" t="str">
        <f>"20200111153510630"</f>
        <v>20200111153510630</v>
      </c>
      <c r="B3815" t="str">
        <f>"1578728110619531"</f>
        <v>1578728110619531</v>
      </c>
      <c r="C3815" t="s">
        <v>37</v>
      </c>
      <c r="D3815">
        <v>4.7717599999999996</v>
      </c>
      <c r="E3815">
        <v>0.5036524</v>
      </c>
      <c r="F3815" t="s">
        <v>58</v>
      </c>
      <c r="G3815">
        <v>0</v>
      </c>
      <c r="H3815">
        <v>0</v>
      </c>
      <c r="I3815">
        <v>0</v>
      </c>
      <c r="J3815">
        <v>-298.23390000000001</v>
      </c>
      <c r="K3815">
        <v>1.104609</v>
      </c>
      <c r="L3815">
        <v>141.18989999999999</v>
      </c>
      <c r="M3815">
        <v>-0.99972809999999901</v>
      </c>
      <c r="N3815">
        <v>0</v>
      </c>
      <c r="O3815">
        <v>-1.7878979999999999E-2</v>
      </c>
      <c r="P3815">
        <v>-0.99093159999999902</v>
      </c>
      <c r="Q3815">
        <v>0.1100066</v>
      </c>
      <c r="R3815">
        <v>-7.7156630000000004E-2</v>
      </c>
      <c r="S3815">
        <v>-3.0090029999999999</v>
      </c>
      <c r="T3815">
        <v>2.3136139999999999E-2</v>
      </c>
      <c r="U3815">
        <v>-0.19836429999999999</v>
      </c>
      <c r="V3815">
        <v>-5.9372040000000001E-2</v>
      </c>
      <c r="W3815">
        <v>0.1248823</v>
      </c>
      <c r="X3815">
        <v>0.99039359999999999</v>
      </c>
      <c r="Y3815">
        <v>-4.7927150000000002E-2</v>
      </c>
      <c r="Z3815" s="1">
        <v>4.6743139999999999E-5</v>
      </c>
      <c r="AA3815">
        <v>0.99885079999999904</v>
      </c>
      <c r="AB3815">
        <v>50</v>
      </c>
      <c r="AC3815">
        <v>-3.0090029999999999</v>
      </c>
      <c r="AD3815">
        <v>2.3136139999999999E-2</v>
      </c>
      <c r="AE3815">
        <v>-0.19836429999999999</v>
      </c>
      <c r="AF3815">
        <v>-0.144520146228656</v>
      </c>
      <c r="AG3815">
        <v>2.3136139999999999E-2</v>
      </c>
      <c r="AH3815">
        <v>3.01189158327935</v>
      </c>
      <c r="AI3815">
        <v>89.560391281655399</v>
      </c>
      <c r="AJ3815">
        <v>92.747126874058907</v>
      </c>
      <c r="AK3815">
        <v>3.0154456160025598</v>
      </c>
    </row>
    <row r="3816" spans="1:37" x14ac:dyDescent="0.2">
      <c r="A3816" t="str">
        <f>"20200111153510644"</f>
        <v>20200111153510644</v>
      </c>
      <c r="B3816" t="str">
        <f>"1578728110640027"</f>
        <v>1578728110640027</v>
      </c>
      <c r="C3816" t="s">
        <v>37</v>
      </c>
      <c r="D3816">
        <v>4.7751910000000004</v>
      </c>
      <c r="E3816">
        <v>0.50371049999999995</v>
      </c>
      <c r="F3816" t="s">
        <v>58</v>
      </c>
      <c r="G3816">
        <v>0</v>
      </c>
      <c r="H3816">
        <v>0</v>
      </c>
      <c r="I3816">
        <v>0</v>
      </c>
      <c r="J3816">
        <v>-298.56790000000001</v>
      </c>
      <c r="K3816">
        <v>1.104606</v>
      </c>
      <c r="L3816">
        <v>141.184</v>
      </c>
      <c r="M3816">
        <v>-0.99972939999999999</v>
      </c>
      <c r="N3816">
        <v>0</v>
      </c>
      <c r="O3816">
        <v>-1.780344E-2</v>
      </c>
      <c r="P3816">
        <v>-0.99060559999999998</v>
      </c>
      <c r="Q3816">
        <v>0.1121958</v>
      </c>
      <c r="R3816">
        <v>-7.8185560000000001E-2</v>
      </c>
      <c r="S3816">
        <v>-3.009125</v>
      </c>
      <c r="T3816">
        <v>2.4896620000000001E-2</v>
      </c>
      <c r="U3816">
        <v>-0.20004269999999999</v>
      </c>
      <c r="V3816">
        <v>-6.0481409999999999E-2</v>
      </c>
      <c r="W3816">
        <v>0.1270667</v>
      </c>
      <c r="X3816">
        <v>0.9900485</v>
      </c>
      <c r="Y3816">
        <v>-4.8554519999999997E-2</v>
      </c>
      <c r="Z3816" s="1">
        <v>5.3513639999999998E-5</v>
      </c>
      <c r="AA3816">
        <v>0.9988205</v>
      </c>
      <c r="AB3816">
        <v>50</v>
      </c>
      <c r="AC3816">
        <v>-3.009125</v>
      </c>
      <c r="AD3816">
        <v>2.4896620000000001E-2</v>
      </c>
      <c r="AE3816">
        <v>-0.20004269999999999</v>
      </c>
      <c r="AF3816">
        <v>-0.146422226292</v>
      </c>
      <c r="AG3816">
        <v>2.4896620000000001E-2</v>
      </c>
      <c r="AH3816">
        <v>3.0120045355945102</v>
      </c>
      <c r="AI3816">
        <v>89.5269740411821</v>
      </c>
      <c r="AJ3816">
        <v>92.783122078164993</v>
      </c>
      <c r="AK3816">
        <v>3.0156642108301099</v>
      </c>
    </row>
    <row r="3817" spans="1:37" x14ac:dyDescent="0.2">
      <c r="A3817" t="str">
        <f>"20200111153510670"</f>
        <v>20200111153510670</v>
      </c>
      <c r="B3817" t="str">
        <f>"1578728110659548"</f>
        <v>1578728110659548</v>
      </c>
      <c r="C3817" t="s">
        <v>37</v>
      </c>
      <c r="D3817">
        <v>4.7553869999999998</v>
      </c>
      <c r="E3817">
        <v>0.503745</v>
      </c>
      <c r="F3817" t="s">
        <v>58</v>
      </c>
      <c r="G3817">
        <v>0</v>
      </c>
      <c r="H3817">
        <v>0</v>
      </c>
      <c r="I3817">
        <v>0</v>
      </c>
      <c r="J3817">
        <v>-299.14420000000001</v>
      </c>
      <c r="K3817">
        <v>1.1045929999999999</v>
      </c>
      <c r="L3817">
        <v>141.1738</v>
      </c>
      <c r="M3817">
        <v>-0.99973179999999995</v>
      </c>
      <c r="N3817">
        <v>0</v>
      </c>
      <c r="O3817">
        <v>-1.766597E-2</v>
      </c>
      <c r="P3817">
        <v>-0.99039560000000004</v>
      </c>
      <c r="Q3817">
        <v>0.11350929999999999</v>
      </c>
      <c r="R3817">
        <v>-7.8945290000000001E-2</v>
      </c>
      <c r="S3817">
        <v>-3.0093380000000001</v>
      </c>
      <c r="T3817">
        <v>2.7625319999999998E-2</v>
      </c>
      <c r="U3817">
        <v>-0.20237729999999901</v>
      </c>
      <c r="V3817">
        <v>-6.1380190000000001E-2</v>
      </c>
      <c r="W3817">
        <v>0.12837770000000001</v>
      </c>
      <c r="X3817">
        <v>0.98982409999999998</v>
      </c>
      <c r="Y3817">
        <v>-4.945828E-2</v>
      </c>
      <c r="Z3817" s="1">
        <v>6.4776599999999897E-5</v>
      </c>
      <c r="AA3817">
        <v>0.998776199999999</v>
      </c>
      <c r="AB3817">
        <v>50</v>
      </c>
      <c r="AC3817">
        <v>-3.0093380000000001</v>
      </c>
      <c r="AD3817">
        <v>2.7625319999999998E-2</v>
      </c>
      <c r="AE3817">
        <v>-0.20237729999999901</v>
      </c>
      <c r="AF3817">
        <v>-0.14916436086703</v>
      </c>
      <c r="AG3817">
        <v>2.7625319999999998E-2</v>
      </c>
      <c r="AH3817">
        <v>3.0121911690130201</v>
      </c>
      <c r="AI3817">
        <v>89.475188400937498</v>
      </c>
      <c r="AJ3817">
        <v>92.834983593608101</v>
      </c>
      <c r="AK3817">
        <v>3.01600875388948</v>
      </c>
    </row>
    <row r="3818" spans="1:37" x14ac:dyDescent="0.2">
      <c r="A3818" t="str">
        <f>"20200111153510692"</f>
        <v>20200111153510692</v>
      </c>
      <c r="B3818" t="str">
        <f>"1578728110680042"</f>
        <v>1578728110680042</v>
      </c>
      <c r="C3818" t="s">
        <v>37</v>
      </c>
      <c r="D3818">
        <v>4.7742779999999998</v>
      </c>
      <c r="E3818">
        <v>0.50376909999999997</v>
      </c>
      <c r="F3818" t="s">
        <v>58</v>
      </c>
      <c r="G3818">
        <v>0</v>
      </c>
      <c r="H3818">
        <v>0</v>
      </c>
      <c r="I3818">
        <v>0</v>
      </c>
      <c r="J3818">
        <v>-299.640999999999</v>
      </c>
      <c r="K3818">
        <v>1.1045590000000001</v>
      </c>
      <c r="L3818">
        <v>141.1651</v>
      </c>
      <c r="M3818">
        <v>-0.99973449999999997</v>
      </c>
      <c r="N3818">
        <v>0</v>
      </c>
      <c r="O3818">
        <v>-1.7515039999999999E-2</v>
      </c>
      <c r="P3818">
        <v>-0.99049069999999995</v>
      </c>
      <c r="Q3818">
        <v>0.1129078</v>
      </c>
      <c r="R3818">
        <v>-7.8615260000000006E-2</v>
      </c>
      <c r="S3818">
        <v>-3.00964399999999</v>
      </c>
      <c r="T3818">
        <v>2.749741E-2</v>
      </c>
      <c r="U3818">
        <v>-0.20452879999999901</v>
      </c>
      <c r="V3818">
        <v>-6.1194279999999997E-2</v>
      </c>
      <c r="W3818">
        <v>0.127779</v>
      </c>
      <c r="X3818">
        <v>0.98991299999999904</v>
      </c>
      <c r="Y3818">
        <v>-5.031298E-2</v>
      </c>
      <c r="Z3818" s="1">
        <v>6.9745659999999996E-5</v>
      </c>
      <c r="AA3818">
        <v>0.99873349999999905</v>
      </c>
      <c r="AB3818">
        <v>50</v>
      </c>
      <c r="AC3818">
        <v>-3.00964399999999</v>
      </c>
      <c r="AD3818">
        <v>2.749741E-2</v>
      </c>
      <c r="AE3818">
        <v>-0.20452879999999901</v>
      </c>
      <c r="AF3818">
        <v>-0.15176486394640301</v>
      </c>
      <c r="AG3818">
        <v>2.749741E-2</v>
      </c>
      <c r="AH3818">
        <v>3.0125146366746298</v>
      </c>
      <c r="AI3818">
        <v>89.477696647084898</v>
      </c>
      <c r="AJ3818">
        <v>92.884016231386994</v>
      </c>
      <c r="AK3818">
        <v>3.0164603623558999</v>
      </c>
    </row>
    <row r="3819" spans="1:37" x14ac:dyDescent="0.2">
      <c r="A3819" t="str">
        <f>"20200111153510715"</f>
        <v>20200111153510715</v>
      </c>
      <c r="B3819" t="str">
        <f>"1578728110710299"</f>
        <v>1578728110710299</v>
      </c>
      <c r="C3819" t="s">
        <v>37</v>
      </c>
      <c r="D3819">
        <v>4.7830349999999999</v>
      </c>
      <c r="E3819">
        <v>0.50449860000000002</v>
      </c>
      <c r="F3819" t="s">
        <v>58</v>
      </c>
      <c r="G3819">
        <v>0</v>
      </c>
      <c r="H3819">
        <v>0</v>
      </c>
      <c r="I3819">
        <v>0</v>
      </c>
      <c r="J3819">
        <v>-300.14819999999997</v>
      </c>
      <c r="K3819">
        <v>1.104492</v>
      </c>
      <c r="L3819">
        <v>141.15639999999999</v>
      </c>
      <c r="M3819">
        <v>-0.99973829999999997</v>
      </c>
      <c r="N3819">
        <v>0</v>
      </c>
      <c r="O3819">
        <v>-1.7292129999999999E-2</v>
      </c>
      <c r="P3819">
        <v>-0.99087029999999998</v>
      </c>
      <c r="Q3819">
        <v>0.10987669999999999</v>
      </c>
      <c r="R3819">
        <v>-7.8124849999999996E-2</v>
      </c>
      <c r="S3819">
        <v>-3.0098880000000001</v>
      </c>
      <c r="T3819">
        <v>2.392352E-2</v>
      </c>
      <c r="U3819">
        <v>-0.20382690000000001</v>
      </c>
      <c r="V3819">
        <v>-6.0907290000000003E-2</v>
      </c>
      <c r="W3819">
        <v>0.1247593</v>
      </c>
      <c r="X3819">
        <v>0.99031579999999997</v>
      </c>
      <c r="Y3819">
        <v>-5.0298669999999997E-2</v>
      </c>
      <c r="Z3819" s="1">
        <v>6.2388850000000005E-5</v>
      </c>
      <c r="AA3819">
        <v>0.99873419999999902</v>
      </c>
      <c r="AB3819">
        <v>50</v>
      </c>
      <c r="AC3819">
        <v>-3.0098880000000001</v>
      </c>
      <c r="AD3819">
        <v>2.392352E-2</v>
      </c>
      <c r="AE3819">
        <v>-0.20382690000000001</v>
      </c>
      <c r="AF3819">
        <v>-0.15173366180841899</v>
      </c>
      <c r="AG3819">
        <v>2.392352E-2</v>
      </c>
      <c r="AH3819">
        <v>3.0127733920645299</v>
      </c>
      <c r="AI3819">
        <v>89.545617026718304</v>
      </c>
      <c r="AJ3819">
        <v>92.883177063789205</v>
      </c>
      <c r="AK3819">
        <v>3.0166867505372501</v>
      </c>
    </row>
    <row r="3820" spans="1:37" x14ac:dyDescent="0.2">
      <c r="A3820" t="str">
        <f>"20200111153510738"</f>
        <v>20200111153510738</v>
      </c>
      <c r="B3820" t="str">
        <f>"1578728110729818"</f>
        <v>1578728110729818</v>
      </c>
      <c r="C3820" t="s">
        <v>37</v>
      </c>
      <c r="D3820">
        <v>4.7684509999999998</v>
      </c>
      <c r="E3820">
        <v>0.50439350000000005</v>
      </c>
      <c r="F3820" t="s">
        <v>39</v>
      </c>
      <c r="G3820">
        <v>-364.75450000000001</v>
      </c>
      <c r="H3820" s="1">
        <v>-2.7065159999999999E-6</v>
      </c>
      <c r="I3820">
        <v>136.94470000000001</v>
      </c>
      <c r="J3820">
        <v>-300.66230000000002</v>
      </c>
      <c r="K3820">
        <v>1.10439</v>
      </c>
      <c r="L3820">
        <v>141.14769999999999</v>
      </c>
      <c r="M3820">
        <v>-0.99974409999999903</v>
      </c>
      <c r="N3820">
        <v>0</v>
      </c>
      <c r="O3820">
        <v>-1.69567999999999E-2</v>
      </c>
      <c r="P3820">
        <v>-0.99129210000000001</v>
      </c>
      <c r="Q3820">
        <v>0.10627010000000001</v>
      </c>
      <c r="R3820">
        <v>-7.7761179999999999E-2</v>
      </c>
      <c r="S3820">
        <v>-3.0178529999999899</v>
      </c>
      <c r="T3820">
        <v>-5.1592590000000001E-2</v>
      </c>
      <c r="U3820">
        <v>-0.19673160000000001</v>
      </c>
      <c r="V3820">
        <v>-6.084908E-2</v>
      </c>
      <c r="W3820">
        <v>0.121169</v>
      </c>
      <c r="X3820">
        <v>0.99076509999999995</v>
      </c>
      <c r="Y3820">
        <v>-4.8114509999999999E-2</v>
      </c>
      <c r="Z3820">
        <v>-1.21268199999999E-4</v>
      </c>
      <c r="AA3820">
        <v>0.9988418</v>
      </c>
      <c r="AB3820">
        <v>50</v>
      </c>
      <c r="AC3820">
        <v>-64.092199999999906</v>
      </c>
      <c r="AD3820">
        <v>-1.104392706516</v>
      </c>
      <c r="AE3820">
        <v>-4.2029999999999701</v>
      </c>
      <c r="AF3820">
        <v>-3.11455429416743</v>
      </c>
      <c r="AG3820">
        <v>-1.104392706516</v>
      </c>
      <c r="AH3820">
        <v>64.135298987749707</v>
      </c>
      <c r="AI3820">
        <v>90.985359540345598</v>
      </c>
      <c r="AJ3820">
        <v>92.780227696549105</v>
      </c>
      <c r="AK3820">
        <v>64.220376111866301</v>
      </c>
    </row>
    <row r="3821" spans="1:37" x14ac:dyDescent="0.2">
      <c r="A3821" t="str">
        <f>"20200111153510760"</f>
        <v>20200111153510760</v>
      </c>
      <c r="B3821" t="str">
        <f>"1578728110750327"</f>
        <v>1578728110750327</v>
      </c>
      <c r="C3821" t="s">
        <v>37</v>
      </c>
      <c r="D3821">
        <v>4.7775720000000002</v>
      </c>
      <c r="E3821">
        <v>0.50455209999999995</v>
      </c>
      <c r="F3821" t="s">
        <v>39</v>
      </c>
      <c r="G3821">
        <v>-351.19260000000003</v>
      </c>
      <c r="H3821" s="1">
        <v>-4.0707909999999996E-6</v>
      </c>
      <c r="I3821">
        <v>137.86779999999999</v>
      </c>
      <c r="J3821">
        <v>-301.14269999999999</v>
      </c>
      <c r="K3821">
        <v>1.104257</v>
      </c>
      <c r="L3821">
        <v>141.13990000000001</v>
      </c>
      <c r="M3821">
        <v>-0.99975159999999996</v>
      </c>
      <c r="N3821">
        <v>0</v>
      </c>
      <c r="O3821">
        <v>-1.6503919999999998E-2</v>
      </c>
      <c r="P3821">
        <v>-0.99167629999999996</v>
      </c>
      <c r="Q3821">
        <v>0.1026391</v>
      </c>
      <c r="R3821">
        <v>-7.7738979999999999E-2</v>
      </c>
      <c r="S3821">
        <v>-3.0180359999999999</v>
      </c>
      <c r="T3821">
        <v>-6.5962430000000002E-2</v>
      </c>
      <c r="U3821">
        <v>-0.19589229999999899</v>
      </c>
      <c r="V3821">
        <v>-6.1242449999999997E-2</v>
      </c>
      <c r="W3821">
        <v>0.1175591</v>
      </c>
      <c r="X3821">
        <v>0.99117569999999999</v>
      </c>
      <c r="Y3821">
        <v>-4.828346E-2</v>
      </c>
      <c r="Z3821">
        <v>-1.6675739999999999E-4</v>
      </c>
      <c r="AA3821">
        <v>0.99883369999999905</v>
      </c>
      <c r="AB3821">
        <v>50</v>
      </c>
      <c r="AC3821">
        <v>-50.049900000000001</v>
      </c>
      <c r="AD3821">
        <v>-1.1042610707910001</v>
      </c>
      <c r="AE3821">
        <v>-3.27210000000002</v>
      </c>
      <c r="AF3821">
        <v>-2.4443572075836002</v>
      </c>
      <c r="AG3821">
        <v>-1.1042610707910001</v>
      </c>
      <c r="AH3821">
        <v>50.0728193060704</v>
      </c>
      <c r="AI3821">
        <v>91.261842873499802</v>
      </c>
      <c r="AJ3821">
        <v>92.7947350395077</v>
      </c>
      <c r="AK3821">
        <v>50.144605970424301</v>
      </c>
    </row>
    <row r="3822" spans="1:37" x14ac:dyDescent="0.2">
      <c r="A3822" t="str">
        <f>"20200111153510781"</f>
        <v>20200111153510781</v>
      </c>
      <c r="B3822" t="str">
        <f>"1578728110769835"</f>
        <v>1578728110769835</v>
      </c>
      <c r="C3822" t="s">
        <v>37</v>
      </c>
      <c r="D3822">
        <v>4.7882819999999997</v>
      </c>
      <c r="E3822">
        <v>0.50466540000000004</v>
      </c>
      <c r="F3822" t="s">
        <v>39</v>
      </c>
      <c r="G3822">
        <v>-345.43310000000002</v>
      </c>
      <c r="H3822" s="1">
        <v>-2.1749909999999999E-6</v>
      </c>
      <c r="I3822">
        <v>138.30000000000001</v>
      </c>
      <c r="J3822">
        <v>-301.63409999999999</v>
      </c>
      <c r="K3822">
        <v>1.104109</v>
      </c>
      <c r="L3822">
        <v>141.13220000000001</v>
      </c>
      <c r="M3822">
        <v>-0.99976180000000003</v>
      </c>
      <c r="N3822">
        <v>0</v>
      </c>
      <c r="O3822">
        <v>-1.588237E-2</v>
      </c>
      <c r="P3822">
        <v>-0.99197869999999999</v>
      </c>
      <c r="Q3822">
        <v>9.9615480000000006E-2</v>
      </c>
      <c r="R3822">
        <v>-7.7814049999999996E-2</v>
      </c>
      <c r="S3822">
        <v>-3.0178219999999998</v>
      </c>
      <c r="T3822">
        <v>-7.5241210000000003E-2</v>
      </c>
      <c r="U3822">
        <v>-0.19349669999999999</v>
      </c>
      <c r="V3822">
        <v>-6.189476E-2</v>
      </c>
      <c r="W3822">
        <v>0.1145606</v>
      </c>
      <c r="X3822">
        <v>0.99148619999999898</v>
      </c>
      <c r="Y3822">
        <v>-4.811696E-2</v>
      </c>
      <c r="Z3822">
        <v>-2.0362679999999999E-4</v>
      </c>
      <c r="AA3822">
        <v>0.99884169999999906</v>
      </c>
      <c r="AB3822">
        <v>50</v>
      </c>
      <c r="AC3822">
        <v>-43.798999999999999</v>
      </c>
      <c r="AD3822">
        <v>-1.104111174991</v>
      </c>
      <c r="AE3822">
        <v>-2.8321999999999998</v>
      </c>
      <c r="AF3822">
        <v>-2.1347818587913001</v>
      </c>
      <c r="AG3822">
        <v>-1.104111174991</v>
      </c>
      <c r="AH3822">
        <v>43.810736739936502</v>
      </c>
      <c r="AI3822">
        <v>91.441943373923607</v>
      </c>
      <c r="AJ3822">
        <v>92.789665999614698</v>
      </c>
      <c r="AK3822">
        <v>43.876611181441397</v>
      </c>
    </row>
    <row r="3823" spans="1:37" x14ac:dyDescent="0.2">
      <c r="A3823" t="str">
        <f>"20200111153510804"</f>
        <v>20200111153510804</v>
      </c>
      <c r="B3823" t="str">
        <f>"1578728110800091"</f>
        <v>1578728110800091</v>
      </c>
      <c r="C3823" t="s">
        <v>37</v>
      </c>
      <c r="D3823">
        <v>4.7721720000000003</v>
      </c>
      <c r="E3823">
        <v>0.50490869999999999</v>
      </c>
      <c r="F3823" t="s">
        <v>39</v>
      </c>
      <c r="G3823">
        <v>-341.58170000000001</v>
      </c>
      <c r="H3823" s="1">
        <v>-3.7746989999999998E-6</v>
      </c>
      <c r="I3823">
        <v>138.596</v>
      </c>
      <c r="J3823">
        <v>-302.14519999999999</v>
      </c>
      <c r="K3823">
        <v>1.103966</v>
      </c>
      <c r="L3823">
        <v>141.12469999999999</v>
      </c>
      <c r="M3823">
        <v>-0.99977419999999995</v>
      </c>
      <c r="N3823">
        <v>0</v>
      </c>
      <c r="O3823">
        <v>-1.5084220000000001E-2</v>
      </c>
      <c r="P3823">
        <v>-0.99206309999999998</v>
      </c>
      <c r="Q3823">
        <v>9.854649E-2</v>
      </c>
      <c r="R3823">
        <v>-7.8099619999999995E-2</v>
      </c>
      <c r="S3823">
        <v>-3.017639</v>
      </c>
      <c r="T3823">
        <v>-8.3404660000000005E-2</v>
      </c>
      <c r="U3823">
        <v>-0.1915741</v>
      </c>
      <c r="V3823">
        <v>-6.2931550000000003E-2</v>
      </c>
      <c r="W3823">
        <v>0.11351649999999899</v>
      </c>
      <c r="X3823">
        <v>0.99154100000000001</v>
      </c>
      <c r="Y3823">
        <v>-4.8281789999999998E-2</v>
      </c>
      <c r="Z3823">
        <v>-2.5003349999999999E-4</v>
      </c>
      <c r="AA3823">
        <v>0.99883369999999905</v>
      </c>
      <c r="AB3823">
        <v>50</v>
      </c>
      <c r="AC3823">
        <v>-39.436500000000002</v>
      </c>
      <c r="AD3823">
        <v>-1.103969774699</v>
      </c>
      <c r="AE3823">
        <v>-2.5286999999999802</v>
      </c>
      <c r="AF3823">
        <v>-1.93196898121644</v>
      </c>
      <c r="AG3823">
        <v>-1.103969774699</v>
      </c>
      <c r="AH3823">
        <v>39.439380113781397</v>
      </c>
      <c r="AI3823">
        <v>91.601460288655403</v>
      </c>
      <c r="AJ3823">
        <v>92.804436968235507</v>
      </c>
      <c r="AK3823">
        <v>39.502100667776702</v>
      </c>
    </row>
    <row r="3824" spans="1:37" x14ac:dyDescent="0.2">
      <c r="A3824" t="str">
        <f>"20200111153510826"</f>
        <v>20200111153510826</v>
      </c>
      <c r="B3824" t="str">
        <f>"1578728110820142"</f>
        <v>1578728110820142</v>
      </c>
      <c r="C3824" t="s">
        <v>37</v>
      </c>
      <c r="D3824">
        <v>4.797987</v>
      </c>
      <c r="E3824">
        <v>0.50511660000000003</v>
      </c>
      <c r="F3824" t="s">
        <v>39</v>
      </c>
      <c r="G3824">
        <v>-340.56099999999998</v>
      </c>
      <c r="H3824" s="1">
        <v>-4.1924949999999997E-6</v>
      </c>
      <c r="I3824">
        <v>138.70930000000001</v>
      </c>
      <c r="J3824">
        <v>-302.6472</v>
      </c>
      <c r="K3824">
        <v>1.103837</v>
      </c>
      <c r="L3824">
        <v>141.11779999999999</v>
      </c>
      <c r="M3824">
        <v>-0.9997878</v>
      </c>
      <c r="N3824">
        <v>0</v>
      </c>
      <c r="O3824">
        <v>-1.414618E-2</v>
      </c>
      <c r="P3824">
        <v>-0.99177780000000004</v>
      </c>
      <c r="Q3824">
        <v>0.1013955</v>
      </c>
      <c r="R3824">
        <v>-7.8076380000000001E-2</v>
      </c>
      <c r="S3824">
        <v>-3.0176699999999999</v>
      </c>
      <c r="T3824">
        <v>-8.6720229999999995E-2</v>
      </c>
      <c r="U3824">
        <v>-0.189727799999999</v>
      </c>
      <c r="V3824">
        <v>-6.3796220000000001E-2</v>
      </c>
      <c r="W3824">
        <v>0.11638560000000001</v>
      </c>
      <c r="X3824">
        <v>0.99115309999999901</v>
      </c>
      <c r="Y3824">
        <v>-4.860805E-2</v>
      </c>
      <c r="Z3824">
        <v>-2.9157249999999999E-4</v>
      </c>
      <c r="AA3824">
        <v>0.99881790000000004</v>
      </c>
      <c r="AB3824">
        <v>50</v>
      </c>
      <c r="AC3824">
        <v>-37.913799999999902</v>
      </c>
      <c r="AD3824">
        <v>-1.103841192495</v>
      </c>
      <c r="AE3824">
        <v>-2.4084999999999699</v>
      </c>
      <c r="AF3824">
        <v>-1.8702843807827501</v>
      </c>
      <c r="AG3824">
        <v>-1.103841192495</v>
      </c>
      <c r="AH3824">
        <v>37.912073154277202</v>
      </c>
      <c r="AI3824">
        <v>91.665718064675502</v>
      </c>
      <c r="AJ3824">
        <v>92.824234851855707</v>
      </c>
      <c r="AK3824">
        <v>37.974224414706804</v>
      </c>
    </row>
    <row r="3825" spans="1:37" x14ac:dyDescent="0.2">
      <c r="A3825" t="str">
        <f>"20200111153510849"</f>
        <v>20200111153510849</v>
      </c>
      <c r="B3825" t="str">
        <f>"1578728110839662"</f>
        <v>1578728110839662</v>
      </c>
      <c r="C3825" t="s">
        <v>37</v>
      </c>
      <c r="D3825">
        <v>4.8149519999999999</v>
      </c>
      <c r="E3825">
        <v>0.50532619999999995</v>
      </c>
      <c r="F3825" t="s">
        <v>39</v>
      </c>
      <c r="G3825">
        <v>-345.921999999999</v>
      </c>
      <c r="H3825" s="1">
        <v>-1.9425390000000001E-6</v>
      </c>
      <c r="I3825">
        <v>138.4281</v>
      </c>
      <c r="J3825">
        <v>-303.13040000000001</v>
      </c>
      <c r="K3825">
        <v>1.1037110000000001</v>
      </c>
      <c r="L3825">
        <v>141.11179999999999</v>
      </c>
      <c r="M3825">
        <v>-0.99980219999999898</v>
      </c>
      <c r="N3825">
        <v>0</v>
      </c>
      <c r="O3825">
        <v>-1.309191E-2</v>
      </c>
      <c r="P3825">
        <v>-0.99140130000000004</v>
      </c>
      <c r="Q3825">
        <v>0.1054496</v>
      </c>
      <c r="R3825">
        <v>-7.7487479999999997E-2</v>
      </c>
      <c r="S3825">
        <v>-3.0179749999999999</v>
      </c>
      <c r="T3825">
        <v>-7.6981659999999993E-2</v>
      </c>
      <c r="U3825">
        <v>-0.1875763</v>
      </c>
      <c r="V3825">
        <v>-6.4206730000000004E-2</v>
      </c>
      <c r="W3825">
        <v>0.1204561</v>
      </c>
      <c r="X3825">
        <v>0.99064010000000002</v>
      </c>
      <c r="Y3825">
        <v>-4.8948239999999997E-2</v>
      </c>
      <c r="Z3825">
        <v>-2.9001089999999998E-4</v>
      </c>
      <c r="AA3825">
        <v>0.9988013</v>
      </c>
      <c r="AB3825">
        <v>50</v>
      </c>
      <c r="AC3825">
        <v>-42.791599999999903</v>
      </c>
      <c r="AD3825">
        <v>-1.103712942539</v>
      </c>
      <c r="AE3825">
        <v>-2.68369999999998</v>
      </c>
      <c r="AF3825">
        <v>-2.1217773550732102</v>
      </c>
      <c r="AG3825">
        <v>-1.103712942539</v>
      </c>
      <c r="AH3825">
        <v>42.794712198686398</v>
      </c>
      <c r="AI3825">
        <v>91.475568886755497</v>
      </c>
      <c r="AJ3825">
        <v>92.838421241540701</v>
      </c>
      <c r="AK3825">
        <v>42.861492199554</v>
      </c>
    </row>
    <row r="3826" spans="1:37" x14ac:dyDescent="0.2">
      <c r="A3826" t="str">
        <f>"20200111153510871"</f>
        <v>20200111153510871</v>
      </c>
      <c r="B3826" t="str">
        <f>"1578728110860156"</f>
        <v>1578728110860156</v>
      </c>
      <c r="C3826" t="s">
        <v>37</v>
      </c>
      <c r="D3826">
        <v>4.7920780000000001</v>
      </c>
      <c r="E3826">
        <v>0.52748850000000003</v>
      </c>
      <c r="F3826" t="s">
        <v>39</v>
      </c>
      <c r="G3826">
        <v>-356.22879999999998</v>
      </c>
      <c r="H3826" s="1">
        <v>-1.909551E-6</v>
      </c>
      <c r="I3826">
        <v>137.87190000000001</v>
      </c>
      <c r="J3826">
        <v>-303.62599999999998</v>
      </c>
      <c r="K3826">
        <v>1.1035680000000001</v>
      </c>
      <c r="L3826">
        <v>141.1062</v>
      </c>
      <c r="M3826">
        <v>-0.99981759999999997</v>
      </c>
      <c r="N3826">
        <v>0</v>
      </c>
      <c r="O3826">
        <v>-1.1856999999999999E-2</v>
      </c>
      <c r="P3826">
        <v>-0.99109760000000002</v>
      </c>
      <c r="Q3826">
        <v>0.1090672</v>
      </c>
      <c r="R3826">
        <v>-7.6356480000000004E-2</v>
      </c>
      <c r="S3826">
        <v>-3.0183110000000002</v>
      </c>
      <c r="T3826">
        <v>-6.2739130000000004E-2</v>
      </c>
      <c r="U3826">
        <v>-0.1841583</v>
      </c>
      <c r="V3826">
        <v>-6.4249050000000002E-2</v>
      </c>
      <c r="W3826">
        <v>0.124091699999999</v>
      </c>
      <c r="X3826">
        <v>0.99018850000000003</v>
      </c>
      <c r="Y3826">
        <v>-4.9051850000000001E-2</v>
      </c>
      <c r="Z3826">
        <v>-2.6306460000000002E-4</v>
      </c>
      <c r="AA3826">
        <v>0.99879619999999902</v>
      </c>
      <c r="AB3826">
        <v>50</v>
      </c>
      <c r="AC3826">
        <v>-52.602800000000002</v>
      </c>
      <c r="AD3826">
        <v>-1.1035699095510001</v>
      </c>
      <c r="AE3826">
        <v>-3.23429999999999</v>
      </c>
      <c r="AF3826">
        <v>-2.6091472241451701</v>
      </c>
      <c r="AG3826">
        <v>-1.1035699095510001</v>
      </c>
      <c r="AH3826">
        <v>52.614384754288999</v>
      </c>
      <c r="AI3826">
        <v>91.200110184280106</v>
      </c>
      <c r="AJ3826">
        <v>92.838971934539899</v>
      </c>
      <c r="AK3826">
        <v>52.690596873207802</v>
      </c>
    </row>
    <row r="3827" spans="1:37" x14ac:dyDescent="0.2">
      <c r="A3827" t="str">
        <f>"20200111153510894"</f>
        <v>20200111153510894</v>
      </c>
      <c r="B3827" t="str">
        <f>"1578728110889436"</f>
        <v>1578728110889436</v>
      </c>
      <c r="C3827" t="s">
        <v>37</v>
      </c>
      <c r="D3827">
        <v>4.7839029999999996</v>
      </c>
      <c r="E3827">
        <v>0.52972200000000003</v>
      </c>
      <c r="F3827" t="s">
        <v>39</v>
      </c>
      <c r="G3827">
        <v>-325.99509999999998</v>
      </c>
      <c r="H3827" s="1">
        <v>-2.0898759999999999E-6</v>
      </c>
      <c r="I3827">
        <v>141.08019999999999</v>
      </c>
      <c r="J3827">
        <v>-304.13049999999998</v>
      </c>
      <c r="K3827">
        <v>1.1034040000000001</v>
      </c>
      <c r="L3827">
        <v>141.10120000000001</v>
      </c>
      <c r="M3827">
        <v>-0.99983339999999998</v>
      </c>
      <c r="N3827">
        <v>0</v>
      </c>
      <c r="O3827">
        <v>-1.045185E-2</v>
      </c>
      <c r="P3827">
        <v>-0.99111149999999903</v>
      </c>
      <c r="Q3827">
        <v>0.10986849999999999</v>
      </c>
      <c r="R3827">
        <v>-7.50141E-2</v>
      </c>
      <c r="S3827">
        <v>-3.0432130000000002</v>
      </c>
      <c r="T3827">
        <v>-0.15013550000000001</v>
      </c>
      <c r="U3827">
        <v>-3.5247799999999999E-3</v>
      </c>
      <c r="V3827">
        <v>-6.4248970000000002E-2</v>
      </c>
      <c r="W3827">
        <v>0.12491629999999999</v>
      </c>
      <c r="X3827">
        <v>0.99008479999999999</v>
      </c>
      <c r="Y3827">
        <v>9.2708510000000001E-3</v>
      </c>
      <c r="Z3827">
        <v>7.4392130000000003E-4</v>
      </c>
      <c r="AA3827">
        <v>0.99995669999999903</v>
      </c>
      <c r="AB3827">
        <v>50</v>
      </c>
      <c r="AC3827">
        <v>-21.864599999999999</v>
      </c>
      <c r="AD3827">
        <v>-1.1034060898760001</v>
      </c>
      <c r="AE3827">
        <v>-2.1000000000015E-2</v>
      </c>
      <c r="AF3827">
        <v>0.207025015980972</v>
      </c>
      <c r="AG3827">
        <v>-1.1034060898760001</v>
      </c>
      <c r="AH3827">
        <v>21.808085092027301</v>
      </c>
      <c r="AI3827">
        <v>92.896348105020095</v>
      </c>
      <c r="AJ3827">
        <v>89.456105232394904</v>
      </c>
      <c r="AK3827">
        <v>21.8369626948787</v>
      </c>
    </row>
    <row r="3828" spans="1:37" x14ac:dyDescent="0.2">
      <c r="A3828" t="str">
        <f>"20200111153510916"</f>
        <v>20200111153510916</v>
      </c>
      <c r="B3828" t="str">
        <f>"1578728110909931"</f>
        <v>1578728110909931</v>
      </c>
      <c r="C3828" t="s">
        <v>37</v>
      </c>
      <c r="D3828">
        <v>4.7655089999999998</v>
      </c>
      <c r="E3828">
        <v>0.52928219999999904</v>
      </c>
      <c r="F3828" t="s">
        <v>39</v>
      </c>
      <c r="G3828">
        <v>-320.7296</v>
      </c>
      <c r="H3828" s="1">
        <v>-4.3097789999999999E-6</v>
      </c>
      <c r="I3828">
        <v>141.2064</v>
      </c>
      <c r="J3828">
        <v>-304.63319999999999</v>
      </c>
      <c r="K3828">
        <v>1.103235</v>
      </c>
      <c r="L3828">
        <v>141.09690000000001</v>
      </c>
      <c r="M3828">
        <v>-0.99984819999999996</v>
      </c>
      <c r="N3828">
        <v>0</v>
      </c>
      <c r="O3828">
        <v>-8.920206E-3</v>
      </c>
      <c r="P3828">
        <v>-0.99128709999999898</v>
      </c>
      <c r="Q3828">
        <v>0.1094798</v>
      </c>
      <c r="R3828">
        <v>-7.3243420000000004E-2</v>
      </c>
      <c r="S3828">
        <v>-3.0508419999999998</v>
      </c>
      <c r="T3828">
        <v>-0.20280219999999999</v>
      </c>
      <c r="U3828">
        <v>1.934814E-2</v>
      </c>
      <c r="V3828">
        <v>-6.3948329999999998E-2</v>
      </c>
      <c r="W3828">
        <v>0.124553</v>
      </c>
      <c r="X3828">
        <v>0.99015010000000003</v>
      </c>
      <c r="Y3828">
        <v>1.520929E-2</v>
      </c>
      <c r="Z3828">
        <v>1.097319E-3</v>
      </c>
      <c r="AA3828">
        <v>0.99988369999999904</v>
      </c>
      <c r="AB3828">
        <v>50</v>
      </c>
      <c r="AC3828">
        <v>-16.096399999999999</v>
      </c>
      <c r="AD3828">
        <v>-1.1032393097790001</v>
      </c>
      <c r="AE3828">
        <v>0.109499999999997</v>
      </c>
      <c r="AF3828">
        <v>0.25191158962357602</v>
      </c>
      <c r="AG3828">
        <v>-1.1032393097790001</v>
      </c>
      <c r="AH3828">
        <v>16.019531682206502</v>
      </c>
      <c r="AI3828">
        <v>93.939161908471604</v>
      </c>
      <c r="AJ3828">
        <v>89.099082193241202</v>
      </c>
      <c r="AK3828">
        <v>16.059451788303601</v>
      </c>
    </row>
    <row r="3829" spans="1:37" x14ac:dyDescent="0.2">
      <c r="A3829" t="str">
        <f>"20200111153510938"</f>
        <v>20200111153510938</v>
      </c>
      <c r="B3829" t="str">
        <f>"1578728110929988"</f>
        <v>1578728110929988</v>
      </c>
      <c r="C3829" t="s">
        <v>37</v>
      </c>
      <c r="D3829">
        <v>4.7728029999999997</v>
      </c>
      <c r="E3829">
        <v>0.52933809999999903</v>
      </c>
      <c r="F3829" t="s">
        <v>39</v>
      </c>
      <c r="G3829">
        <v>-320.66640000000001</v>
      </c>
      <c r="H3829" s="1">
        <v>-4.3319209999999999E-6</v>
      </c>
      <c r="I3829">
        <v>141.21010000000001</v>
      </c>
      <c r="J3829">
        <v>-305.12630000000001</v>
      </c>
      <c r="K3829">
        <v>1.1030759999999999</v>
      </c>
      <c r="L3829">
        <v>141.09360000000001</v>
      </c>
      <c r="M3829">
        <v>-0.99986119999999901</v>
      </c>
      <c r="N3829">
        <v>0</v>
      </c>
      <c r="O3829">
        <v>-7.3107909999999996E-3</v>
      </c>
      <c r="P3829">
        <v>-0.99160969999999904</v>
      </c>
      <c r="Q3829">
        <v>0.1077622</v>
      </c>
      <c r="R3829">
        <v>-7.1399489999999996E-2</v>
      </c>
      <c r="S3829">
        <v>-3.0511469999999998</v>
      </c>
      <c r="T3829">
        <v>-0.2099491</v>
      </c>
      <c r="U3829">
        <v>2.1545410000000001E-2</v>
      </c>
      <c r="V3829">
        <v>-6.3658759999999995E-2</v>
      </c>
      <c r="W3829">
        <v>0.12286039999999999</v>
      </c>
      <c r="X3829">
        <v>0.99038019999999904</v>
      </c>
      <c r="Y3829">
        <v>1.432132E-2</v>
      </c>
      <c r="Z3829">
        <v>9.9464699999999998E-4</v>
      </c>
      <c r="AA3829">
        <v>0.99989689999999998</v>
      </c>
      <c r="AB3829">
        <v>50</v>
      </c>
      <c r="AC3829">
        <v>-15.540099999999899</v>
      </c>
      <c r="AD3829">
        <v>-1.1030803319210001</v>
      </c>
      <c r="AE3829">
        <v>0.116500000000002</v>
      </c>
      <c r="AF3829">
        <v>0.22896644626660401</v>
      </c>
      <c r="AG3829">
        <v>-1.1030803319210001</v>
      </c>
      <c r="AH3829">
        <v>15.460936289270601</v>
      </c>
      <c r="AI3829">
        <v>94.080479968016505</v>
      </c>
      <c r="AJ3829">
        <v>89.151548661547295</v>
      </c>
      <c r="AK3829">
        <v>15.5019277121612</v>
      </c>
    </row>
    <row r="3830" spans="1:37" x14ac:dyDescent="0.2">
      <c r="A3830" t="str">
        <f>"20200111153510961"</f>
        <v>20200111153510961</v>
      </c>
      <c r="B3830" t="str">
        <f>"1578728110949509"</f>
        <v>1578728110949509</v>
      </c>
      <c r="C3830" t="s">
        <v>37</v>
      </c>
      <c r="D3830">
        <v>4.931082</v>
      </c>
      <c r="E3830">
        <v>0.5292057</v>
      </c>
      <c r="F3830" t="s">
        <v>39</v>
      </c>
      <c r="G3830">
        <v>-320.43939999999998</v>
      </c>
      <c r="H3830" s="1">
        <v>-4.4129949999999996E-6</v>
      </c>
      <c r="I3830">
        <v>141.23159999999999</v>
      </c>
      <c r="J3830">
        <v>-305.61660000000001</v>
      </c>
      <c r="K3830">
        <v>1.1029149999999901</v>
      </c>
      <c r="L3830">
        <v>141.09110000000001</v>
      </c>
      <c r="M3830">
        <v>-0.99987209999999904</v>
      </c>
      <c r="N3830">
        <v>0</v>
      </c>
      <c r="O3830">
        <v>-5.6228340000000002E-3</v>
      </c>
      <c r="P3830">
        <v>-0.99209890000000001</v>
      </c>
      <c r="Q3830">
        <v>0.1048948</v>
      </c>
      <c r="R3830">
        <v>-6.8824659999999996E-2</v>
      </c>
      <c r="S3830">
        <v>-3.0512700000000001</v>
      </c>
      <c r="T3830">
        <v>-0.21979879999999999</v>
      </c>
      <c r="U3830">
        <v>2.75115999999999E-2</v>
      </c>
      <c r="V3830">
        <v>-6.2726760000000006E-2</v>
      </c>
      <c r="W3830">
        <v>0.12001630000000001</v>
      </c>
      <c r="X3830">
        <v>0.99078829999999996</v>
      </c>
      <c r="Y3830">
        <v>1.45867999999999E-2</v>
      </c>
      <c r="Z3830">
        <v>9.2924710000000005E-4</v>
      </c>
      <c r="AA3830">
        <v>0.99989319999999904</v>
      </c>
      <c r="AB3830">
        <v>50</v>
      </c>
      <c r="AC3830">
        <v>-14.8227999999999</v>
      </c>
      <c r="AD3830">
        <v>-1.102919412995</v>
      </c>
      <c r="AE3830">
        <v>0.14049999999997401</v>
      </c>
      <c r="AF3830">
        <v>0.222620859293859</v>
      </c>
      <c r="AG3830">
        <v>-1.102919412995</v>
      </c>
      <c r="AH3830">
        <v>14.7401754265441</v>
      </c>
      <c r="AI3830">
        <v>94.278641442104899</v>
      </c>
      <c r="AJ3830">
        <v>89.134727667265807</v>
      </c>
      <c r="AK3830">
        <v>14.7830566150525</v>
      </c>
    </row>
    <row r="3831" spans="1:37" x14ac:dyDescent="0.2">
      <c r="A3831" t="str">
        <f>"20200111153510983"</f>
        <v>20200111153510983</v>
      </c>
      <c r="B3831" t="str">
        <f>"1578728110979766"</f>
        <v>1578728110979766</v>
      </c>
      <c r="C3831" t="s">
        <v>37</v>
      </c>
      <c r="D3831">
        <v>4.8087619999999998</v>
      </c>
      <c r="E3831">
        <v>0.52924510000000002</v>
      </c>
      <c r="F3831" t="s">
        <v>40</v>
      </c>
      <c r="G3831">
        <v>-306.73289999999997</v>
      </c>
      <c r="H3831">
        <v>1.018338</v>
      </c>
      <c r="I3831">
        <v>141.10390000000001</v>
      </c>
      <c r="J3831">
        <v>-306.10759999999999</v>
      </c>
      <c r="K3831">
        <v>1.102776</v>
      </c>
      <c r="L3831">
        <v>141.08949999999999</v>
      </c>
      <c r="M3831">
        <v>-0.99988060000000001</v>
      </c>
      <c r="N3831">
        <v>0</v>
      </c>
      <c r="O3831">
        <v>-3.8726730000000001E-3</v>
      </c>
      <c r="P3831">
        <v>-0.99256129999999998</v>
      </c>
      <c r="Q3831">
        <v>0.10207469999999901</v>
      </c>
      <c r="R3831">
        <v>-6.6356020000000002E-2</v>
      </c>
      <c r="S3831">
        <v>-3.0506899999999999</v>
      </c>
      <c r="T3831">
        <v>-0.2311211</v>
      </c>
      <c r="U3831">
        <v>3.4240720000000002E-2</v>
      </c>
      <c r="V3831">
        <v>-6.1970919999999999E-2</v>
      </c>
      <c r="W3831">
        <v>0.11721529999999999</v>
      </c>
      <c r="X3831">
        <v>0.99117109999999997</v>
      </c>
      <c r="Y3831">
        <v>1.5041799999999999E-2</v>
      </c>
      <c r="Z3831">
        <v>8.6195179999999996E-4</v>
      </c>
      <c r="AA3831">
        <v>0.99988650000000001</v>
      </c>
      <c r="AB3831">
        <v>50</v>
      </c>
      <c r="AC3831">
        <v>-0.62529999999998098</v>
      </c>
      <c r="AD3831">
        <v>-8.4437999999999999E-2</v>
      </c>
      <c r="AE3831">
        <v>1.44000000000232E-2</v>
      </c>
      <c r="AF3831">
        <v>1.65206556295566E-2</v>
      </c>
      <c r="AG3831">
        <v>-8.4437999999999999E-2</v>
      </c>
      <c r="AH3831">
        <v>0.61404847229577997</v>
      </c>
      <c r="AI3831">
        <v>97.826859547931804</v>
      </c>
      <c r="AJ3831">
        <v>88.458858553079097</v>
      </c>
      <c r="AK3831">
        <v>0.62004696131439196</v>
      </c>
    </row>
    <row r="3832" spans="1:37" x14ac:dyDescent="0.2">
      <c r="A3832" t="str">
        <f>"20200111153511006"</f>
        <v>20200111153511006</v>
      </c>
      <c r="B3832" t="str">
        <f>"1578728111000262"</f>
        <v>1578728111000262</v>
      </c>
      <c r="C3832" t="s">
        <v>37</v>
      </c>
      <c r="D3832">
        <v>4.8269039999999999</v>
      </c>
      <c r="E3832">
        <v>0.52953169999999905</v>
      </c>
      <c r="F3832" t="s">
        <v>40</v>
      </c>
      <c r="G3832">
        <v>-307.17559999999997</v>
      </c>
      <c r="H3832">
        <v>1.0169870000000001</v>
      </c>
      <c r="I3832">
        <v>141.10419999999999</v>
      </c>
      <c r="J3832">
        <v>-306.61849999999998</v>
      </c>
      <c r="K3832">
        <v>1.102654</v>
      </c>
      <c r="L3832">
        <v>141.08879999999999</v>
      </c>
      <c r="M3832">
        <v>-0.99988600000000005</v>
      </c>
      <c r="N3832">
        <v>0</v>
      </c>
      <c r="O3832">
        <v>-2.0048209999999999E-3</v>
      </c>
      <c r="P3832">
        <v>-0.99305889999999997</v>
      </c>
      <c r="Q3832">
        <v>9.9078540000000007E-2</v>
      </c>
      <c r="R3832">
        <v>-6.3385899999999995E-2</v>
      </c>
      <c r="S3832">
        <v>-3.0505070000000001</v>
      </c>
      <c r="T3832">
        <v>-0.2450359</v>
      </c>
      <c r="U3832">
        <v>4.2282099999999899E-2</v>
      </c>
      <c r="V3832">
        <v>-6.0837999999999899E-2</v>
      </c>
      <c r="W3832">
        <v>0.11423419999999899</v>
      </c>
      <c r="X3832">
        <v>0.99158919999999995</v>
      </c>
      <c r="Y3832">
        <v>1.5806819999999999E-2</v>
      </c>
      <c r="Z3832">
        <v>7.9459240000000003E-4</v>
      </c>
      <c r="AA3832">
        <v>0.99987479999999995</v>
      </c>
      <c r="AB3832">
        <v>50</v>
      </c>
      <c r="AC3832">
        <v>-0.55709999999999105</v>
      </c>
      <c r="AD3832">
        <v>-8.5666999999999896E-2</v>
      </c>
      <c r="AE3832">
        <v>1.53999999999996E-2</v>
      </c>
      <c r="AF3832">
        <v>1.61357232052496E-2</v>
      </c>
      <c r="AG3832">
        <v>-8.5666999999999896E-2</v>
      </c>
      <c r="AH3832">
        <v>0.544209361466227</v>
      </c>
      <c r="AI3832">
        <v>98.941969351888503</v>
      </c>
      <c r="AJ3832">
        <v>88.301686572674697</v>
      </c>
      <c r="AK3832">
        <v>0.551147009027387</v>
      </c>
    </row>
    <row r="3833" spans="1:37" x14ac:dyDescent="0.2">
      <c r="A3833" t="str">
        <f>"20200111153511028"</f>
        <v>20200111153511028</v>
      </c>
      <c r="B3833" t="str">
        <f>"1578728111020374"</f>
        <v>1578728111020374</v>
      </c>
      <c r="C3833" t="s">
        <v>37</v>
      </c>
      <c r="D3833">
        <v>4.8852570000000002</v>
      </c>
      <c r="E3833">
        <v>0.5589248</v>
      </c>
      <c r="F3833" t="s">
        <v>40</v>
      </c>
      <c r="G3833">
        <v>-307.61900000000003</v>
      </c>
      <c r="H3833">
        <v>1.0176829999999999</v>
      </c>
      <c r="I3833">
        <v>141.10659999999999</v>
      </c>
      <c r="J3833">
        <v>-307.10660000000001</v>
      </c>
      <c r="K3833">
        <v>1.1025510000000001</v>
      </c>
      <c r="L3833">
        <v>141.089</v>
      </c>
      <c r="M3833">
        <v>-0.99988790000000005</v>
      </c>
      <c r="N3833">
        <v>0</v>
      </c>
      <c r="O3833">
        <v>-1.89699199999999E-4</v>
      </c>
      <c r="P3833">
        <v>-0.99350769999999899</v>
      </c>
      <c r="Q3833">
        <v>9.6460790000000005E-2</v>
      </c>
      <c r="R3833">
        <v>-6.0314390000000002E-2</v>
      </c>
      <c r="S3833">
        <v>-3.0502319999999998</v>
      </c>
      <c r="T3833">
        <v>-0.25907979999999903</v>
      </c>
      <c r="U3833">
        <v>5.41687E-2</v>
      </c>
      <c r="V3833">
        <v>-5.9558270000000003E-2</v>
      </c>
      <c r="W3833">
        <v>0.1116265</v>
      </c>
      <c r="X3833">
        <v>0.99196390000000001</v>
      </c>
      <c r="Y3833">
        <v>1.7880719999999999E-2</v>
      </c>
      <c r="Z3833">
        <v>7.7403409999999998E-4</v>
      </c>
      <c r="AA3833">
        <v>0.99983979999999995</v>
      </c>
      <c r="AB3833">
        <v>50</v>
      </c>
      <c r="AC3833">
        <v>-0.51240000000001296</v>
      </c>
      <c r="AD3833">
        <v>-8.4868000000000096E-2</v>
      </c>
      <c r="AE3833">
        <v>1.75999999999874E-2</v>
      </c>
      <c r="AF3833">
        <v>1.7225233388924201E-2</v>
      </c>
      <c r="AG3833">
        <v>-8.4868000000000096E-2</v>
      </c>
      <c r="AH3833">
        <v>0.49873119501610502</v>
      </c>
      <c r="AI3833">
        <v>99.6517437060742</v>
      </c>
      <c r="AJ3833">
        <v>88.021898302146695</v>
      </c>
      <c r="AK3833">
        <v>0.50619372869633195</v>
      </c>
    </row>
    <row r="3834" spans="1:37" x14ac:dyDescent="0.2">
      <c r="A3834" t="str">
        <f>"20200111153511049"</f>
        <v>20200111153511049</v>
      </c>
      <c r="B3834" t="str">
        <f>"1578728111039898"</f>
        <v>1578728111039898</v>
      </c>
      <c r="C3834" t="s">
        <v>37</v>
      </c>
      <c r="D3834">
        <v>4.7943020000000001</v>
      </c>
      <c r="E3834">
        <v>0.56471510000000003</v>
      </c>
      <c r="F3834" t="s">
        <v>40</v>
      </c>
      <c r="G3834">
        <v>-308.0283</v>
      </c>
      <c r="H3834">
        <v>0.95132030000000001</v>
      </c>
      <c r="I3834">
        <v>141.17920000000001</v>
      </c>
      <c r="J3834">
        <v>-307.58969999999999</v>
      </c>
      <c r="K3834">
        <v>1.1024639999999899</v>
      </c>
      <c r="L3834">
        <v>141.09</v>
      </c>
      <c r="M3834">
        <v>-0.99988670000000002</v>
      </c>
      <c r="N3834">
        <v>0</v>
      </c>
      <c r="O3834">
        <v>1.623375E-3</v>
      </c>
      <c r="P3834">
        <v>-0.99382499999999996</v>
      </c>
      <c r="Q3834">
        <v>9.4623570000000004E-2</v>
      </c>
      <c r="R3834">
        <v>-5.7952389999999999E-2</v>
      </c>
      <c r="S3834">
        <v>-3.0871279999999999</v>
      </c>
      <c r="T3834">
        <v>-0.50654449999999995</v>
      </c>
      <c r="U3834">
        <v>0.3021393</v>
      </c>
      <c r="V3834">
        <v>-5.8987610000000003E-2</v>
      </c>
      <c r="W3834">
        <v>0.109797699999999</v>
      </c>
      <c r="X3834">
        <v>0.99220200000000003</v>
      </c>
      <c r="Y3834">
        <v>9.4558340000000005E-2</v>
      </c>
      <c r="Z3834">
        <v>7.4241639999999996E-3</v>
      </c>
      <c r="AA3834">
        <v>0.99549159999999903</v>
      </c>
      <c r="AB3834">
        <v>49</v>
      </c>
      <c r="AC3834">
        <v>-0.43860000000000798</v>
      </c>
      <c r="AD3834">
        <v>-0.15114369999999899</v>
      </c>
      <c r="AE3834">
        <v>8.9200000000005206E-2</v>
      </c>
      <c r="AF3834">
        <v>7.94299293491217E-2</v>
      </c>
      <c r="AG3834">
        <v>-0.15114369999999899</v>
      </c>
      <c r="AH3834">
        <v>0.39383313872540199</v>
      </c>
      <c r="AI3834">
        <v>110.61634853951099</v>
      </c>
      <c r="AJ3834">
        <v>78.597310446867098</v>
      </c>
      <c r="AK3834">
        <v>0.429252924141931</v>
      </c>
    </row>
    <row r="3835" spans="1:37" x14ac:dyDescent="0.2">
      <c r="A3835" t="str">
        <f>"20200111153511073"</f>
        <v>20200111153511073</v>
      </c>
      <c r="B3835" t="str">
        <f>"1578728111070150"</f>
        <v>1578728111070150</v>
      </c>
      <c r="C3835" t="s">
        <v>37</v>
      </c>
      <c r="D3835">
        <v>4.8502559999999999</v>
      </c>
      <c r="E3835">
        <v>0.56303499999999995</v>
      </c>
      <c r="F3835" t="s">
        <v>40</v>
      </c>
      <c r="G3835">
        <v>-308.46129999999999</v>
      </c>
      <c r="H3835">
        <v>0.93207530000000005</v>
      </c>
      <c r="I3835">
        <v>141.19139999999999</v>
      </c>
      <c r="J3835">
        <v>-308.09309999999999</v>
      </c>
      <c r="K3835">
        <v>1.102387</v>
      </c>
      <c r="L3835">
        <v>141.09200000000001</v>
      </c>
      <c r="M3835">
        <v>-0.99988189999999999</v>
      </c>
      <c r="N3835">
        <v>0</v>
      </c>
      <c r="O3835">
        <v>3.5155049999999999E-3</v>
      </c>
      <c r="P3835">
        <v>-0.99401839999999997</v>
      </c>
      <c r="Q3835">
        <v>9.3690709999999996E-2</v>
      </c>
      <c r="R3835">
        <v>-5.6123300000000001E-2</v>
      </c>
      <c r="S3835">
        <v>-3.0972599999999999</v>
      </c>
      <c r="T3835">
        <v>-0.60542259999999903</v>
      </c>
      <c r="U3835">
        <v>0.35943599999999998</v>
      </c>
      <c r="V3835">
        <v>-5.9028190000000001E-2</v>
      </c>
      <c r="W3835">
        <v>0.108873</v>
      </c>
      <c r="X3835">
        <v>0.99230149999999995</v>
      </c>
      <c r="Y3835">
        <v>0.1097982</v>
      </c>
      <c r="Z3835">
        <v>9.9174169999999996E-3</v>
      </c>
      <c r="AA3835">
        <v>0.99390440000000002</v>
      </c>
      <c r="AB3835">
        <v>49</v>
      </c>
      <c r="AC3835">
        <v>-0.36820000000000103</v>
      </c>
      <c r="AD3835">
        <v>-0.17031169999999901</v>
      </c>
      <c r="AE3835">
        <v>9.9399999999974398E-2</v>
      </c>
      <c r="AF3835">
        <v>8.1793505161134594E-2</v>
      </c>
      <c r="AG3835">
        <v>-0.17031169999999901</v>
      </c>
      <c r="AH3835">
        <v>0.30727097863834801</v>
      </c>
      <c r="AI3835">
        <v>118.174393797601</v>
      </c>
      <c r="AJ3835">
        <v>75.093901979031301</v>
      </c>
      <c r="AK3835">
        <v>0.36071000395997199</v>
      </c>
    </row>
    <row r="3836" spans="1:37" x14ac:dyDescent="0.2">
      <c r="A3836" t="str">
        <f>"20200111153511094"</f>
        <v>20200111153511094</v>
      </c>
      <c r="B3836" t="str">
        <f>"1578728111089674"</f>
        <v>1578728111089674</v>
      </c>
      <c r="C3836" t="s">
        <v>37</v>
      </c>
      <c r="D3836">
        <v>4.8602249999999998</v>
      </c>
      <c r="E3836">
        <v>0.56218129999999999</v>
      </c>
      <c r="F3836" t="s">
        <v>40</v>
      </c>
      <c r="G3836">
        <v>-308.90170000000001</v>
      </c>
      <c r="H3836">
        <v>0.92976919999999996</v>
      </c>
      <c r="I3836">
        <v>141.18469999999999</v>
      </c>
      <c r="J3836">
        <v>-308.57799999999997</v>
      </c>
      <c r="K3836">
        <v>1.1023459999999901</v>
      </c>
      <c r="L3836">
        <v>141.09479999999999</v>
      </c>
      <c r="M3836">
        <v>-0.99987399999999904</v>
      </c>
      <c r="N3836">
        <v>0</v>
      </c>
      <c r="O3836">
        <v>5.3297750000000001E-3</v>
      </c>
      <c r="P3836">
        <v>-0.99407190000000001</v>
      </c>
      <c r="Q3836">
        <v>9.4052629999999998E-2</v>
      </c>
      <c r="R3836">
        <v>-5.4548599999999899E-2</v>
      </c>
      <c r="S3836">
        <v>-3.1005250000000002</v>
      </c>
      <c r="T3836">
        <v>-0.66180019999999995</v>
      </c>
      <c r="U3836">
        <v>0.35511779999999998</v>
      </c>
      <c r="V3836">
        <v>-5.9242980000000001E-2</v>
      </c>
      <c r="W3836">
        <v>0.1092384</v>
      </c>
      <c r="X3836">
        <v>0.99224859999999904</v>
      </c>
      <c r="Y3836">
        <v>0.1062496</v>
      </c>
      <c r="Z3836">
        <v>1.0056290000000001E-2</v>
      </c>
      <c r="AA3836">
        <v>0.99428859999999997</v>
      </c>
      <c r="AB3836">
        <v>49</v>
      </c>
      <c r="AC3836">
        <v>-0.32370000000003002</v>
      </c>
      <c r="AD3836">
        <v>-0.172576799999999</v>
      </c>
      <c r="AE3836">
        <v>8.9899999999999994E-2</v>
      </c>
      <c r="AF3836">
        <v>6.9763830009508601E-2</v>
      </c>
      <c r="AG3836">
        <v>-0.172576799999999</v>
      </c>
      <c r="AH3836">
        <v>0.25649109743753201</v>
      </c>
      <c r="AI3836">
        <v>122.993648644492</v>
      </c>
      <c r="AJ3836">
        <v>74.784036966200802</v>
      </c>
      <c r="AK3836">
        <v>0.31691864404061998</v>
      </c>
    </row>
    <row r="3837" spans="1:37" x14ac:dyDescent="0.2">
      <c r="A3837" t="str">
        <f>"20200111153511118"</f>
        <v>20200111153511118</v>
      </c>
      <c r="B3837" t="str">
        <f>"1578728111110169"</f>
        <v>1578728111110169</v>
      </c>
      <c r="C3837" t="s">
        <v>37</v>
      </c>
      <c r="D3837">
        <v>4.8267230000000003</v>
      </c>
      <c r="E3837">
        <v>0.56281440000000005</v>
      </c>
      <c r="F3837" t="s">
        <v>40</v>
      </c>
      <c r="G3837">
        <v>-309.34690000000001</v>
      </c>
      <c r="H3837">
        <v>0.93736900000000001</v>
      </c>
      <c r="I3837">
        <v>141.18289999999999</v>
      </c>
      <c r="J3837">
        <v>-309.0949</v>
      </c>
      <c r="K3837">
        <v>1.1023149999999999</v>
      </c>
      <c r="L3837">
        <v>141.09870000000001</v>
      </c>
      <c r="M3837">
        <v>-0.99986200000000003</v>
      </c>
      <c r="N3837">
        <v>0</v>
      </c>
      <c r="O3837">
        <v>7.2497769999999998E-3</v>
      </c>
      <c r="P3837">
        <v>-0.99413830000000003</v>
      </c>
      <c r="Q3837">
        <v>9.4143660000000004E-2</v>
      </c>
      <c r="R3837">
        <v>-5.3164160000000002E-2</v>
      </c>
      <c r="S3837">
        <v>-3.1002809999999998</v>
      </c>
      <c r="T3837">
        <v>-0.66514609999999996</v>
      </c>
      <c r="U3837">
        <v>0.35392760000000001</v>
      </c>
      <c r="V3837">
        <v>-5.9757600000000001E-2</v>
      </c>
      <c r="W3837">
        <v>0.10933369999999901</v>
      </c>
      <c r="X3837">
        <v>0.99220719999999996</v>
      </c>
      <c r="Y3837">
        <v>0.1040423</v>
      </c>
      <c r="Z3837">
        <v>9.467629E-3</v>
      </c>
      <c r="AA3837">
        <v>0.99452779999999996</v>
      </c>
      <c r="AB3837">
        <v>49</v>
      </c>
      <c r="AC3837">
        <v>-0.25200000000000899</v>
      </c>
      <c r="AD3837">
        <v>-0.16494599999999901</v>
      </c>
      <c r="AE3837">
        <v>8.4199999999981401E-2</v>
      </c>
      <c r="AF3837">
        <v>5.9455974386522802E-2</v>
      </c>
      <c r="AG3837">
        <v>-0.16494599999999901</v>
      </c>
      <c r="AH3837">
        <v>0.18233207564467099</v>
      </c>
      <c r="AI3837">
        <v>130.69797568118699</v>
      </c>
      <c r="AJ3837">
        <v>71.939567044021501</v>
      </c>
      <c r="AK3837">
        <v>0.252956876987254</v>
      </c>
    </row>
    <row r="3838" spans="1:37" x14ac:dyDescent="0.2">
      <c r="A3838" t="str">
        <f>"20200111153511141"</f>
        <v>20200111153511141</v>
      </c>
      <c r="B3838" t="str">
        <f>"1578728111129427"</f>
        <v>1578728111129427</v>
      </c>
      <c r="C3838" t="s">
        <v>37</v>
      </c>
      <c r="D3838">
        <v>4.8492509999999998</v>
      </c>
      <c r="E3838">
        <v>0.563365</v>
      </c>
      <c r="F3838" t="s">
        <v>40</v>
      </c>
      <c r="G3838">
        <v>-309.79570000000001</v>
      </c>
      <c r="H3838">
        <v>0.95275810000000005</v>
      </c>
      <c r="I3838">
        <v>141.18119999999999</v>
      </c>
      <c r="J3838">
        <v>-309.58409999999998</v>
      </c>
      <c r="K3838">
        <v>1.1023019999999999</v>
      </c>
      <c r="L3838">
        <v>141.10339999999999</v>
      </c>
      <c r="M3838">
        <v>-0.99984729999999999</v>
      </c>
      <c r="N3838">
        <v>0</v>
      </c>
      <c r="O3838">
        <v>9.0489279999999995E-3</v>
      </c>
      <c r="P3838">
        <v>-0.99409899999999995</v>
      </c>
      <c r="Q3838">
        <v>9.474784E-2</v>
      </c>
      <c r="R3838">
        <v>-5.2820869999999999E-2</v>
      </c>
      <c r="S3838">
        <v>-3.0997309999999998</v>
      </c>
      <c r="T3838">
        <v>-0.66143750000000001</v>
      </c>
      <c r="U3838">
        <v>0.36363220000000002</v>
      </c>
      <c r="V3838">
        <v>-6.1193570000000003E-2</v>
      </c>
      <c r="W3838">
        <v>0.10994369999999901</v>
      </c>
      <c r="X3838">
        <v>0.9920523</v>
      </c>
      <c r="Y3838">
        <v>0.1053798</v>
      </c>
      <c r="Z3838">
        <v>9.1783079999999996E-3</v>
      </c>
      <c r="AA3838">
        <v>0.99438969999999904</v>
      </c>
      <c r="AB3838">
        <v>49</v>
      </c>
      <c r="AC3838">
        <v>-0.21160000000003201</v>
      </c>
      <c r="AD3838">
        <v>-0.14954390000000001</v>
      </c>
      <c r="AE3838">
        <v>7.7799999999996303E-2</v>
      </c>
      <c r="AF3838">
        <v>5.2696215071124701E-2</v>
      </c>
      <c r="AG3838">
        <v>-0.14954390000000001</v>
      </c>
      <c r="AH3838">
        <v>0.14742874058886901</v>
      </c>
      <c r="AI3838">
        <v>133.68633655820099</v>
      </c>
      <c r="AJ3838">
        <v>70.331324276981107</v>
      </c>
      <c r="AK3838">
        <v>0.21650751179035899</v>
      </c>
    </row>
    <row r="3839" spans="1:37" x14ac:dyDescent="0.2">
      <c r="A3839" t="str">
        <f>"20200111153511161"</f>
        <v>20200111153511161</v>
      </c>
      <c r="B3839" t="str">
        <f>"1578728111149923"</f>
        <v>1578728111149923</v>
      </c>
      <c r="C3839" t="s">
        <v>37</v>
      </c>
      <c r="D3839">
        <v>4.8977379999999897</v>
      </c>
      <c r="E3839">
        <v>0.56376999999999999</v>
      </c>
      <c r="F3839" t="s">
        <v>40</v>
      </c>
      <c r="G3839">
        <v>-310.64339999999999</v>
      </c>
      <c r="H3839">
        <v>0.87811530000000004</v>
      </c>
      <c r="I3839">
        <v>141.22980000000001</v>
      </c>
      <c r="J3839">
        <v>-310.05340000000001</v>
      </c>
      <c r="K3839">
        <v>1.1023000000000001</v>
      </c>
      <c r="L3839">
        <v>141.1087</v>
      </c>
      <c r="M3839">
        <v>-0.99983040000000001</v>
      </c>
      <c r="N3839">
        <v>0</v>
      </c>
      <c r="O3839">
        <v>1.075869E-2</v>
      </c>
      <c r="P3839">
        <v>-0.99402880000000005</v>
      </c>
      <c r="Q3839">
        <v>9.5390630000000004E-2</v>
      </c>
      <c r="R3839">
        <v>-5.2986789999999999E-2</v>
      </c>
      <c r="S3839">
        <v>-3.0999759999999998</v>
      </c>
      <c r="T3839">
        <v>-0.65604629999999997</v>
      </c>
      <c r="U3839">
        <v>0.36953740000000002</v>
      </c>
      <c r="V3839">
        <v>-6.3050800000000004E-2</v>
      </c>
      <c r="W3839">
        <v>0.11059339999999999</v>
      </c>
      <c r="X3839">
        <v>0.99186369999999902</v>
      </c>
      <c r="Y3839">
        <v>0.10560650000000001</v>
      </c>
      <c r="Z3839">
        <v>8.7704979999999998E-3</v>
      </c>
      <c r="AA3839">
        <v>0.99436930000000001</v>
      </c>
      <c r="AB3839">
        <v>49</v>
      </c>
      <c r="AC3839">
        <v>-0.58999999999997499</v>
      </c>
      <c r="AD3839">
        <v>-0.22418469999999999</v>
      </c>
      <c r="AE3839">
        <v>0.121100000000012</v>
      </c>
      <c r="AF3839">
        <v>0.100781962506555</v>
      </c>
      <c r="AG3839">
        <v>-0.22418469999999999</v>
      </c>
      <c r="AH3839">
        <v>0.51932037967020495</v>
      </c>
      <c r="AI3839">
        <v>112.96637050789801</v>
      </c>
      <c r="AJ3839">
        <v>79.0174035285538</v>
      </c>
      <c r="AK3839">
        <v>0.57455151241778901</v>
      </c>
    </row>
    <row r="3840" spans="1:37" x14ac:dyDescent="0.2">
      <c r="A3840" t="str">
        <f>"20200111153511184"</f>
        <v>20200111153511184</v>
      </c>
      <c r="B3840" t="str">
        <f>"1578728111180180"</f>
        <v>1578728111180180</v>
      </c>
      <c r="C3840" t="s">
        <v>37</v>
      </c>
      <c r="D3840">
        <v>4.8285330000000002</v>
      </c>
      <c r="E3840">
        <v>0.58618429999999999</v>
      </c>
      <c r="F3840" t="s">
        <v>40</v>
      </c>
      <c r="G3840">
        <v>-311.08620000000002</v>
      </c>
      <c r="H3840">
        <v>0.88475009999999998</v>
      </c>
      <c r="I3840">
        <v>141.2329</v>
      </c>
      <c r="J3840">
        <v>-310.5478</v>
      </c>
      <c r="K3840">
        <v>1.102295</v>
      </c>
      <c r="L3840">
        <v>141.11519999999999</v>
      </c>
      <c r="M3840">
        <v>-0.99980970000000002</v>
      </c>
      <c r="N3840">
        <v>0</v>
      </c>
      <c r="O3840">
        <v>1.254517E-2</v>
      </c>
      <c r="P3840">
        <v>-0.99398909999999996</v>
      </c>
      <c r="Q3840">
        <v>9.5940380000000006E-2</v>
      </c>
      <c r="R3840">
        <v>-5.2743430000000001E-2</v>
      </c>
      <c r="S3840">
        <v>-3.1005250000000002</v>
      </c>
      <c r="T3840">
        <v>-0.65311940000000002</v>
      </c>
      <c r="U3840">
        <v>0.37207030000000002</v>
      </c>
      <c r="V3840">
        <v>-6.4576250000000002E-2</v>
      </c>
      <c r="W3840">
        <v>0.11114739999999999</v>
      </c>
      <c r="X3840">
        <v>0.99170369999999997</v>
      </c>
      <c r="Y3840">
        <v>0.104688</v>
      </c>
      <c r="Z3840">
        <v>8.2641039999999995E-3</v>
      </c>
      <c r="AA3840">
        <v>0.99447079999999999</v>
      </c>
      <c r="AB3840">
        <v>49</v>
      </c>
      <c r="AC3840">
        <v>-0.53840000000002397</v>
      </c>
      <c r="AD3840">
        <v>-0.21754490000000001</v>
      </c>
      <c r="AE3840">
        <v>0.117700000000013</v>
      </c>
      <c r="AF3840">
        <v>9.5980348819584393E-2</v>
      </c>
      <c r="AG3840">
        <v>-0.21754490000000001</v>
      </c>
      <c r="AH3840">
        <v>0.46705891003907701</v>
      </c>
      <c r="AI3840">
        <v>114.52447309126499</v>
      </c>
      <c r="AJ3840">
        <v>78.387414237008201</v>
      </c>
      <c r="AK3840">
        <v>0.524101169930415</v>
      </c>
    </row>
    <row r="3841" spans="1:37" x14ac:dyDescent="0.2">
      <c r="A3841" t="str">
        <f>"20200111153511207"</f>
        <v>20200111153511207</v>
      </c>
      <c r="B3841" t="str">
        <f>"1578728111199702"</f>
        <v>1578728111199702</v>
      </c>
      <c r="C3841" t="s">
        <v>37</v>
      </c>
      <c r="D3841">
        <v>4.865761</v>
      </c>
      <c r="E3841">
        <v>0.58706139999999996</v>
      </c>
      <c r="F3841" t="s">
        <v>40</v>
      </c>
      <c r="G3841">
        <v>-311.52550000000002</v>
      </c>
      <c r="H3841">
        <v>0.8792411</v>
      </c>
      <c r="I3841">
        <v>141.2886</v>
      </c>
      <c r="J3841">
        <v>-311.0607</v>
      </c>
      <c r="K3841">
        <v>1.102298</v>
      </c>
      <c r="L3841">
        <v>141.12289999999999</v>
      </c>
      <c r="M3841">
        <v>-0.99978489999999998</v>
      </c>
      <c r="N3841">
        <v>0</v>
      </c>
      <c r="O3841">
        <v>1.4380799999999999E-2</v>
      </c>
      <c r="P3841">
        <v>-0.99393369999999903</v>
      </c>
      <c r="Q3841">
        <v>9.6993889999999999E-2</v>
      </c>
      <c r="R3841">
        <v>-5.184652E-2</v>
      </c>
      <c r="S3841">
        <v>-3.116028</v>
      </c>
      <c r="T3841">
        <v>-0.71083989999999997</v>
      </c>
      <c r="U3841">
        <v>0.55241390000000001</v>
      </c>
      <c r="V3841">
        <v>-6.5496700000000005E-2</v>
      </c>
      <c r="W3841">
        <v>0.112200299999999</v>
      </c>
      <c r="X3841">
        <v>0.99152469999999904</v>
      </c>
      <c r="Y3841">
        <v>0.15683279999999999</v>
      </c>
      <c r="Z3841">
        <v>1.431603E-2</v>
      </c>
      <c r="AA3841">
        <v>0.98752139999999999</v>
      </c>
      <c r="AB3841">
        <v>49</v>
      </c>
      <c r="AC3841">
        <v>-0.46480000000002503</v>
      </c>
      <c r="AD3841">
        <v>-0.2230569</v>
      </c>
      <c r="AE3841">
        <v>0.165700000000015</v>
      </c>
      <c r="AF3841">
        <v>0.13202146402314499</v>
      </c>
      <c r="AG3841">
        <v>-0.2230569</v>
      </c>
      <c r="AH3841">
        <v>0.38787840016325997</v>
      </c>
      <c r="AI3841">
        <v>118.56381404433201</v>
      </c>
      <c r="AJ3841">
        <v>71.203059794934106</v>
      </c>
      <c r="AK3841">
        <v>0.46651227305788501</v>
      </c>
    </row>
    <row r="3842" spans="1:37" x14ac:dyDescent="0.2">
      <c r="A3842" t="str">
        <f>"20200111153511222"</f>
        <v>20200111153511222</v>
      </c>
      <c r="B3842" t="str">
        <f>"1578728111209459"</f>
        <v>1578728111209459</v>
      </c>
      <c r="C3842" t="s">
        <v>37</v>
      </c>
      <c r="D3842">
        <v>4.8467599999999997</v>
      </c>
      <c r="E3842">
        <v>0.58769659999999901</v>
      </c>
      <c r="F3842" t="s">
        <v>40</v>
      </c>
      <c r="G3842">
        <v>-311.97190000000001</v>
      </c>
      <c r="H3842">
        <v>0.89644889999999999</v>
      </c>
      <c r="I3842">
        <v>141.28720000000001</v>
      </c>
      <c r="J3842">
        <v>-311.3766</v>
      </c>
      <c r="K3842">
        <v>1.1023000000000001</v>
      </c>
      <c r="L3842">
        <v>141.12799999999999</v>
      </c>
      <c r="M3842">
        <v>-0.999768199999999</v>
      </c>
      <c r="N3842">
        <v>0</v>
      </c>
      <c r="O3842">
        <v>1.550111E-2</v>
      </c>
      <c r="P3842">
        <v>-0.99396960000000001</v>
      </c>
      <c r="Q3842">
        <v>9.7162189999999996E-2</v>
      </c>
      <c r="R3842">
        <v>-5.083377E-2</v>
      </c>
      <c r="S3842">
        <v>-3.116333</v>
      </c>
      <c r="T3842">
        <v>-0.70397650000000001</v>
      </c>
      <c r="U3842">
        <v>0.56112669999999998</v>
      </c>
      <c r="V3842">
        <v>-6.5596630000000003E-2</v>
      </c>
      <c r="W3842">
        <v>0.1123666</v>
      </c>
      <c r="X3842">
        <v>0.99149929999999997</v>
      </c>
      <c r="Y3842">
        <v>0.1584438</v>
      </c>
      <c r="Z3842">
        <v>1.410696E-2</v>
      </c>
      <c r="AA3842">
        <v>0.98726719999999901</v>
      </c>
      <c r="AB3842">
        <v>49</v>
      </c>
      <c r="AC3842">
        <v>-0.59530000000000804</v>
      </c>
      <c r="AD3842">
        <v>-0.20585110000000001</v>
      </c>
      <c r="AE3842">
        <v>0.15920000000002599</v>
      </c>
      <c r="AF3842">
        <v>0.13489837299219501</v>
      </c>
      <c r="AG3842">
        <v>-0.20585110000000001</v>
      </c>
      <c r="AH3842">
        <v>0.53769387849767702</v>
      </c>
      <c r="AI3842">
        <v>110.37160972812499</v>
      </c>
      <c r="AJ3842">
        <v>75.916138273772901</v>
      </c>
      <c r="AK3842">
        <v>0.59134334644183295</v>
      </c>
    </row>
    <row r="3843" spans="1:37" x14ac:dyDescent="0.2">
      <c r="A3843" t="str">
        <f>"20200111153511240"</f>
        <v>20200111153511240</v>
      </c>
      <c r="B3843" t="str">
        <f>"1578728111229958"</f>
        <v>1578728111229958</v>
      </c>
      <c r="C3843" t="s">
        <v>37</v>
      </c>
      <c r="D3843">
        <v>4.8431629999999997</v>
      </c>
      <c r="E3843">
        <v>0.58870159999999905</v>
      </c>
      <c r="F3843" t="s">
        <v>40</v>
      </c>
      <c r="G3843">
        <v>-312.40120000000002</v>
      </c>
      <c r="H3843">
        <v>0.87209219999999898</v>
      </c>
      <c r="I3843">
        <v>141.31540000000001</v>
      </c>
      <c r="J3843">
        <v>-311.786</v>
      </c>
      <c r="K3843">
        <v>1.1023049999999901</v>
      </c>
      <c r="L3843">
        <v>141.1352</v>
      </c>
      <c r="M3843">
        <v>-0.99974499999999999</v>
      </c>
      <c r="N3843">
        <v>0</v>
      </c>
      <c r="O3843">
        <v>1.693766E-2</v>
      </c>
      <c r="P3843">
        <v>-0.99406530000000004</v>
      </c>
      <c r="Q3843">
        <v>9.6926940000000003E-2</v>
      </c>
      <c r="R3843">
        <v>-4.9391009999999999E-2</v>
      </c>
      <c r="S3843">
        <v>-3.115723</v>
      </c>
      <c r="T3843">
        <v>-0.70002350000000002</v>
      </c>
      <c r="U3843">
        <v>0.56959530000000003</v>
      </c>
      <c r="V3843">
        <v>-6.5587069999999997E-2</v>
      </c>
      <c r="W3843">
        <v>0.1121278</v>
      </c>
      <c r="X3843">
        <v>0.99152700000000005</v>
      </c>
      <c r="Y3843">
        <v>0.15970119999999999</v>
      </c>
      <c r="Z3843">
        <v>1.385142E-2</v>
      </c>
      <c r="AA3843">
        <v>0.98706819999999895</v>
      </c>
      <c r="AB3843">
        <v>49</v>
      </c>
      <c r="AC3843">
        <v>-0.61520000000001496</v>
      </c>
      <c r="AD3843">
        <v>-0.2302128</v>
      </c>
      <c r="AE3843">
        <v>0.18020000000001299</v>
      </c>
      <c r="AF3843">
        <v>0.15036134181434199</v>
      </c>
      <c r="AG3843">
        <v>-0.2302128</v>
      </c>
      <c r="AH3843">
        <v>0.54754873456368602</v>
      </c>
      <c r="AI3843">
        <v>112.069286432987</v>
      </c>
      <c r="AJ3843">
        <v>74.6446239972624</v>
      </c>
      <c r="AK3843">
        <v>0.61271207195414701</v>
      </c>
    </row>
    <row r="3844" spans="1:37" x14ac:dyDescent="0.2">
      <c r="A3844" t="str">
        <f>"20200111153511256"</f>
        <v>20200111153511256</v>
      </c>
      <c r="B3844" t="str">
        <f>"1578728111249475"</f>
        <v>1578728111249475</v>
      </c>
      <c r="C3844" t="s">
        <v>37</v>
      </c>
      <c r="D3844">
        <v>4.8378949999999996</v>
      </c>
      <c r="E3844">
        <v>0.58878949999999997</v>
      </c>
      <c r="F3844" t="s">
        <v>40</v>
      </c>
      <c r="G3844">
        <v>-312.83819999999997</v>
      </c>
      <c r="H3844">
        <v>0.86769470000000004</v>
      </c>
      <c r="I3844">
        <v>141.3322</v>
      </c>
      <c r="J3844">
        <v>-312.13650000000001</v>
      </c>
      <c r="K3844">
        <v>1.1023149999999999</v>
      </c>
      <c r="L3844">
        <v>141.14189999999999</v>
      </c>
      <c r="M3844">
        <v>-0.9997239</v>
      </c>
      <c r="N3844">
        <v>0</v>
      </c>
      <c r="O3844">
        <v>1.8148439999999998E-2</v>
      </c>
      <c r="P3844">
        <v>-0.99420330000000001</v>
      </c>
      <c r="Q3844">
        <v>9.6400990000000006E-2</v>
      </c>
      <c r="R3844">
        <v>-4.7612969999999998E-2</v>
      </c>
      <c r="S3844">
        <v>-3.1145019999999999</v>
      </c>
      <c r="T3844">
        <v>-0.69444119999999998</v>
      </c>
      <c r="U3844">
        <v>0.58197019999999899</v>
      </c>
      <c r="V3844">
        <v>-6.5021270000000006E-2</v>
      </c>
      <c r="W3844">
        <v>0.11159520000000001</v>
      </c>
      <c r="X3844">
        <v>0.99162430000000001</v>
      </c>
      <c r="Y3844">
        <v>0.16238620000000001</v>
      </c>
      <c r="Z3844">
        <v>1.3772990000000001E-2</v>
      </c>
      <c r="AA3844">
        <v>0.98663120000000004</v>
      </c>
      <c r="AB3844">
        <v>49</v>
      </c>
      <c r="AC3844">
        <v>-0.70169999999995902</v>
      </c>
      <c r="AD3844">
        <v>-0.234620299999999</v>
      </c>
      <c r="AE3844">
        <v>0.19030000000000699</v>
      </c>
      <c r="AF3844">
        <v>0.160788395919127</v>
      </c>
      <c r="AG3844">
        <v>-0.234620299999999</v>
      </c>
      <c r="AH3844">
        <v>0.63854233701515295</v>
      </c>
      <c r="AI3844">
        <v>109.611422319368</v>
      </c>
      <c r="AJ3844">
        <v>75.8664420458649</v>
      </c>
      <c r="AK3844">
        <v>0.69902497065205704</v>
      </c>
    </row>
    <row r="3845" spans="1:37" x14ac:dyDescent="0.2">
      <c r="A3845" t="str">
        <f>"20200111153511268"</f>
        <v>20200111153511268</v>
      </c>
      <c r="B3845" t="str">
        <f>"1578728111260212"</f>
        <v>1578728111260212</v>
      </c>
      <c r="C3845" t="s">
        <v>37</v>
      </c>
      <c r="D3845">
        <v>4.8385499999999997</v>
      </c>
      <c r="E3845">
        <v>0.5886981</v>
      </c>
      <c r="F3845" t="s">
        <v>40</v>
      </c>
      <c r="G3845">
        <v>-312.86829999999998</v>
      </c>
      <c r="H3845">
        <v>0.93954490000000002</v>
      </c>
      <c r="I3845">
        <v>141.28039999999999</v>
      </c>
      <c r="J3845">
        <v>-312.40780000000001</v>
      </c>
      <c r="K3845">
        <v>1.1023229999999999</v>
      </c>
      <c r="L3845">
        <v>141.1473</v>
      </c>
      <c r="M3845">
        <v>-0.999706599999999</v>
      </c>
      <c r="N3845">
        <v>0</v>
      </c>
      <c r="O3845">
        <v>1.9071089999999999E-2</v>
      </c>
      <c r="P3845">
        <v>-0.99437389999999903</v>
      </c>
      <c r="Q3845">
        <v>9.5473139999999998E-2</v>
      </c>
      <c r="R3845">
        <v>-4.5884170000000002E-2</v>
      </c>
      <c r="S3845">
        <v>-3.112762</v>
      </c>
      <c r="T3845">
        <v>-0.69226849999999995</v>
      </c>
      <c r="U3845">
        <v>0.58760069999999998</v>
      </c>
      <c r="V3845">
        <v>-6.4221799999999996E-2</v>
      </c>
      <c r="W3845">
        <v>0.1106612</v>
      </c>
      <c r="X3845">
        <v>0.99178109999999997</v>
      </c>
      <c r="Y3845">
        <v>0.1633182</v>
      </c>
      <c r="Z3845">
        <v>1.3636779999999999E-2</v>
      </c>
      <c r="AA3845">
        <v>0.9864792</v>
      </c>
      <c r="AB3845">
        <v>49</v>
      </c>
      <c r="AC3845">
        <v>-0.46049999999996699</v>
      </c>
      <c r="AD3845">
        <v>-0.16277809999999901</v>
      </c>
      <c r="AE3845">
        <v>0.13309999999998401</v>
      </c>
      <c r="AF3845">
        <v>0.111441628327535</v>
      </c>
      <c r="AG3845">
        <v>-0.16277809999999901</v>
      </c>
      <c r="AH3845">
        <v>0.41508872648363698</v>
      </c>
      <c r="AI3845">
        <v>110.743695342948</v>
      </c>
      <c r="AJ3845">
        <v>74.971807367182507</v>
      </c>
      <c r="AK3845">
        <v>0.45958089300765098</v>
      </c>
    </row>
    <row r="3846" spans="1:37" x14ac:dyDescent="0.2">
      <c r="A3846" t="str">
        <f>"20200111153511285"</f>
        <v>20200111153511285</v>
      </c>
      <c r="B3846" t="str">
        <f>"1578728111279731"</f>
        <v>1578728111279731</v>
      </c>
      <c r="C3846" t="s">
        <v>37</v>
      </c>
      <c r="D3846">
        <v>4.8768729999999998</v>
      </c>
      <c r="E3846">
        <v>0.58907969999999998</v>
      </c>
      <c r="F3846" t="s">
        <v>40</v>
      </c>
      <c r="G3846">
        <v>-313.29169999999999</v>
      </c>
      <c r="H3846">
        <v>0.90517150000000002</v>
      </c>
      <c r="I3846">
        <v>141.31569999999999</v>
      </c>
      <c r="J3846">
        <v>-312.76760000000002</v>
      </c>
      <c r="K3846">
        <v>1.102344</v>
      </c>
      <c r="L3846">
        <v>141.1549</v>
      </c>
      <c r="M3846">
        <v>-0.99968299999999999</v>
      </c>
      <c r="N3846">
        <v>0</v>
      </c>
      <c r="O3846">
        <v>2.0275609999999999E-2</v>
      </c>
      <c r="P3846">
        <v>-0.99458159999999896</v>
      </c>
      <c r="Q3846">
        <v>9.4660279999999999E-2</v>
      </c>
      <c r="R3846">
        <v>-4.2978089999999997E-2</v>
      </c>
      <c r="S3846">
        <v>-3.1109009999999899</v>
      </c>
      <c r="T3846">
        <v>-0.69385410000000003</v>
      </c>
      <c r="U3846">
        <v>0.59242249999999996</v>
      </c>
      <c r="V3846">
        <v>-6.2528730000000005E-2</v>
      </c>
      <c r="W3846">
        <v>0.1098351</v>
      </c>
      <c r="X3846">
        <v>0.991981</v>
      </c>
      <c r="Y3846">
        <v>0.1637149</v>
      </c>
      <c r="Z3846">
        <v>1.3453730000000001E-2</v>
      </c>
      <c r="AA3846">
        <v>0.98641599999999996</v>
      </c>
      <c r="AB3846">
        <v>49</v>
      </c>
      <c r="AC3846">
        <v>-0.52409999999997503</v>
      </c>
      <c r="AD3846">
        <v>-0.1971725</v>
      </c>
      <c r="AE3846">
        <v>0.160799999999994</v>
      </c>
      <c r="AF3846">
        <v>0.13294214416199901</v>
      </c>
      <c r="AG3846">
        <v>-0.1971725</v>
      </c>
      <c r="AH3846">
        <v>0.46686064706973801</v>
      </c>
      <c r="AI3846">
        <v>112.106476409709</v>
      </c>
      <c r="AJ3846">
        <v>74.105291000996701</v>
      </c>
      <c r="AK3846">
        <v>0.52393651546061704</v>
      </c>
    </row>
    <row r="3847" spans="1:37" x14ac:dyDescent="0.2">
      <c r="A3847" t="str">
        <f>"20200111153511308"</f>
        <v>20200111153511308</v>
      </c>
      <c r="B3847" t="str">
        <f>"1578728111300230"</f>
        <v>1578728111300230</v>
      </c>
      <c r="C3847" t="s">
        <v>37</v>
      </c>
      <c r="D3847">
        <v>4.8107680000000004</v>
      </c>
      <c r="E3847">
        <v>0.59898569999999995</v>
      </c>
      <c r="F3847" t="s">
        <v>40</v>
      </c>
      <c r="G3847">
        <v>-313.72269999999997</v>
      </c>
      <c r="H3847">
        <v>0.88780360000000003</v>
      </c>
      <c r="I3847">
        <v>141.34100000000001</v>
      </c>
      <c r="J3847">
        <v>-313.26530000000002</v>
      </c>
      <c r="K3847">
        <v>1.1023959999999999</v>
      </c>
      <c r="L3847">
        <v>141.1661</v>
      </c>
      <c r="M3847">
        <v>-0.99964900000000001</v>
      </c>
      <c r="N3847">
        <v>0</v>
      </c>
      <c r="O3847">
        <v>2.188843E-2</v>
      </c>
      <c r="P3847">
        <v>-0.99467129999999904</v>
      </c>
      <c r="Q3847">
        <v>9.4988210000000003E-2</v>
      </c>
      <c r="R3847">
        <v>-4.0081940000000003E-2</v>
      </c>
      <c r="S3847">
        <v>-3.108978</v>
      </c>
      <c r="T3847">
        <v>-0.69834160000000001</v>
      </c>
      <c r="U3847">
        <v>0.60501099999999997</v>
      </c>
      <c r="V3847">
        <v>-6.1248950000000003E-2</v>
      </c>
      <c r="W3847">
        <v>0.1101461</v>
      </c>
      <c r="X3847">
        <v>0.99202639999999997</v>
      </c>
      <c r="Y3847">
        <v>0.16602620000000001</v>
      </c>
      <c r="Z3847">
        <v>1.3441659999999999E-2</v>
      </c>
      <c r="AA3847">
        <v>0.98602969999999901</v>
      </c>
      <c r="AB3847">
        <v>49</v>
      </c>
      <c r="AC3847">
        <v>-0.45739999999995001</v>
      </c>
      <c r="AD3847">
        <v>-0.21459239999999899</v>
      </c>
      <c r="AE3847">
        <v>0.17490000000000799</v>
      </c>
      <c r="AF3847">
        <v>0.13828938558812301</v>
      </c>
      <c r="AG3847">
        <v>-0.21459239999999899</v>
      </c>
      <c r="AH3847">
        <v>0.38683489584447001</v>
      </c>
      <c r="AI3847">
        <v>117.58092784407501</v>
      </c>
      <c r="AJ3847">
        <v>70.328567107987297</v>
      </c>
      <c r="AK3847">
        <v>0.463481487167613</v>
      </c>
    </row>
    <row r="3848" spans="1:37" x14ac:dyDescent="0.2">
      <c r="A3848" t="str">
        <f>"20200111153511322"</f>
        <v>20200111153511322</v>
      </c>
      <c r="B3848" t="str">
        <f>"1578728111319747"</f>
        <v>1578728111319747</v>
      </c>
      <c r="C3848" t="s">
        <v>37</v>
      </c>
      <c r="D3848">
        <v>4.7676360000000004</v>
      </c>
      <c r="E3848">
        <v>0.59911719999999902</v>
      </c>
      <c r="F3848" t="s">
        <v>40</v>
      </c>
      <c r="G3848">
        <v>-314.15719999999999</v>
      </c>
      <c r="H3848">
        <v>0.87962559999999901</v>
      </c>
      <c r="I3848">
        <v>141.36519999999999</v>
      </c>
      <c r="J3848">
        <v>-313.59629999999999</v>
      </c>
      <c r="K3848">
        <v>1.1024350000000001</v>
      </c>
      <c r="L3848">
        <v>141.1739</v>
      </c>
      <c r="M3848">
        <v>-0.99962569999999995</v>
      </c>
      <c r="N3848">
        <v>0</v>
      </c>
      <c r="O3848">
        <v>2.2928049999999998E-2</v>
      </c>
      <c r="P3848">
        <v>-0.99468519999999905</v>
      </c>
      <c r="Q3848">
        <v>9.5475729999999995E-2</v>
      </c>
      <c r="R3848">
        <v>-3.8546509999999999E-2</v>
      </c>
      <c r="S3848">
        <v>-3.1185</v>
      </c>
      <c r="T3848">
        <v>-0.77890479999999995</v>
      </c>
      <c r="U3848">
        <v>0.69602969999999997</v>
      </c>
      <c r="V3848">
        <v>-6.0754710000000003E-2</v>
      </c>
      <c r="W3848">
        <v>0.1106219</v>
      </c>
      <c r="X3848">
        <v>0.99200390000000005</v>
      </c>
      <c r="Y3848">
        <v>0.1904961</v>
      </c>
      <c r="Z3848">
        <v>1.7586419999999998E-2</v>
      </c>
      <c r="AA3848">
        <v>0.98153040000000003</v>
      </c>
      <c r="AB3848">
        <v>49</v>
      </c>
      <c r="AC3848">
        <v>-0.56090000000000295</v>
      </c>
      <c r="AD3848">
        <v>-0.22280939999999999</v>
      </c>
      <c r="AE3848">
        <v>0.19129999999998401</v>
      </c>
      <c r="AF3848">
        <v>0.156295051605125</v>
      </c>
      <c r="AG3848">
        <v>-0.22280939999999999</v>
      </c>
      <c r="AH3848">
        <v>0.49514815506973098</v>
      </c>
      <c r="AI3848">
        <v>113.224896907256</v>
      </c>
      <c r="AJ3848">
        <v>72.481536842038594</v>
      </c>
      <c r="AK3848">
        <v>0.56501669652636599</v>
      </c>
    </row>
    <row r="3849" spans="1:37" x14ac:dyDescent="0.2">
      <c r="A3849" t="str">
        <f>"20200111153511340"</f>
        <v>20200111153511340</v>
      </c>
      <c r="B3849" t="str">
        <f>"1578728111329508"</f>
        <v>1578728111329508</v>
      </c>
      <c r="C3849" t="s">
        <v>37</v>
      </c>
      <c r="D3849">
        <v>4.7453370000000001</v>
      </c>
      <c r="E3849">
        <v>0.59806719999999902</v>
      </c>
      <c r="F3849" t="s">
        <v>40</v>
      </c>
      <c r="G3849">
        <v>-314.58510000000001</v>
      </c>
      <c r="H3849">
        <v>0.85672950000000003</v>
      </c>
      <c r="I3849">
        <v>141.39689999999999</v>
      </c>
      <c r="J3849">
        <v>-313.97910000000002</v>
      </c>
      <c r="K3849">
        <v>1.1024929999999999</v>
      </c>
      <c r="L3849">
        <v>141.18340000000001</v>
      </c>
      <c r="M3849">
        <v>-0.9995984</v>
      </c>
      <c r="N3849">
        <v>0</v>
      </c>
      <c r="O3849">
        <v>2.4091910000000001E-2</v>
      </c>
      <c r="P3849">
        <v>-0.99470009999999998</v>
      </c>
      <c r="Q3849">
        <v>9.6103969999999997E-2</v>
      </c>
      <c r="R3849">
        <v>-3.6551099999999899E-2</v>
      </c>
      <c r="S3849">
        <v>-3.1175839999999999</v>
      </c>
      <c r="T3849">
        <v>-0.77466699999999999</v>
      </c>
      <c r="U3849">
        <v>0.70181269999999996</v>
      </c>
      <c r="V3849">
        <v>-5.992749E-2</v>
      </c>
      <c r="W3849">
        <v>0.1112356</v>
      </c>
      <c r="X3849">
        <v>0.99198560000000002</v>
      </c>
      <c r="Y3849">
        <v>0.19121440000000001</v>
      </c>
      <c r="Z3849">
        <v>1.7300759999999998E-2</v>
      </c>
      <c r="AA3849">
        <v>0.98139580000000004</v>
      </c>
      <c r="AB3849">
        <v>49</v>
      </c>
      <c r="AC3849">
        <v>-0.60599999999999399</v>
      </c>
      <c r="AD3849">
        <v>-0.245763499999999</v>
      </c>
      <c r="AE3849">
        <v>0.21349999999998201</v>
      </c>
      <c r="AF3849">
        <v>0.17345795237940401</v>
      </c>
      <c r="AG3849">
        <v>-0.245763499999999</v>
      </c>
      <c r="AH3849">
        <v>0.53298665110106003</v>
      </c>
      <c r="AI3849">
        <v>113.67602742081399</v>
      </c>
      <c r="AJ3849">
        <v>71.972769730128306</v>
      </c>
      <c r="AK3849">
        <v>0.61201481144481196</v>
      </c>
    </row>
    <row r="3850" spans="1:37" x14ac:dyDescent="0.2">
      <c r="A3850" t="str">
        <f>"20200111153511363"</f>
        <v>20200111153511363</v>
      </c>
      <c r="B3850" t="str">
        <f>"1578728111359764"</f>
        <v>1578728111359764</v>
      </c>
      <c r="C3850" t="s">
        <v>37</v>
      </c>
      <c r="D3850">
        <v>4.7313479999999997</v>
      </c>
      <c r="E3850">
        <v>0.59632209999999997</v>
      </c>
      <c r="F3850" t="s">
        <v>40</v>
      </c>
      <c r="G3850">
        <v>-315.017</v>
      </c>
      <c r="H3850">
        <v>0.8446186</v>
      </c>
      <c r="I3850">
        <v>141.4169</v>
      </c>
      <c r="J3850">
        <v>-314.47590000000002</v>
      </c>
      <c r="K3850">
        <v>1.1025750000000001</v>
      </c>
      <c r="L3850">
        <v>141.19640000000001</v>
      </c>
      <c r="M3850">
        <v>-0.99956290000000003</v>
      </c>
      <c r="N3850">
        <v>0</v>
      </c>
      <c r="O3850">
        <v>2.5526199999999999E-2</v>
      </c>
      <c r="P3850">
        <v>-0.99474379999999996</v>
      </c>
      <c r="Q3850">
        <v>9.6263959999999996E-2</v>
      </c>
      <c r="R3850">
        <v>-3.4903620000000003E-2</v>
      </c>
      <c r="S3850">
        <v>-3.1165159999999998</v>
      </c>
      <c r="T3850">
        <v>-0.7742829</v>
      </c>
      <c r="U3850">
        <v>0.7004089</v>
      </c>
      <c r="V3850">
        <v>-5.9725960000000002E-2</v>
      </c>
      <c r="W3850">
        <v>0.1113796</v>
      </c>
      <c r="X3850">
        <v>0.99198159999999902</v>
      </c>
      <c r="Y3850">
        <v>0.1895493</v>
      </c>
      <c r="Z3850">
        <v>1.6751149999999999E-2</v>
      </c>
      <c r="AA3850">
        <v>0.9817283</v>
      </c>
      <c r="AB3850">
        <v>49</v>
      </c>
      <c r="AC3850">
        <v>-0.54109999999997105</v>
      </c>
      <c r="AD3850">
        <v>-0.25795639999999997</v>
      </c>
      <c r="AE3850">
        <v>0.22049999999998701</v>
      </c>
      <c r="AF3850">
        <v>0.172913186252138</v>
      </c>
      <c r="AG3850">
        <v>-0.25795639999999997</v>
      </c>
      <c r="AH3850">
        <v>0.45740373741343099</v>
      </c>
      <c r="AI3850">
        <v>117.81265306812</v>
      </c>
      <c r="AJ3850">
        <v>69.291810585566694</v>
      </c>
      <c r="AK3850">
        <v>0.55286404592865501</v>
      </c>
    </row>
    <row r="3851" spans="1:37" x14ac:dyDescent="0.2">
      <c r="A3851" t="str">
        <f>"20200111153511386"</f>
        <v>20200111153511386</v>
      </c>
      <c r="B3851" t="str">
        <f>"1578728111380261"</f>
        <v>1578728111380261</v>
      </c>
      <c r="C3851" t="s">
        <v>37</v>
      </c>
      <c r="D3851">
        <v>4.7783119999999997</v>
      </c>
      <c r="E3851">
        <v>0.59629370000000004</v>
      </c>
      <c r="F3851" t="s">
        <v>40</v>
      </c>
      <c r="G3851">
        <v>-315.45859999999999</v>
      </c>
      <c r="H3851">
        <v>0.85742180000000001</v>
      </c>
      <c r="I3851">
        <v>141.41489999999999</v>
      </c>
      <c r="J3851">
        <v>-314.96550000000002</v>
      </c>
      <c r="K3851">
        <v>1.102657</v>
      </c>
      <c r="L3851">
        <v>141.2097</v>
      </c>
      <c r="M3851">
        <v>-0.99952779999999997</v>
      </c>
      <c r="N3851">
        <v>0</v>
      </c>
      <c r="O3851">
        <v>2.6863089999999999E-2</v>
      </c>
      <c r="P3851">
        <v>-0.99468849999999998</v>
      </c>
      <c r="Q3851">
        <v>9.6966759999999999E-2</v>
      </c>
      <c r="R3851">
        <v>-3.4526580000000001E-2</v>
      </c>
      <c r="S3851">
        <v>-3.115326</v>
      </c>
      <c r="T3851">
        <v>-0.77714259999999902</v>
      </c>
      <c r="U3851">
        <v>0.69233699999999998</v>
      </c>
      <c r="V3851">
        <v>-6.0694190000000002E-2</v>
      </c>
      <c r="W3851">
        <v>0.112069499999999</v>
      </c>
      <c r="X3851">
        <v>0.99184509999999904</v>
      </c>
      <c r="Y3851">
        <v>0.1859952</v>
      </c>
      <c r="Z3851">
        <v>1.606604E-2</v>
      </c>
      <c r="AA3851">
        <v>0.9824193</v>
      </c>
      <c r="AB3851">
        <v>49</v>
      </c>
      <c r="AC3851">
        <v>-0.49309999999996901</v>
      </c>
      <c r="AD3851">
        <v>-0.24523519999999899</v>
      </c>
      <c r="AE3851">
        <v>0.20519999999999</v>
      </c>
      <c r="AF3851">
        <v>0.15846834906209001</v>
      </c>
      <c r="AG3851">
        <v>-0.24523519999999899</v>
      </c>
      <c r="AH3851">
        <v>0.41164724740212899</v>
      </c>
      <c r="AI3851">
        <v>119.07265324616699</v>
      </c>
      <c r="AJ3851">
        <v>68.945214685775298</v>
      </c>
      <c r="AK3851">
        <v>0.50468403706403697</v>
      </c>
    </row>
    <row r="3852" spans="1:37" x14ac:dyDescent="0.2">
      <c r="A3852" t="str">
        <f>"20200111153511402"</f>
        <v>20200111153511402</v>
      </c>
      <c r="B3852" t="str">
        <f>"1578728111399779"</f>
        <v>1578728111399779</v>
      </c>
      <c r="C3852" t="s">
        <v>37</v>
      </c>
      <c r="D3852">
        <v>4.780627</v>
      </c>
      <c r="E3852">
        <v>0.59628019999999904</v>
      </c>
      <c r="F3852" t="s">
        <v>40</v>
      </c>
      <c r="G3852">
        <v>-315.90030000000002</v>
      </c>
      <c r="H3852">
        <v>0.87086980000000003</v>
      </c>
      <c r="I3852">
        <v>141.41820000000001</v>
      </c>
      <c r="J3852">
        <v>-315.3295</v>
      </c>
      <c r="K3852">
        <v>1.1027209999999901</v>
      </c>
      <c r="L3852">
        <v>141.2201</v>
      </c>
      <c r="M3852">
        <v>-0.99950190000000005</v>
      </c>
      <c r="N3852">
        <v>0</v>
      </c>
      <c r="O3852">
        <v>2.7810020000000001E-2</v>
      </c>
      <c r="P3852">
        <v>-0.99464809999999904</v>
      </c>
      <c r="Q3852">
        <v>9.7481880000000007E-2</v>
      </c>
      <c r="R3852">
        <v>-3.4239579999999999E-2</v>
      </c>
      <c r="S3852">
        <v>-3.1154169999999999</v>
      </c>
      <c r="T3852">
        <v>-0.77242929999999999</v>
      </c>
      <c r="U3852">
        <v>0.69412229999999997</v>
      </c>
      <c r="V3852">
        <v>-6.1360810000000002E-2</v>
      </c>
      <c r="W3852">
        <v>0.1125746</v>
      </c>
      <c r="X3852">
        <v>0.99174680000000004</v>
      </c>
      <c r="Y3852">
        <v>0.1856882</v>
      </c>
      <c r="Z3852">
        <v>1.5704719999999998E-2</v>
      </c>
      <c r="AA3852">
        <v>0.9824832</v>
      </c>
      <c r="AB3852">
        <v>49</v>
      </c>
      <c r="AC3852">
        <v>-0.57080000000001896</v>
      </c>
      <c r="AD3852">
        <v>-0.23185119999999901</v>
      </c>
      <c r="AE3852">
        <v>0.19810000000000999</v>
      </c>
      <c r="AF3852">
        <v>0.15876874524142601</v>
      </c>
      <c r="AG3852">
        <v>-0.23185119999999901</v>
      </c>
      <c r="AH3852">
        <v>0.50214717370395301</v>
      </c>
      <c r="AI3852">
        <v>113.760940273682</v>
      </c>
      <c r="AJ3852">
        <v>72.454102779165396</v>
      </c>
      <c r="AK3852">
        <v>0.57542530137789805</v>
      </c>
    </row>
    <row r="3853" spans="1:37" x14ac:dyDescent="0.2">
      <c r="A3853" t="str">
        <f>"20200111153511418"</f>
        <v>20200111153511418</v>
      </c>
      <c r="B3853" t="str">
        <f>"1578728111409539"</f>
        <v>1578728111409539</v>
      </c>
      <c r="C3853" t="s">
        <v>37</v>
      </c>
      <c r="D3853">
        <v>4.7612040000000002</v>
      </c>
      <c r="E3853">
        <v>0.59605459999999999</v>
      </c>
      <c r="F3853" t="s">
        <v>40</v>
      </c>
      <c r="G3853">
        <v>-316.3297</v>
      </c>
      <c r="H3853">
        <v>0.85519990000000001</v>
      </c>
      <c r="I3853">
        <v>141.44370000000001</v>
      </c>
      <c r="J3853">
        <v>-315.6893</v>
      </c>
      <c r="K3853">
        <v>1.102789</v>
      </c>
      <c r="L3853">
        <v>141.23060000000001</v>
      </c>
      <c r="M3853">
        <v>-0.99947680000000005</v>
      </c>
      <c r="N3853">
        <v>0</v>
      </c>
      <c r="O3853">
        <v>2.870431E-2</v>
      </c>
      <c r="P3853">
        <v>-0.99447640000000004</v>
      </c>
      <c r="Q3853">
        <v>9.8811460000000004E-2</v>
      </c>
      <c r="R3853">
        <v>-3.5401509999999997E-2</v>
      </c>
      <c r="S3853">
        <v>-3.115631</v>
      </c>
      <c r="T3853">
        <v>-0.77097799999999905</v>
      </c>
      <c r="U3853">
        <v>0.69512940000000001</v>
      </c>
      <c r="V3853">
        <v>-6.3416689999999998E-2</v>
      </c>
      <c r="W3853">
        <v>0.1138969</v>
      </c>
      <c r="X3853">
        <v>0.99146650000000003</v>
      </c>
      <c r="Y3853">
        <v>0.18515689999999899</v>
      </c>
      <c r="Z3853">
        <v>1.539542E-2</v>
      </c>
      <c r="AA3853">
        <v>0.98258840000000003</v>
      </c>
      <c r="AB3853">
        <v>49</v>
      </c>
      <c r="AC3853">
        <v>-0.64039999999999897</v>
      </c>
      <c r="AD3853">
        <v>-0.24758910000000001</v>
      </c>
      <c r="AE3853">
        <v>0.21309999999999699</v>
      </c>
      <c r="AF3853">
        <v>0.17154313098940799</v>
      </c>
      <c r="AG3853">
        <v>-0.24758910000000001</v>
      </c>
      <c r="AH3853">
        <v>0.56960167220063596</v>
      </c>
      <c r="AI3853">
        <v>112.597343529296</v>
      </c>
      <c r="AJ3853">
        <v>73.239625492542004</v>
      </c>
      <c r="AK3853">
        <v>0.64433956358601796</v>
      </c>
    </row>
    <row r="3854" spans="1:37" x14ac:dyDescent="0.2">
      <c r="A3854" t="str">
        <f>"20200111153511441"</f>
        <v>20200111153511441</v>
      </c>
      <c r="B3854" t="str">
        <f>"1578728111429591"</f>
        <v>1578728111429591</v>
      </c>
      <c r="C3854" t="s">
        <v>37</v>
      </c>
      <c r="D3854">
        <v>4.7340739999999997</v>
      </c>
      <c r="E3854">
        <v>0.59590650000000001</v>
      </c>
      <c r="F3854" t="s">
        <v>40</v>
      </c>
      <c r="G3854">
        <v>-316.36419999999998</v>
      </c>
      <c r="H3854">
        <v>0.9370385</v>
      </c>
      <c r="I3854">
        <v>141.38050000000001</v>
      </c>
      <c r="J3854">
        <v>-316.16890000000001</v>
      </c>
      <c r="K3854">
        <v>1.102881</v>
      </c>
      <c r="L3854">
        <v>141.24510000000001</v>
      </c>
      <c r="M3854">
        <v>-0.99944409999999895</v>
      </c>
      <c r="N3854">
        <v>0</v>
      </c>
      <c r="O3854">
        <v>2.9822680000000001E-2</v>
      </c>
      <c r="P3854">
        <v>-0.99436259999999999</v>
      </c>
      <c r="Q3854">
        <v>9.9595500000000003E-2</v>
      </c>
      <c r="R3854">
        <v>-3.6385969999999997E-2</v>
      </c>
      <c r="S3854">
        <v>-3.1172789999999999</v>
      </c>
      <c r="T3854">
        <v>-0.76554100000000003</v>
      </c>
      <c r="U3854">
        <v>0.69073490000000004</v>
      </c>
      <c r="V3854">
        <v>-6.5528690000000001E-2</v>
      </c>
      <c r="W3854">
        <v>0.11466999999999999</v>
      </c>
      <c r="X3854">
        <v>0.99124000000000001</v>
      </c>
      <c r="Y3854">
        <v>0.18279119999999999</v>
      </c>
      <c r="Z3854">
        <v>1.47344E-2</v>
      </c>
      <c r="AA3854">
        <v>0.98304130000000001</v>
      </c>
      <c r="AB3854">
        <v>49</v>
      </c>
      <c r="AC3854">
        <v>-0.19529999999997399</v>
      </c>
      <c r="AD3854">
        <v>-0.1658425</v>
      </c>
      <c r="AE3854">
        <v>0.13540000000000399</v>
      </c>
      <c r="AF3854">
        <v>8.7097714066325702E-2</v>
      </c>
      <c r="AG3854">
        <v>-0.1658425</v>
      </c>
      <c r="AH3854">
        <v>0.13399520385786801</v>
      </c>
      <c r="AI3854">
        <v>136.06041025648599</v>
      </c>
      <c r="AJ3854">
        <v>56.975882482894797</v>
      </c>
      <c r="AK3854">
        <v>0.23031383210467599</v>
      </c>
    </row>
    <row r="3855" spans="1:37" x14ac:dyDescent="0.2">
      <c r="A3855" t="str">
        <f>"20200111153511455"</f>
        <v>20200111153511455</v>
      </c>
      <c r="B3855" t="str">
        <f>"1578728111450087"</f>
        <v>1578728111450087</v>
      </c>
      <c r="C3855" t="s">
        <v>37</v>
      </c>
      <c r="D3855">
        <v>4.7753220000000001</v>
      </c>
      <c r="E3855">
        <v>0.59597100000000003</v>
      </c>
      <c r="F3855" t="s">
        <v>40</v>
      </c>
      <c r="G3855">
        <v>-317.19819999999999</v>
      </c>
      <c r="H3855">
        <v>0.85058330000000004</v>
      </c>
      <c r="I3855">
        <v>141.47210000000001</v>
      </c>
      <c r="J3855">
        <v>-316.50970000000001</v>
      </c>
      <c r="K3855">
        <v>1.1029469999999999</v>
      </c>
      <c r="L3855">
        <v>141.25569999999999</v>
      </c>
      <c r="M3855">
        <v>-0.99942140000000002</v>
      </c>
      <c r="N3855">
        <v>0</v>
      </c>
      <c r="O3855">
        <v>3.0574130000000001E-2</v>
      </c>
      <c r="P3855">
        <v>-0.99434539999999905</v>
      </c>
      <c r="Q3855">
        <v>9.9595920000000004E-2</v>
      </c>
      <c r="R3855">
        <v>-3.6851370000000001E-2</v>
      </c>
      <c r="S3855">
        <v>-3.1187130000000001</v>
      </c>
      <c r="T3855">
        <v>-0.76441510000000001</v>
      </c>
      <c r="U3855">
        <v>0.68745419999999902</v>
      </c>
      <c r="V3855">
        <v>-6.6756670000000004E-2</v>
      </c>
      <c r="W3855">
        <v>0.1146615</v>
      </c>
      <c r="X3855">
        <v>0.99115909999999996</v>
      </c>
      <c r="Y3855">
        <v>0.1810562</v>
      </c>
      <c r="Z3855">
        <v>1.432222E-2</v>
      </c>
      <c r="AA3855">
        <v>0.98336849999999998</v>
      </c>
      <c r="AB3855">
        <v>49</v>
      </c>
      <c r="AC3855">
        <v>-0.68849999999997602</v>
      </c>
      <c r="AD3855">
        <v>-0.25236369999999902</v>
      </c>
      <c r="AE3855">
        <v>0.21640000000002099</v>
      </c>
      <c r="AF3855">
        <v>0.17397382483790699</v>
      </c>
      <c r="AG3855">
        <v>-0.25236369999999902</v>
      </c>
      <c r="AH3855">
        <v>0.61909608930777604</v>
      </c>
      <c r="AI3855">
        <v>111.42663608967899</v>
      </c>
      <c r="AJ3855">
        <v>74.303965913702498</v>
      </c>
      <c r="AK3855">
        <v>0.69082146507082598</v>
      </c>
    </row>
    <row r="3856" spans="1:37" x14ac:dyDescent="0.2">
      <c r="A3856" t="str">
        <f>"20200111153511475"</f>
        <v>20200111153511475</v>
      </c>
      <c r="B3856" t="str">
        <f>"1578728111469620"</f>
        <v>1578728111469620</v>
      </c>
      <c r="C3856" t="s">
        <v>37</v>
      </c>
      <c r="D3856">
        <v>4.7637549999999997</v>
      </c>
      <c r="E3856">
        <v>0.59607109999999996</v>
      </c>
      <c r="F3856" t="s">
        <v>40</v>
      </c>
      <c r="G3856">
        <v>-317.22989999999999</v>
      </c>
      <c r="H3856">
        <v>0.92634919999999998</v>
      </c>
      <c r="I3856">
        <v>141.4144</v>
      </c>
      <c r="J3856">
        <v>-316.91329999999999</v>
      </c>
      <c r="K3856">
        <v>1.1030279999999999</v>
      </c>
      <c r="L3856">
        <v>141.26859999999999</v>
      </c>
      <c r="M3856">
        <v>-0.99939519999999904</v>
      </c>
      <c r="N3856">
        <v>0</v>
      </c>
      <c r="O3856">
        <v>3.142379E-2</v>
      </c>
      <c r="P3856">
        <v>-0.9942841</v>
      </c>
      <c r="Q3856">
        <v>9.9542690000000003E-2</v>
      </c>
      <c r="R3856">
        <v>-3.8609890000000001E-2</v>
      </c>
      <c r="S3856">
        <v>-3.1191409999999999</v>
      </c>
      <c r="T3856">
        <v>-0.76496489999999995</v>
      </c>
      <c r="U3856">
        <v>0.68698119999999996</v>
      </c>
      <c r="V3856">
        <v>-6.9376179999999996E-2</v>
      </c>
      <c r="W3856">
        <v>0.114601299999999</v>
      </c>
      <c r="X3856">
        <v>0.99098609999999898</v>
      </c>
      <c r="Y3856">
        <v>0.18009629999999999</v>
      </c>
      <c r="Z3856">
        <v>1.40132999999999E-2</v>
      </c>
      <c r="AA3856">
        <v>0.98354920000000001</v>
      </c>
      <c r="AB3856">
        <v>49</v>
      </c>
      <c r="AC3856">
        <v>-0.316599999999993</v>
      </c>
      <c r="AD3856">
        <v>-0.1766788</v>
      </c>
      <c r="AE3856">
        <v>0.14580000000000801</v>
      </c>
      <c r="AF3856">
        <v>0.108023495088807</v>
      </c>
      <c r="AG3856">
        <v>-0.1766788</v>
      </c>
      <c r="AH3856">
        <v>0.25540435266081002</v>
      </c>
      <c r="AI3856">
        <v>122.501951563139</v>
      </c>
      <c r="AJ3856">
        <v>67.074025295590602</v>
      </c>
      <c r="AK3856">
        <v>0.32880975839948701</v>
      </c>
    </row>
    <row r="3857" spans="1:37" x14ac:dyDescent="0.2">
      <c r="A3857" t="str">
        <f>"20200111153511491"</f>
        <v>20200111153511491</v>
      </c>
      <c r="B3857" t="str">
        <f>"1578728111479367"</f>
        <v>1578728111479367</v>
      </c>
      <c r="C3857" t="s">
        <v>37</v>
      </c>
      <c r="D3857">
        <v>4.7717599999999996</v>
      </c>
      <c r="E3857">
        <v>0.59620790000000001</v>
      </c>
      <c r="F3857" t="s">
        <v>40</v>
      </c>
      <c r="G3857">
        <v>-317.66160000000002</v>
      </c>
      <c r="H3857">
        <v>0.91936960000000001</v>
      </c>
      <c r="I3857">
        <v>141.4324</v>
      </c>
      <c r="J3857">
        <v>-317.2602</v>
      </c>
      <c r="K3857">
        <v>1.103094</v>
      </c>
      <c r="L3857">
        <v>141.28</v>
      </c>
      <c r="M3857">
        <v>-0.99937310000000001</v>
      </c>
      <c r="N3857">
        <v>0</v>
      </c>
      <c r="O3857">
        <v>3.2121549999999999E-2</v>
      </c>
      <c r="P3857">
        <v>-0.99428269999999996</v>
      </c>
      <c r="Q3857">
        <v>9.9505700000000002E-2</v>
      </c>
      <c r="R3857">
        <v>-3.8739830000000003E-2</v>
      </c>
      <c r="S3857">
        <v>-3.1204529999999999</v>
      </c>
      <c r="T3857">
        <v>-0.76594139999999999</v>
      </c>
      <c r="U3857">
        <v>0.68316650000000001</v>
      </c>
      <c r="V3857">
        <v>-7.0215769999999997E-2</v>
      </c>
      <c r="W3857">
        <v>0.114554399999999</v>
      </c>
      <c r="X3857">
        <v>0.99093240000000005</v>
      </c>
      <c r="Y3857">
        <v>0.1782396</v>
      </c>
      <c r="Z3857">
        <v>1.363822E-2</v>
      </c>
      <c r="AA3857">
        <v>0.98389259999999901</v>
      </c>
      <c r="AB3857">
        <v>49</v>
      </c>
      <c r="AC3857">
        <v>-0.40140000000002302</v>
      </c>
      <c r="AD3857">
        <v>-0.18372440000000001</v>
      </c>
      <c r="AE3857">
        <v>0.15240000000000001</v>
      </c>
      <c r="AF3857">
        <v>0.117847979731321</v>
      </c>
      <c r="AG3857">
        <v>-0.18372440000000001</v>
      </c>
      <c r="AH3857">
        <v>0.34324029432627401</v>
      </c>
      <c r="AI3857">
        <v>116.851107856358</v>
      </c>
      <c r="AJ3857">
        <v>71.0506249667378</v>
      </c>
      <c r="AK3857">
        <v>0.40676369200224999</v>
      </c>
    </row>
    <row r="3858" spans="1:37" x14ac:dyDescent="0.2">
      <c r="A3858" t="str">
        <f>"20200111153511508"</f>
        <v>20200111153511508</v>
      </c>
      <c r="B3858" t="str">
        <f>"1578728111499862"</f>
        <v>1578728111499862</v>
      </c>
      <c r="C3858" t="s">
        <v>37</v>
      </c>
      <c r="D3858">
        <v>4.7482499999999996</v>
      </c>
      <c r="E3858">
        <v>0.59639929999999997</v>
      </c>
      <c r="F3858" t="s">
        <v>40</v>
      </c>
      <c r="G3858">
        <v>-318.08789999999999</v>
      </c>
      <c r="H3858">
        <v>0.89983219999999997</v>
      </c>
      <c r="I3858">
        <v>141.46170000000001</v>
      </c>
      <c r="J3858">
        <v>-317.6472</v>
      </c>
      <c r="K3858">
        <v>1.1031739999999901</v>
      </c>
      <c r="L3858">
        <v>141.2929</v>
      </c>
      <c r="M3858">
        <v>-0.99934880000000004</v>
      </c>
      <c r="N3858">
        <v>0</v>
      </c>
      <c r="O3858">
        <v>3.2870669999999998E-2</v>
      </c>
      <c r="P3858">
        <v>-0.99427969999999899</v>
      </c>
      <c r="Q3858">
        <v>9.8805879999999999E-2</v>
      </c>
      <c r="R3858">
        <v>-4.0568630000000001E-2</v>
      </c>
      <c r="S3858">
        <v>-3.12054399999999</v>
      </c>
      <c r="T3858">
        <v>-0.76621450000000002</v>
      </c>
      <c r="U3858">
        <v>0.68399049999999995</v>
      </c>
      <c r="V3858">
        <v>-7.2807549999999999E-2</v>
      </c>
      <c r="W3858">
        <v>0.11384809999999999</v>
      </c>
      <c r="X3858">
        <v>0.99082680000000001</v>
      </c>
      <c r="Y3858">
        <v>0.17777660000000001</v>
      </c>
      <c r="Z3858">
        <v>1.340798E-2</v>
      </c>
      <c r="AA3858">
        <v>0.98397950000000001</v>
      </c>
      <c r="AB3858">
        <v>49</v>
      </c>
      <c r="AC3858">
        <v>-0.44069999999999199</v>
      </c>
      <c r="AD3858">
        <v>-0.20334179999999899</v>
      </c>
      <c r="AE3858">
        <v>0.168800000000004</v>
      </c>
      <c r="AF3858">
        <v>0.13007211975562699</v>
      </c>
      <c r="AG3858">
        <v>-0.20334179999999899</v>
      </c>
      <c r="AH3858">
        <v>0.376171686961008</v>
      </c>
      <c r="AI3858">
        <v>117.06144236148801</v>
      </c>
      <c r="AJ3858">
        <v>70.9257096512262</v>
      </c>
      <c r="AK3858">
        <v>0.44695836722904397</v>
      </c>
    </row>
    <row r="3859" spans="1:37" x14ac:dyDescent="0.2">
      <c r="A3859" t="str">
        <f>"20200111153511530"</f>
        <v>20200111153511530</v>
      </c>
      <c r="B3859" t="str">
        <f>"1578728111520105"</f>
        <v>1578728111520105</v>
      </c>
      <c r="C3859" t="s">
        <v>37</v>
      </c>
      <c r="D3859">
        <v>4.751315</v>
      </c>
      <c r="E3859">
        <v>0.59661759999999997</v>
      </c>
      <c r="F3859" t="s">
        <v>40</v>
      </c>
      <c r="G3859">
        <v>-318.51749999999998</v>
      </c>
      <c r="H3859">
        <v>0.88916709999999999</v>
      </c>
      <c r="I3859">
        <v>141.4829</v>
      </c>
      <c r="J3859">
        <v>-318.11529999999999</v>
      </c>
      <c r="K3859">
        <v>1.1032919999999999</v>
      </c>
      <c r="L3859">
        <v>141.30889999999999</v>
      </c>
      <c r="M3859">
        <v>-0.99931990000000004</v>
      </c>
      <c r="N3859">
        <v>0</v>
      </c>
      <c r="O3859">
        <v>3.3738560000000001E-2</v>
      </c>
      <c r="P3859">
        <v>-0.99425269999999999</v>
      </c>
      <c r="Q3859">
        <v>9.8558859999999998E-2</v>
      </c>
      <c r="R3859">
        <v>-4.1811210000000001E-2</v>
      </c>
      <c r="S3859">
        <v>-3.1213380000000002</v>
      </c>
      <c r="T3859">
        <v>-0.76756309999999905</v>
      </c>
      <c r="U3859">
        <v>0.68107600000000001</v>
      </c>
      <c r="V3859">
        <v>-7.4931440000000002E-2</v>
      </c>
      <c r="W3859">
        <v>0.11358989999999999</v>
      </c>
      <c r="X3859">
        <v>0.99069799999999997</v>
      </c>
      <c r="Y3859">
        <v>0.1760536</v>
      </c>
      <c r="Z3859">
        <v>1.3014990000000001E-2</v>
      </c>
      <c r="AA3859">
        <v>0.98429449999999996</v>
      </c>
      <c r="AB3859">
        <v>49</v>
      </c>
      <c r="AC3859">
        <v>-0.40219999999999301</v>
      </c>
      <c r="AD3859">
        <v>-0.21412489999999901</v>
      </c>
      <c r="AE3859">
        <v>0.17400000000000601</v>
      </c>
      <c r="AF3859">
        <v>0.129428822781291</v>
      </c>
      <c r="AG3859">
        <v>-0.21412489999999901</v>
      </c>
      <c r="AH3859">
        <v>0.32923722269510203</v>
      </c>
      <c r="AI3859">
        <v>121.185517918494</v>
      </c>
      <c r="AJ3859">
        <v>68.539355662501904</v>
      </c>
      <c r="AK3859">
        <v>0.413519578465815</v>
      </c>
    </row>
    <row r="3860" spans="1:37" x14ac:dyDescent="0.2">
      <c r="A3860" t="str">
        <f>"20200111153511553"</f>
        <v>20200111153511553</v>
      </c>
      <c r="B3860" t="str">
        <f>"1578728111549386"</f>
        <v>1578728111549386</v>
      </c>
      <c r="C3860" t="s">
        <v>37</v>
      </c>
      <c r="D3860">
        <v>4.7892269999999897</v>
      </c>
      <c r="E3860">
        <v>0.59703589999999995</v>
      </c>
      <c r="F3860" t="s">
        <v>40</v>
      </c>
      <c r="G3860">
        <v>-318.95440000000002</v>
      </c>
      <c r="H3860">
        <v>0.89677929999999995</v>
      </c>
      <c r="I3860">
        <v>141.49209999999999</v>
      </c>
      <c r="J3860">
        <v>-318.60719999999998</v>
      </c>
      <c r="K3860">
        <v>1.1034200000000001</v>
      </c>
      <c r="L3860">
        <v>141.3262</v>
      </c>
      <c r="M3860">
        <v>-0.99929020000000002</v>
      </c>
      <c r="N3860">
        <v>0</v>
      </c>
      <c r="O3860">
        <v>3.4610639999999998E-2</v>
      </c>
      <c r="P3860">
        <v>-0.99413580000000001</v>
      </c>
      <c r="Q3860">
        <v>9.9099370000000006E-2</v>
      </c>
      <c r="R3860">
        <v>-4.3286980000000003E-2</v>
      </c>
      <c r="S3860">
        <v>-3.1221619999999999</v>
      </c>
      <c r="T3860">
        <v>-0.76849250000000002</v>
      </c>
      <c r="U3860">
        <v>0.68104549999999997</v>
      </c>
      <c r="V3860">
        <v>-7.7286149999999998E-2</v>
      </c>
      <c r="W3860">
        <v>0.1141182</v>
      </c>
      <c r="X3860">
        <v>0.99045640000000001</v>
      </c>
      <c r="Y3860">
        <v>0.17517430000000001</v>
      </c>
      <c r="Z3860">
        <v>1.2712909999999999E-2</v>
      </c>
      <c r="AA3860">
        <v>0.98445530000000003</v>
      </c>
      <c r="AB3860">
        <v>49</v>
      </c>
      <c r="AC3860">
        <v>-0.34720000000004297</v>
      </c>
      <c r="AD3860">
        <v>-0.20664070000000001</v>
      </c>
      <c r="AE3860">
        <v>0.165899999999993</v>
      </c>
      <c r="AF3860">
        <v>0.119361235653239</v>
      </c>
      <c r="AG3860">
        <v>-0.20664070000000001</v>
      </c>
      <c r="AH3860">
        <v>0.27378173517161702</v>
      </c>
      <c r="AI3860">
        <v>124.678216667557</v>
      </c>
      <c r="AJ3860">
        <v>66.444134922369997</v>
      </c>
      <c r="AK3860">
        <v>0.36318579540882301</v>
      </c>
    </row>
    <row r="3861" spans="1:37" x14ac:dyDescent="0.2">
      <c r="A3861" t="str">
        <f>"20200111153511575"</f>
        <v>20200111153511575</v>
      </c>
      <c r="B3861" t="str">
        <f>"1578728111569881"</f>
        <v>1578728111569881</v>
      </c>
      <c r="C3861" t="s">
        <v>37</v>
      </c>
      <c r="D3861">
        <v>4.9008750000000001</v>
      </c>
      <c r="E3861">
        <v>0.57815269999999996</v>
      </c>
      <c r="F3861" t="s">
        <v>40</v>
      </c>
      <c r="G3861">
        <v>-319.39339999999999</v>
      </c>
      <c r="H3861">
        <v>0.91015650000000003</v>
      </c>
      <c r="I3861">
        <v>141.49780000000001</v>
      </c>
      <c r="J3861">
        <v>-319.09469999999999</v>
      </c>
      <c r="K3861">
        <v>1.1035440000000001</v>
      </c>
      <c r="L3861">
        <v>141.34360000000001</v>
      </c>
      <c r="M3861">
        <v>-0.99926119999999996</v>
      </c>
      <c r="N3861">
        <v>0</v>
      </c>
      <c r="O3861">
        <v>3.5436199999999897E-2</v>
      </c>
      <c r="P3861">
        <v>-0.99386969999999997</v>
      </c>
      <c r="Q3861">
        <v>0.101080499999999</v>
      </c>
      <c r="R3861">
        <v>-4.4787760000000003E-2</v>
      </c>
      <c r="S3861">
        <v>-3.123901</v>
      </c>
      <c r="T3861">
        <v>-0.76790819999999904</v>
      </c>
      <c r="U3861">
        <v>0.68139649999999996</v>
      </c>
      <c r="V3861">
        <v>-7.9608330000000005E-2</v>
      </c>
      <c r="W3861">
        <v>0.1160848</v>
      </c>
      <c r="X3861">
        <v>0.99004389999999998</v>
      </c>
      <c r="Y3861">
        <v>0.17440849999999999</v>
      </c>
      <c r="Z3861">
        <v>1.2407649999999999E-2</v>
      </c>
      <c r="AA3861">
        <v>0.984595199999999</v>
      </c>
      <c r="AB3861">
        <v>49</v>
      </c>
      <c r="AC3861">
        <v>-0.29869999999999602</v>
      </c>
      <c r="AD3861">
        <v>-0.19338749999999999</v>
      </c>
      <c r="AE3861">
        <v>0.154200000000003</v>
      </c>
      <c r="AF3861">
        <v>0.10782947779129</v>
      </c>
      <c r="AG3861">
        <v>-0.19338749999999999</v>
      </c>
      <c r="AH3861">
        <v>0.22838874218012201</v>
      </c>
      <c r="AI3861">
        <v>127.441164052329</v>
      </c>
      <c r="AJ3861">
        <v>64.726536681111696</v>
      </c>
      <c r="AK3861">
        <v>0.31809957401985101</v>
      </c>
    </row>
    <row r="3862" spans="1:37" x14ac:dyDescent="0.2">
      <c r="A3862" t="str">
        <f>"20200111153511598"</f>
        <v>20200111153511598</v>
      </c>
      <c r="B3862" t="str">
        <f>"1578728111589402"</f>
        <v>1578728111589402</v>
      </c>
      <c r="C3862" t="s">
        <v>37</v>
      </c>
      <c r="D3862">
        <v>4.8228660000000003</v>
      </c>
      <c r="E3862">
        <v>0.51793120000000004</v>
      </c>
      <c r="F3862" t="s">
        <v>40</v>
      </c>
      <c r="G3862">
        <v>-319.83199999999999</v>
      </c>
      <c r="H3862">
        <v>0.92305890000000002</v>
      </c>
      <c r="I3862">
        <v>141.46860000000001</v>
      </c>
      <c r="J3862">
        <v>-319.57670000000002</v>
      </c>
      <c r="K3862">
        <v>1.103645</v>
      </c>
      <c r="L3862">
        <v>141.3613</v>
      </c>
      <c r="M3862">
        <v>-0.999233499999999</v>
      </c>
      <c r="N3862">
        <v>0</v>
      </c>
      <c r="O3862">
        <v>3.6209419999999999E-2</v>
      </c>
      <c r="P3862">
        <v>-0.9936526</v>
      </c>
      <c r="Q3862">
        <v>0.10311569999999901</v>
      </c>
      <c r="R3862">
        <v>-4.4961750000000002E-2</v>
      </c>
      <c r="S3862">
        <v>-3.1199650000000001</v>
      </c>
      <c r="T3862">
        <v>-0.76363950000000003</v>
      </c>
      <c r="U3862">
        <v>0.52780150000000003</v>
      </c>
      <c r="V3862">
        <v>-8.0554420000000002E-2</v>
      </c>
      <c r="W3862">
        <v>0.1181017</v>
      </c>
      <c r="X3862">
        <v>0.98972870000000002</v>
      </c>
      <c r="Y3862">
        <v>0.1283426</v>
      </c>
      <c r="Z3862">
        <v>6.70578199999999E-3</v>
      </c>
      <c r="AA3862">
        <v>0.99170720000000001</v>
      </c>
      <c r="AB3862">
        <v>48</v>
      </c>
      <c r="AC3862">
        <v>-0.25529999999997699</v>
      </c>
      <c r="AD3862">
        <v>-0.1805861</v>
      </c>
      <c r="AE3862">
        <v>0.107300000000009</v>
      </c>
      <c r="AF3862">
        <v>6.8749923619166597E-2</v>
      </c>
      <c r="AG3862">
        <v>-0.1805861</v>
      </c>
      <c r="AH3862">
        <v>0.181738081796054</v>
      </c>
      <c r="AI3862">
        <v>132.903911403699</v>
      </c>
      <c r="AJ3862">
        <v>69.278808835419795</v>
      </c>
      <c r="AK3862">
        <v>0.26526707652055198</v>
      </c>
    </row>
    <row r="3863" spans="1:37" x14ac:dyDescent="0.2">
      <c r="A3863" t="str">
        <f>"20200111153511620"</f>
        <v>20200111153511620</v>
      </c>
      <c r="B3863" t="str">
        <f>"1578728111609898"</f>
        <v>1578728111609898</v>
      </c>
      <c r="C3863" t="s">
        <v>37</v>
      </c>
      <c r="D3863">
        <v>4.8982869999999998</v>
      </c>
      <c r="E3863">
        <v>0.50592000000000004</v>
      </c>
      <c r="F3863" t="s">
        <v>40</v>
      </c>
      <c r="G3863">
        <v>-320.30419999999998</v>
      </c>
      <c r="H3863">
        <v>0.99206090000000002</v>
      </c>
      <c r="I3863">
        <v>141.37010000000001</v>
      </c>
      <c r="J3863">
        <v>-320.04309999999998</v>
      </c>
      <c r="K3863">
        <v>1.103764</v>
      </c>
      <c r="L3863">
        <v>141.37870000000001</v>
      </c>
      <c r="M3863">
        <v>-0.99920819999999999</v>
      </c>
      <c r="N3863">
        <v>0</v>
      </c>
      <c r="O3863">
        <v>3.690185E-2</v>
      </c>
      <c r="P3863">
        <v>-0.99335429999999902</v>
      </c>
      <c r="Q3863">
        <v>0.1056178</v>
      </c>
      <c r="R3863">
        <v>-4.5739740000000001E-2</v>
      </c>
      <c r="S3863">
        <v>-3.0697019999999999</v>
      </c>
      <c r="T3863">
        <v>-0.47081970000000001</v>
      </c>
      <c r="U3863">
        <v>3.6788939999999999E-2</v>
      </c>
      <c r="V3863">
        <v>-8.2021010000000005E-2</v>
      </c>
      <c r="W3863">
        <v>0.12058389999999999</v>
      </c>
      <c r="X3863">
        <v>0.98930890000000005</v>
      </c>
      <c r="Y3863">
        <v>-2.42134E-2</v>
      </c>
      <c r="Z3863">
        <v>-7.4721429999999997E-3</v>
      </c>
      <c r="AA3863">
        <v>0.99967890000000004</v>
      </c>
      <c r="AB3863">
        <v>48</v>
      </c>
      <c r="AC3863">
        <v>-0.261099999999999</v>
      </c>
      <c r="AD3863">
        <v>-0.111703099999999</v>
      </c>
      <c r="AE3863">
        <v>-8.6000000000012698E-3</v>
      </c>
      <c r="AF3863">
        <v>-1.5412435357298099E-2</v>
      </c>
      <c r="AG3863">
        <v>-0.111703099999999</v>
      </c>
      <c r="AH3863">
        <v>0.22032319650521101</v>
      </c>
      <c r="AI3863">
        <v>116.82848788337699</v>
      </c>
      <c r="AJ3863">
        <v>94.001536324815206</v>
      </c>
      <c r="AK3863">
        <v>0.24750239722379799</v>
      </c>
    </row>
    <row r="3864" spans="1:37" x14ac:dyDescent="0.2">
      <c r="A3864" t="str">
        <f>"20200111153511636"</f>
        <v>20200111153511636</v>
      </c>
      <c r="B3864" t="str">
        <f>"1578728111630213"</f>
        <v>1578728111630213</v>
      </c>
      <c r="C3864" t="s">
        <v>37</v>
      </c>
      <c r="D3864">
        <v>4.8815029999999897</v>
      </c>
      <c r="E3864">
        <v>0.50219959999999997</v>
      </c>
      <c r="F3864" t="s">
        <v>39</v>
      </c>
      <c r="G3864">
        <v>-331.67880000000002</v>
      </c>
      <c r="H3864" s="1">
        <v>-4.3137720000000002E-6</v>
      </c>
      <c r="I3864">
        <v>141.119</v>
      </c>
      <c r="J3864">
        <v>-320.40069999999997</v>
      </c>
      <c r="K3864">
        <v>1.1038479999999999</v>
      </c>
      <c r="L3864">
        <v>141.39230000000001</v>
      </c>
      <c r="M3864">
        <v>-0.99919069999999899</v>
      </c>
      <c r="N3864">
        <v>0</v>
      </c>
      <c r="O3864">
        <v>3.737832E-2</v>
      </c>
      <c r="P3864">
        <v>-0.99324049999999997</v>
      </c>
      <c r="Q3864">
        <v>0.106729399999999</v>
      </c>
      <c r="R3864">
        <v>-4.5632949999999999E-2</v>
      </c>
      <c r="S3864">
        <v>-3.0476679999999998</v>
      </c>
      <c r="T3864">
        <v>-0.289103</v>
      </c>
      <c r="U3864">
        <v>-6.8023680000000003E-2</v>
      </c>
      <c r="V3864">
        <v>-8.2398620000000006E-2</v>
      </c>
      <c r="W3864">
        <v>0.1216787</v>
      </c>
      <c r="X3864">
        <v>0.98914340000000001</v>
      </c>
      <c r="Y3864">
        <v>-5.9238329999999999E-2</v>
      </c>
      <c r="Z3864">
        <v>-6.3405269999999899E-3</v>
      </c>
      <c r="AA3864">
        <v>0.99822369999999905</v>
      </c>
      <c r="AB3864">
        <v>48</v>
      </c>
      <c r="AC3864">
        <v>-11.2781</v>
      </c>
      <c r="AD3864">
        <v>-1.103852313772</v>
      </c>
      <c r="AE3864">
        <v>-0.27330000000000598</v>
      </c>
      <c r="AF3864">
        <v>-0.68812382861848798</v>
      </c>
      <c r="AG3864">
        <v>-1.103852313772</v>
      </c>
      <c r="AH3864">
        <v>11.153219013665</v>
      </c>
      <c r="AI3864">
        <v>95.641591647218405</v>
      </c>
      <c r="AJ3864">
        <v>93.530521412154002</v>
      </c>
      <c r="AK3864">
        <v>11.228815552003301</v>
      </c>
    </row>
    <row r="3865" spans="1:37" x14ac:dyDescent="0.2">
      <c r="A3865" t="str">
        <f>"20200111153511653"</f>
        <v>20200111153511653</v>
      </c>
      <c r="B3865" t="str">
        <f>"1578728111649732"</f>
        <v>1578728111649732</v>
      </c>
      <c r="C3865" t="s">
        <v>37</v>
      </c>
      <c r="D3865">
        <v>4.8513859999999998</v>
      </c>
      <c r="E3865">
        <v>0.50218189999999996</v>
      </c>
      <c r="F3865" t="s">
        <v>39</v>
      </c>
      <c r="G3865">
        <v>-337.19549999999998</v>
      </c>
      <c r="H3865" s="1">
        <v>-1.630351E-6</v>
      </c>
      <c r="I3865">
        <v>140.83459999999999</v>
      </c>
      <c r="J3865">
        <v>-320.77030000000002</v>
      </c>
      <c r="K3865">
        <v>1.1039490000000001</v>
      </c>
      <c r="L3865">
        <v>141.40639999999999</v>
      </c>
      <c r="M3865">
        <v>-0.999173599999999</v>
      </c>
      <c r="N3865">
        <v>0</v>
      </c>
      <c r="O3865">
        <v>3.7830080000000002E-2</v>
      </c>
      <c r="P3865">
        <v>-0.99305739999999998</v>
      </c>
      <c r="Q3865">
        <v>0.1083533</v>
      </c>
      <c r="R3865">
        <v>-4.5791430000000001E-2</v>
      </c>
      <c r="S3865">
        <v>-3.037201</v>
      </c>
      <c r="T3865">
        <v>-0.1996222</v>
      </c>
      <c r="U3865">
        <v>-0.1008453</v>
      </c>
      <c r="V3865">
        <v>-8.3014530000000003E-2</v>
      </c>
      <c r="W3865">
        <v>0.1232835</v>
      </c>
      <c r="X3865">
        <v>0.98889319999999903</v>
      </c>
      <c r="Y3865">
        <v>-7.0740699999999906E-2</v>
      </c>
      <c r="Z3865">
        <v>-4.8048639999999998E-3</v>
      </c>
      <c r="AA3865">
        <v>0.99748320000000001</v>
      </c>
      <c r="AB3865">
        <v>48</v>
      </c>
      <c r="AC3865">
        <v>-16.425199999999901</v>
      </c>
      <c r="AD3865">
        <v>-1.1039506303510001</v>
      </c>
      <c r="AE3865">
        <v>-0.57179999999999598</v>
      </c>
      <c r="AF3865">
        <v>-1.1874682647344901</v>
      </c>
      <c r="AG3865">
        <v>-1.1039506303510001</v>
      </c>
      <c r="AH3865">
        <v>16.318181654254101</v>
      </c>
      <c r="AI3865">
        <v>93.860076439539597</v>
      </c>
      <c r="AJ3865">
        <v>94.162057190898807</v>
      </c>
      <c r="AK3865">
        <v>16.3985316530242</v>
      </c>
    </row>
    <row r="3866" spans="1:37" x14ac:dyDescent="0.2">
      <c r="A3866" t="str">
        <f>"20200111153511676"</f>
        <v>20200111153511676</v>
      </c>
      <c r="B3866" t="str">
        <f>"1578728111669255"</f>
        <v>1578728111669255</v>
      </c>
      <c r="C3866" t="s">
        <v>37</v>
      </c>
      <c r="D3866">
        <v>4.7845399999999998</v>
      </c>
      <c r="E3866">
        <v>0.50300219999999995</v>
      </c>
      <c r="F3866" t="s">
        <v>39</v>
      </c>
      <c r="G3866">
        <v>-341.78210000000001</v>
      </c>
      <c r="H3866" s="1">
        <v>-3.7942029999999999E-6</v>
      </c>
      <c r="I3866">
        <v>140.69290000000001</v>
      </c>
      <c r="J3866">
        <v>-321.26</v>
      </c>
      <c r="K3866">
        <v>1.1040749999999999</v>
      </c>
      <c r="L3866">
        <v>141.4254</v>
      </c>
      <c r="M3866">
        <v>-0.9991546</v>
      </c>
      <c r="N3866">
        <v>0</v>
      </c>
      <c r="O3866">
        <v>3.833218E-2</v>
      </c>
      <c r="P3866">
        <v>-0.99285429999999997</v>
      </c>
      <c r="Q3866">
        <v>0.1100936</v>
      </c>
      <c r="R3866">
        <v>-4.6043220000000003E-2</v>
      </c>
      <c r="S3866">
        <v>-3.033569</v>
      </c>
      <c r="T3866">
        <v>-0.15938339999999901</v>
      </c>
      <c r="U3866">
        <v>-0.1030121</v>
      </c>
      <c r="V3866">
        <v>-8.3785310000000002E-2</v>
      </c>
      <c r="W3866">
        <v>0.1249953</v>
      </c>
      <c r="X3866">
        <v>0.98861319999999997</v>
      </c>
      <c r="Y3866">
        <v>-7.2075059999999996E-2</v>
      </c>
      <c r="Z3866">
        <v>-3.9037400000000002E-3</v>
      </c>
      <c r="AA3866">
        <v>0.99739159999999905</v>
      </c>
      <c r="AB3866">
        <v>48</v>
      </c>
      <c r="AC3866">
        <v>-20.522099999999998</v>
      </c>
      <c r="AD3866">
        <v>-1.1040787942029999</v>
      </c>
      <c r="AE3866">
        <v>-0.73249999999998705</v>
      </c>
      <c r="AF3866">
        <v>-1.51432772334344</v>
      </c>
      <c r="AG3866">
        <v>-1.1040787942029999</v>
      </c>
      <c r="AH3866">
        <v>20.4199046730898</v>
      </c>
      <c r="AI3866">
        <v>93.086438803994</v>
      </c>
      <c r="AJ3866">
        <v>94.241256472244004</v>
      </c>
      <c r="AK3866">
        <v>20.505723232687199</v>
      </c>
    </row>
    <row r="3867" spans="1:37" x14ac:dyDescent="0.2">
      <c r="A3867" t="str">
        <f>"20200111153511691"</f>
        <v>20200111153511691</v>
      </c>
      <c r="B3867" t="str">
        <f>"1578728111679988"</f>
        <v>1578728111679988</v>
      </c>
      <c r="C3867" t="s">
        <v>37</v>
      </c>
      <c r="D3867">
        <v>4.8347910000000001</v>
      </c>
      <c r="E3867">
        <v>0.50309929999999903</v>
      </c>
      <c r="F3867" t="s">
        <v>39</v>
      </c>
      <c r="G3867">
        <v>-345.80959999999999</v>
      </c>
      <c r="H3867" s="1">
        <v>-2.0494299999999998E-6</v>
      </c>
      <c r="I3867">
        <v>140.62909999999999</v>
      </c>
      <c r="J3867">
        <v>-321.59249999999997</v>
      </c>
      <c r="K3867">
        <v>1.1041639999999999</v>
      </c>
      <c r="L3867">
        <v>141.4383</v>
      </c>
      <c r="M3867">
        <v>-0.9991449</v>
      </c>
      <c r="N3867">
        <v>0</v>
      </c>
      <c r="O3867">
        <v>3.858694E-2</v>
      </c>
      <c r="P3867">
        <v>-0.99275869999999999</v>
      </c>
      <c r="Q3867">
        <v>0.11073279999999899</v>
      </c>
      <c r="R3867">
        <v>-4.6573440000000001E-2</v>
      </c>
      <c r="S3867">
        <v>-3.0321660000000001</v>
      </c>
      <c r="T3867">
        <v>-0.13636670000000001</v>
      </c>
      <c r="U3867">
        <v>-9.8342899999999997E-2</v>
      </c>
      <c r="V3867">
        <v>-8.4588979999999994E-2</v>
      </c>
      <c r="W3867">
        <v>0.12561320000000001</v>
      </c>
      <c r="X3867">
        <v>0.98846650000000003</v>
      </c>
      <c r="Y3867">
        <v>-7.0852429999999994E-2</v>
      </c>
      <c r="Z3867">
        <v>-3.326205E-3</v>
      </c>
      <c r="AA3867">
        <v>0.99748130000000002</v>
      </c>
      <c r="AB3867">
        <v>48</v>
      </c>
      <c r="AC3867">
        <v>-24.217099999999999</v>
      </c>
      <c r="AD3867">
        <v>-1.1041660494299901</v>
      </c>
      <c r="AE3867">
        <v>-0.80920000000000403</v>
      </c>
      <c r="AF3867">
        <v>-1.73955180149587</v>
      </c>
      <c r="AG3867">
        <v>-1.1041660494299901</v>
      </c>
      <c r="AH3867">
        <v>24.1177508344737</v>
      </c>
      <c r="AI3867">
        <v>92.614519462970193</v>
      </c>
      <c r="AJ3867">
        <v>94.125454168774894</v>
      </c>
      <c r="AK3867">
        <v>24.205601179242802</v>
      </c>
    </row>
    <row r="3868" spans="1:37" x14ac:dyDescent="0.2">
      <c r="A3868" t="str">
        <f>"20200111153511709"</f>
        <v>20200111153511709</v>
      </c>
      <c r="B3868" t="str">
        <f>"1578728111699508"</f>
        <v>1578728111699508</v>
      </c>
      <c r="C3868" t="s">
        <v>37</v>
      </c>
      <c r="D3868">
        <v>4.8548929999999997</v>
      </c>
      <c r="E3868">
        <v>0.50293180000000004</v>
      </c>
      <c r="F3868" t="s">
        <v>39</v>
      </c>
      <c r="G3868">
        <v>-346.92599999999999</v>
      </c>
      <c r="H3868" s="1">
        <v>-1.5649559999999999E-6</v>
      </c>
      <c r="I3868">
        <v>140.60810000000001</v>
      </c>
      <c r="J3868">
        <v>-321.9812</v>
      </c>
      <c r="K3868">
        <v>1.104268</v>
      </c>
      <c r="L3868">
        <v>141.45349999999999</v>
      </c>
      <c r="M3868">
        <v>-0.99913660000000004</v>
      </c>
      <c r="N3868">
        <v>0</v>
      </c>
      <c r="O3868">
        <v>3.8797970000000001E-2</v>
      </c>
      <c r="P3868">
        <v>-0.99268999999999996</v>
      </c>
      <c r="Q3868">
        <v>0.1105969</v>
      </c>
      <c r="R3868">
        <v>-4.8322780000000003E-2</v>
      </c>
      <c r="S3868">
        <v>-3.0319820000000002</v>
      </c>
      <c r="T3868">
        <v>-0.13214979999999901</v>
      </c>
      <c r="U3868">
        <v>-9.9349980000000004E-2</v>
      </c>
      <c r="V3868">
        <v>-8.6580110000000002E-2</v>
      </c>
      <c r="W3868">
        <v>0.12545139999999999</v>
      </c>
      <c r="X3868">
        <v>0.98831460000000004</v>
      </c>
      <c r="Y3868">
        <v>-7.1401999999999993E-2</v>
      </c>
      <c r="Z3868">
        <v>-3.244785E-3</v>
      </c>
      <c r="AA3868">
        <v>0.99744239999999995</v>
      </c>
      <c r="AB3868">
        <v>48</v>
      </c>
      <c r="AC3868">
        <v>-24.944799999999901</v>
      </c>
      <c r="AD3868">
        <v>-1.1042695649559999</v>
      </c>
      <c r="AE3868">
        <v>-0.84539999999998305</v>
      </c>
      <c r="AF3868">
        <v>-1.8091364872012199</v>
      </c>
      <c r="AG3868">
        <v>-1.1042695649559999</v>
      </c>
      <c r="AH3868">
        <v>24.844578744829199</v>
      </c>
      <c r="AI3868">
        <v>92.538244657323602</v>
      </c>
      <c r="AJ3868">
        <v>94.164822265422401</v>
      </c>
      <c r="AK3868">
        <v>24.934824625600001</v>
      </c>
    </row>
    <row r="3869" spans="1:37" x14ac:dyDescent="0.2">
      <c r="A3869" t="str">
        <f>"20200111153511725"</f>
        <v>20200111153511725</v>
      </c>
      <c r="B3869" t="str">
        <f>"1578728111719704"</f>
        <v>1578728111719704</v>
      </c>
      <c r="C3869" t="s">
        <v>37</v>
      </c>
      <c r="D3869">
        <v>4.8613410000000004</v>
      </c>
      <c r="E3869">
        <v>0.50214919999999996</v>
      </c>
      <c r="F3869" t="s">
        <v>39</v>
      </c>
      <c r="G3869">
        <v>-347.6309</v>
      </c>
      <c r="H3869" s="1">
        <v>-1.249E-6</v>
      </c>
      <c r="I3869">
        <v>140.55709999999999</v>
      </c>
      <c r="J3869">
        <v>-322.3313</v>
      </c>
      <c r="K3869">
        <v>1.104374</v>
      </c>
      <c r="L3869">
        <v>141.46709999999999</v>
      </c>
      <c r="M3869">
        <v>-0.99913280000000004</v>
      </c>
      <c r="N3869">
        <v>0</v>
      </c>
      <c r="O3869">
        <v>3.8897149999999998E-2</v>
      </c>
      <c r="P3869">
        <v>-0.992753</v>
      </c>
      <c r="Q3869">
        <v>0.1095762</v>
      </c>
      <c r="R3869">
        <v>-4.9342110000000002E-2</v>
      </c>
      <c r="S3869">
        <v>-3.0314640000000002</v>
      </c>
      <c r="T3869">
        <v>-0.13051109999999999</v>
      </c>
      <c r="U3869">
        <v>-0.10592650000000001</v>
      </c>
      <c r="V3869">
        <v>-8.7735460000000001E-2</v>
      </c>
      <c r="W3869">
        <v>0.1244053</v>
      </c>
      <c r="X3869">
        <v>0.98834500000000003</v>
      </c>
      <c r="Y3869">
        <v>-7.3668170000000005E-2</v>
      </c>
      <c r="Z3869">
        <v>-3.2580439999999999E-3</v>
      </c>
      <c r="AA3869">
        <v>0.99727749999999904</v>
      </c>
      <c r="AB3869">
        <v>48</v>
      </c>
      <c r="AC3869">
        <v>-25.299600000000002</v>
      </c>
      <c r="AD3869">
        <v>-1.1043752490000001</v>
      </c>
      <c r="AE3869">
        <v>-0.90999999999999603</v>
      </c>
      <c r="AF3869">
        <v>-1.8899055677939001</v>
      </c>
      <c r="AG3869">
        <v>-1.1043752490000001</v>
      </c>
      <c r="AH3869">
        <v>25.197098506395399</v>
      </c>
      <c r="AI3869">
        <v>92.502616262116405</v>
      </c>
      <c r="AJ3869">
        <v>94.289431861028007</v>
      </c>
      <c r="AK3869">
        <v>25.291997961544599</v>
      </c>
    </row>
    <row r="3870" spans="1:37" x14ac:dyDescent="0.2">
      <c r="A3870" t="str">
        <f>"20200111153511742"</f>
        <v>20200111153511742</v>
      </c>
      <c r="B3870" t="str">
        <f>"1578728111740189"</f>
        <v>1578728111740189</v>
      </c>
      <c r="C3870" t="s">
        <v>37</v>
      </c>
      <c r="D3870">
        <v>4.8448029999999997</v>
      </c>
      <c r="E3870">
        <v>0.50154569999999998</v>
      </c>
      <c r="F3870" t="s">
        <v>39</v>
      </c>
      <c r="G3870">
        <v>-347.28890000000001</v>
      </c>
      <c r="H3870" s="1">
        <v>-1.385511E-6</v>
      </c>
      <c r="I3870">
        <v>140.5189</v>
      </c>
      <c r="J3870">
        <v>-322.69540000000001</v>
      </c>
      <c r="K3870">
        <v>1.104468</v>
      </c>
      <c r="L3870">
        <v>141.4813</v>
      </c>
      <c r="M3870">
        <v>-0.99913259999999904</v>
      </c>
      <c r="N3870">
        <v>0</v>
      </c>
      <c r="O3870">
        <v>3.890391E-2</v>
      </c>
      <c r="P3870">
        <v>-0.99304519999999996</v>
      </c>
      <c r="Q3870">
        <v>0.10624549999999899</v>
      </c>
      <c r="R3870">
        <v>-5.0729219999999998E-2</v>
      </c>
      <c r="S3870">
        <v>-3.0309750000000002</v>
      </c>
      <c r="T3870">
        <v>-0.13412070000000001</v>
      </c>
      <c r="U3870">
        <v>-0.1151428</v>
      </c>
      <c r="V3870">
        <v>-8.9182709999999998E-2</v>
      </c>
      <c r="W3870">
        <v>0.12105009999999999</v>
      </c>
      <c r="X3870">
        <v>0.98863199999999996</v>
      </c>
      <c r="Y3870">
        <v>-7.6699729999999994E-2</v>
      </c>
      <c r="Z3870">
        <v>-3.4157609999999998E-3</v>
      </c>
      <c r="AA3870">
        <v>0.99704839999999995</v>
      </c>
      <c r="AB3870">
        <v>48</v>
      </c>
      <c r="AC3870">
        <v>-24.593499999999999</v>
      </c>
      <c r="AD3870">
        <v>-1.1044693855109999</v>
      </c>
      <c r="AE3870">
        <v>-0.96240000000000203</v>
      </c>
      <c r="AF3870">
        <v>-1.9147043841018501</v>
      </c>
      <c r="AG3870">
        <v>-1.1044693855109999</v>
      </c>
      <c r="AH3870">
        <v>24.488119722108198</v>
      </c>
      <c r="AI3870">
        <v>92.574571405914895</v>
      </c>
      <c r="AJ3870">
        <v>94.470810218648396</v>
      </c>
      <c r="AK3870">
        <v>24.587678886514201</v>
      </c>
    </row>
    <row r="3871" spans="1:37" x14ac:dyDescent="0.2">
      <c r="A3871" t="str">
        <f>"20200111153511765"</f>
        <v>20200111153511765</v>
      </c>
      <c r="B3871" t="str">
        <f>"1578728111759709"</f>
        <v>1578728111759709</v>
      </c>
      <c r="C3871" t="s">
        <v>37</v>
      </c>
      <c r="D3871">
        <v>4.8593339999999996</v>
      </c>
      <c r="E3871">
        <v>0.50120770000000003</v>
      </c>
      <c r="F3871" t="s">
        <v>39</v>
      </c>
      <c r="G3871">
        <v>-345.5446</v>
      </c>
      <c r="H3871" s="1">
        <v>-2.1414759999999999E-6</v>
      </c>
      <c r="I3871">
        <v>140.54769999999999</v>
      </c>
      <c r="J3871">
        <v>-323.185</v>
      </c>
      <c r="K3871">
        <v>1.1046069999999999</v>
      </c>
      <c r="L3871">
        <v>141.50030000000001</v>
      </c>
      <c r="M3871">
        <v>-0.99913949999999996</v>
      </c>
      <c r="N3871">
        <v>0</v>
      </c>
      <c r="O3871">
        <v>3.8729689999999997E-2</v>
      </c>
      <c r="P3871">
        <v>-0.9936083</v>
      </c>
      <c r="Q3871">
        <v>0.1006174</v>
      </c>
      <c r="R3871">
        <v>-5.1175699999999998E-2</v>
      </c>
      <c r="S3871">
        <v>-3.0303650000000002</v>
      </c>
      <c r="T3871">
        <v>-0.1464801</v>
      </c>
      <c r="U3871">
        <v>-0.1238098</v>
      </c>
      <c r="V3871">
        <v>-8.9538110000000004E-2</v>
      </c>
      <c r="W3871">
        <v>0.1153872</v>
      </c>
      <c r="X3871">
        <v>0.98927690000000001</v>
      </c>
      <c r="Y3871">
        <v>-7.9355690000000007E-2</v>
      </c>
      <c r="Z3871">
        <v>-3.7864550000000002E-3</v>
      </c>
      <c r="AA3871">
        <v>0.99683920000000004</v>
      </c>
      <c r="AB3871">
        <v>48</v>
      </c>
      <c r="AC3871">
        <v>-22.3596</v>
      </c>
      <c r="AD3871">
        <v>-1.104609141476</v>
      </c>
      <c r="AE3871">
        <v>-0.95260000000001699</v>
      </c>
      <c r="AF3871">
        <v>-1.81354285873585</v>
      </c>
      <c r="AG3871">
        <v>-1.104609141476</v>
      </c>
      <c r="AH3871">
        <v>22.251714250154901</v>
      </c>
      <c r="AI3871">
        <v>92.8325406923</v>
      </c>
      <c r="AJ3871">
        <v>94.659380141234806</v>
      </c>
      <c r="AK3871">
        <v>22.3528048827535</v>
      </c>
    </row>
    <row r="3872" spans="1:37" x14ac:dyDescent="0.2">
      <c r="A3872" t="str">
        <f>"20200111153511783"</f>
        <v>20200111153511783</v>
      </c>
      <c r="B3872" t="str">
        <f>"1578728111780205"</f>
        <v>1578728111780205</v>
      </c>
      <c r="C3872" t="s">
        <v>37</v>
      </c>
      <c r="D3872">
        <v>4.8411299999999997</v>
      </c>
      <c r="E3872">
        <v>0.50090279999999998</v>
      </c>
      <c r="F3872" t="s">
        <v>39</v>
      </c>
      <c r="G3872">
        <v>-343.47210000000001</v>
      </c>
      <c r="H3872" s="1">
        <v>-3.05582699999999E-6</v>
      </c>
      <c r="I3872">
        <v>140.64259999999999</v>
      </c>
      <c r="J3872">
        <v>-323.56150000000002</v>
      </c>
      <c r="K3872">
        <v>1.1047389999999999</v>
      </c>
      <c r="L3872">
        <v>141.5147</v>
      </c>
      <c r="M3872">
        <v>-0.99914959999999997</v>
      </c>
      <c r="N3872">
        <v>0</v>
      </c>
      <c r="O3872">
        <v>3.8469870000000003E-2</v>
      </c>
      <c r="P3872">
        <v>-0.99383480000000002</v>
      </c>
      <c r="Q3872">
        <v>9.8143439999999998E-2</v>
      </c>
      <c r="R3872">
        <v>-5.1578369999999998E-2</v>
      </c>
      <c r="S3872">
        <v>-3.0293580000000002</v>
      </c>
      <c r="T3872">
        <v>-0.16494539999999999</v>
      </c>
      <c r="U3872">
        <v>-0.12805179999999999</v>
      </c>
      <c r="V3872">
        <v>-8.9735350000000005E-2</v>
      </c>
      <c r="W3872">
        <v>0.1128817</v>
      </c>
      <c r="X3872">
        <v>0.98954799999999998</v>
      </c>
      <c r="Y3872">
        <v>-8.0465149999999999E-2</v>
      </c>
      <c r="Z3872">
        <v>-4.2804569999999997E-3</v>
      </c>
      <c r="AA3872">
        <v>0.99674819999999997</v>
      </c>
      <c r="AB3872">
        <v>48</v>
      </c>
      <c r="AC3872">
        <v>-19.910599999999899</v>
      </c>
      <c r="AD3872">
        <v>-1.104742055827</v>
      </c>
      <c r="AE3872">
        <v>-0.87210000000001697</v>
      </c>
      <c r="AF3872">
        <v>-1.6324806844297799</v>
      </c>
      <c r="AG3872">
        <v>-1.104742055827</v>
      </c>
      <c r="AH3872">
        <v>19.801460853673198</v>
      </c>
      <c r="AI3872">
        <v>93.182500098192307</v>
      </c>
      <c r="AJ3872">
        <v>94.712945385036704</v>
      </c>
      <c r="AK3872">
        <v>19.899329137800201</v>
      </c>
    </row>
    <row r="3873" spans="1:37" x14ac:dyDescent="0.2">
      <c r="A3873" t="str">
        <f>"20200111153511797"</f>
        <v>20200111153511797</v>
      </c>
      <c r="B3873" t="str">
        <f>"1578728111789965"</f>
        <v>1578728111789965</v>
      </c>
      <c r="C3873" t="s">
        <v>37</v>
      </c>
      <c r="D3873">
        <v>4.8649209999999998</v>
      </c>
      <c r="E3873">
        <v>0.50090310000000005</v>
      </c>
      <c r="F3873" t="s">
        <v>39</v>
      </c>
      <c r="G3873">
        <v>-343.02120000000002</v>
      </c>
      <c r="H3873" s="1">
        <v>-3.2559699999999998E-6</v>
      </c>
      <c r="I3873">
        <v>140.6678</v>
      </c>
      <c r="J3873">
        <v>-323.90179999999998</v>
      </c>
      <c r="K3873">
        <v>1.104833</v>
      </c>
      <c r="L3873">
        <v>141.52760000000001</v>
      </c>
      <c r="M3873">
        <v>-0.99916209999999905</v>
      </c>
      <c r="N3873">
        <v>0</v>
      </c>
      <c r="O3873">
        <v>3.8141899999999999E-2</v>
      </c>
      <c r="P3873">
        <v>-0.99430399999999997</v>
      </c>
      <c r="Q3873">
        <v>9.29397E-2</v>
      </c>
      <c r="R3873">
        <v>-5.217252E-2</v>
      </c>
      <c r="S3873">
        <v>-3.02874799999999</v>
      </c>
      <c r="T3873">
        <v>-0.1719453</v>
      </c>
      <c r="U3873">
        <v>-0.13180539999999999</v>
      </c>
      <c r="V3873">
        <v>-9.0060150000000005E-2</v>
      </c>
      <c r="W3873">
        <v>0.10765280000000001</v>
      </c>
      <c r="X3873">
        <v>0.99010100000000001</v>
      </c>
      <c r="Y3873">
        <v>-8.1363249999999998E-2</v>
      </c>
      <c r="Z3873">
        <v>-4.469481E-3</v>
      </c>
      <c r="AA3873">
        <v>0.99667450000000002</v>
      </c>
      <c r="AB3873">
        <v>48</v>
      </c>
      <c r="AC3873">
        <v>-19.119399999999999</v>
      </c>
      <c r="AD3873">
        <v>-1.10483625597</v>
      </c>
      <c r="AE3873">
        <v>-0.859800000000007</v>
      </c>
      <c r="AF3873">
        <v>-1.5832286878212001</v>
      </c>
      <c r="AG3873">
        <v>-1.10483625597</v>
      </c>
      <c r="AH3873">
        <v>19.009337773602599</v>
      </c>
      <c r="AI3873">
        <v>93.314877860693699</v>
      </c>
      <c r="AJ3873">
        <v>94.760999216026093</v>
      </c>
      <c r="AK3873">
        <v>19.107124294915799</v>
      </c>
    </row>
    <row r="3874" spans="1:37" x14ac:dyDescent="0.2">
      <c r="A3874" t="str">
        <f>"20200111153511814"</f>
        <v>20200111153511814</v>
      </c>
      <c r="B3874" t="str">
        <f>"1578728111809485"</f>
        <v>1578728111809485</v>
      </c>
      <c r="C3874" t="s">
        <v>37</v>
      </c>
      <c r="D3874">
        <v>4.8467370000000001</v>
      </c>
      <c r="E3874">
        <v>0.50107999999999997</v>
      </c>
      <c r="F3874" t="s">
        <v>39</v>
      </c>
      <c r="G3874">
        <v>-341.82190000000003</v>
      </c>
      <c r="H3874" s="1">
        <v>-3.7897069999999999E-6</v>
      </c>
      <c r="I3874">
        <v>140.74010000000001</v>
      </c>
      <c r="J3874">
        <v>-324.22949999999997</v>
      </c>
      <c r="K3874">
        <v>1.104954</v>
      </c>
      <c r="L3874">
        <v>141.53989999999999</v>
      </c>
      <c r="M3874">
        <v>-0.99917809999999996</v>
      </c>
      <c r="N3874">
        <v>0</v>
      </c>
      <c r="O3874">
        <v>3.7723270000000003E-2</v>
      </c>
      <c r="P3874">
        <v>-0.99446080000000003</v>
      </c>
      <c r="Q3874">
        <v>9.1080690000000006E-2</v>
      </c>
      <c r="R3874">
        <v>-5.2460100000000003E-2</v>
      </c>
      <c r="S3874">
        <v>-3.0276489999999998</v>
      </c>
      <c r="T3874">
        <v>-0.1866661</v>
      </c>
      <c r="U3874">
        <v>-0.1330414</v>
      </c>
      <c r="V3874">
        <v>-8.9973200000000003E-2</v>
      </c>
      <c r="W3874">
        <v>0.1057654</v>
      </c>
      <c r="X3874">
        <v>0.99031229999999904</v>
      </c>
      <c r="Y3874">
        <v>-8.1333870000000003E-2</v>
      </c>
      <c r="Z3874">
        <v>-4.8264709999999997E-3</v>
      </c>
      <c r="AA3874">
        <v>0.99667530000000004</v>
      </c>
      <c r="AB3874">
        <v>48</v>
      </c>
      <c r="AC3874">
        <v>-17.592400000000001</v>
      </c>
      <c r="AD3874">
        <v>-1.104957789707</v>
      </c>
      <c r="AE3874">
        <v>-0.79979999999997597</v>
      </c>
      <c r="AF3874">
        <v>-1.45720973224608</v>
      </c>
      <c r="AG3874">
        <v>-1.104957789707</v>
      </c>
      <c r="AH3874">
        <v>17.480882087936699</v>
      </c>
      <c r="AI3874">
        <v>93.604357280787099</v>
      </c>
      <c r="AJ3874">
        <v>94.765170109240898</v>
      </c>
      <c r="AK3874">
        <v>17.5762803372367</v>
      </c>
    </row>
    <row r="3875" spans="1:37" x14ac:dyDescent="0.2">
      <c r="A3875" t="str">
        <f>"20200111153511828"</f>
        <v>20200111153511828</v>
      </c>
      <c r="B3875" t="str">
        <f>"1578728111820222"</f>
        <v>1578728111820222</v>
      </c>
      <c r="C3875" t="s">
        <v>37</v>
      </c>
      <c r="D3875">
        <v>4.8616099999999998</v>
      </c>
      <c r="E3875">
        <v>0.5011236</v>
      </c>
      <c r="F3875" t="s">
        <v>39</v>
      </c>
      <c r="G3875">
        <v>-341.92399999999998</v>
      </c>
      <c r="H3875" s="1">
        <v>-3.7528030000000002E-6</v>
      </c>
      <c r="I3875">
        <v>140.76609999999999</v>
      </c>
      <c r="J3875">
        <v>-324.52940000000001</v>
      </c>
      <c r="K3875">
        <v>1.1050659999999899</v>
      </c>
      <c r="L3875">
        <v>141.55090000000001</v>
      </c>
      <c r="M3875">
        <v>-0.99919429999999998</v>
      </c>
      <c r="N3875">
        <v>0</v>
      </c>
      <c r="O3875">
        <v>3.7289360000000001E-2</v>
      </c>
      <c r="P3875">
        <v>-0.99456080000000002</v>
      </c>
      <c r="Q3875">
        <v>8.9750830000000004E-2</v>
      </c>
      <c r="R3875">
        <v>-5.2854930000000001E-2</v>
      </c>
      <c r="S3875">
        <v>-3.0270079999999999</v>
      </c>
      <c r="T3875">
        <v>-0.189026</v>
      </c>
      <c r="U3875">
        <v>-0.13235469999999999</v>
      </c>
      <c r="V3875">
        <v>-8.9971529999999994E-2</v>
      </c>
      <c r="W3875">
        <v>0.1044091</v>
      </c>
      <c r="X3875">
        <v>0.99045640000000001</v>
      </c>
      <c r="Y3875">
        <v>-8.0680920000000003E-2</v>
      </c>
      <c r="Z3875">
        <v>-4.8410110000000001E-3</v>
      </c>
      <c r="AA3875">
        <v>0.99672819999999995</v>
      </c>
      <c r="AB3875">
        <v>48</v>
      </c>
      <c r="AC3875">
        <v>-17.394600000000001</v>
      </c>
      <c r="AD3875">
        <v>-1.10506975280299</v>
      </c>
      <c r="AE3875">
        <v>-0.78480000000001804</v>
      </c>
      <c r="AF3875">
        <v>-1.4272104934724501</v>
      </c>
      <c r="AG3875">
        <v>-1.10506975280299</v>
      </c>
      <c r="AH3875">
        <v>17.283616786407499</v>
      </c>
      <c r="AI3875">
        <v>93.645988407703001</v>
      </c>
      <c r="AJ3875">
        <v>94.720541487318997</v>
      </c>
      <c r="AK3875">
        <v>17.3776154339605</v>
      </c>
    </row>
    <row r="3876" spans="1:37" x14ac:dyDescent="0.2">
      <c r="A3876" t="str">
        <f>"20200111153511842"</f>
        <v>20200111153511842</v>
      </c>
      <c r="B3876" t="str">
        <f>"1578728111829980"</f>
        <v>1578728111829980</v>
      </c>
      <c r="C3876" t="s">
        <v>37</v>
      </c>
      <c r="D3876">
        <v>4.8598720000000002</v>
      </c>
      <c r="E3876">
        <v>0.50113149999999995</v>
      </c>
      <c r="F3876" t="s">
        <v>39</v>
      </c>
      <c r="G3876">
        <v>-342.01799999999997</v>
      </c>
      <c r="H3876" s="1">
        <v>-3.7163950000000002E-6</v>
      </c>
      <c r="I3876">
        <v>140.7807</v>
      </c>
      <c r="J3876">
        <v>-324.8399</v>
      </c>
      <c r="K3876">
        <v>1.1051770000000001</v>
      </c>
      <c r="L3876">
        <v>141.56219999999999</v>
      </c>
      <c r="M3876">
        <v>-0.99921260000000001</v>
      </c>
      <c r="N3876">
        <v>0</v>
      </c>
      <c r="O3876">
        <v>3.6796549999999997E-2</v>
      </c>
      <c r="P3876">
        <v>-0.99458500000000005</v>
      </c>
      <c r="Q3876">
        <v>8.9405899999999996E-2</v>
      </c>
      <c r="R3876">
        <v>-5.2987880000000001E-2</v>
      </c>
      <c r="S3876">
        <v>-3.0266109999999999</v>
      </c>
      <c r="T3876">
        <v>-0.19124620000000001</v>
      </c>
      <c r="U3876">
        <v>-0.13327030000000001</v>
      </c>
      <c r="V3876">
        <v>-8.9647279999999996E-2</v>
      </c>
      <c r="W3876">
        <v>0.104036899999999</v>
      </c>
      <c r="X3876">
        <v>0.99052489999999904</v>
      </c>
      <c r="Y3876">
        <v>-8.049183E-2</v>
      </c>
      <c r="Z3876">
        <v>-4.8613099999999998E-3</v>
      </c>
      <c r="AA3876">
        <v>0.99674339999999995</v>
      </c>
      <c r="AB3876">
        <v>48</v>
      </c>
      <c r="AC3876">
        <v>-17.178100000000001</v>
      </c>
      <c r="AD3876">
        <v>-1.105180716395</v>
      </c>
      <c r="AE3876">
        <v>-0.78149999999999398</v>
      </c>
      <c r="AF3876">
        <v>-1.4073218984826701</v>
      </c>
      <c r="AG3876">
        <v>-1.105180716395</v>
      </c>
      <c r="AH3876">
        <v>17.067205717406999</v>
      </c>
      <c r="AI3876">
        <v>93.692497626794193</v>
      </c>
      <c r="AJ3876">
        <v>94.713811896704001</v>
      </c>
      <c r="AK3876">
        <v>17.160754364016999</v>
      </c>
    </row>
    <row r="3877" spans="1:37" x14ac:dyDescent="0.2">
      <c r="A3877" t="str">
        <f>"20200111153511858"</f>
        <v>20200111153511858</v>
      </c>
      <c r="B3877" t="str">
        <f>"1578728111849501"</f>
        <v>1578728111849501</v>
      </c>
      <c r="C3877" t="s">
        <v>37</v>
      </c>
      <c r="D3877">
        <v>4.8595759999999997</v>
      </c>
      <c r="E3877">
        <v>0.50125090000000005</v>
      </c>
      <c r="F3877" t="s">
        <v>39</v>
      </c>
      <c r="G3877">
        <v>-342.37790000000001</v>
      </c>
      <c r="H3877" s="1">
        <v>-3.56355599999999E-6</v>
      </c>
      <c r="I3877">
        <v>140.78659999999999</v>
      </c>
      <c r="J3877">
        <v>-325.19319999999999</v>
      </c>
      <c r="K3877">
        <v>1.105315</v>
      </c>
      <c r="L3877">
        <v>141.57490000000001</v>
      </c>
      <c r="M3877">
        <v>-0.99923519999999899</v>
      </c>
      <c r="N3877">
        <v>0</v>
      </c>
      <c r="O3877">
        <v>3.6180379999999998E-2</v>
      </c>
      <c r="P3877">
        <v>-0.99451399999999901</v>
      </c>
      <c r="Q3877">
        <v>8.9943019999999999E-2</v>
      </c>
      <c r="R3877">
        <v>-5.3407830000000003E-2</v>
      </c>
      <c r="S3877">
        <v>-3.026367</v>
      </c>
      <c r="T3877">
        <v>-0.19071099999999999</v>
      </c>
      <c r="U3877">
        <v>-0.13381960000000001</v>
      </c>
      <c r="V3877">
        <v>-8.94871E-2</v>
      </c>
      <c r="W3877">
        <v>0.10454289999999899</v>
      </c>
      <c r="X3877">
        <v>0.99048609999999904</v>
      </c>
      <c r="Y3877">
        <v>-8.0064629999999998E-2</v>
      </c>
      <c r="Z3877">
        <v>-4.7958929999999999E-3</v>
      </c>
      <c r="AA3877">
        <v>0.996778099999999</v>
      </c>
      <c r="AB3877">
        <v>48</v>
      </c>
      <c r="AC3877">
        <v>-17.184699999999999</v>
      </c>
      <c r="AD3877">
        <v>-1.1053185635560001</v>
      </c>
      <c r="AE3877">
        <v>-0.78830000000001998</v>
      </c>
      <c r="AF3877">
        <v>-1.40380572288838</v>
      </c>
      <c r="AG3877">
        <v>-1.1053185635560001</v>
      </c>
      <c r="AH3877">
        <v>17.074432657884199</v>
      </c>
      <c r="AI3877">
        <v>93.691470654689397</v>
      </c>
      <c r="AJ3877">
        <v>94.700106081763494</v>
      </c>
      <c r="AK3877">
        <v>17.167662922575701</v>
      </c>
    </row>
    <row r="3878" spans="1:37" x14ac:dyDescent="0.2">
      <c r="A3878" t="str">
        <f>"20200111153511877"</f>
        <v>20200111153511877</v>
      </c>
      <c r="B3878" t="str">
        <f>"1578728111870000"</f>
        <v>1578728111870000</v>
      </c>
      <c r="C3878" t="s">
        <v>37</v>
      </c>
      <c r="D3878">
        <v>4.8988360000000002</v>
      </c>
      <c r="E3878">
        <v>0.50140819999999997</v>
      </c>
      <c r="F3878" t="s">
        <v>39</v>
      </c>
      <c r="G3878">
        <v>-343.19990000000001</v>
      </c>
      <c r="H3878" s="1">
        <v>-3.207844E-6</v>
      </c>
      <c r="I3878">
        <v>140.77510000000001</v>
      </c>
      <c r="J3878">
        <v>-325.59390000000002</v>
      </c>
      <c r="K3878">
        <v>1.10547</v>
      </c>
      <c r="L3878">
        <v>141.5889</v>
      </c>
      <c r="M3878">
        <v>-0.9992626</v>
      </c>
      <c r="N3878">
        <v>0</v>
      </c>
      <c r="O3878">
        <v>3.5416910000000003E-2</v>
      </c>
      <c r="P3878">
        <v>-0.99427259999999995</v>
      </c>
      <c r="Q3878">
        <v>9.2189450000000006E-2</v>
      </c>
      <c r="R3878">
        <v>-5.4068680000000001E-2</v>
      </c>
      <c r="S3878">
        <v>-3.026062</v>
      </c>
      <c r="T3878">
        <v>-0.18575129999999901</v>
      </c>
      <c r="U3878">
        <v>-0.13438420000000001</v>
      </c>
      <c r="V3878">
        <v>-8.9418730000000002E-2</v>
      </c>
      <c r="W3878">
        <v>0.1067553</v>
      </c>
      <c r="X3878">
        <v>0.99025629999999998</v>
      </c>
      <c r="Y3878">
        <v>-7.9507339999999996E-2</v>
      </c>
      <c r="Z3878">
        <v>-4.6079800000000002E-3</v>
      </c>
      <c r="AA3878">
        <v>0.99682359999999903</v>
      </c>
      <c r="AB3878">
        <v>48</v>
      </c>
      <c r="AC3878">
        <v>-17.605999999999899</v>
      </c>
      <c r="AD3878">
        <v>-1.1054732078439999</v>
      </c>
      <c r="AE3878">
        <v>-0.81379999999998598</v>
      </c>
      <c r="AF3878">
        <v>-1.4312771938973301</v>
      </c>
      <c r="AG3878">
        <v>-1.1054732078439999</v>
      </c>
      <c r="AH3878">
        <v>17.497290020468999</v>
      </c>
      <c r="AI3878">
        <v>93.603121375410495</v>
      </c>
      <c r="AJ3878">
        <v>94.676379368252</v>
      </c>
      <c r="AK3878">
        <v>17.590502649993699</v>
      </c>
    </row>
    <row r="3879" spans="1:37" x14ac:dyDescent="0.2">
      <c r="A3879" t="str">
        <f>"20200111153511900"</f>
        <v>20200111153511900</v>
      </c>
      <c r="B3879" t="str">
        <f>"1578728111889517"</f>
        <v>1578728111889517</v>
      </c>
      <c r="C3879" t="s">
        <v>37</v>
      </c>
      <c r="D3879">
        <v>4.9322239999999997</v>
      </c>
      <c r="E3879">
        <v>0.50147549999999996</v>
      </c>
      <c r="F3879" t="s">
        <v>39</v>
      </c>
      <c r="G3879">
        <v>-344.69369999999998</v>
      </c>
      <c r="H3879" s="1">
        <v>-2.5555750000000001E-6</v>
      </c>
      <c r="I3879">
        <v>140.732</v>
      </c>
      <c r="J3879">
        <v>-326.06450000000001</v>
      </c>
      <c r="K3879">
        <v>1.105621</v>
      </c>
      <c r="L3879">
        <v>141.60489999999999</v>
      </c>
      <c r="M3879">
        <v>-0.99929609999999902</v>
      </c>
      <c r="N3879">
        <v>0</v>
      </c>
      <c r="O3879">
        <v>3.4461369999999998E-2</v>
      </c>
      <c r="P3879">
        <v>-0.99406340000000004</v>
      </c>
      <c r="Q3879">
        <v>9.4008389999999997E-2</v>
      </c>
      <c r="R3879">
        <v>-5.4782320000000002E-2</v>
      </c>
      <c r="S3879">
        <v>-3.026154</v>
      </c>
      <c r="T3879">
        <v>-0.17515120000000001</v>
      </c>
      <c r="U3879">
        <v>-0.13574220000000001</v>
      </c>
      <c r="V3879">
        <v>-8.921345E-2</v>
      </c>
      <c r="W3879">
        <v>0.1085402</v>
      </c>
      <c r="X3879">
        <v>0.99008079999999998</v>
      </c>
      <c r="Y3879">
        <v>-7.9025590000000007E-2</v>
      </c>
      <c r="Z3879">
        <v>-4.276144E-3</v>
      </c>
      <c r="AA3879">
        <v>0.99686339999999996</v>
      </c>
      <c r="AB3879">
        <v>48</v>
      </c>
      <c r="AC3879">
        <v>-18.629199999999901</v>
      </c>
      <c r="AD3879">
        <v>-1.105623555575</v>
      </c>
      <c r="AE3879">
        <v>-0.87289999999998702</v>
      </c>
      <c r="AF3879">
        <v>-1.5091357226673401</v>
      </c>
      <c r="AG3879">
        <v>-1.105623555575</v>
      </c>
      <c r="AH3879">
        <v>18.522947338514101</v>
      </c>
      <c r="AI3879">
        <v>93.404642995072905</v>
      </c>
      <c r="AJ3879">
        <v>94.657819402512303</v>
      </c>
      <c r="AK3879">
        <v>18.6171821761898</v>
      </c>
    </row>
    <row r="3880" spans="1:37" x14ac:dyDescent="0.2">
      <c r="A3880" t="str">
        <f>"20200111153511923"</f>
        <v>20200111153511923</v>
      </c>
      <c r="B3880" t="str">
        <f>"1578728111919773"</f>
        <v>1578728111919773</v>
      </c>
      <c r="C3880" t="s">
        <v>37</v>
      </c>
      <c r="D3880">
        <v>4.8919119999999996</v>
      </c>
      <c r="E3880">
        <v>0.50151259999999998</v>
      </c>
      <c r="F3880" t="s">
        <v>39</v>
      </c>
      <c r="G3880">
        <v>-346.1189</v>
      </c>
      <c r="H3880" s="1">
        <v>-1.9331900000000001E-6</v>
      </c>
      <c r="I3880">
        <v>140.6908</v>
      </c>
      <c r="J3880">
        <v>-326.54919999999998</v>
      </c>
      <c r="K3880">
        <v>1.105747</v>
      </c>
      <c r="L3880">
        <v>141.6208</v>
      </c>
      <c r="M3880">
        <v>-0.99933139999999998</v>
      </c>
      <c r="N3880">
        <v>0</v>
      </c>
      <c r="O3880">
        <v>3.3421140000000002E-2</v>
      </c>
      <c r="P3880">
        <v>-0.99398199999999903</v>
      </c>
      <c r="Q3880">
        <v>9.4607520000000001E-2</v>
      </c>
      <c r="R3880">
        <v>-5.5221010000000001E-2</v>
      </c>
      <c r="S3880">
        <v>-3.0260929999999999</v>
      </c>
      <c r="T3880">
        <v>-0.16683239999999999</v>
      </c>
      <c r="U3880">
        <v>-0.1379089</v>
      </c>
      <c r="V3880">
        <v>-8.864793E-2</v>
      </c>
      <c r="W3880">
        <v>0.10911369999999999</v>
      </c>
      <c r="X3880">
        <v>0.99006859999999997</v>
      </c>
      <c r="Y3880">
        <v>-7.8720730000000003E-2</v>
      </c>
      <c r="Z3880">
        <v>-4.0077150000000002E-3</v>
      </c>
      <c r="AA3880">
        <v>0.99688860000000001</v>
      </c>
      <c r="AB3880">
        <v>48</v>
      </c>
      <c r="AC3880">
        <v>-19.569700000000001</v>
      </c>
      <c r="AD3880">
        <v>-1.1057489331899999</v>
      </c>
      <c r="AE3880">
        <v>-0.93000000000000604</v>
      </c>
      <c r="AF3880">
        <v>-1.5785655416323701</v>
      </c>
      <c r="AG3880">
        <v>-1.1057489331899999</v>
      </c>
      <c r="AH3880">
        <v>19.4656739491694</v>
      </c>
      <c r="AI3880">
        <v>93.240581265728494</v>
      </c>
      <c r="AJ3880">
        <v>94.636246100081294</v>
      </c>
      <c r="AK3880">
        <v>19.560854075623901</v>
      </c>
    </row>
    <row r="3881" spans="1:37" x14ac:dyDescent="0.2">
      <c r="A3881" t="str">
        <f>"20200111153511938"</f>
        <v>20200111153511938</v>
      </c>
      <c r="B3881" t="str">
        <f>"1578728111929533"</f>
        <v>1578728111929533</v>
      </c>
      <c r="C3881" t="s">
        <v>37</v>
      </c>
      <c r="D3881">
        <v>4.8616529999999996</v>
      </c>
      <c r="E3881">
        <v>0.50153029999999998</v>
      </c>
      <c r="F3881" t="s">
        <v>39</v>
      </c>
      <c r="G3881">
        <v>-347.25850000000003</v>
      </c>
      <c r="H3881" s="1">
        <v>-1.4375340000000001E-6</v>
      </c>
      <c r="I3881">
        <v>140.66540000000001</v>
      </c>
      <c r="J3881">
        <v>-326.89940000000001</v>
      </c>
      <c r="K3881">
        <v>1.1058190000000001</v>
      </c>
      <c r="L3881">
        <v>141.63210000000001</v>
      </c>
      <c r="M3881">
        <v>-0.99935699999999905</v>
      </c>
      <c r="N3881">
        <v>0</v>
      </c>
      <c r="O3881">
        <v>3.264864E-2</v>
      </c>
      <c r="P3881">
        <v>-0.99395789999999995</v>
      </c>
      <c r="Q3881">
        <v>9.444611E-2</v>
      </c>
      <c r="R3881">
        <v>-5.592801E-2</v>
      </c>
      <c r="S3881">
        <v>-3.0258180000000001</v>
      </c>
      <c r="T3881">
        <v>-0.16156039999999999</v>
      </c>
      <c r="U3881">
        <v>-0.1395874</v>
      </c>
      <c r="V3881">
        <v>-8.8604349999999998E-2</v>
      </c>
      <c r="W3881">
        <v>0.1089355</v>
      </c>
      <c r="X3881">
        <v>0.99009210000000003</v>
      </c>
      <c r="Y3881">
        <v>-7.8518009999999999E-2</v>
      </c>
      <c r="Z3881">
        <v>-3.834952E-3</v>
      </c>
      <c r="AA3881">
        <v>0.99690529999999999</v>
      </c>
      <c r="AB3881">
        <v>48</v>
      </c>
      <c r="AC3881">
        <v>-20.359100000000002</v>
      </c>
      <c r="AD3881">
        <v>-1.1058204375339999</v>
      </c>
      <c r="AE3881">
        <v>-0.966700000000003</v>
      </c>
      <c r="AF3881">
        <v>-1.6261677355148401</v>
      </c>
      <c r="AG3881">
        <v>-1.1058204375339999</v>
      </c>
      <c r="AH3881">
        <v>20.2570510888483</v>
      </c>
      <c r="AI3881">
        <v>93.114641404128093</v>
      </c>
      <c r="AJ3881">
        <v>94.589669683883798</v>
      </c>
      <c r="AK3881">
        <v>20.352281915311298</v>
      </c>
    </row>
    <row r="3882" spans="1:37" x14ac:dyDescent="0.2">
      <c r="A3882" t="str">
        <f>"20200111153511954"</f>
        <v>20200111153511954</v>
      </c>
      <c r="B3882" t="str">
        <f>"1578728111950029"</f>
        <v>1578728111950029</v>
      </c>
      <c r="C3882" t="s">
        <v>37</v>
      </c>
      <c r="D3882">
        <v>4.9296230000000003</v>
      </c>
      <c r="E3882">
        <v>0.50156339999999999</v>
      </c>
      <c r="F3882" t="s">
        <v>39</v>
      </c>
      <c r="G3882">
        <v>-347.64179999999999</v>
      </c>
      <c r="H3882" s="1">
        <v>-1.271554E-6</v>
      </c>
      <c r="I3882">
        <v>140.65950000000001</v>
      </c>
      <c r="J3882">
        <v>-327.23750000000001</v>
      </c>
      <c r="K3882">
        <v>1.1058790000000001</v>
      </c>
      <c r="L3882">
        <v>141.64259999999999</v>
      </c>
      <c r="M3882">
        <v>-0.99938150000000003</v>
      </c>
      <c r="N3882">
        <v>0</v>
      </c>
      <c r="O3882">
        <v>3.1889000000000001E-2</v>
      </c>
      <c r="P3882">
        <v>-0.99406899999999998</v>
      </c>
      <c r="Q3882">
        <v>9.3220600000000001E-2</v>
      </c>
      <c r="R3882">
        <v>-5.6008809999999999E-2</v>
      </c>
      <c r="S3882">
        <v>-3.0255740000000002</v>
      </c>
      <c r="T3882">
        <v>-0.16130079999999999</v>
      </c>
      <c r="U3882">
        <v>-0.14186099999999999</v>
      </c>
      <c r="V3882">
        <v>-8.7946769999999994E-2</v>
      </c>
      <c r="W3882">
        <v>0.1076997</v>
      </c>
      <c r="X3882">
        <v>0.99028590000000005</v>
      </c>
      <c r="Y3882">
        <v>-7.8513029999999998E-2</v>
      </c>
      <c r="Z3882">
        <v>-3.7884629999999902E-3</v>
      </c>
      <c r="AA3882">
        <v>0.99690590000000001</v>
      </c>
      <c r="AB3882">
        <v>48</v>
      </c>
      <c r="AC3882">
        <v>-20.4042999999999</v>
      </c>
      <c r="AD3882">
        <v>-1.1058802715539999</v>
      </c>
      <c r="AE3882">
        <v>-0.98309999999997899</v>
      </c>
      <c r="AF3882">
        <v>-1.6285713225524501</v>
      </c>
      <c r="AG3882">
        <v>-1.1058802715539999</v>
      </c>
      <c r="AH3882">
        <v>20.3030654750163</v>
      </c>
      <c r="AI3882">
        <v>93.107779839384094</v>
      </c>
      <c r="AJ3882">
        <v>94.586051741127406</v>
      </c>
      <c r="AK3882">
        <v>20.398276481370999</v>
      </c>
    </row>
    <row r="3883" spans="1:37" x14ac:dyDescent="0.2">
      <c r="A3883" t="str">
        <f>"20200111153511978"</f>
        <v>20200111153511978</v>
      </c>
      <c r="B3883" t="str">
        <f>"1578728111969548"</f>
        <v>1578728111969548</v>
      </c>
      <c r="C3883" t="s">
        <v>37</v>
      </c>
      <c r="D3883">
        <v>4.9142950000000001</v>
      </c>
      <c r="E3883">
        <v>0.50144509999999998</v>
      </c>
      <c r="F3883" t="s">
        <v>39</v>
      </c>
      <c r="G3883">
        <v>-347.7251</v>
      </c>
      <c r="H3883" s="1">
        <v>-1.240952E-6</v>
      </c>
      <c r="I3883">
        <v>140.6788</v>
      </c>
      <c r="J3883">
        <v>-327.73430000000002</v>
      </c>
      <c r="K3883">
        <v>1.105953</v>
      </c>
      <c r="L3883">
        <v>141.65780000000001</v>
      </c>
      <c r="M3883">
        <v>-0.99941669999999905</v>
      </c>
      <c r="N3883">
        <v>0</v>
      </c>
      <c r="O3883">
        <v>3.0770780000000001E-2</v>
      </c>
      <c r="P3883">
        <v>-0.99414780000000003</v>
      </c>
      <c r="Q3883">
        <v>9.2010960000000003E-2</v>
      </c>
      <c r="R3883">
        <v>-5.6608550000000001E-2</v>
      </c>
      <c r="S3883">
        <v>-3.0252080000000001</v>
      </c>
      <c r="T3883">
        <v>-0.16329560000000001</v>
      </c>
      <c r="U3883">
        <v>-0.1423035</v>
      </c>
      <c r="V3883">
        <v>-8.7454999999999894E-2</v>
      </c>
      <c r="W3883">
        <v>0.1064756</v>
      </c>
      <c r="X3883">
        <v>0.99046179999999995</v>
      </c>
      <c r="Y3883">
        <v>-7.7547820000000003E-2</v>
      </c>
      <c r="Z3883">
        <v>-3.7493919999999998E-3</v>
      </c>
      <c r="AA3883">
        <v>0.99698159999999902</v>
      </c>
      <c r="AB3883">
        <v>48</v>
      </c>
      <c r="AC3883">
        <v>-19.990799999999901</v>
      </c>
      <c r="AD3883">
        <v>-1.105954240952</v>
      </c>
      <c r="AE3883">
        <v>-0.97900000000001297</v>
      </c>
      <c r="AF3883">
        <v>-1.58888492674177</v>
      </c>
      <c r="AG3883">
        <v>-1.105954240952</v>
      </c>
      <c r="AH3883">
        <v>19.890471568677299</v>
      </c>
      <c r="AI3883">
        <v>93.172410294884202</v>
      </c>
      <c r="AJ3883">
        <v>94.567186908294701</v>
      </c>
      <c r="AK3883">
        <v>19.984457693864599</v>
      </c>
    </row>
    <row r="3884" spans="1:37" x14ac:dyDescent="0.2">
      <c r="A3884" t="str">
        <f>"20200111153511999"</f>
        <v>20200111153511999</v>
      </c>
      <c r="B3884" t="str">
        <f>"1578728111990047"</f>
        <v>1578728111990047</v>
      </c>
      <c r="C3884" t="s">
        <v>37</v>
      </c>
      <c r="D3884">
        <v>5.2062470000000003</v>
      </c>
      <c r="E3884">
        <v>0.50282139999999997</v>
      </c>
      <c r="F3884" t="s">
        <v>39</v>
      </c>
      <c r="G3884">
        <v>-347.96820000000002</v>
      </c>
      <c r="H3884" s="1">
        <v>-1.138625E-6</v>
      </c>
      <c r="I3884">
        <v>140.68620000000001</v>
      </c>
      <c r="J3884">
        <v>-328.19490000000002</v>
      </c>
      <c r="K3884">
        <v>1.1059999999999901</v>
      </c>
      <c r="L3884">
        <v>141.6713</v>
      </c>
      <c r="M3884">
        <v>-0.9994478</v>
      </c>
      <c r="N3884">
        <v>0</v>
      </c>
      <c r="O3884">
        <v>2.9740510000000001E-2</v>
      </c>
      <c r="P3884">
        <v>-0.994170199999999</v>
      </c>
      <c r="Q3884">
        <v>9.1524229999999998E-2</v>
      </c>
      <c r="R3884">
        <v>-5.7001740000000002E-2</v>
      </c>
      <c r="S3884">
        <v>-3.0247189999999899</v>
      </c>
      <c r="T3884">
        <v>-0.16532649999999999</v>
      </c>
      <c r="U3884">
        <v>-0.14521789999999901</v>
      </c>
      <c r="V3884">
        <v>-8.6838079999999998E-2</v>
      </c>
      <c r="W3884">
        <v>0.1059778</v>
      </c>
      <c r="X3884">
        <v>0.99056949999999999</v>
      </c>
      <c r="Y3884">
        <v>-7.7483739999999995E-2</v>
      </c>
      <c r="Z3884">
        <v>-3.7384909999999901E-3</v>
      </c>
      <c r="AA3884">
        <v>0.99698659999999995</v>
      </c>
      <c r="AB3884">
        <v>48</v>
      </c>
      <c r="AC3884">
        <v>-19.773299999999999</v>
      </c>
      <c r="AD3884">
        <v>-1.1060011386249999</v>
      </c>
      <c r="AE3884">
        <v>-0.98509999999998799</v>
      </c>
      <c r="AF3884">
        <v>-1.56790352493967</v>
      </c>
      <c r="AG3884">
        <v>-1.1060011386249999</v>
      </c>
      <c r="AH3884">
        <v>19.673851215460498</v>
      </c>
      <c r="AI3884">
        <v>93.207450972488701</v>
      </c>
      <c r="AJ3884">
        <v>94.5565450432359</v>
      </c>
      <c r="AK3884">
        <v>19.767194581685899</v>
      </c>
    </row>
    <row r="3885" spans="1:37" x14ac:dyDescent="0.2">
      <c r="A3885" t="str">
        <f>"20200111153512022"</f>
        <v>20200111153512022</v>
      </c>
      <c r="B3885" t="str">
        <f>"1578728112009565"</f>
        <v>1578728112009565</v>
      </c>
      <c r="C3885" t="s">
        <v>37</v>
      </c>
      <c r="D3885">
        <v>5.0319769999999897</v>
      </c>
      <c r="E3885">
        <v>0.57486159999999997</v>
      </c>
      <c r="F3885" t="s">
        <v>39</v>
      </c>
      <c r="G3885">
        <v>-347.66309999999999</v>
      </c>
      <c r="H3885" s="1">
        <v>-1.2995169999999901E-6</v>
      </c>
      <c r="I3885">
        <v>140.79900000000001</v>
      </c>
      <c r="J3885">
        <v>-328.67290000000003</v>
      </c>
      <c r="K3885">
        <v>1.1060319999999999</v>
      </c>
      <c r="L3885">
        <v>141.6848</v>
      </c>
      <c r="M3885">
        <v>-0.9994788</v>
      </c>
      <c r="N3885">
        <v>0</v>
      </c>
      <c r="O3885">
        <v>2.8687299999999999E-2</v>
      </c>
      <c r="P3885">
        <v>-0.99422099999999902</v>
      </c>
      <c r="Q3885">
        <v>9.0614210000000001E-2</v>
      </c>
      <c r="R3885">
        <v>-5.7566230000000003E-2</v>
      </c>
      <c r="S3885">
        <v>-3.0256349999999999</v>
      </c>
      <c r="T3885">
        <v>-0.1718894</v>
      </c>
      <c r="U3885">
        <v>-0.13555909999999999</v>
      </c>
      <c r="V3885">
        <v>-8.6365709999999998E-2</v>
      </c>
      <c r="W3885">
        <v>0.10505929999999999</v>
      </c>
      <c r="X3885">
        <v>0.99070859999999905</v>
      </c>
      <c r="Y3885">
        <v>-7.323781E-2</v>
      </c>
      <c r="Z3885">
        <v>-3.7055409999999902E-3</v>
      </c>
      <c r="AA3885">
        <v>0.99730759999999996</v>
      </c>
      <c r="AB3885">
        <v>48</v>
      </c>
      <c r="AC3885">
        <v>-18.990199999999898</v>
      </c>
      <c r="AD3885">
        <v>-1.1060332995169999</v>
      </c>
      <c r="AE3885">
        <v>-0.88579999999998804</v>
      </c>
      <c r="AF3885">
        <v>-1.4254477682340601</v>
      </c>
      <c r="AG3885">
        <v>-1.1060332995169999</v>
      </c>
      <c r="AH3885">
        <v>18.893019430023799</v>
      </c>
      <c r="AI3885">
        <v>93.340906110235395</v>
      </c>
      <c r="AJ3885">
        <v>94.3146992326636</v>
      </c>
      <c r="AK3885">
        <v>18.978972421679199</v>
      </c>
    </row>
    <row r="3886" spans="1:37" x14ac:dyDescent="0.2">
      <c r="A3886" t="str">
        <f>"20200111153512043"</f>
        <v>20200111153512043</v>
      </c>
      <c r="B3886" t="str">
        <f>"1578728112039821"</f>
        <v>1578728112039821</v>
      </c>
      <c r="C3886" t="s">
        <v>37</v>
      </c>
      <c r="D3886">
        <v>4.9632569999999996</v>
      </c>
      <c r="E3886">
        <v>0.57911420000000002</v>
      </c>
      <c r="F3886" t="s">
        <v>40</v>
      </c>
      <c r="G3886">
        <v>-329.68459999999999</v>
      </c>
      <c r="H3886">
        <v>0.89075400000000005</v>
      </c>
      <c r="I3886">
        <v>141.83160000000001</v>
      </c>
      <c r="J3886">
        <v>-329.14109999999999</v>
      </c>
      <c r="K3886">
        <v>1.106042</v>
      </c>
      <c r="L3886">
        <v>141.69749999999999</v>
      </c>
      <c r="M3886">
        <v>-0.99950740000000005</v>
      </c>
      <c r="N3886">
        <v>0</v>
      </c>
      <c r="O3886">
        <v>2.7670690000000001E-2</v>
      </c>
      <c r="P3886">
        <v>-0.99420540000000002</v>
      </c>
      <c r="Q3886">
        <v>9.0395550000000005E-2</v>
      </c>
      <c r="R3886">
        <v>-5.8179019999999998E-2</v>
      </c>
      <c r="S3886">
        <v>-3.103729</v>
      </c>
      <c r="T3886">
        <v>-0.66044190000000003</v>
      </c>
      <c r="U3886">
        <v>0.45091249999999999</v>
      </c>
      <c r="V3886">
        <v>-8.5975190000000007E-2</v>
      </c>
      <c r="W3886">
        <v>0.1048331</v>
      </c>
      <c r="X3886">
        <v>0.99076649999999999</v>
      </c>
      <c r="Y3886">
        <v>0.114429399999999</v>
      </c>
      <c r="Z3886">
        <v>6.1884399999999999E-3</v>
      </c>
      <c r="AA3886">
        <v>0.99341209999999902</v>
      </c>
      <c r="AB3886">
        <v>48</v>
      </c>
      <c r="AC3886">
        <v>-0.54349999999999399</v>
      </c>
      <c r="AD3886">
        <v>-0.21528799999999901</v>
      </c>
      <c r="AE3886">
        <v>0.13410000000001701</v>
      </c>
      <c r="AF3886">
        <v>0.103674294835851</v>
      </c>
      <c r="AG3886">
        <v>-0.21528799999999901</v>
      </c>
      <c r="AH3886">
        <v>0.47652386799320301</v>
      </c>
      <c r="AI3886">
        <v>113.819599501996</v>
      </c>
      <c r="AJ3886">
        <v>77.725794921395106</v>
      </c>
      <c r="AK3886">
        <v>0.53307811727824195</v>
      </c>
    </row>
    <row r="3887" spans="1:37" x14ac:dyDescent="0.2">
      <c r="A3887" t="str">
        <f>"20200111153512067"</f>
        <v>20200111153512067</v>
      </c>
      <c r="B3887" t="str">
        <f>"1578728112060316"</f>
        <v>1578728112060316</v>
      </c>
      <c r="C3887" t="s">
        <v>37</v>
      </c>
      <c r="D3887">
        <v>4.9815779999999998</v>
      </c>
      <c r="E3887">
        <v>0.57823219999999997</v>
      </c>
      <c r="F3887" t="s">
        <v>40</v>
      </c>
      <c r="G3887">
        <v>-330.09730000000002</v>
      </c>
      <c r="H3887">
        <v>0.8618709</v>
      </c>
      <c r="I3887">
        <v>141.84690000000001</v>
      </c>
      <c r="J3887">
        <v>-329.62470000000002</v>
      </c>
      <c r="K3887">
        <v>1.1060449999999999</v>
      </c>
      <c r="L3887">
        <v>141.71019999999999</v>
      </c>
      <c r="M3887">
        <v>-0.99953549999999902</v>
      </c>
      <c r="N3887">
        <v>0</v>
      </c>
      <c r="O3887">
        <v>2.6638809999999999E-2</v>
      </c>
      <c r="P3887">
        <v>-0.99416229999999906</v>
      </c>
      <c r="Q3887">
        <v>9.0002680000000002E-2</v>
      </c>
      <c r="R3887">
        <v>-5.9505969999999998E-2</v>
      </c>
      <c r="S3887">
        <v>-3.1184080000000001</v>
      </c>
      <c r="T3887">
        <v>-0.79632380000000003</v>
      </c>
      <c r="U3887">
        <v>0.48663329999999899</v>
      </c>
      <c r="V3887">
        <v>-8.6280259999999998E-2</v>
      </c>
      <c r="W3887">
        <v>0.10443189999999999</v>
      </c>
      <c r="X3887">
        <v>0.99078239999999995</v>
      </c>
      <c r="Y3887">
        <v>0.12473679999999999</v>
      </c>
      <c r="Z3887">
        <v>8.9316159999999999E-3</v>
      </c>
      <c r="AA3887">
        <v>0.99214969999999902</v>
      </c>
      <c r="AB3887">
        <v>48</v>
      </c>
      <c r="AC3887">
        <v>-0.47259999999999902</v>
      </c>
      <c r="AD3887">
        <v>-0.24417410000000001</v>
      </c>
      <c r="AE3887">
        <v>0.136700000000018</v>
      </c>
      <c r="AF3887">
        <v>9.9540775978984794E-2</v>
      </c>
      <c r="AG3887">
        <v>-0.24417410000000001</v>
      </c>
      <c r="AH3887">
        <v>0.38198101565834203</v>
      </c>
      <c r="AI3887">
        <v>121.739817104637</v>
      </c>
      <c r="AJ3887">
        <v>75.394076139775393</v>
      </c>
      <c r="AK3887">
        <v>0.46415391145253398</v>
      </c>
    </row>
    <row r="3888" spans="1:37" x14ac:dyDescent="0.2">
      <c r="A3888" t="str">
        <f>"20200111153512083"</f>
        <v>20200111153512083</v>
      </c>
      <c r="B3888" t="str">
        <f>"1578728112079837"</f>
        <v>1578728112079837</v>
      </c>
      <c r="C3888" t="s">
        <v>37</v>
      </c>
      <c r="D3888">
        <v>4.9548459999999999</v>
      </c>
      <c r="E3888">
        <v>0.57727689999999998</v>
      </c>
      <c r="F3888" t="s">
        <v>40</v>
      </c>
      <c r="G3888">
        <v>-330.52699999999999</v>
      </c>
      <c r="H3888">
        <v>0.87374189999999996</v>
      </c>
      <c r="I3888">
        <v>141.84790000000001</v>
      </c>
      <c r="J3888">
        <v>-329.97809999999998</v>
      </c>
      <c r="K3888">
        <v>1.106044</v>
      </c>
      <c r="L3888">
        <v>141.7191</v>
      </c>
      <c r="M3888">
        <v>-0.99955499999999997</v>
      </c>
      <c r="N3888">
        <v>0</v>
      </c>
      <c r="O3888">
        <v>2.58988E-2</v>
      </c>
      <c r="P3888">
        <v>-0.99412069999999997</v>
      </c>
      <c r="Q3888">
        <v>8.9886309999999997E-2</v>
      </c>
      <c r="R3888">
        <v>-6.0371660000000001E-2</v>
      </c>
      <c r="S3888">
        <v>-3.118744</v>
      </c>
      <c r="T3888">
        <v>-0.80297259999999904</v>
      </c>
      <c r="U3888">
        <v>0.47520449999999997</v>
      </c>
      <c r="V3888">
        <v>-8.6411279999999993E-2</v>
      </c>
      <c r="W3888">
        <v>0.104311899999999</v>
      </c>
      <c r="X3888">
        <v>0.99078359999999999</v>
      </c>
      <c r="Y3888">
        <v>0.12191680000000001</v>
      </c>
      <c r="Z3888">
        <v>8.8362489999999991E-3</v>
      </c>
      <c r="AA3888">
        <v>0.99250099999999997</v>
      </c>
      <c r="AB3888">
        <v>48</v>
      </c>
      <c r="AC3888">
        <v>-0.54890000000000305</v>
      </c>
      <c r="AD3888">
        <v>-0.23230210000000001</v>
      </c>
      <c r="AE3888">
        <v>0.12880000000001199</v>
      </c>
      <c r="AF3888">
        <v>9.7916767350233594E-2</v>
      </c>
      <c r="AG3888">
        <v>-0.23230210000000001</v>
      </c>
      <c r="AH3888">
        <v>0.47193502608710902</v>
      </c>
      <c r="AI3888">
        <v>115.732611930817</v>
      </c>
      <c r="AJ3888">
        <v>78.278613947056797</v>
      </c>
      <c r="AK3888">
        <v>0.53504637914910702</v>
      </c>
    </row>
    <row r="3889" spans="1:37" x14ac:dyDescent="0.2">
      <c r="A3889" t="str">
        <f>"20200111153512099"</f>
        <v>20200111153512099</v>
      </c>
      <c r="B3889" t="str">
        <f>"1578728112089597"</f>
        <v>1578728112089597</v>
      </c>
      <c r="C3889" t="s">
        <v>37</v>
      </c>
      <c r="D3889">
        <v>4.944267</v>
      </c>
      <c r="E3889">
        <v>0.57670120000000002</v>
      </c>
      <c r="F3889" t="s">
        <v>40</v>
      </c>
      <c r="G3889">
        <v>-330.94510000000002</v>
      </c>
      <c r="H3889">
        <v>0.85795719999999998</v>
      </c>
      <c r="I3889">
        <v>141.86349999999999</v>
      </c>
      <c r="J3889">
        <v>-330.32709999999997</v>
      </c>
      <c r="K3889">
        <v>1.106033</v>
      </c>
      <c r="L3889">
        <v>141.7277</v>
      </c>
      <c r="M3889">
        <v>-0.99957320000000005</v>
      </c>
      <c r="N3889">
        <v>0</v>
      </c>
      <c r="O3889">
        <v>2.518312E-2</v>
      </c>
      <c r="P3889">
        <v>-0.99408529999999995</v>
      </c>
      <c r="Q3889">
        <v>8.9577879999999999E-2</v>
      </c>
      <c r="R3889">
        <v>-6.1404210000000001E-2</v>
      </c>
      <c r="S3889">
        <v>-3.1183169999999998</v>
      </c>
      <c r="T3889">
        <v>-0.80011690000000002</v>
      </c>
      <c r="U3889">
        <v>0.46470640000000002</v>
      </c>
      <c r="V3889">
        <v>-8.6730660000000001E-2</v>
      </c>
      <c r="W3889">
        <v>0.10400039999999899</v>
      </c>
      <c r="X3889">
        <v>0.99078849999999996</v>
      </c>
      <c r="Y3889">
        <v>0.1194539</v>
      </c>
      <c r="Z3889">
        <v>8.6792280000000006E-3</v>
      </c>
      <c r="AA3889">
        <v>0.99280179999999996</v>
      </c>
      <c r="AB3889">
        <v>48</v>
      </c>
      <c r="AC3889">
        <v>-0.61800000000005095</v>
      </c>
      <c r="AD3889">
        <v>-0.24807580000000001</v>
      </c>
      <c r="AE3889">
        <v>0.13579999999998901</v>
      </c>
      <c r="AF3889">
        <v>0.10417841881828099</v>
      </c>
      <c r="AG3889">
        <v>-0.24807580000000001</v>
      </c>
      <c r="AH3889">
        <v>0.53845621611167005</v>
      </c>
      <c r="AI3889">
        <v>114.33859623641899</v>
      </c>
      <c r="AJ3889">
        <v>79.049928568125694</v>
      </c>
      <c r="AK3889">
        <v>0.60193840396041698</v>
      </c>
    </row>
    <row r="3890" spans="1:37" x14ac:dyDescent="0.2">
      <c r="A3890" t="str">
        <f>"20200111153512116"</f>
        <v>20200111153512116</v>
      </c>
      <c r="B3890" t="str">
        <f>"1578728112110093"</f>
        <v>1578728112110093</v>
      </c>
      <c r="C3890" t="s">
        <v>37</v>
      </c>
      <c r="D3890">
        <v>4.9032099999999996</v>
      </c>
      <c r="E3890">
        <v>0.57736460000000001</v>
      </c>
      <c r="F3890" t="s">
        <v>40</v>
      </c>
      <c r="G3890">
        <v>-331.3623</v>
      </c>
      <c r="H3890">
        <v>0.84065219999999896</v>
      </c>
      <c r="I3890">
        <v>141.8794</v>
      </c>
      <c r="J3890">
        <v>-330.68119999999999</v>
      </c>
      <c r="K3890">
        <v>1.1060219999999901</v>
      </c>
      <c r="L3890">
        <v>141.7362</v>
      </c>
      <c r="M3890">
        <v>-0.9995908</v>
      </c>
      <c r="N3890">
        <v>0</v>
      </c>
      <c r="O3890">
        <v>2.447949E-2</v>
      </c>
      <c r="P3890">
        <v>-0.99400319999999998</v>
      </c>
      <c r="Q3890">
        <v>8.9658160000000001E-2</v>
      </c>
      <c r="R3890">
        <v>-6.2602859999999996E-2</v>
      </c>
      <c r="S3890">
        <v>-3.118042</v>
      </c>
      <c r="T3890">
        <v>-0.79933399999999999</v>
      </c>
      <c r="U3890">
        <v>0.4569397</v>
      </c>
      <c r="V3890">
        <v>-8.7226949999999998E-2</v>
      </c>
      <c r="W3890">
        <v>0.1040777</v>
      </c>
      <c r="X3890">
        <v>0.99073670000000003</v>
      </c>
      <c r="Y3890">
        <v>0.1177795</v>
      </c>
      <c r="Z3890">
        <v>8.6394769999999996E-3</v>
      </c>
      <c r="AA3890">
        <v>0.99300219999999995</v>
      </c>
      <c r="AB3890">
        <v>48</v>
      </c>
      <c r="AC3890">
        <v>-0.68110000000001403</v>
      </c>
      <c r="AD3890">
        <v>-0.26536979999999999</v>
      </c>
      <c r="AE3890">
        <v>0.14320000000000699</v>
      </c>
      <c r="AF3890">
        <v>0.11042850459071001</v>
      </c>
      <c r="AG3890">
        <v>-0.26536979999999999</v>
      </c>
      <c r="AH3890">
        <v>0.59753398723784001</v>
      </c>
      <c r="AI3890">
        <v>113.591530363177</v>
      </c>
      <c r="AJ3890">
        <v>79.529470569035496</v>
      </c>
      <c r="AK3890">
        <v>0.66307047233497896</v>
      </c>
    </row>
    <row r="3891" spans="1:37" x14ac:dyDescent="0.2">
      <c r="A3891" t="str">
        <f>"20200111153512134"</f>
        <v>20200111153512134</v>
      </c>
      <c r="B3891" t="str">
        <f>"1578728112129612"</f>
        <v>1578728112129612</v>
      </c>
      <c r="C3891" t="s">
        <v>37</v>
      </c>
      <c r="D3891">
        <v>4.9215109999999997</v>
      </c>
      <c r="E3891">
        <v>0.57766819999999997</v>
      </c>
      <c r="F3891" t="s">
        <v>40</v>
      </c>
      <c r="G3891">
        <v>-331.39760000000001</v>
      </c>
      <c r="H3891">
        <v>0.92367359999999898</v>
      </c>
      <c r="I3891">
        <v>141.8415</v>
      </c>
      <c r="J3891">
        <v>-331.04500000000002</v>
      </c>
      <c r="K3891">
        <v>1.106004</v>
      </c>
      <c r="L3891">
        <v>141.74459999999999</v>
      </c>
      <c r="M3891">
        <v>-0.99960789999999999</v>
      </c>
      <c r="N3891">
        <v>0</v>
      </c>
      <c r="O3891">
        <v>2.3780490000000001E-2</v>
      </c>
      <c r="P3891">
        <v>-0.99391559999999901</v>
      </c>
      <c r="Q3891">
        <v>8.9937110000000001E-2</v>
      </c>
      <c r="R3891">
        <v>-6.3589069999999998E-2</v>
      </c>
      <c r="S3891">
        <v>-3.1185909999999999</v>
      </c>
      <c r="T3891">
        <v>-0.79376789999999997</v>
      </c>
      <c r="U3891">
        <v>0.45852659999999901</v>
      </c>
      <c r="V3891">
        <v>-8.7513510000000003E-2</v>
      </c>
      <c r="W3891">
        <v>0.10435609999999999</v>
      </c>
      <c r="X3891">
        <v>0.99068219999999996</v>
      </c>
      <c r="Y3891">
        <v>0.118927</v>
      </c>
      <c r="Z3891">
        <v>8.8964919999999902E-3</v>
      </c>
      <c r="AA3891">
        <v>0.992863099999999</v>
      </c>
      <c r="AB3891">
        <v>48</v>
      </c>
      <c r="AC3891">
        <v>-0.35259999999999497</v>
      </c>
      <c r="AD3891">
        <v>-0.1823304</v>
      </c>
      <c r="AE3891">
        <v>9.6900000000005093E-2</v>
      </c>
      <c r="AF3891">
        <v>7.0867657258644204E-2</v>
      </c>
      <c r="AG3891">
        <v>-0.1823304</v>
      </c>
      <c r="AH3891">
        <v>0.28415790844862499</v>
      </c>
      <c r="AI3891">
        <v>121.905651592921</v>
      </c>
      <c r="AJ3891">
        <v>75.996367901546407</v>
      </c>
      <c r="AK3891">
        <v>0.34498161768909702</v>
      </c>
    </row>
    <row r="3892" spans="1:37" x14ac:dyDescent="0.2">
      <c r="A3892" t="str">
        <f>"20200111153512156"</f>
        <v>20200111153512156</v>
      </c>
      <c r="B3892" t="str">
        <f>"1578728112150109"</f>
        <v>1578728112150109</v>
      </c>
      <c r="C3892" t="s">
        <v>37</v>
      </c>
      <c r="D3892">
        <v>4.9763219999999997</v>
      </c>
      <c r="E3892">
        <v>0.57803709999999997</v>
      </c>
      <c r="F3892" t="s">
        <v>40</v>
      </c>
      <c r="G3892">
        <v>-331.81580000000002</v>
      </c>
      <c r="H3892">
        <v>0.91145739999999997</v>
      </c>
      <c r="I3892">
        <v>141.85820000000001</v>
      </c>
      <c r="J3892">
        <v>-331.5265</v>
      </c>
      <c r="K3892">
        <v>1.10597099999999</v>
      </c>
      <c r="L3892">
        <v>141.75540000000001</v>
      </c>
      <c r="M3892">
        <v>-0.99962819999999997</v>
      </c>
      <c r="N3892">
        <v>0</v>
      </c>
      <c r="O3892">
        <v>2.2899240000000001E-2</v>
      </c>
      <c r="P3892">
        <v>-0.99378159999999904</v>
      </c>
      <c r="Q3892">
        <v>9.0572029999999998E-2</v>
      </c>
      <c r="R3892">
        <v>-6.4768309999999996E-2</v>
      </c>
      <c r="S3892">
        <v>-3.1189269999999998</v>
      </c>
      <c r="T3892">
        <v>-0.78734530000000003</v>
      </c>
      <c r="U3892">
        <v>0.45831300000000003</v>
      </c>
      <c r="V3892">
        <v>-8.7808029999999995E-2</v>
      </c>
      <c r="W3892">
        <v>0.1049924</v>
      </c>
      <c r="X3892">
        <v>0.99058889999999999</v>
      </c>
      <c r="Y3892">
        <v>0.1197164</v>
      </c>
      <c r="Z3892">
        <v>9.1411029999999994E-3</v>
      </c>
      <c r="AA3892">
        <v>0.99276600000000004</v>
      </c>
      <c r="AB3892">
        <v>47</v>
      </c>
      <c r="AC3892">
        <v>-0.28930000000002498</v>
      </c>
      <c r="AD3892">
        <v>-0.19451359999999901</v>
      </c>
      <c r="AE3892">
        <v>0.102800000000002</v>
      </c>
      <c r="AF3892">
        <v>6.8608927243605206E-2</v>
      </c>
      <c r="AG3892">
        <v>-0.19451359999999901</v>
      </c>
      <c r="AH3892">
        <v>0.20806437943171799</v>
      </c>
      <c r="AI3892">
        <v>131.60020102687599</v>
      </c>
      <c r="AJ3892">
        <v>71.7501032505361</v>
      </c>
      <c r="AK3892">
        <v>0.29297356787052298</v>
      </c>
    </row>
    <row r="3893" spans="1:37" x14ac:dyDescent="0.2">
      <c r="A3893" t="str">
        <f>"20200111153512179"</f>
        <v>20200111153512179</v>
      </c>
      <c r="B3893" t="str">
        <f>"1578728112169629"</f>
        <v>1578728112169629</v>
      </c>
      <c r="C3893" t="s">
        <v>37</v>
      </c>
      <c r="D3893">
        <v>4.8577839999999997</v>
      </c>
      <c r="E3893">
        <v>0.60463449999999996</v>
      </c>
      <c r="F3893" t="s">
        <v>40</v>
      </c>
      <c r="G3893">
        <v>-332.24610000000001</v>
      </c>
      <c r="H3893">
        <v>0.92549680000000001</v>
      </c>
      <c r="I3893">
        <v>141.86099999999999</v>
      </c>
      <c r="J3893">
        <v>-332.00529999999998</v>
      </c>
      <c r="K3893">
        <v>1.105926</v>
      </c>
      <c r="L3893">
        <v>141.76580000000001</v>
      </c>
      <c r="M3893">
        <v>-0.99964679999999995</v>
      </c>
      <c r="N3893">
        <v>0</v>
      </c>
      <c r="O3893">
        <v>2.2083760000000001E-2</v>
      </c>
      <c r="P3893">
        <v>-0.99368609999999902</v>
      </c>
      <c r="Q3893">
        <v>9.1263709999999998E-2</v>
      </c>
      <c r="R3893">
        <v>-6.5264279999999994E-2</v>
      </c>
      <c r="S3893">
        <v>-3.1199340000000002</v>
      </c>
      <c r="T3893">
        <v>-0.7825415</v>
      </c>
      <c r="U3893">
        <v>0.45808409999999899</v>
      </c>
      <c r="V3893">
        <v>-8.7482679999999993E-2</v>
      </c>
      <c r="W3893">
        <v>0.1056904</v>
      </c>
      <c r="X3893">
        <v>0.99054339999999996</v>
      </c>
      <c r="Y3893">
        <v>0.12040049999999999</v>
      </c>
      <c r="Z3893">
        <v>9.3684809999999997E-3</v>
      </c>
      <c r="AA3893">
        <v>0.99268120000000004</v>
      </c>
      <c r="AB3893">
        <v>47</v>
      </c>
      <c r="AC3893">
        <v>-0.24080000000003501</v>
      </c>
      <c r="AD3893">
        <v>-0.18042919999999901</v>
      </c>
      <c r="AE3893">
        <v>9.5199999999976997E-2</v>
      </c>
      <c r="AF3893">
        <v>6.0488507444298199E-2</v>
      </c>
      <c r="AG3893">
        <v>-0.18042919999999901</v>
      </c>
      <c r="AH3893">
        <v>0.16347117818894299</v>
      </c>
      <c r="AI3893">
        <v>135.989325110046</v>
      </c>
      <c r="AJ3893">
        <v>69.694240265332397</v>
      </c>
      <c r="AK3893">
        <v>0.25087124555030199</v>
      </c>
    </row>
    <row r="3894" spans="1:37" x14ac:dyDescent="0.2">
      <c r="A3894" t="str">
        <f>"20200111153512195"</f>
        <v>20200111153512195</v>
      </c>
      <c r="B3894" t="str">
        <f>"1578728112190125"</f>
        <v>1578728112190125</v>
      </c>
      <c r="C3894" t="s">
        <v>37</v>
      </c>
      <c r="D3894">
        <v>4.8805779999999999</v>
      </c>
      <c r="E3894">
        <v>0.60375319999999899</v>
      </c>
      <c r="F3894" t="s">
        <v>40</v>
      </c>
      <c r="G3894">
        <v>-333.05239999999998</v>
      </c>
      <c r="H3894">
        <v>0.8265574</v>
      </c>
      <c r="I3894">
        <v>141.98949999999999</v>
      </c>
      <c r="J3894">
        <v>-332.37470000000002</v>
      </c>
      <c r="K3894">
        <v>1.1058829999999999</v>
      </c>
      <c r="L3894">
        <v>141.77359999999999</v>
      </c>
      <c r="M3894">
        <v>-0.99965930000000003</v>
      </c>
      <c r="N3894">
        <v>0</v>
      </c>
      <c r="O3894">
        <v>2.150736E-2</v>
      </c>
      <c r="P3894">
        <v>-0.9936258</v>
      </c>
      <c r="Q3894">
        <v>9.1704800000000003E-2</v>
      </c>
      <c r="R3894">
        <v>-6.5561259999999996E-2</v>
      </c>
      <c r="S3894">
        <v>-3.140015</v>
      </c>
      <c r="T3894">
        <v>-0.83780480000000002</v>
      </c>
      <c r="U3894">
        <v>0.67004390000000003</v>
      </c>
      <c r="V3894">
        <v>-8.7196499999999996E-2</v>
      </c>
      <c r="W3894">
        <v>0.1061385</v>
      </c>
      <c r="X3894">
        <v>0.99052079999999998</v>
      </c>
      <c r="Y3894">
        <v>0.18223049999999999</v>
      </c>
      <c r="Z3894">
        <v>1.806282E-2</v>
      </c>
      <c r="AA3894">
        <v>0.98308989999999996</v>
      </c>
      <c r="AB3894">
        <v>47</v>
      </c>
      <c r="AC3894">
        <v>-0.677699999999958</v>
      </c>
      <c r="AD3894">
        <v>-0.27932559999999901</v>
      </c>
      <c r="AE3894">
        <v>0.21590000000000401</v>
      </c>
      <c r="AF3894">
        <v>0.174378709193558</v>
      </c>
      <c r="AG3894">
        <v>-0.27932559999999901</v>
      </c>
      <c r="AH3894">
        <v>0.59103289700952899</v>
      </c>
      <c r="AI3894">
        <v>114.384231857643</v>
      </c>
      <c r="AJ3894">
        <v>73.561800051288998</v>
      </c>
      <c r="AK3894">
        <v>0.67657269408604404</v>
      </c>
    </row>
    <row r="3895" spans="1:37" x14ac:dyDescent="0.2">
      <c r="A3895" t="str">
        <f>"20200111153512212"</f>
        <v>20200111153512212</v>
      </c>
      <c r="B3895" t="str">
        <f>"1578728112199885"</f>
        <v>1578728112199885</v>
      </c>
      <c r="C3895" t="s">
        <v>37</v>
      </c>
      <c r="D3895">
        <v>4.8862329999999998</v>
      </c>
      <c r="E3895">
        <v>0.60337799999999997</v>
      </c>
      <c r="F3895" t="s">
        <v>40</v>
      </c>
      <c r="G3895">
        <v>-333.08870000000002</v>
      </c>
      <c r="H3895">
        <v>0.91489240000000005</v>
      </c>
      <c r="I3895">
        <v>141.92429999999999</v>
      </c>
      <c r="J3895">
        <v>-332.68779999999998</v>
      </c>
      <c r="K3895">
        <v>1.10585</v>
      </c>
      <c r="L3895">
        <v>141.78</v>
      </c>
      <c r="M3895">
        <v>-0.99966929999999998</v>
      </c>
      <c r="N3895">
        <v>0</v>
      </c>
      <c r="O3895">
        <v>2.104789E-2</v>
      </c>
      <c r="P3895">
        <v>-0.99361769999999905</v>
      </c>
      <c r="Q3895">
        <v>9.1987330000000006E-2</v>
      </c>
      <c r="R3895">
        <v>-6.5286979999999994E-2</v>
      </c>
      <c r="S3895">
        <v>-3.14044199999999</v>
      </c>
      <c r="T3895">
        <v>-0.84009959999999995</v>
      </c>
      <c r="U3895">
        <v>0.66192629999999997</v>
      </c>
      <c r="V3895">
        <v>-8.6456959999999999E-2</v>
      </c>
      <c r="W3895">
        <v>0.1064296</v>
      </c>
      <c r="X3895">
        <v>0.9905543</v>
      </c>
      <c r="Y3895">
        <v>0.1802426</v>
      </c>
      <c r="Z3895">
        <v>1.797369E-2</v>
      </c>
      <c r="AA3895">
        <v>0.9834579</v>
      </c>
      <c r="AB3895">
        <v>47</v>
      </c>
      <c r="AC3895">
        <v>-0.40090000000003501</v>
      </c>
      <c r="AD3895">
        <v>-0.19095759999999901</v>
      </c>
      <c r="AE3895">
        <v>0.14429999999998699</v>
      </c>
      <c r="AF3895">
        <v>0.113109767003977</v>
      </c>
      <c r="AG3895">
        <v>-0.19095759999999901</v>
      </c>
      <c r="AH3895">
        <v>0.336299550187944</v>
      </c>
      <c r="AI3895">
        <v>118.288892968683</v>
      </c>
      <c r="AJ3895">
        <v>71.410336194057507</v>
      </c>
      <c r="AK3895">
        <v>0.40293425251034098</v>
      </c>
    </row>
    <row r="3896" spans="1:37" x14ac:dyDescent="0.2">
      <c r="A3896" t="str">
        <f>"20200111153512234"</f>
        <v>20200111153512234</v>
      </c>
      <c r="B3896" t="str">
        <f>"1578728112230141"</f>
        <v>1578728112230141</v>
      </c>
      <c r="C3896" t="s">
        <v>37</v>
      </c>
      <c r="D3896">
        <v>4.8644189999999998</v>
      </c>
      <c r="E3896">
        <v>0.60231999999999997</v>
      </c>
      <c r="F3896" t="s">
        <v>40</v>
      </c>
      <c r="G3896">
        <v>-333.50060000000002</v>
      </c>
      <c r="H3896">
        <v>0.88818419999999898</v>
      </c>
      <c r="I3896">
        <v>141.95079999999999</v>
      </c>
      <c r="J3896">
        <v>-333.15969999999999</v>
      </c>
      <c r="K3896">
        <v>1.105783</v>
      </c>
      <c r="L3896">
        <v>141.7895</v>
      </c>
      <c r="M3896">
        <v>-0.99968250000000003</v>
      </c>
      <c r="N3896">
        <v>0</v>
      </c>
      <c r="O3896">
        <v>2.040631E-2</v>
      </c>
      <c r="P3896">
        <v>-0.99374569999999995</v>
      </c>
      <c r="Q3896">
        <v>9.1354480000000002E-2</v>
      </c>
      <c r="R3896">
        <v>-6.4219879999999993E-2</v>
      </c>
      <c r="S3896">
        <v>-3.1403810000000001</v>
      </c>
      <c r="T3896">
        <v>-0.84100419999999998</v>
      </c>
      <c r="U3896">
        <v>0.65821839999999998</v>
      </c>
      <c r="V3896">
        <v>-8.4737930000000003E-2</v>
      </c>
      <c r="W3896">
        <v>0.1058142</v>
      </c>
      <c r="X3896">
        <v>0.99076880000000001</v>
      </c>
      <c r="Y3896">
        <v>0.17974679999999901</v>
      </c>
      <c r="Z3896">
        <v>1.8097120000000001E-2</v>
      </c>
      <c r="AA3896">
        <v>0.98354640000000004</v>
      </c>
      <c r="AB3896">
        <v>47</v>
      </c>
      <c r="AC3896">
        <v>-0.34090000000003301</v>
      </c>
      <c r="AD3896">
        <v>-0.21759880000000001</v>
      </c>
      <c r="AE3896">
        <v>0.16129999999998201</v>
      </c>
      <c r="AF3896">
        <v>0.11576904544700201</v>
      </c>
      <c r="AG3896">
        <v>-0.21759880000000001</v>
      </c>
      <c r="AH3896">
        <v>0.25817361971372399</v>
      </c>
      <c r="AI3896">
        <v>127.562386165566</v>
      </c>
      <c r="AJ3896">
        <v>65.847797800935894</v>
      </c>
      <c r="AK3896">
        <v>0.356938828878614</v>
      </c>
    </row>
    <row r="3897" spans="1:37" x14ac:dyDescent="0.2">
      <c r="A3897" t="str">
        <f>"20200111153512256"</f>
        <v>20200111153512256</v>
      </c>
      <c r="B3897" t="str">
        <f>"1578728112249663"</f>
        <v>1578728112249663</v>
      </c>
      <c r="C3897" t="s">
        <v>37</v>
      </c>
      <c r="D3897">
        <v>4.8443909999999999</v>
      </c>
      <c r="E3897">
        <v>0.60193439999999998</v>
      </c>
      <c r="F3897" t="s">
        <v>40</v>
      </c>
      <c r="G3897">
        <v>-333.92790000000002</v>
      </c>
      <c r="H3897">
        <v>0.9001093</v>
      </c>
      <c r="I3897">
        <v>141.94909999999999</v>
      </c>
      <c r="J3897">
        <v>-333.65069999999997</v>
      </c>
      <c r="K3897">
        <v>1.105701</v>
      </c>
      <c r="L3897">
        <v>141.79910000000001</v>
      </c>
      <c r="M3897">
        <v>-0.99969459999999999</v>
      </c>
      <c r="N3897">
        <v>0</v>
      </c>
      <c r="O3897">
        <v>1.981196E-2</v>
      </c>
      <c r="P3897">
        <v>-0.99393369999999903</v>
      </c>
      <c r="Q3897">
        <v>8.9748499999999995E-2</v>
      </c>
      <c r="R3897">
        <v>-6.3571630000000004E-2</v>
      </c>
      <c r="S3897">
        <v>-3.1382140000000001</v>
      </c>
      <c r="T3897">
        <v>-0.84012389999999904</v>
      </c>
      <c r="U3897">
        <v>0.65129090000000001</v>
      </c>
      <c r="V3897">
        <v>-8.3482050000000002E-2</v>
      </c>
      <c r="W3897">
        <v>0.1042256</v>
      </c>
      <c r="X3897">
        <v>0.99104380000000003</v>
      </c>
      <c r="Y3897">
        <v>0.1784125</v>
      </c>
      <c r="Z3897">
        <v>1.8075310000000001E-2</v>
      </c>
      <c r="AA3897">
        <v>0.98378969999999899</v>
      </c>
      <c r="AB3897">
        <v>47</v>
      </c>
      <c r="AC3897">
        <v>-0.27720000000005002</v>
      </c>
      <c r="AD3897">
        <v>-0.20559169999999999</v>
      </c>
      <c r="AE3897">
        <v>0.14999999999997701</v>
      </c>
      <c r="AF3897">
        <v>0.101353388857767</v>
      </c>
      <c r="AG3897">
        <v>-0.20559169999999999</v>
      </c>
      <c r="AH3897">
        <v>0.19650647702760399</v>
      </c>
      <c r="AI3897">
        <v>132.917863383628</v>
      </c>
      <c r="AJ3897">
        <v>62.7163876970952</v>
      </c>
      <c r="AK3897">
        <v>0.30191928069542701</v>
      </c>
    </row>
    <row r="3898" spans="1:37" x14ac:dyDescent="0.2">
      <c r="A3898" t="str">
        <f>"20200111153512278"</f>
        <v>20200111153512278</v>
      </c>
      <c r="B3898" t="str">
        <f>"1578728112270159"</f>
        <v>1578728112270159</v>
      </c>
      <c r="C3898" t="s">
        <v>37</v>
      </c>
      <c r="D3898">
        <v>4.82538</v>
      </c>
      <c r="E3898">
        <v>0.60171070000000004</v>
      </c>
      <c r="F3898" t="s">
        <v>40</v>
      </c>
      <c r="G3898">
        <v>-334.35649999999998</v>
      </c>
      <c r="H3898">
        <v>0.91580879999999998</v>
      </c>
      <c r="I3898">
        <v>141.94540000000001</v>
      </c>
      <c r="J3898">
        <v>-334.10640000000001</v>
      </c>
      <c r="K3898">
        <v>1.105615</v>
      </c>
      <c r="L3898">
        <v>141.80779999999999</v>
      </c>
      <c r="M3898">
        <v>-0.99970389999999998</v>
      </c>
      <c r="N3898">
        <v>0</v>
      </c>
      <c r="O3898">
        <v>1.9329860000000001E-2</v>
      </c>
      <c r="P3898">
        <v>-0.99408560000000001</v>
      </c>
      <c r="Q3898">
        <v>8.8617130000000002E-2</v>
      </c>
      <c r="R3898">
        <v>-6.2776129999999999E-2</v>
      </c>
      <c r="S3898">
        <v>-3.136047</v>
      </c>
      <c r="T3898">
        <v>-0.84375180000000005</v>
      </c>
      <c r="U3898">
        <v>0.64981080000000002</v>
      </c>
      <c r="V3898">
        <v>-8.2191070000000005E-2</v>
      </c>
      <c r="W3898">
        <v>0.1031111</v>
      </c>
      <c r="X3898">
        <v>0.99126819999999904</v>
      </c>
      <c r="Y3898">
        <v>0.17850350000000001</v>
      </c>
      <c r="Z3898">
        <v>1.8301419999999999E-2</v>
      </c>
      <c r="AA3898">
        <v>0.98376909999999895</v>
      </c>
      <c r="AB3898">
        <v>47</v>
      </c>
      <c r="AC3898">
        <v>-0.25009999999997401</v>
      </c>
      <c r="AD3898">
        <v>-0.18980620000000001</v>
      </c>
      <c r="AE3898">
        <v>0.13760000000002001</v>
      </c>
      <c r="AF3898">
        <v>9.2043982270279601E-2</v>
      </c>
      <c r="AG3898">
        <v>-0.18980620000000001</v>
      </c>
      <c r="AH3898">
        <v>0.17523621021493699</v>
      </c>
      <c r="AI3898">
        <v>133.79842884634201</v>
      </c>
      <c r="AJ3898">
        <v>62.289001388958397</v>
      </c>
      <c r="AK3898">
        <v>0.27423752041087501</v>
      </c>
    </row>
    <row r="3899" spans="1:37" x14ac:dyDescent="0.2">
      <c r="A3899" t="str">
        <f>"20200111153512301"</f>
        <v>20200111153512301</v>
      </c>
      <c r="B3899" t="str">
        <f>"1578728112289677"</f>
        <v>1578728112289677</v>
      </c>
      <c r="C3899" t="s">
        <v>37</v>
      </c>
      <c r="D3899">
        <v>4.8003080000000002</v>
      </c>
      <c r="E3899">
        <v>0.60170489999999999</v>
      </c>
      <c r="F3899" t="s">
        <v>40</v>
      </c>
      <c r="G3899">
        <v>-334.78160000000003</v>
      </c>
      <c r="H3899">
        <v>0.92339989999999905</v>
      </c>
      <c r="I3899">
        <v>141.9479</v>
      </c>
      <c r="J3899">
        <v>-334.57749999999999</v>
      </c>
      <c r="K3899">
        <v>1.1055269999999999</v>
      </c>
      <c r="L3899">
        <v>141.81649999999999</v>
      </c>
      <c r="M3899">
        <v>-0.99971219999999905</v>
      </c>
      <c r="N3899">
        <v>0</v>
      </c>
      <c r="O3899">
        <v>1.890029E-2</v>
      </c>
      <c r="P3899">
        <v>-0.99418379999999995</v>
      </c>
      <c r="Q3899">
        <v>8.7532209999999999E-2</v>
      </c>
      <c r="R3899">
        <v>-6.2742870000000006E-2</v>
      </c>
      <c r="S3899">
        <v>-3.1343380000000001</v>
      </c>
      <c r="T3899">
        <v>-0.84599570000000002</v>
      </c>
      <c r="U3899">
        <v>0.65028379999999997</v>
      </c>
      <c r="V3899">
        <v>-8.1712789999999993E-2</v>
      </c>
      <c r="W3899">
        <v>0.10204049999999899</v>
      </c>
      <c r="X3899">
        <v>0.99141849999999998</v>
      </c>
      <c r="Y3899">
        <v>0.1791054</v>
      </c>
      <c r="Z3899">
        <v>1.8549309999999999E-2</v>
      </c>
      <c r="AA3899">
        <v>0.98365499999999995</v>
      </c>
      <c r="AB3899">
        <v>47</v>
      </c>
      <c r="AC3899">
        <v>-0.204100000000039</v>
      </c>
      <c r="AD3899">
        <v>-0.18212709999999999</v>
      </c>
      <c r="AE3899">
        <v>0.13140000000001301</v>
      </c>
      <c r="AF3899">
        <v>8.1588635922014902E-2</v>
      </c>
      <c r="AG3899">
        <v>-0.18212709999999999</v>
      </c>
      <c r="AH3899">
        <v>0.13215263465664001</v>
      </c>
      <c r="AI3899">
        <v>139.54401133292899</v>
      </c>
      <c r="AJ3899">
        <v>58.309571569247503</v>
      </c>
      <c r="AK3899">
        <v>0.239356021258535</v>
      </c>
    </row>
    <row r="3900" spans="1:37" x14ac:dyDescent="0.2">
      <c r="A3900" t="str">
        <f>"20200111153512322"</f>
        <v>20200111153512322</v>
      </c>
      <c r="B3900" t="str">
        <f>"1578728112319932"</f>
        <v>1578728112319932</v>
      </c>
      <c r="C3900" t="s">
        <v>37</v>
      </c>
      <c r="D3900">
        <v>4.8094769999999896</v>
      </c>
      <c r="E3900">
        <v>0.60149049999999904</v>
      </c>
      <c r="F3900" t="s">
        <v>40</v>
      </c>
      <c r="G3900">
        <v>-335.58730000000003</v>
      </c>
      <c r="H3900">
        <v>0.83238389999999995</v>
      </c>
      <c r="I3900">
        <v>142.02610000000001</v>
      </c>
      <c r="J3900">
        <v>-335.03629999999998</v>
      </c>
      <c r="K3900">
        <v>1.1054440000000001</v>
      </c>
      <c r="L3900">
        <v>141.82490000000001</v>
      </c>
      <c r="M3900">
        <v>-0.99971909999999897</v>
      </c>
      <c r="N3900">
        <v>0</v>
      </c>
      <c r="O3900">
        <v>1.8537399999999999E-2</v>
      </c>
      <c r="P3900">
        <v>-0.99429080000000003</v>
      </c>
      <c r="Q3900">
        <v>8.6185919999999999E-2</v>
      </c>
      <c r="R3900">
        <v>-6.2910229999999998E-2</v>
      </c>
      <c r="S3900">
        <v>-3.1331790000000002</v>
      </c>
      <c r="T3900">
        <v>-0.84755609999999904</v>
      </c>
      <c r="U3900">
        <v>0.65020749999999905</v>
      </c>
      <c r="V3900">
        <v>-8.1501729999999994E-2</v>
      </c>
      <c r="W3900">
        <v>0.10070750000000001</v>
      </c>
      <c r="X3900">
        <v>0.99157220000000001</v>
      </c>
      <c r="Y3900">
        <v>0.17946280000000001</v>
      </c>
      <c r="Z3900">
        <v>1.8731319999999999E-2</v>
      </c>
      <c r="AA3900">
        <v>0.98358639999999997</v>
      </c>
      <c r="AB3900">
        <v>47</v>
      </c>
      <c r="AC3900">
        <v>-0.55100000000004401</v>
      </c>
      <c r="AD3900">
        <v>-0.27306009999999997</v>
      </c>
      <c r="AE3900">
        <v>0.20119999999999999</v>
      </c>
      <c r="AF3900">
        <v>0.15694138616444001</v>
      </c>
      <c r="AG3900">
        <v>-0.27306009999999997</v>
      </c>
      <c r="AH3900">
        <v>0.45585317077562598</v>
      </c>
      <c r="AI3900">
        <v>119.526444971492</v>
      </c>
      <c r="AJ3900">
        <v>71.002410092403807</v>
      </c>
      <c r="AK3900">
        <v>0.55407087110713404</v>
      </c>
    </row>
    <row r="3901" spans="1:37" x14ac:dyDescent="0.2">
      <c r="A3901" t="str">
        <f>"20200111153512346"</f>
        <v>20200111153512346</v>
      </c>
      <c r="B3901" t="str">
        <f>"1578728112339452"</f>
        <v>1578728112339452</v>
      </c>
      <c r="C3901" t="s">
        <v>37</v>
      </c>
      <c r="D3901">
        <v>4.7917709999999998</v>
      </c>
      <c r="E3901">
        <v>0.6013271</v>
      </c>
      <c r="F3901" t="s">
        <v>40</v>
      </c>
      <c r="G3901">
        <v>-336.01170000000002</v>
      </c>
      <c r="H3901">
        <v>0.84075309999999903</v>
      </c>
      <c r="I3901">
        <v>142.02670000000001</v>
      </c>
      <c r="J3901">
        <v>-335.5258</v>
      </c>
      <c r="K3901">
        <v>1.1053740000000001</v>
      </c>
      <c r="L3901">
        <v>141.83369999999999</v>
      </c>
      <c r="M3901">
        <v>-0.99972539999999999</v>
      </c>
      <c r="N3901">
        <v>0</v>
      </c>
      <c r="O3901">
        <v>1.8197419999999999E-2</v>
      </c>
      <c r="P3901">
        <v>-0.99433890000000003</v>
      </c>
      <c r="Q3901">
        <v>8.5412810000000006E-2</v>
      </c>
      <c r="R3901">
        <v>-6.3206289999999998E-2</v>
      </c>
      <c r="S3901">
        <v>-3.131866</v>
      </c>
      <c r="T3901">
        <v>-0.84992889999999999</v>
      </c>
      <c r="U3901">
        <v>0.64752200000000004</v>
      </c>
      <c r="V3901">
        <v>-8.1442280000000006E-2</v>
      </c>
      <c r="W3901">
        <v>9.994654E-2</v>
      </c>
      <c r="X3901">
        <v>0.99165409999999898</v>
      </c>
      <c r="Y3901">
        <v>0.1790369</v>
      </c>
      <c r="Z3901">
        <v>1.882441E-2</v>
      </c>
      <c r="AA3901">
        <v>0.98366219999999904</v>
      </c>
      <c r="AB3901">
        <v>47</v>
      </c>
      <c r="AC3901">
        <v>-0.48590000000001499</v>
      </c>
      <c r="AD3901">
        <v>-0.26462089999999999</v>
      </c>
      <c r="AE3901">
        <v>0.193000000000012</v>
      </c>
      <c r="AF3901">
        <v>0.146576150234213</v>
      </c>
      <c r="AG3901">
        <v>-0.26462089999999999</v>
      </c>
      <c r="AH3901">
        <v>0.38954201562934698</v>
      </c>
      <c r="AI3901">
        <v>122.44791024256</v>
      </c>
      <c r="AJ3901">
        <v>69.379777690962101</v>
      </c>
      <c r="AK3901">
        <v>0.49320560669447699</v>
      </c>
    </row>
    <row r="3902" spans="1:37" x14ac:dyDescent="0.2">
      <c r="A3902" t="str">
        <f>"20200111153512367"</f>
        <v>20200111153512367</v>
      </c>
      <c r="B3902" t="str">
        <f>"1578728112359950"</f>
        <v>1578728112359950</v>
      </c>
      <c r="C3902" t="s">
        <v>37</v>
      </c>
      <c r="D3902">
        <v>4.7772459999999999</v>
      </c>
      <c r="E3902">
        <v>0.60125740000000005</v>
      </c>
      <c r="F3902" t="s">
        <v>40</v>
      </c>
      <c r="G3902">
        <v>-336.43900000000002</v>
      </c>
      <c r="H3902">
        <v>0.85690279999999996</v>
      </c>
      <c r="I3902">
        <v>142.02170000000001</v>
      </c>
      <c r="J3902">
        <v>-335.99090000000001</v>
      </c>
      <c r="K3902">
        <v>1.1053189999999999</v>
      </c>
      <c r="L3902">
        <v>141.84190000000001</v>
      </c>
      <c r="M3902">
        <v>-0.99973060000000002</v>
      </c>
      <c r="N3902">
        <v>0</v>
      </c>
      <c r="O3902">
        <v>1.79098E-2</v>
      </c>
      <c r="P3902">
        <v>-0.994316599999999</v>
      </c>
      <c r="Q3902">
        <v>8.5021440000000004E-2</v>
      </c>
      <c r="R3902">
        <v>-6.4076480000000005E-2</v>
      </c>
      <c r="S3902">
        <v>-3.131195</v>
      </c>
      <c r="T3902">
        <v>-0.85193129999999995</v>
      </c>
      <c r="U3902">
        <v>0.643966699999999</v>
      </c>
      <c r="V3902">
        <v>-8.2011940000000005E-2</v>
      </c>
      <c r="W3902">
        <v>9.9562699999999907E-2</v>
      </c>
      <c r="X3902">
        <v>0.99164580000000002</v>
      </c>
      <c r="Y3902">
        <v>0.17827670000000001</v>
      </c>
      <c r="Z3902">
        <v>1.8848569999999999E-2</v>
      </c>
      <c r="AA3902">
        <v>0.98379989999999995</v>
      </c>
      <c r="AB3902">
        <v>47</v>
      </c>
      <c r="AC3902">
        <v>-0.44810000000000999</v>
      </c>
      <c r="AD3902">
        <v>-0.248416199999999</v>
      </c>
      <c r="AE3902">
        <v>0.17979999999999999</v>
      </c>
      <c r="AF3902">
        <v>0.135797400223482</v>
      </c>
      <c r="AG3902">
        <v>-0.248416199999999</v>
      </c>
      <c r="AH3902">
        <v>0.356798910925817</v>
      </c>
      <c r="AI3902">
        <v>123.052065003886</v>
      </c>
      <c r="AJ3902">
        <v>69.163212451773703</v>
      </c>
      <c r="AK3902">
        <v>0.45547448355286102</v>
      </c>
    </row>
    <row r="3903" spans="1:37" x14ac:dyDescent="0.2">
      <c r="A3903" t="str">
        <f>"20200111153512390"</f>
        <v>20200111153512390</v>
      </c>
      <c r="B3903" t="str">
        <f>"1578728112379468"</f>
        <v>1578728112379468</v>
      </c>
      <c r="C3903" t="s">
        <v>37</v>
      </c>
      <c r="D3903">
        <v>4.7992619999999997</v>
      </c>
      <c r="E3903">
        <v>0.60118459999999996</v>
      </c>
      <c r="F3903" t="s">
        <v>40</v>
      </c>
      <c r="G3903">
        <v>-336.8639</v>
      </c>
      <c r="H3903">
        <v>0.86778529999999998</v>
      </c>
      <c r="I3903">
        <v>142.0206</v>
      </c>
      <c r="J3903">
        <v>-336.44990000000001</v>
      </c>
      <c r="K3903">
        <v>1.1052649999999999</v>
      </c>
      <c r="L3903">
        <v>141.84989999999999</v>
      </c>
      <c r="M3903">
        <v>-0.99973539999999905</v>
      </c>
      <c r="N3903">
        <v>0</v>
      </c>
      <c r="O3903">
        <v>1.7653060000000002E-2</v>
      </c>
      <c r="P3903">
        <v>-0.99425209999999997</v>
      </c>
      <c r="Q3903">
        <v>8.5318779999999997E-2</v>
      </c>
      <c r="R3903">
        <v>-6.4683270000000001E-2</v>
      </c>
      <c r="S3903">
        <v>-3.1312869999999999</v>
      </c>
      <c r="T3903">
        <v>-0.85202160000000005</v>
      </c>
      <c r="U3903">
        <v>0.64004519999999998</v>
      </c>
      <c r="V3903">
        <v>-8.2349399999999906E-2</v>
      </c>
      <c r="W3903">
        <v>9.9865880000000004E-2</v>
      </c>
      <c r="X3903">
        <v>0.99158729999999995</v>
      </c>
      <c r="Y3903">
        <v>0.1773614</v>
      </c>
      <c r="Z3903">
        <v>1.879894E-2</v>
      </c>
      <c r="AA3903">
        <v>0.98396620000000001</v>
      </c>
      <c r="AB3903">
        <v>47</v>
      </c>
      <c r="AC3903">
        <v>-0.41399999999998699</v>
      </c>
      <c r="AD3903">
        <v>-0.23747969999999899</v>
      </c>
      <c r="AE3903">
        <v>0.17070000000001001</v>
      </c>
      <c r="AF3903">
        <v>0.127505636178046</v>
      </c>
      <c r="AG3903">
        <v>-0.23747969999999899</v>
      </c>
      <c r="AH3903">
        <v>0.32542845747183902</v>
      </c>
      <c r="AI3903">
        <v>124.194273405779</v>
      </c>
      <c r="AJ3903">
        <v>68.604331818795501</v>
      </c>
      <c r="AK3903">
        <v>0.42256120988770202</v>
      </c>
    </row>
    <row r="3904" spans="1:37" x14ac:dyDescent="0.2">
      <c r="A3904" t="str">
        <f>"20200111153512411"</f>
        <v>20200111153512411</v>
      </c>
      <c r="B3904" t="str">
        <f>"1578728112399964"</f>
        <v>1578728112399964</v>
      </c>
      <c r="C3904" t="s">
        <v>37</v>
      </c>
      <c r="D3904">
        <v>4.769075</v>
      </c>
      <c r="E3904">
        <v>0.60122159999999902</v>
      </c>
      <c r="F3904" t="s">
        <v>40</v>
      </c>
      <c r="G3904">
        <v>-337.28800000000001</v>
      </c>
      <c r="H3904">
        <v>0.87762640000000003</v>
      </c>
      <c r="I3904">
        <v>142.0204</v>
      </c>
      <c r="J3904">
        <v>-336.91359999999997</v>
      </c>
      <c r="K3904">
        <v>1.105232</v>
      </c>
      <c r="L3904">
        <v>141.8579</v>
      </c>
      <c r="M3904">
        <v>-0.9997395</v>
      </c>
      <c r="N3904">
        <v>0</v>
      </c>
      <c r="O3904">
        <v>1.7413359999999999E-2</v>
      </c>
      <c r="P3904">
        <v>-0.99418439999999997</v>
      </c>
      <c r="Q3904">
        <v>8.5531759999999998E-2</v>
      </c>
      <c r="R3904">
        <v>-6.5435400000000005E-2</v>
      </c>
      <c r="S3904">
        <v>-3.1317750000000002</v>
      </c>
      <c r="T3904">
        <v>-0.85062219999999999</v>
      </c>
      <c r="U3904">
        <v>0.63676449999999996</v>
      </c>
      <c r="V3904">
        <v>-8.2851590000000003E-2</v>
      </c>
      <c r="W3904">
        <v>0.1000837</v>
      </c>
      <c r="X3904">
        <v>0.9915235</v>
      </c>
      <c r="Y3904">
        <v>0.1766131</v>
      </c>
      <c r="Z3904">
        <v>1.873261E-2</v>
      </c>
      <c r="AA3904">
        <v>0.98410209999999998</v>
      </c>
      <c r="AB3904">
        <v>47</v>
      </c>
      <c r="AC3904">
        <v>-0.37440000000003598</v>
      </c>
      <c r="AD3904">
        <v>-0.22760559999999899</v>
      </c>
      <c r="AE3904">
        <v>0.16249999999999401</v>
      </c>
      <c r="AF3904">
        <v>0.11896027487911499</v>
      </c>
      <c r="AG3904">
        <v>-0.22760559999999899</v>
      </c>
      <c r="AH3904">
        <v>0.28770224255502502</v>
      </c>
      <c r="AI3904">
        <v>126.16992233383201</v>
      </c>
      <c r="AJ3904">
        <v>67.535688314503901</v>
      </c>
      <c r="AK3904">
        <v>0.38565325944670198</v>
      </c>
    </row>
    <row r="3905" spans="1:37" x14ac:dyDescent="0.2">
      <c r="A3905" t="str">
        <f>"20200111153512436"</f>
        <v>20200111153512436</v>
      </c>
      <c r="B3905" t="str">
        <f>"1578728112430221"</f>
        <v>1578728112430221</v>
      </c>
      <c r="C3905" t="s">
        <v>37</v>
      </c>
      <c r="D3905">
        <v>4.7794280000000002</v>
      </c>
      <c r="E3905">
        <v>0.60129049999999995</v>
      </c>
      <c r="F3905" t="s">
        <v>40</v>
      </c>
      <c r="G3905">
        <v>-337.7124</v>
      </c>
      <c r="H3905">
        <v>0.88875280000000001</v>
      </c>
      <c r="I3905">
        <v>142.02000000000001</v>
      </c>
      <c r="J3905">
        <v>-337.40030000000002</v>
      </c>
      <c r="K3905">
        <v>1.1052029999999999</v>
      </c>
      <c r="L3905">
        <v>141.86609999999999</v>
      </c>
      <c r="M3905">
        <v>-0.99974359999999995</v>
      </c>
      <c r="N3905">
        <v>0</v>
      </c>
      <c r="O3905">
        <v>1.7175180000000002E-2</v>
      </c>
      <c r="P3905">
        <v>-0.99409400000000003</v>
      </c>
      <c r="Q3905">
        <v>8.5926840000000004E-2</v>
      </c>
      <c r="R3905">
        <v>-6.6284090000000004E-2</v>
      </c>
      <c r="S3905">
        <v>-3.132355</v>
      </c>
      <c r="T3905">
        <v>-0.84887389999999996</v>
      </c>
      <c r="U3905">
        <v>0.63465879999999997</v>
      </c>
      <c r="V3905">
        <v>-8.345292E-2</v>
      </c>
      <c r="W3905">
        <v>0.10048169999999999</v>
      </c>
      <c r="X3905">
        <v>0.9914328</v>
      </c>
      <c r="Y3905">
        <v>0.17620559999999999</v>
      </c>
      <c r="Z3905">
        <v>1.870233E-2</v>
      </c>
      <c r="AA3905">
        <v>0.98417569999999999</v>
      </c>
      <c r="AB3905">
        <v>47</v>
      </c>
      <c r="AC3905">
        <v>-0.312099999999986</v>
      </c>
      <c r="AD3905">
        <v>-0.21645020000000001</v>
      </c>
      <c r="AE3905">
        <v>0.15390000000002099</v>
      </c>
      <c r="AF3905">
        <v>0.10708489072446301</v>
      </c>
      <c r="AG3905">
        <v>-0.21645020000000001</v>
      </c>
      <c r="AH3905">
        <v>0.22690667125990299</v>
      </c>
      <c r="AI3905">
        <v>130.783503560398</v>
      </c>
      <c r="AJ3905">
        <v>64.735799118913306</v>
      </c>
      <c r="AK3905">
        <v>0.33136762117587698</v>
      </c>
    </row>
    <row r="3906" spans="1:37" x14ac:dyDescent="0.2">
      <c r="A3906" t="str">
        <f>"20200111153512457"</f>
        <v>20200111153512457</v>
      </c>
      <c r="B3906" t="str">
        <f>"1578728112449741"</f>
        <v>1578728112449741</v>
      </c>
      <c r="C3906" t="s">
        <v>37</v>
      </c>
      <c r="D3906">
        <v>4.8571349999999898</v>
      </c>
      <c r="E3906">
        <v>0.60139069999999994</v>
      </c>
      <c r="F3906" t="s">
        <v>40</v>
      </c>
      <c r="G3906">
        <v>-338.13900000000001</v>
      </c>
      <c r="H3906">
        <v>0.90614119999999998</v>
      </c>
      <c r="I3906">
        <v>142.0154</v>
      </c>
      <c r="J3906">
        <v>-337.87139999999999</v>
      </c>
      <c r="K3906">
        <v>1.105183</v>
      </c>
      <c r="L3906">
        <v>141.874</v>
      </c>
      <c r="M3906">
        <v>-0.99974759999999996</v>
      </c>
      <c r="N3906">
        <v>0</v>
      </c>
      <c r="O3906">
        <v>1.6951750000000002E-2</v>
      </c>
      <c r="P3906">
        <v>-0.99389810000000001</v>
      </c>
      <c r="Q3906">
        <v>8.695427E-2</v>
      </c>
      <c r="R3906">
        <v>-6.7866800000000005E-2</v>
      </c>
      <c r="S3906">
        <v>-3.132965</v>
      </c>
      <c r="T3906">
        <v>-0.84425469999999903</v>
      </c>
      <c r="U3906">
        <v>0.63258359999999902</v>
      </c>
      <c r="V3906">
        <v>-8.4802169999999996E-2</v>
      </c>
      <c r="W3906">
        <v>0.1015083</v>
      </c>
      <c r="X3906">
        <v>0.99121369999999898</v>
      </c>
      <c r="Y3906">
        <v>0.17582709999999999</v>
      </c>
      <c r="Z3906">
        <v>1.8610599999999901E-2</v>
      </c>
      <c r="AA3906">
        <v>0.98424509999999898</v>
      </c>
      <c r="AB3906">
        <v>47</v>
      </c>
      <c r="AC3906">
        <v>-0.26760000000001499</v>
      </c>
      <c r="AD3906">
        <v>-0.19904179999999999</v>
      </c>
      <c r="AE3906">
        <v>0.14140000000000399</v>
      </c>
      <c r="AF3906">
        <v>9.5528033901592604E-2</v>
      </c>
      <c r="AG3906">
        <v>-0.19904179999999999</v>
      </c>
      <c r="AH3906">
        <v>0.188454293183489</v>
      </c>
      <c r="AI3906">
        <v>133.29116622454501</v>
      </c>
      <c r="AJ3906">
        <v>63.119416132292102</v>
      </c>
      <c r="AK3906">
        <v>0.29027274075881099</v>
      </c>
    </row>
    <row r="3907" spans="1:37" x14ac:dyDescent="0.2">
      <c r="A3907" t="str">
        <f>"20200111153512479"</f>
        <v>20200111153512479</v>
      </c>
      <c r="B3907" t="str">
        <f>"1578728112470241"</f>
        <v>1578728112470241</v>
      </c>
      <c r="C3907" t="s">
        <v>37</v>
      </c>
      <c r="D3907">
        <v>4.6630039999999999</v>
      </c>
      <c r="E3907">
        <v>0.59979309999999997</v>
      </c>
      <c r="F3907" t="s">
        <v>40</v>
      </c>
      <c r="G3907">
        <v>-338.56380000000001</v>
      </c>
      <c r="H3907">
        <v>0.91981630000000003</v>
      </c>
      <c r="I3907">
        <v>142.01339999999999</v>
      </c>
      <c r="J3907">
        <v>-338.31509999999997</v>
      </c>
      <c r="K3907">
        <v>1.1051690000000001</v>
      </c>
      <c r="L3907">
        <v>141.88130000000001</v>
      </c>
      <c r="M3907">
        <v>-0.9997511</v>
      </c>
      <c r="N3907">
        <v>0</v>
      </c>
      <c r="O3907">
        <v>1.6745699999999999E-2</v>
      </c>
      <c r="P3907">
        <v>-0.99372669999999996</v>
      </c>
      <c r="Q3907">
        <v>8.7429779999999999E-2</v>
      </c>
      <c r="R3907">
        <v>-6.9738330000000001E-2</v>
      </c>
      <c r="S3907">
        <v>-3.1348880000000001</v>
      </c>
      <c r="T3907">
        <v>-0.83929310000000001</v>
      </c>
      <c r="U3907">
        <v>0.62989810000000002</v>
      </c>
      <c r="V3907">
        <v>-8.6460140000000005E-2</v>
      </c>
      <c r="W3907">
        <v>0.1019822</v>
      </c>
      <c r="X3907">
        <v>0.99102179999999995</v>
      </c>
      <c r="Y3907">
        <v>0.1751849</v>
      </c>
      <c r="Z3907">
        <v>1.8465539999999999E-2</v>
      </c>
      <c r="AA3907">
        <v>0.98436239999999997</v>
      </c>
      <c r="AB3907">
        <v>47</v>
      </c>
      <c r="AC3907">
        <v>-0.248700000000042</v>
      </c>
      <c r="AD3907">
        <v>-0.18535270000000001</v>
      </c>
      <c r="AE3907">
        <v>0.13209999999997901</v>
      </c>
      <c r="AF3907">
        <v>8.9250743838724902E-2</v>
      </c>
      <c r="AG3907">
        <v>-0.18535270000000001</v>
      </c>
      <c r="AH3907">
        <v>0.17504406569147599</v>
      </c>
      <c r="AI3907">
        <v>133.33012836853601</v>
      </c>
      <c r="AJ3907">
        <v>62.984063163311298</v>
      </c>
      <c r="AK3907">
        <v>0.270114315812504</v>
      </c>
    </row>
    <row r="3908" spans="1:37" x14ac:dyDescent="0.2">
      <c r="A3908" t="str">
        <f>"20200111153512502"</f>
        <v>20200111153512502</v>
      </c>
      <c r="B3908" t="str">
        <f>"1578728112489757"</f>
        <v>1578728112489757</v>
      </c>
      <c r="C3908" t="s">
        <v>37</v>
      </c>
      <c r="D3908">
        <v>4.7743529999999996</v>
      </c>
      <c r="E3908">
        <v>0.49072250000000001</v>
      </c>
      <c r="F3908" t="s">
        <v>40</v>
      </c>
      <c r="G3908">
        <v>-338.98570000000001</v>
      </c>
      <c r="H3908">
        <v>0.92662679999999997</v>
      </c>
      <c r="I3908">
        <v>142.01230000000001</v>
      </c>
      <c r="J3908">
        <v>-338.79050000000001</v>
      </c>
      <c r="K3908">
        <v>1.1051469999999901</v>
      </c>
      <c r="L3908">
        <v>141.88910000000001</v>
      </c>
      <c r="M3908">
        <v>-0.999754699999999</v>
      </c>
      <c r="N3908">
        <v>0</v>
      </c>
      <c r="O3908">
        <v>1.6527190000000001E-2</v>
      </c>
      <c r="P3908">
        <v>-0.99359439999999999</v>
      </c>
      <c r="Q3908">
        <v>8.765647E-2</v>
      </c>
      <c r="R3908">
        <v>-7.1321200000000001E-2</v>
      </c>
      <c r="S3908">
        <v>-3.135345</v>
      </c>
      <c r="T3908">
        <v>-0.83470080000000002</v>
      </c>
      <c r="U3908">
        <v>0.61221309999999995</v>
      </c>
      <c r="V3908">
        <v>-8.7817560000000003E-2</v>
      </c>
      <c r="W3908">
        <v>0.10220750000000001</v>
      </c>
      <c r="X3908">
        <v>0.99087919999999996</v>
      </c>
      <c r="Y3908">
        <v>0.17023759999999999</v>
      </c>
      <c r="Z3908">
        <v>1.778981E-2</v>
      </c>
      <c r="AA3908">
        <v>0.98524239999999996</v>
      </c>
      <c r="AB3908">
        <v>47</v>
      </c>
      <c r="AC3908">
        <v>-0.19519999999999901</v>
      </c>
      <c r="AD3908">
        <v>-0.17852019999999899</v>
      </c>
      <c r="AE3908">
        <v>0.12319999999999701</v>
      </c>
      <c r="AF3908">
        <v>7.5060380853932102E-2</v>
      </c>
      <c r="AG3908">
        <v>-0.17852019999999899</v>
      </c>
      <c r="AH3908">
        <v>0.123399811328481</v>
      </c>
      <c r="AI3908">
        <v>141.024712229388</v>
      </c>
      <c r="AJ3908">
        <v>58.689112965906197</v>
      </c>
      <c r="AK3908">
        <v>0.229632393224218</v>
      </c>
    </row>
    <row r="3909" spans="1:37" x14ac:dyDescent="0.2">
      <c r="A3909" t="str">
        <f>"20200111153512524"</f>
        <v>20200111153512524</v>
      </c>
      <c r="B3909" t="str">
        <f>"1578728112520013"</f>
        <v>1578728112520013</v>
      </c>
      <c r="C3909" t="s">
        <v>37</v>
      </c>
      <c r="D3909">
        <v>4.7883059999999897</v>
      </c>
      <c r="E3909">
        <v>0.47195929999999903</v>
      </c>
      <c r="F3909" t="s">
        <v>39</v>
      </c>
      <c r="G3909">
        <v>-347.11599999999999</v>
      </c>
      <c r="H3909" s="1">
        <v>-1.6256289999999999E-6</v>
      </c>
      <c r="I3909">
        <v>141.14250000000001</v>
      </c>
      <c r="J3909">
        <v>-339.2715</v>
      </c>
      <c r="K3909">
        <v>1.105127</v>
      </c>
      <c r="L3909">
        <v>141.89680000000001</v>
      </c>
      <c r="M3909">
        <v>-0.99975840000000005</v>
      </c>
      <c r="N3909">
        <v>0</v>
      </c>
      <c r="O3909">
        <v>1.630771E-2</v>
      </c>
      <c r="P3909">
        <v>-0.99361599999999894</v>
      </c>
      <c r="Q3909">
        <v>8.6497489999999996E-2</v>
      </c>
      <c r="R3909">
        <v>-7.2426649999999995E-2</v>
      </c>
      <c r="S3909">
        <v>-3.035339</v>
      </c>
      <c r="T3909">
        <v>-0.4029239</v>
      </c>
      <c r="U3909">
        <v>-0.272171</v>
      </c>
      <c r="V3909">
        <v>-8.8700299999999996E-2</v>
      </c>
      <c r="W3909">
        <v>0.1010486</v>
      </c>
      <c r="X3909">
        <v>0.99091949999999995</v>
      </c>
      <c r="Y3909">
        <v>-0.104489899999999</v>
      </c>
      <c r="Z3909">
        <v>-9.042886E-3</v>
      </c>
      <c r="AA3909">
        <v>0.99448479999999995</v>
      </c>
      <c r="AB3909">
        <v>47</v>
      </c>
      <c r="AC3909">
        <v>-7.8444999999999796</v>
      </c>
      <c r="AD3909">
        <v>-1.105128625629</v>
      </c>
      <c r="AE3909">
        <v>-0.75429999999999997</v>
      </c>
      <c r="AF3909">
        <v>-0.865126524155162</v>
      </c>
      <c r="AG3909">
        <v>-1.105128625629</v>
      </c>
      <c r="AH3909">
        <v>7.6801233226938503</v>
      </c>
      <c r="AI3909">
        <v>98.137579698569795</v>
      </c>
      <c r="AJ3909">
        <v>96.4269835258916</v>
      </c>
      <c r="AK3909">
        <v>7.8073073100632699</v>
      </c>
    </row>
    <row r="3910" spans="1:37" x14ac:dyDescent="0.2">
      <c r="A3910" t="str">
        <f>"20200111153512547"</f>
        <v>20200111153512547</v>
      </c>
      <c r="B3910" t="str">
        <f>"1578728112539532"</f>
        <v>1578728112539532</v>
      </c>
      <c r="C3910" t="s">
        <v>37</v>
      </c>
      <c r="D3910">
        <v>4.7674379999999896</v>
      </c>
      <c r="E3910">
        <v>0.4689817</v>
      </c>
      <c r="F3910" t="s">
        <v>39</v>
      </c>
      <c r="G3910">
        <v>-351.44189999999998</v>
      </c>
      <c r="H3910" s="1">
        <v>-3.8004129999999998E-6</v>
      </c>
      <c r="I3910">
        <v>140.16759999999999</v>
      </c>
      <c r="J3910">
        <v>-339.74040000000002</v>
      </c>
      <c r="K3910">
        <v>1.105105</v>
      </c>
      <c r="L3910">
        <v>141.90430000000001</v>
      </c>
      <c r="M3910">
        <v>-0.99976189999999998</v>
      </c>
      <c r="N3910">
        <v>0</v>
      </c>
      <c r="O3910">
        <v>1.6094830000000001E-2</v>
      </c>
      <c r="P3910">
        <v>-0.99357059999999997</v>
      </c>
      <c r="Q3910">
        <v>8.5735399999999906E-2</v>
      </c>
      <c r="R3910">
        <v>-7.3937920000000004E-2</v>
      </c>
      <c r="S3910">
        <v>-3.0119319999999998</v>
      </c>
      <c r="T3910">
        <v>-0.2734994</v>
      </c>
      <c r="U3910">
        <v>-0.4279327</v>
      </c>
      <c r="V3910">
        <v>-8.99948E-2</v>
      </c>
      <c r="W3910">
        <v>0.10028529999999999</v>
      </c>
      <c r="X3910">
        <v>0.99088029999999905</v>
      </c>
      <c r="Y3910">
        <v>-0.15589069999999999</v>
      </c>
      <c r="Z3910">
        <v>-8.4800190000000001E-3</v>
      </c>
      <c r="AA3910">
        <v>0.98773789999999995</v>
      </c>
      <c r="AB3910">
        <v>47</v>
      </c>
      <c r="AC3910">
        <v>-11.7014999999999</v>
      </c>
      <c r="AD3910">
        <v>-1.1051088004130001</v>
      </c>
      <c r="AE3910">
        <v>-1.7367000000000099</v>
      </c>
      <c r="AF3910">
        <v>-1.9081764627329201</v>
      </c>
      <c r="AG3910">
        <v>-1.1051088004130001</v>
      </c>
      <c r="AH3910">
        <v>11.571048642284399</v>
      </c>
      <c r="AI3910">
        <v>95.383291290630495</v>
      </c>
      <c r="AJ3910">
        <v>99.364340155168094</v>
      </c>
      <c r="AK3910">
        <v>11.7792856131341</v>
      </c>
    </row>
    <row r="3911" spans="1:37" x14ac:dyDescent="0.2">
      <c r="A3911" t="str">
        <f>"20200111153512568"</f>
        <v>20200111153512568</v>
      </c>
      <c r="B3911" t="str">
        <f>"1578728112560033"</f>
        <v>1578728112560033</v>
      </c>
      <c r="C3911" t="s">
        <v>37</v>
      </c>
      <c r="D3911">
        <v>4.7313929999999997</v>
      </c>
      <c r="E3911">
        <v>0.46754709999999899</v>
      </c>
      <c r="F3911" t="s">
        <v>39</v>
      </c>
      <c r="G3911">
        <v>-353.2131</v>
      </c>
      <c r="H3911" s="1">
        <v>-2.9582089999999999E-6</v>
      </c>
      <c r="I3911">
        <v>139.85810000000001</v>
      </c>
      <c r="J3911">
        <v>-340.19650000000001</v>
      </c>
      <c r="K3911">
        <v>1.105089</v>
      </c>
      <c r="L3911">
        <v>141.91149999999999</v>
      </c>
      <c r="M3911">
        <v>-0.99976529999999997</v>
      </c>
      <c r="N3911">
        <v>0</v>
      </c>
      <c r="O3911">
        <v>1.5888559999999999E-2</v>
      </c>
      <c r="P3911">
        <v>-0.99362019999999995</v>
      </c>
      <c r="Q3911">
        <v>8.4130029999999995E-2</v>
      </c>
      <c r="R3911">
        <v>-7.5108229999999998E-2</v>
      </c>
      <c r="S3911">
        <v>-3.0066830000000002</v>
      </c>
      <c r="T3911">
        <v>-0.2466255</v>
      </c>
      <c r="U3911">
        <v>-0.45661930000000001</v>
      </c>
      <c r="V3911">
        <v>-9.0956770000000006E-2</v>
      </c>
      <c r="W3911">
        <v>9.8679680000000006E-2</v>
      </c>
      <c r="X3911">
        <v>0.99095370000000005</v>
      </c>
      <c r="Y3911">
        <v>-0.16524269999999999</v>
      </c>
      <c r="Z3911">
        <v>-8.0215340000000003E-3</v>
      </c>
      <c r="AA3911">
        <v>0.98622030000000005</v>
      </c>
      <c r="AB3911">
        <v>47</v>
      </c>
      <c r="AC3911">
        <v>-13.016599999999899</v>
      </c>
      <c r="AD3911">
        <v>-1.105091958209</v>
      </c>
      <c r="AE3911">
        <v>-2.0533999999999799</v>
      </c>
      <c r="AF3911">
        <v>-2.24419530063494</v>
      </c>
      <c r="AG3911">
        <v>-1.105091958209</v>
      </c>
      <c r="AH3911">
        <v>12.891663369824199</v>
      </c>
      <c r="AI3911">
        <v>94.827252990702704</v>
      </c>
      <c r="AJ3911">
        <v>99.875154477704598</v>
      </c>
      <c r="AK3911">
        <v>13.1321218858323</v>
      </c>
    </row>
    <row r="3912" spans="1:37" x14ac:dyDescent="0.2">
      <c r="A3912" t="str">
        <f>"20200111153512590"</f>
        <v>20200111153512590</v>
      </c>
      <c r="B3912" t="str">
        <f>"1578728112579549"</f>
        <v>1578728112579549</v>
      </c>
      <c r="C3912" t="s">
        <v>37</v>
      </c>
      <c r="D3912">
        <v>4.7096010000000001</v>
      </c>
      <c r="E3912">
        <v>0.46668850000000001</v>
      </c>
      <c r="F3912" t="s">
        <v>39</v>
      </c>
      <c r="G3912">
        <v>-354.19069999999999</v>
      </c>
      <c r="H3912" s="1">
        <v>-2.5002429999999999E-6</v>
      </c>
      <c r="I3912">
        <v>139.7131</v>
      </c>
      <c r="J3912">
        <v>-340.64580000000001</v>
      </c>
      <c r="K3912">
        <v>1.105075</v>
      </c>
      <c r="L3912">
        <v>141.91839999999999</v>
      </c>
      <c r="M3912">
        <v>-0.99976849999999995</v>
      </c>
      <c r="N3912">
        <v>0</v>
      </c>
      <c r="O3912">
        <v>1.5686410000000001E-2</v>
      </c>
      <c r="P3912">
        <v>-0.99369889999999905</v>
      </c>
      <c r="Q3912">
        <v>8.3046789999999995E-2</v>
      </c>
      <c r="R3912">
        <v>-7.5273950000000006E-2</v>
      </c>
      <c r="S3912">
        <v>-3.0037229999999999</v>
      </c>
      <c r="T3912">
        <v>-0.23719799999999999</v>
      </c>
      <c r="U3912">
        <v>-0.47184749999999998</v>
      </c>
      <c r="V3912">
        <v>-9.0920200000000007E-2</v>
      </c>
      <c r="W3912">
        <v>9.759727E-2</v>
      </c>
      <c r="X3912">
        <v>0.99106419999999995</v>
      </c>
      <c r="Y3912">
        <v>-0.17009869999999999</v>
      </c>
      <c r="Z3912">
        <v>-7.8948300000000003E-3</v>
      </c>
      <c r="AA3912">
        <v>0.98539539999999903</v>
      </c>
      <c r="AB3912">
        <v>47</v>
      </c>
      <c r="AC3912">
        <v>-13.544899999999901</v>
      </c>
      <c r="AD3912">
        <v>-1.105077500243</v>
      </c>
      <c r="AE3912">
        <v>-2.20529999999999</v>
      </c>
      <c r="AF3912">
        <v>-2.4019472591549</v>
      </c>
      <c r="AG3912">
        <v>-1.105077500243</v>
      </c>
      <c r="AH3912">
        <v>13.421604725947001</v>
      </c>
      <c r="AI3912">
        <v>94.633584987806003</v>
      </c>
      <c r="AJ3912">
        <v>100.14631552445201</v>
      </c>
      <c r="AK3912">
        <v>13.6795475194492</v>
      </c>
    </row>
    <row r="3913" spans="1:37" x14ac:dyDescent="0.2">
      <c r="A3913" t="str">
        <f>"20200111153512612"</f>
        <v>20200111153512612</v>
      </c>
      <c r="B3913" t="str">
        <f>"1578728112609805"</f>
        <v>1578728112609805</v>
      </c>
      <c r="C3913" t="s">
        <v>37</v>
      </c>
      <c r="D3913">
        <v>4.7285959999999996</v>
      </c>
      <c r="E3913">
        <v>0.4661189</v>
      </c>
      <c r="F3913" t="s">
        <v>39</v>
      </c>
      <c r="G3913">
        <v>-354.95319999999998</v>
      </c>
      <c r="H3913" s="1">
        <v>-2.1524360000000001E-6</v>
      </c>
      <c r="I3913">
        <v>139.6353</v>
      </c>
      <c r="J3913">
        <v>-341.116999999999</v>
      </c>
      <c r="K3913">
        <v>1.105067</v>
      </c>
      <c r="L3913">
        <v>141.9256</v>
      </c>
      <c r="M3913">
        <v>-0.99977179999999999</v>
      </c>
      <c r="N3913">
        <v>0</v>
      </c>
      <c r="O3913">
        <v>1.547517E-2</v>
      </c>
      <c r="P3913">
        <v>-0.99379450000000003</v>
      </c>
      <c r="Q3913">
        <v>8.2024749999999993E-2</v>
      </c>
      <c r="R3913">
        <v>-7.5129719999999997E-2</v>
      </c>
      <c r="S3913">
        <v>-3.0021059999999999</v>
      </c>
      <c r="T3913">
        <v>-0.2318781</v>
      </c>
      <c r="U3913">
        <v>-0.47904970000000002</v>
      </c>
      <c r="V3913">
        <v>-9.0565380000000001E-2</v>
      </c>
      <c r="W3913">
        <v>9.657644E-2</v>
      </c>
      <c r="X3913">
        <v>0.99119669999999904</v>
      </c>
      <c r="Y3913">
        <v>-0.17229649999999999</v>
      </c>
      <c r="Z3913">
        <v>-7.7889750000000001E-3</v>
      </c>
      <c r="AA3913">
        <v>0.98501430000000001</v>
      </c>
      <c r="AB3913">
        <v>47</v>
      </c>
      <c r="AC3913">
        <v>-13.8362</v>
      </c>
      <c r="AD3913">
        <v>-1.1050691524359999</v>
      </c>
      <c r="AE3913">
        <v>-2.2902999999999998</v>
      </c>
      <c r="AF3913">
        <v>-2.4887145908611799</v>
      </c>
      <c r="AG3913">
        <v>-1.1050691524359999</v>
      </c>
      <c r="AH3913">
        <v>13.713949385378999</v>
      </c>
      <c r="AI3913">
        <v>94.533212007680206</v>
      </c>
      <c r="AJ3913">
        <v>100.285713076514</v>
      </c>
      <c r="AK3913">
        <v>13.981676791113699</v>
      </c>
    </row>
    <row r="3914" spans="1:37" x14ac:dyDescent="0.2">
      <c r="A3914" t="str">
        <f>"20200111153512636"</f>
        <v>20200111153512636</v>
      </c>
      <c r="B3914" t="str">
        <f>"1578728112630300"</f>
        <v>1578728112630300</v>
      </c>
      <c r="C3914" t="s">
        <v>37</v>
      </c>
      <c r="D3914">
        <v>4.7629729999999997</v>
      </c>
      <c r="E3914">
        <v>0.46597739999999999</v>
      </c>
      <c r="F3914" t="s">
        <v>39</v>
      </c>
      <c r="G3914">
        <v>-355.76900000000001</v>
      </c>
      <c r="H3914" s="1">
        <v>-1.8061379999999999E-6</v>
      </c>
      <c r="I3914">
        <v>139.56700000000001</v>
      </c>
      <c r="J3914">
        <v>-341.5951</v>
      </c>
      <c r="K3914">
        <v>1.105054</v>
      </c>
      <c r="L3914">
        <v>141.93279999999999</v>
      </c>
      <c r="M3914">
        <v>-0.99977510000000003</v>
      </c>
      <c r="N3914">
        <v>0</v>
      </c>
      <c r="O3914">
        <v>1.526105E-2</v>
      </c>
      <c r="P3914">
        <v>-0.99375829999999998</v>
      </c>
      <c r="Q3914">
        <v>8.1718879999999994E-2</v>
      </c>
      <c r="R3914">
        <v>-7.5937610000000003E-2</v>
      </c>
      <c r="S3914">
        <v>-3.0009160000000001</v>
      </c>
      <c r="T3914">
        <v>-0.22633249999999999</v>
      </c>
      <c r="U3914">
        <v>-0.48306270000000001</v>
      </c>
      <c r="V3914">
        <v>-9.1158429999999999E-2</v>
      </c>
      <c r="W3914">
        <v>9.6267950000000005E-2</v>
      </c>
      <c r="X3914">
        <v>0.99117239999999995</v>
      </c>
      <c r="Y3914">
        <v>-0.17345329999999901</v>
      </c>
      <c r="Z3914">
        <v>-7.6326450000000004E-3</v>
      </c>
      <c r="AA3914">
        <v>0.98481249999999998</v>
      </c>
      <c r="AB3914">
        <v>47</v>
      </c>
      <c r="AC3914">
        <v>-14.1739</v>
      </c>
      <c r="AD3914">
        <v>-1.105055806138</v>
      </c>
      <c r="AE3914">
        <v>-2.3657999999999699</v>
      </c>
      <c r="AF3914">
        <v>-2.5666780378357199</v>
      </c>
      <c r="AG3914">
        <v>-1.105055806138</v>
      </c>
      <c r="AH3914">
        <v>14.053035714968299</v>
      </c>
      <c r="AI3914">
        <v>94.423308642363693</v>
      </c>
      <c r="AJ3914">
        <v>100.35054446336</v>
      </c>
      <c r="AK3914">
        <v>14.3281819255188</v>
      </c>
    </row>
    <row r="3915" spans="1:37" x14ac:dyDescent="0.2">
      <c r="A3915" t="str">
        <f>"20200111153512657"</f>
        <v>20200111153512657</v>
      </c>
      <c r="B3915" t="str">
        <f>"1578728112649823"</f>
        <v>1578728112649823</v>
      </c>
      <c r="C3915" t="s">
        <v>37</v>
      </c>
      <c r="D3915">
        <v>4.706772</v>
      </c>
      <c r="E3915">
        <v>0.46588809999999897</v>
      </c>
      <c r="F3915" t="s">
        <v>39</v>
      </c>
      <c r="G3915">
        <v>-356.4939</v>
      </c>
      <c r="H3915" s="1">
        <v>-1.5043739999999899E-6</v>
      </c>
      <c r="I3915">
        <v>139.51499999999999</v>
      </c>
      <c r="J3915">
        <v>-342.05650000000003</v>
      </c>
      <c r="K3915">
        <v>1.1050439999999999</v>
      </c>
      <c r="L3915">
        <v>141.93969999999999</v>
      </c>
      <c r="M3915">
        <v>-0.99977830000000001</v>
      </c>
      <c r="N3915">
        <v>0</v>
      </c>
      <c r="O3915">
        <v>1.5054710000000001E-2</v>
      </c>
      <c r="P3915">
        <v>-0.99373020000000001</v>
      </c>
      <c r="Q3915">
        <v>8.1962289999999993E-2</v>
      </c>
      <c r="R3915">
        <v>-7.6042349999999995E-2</v>
      </c>
      <c r="S3915">
        <v>-2.9999389999999999</v>
      </c>
      <c r="T3915">
        <v>-0.22250809999999999</v>
      </c>
      <c r="U3915">
        <v>-0.48683169999999998</v>
      </c>
      <c r="V3915">
        <v>-9.1056579999999998E-2</v>
      </c>
      <c r="W3915">
        <v>9.6509049999999999E-2</v>
      </c>
      <c r="X3915">
        <v>0.99115819999999999</v>
      </c>
      <c r="Y3915">
        <v>-0.17452100000000001</v>
      </c>
      <c r="Z3915">
        <v>-7.5297790000000003E-3</v>
      </c>
      <c r="AA3915">
        <v>0.98462469999999902</v>
      </c>
      <c r="AB3915">
        <v>47</v>
      </c>
      <c r="AC3915">
        <v>-14.437399999999901</v>
      </c>
      <c r="AD3915">
        <v>-1.105045504374</v>
      </c>
      <c r="AE3915">
        <v>-2.4247000000000001</v>
      </c>
      <c r="AF3915">
        <v>-2.6268325793093701</v>
      </c>
      <c r="AG3915">
        <v>-1.105045504374</v>
      </c>
      <c r="AH3915">
        <v>14.317678017738301</v>
      </c>
      <c r="AI3915">
        <v>94.341192823106994</v>
      </c>
      <c r="AJ3915">
        <v>100.39631028698</v>
      </c>
      <c r="AK3915">
        <v>14.5985368714157</v>
      </c>
    </row>
    <row r="3916" spans="1:37" x14ac:dyDescent="0.2">
      <c r="A3916" t="str">
        <f>"20200111153512681"</f>
        <v>20200111153512681</v>
      </c>
      <c r="B3916" t="str">
        <f>"1578728112669340"</f>
        <v>1578728112669340</v>
      </c>
      <c r="C3916" t="s">
        <v>37</v>
      </c>
      <c r="D3916">
        <v>4.7702720000000003</v>
      </c>
      <c r="E3916">
        <v>0.46573179999999997</v>
      </c>
      <c r="F3916" t="s">
        <v>39</v>
      </c>
      <c r="G3916">
        <v>-357.30790000000002</v>
      </c>
      <c r="H3916" s="1">
        <v>-1.165197E-6</v>
      </c>
      <c r="I3916">
        <v>139.45859999999999</v>
      </c>
      <c r="J3916">
        <v>-342.51650000000001</v>
      </c>
      <c r="K3916">
        <v>1.1050409999999999</v>
      </c>
      <c r="L3916">
        <v>141.94649999999999</v>
      </c>
      <c r="M3916">
        <v>-0.99978129999999998</v>
      </c>
      <c r="N3916">
        <v>0</v>
      </c>
      <c r="O3916">
        <v>1.485001E-2</v>
      </c>
      <c r="P3916">
        <v>-0.99377359999999904</v>
      </c>
      <c r="Q3916">
        <v>8.1793879999999999E-2</v>
      </c>
      <c r="R3916">
        <v>-7.5654280000000004E-2</v>
      </c>
      <c r="S3916">
        <v>-2.9994509999999899</v>
      </c>
      <c r="T3916">
        <v>-0.217327299999999</v>
      </c>
      <c r="U3916">
        <v>-0.48794559999999998</v>
      </c>
      <c r="V3916">
        <v>-9.0465370000000003E-2</v>
      </c>
      <c r="W3916">
        <v>9.6340090000000003E-2</v>
      </c>
      <c r="X3916">
        <v>0.99122880000000002</v>
      </c>
      <c r="Y3916">
        <v>-0.1747243</v>
      </c>
      <c r="Z3916">
        <v>-7.3484559999999997E-3</v>
      </c>
      <c r="AA3916">
        <v>0.98458999999999997</v>
      </c>
      <c r="AB3916">
        <v>47</v>
      </c>
      <c r="AC3916">
        <v>-14.791399999999999</v>
      </c>
      <c r="AD3916">
        <v>-1.1050421651969999</v>
      </c>
      <c r="AE3916">
        <v>-2.48789999999999</v>
      </c>
      <c r="AF3916">
        <v>-2.6926865212800699</v>
      </c>
      <c r="AG3916">
        <v>-1.1050421651969999</v>
      </c>
      <c r="AH3916">
        <v>14.6731763530211</v>
      </c>
      <c r="AI3916">
        <v>94.236358047839104</v>
      </c>
      <c r="AJ3916">
        <v>100.398695667799</v>
      </c>
      <c r="AK3916">
        <v>14.959070264411601</v>
      </c>
    </row>
    <row r="3917" spans="1:37" x14ac:dyDescent="0.2">
      <c r="A3917" t="str">
        <f>"20200111153512702"</f>
        <v>20200111153512702</v>
      </c>
      <c r="B3917" t="str">
        <f>"1578728112699596"</f>
        <v>1578728112699596</v>
      </c>
      <c r="C3917" t="s">
        <v>37</v>
      </c>
      <c r="D3917">
        <v>4.7405839999999904</v>
      </c>
      <c r="E3917">
        <v>0.4652829</v>
      </c>
      <c r="F3917" t="s">
        <v>39</v>
      </c>
      <c r="G3917">
        <v>-357.88659999999999</v>
      </c>
      <c r="H3917" s="1">
        <v>-9.1923229999999999E-7</v>
      </c>
      <c r="I3917">
        <v>139.44569999999999</v>
      </c>
      <c r="J3917">
        <v>-342.97879999999998</v>
      </c>
      <c r="K3917">
        <v>1.105043</v>
      </c>
      <c r="L3917">
        <v>141.95320000000001</v>
      </c>
      <c r="M3917">
        <v>-0.99978449999999996</v>
      </c>
      <c r="N3917">
        <v>0</v>
      </c>
      <c r="O3917">
        <v>1.4643990000000001E-2</v>
      </c>
      <c r="P3917">
        <v>-0.99379219999999902</v>
      </c>
      <c r="Q3917">
        <v>8.1652879999999997E-2</v>
      </c>
      <c r="R3917">
        <v>-7.5564709999999993E-2</v>
      </c>
      <c r="S3917">
        <v>-2.99939</v>
      </c>
      <c r="T3917">
        <v>-0.21564439999999899</v>
      </c>
      <c r="U3917">
        <v>-0.48800659999999901</v>
      </c>
      <c r="V3917">
        <v>-9.0170730000000004E-2</v>
      </c>
      <c r="W3917">
        <v>9.6197229999999995E-2</v>
      </c>
      <c r="X3917">
        <v>0.99126950000000003</v>
      </c>
      <c r="Y3917">
        <v>-0.1745525</v>
      </c>
      <c r="Z3917">
        <v>-7.2709949999999997E-3</v>
      </c>
      <c r="AA3917">
        <v>0.98462099999999897</v>
      </c>
      <c r="AB3917">
        <v>47</v>
      </c>
      <c r="AC3917">
        <v>-14.9078</v>
      </c>
      <c r="AD3917">
        <v>-1.1050439192323001</v>
      </c>
      <c r="AE3917">
        <v>-2.5075000000000198</v>
      </c>
      <c r="AF3917">
        <v>-2.7110780659269098</v>
      </c>
      <c r="AG3917">
        <v>-1.1050439192323001</v>
      </c>
      <c r="AH3917">
        <v>14.7904464061259</v>
      </c>
      <c r="AI3917">
        <v>94.203053618962997</v>
      </c>
      <c r="AJ3917">
        <v>100.386969721585</v>
      </c>
      <c r="AK3917">
        <v>15.0774126174044</v>
      </c>
    </row>
    <row r="3918" spans="1:37" x14ac:dyDescent="0.2">
      <c r="A3918" t="str">
        <f>"20200111153512724"</f>
        <v>20200111153512724</v>
      </c>
      <c r="B3918" t="str">
        <f>"1578728112720092"</f>
        <v>1578728112720092</v>
      </c>
      <c r="C3918" t="s">
        <v>37</v>
      </c>
      <c r="D3918">
        <v>4.8350470000000003</v>
      </c>
      <c r="E3918">
        <v>0.46533190000000002</v>
      </c>
      <c r="F3918" t="s">
        <v>39</v>
      </c>
      <c r="G3918">
        <v>-358.59809999999999</v>
      </c>
      <c r="H3918" s="1">
        <v>-6.2334309999999999E-7</v>
      </c>
      <c r="I3918">
        <v>139.393</v>
      </c>
      <c r="J3918">
        <v>-343.4461</v>
      </c>
      <c r="K3918">
        <v>1.105038</v>
      </c>
      <c r="L3918">
        <v>141.9598</v>
      </c>
      <c r="M3918">
        <v>-0.99978750000000005</v>
      </c>
      <c r="N3918">
        <v>0</v>
      </c>
      <c r="O3918">
        <v>1.443623E-2</v>
      </c>
      <c r="P3918">
        <v>-0.99378719999999998</v>
      </c>
      <c r="Q3918">
        <v>8.1886429999999996E-2</v>
      </c>
      <c r="R3918">
        <v>-7.5378180000000003E-2</v>
      </c>
      <c r="S3918">
        <v>-2.99880999999999</v>
      </c>
      <c r="T3918">
        <v>-0.21216260000000001</v>
      </c>
      <c r="U3918">
        <v>-0.49153140000000001</v>
      </c>
      <c r="V3918">
        <v>-8.9777330000000002E-2</v>
      </c>
      <c r="W3918">
        <v>9.6428829999999993E-2</v>
      </c>
      <c r="X3918">
        <v>0.99128280000000002</v>
      </c>
      <c r="Y3918">
        <v>-0.1755186</v>
      </c>
      <c r="Z3918">
        <v>-7.1738959999999999E-3</v>
      </c>
      <c r="AA3918">
        <v>0.98445000000000005</v>
      </c>
      <c r="AB3918">
        <v>46</v>
      </c>
      <c r="AC3918">
        <v>-15.1519999999999</v>
      </c>
      <c r="AD3918">
        <v>-1.1050386233431</v>
      </c>
      <c r="AE3918">
        <v>-2.5668000000000002</v>
      </c>
      <c r="AF3918">
        <v>-2.7709667950778698</v>
      </c>
      <c r="AG3918">
        <v>-1.1050386233431</v>
      </c>
      <c r="AH3918">
        <v>15.035621032342901</v>
      </c>
      <c r="AI3918">
        <v>94.134009226299398</v>
      </c>
      <c r="AJ3918">
        <v>100.442071714766</v>
      </c>
      <c r="AK3918">
        <v>15.3287072894858</v>
      </c>
    </row>
    <row r="3919" spans="1:37" x14ac:dyDescent="0.2">
      <c r="A3919" t="str">
        <f>"20200111153512747"</f>
        <v>20200111153512747</v>
      </c>
      <c r="B3919" t="str">
        <f>"1578728112739612"</f>
        <v>1578728112739612</v>
      </c>
      <c r="C3919" t="s">
        <v>37</v>
      </c>
      <c r="D3919">
        <v>4.8018029999999996</v>
      </c>
      <c r="E3919">
        <v>0.46632429999999903</v>
      </c>
      <c r="F3919" t="s">
        <v>39</v>
      </c>
      <c r="G3919">
        <v>-359.3433</v>
      </c>
      <c r="H3919" s="1">
        <v>-3.0930689999999999E-7</v>
      </c>
      <c r="I3919">
        <v>139.36099999999999</v>
      </c>
      <c r="J3919">
        <v>-343.91930000000002</v>
      </c>
      <c r="K3919">
        <v>1.105037</v>
      </c>
      <c r="L3919">
        <v>141.9665</v>
      </c>
      <c r="M3919">
        <v>-0.99979050000000003</v>
      </c>
      <c r="N3919">
        <v>0</v>
      </c>
      <c r="O3919">
        <v>1.422607E-2</v>
      </c>
      <c r="P3919">
        <v>-0.99379839999999997</v>
      </c>
      <c r="Q3919">
        <v>8.1926280000000004E-2</v>
      </c>
      <c r="R3919">
        <v>-7.5185669999999996E-2</v>
      </c>
      <c r="S3919">
        <v>-2.9987789999999999</v>
      </c>
      <c r="T3919">
        <v>-0.20844989999999899</v>
      </c>
      <c r="U3919">
        <v>-0.49021909999999902</v>
      </c>
      <c r="V3919">
        <v>-8.9376150000000001E-2</v>
      </c>
      <c r="W3919">
        <v>9.6467269999999994E-2</v>
      </c>
      <c r="X3919">
        <v>0.99131519999999995</v>
      </c>
      <c r="Y3919">
        <v>-0.1749116</v>
      </c>
      <c r="Z3919">
        <v>-7.0135369999999898E-3</v>
      </c>
      <c r="AA3919">
        <v>0.98455919999999897</v>
      </c>
      <c r="AB3919">
        <v>46</v>
      </c>
      <c r="AC3919">
        <v>-15.4239999999999</v>
      </c>
      <c r="AD3919">
        <v>-1.1050373093068999</v>
      </c>
      <c r="AE3919">
        <v>-2.6055000000000001</v>
      </c>
      <c r="AF3919">
        <v>-2.8106564800287899</v>
      </c>
      <c r="AG3919">
        <v>-1.1050373093068999</v>
      </c>
      <c r="AH3919">
        <v>15.3089699934548</v>
      </c>
      <c r="AI3919">
        <v>94.060941502968504</v>
      </c>
      <c r="AJ3919">
        <v>100.40338422178</v>
      </c>
      <c r="AK3919">
        <v>15.604020621756</v>
      </c>
    </row>
    <row r="3920" spans="1:37" x14ac:dyDescent="0.2">
      <c r="A3920" t="str">
        <f>"20200111153512769"</f>
        <v>20200111153512769</v>
      </c>
      <c r="B3920" t="str">
        <f>"1578728112760108"</f>
        <v>1578728112760108</v>
      </c>
      <c r="C3920" t="s">
        <v>37</v>
      </c>
      <c r="D3920">
        <v>4.768751</v>
      </c>
      <c r="E3920">
        <v>0.46708139999999998</v>
      </c>
      <c r="F3920" t="s">
        <v>39</v>
      </c>
      <c r="G3920">
        <v>-360.09440000000001</v>
      </c>
      <c r="H3920" s="1">
        <v>-4.276052E-6</v>
      </c>
      <c r="I3920">
        <v>139.36680000000001</v>
      </c>
      <c r="J3920">
        <v>-344.37270000000001</v>
      </c>
      <c r="K3920">
        <v>1.1050340000000001</v>
      </c>
      <c r="L3920">
        <v>141.97280000000001</v>
      </c>
      <c r="M3920">
        <v>-0.9997935</v>
      </c>
      <c r="N3920">
        <v>0</v>
      </c>
      <c r="O3920">
        <v>1.402461E-2</v>
      </c>
      <c r="P3920">
        <v>-0.99387209999999904</v>
      </c>
      <c r="Q3920">
        <v>8.1188250000000003E-2</v>
      </c>
      <c r="R3920">
        <v>-7.5013910000000003E-2</v>
      </c>
      <c r="S3920">
        <v>-2.9991460000000001</v>
      </c>
      <c r="T3920">
        <v>-0.20489539999999901</v>
      </c>
      <c r="U3920">
        <v>-0.48202509999999998</v>
      </c>
      <c r="V3920">
        <v>-8.9004379999999994E-2</v>
      </c>
      <c r="W3920">
        <v>9.5728279999999999E-2</v>
      </c>
      <c r="X3920">
        <v>0.99142030000000003</v>
      </c>
      <c r="Y3920">
        <v>-0.172094</v>
      </c>
      <c r="Z3920">
        <v>-6.7856840000000002E-3</v>
      </c>
      <c r="AA3920">
        <v>0.98505719999999997</v>
      </c>
      <c r="AB3920">
        <v>46</v>
      </c>
      <c r="AC3920">
        <v>-15.721699999999901</v>
      </c>
      <c r="AD3920">
        <v>-1.1050382760519999</v>
      </c>
      <c r="AE3920">
        <v>-2.6059999999999901</v>
      </c>
      <c r="AF3920">
        <v>-2.8127339678681502</v>
      </c>
      <c r="AG3920">
        <v>-1.1050382760519999</v>
      </c>
      <c r="AH3920">
        <v>15.6085520521204</v>
      </c>
      <c r="AI3920">
        <v>93.985625937866004</v>
      </c>
      <c r="AJ3920">
        <v>100.215332007683</v>
      </c>
      <c r="AK3920">
        <v>15.898411213995301</v>
      </c>
    </row>
    <row r="3921" spans="1:37" x14ac:dyDescent="0.2">
      <c r="A3921" t="str">
        <f>"20200111153512786"</f>
        <v>20200111153512786</v>
      </c>
      <c r="B3921" t="str">
        <f>"1578728112779629"</f>
        <v>1578728112779629</v>
      </c>
      <c r="C3921" t="s">
        <v>37</v>
      </c>
      <c r="D3921">
        <v>4.7788709999999996</v>
      </c>
      <c r="E3921">
        <v>0.46752070000000001</v>
      </c>
      <c r="F3921" t="s">
        <v>39</v>
      </c>
      <c r="G3921">
        <v>-360.70659999999998</v>
      </c>
      <c r="H3921" s="1">
        <v>-4.0106810000000001E-6</v>
      </c>
      <c r="I3921">
        <v>139.38210000000001</v>
      </c>
      <c r="J3921">
        <v>-344.7097</v>
      </c>
      <c r="K3921">
        <v>1.105038</v>
      </c>
      <c r="L3921">
        <v>141.97739999999999</v>
      </c>
      <c r="M3921">
        <v>-0.99979560000000001</v>
      </c>
      <c r="N3921">
        <v>0</v>
      </c>
      <c r="O3921">
        <v>1.387499E-2</v>
      </c>
      <c r="P3921">
        <v>-0.99388980000000005</v>
      </c>
      <c r="Q3921">
        <v>8.0955910000000006E-2</v>
      </c>
      <c r="R3921">
        <v>-7.5028490000000003E-2</v>
      </c>
      <c r="S3921">
        <v>-2.9991460000000001</v>
      </c>
      <c r="T3921">
        <v>-0.20290269999999999</v>
      </c>
      <c r="U3921">
        <v>-0.47567749999999998</v>
      </c>
      <c r="V3921">
        <v>-8.887022E-2</v>
      </c>
      <c r="W3921">
        <v>9.5494270000000006E-2</v>
      </c>
      <c r="X3921">
        <v>0.99145499999999998</v>
      </c>
      <c r="Y3921">
        <v>-0.16992639999999901</v>
      </c>
      <c r="Z3921">
        <v>-6.638105E-3</v>
      </c>
      <c r="AA3921">
        <v>0.98543440000000004</v>
      </c>
      <c r="AB3921">
        <v>46</v>
      </c>
      <c r="AC3921">
        <v>-15.996899999999901</v>
      </c>
      <c r="AD3921">
        <v>-1.1050420106809999</v>
      </c>
      <c r="AE3921">
        <v>-2.59529999999998</v>
      </c>
      <c r="AF3921">
        <v>-2.8039938839289298</v>
      </c>
      <c r="AG3921">
        <v>-1.1050420106809999</v>
      </c>
      <c r="AH3921">
        <v>15.8854871486636</v>
      </c>
      <c r="AI3921">
        <v>93.918867242288101</v>
      </c>
      <c r="AJ3921">
        <v>100.01033253015299</v>
      </c>
      <c r="AK3921">
        <v>16.168865188900501</v>
      </c>
    </row>
    <row r="3922" spans="1:37" x14ac:dyDescent="0.2">
      <c r="A3922" t="str">
        <f>"20200111153512799"</f>
        <v>20200111153512799</v>
      </c>
      <c r="B3922" t="str">
        <f>"1578728112789388"</f>
        <v>1578728112789388</v>
      </c>
      <c r="C3922" t="s">
        <v>37</v>
      </c>
      <c r="D3922">
        <v>4.7737249999999998</v>
      </c>
      <c r="E3922">
        <v>0.46771940000000001</v>
      </c>
      <c r="F3922" t="s">
        <v>39</v>
      </c>
      <c r="G3922">
        <v>-361.31060000000002</v>
      </c>
      <c r="H3922" s="1">
        <v>-3.7548259999999999E-6</v>
      </c>
      <c r="I3922">
        <v>139.36369999999999</v>
      </c>
      <c r="J3922">
        <v>-344.98590000000002</v>
      </c>
      <c r="K3922">
        <v>1.1050409999999999</v>
      </c>
      <c r="L3922">
        <v>141.9812</v>
      </c>
      <c r="M3922">
        <v>-0.99979750000000001</v>
      </c>
      <c r="N3922">
        <v>0</v>
      </c>
      <c r="O3922">
        <v>1.375212E-2</v>
      </c>
      <c r="P3922">
        <v>-0.99387689999999995</v>
      </c>
      <c r="Q3922">
        <v>8.0852220000000002E-2</v>
      </c>
      <c r="R3922">
        <v>-7.5313389999999994E-2</v>
      </c>
      <c r="S3922">
        <v>-2.9990540000000001</v>
      </c>
      <c r="T3922">
        <v>-0.19963259999999999</v>
      </c>
      <c r="U3922">
        <v>-0.47216799999999998</v>
      </c>
      <c r="V3922">
        <v>-8.9032340000000001E-2</v>
      </c>
      <c r="W3922">
        <v>9.5388899999999902E-2</v>
      </c>
      <c r="X3922">
        <v>0.99145049999999901</v>
      </c>
      <c r="Y3922">
        <v>-0.16870070000000001</v>
      </c>
      <c r="Z3922">
        <v>-6.4835159999999999E-3</v>
      </c>
      <c r="AA3922">
        <v>0.98564599999999902</v>
      </c>
      <c r="AB3922">
        <v>46</v>
      </c>
      <c r="AC3922">
        <v>-16.3247</v>
      </c>
      <c r="AD3922">
        <v>-1.1050447548259901</v>
      </c>
      <c r="AE3922">
        <v>-2.6175000000000002</v>
      </c>
      <c r="AF3922">
        <v>-2.82913728050521</v>
      </c>
      <c r="AG3922">
        <v>-1.1050447548259901</v>
      </c>
      <c r="AH3922">
        <v>16.214719831505299</v>
      </c>
      <c r="AI3922">
        <v>93.840871794902995</v>
      </c>
      <c r="AJ3922">
        <v>99.897310346721795</v>
      </c>
      <c r="AK3922">
        <v>16.4967354611852</v>
      </c>
    </row>
    <row r="3923" spans="1:37" x14ac:dyDescent="0.2">
      <c r="A3923" t="str">
        <f>"20200111153512813"</f>
        <v>20200111153512813</v>
      </c>
      <c r="B3923" t="str">
        <f>"1578728112809885"</f>
        <v>1578728112809885</v>
      </c>
      <c r="C3923" t="s">
        <v>37</v>
      </c>
      <c r="D3923">
        <v>4.8243260000000001</v>
      </c>
      <c r="E3923">
        <v>0.46803909999999999</v>
      </c>
      <c r="F3923" t="s">
        <v>39</v>
      </c>
      <c r="G3923">
        <v>-361.61079999999998</v>
      </c>
      <c r="H3923" s="1">
        <v>-3.6252769999999998E-6</v>
      </c>
      <c r="I3923">
        <v>139.36789999999999</v>
      </c>
      <c r="J3923">
        <v>-345.29</v>
      </c>
      <c r="K3923">
        <v>1.1050530000000001</v>
      </c>
      <c r="L3923">
        <v>141.98519999999999</v>
      </c>
      <c r="M3923">
        <v>-0.99979929999999995</v>
      </c>
      <c r="N3923">
        <v>0</v>
      </c>
      <c r="O3923">
        <v>1.3617209999999999E-2</v>
      </c>
      <c r="P3923">
        <v>-0.99392340000000001</v>
      </c>
      <c r="Q3923">
        <v>8.0296320000000004E-2</v>
      </c>
      <c r="R3923">
        <v>-7.5293200000000005E-2</v>
      </c>
      <c r="S3923">
        <v>-2.998993</v>
      </c>
      <c r="T3923">
        <v>-0.1993414</v>
      </c>
      <c r="U3923">
        <v>-0.47138980000000003</v>
      </c>
      <c r="V3923">
        <v>-8.887871E-2</v>
      </c>
      <c r="W3923">
        <v>9.4832109999999997E-2</v>
      </c>
      <c r="X3923">
        <v>0.99151769999999995</v>
      </c>
      <c r="Y3923">
        <v>-0.16832339999999901</v>
      </c>
      <c r="Z3923">
        <v>-6.4529779999999998E-3</v>
      </c>
      <c r="AA3923">
        <v>0.98571070000000005</v>
      </c>
      <c r="AB3923">
        <v>46</v>
      </c>
      <c r="AC3923">
        <v>-16.320799999999899</v>
      </c>
      <c r="AD3923">
        <v>-1.105056625277</v>
      </c>
      <c r="AE3923">
        <v>-2.6173000000000002</v>
      </c>
      <c r="AF3923">
        <v>-2.82669115085907</v>
      </c>
      <c r="AG3923">
        <v>-1.105056625277</v>
      </c>
      <c r="AH3923">
        <v>16.211186431574799</v>
      </c>
      <c r="AI3923">
        <v>93.8418207667996</v>
      </c>
      <c r="AJ3923">
        <v>99.891034767009003</v>
      </c>
      <c r="AK3923">
        <v>16.492843858070401</v>
      </c>
    </row>
    <row r="3924" spans="1:37" x14ac:dyDescent="0.2">
      <c r="A3924" t="str">
        <f>"20200111153512831"</f>
        <v>20200111153512831</v>
      </c>
      <c r="B3924" t="str">
        <f>"1578728112819645"</f>
        <v>1578728112819645</v>
      </c>
      <c r="C3924" t="s">
        <v>37</v>
      </c>
      <c r="D3924">
        <v>4.7449589999999997</v>
      </c>
      <c r="E3924">
        <v>0.46811029999999998</v>
      </c>
      <c r="F3924" t="s">
        <v>39</v>
      </c>
      <c r="G3924">
        <v>-361.9973</v>
      </c>
      <c r="H3924" s="1">
        <v>-3.4585809999999999E-6</v>
      </c>
      <c r="I3924">
        <v>139.37309999999999</v>
      </c>
      <c r="J3924">
        <v>-345.64179999999999</v>
      </c>
      <c r="K3924">
        <v>1.105064</v>
      </c>
      <c r="L3924">
        <v>141.98990000000001</v>
      </c>
      <c r="M3924">
        <v>-0.9998013</v>
      </c>
      <c r="N3924">
        <v>0</v>
      </c>
      <c r="O3924">
        <v>1.3461030000000001E-2</v>
      </c>
      <c r="P3924">
        <v>-0.99390639999999997</v>
      </c>
      <c r="Q3924">
        <v>8.0424389999999998E-2</v>
      </c>
      <c r="R3924">
        <v>-7.5380820000000001E-2</v>
      </c>
      <c r="S3924">
        <v>-2.99884</v>
      </c>
      <c r="T3924">
        <v>-0.19835050000000001</v>
      </c>
      <c r="U3924">
        <v>-0.46884160000000002</v>
      </c>
      <c r="V3924">
        <v>-8.8810500000000001E-2</v>
      </c>
      <c r="W3924">
        <v>9.4958360000000006E-2</v>
      </c>
      <c r="X3924">
        <v>0.99151180000000005</v>
      </c>
      <c r="Y3924">
        <v>-0.1673656</v>
      </c>
      <c r="Z3924">
        <v>-6.3799989999999999E-3</v>
      </c>
      <c r="AA3924">
        <v>0.98587420000000003</v>
      </c>
      <c r="AB3924">
        <v>46</v>
      </c>
      <c r="AC3924">
        <v>-16.355499999999999</v>
      </c>
      <c r="AD3924">
        <v>-1.1050674585810001</v>
      </c>
      <c r="AE3924">
        <v>-2.6168000000000098</v>
      </c>
      <c r="AF3924">
        <v>-2.82417768340478</v>
      </c>
      <c r="AG3924">
        <v>-1.1050674585810001</v>
      </c>
      <c r="AH3924">
        <v>16.246473629162399</v>
      </c>
      <c r="AI3924">
        <v>93.833883276232797</v>
      </c>
      <c r="AJ3924">
        <v>99.861370544041506</v>
      </c>
      <c r="AK3924">
        <v>16.527100745700199</v>
      </c>
    </row>
    <row r="3925" spans="1:37" x14ac:dyDescent="0.2">
      <c r="A3925" t="str">
        <f>"20200111153512847"</f>
        <v>20200111153512847</v>
      </c>
      <c r="B3925" t="str">
        <f>"1578728112840143"</f>
        <v>1578728112840143</v>
      </c>
      <c r="C3925" t="s">
        <v>37</v>
      </c>
      <c r="D3925">
        <v>4.7468339999999998</v>
      </c>
      <c r="E3925">
        <v>0.46833000000000002</v>
      </c>
      <c r="F3925" t="s">
        <v>39</v>
      </c>
      <c r="G3925">
        <v>-362.50630000000001</v>
      </c>
      <c r="H3925" s="1">
        <v>-3.2434600000000001E-6</v>
      </c>
      <c r="I3925">
        <v>139.35470000000001</v>
      </c>
      <c r="J3925">
        <v>-345.99079999999998</v>
      </c>
      <c r="K3925">
        <v>1.1050899999999999</v>
      </c>
      <c r="L3925">
        <v>141.99449999999999</v>
      </c>
      <c r="M3925">
        <v>-0.99980340000000001</v>
      </c>
      <c r="N3925">
        <v>0</v>
      </c>
      <c r="O3925">
        <v>1.3306220000000001E-2</v>
      </c>
      <c r="P3925">
        <v>-0.993959499999999</v>
      </c>
      <c r="Q3925">
        <v>8.0024929999999994E-2</v>
      </c>
      <c r="R3925">
        <v>-7.5103920000000005E-2</v>
      </c>
      <c r="S3925">
        <v>-2.9987490000000001</v>
      </c>
      <c r="T3925">
        <v>-0.19649710000000001</v>
      </c>
      <c r="U3925">
        <v>-0.46856690000000001</v>
      </c>
      <c r="V3925">
        <v>-8.8380340000000002E-2</v>
      </c>
      <c r="W3925">
        <v>9.4557740000000001E-2</v>
      </c>
      <c r="X3925">
        <v>0.99158849999999998</v>
      </c>
      <c r="Y3925">
        <v>-0.16713739999999999</v>
      </c>
      <c r="Z3925">
        <v>-6.3032399999999999E-3</v>
      </c>
      <c r="AA3925">
        <v>0.9859135</v>
      </c>
      <c r="AB3925">
        <v>46</v>
      </c>
      <c r="AC3925">
        <v>-16.515499999999999</v>
      </c>
      <c r="AD3925">
        <v>-1.10509324345999</v>
      </c>
      <c r="AE3925">
        <v>-2.6397999999999802</v>
      </c>
      <c r="AF3925">
        <v>-2.8469199430718199</v>
      </c>
      <c r="AG3925">
        <v>-1.10509324345999</v>
      </c>
      <c r="AH3925">
        <v>16.4072779925433</v>
      </c>
      <c r="AI3925">
        <v>93.796709609998103</v>
      </c>
      <c r="AJ3925">
        <v>99.843706422221601</v>
      </c>
      <c r="AK3925">
        <v>16.689066941072401</v>
      </c>
    </row>
    <row r="3926" spans="1:37" x14ac:dyDescent="0.2">
      <c r="A3926" t="str">
        <f>"20200111153512864"</f>
        <v>20200111153512864</v>
      </c>
      <c r="B3926" t="str">
        <f>"1578728112859661"</f>
        <v>1578728112859661</v>
      </c>
      <c r="C3926" t="s">
        <v>37</v>
      </c>
      <c r="D3926">
        <v>4.6728759999999996</v>
      </c>
      <c r="E3926">
        <v>0.46866869999999999</v>
      </c>
      <c r="F3926" t="s">
        <v>39</v>
      </c>
      <c r="G3926">
        <v>-362.92219999999998</v>
      </c>
      <c r="H3926" s="1">
        <v>-3.06365299999999E-6</v>
      </c>
      <c r="I3926">
        <v>139.36259999999999</v>
      </c>
      <c r="J3926">
        <v>-346.3211</v>
      </c>
      <c r="K3926">
        <v>1.1051040000000001</v>
      </c>
      <c r="L3926">
        <v>141.99879999999999</v>
      </c>
      <c r="M3926">
        <v>-0.99980550000000001</v>
      </c>
      <c r="N3926">
        <v>0</v>
      </c>
      <c r="O3926">
        <v>1.3159499999999999E-2</v>
      </c>
      <c r="P3926">
        <v>-0.99401830000000002</v>
      </c>
      <c r="Q3926">
        <v>7.9468349999999993E-2</v>
      </c>
      <c r="R3926">
        <v>-7.4918570000000004E-2</v>
      </c>
      <c r="S3926">
        <v>-2.9987789999999999</v>
      </c>
      <c r="T3926">
        <v>-0.1957277</v>
      </c>
      <c r="U3926">
        <v>-0.46612550000000003</v>
      </c>
      <c r="V3926">
        <v>-8.8049760000000005E-2</v>
      </c>
      <c r="W3926">
        <v>9.4000410000000006E-2</v>
      </c>
      <c r="X3926">
        <v>0.99167090000000002</v>
      </c>
      <c r="Y3926">
        <v>-0.16621259999999999</v>
      </c>
      <c r="Z3926">
        <v>-6.239456E-3</v>
      </c>
      <c r="AA3926">
        <v>0.98607019999999901</v>
      </c>
      <c r="AB3926">
        <v>46</v>
      </c>
      <c r="AC3926">
        <v>-16.601099999999899</v>
      </c>
      <c r="AD3926">
        <v>-1.105107063653</v>
      </c>
      <c r="AE3926">
        <v>-2.6362000000000001</v>
      </c>
      <c r="AF3926">
        <v>-2.8421725817951402</v>
      </c>
      <c r="AG3926">
        <v>-1.105107063653</v>
      </c>
      <c r="AH3926">
        <v>16.493676024111899</v>
      </c>
      <c r="AI3926">
        <v>93.777683077404404</v>
      </c>
      <c r="AJ3926">
        <v>99.777128523709607</v>
      </c>
      <c r="AK3926">
        <v>16.773209454222201</v>
      </c>
    </row>
    <row r="3927" spans="1:37" x14ac:dyDescent="0.2">
      <c r="A3927" t="str">
        <f>"20200111153512877"</f>
        <v>20200111153512877</v>
      </c>
      <c r="B3927" t="str">
        <f>"1578728112870396"</f>
        <v>1578728112870396</v>
      </c>
      <c r="C3927" t="s">
        <v>37</v>
      </c>
      <c r="D3927">
        <v>4.6487509999999999</v>
      </c>
      <c r="E3927">
        <v>0.46883940000000002</v>
      </c>
      <c r="F3927" t="s">
        <v>39</v>
      </c>
      <c r="G3927">
        <v>-363.52069999999998</v>
      </c>
      <c r="H3927" s="1">
        <v>-2.8102819999999999E-6</v>
      </c>
      <c r="I3927">
        <v>139.34350000000001</v>
      </c>
      <c r="J3927">
        <v>-346.60039999999998</v>
      </c>
      <c r="K3927">
        <v>1.105124</v>
      </c>
      <c r="L3927">
        <v>142.00229999999999</v>
      </c>
      <c r="M3927">
        <v>-0.999807</v>
      </c>
      <c r="N3927">
        <v>0</v>
      </c>
      <c r="O3927">
        <v>1.303579E-2</v>
      </c>
      <c r="P3927">
        <v>-0.99404539999999997</v>
      </c>
      <c r="Q3927">
        <v>7.9353380000000001E-2</v>
      </c>
      <c r="R3927">
        <v>-7.4676119999999999E-2</v>
      </c>
      <c r="S3927">
        <v>-2.9985659999999998</v>
      </c>
      <c r="T3927">
        <v>-0.19266359999999999</v>
      </c>
      <c r="U3927">
        <v>-0.46290589999999998</v>
      </c>
      <c r="V3927">
        <v>-8.7684719999999994E-2</v>
      </c>
      <c r="W3927">
        <v>9.3885060000000006E-2</v>
      </c>
      <c r="X3927">
        <v>0.99171419999999999</v>
      </c>
      <c r="Y3927">
        <v>-0.16508120000000001</v>
      </c>
      <c r="Z3927">
        <v>-6.0989099999999999E-3</v>
      </c>
      <c r="AA3927">
        <v>0.986261099999999</v>
      </c>
      <c r="AB3927">
        <v>46</v>
      </c>
      <c r="AC3927">
        <v>-16.920299999999902</v>
      </c>
      <c r="AD3927">
        <v>-1.105126810282</v>
      </c>
      <c r="AE3927">
        <v>-2.6587999999999798</v>
      </c>
      <c r="AF3927">
        <v>-2.8672308282501699</v>
      </c>
      <c r="AG3927">
        <v>-1.105126810282</v>
      </c>
      <c r="AH3927">
        <v>16.8141998121</v>
      </c>
      <c r="AI3927">
        <v>93.707043521308506</v>
      </c>
      <c r="AJ3927">
        <v>99.677243077323496</v>
      </c>
      <c r="AK3927">
        <v>17.092677765946899</v>
      </c>
    </row>
    <row r="3928" spans="1:37" x14ac:dyDescent="0.2">
      <c r="A3928" t="str">
        <f>"20200111153512892"</f>
        <v>20200111153512892</v>
      </c>
      <c r="B3928" t="str">
        <f>"1578728112889919"</f>
        <v>1578728112889919</v>
      </c>
      <c r="C3928" t="s">
        <v>37</v>
      </c>
      <c r="D3928">
        <v>4.6094910000000002</v>
      </c>
      <c r="E3928">
        <v>0.46909259999999903</v>
      </c>
      <c r="F3928" t="s">
        <v>39</v>
      </c>
      <c r="G3928">
        <v>-363.9889</v>
      </c>
      <c r="H3928" s="1">
        <v>-2.61185499999999E-6</v>
      </c>
      <c r="I3928">
        <v>139.32980000000001</v>
      </c>
      <c r="J3928">
        <v>-346.91520000000003</v>
      </c>
      <c r="K3928">
        <v>1.1051660000000001</v>
      </c>
      <c r="L3928">
        <v>142.00630000000001</v>
      </c>
      <c r="M3928">
        <v>-0.99980879999999905</v>
      </c>
      <c r="N3928">
        <v>0</v>
      </c>
      <c r="O3928">
        <v>1.289599E-2</v>
      </c>
      <c r="P3928">
        <v>-0.99399889999999902</v>
      </c>
      <c r="Q3928">
        <v>8.1088199999999999E-2</v>
      </c>
      <c r="R3928">
        <v>-7.3423290000000002E-2</v>
      </c>
      <c r="S3928">
        <v>-2.9985659999999998</v>
      </c>
      <c r="T3928">
        <v>-0.1905743</v>
      </c>
      <c r="U3928">
        <v>-0.46084589999999998</v>
      </c>
      <c r="V3928">
        <v>-8.6293300000000003E-2</v>
      </c>
      <c r="W3928">
        <v>9.56177E-2</v>
      </c>
      <c r="X3928">
        <v>0.99167070000000002</v>
      </c>
      <c r="Y3928">
        <v>-0.16429089999999999</v>
      </c>
      <c r="Z3928">
        <v>-5.9994439999999996E-3</v>
      </c>
      <c r="AA3928">
        <v>0.98639370000000004</v>
      </c>
      <c r="AB3928">
        <v>46</v>
      </c>
      <c r="AC3928">
        <v>-17.073699999999899</v>
      </c>
      <c r="AD3928">
        <v>-1.1051686118549999</v>
      </c>
      <c r="AE3928">
        <v>-2.6764999999999999</v>
      </c>
      <c r="AF3928">
        <v>-2.8846868317622798</v>
      </c>
      <c r="AG3928">
        <v>-1.1051686118549999</v>
      </c>
      <c r="AH3928">
        <v>16.968369795703101</v>
      </c>
      <c r="AI3928">
        <v>93.673909145904403</v>
      </c>
      <c r="AJ3928">
        <v>99.648255239866401</v>
      </c>
      <c r="AK3928">
        <v>17.247271937952998</v>
      </c>
    </row>
    <row r="3929" spans="1:37" x14ac:dyDescent="0.2">
      <c r="A3929" t="str">
        <f>"20200111153512909"</f>
        <v>20200111153512909</v>
      </c>
      <c r="B3929" t="str">
        <f>"1578728112899677"</f>
        <v>1578728112899677</v>
      </c>
      <c r="C3929" t="s">
        <v>37</v>
      </c>
      <c r="D3929">
        <v>4.6457179999999996</v>
      </c>
      <c r="E3929">
        <v>0.46917309999999901</v>
      </c>
      <c r="F3929" t="s">
        <v>39</v>
      </c>
      <c r="G3929">
        <v>-365.28370000000001</v>
      </c>
      <c r="H3929" s="1">
        <v>-2.076564E-6</v>
      </c>
      <c r="I3929">
        <v>139.21619999999999</v>
      </c>
      <c r="J3929">
        <v>-347.25409999999999</v>
      </c>
      <c r="K3929">
        <v>1.1051879999999901</v>
      </c>
      <c r="L3929">
        <v>142.01060000000001</v>
      </c>
      <c r="M3929">
        <v>-0.99981089999999995</v>
      </c>
      <c r="N3929">
        <v>0</v>
      </c>
      <c r="O3929">
        <v>1.274511E-2</v>
      </c>
      <c r="P3929">
        <v>-0.99404680000000001</v>
      </c>
      <c r="Q3929">
        <v>8.1324549999999995E-2</v>
      </c>
      <c r="R3929">
        <v>-7.2507820000000001E-2</v>
      </c>
      <c r="S3929">
        <v>-2.9991759999999998</v>
      </c>
      <c r="T3929">
        <v>-0.18045050000000001</v>
      </c>
      <c r="U3929">
        <v>-0.45555109999999899</v>
      </c>
      <c r="V3929">
        <v>-8.5229250000000006E-2</v>
      </c>
      <c r="W3929">
        <v>9.5853590000000002E-2</v>
      </c>
      <c r="X3929">
        <v>0.99173989999999901</v>
      </c>
      <c r="Y3929">
        <v>-0.1624496</v>
      </c>
      <c r="Z3929">
        <v>-5.6168769999999897E-3</v>
      </c>
      <c r="AA3929">
        <v>0.98670079999999905</v>
      </c>
      <c r="AB3929">
        <v>46</v>
      </c>
      <c r="AC3929">
        <v>-18.029599999999999</v>
      </c>
      <c r="AD3929">
        <v>-1.1051900765639999</v>
      </c>
      <c r="AE3929">
        <v>-2.79440000000002</v>
      </c>
      <c r="AF3929">
        <v>-3.0129314211917499</v>
      </c>
      <c r="AG3929">
        <v>-1.1051900765639999</v>
      </c>
      <c r="AH3929">
        <v>17.9267365103772</v>
      </c>
      <c r="AI3929">
        <v>93.479167600545793</v>
      </c>
      <c r="AJ3929">
        <v>99.540489130634199</v>
      </c>
      <c r="AK3929">
        <v>18.2117292634893</v>
      </c>
    </row>
    <row r="3930" spans="1:37" x14ac:dyDescent="0.2">
      <c r="A3930" t="str">
        <f>"20200111153512927"</f>
        <v>20200111153512927</v>
      </c>
      <c r="B3930" t="str">
        <f>"1578728112920175"</f>
        <v>1578728112920175</v>
      </c>
      <c r="C3930" t="s">
        <v>37</v>
      </c>
      <c r="D3930">
        <v>4.6397979999999999</v>
      </c>
      <c r="E3930">
        <v>0.46940399999999999</v>
      </c>
      <c r="F3930" t="s">
        <v>39</v>
      </c>
      <c r="G3930">
        <v>-365.91469999999998</v>
      </c>
      <c r="H3930" s="1">
        <v>-1.8091569999999901E-6</v>
      </c>
      <c r="I3930">
        <v>139.19749999999999</v>
      </c>
      <c r="J3930">
        <v>-347.61180000000002</v>
      </c>
      <c r="K3930">
        <v>1.105224</v>
      </c>
      <c r="L3930">
        <v>142.01499999999999</v>
      </c>
      <c r="M3930">
        <v>-0.99981299999999995</v>
      </c>
      <c r="N3930">
        <v>0</v>
      </c>
      <c r="O3930">
        <v>1.2586180000000001E-2</v>
      </c>
      <c r="P3930">
        <v>-0.99408580000000002</v>
      </c>
      <c r="Q3930">
        <v>8.3023819999999998E-2</v>
      </c>
      <c r="R3930">
        <v>-7.000526E-2</v>
      </c>
      <c r="S3930">
        <v>-2.99951199999999</v>
      </c>
      <c r="T3930">
        <v>-0.1776488</v>
      </c>
      <c r="U3930">
        <v>-0.452163699999999</v>
      </c>
      <c r="V3930">
        <v>-8.2570340000000006E-2</v>
      </c>
      <c r="W3930">
        <v>9.7554089999999996E-2</v>
      </c>
      <c r="X3930">
        <v>0.99179910000000004</v>
      </c>
      <c r="Y3930">
        <v>-0.161198799999999</v>
      </c>
      <c r="Z3930">
        <v>-5.4835149999999996E-3</v>
      </c>
      <c r="AA3930">
        <v>0.98690669999999903</v>
      </c>
      <c r="AB3930">
        <v>46</v>
      </c>
      <c r="AC3930">
        <v>-18.302899999999902</v>
      </c>
      <c r="AD3930">
        <v>-1.105225809157</v>
      </c>
      <c r="AE3930">
        <v>-2.8174999999999901</v>
      </c>
      <c r="AF3930">
        <v>-3.0368480280210801</v>
      </c>
      <c r="AG3930">
        <v>-1.105225809157</v>
      </c>
      <c r="AH3930">
        <v>18.201152489174198</v>
      </c>
      <c r="AI3930">
        <v>93.427628651322195</v>
      </c>
      <c r="AJ3930">
        <v>99.4724985440957</v>
      </c>
      <c r="AK3930">
        <v>18.485830302388202</v>
      </c>
    </row>
    <row r="3931" spans="1:37" x14ac:dyDescent="0.2">
      <c r="A3931" t="str">
        <f>"20200111153512943"</f>
        <v>20200111153512943</v>
      </c>
      <c r="B3931" t="str">
        <f>"1578728112939693"</f>
        <v>1578728112939693</v>
      </c>
      <c r="C3931" t="s">
        <v>37</v>
      </c>
      <c r="D3931">
        <v>4.979158</v>
      </c>
      <c r="E3931">
        <v>0.46947050000000001</v>
      </c>
      <c r="F3931" t="s">
        <v>39</v>
      </c>
      <c r="G3931">
        <v>-367.30579999999998</v>
      </c>
      <c r="H3931" s="1">
        <v>-1.2283730000000001E-6</v>
      </c>
      <c r="I3931">
        <v>139.10749999999999</v>
      </c>
      <c r="J3931">
        <v>-347.95940000000002</v>
      </c>
      <c r="K3931">
        <v>1.1052379999999999</v>
      </c>
      <c r="L3931">
        <v>142.01929999999999</v>
      </c>
      <c r="M3931">
        <v>-0.99981500000000001</v>
      </c>
      <c r="N3931">
        <v>0</v>
      </c>
      <c r="O3931">
        <v>1.243154E-2</v>
      </c>
      <c r="P3931">
        <v>-0.99413569999999996</v>
      </c>
      <c r="Q3931">
        <v>8.3433010000000002E-2</v>
      </c>
      <c r="R3931">
        <v>-6.8798040000000005E-2</v>
      </c>
      <c r="S3931">
        <v>-3.0007630000000001</v>
      </c>
      <c r="T3931">
        <v>-0.1684032</v>
      </c>
      <c r="U3931">
        <v>-0.44300839999999903</v>
      </c>
      <c r="V3931">
        <v>-8.121014E-2</v>
      </c>
      <c r="W3931">
        <v>9.7962670000000002E-2</v>
      </c>
      <c r="X3931">
        <v>0.99187109999999901</v>
      </c>
      <c r="Y3931">
        <v>-0.15807449999999901</v>
      </c>
      <c r="Z3931">
        <v>-5.1018419999999997E-3</v>
      </c>
      <c r="AA3931">
        <v>0.98741399999999901</v>
      </c>
      <c r="AB3931">
        <v>46</v>
      </c>
      <c r="AC3931">
        <v>-19.3463999999999</v>
      </c>
      <c r="AD3931">
        <v>-1.1052392283729999</v>
      </c>
      <c r="AE3931">
        <v>-2.9117999999999902</v>
      </c>
      <c r="AF3931">
        <v>-3.1420787039327598</v>
      </c>
      <c r="AG3931">
        <v>-1.1052392283729999</v>
      </c>
      <c r="AH3931">
        <v>19.247276483186202</v>
      </c>
      <c r="AI3931">
        <v>93.243651156307905</v>
      </c>
      <c r="AJ3931">
        <v>99.2716339581889</v>
      </c>
      <c r="AK3931">
        <v>19.533352614281402</v>
      </c>
    </row>
    <row r="3932" spans="1:37" x14ac:dyDescent="0.2">
      <c r="A3932" t="str">
        <f>"20200111153512956"</f>
        <v>20200111153512956</v>
      </c>
      <c r="B3932" t="str">
        <f>"1578728112950429"</f>
        <v>1578728112950429</v>
      </c>
      <c r="C3932" t="s">
        <v>37</v>
      </c>
      <c r="D3932">
        <v>4.8749880000000001</v>
      </c>
      <c r="E3932">
        <v>0.51408710000000002</v>
      </c>
      <c r="F3932" t="s">
        <v>39</v>
      </c>
      <c r="G3932">
        <v>-367.92419999999998</v>
      </c>
      <c r="H3932" s="1">
        <v>-9.6460350000000004E-7</v>
      </c>
      <c r="I3932">
        <v>139.09889999999999</v>
      </c>
      <c r="J3932">
        <v>-348.24489999999997</v>
      </c>
      <c r="K3932">
        <v>1.105251</v>
      </c>
      <c r="L3932">
        <v>142.02279999999999</v>
      </c>
      <c r="M3932">
        <v>-0.9998165</v>
      </c>
      <c r="N3932">
        <v>0</v>
      </c>
      <c r="O3932">
        <v>1.2304789999999999E-2</v>
      </c>
      <c r="P3932">
        <v>-0.99418379999999995</v>
      </c>
      <c r="Q3932">
        <v>8.3658609999999994E-2</v>
      </c>
      <c r="R3932">
        <v>-6.7823469999999997E-2</v>
      </c>
      <c r="S3932">
        <v>-3.0012509999999999</v>
      </c>
      <c r="T3932">
        <v>-0.1661484</v>
      </c>
      <c r="U3932">
        <v>-0.43901059999999997</v>
      </c>
      <c r="V3932">
        <v>-8.0110089999999995E-2</v>
      </c>
      <c r="W3932">
        <v>9.8188090000000006E-2</v>
      </c>
      <c r="X3932">
        <v>0.99193819999999999</v>
      </c>
      <c r="Y3932">
        <v>-0.156647799999999</v>
      </c>
      <c r="Z3932">
        <v>-4.9870790000000002E-3</v>
      </c>
      <c r="AA3932">
        <v>0.98764189999999996</v>
      </c>
      <c r="AB3932">
        <v>46</v>
      </c>
      <c r="AC3932">
        <v>-19.679300000000001</v>
      </c>
      <c r="AD3932">
        <v>-1.1052519646034999</v>
      </c>
      <c r="AE3932">
        <v>-2.9239000000000002</v>
      </c>
      <c r="AF3932">
        <v>-3.1561140325181798</v>
      </c>
      <c r="AG3932">
        <v>-1.1052519646034999</v>
      </c>
      <c r="AH3932">
        <v>19.5813963696611</v>
      </c>
      <c r="AI3932">
        <v>93.189496731100107</v>
      </c>
      <c r="AJ3932">
        <v>99.156142172028396</v>
      </c>
      <c r="AK3932">
        <v>19.864886646474801</v>
      </c>
    </row>
    <row r="3933" spans="1:37" x14ac:dyDescent="0.2">
      <c r="A3933" t="str">
        <f>"20200111153512970"</f>
        <v>20200111153512970</v>
      </c>
      <c r="B3933" t="str">
        <f>"1578728112960190"</f>
        <v>1578728112960190</v>
      </c>
      <c r="C3933" t="s">
        <v>37</v>
      </c>
      <c r="D3933">
        <v>4.656587</v>
      </c>
      <c r="E3933">
        <v>0.51408710000000002</v>
      </c>
      <c r="F3933" t="s">
        <v>39</v>
      </c>
      <c r="G3933">
        <v>-377.06950000000001</v>
      </c>
      <c r="H3933" s="1">
        <v>-1.671087E-6</v>
      </c>
      <c r="I3933">
        <v>141.23840000000001</v>
      </c>
      <c r="J3933">
        <v>-348.5104</v>
      </c>
      <c r="K3933">
        <v>1.1052580000000001</v>
      </c>
      <c r="L3933">
        <v>142.02590000000001</v>
      </c>
      <c r="M3933">
        <v>-0.99981799999999998</v>
      </c>
      <c r="N3933">
        <v>0</v>
      </c>
      <c r="O3933">
        <v>1.218668E-2</v>
      </c>
      <c r="P3933">
        <v>-0.99429699999999999</v>
      </c>
      <c r="Q3933">
        <v>8.3809129999999996E-2</v>
      </c>
      <c r="R3933">
        <v>-6.5952549999999999E-2</v>
      </c>
      <c r="S3933">
        <v>-3.0216669999999999</v>
      </c>
      <c r="T3933">
        <v>-0.115862799999999</v>
      </c>
      <c r="U3933">
        <v>-8.221436E-2</v>
      </c>
      <c r="V3933">
        <v>-7.8123609999999996E-2</v>
      </c>
      <c r="W3933">
        <v>9.8339940000000001E-2</v>
      </c>
      <c r="X3933">
        <v>0.99208159999999901</v>
      </c>
      <c r="Y3933">
        <v>-3.9341840000000003E-2</v>
      </c>
      <c r="Z3933">
        <v>-1.220935E-3</v>
      </c>
      <c r="AA3933">
        <v>0.99922509999999998</v>
      </c>
      <c r="AB3933">
        <v>46</v>
      </c>
      <c r="AC3933">
        <v>-28.559100000000001</v>
      </c>
      <c r="AD3933">
        <v>-1.105259671087</v>
      </c>
      <c r="AE3933">
        <v>-0.78749999999999398</v>
      </c>
      <c r="AF3933">
        <v>-1.1338227253255999</v>
      </c>
      <c r="AG3933">
        <v>-1.105259671087</v>
      </c>
      <c r="AH3933">
        <v>28.504720154122001</v>
      </c>
      <c r="AI3933">
        <v>92.2187568671023</v>
      </c>
      <c r="AJ3933">
        <v>92.2778342589381</v>
      </c>
      <c r="AK3933">
        <v>28.5486641364847</v>
      </c>
    </row>
    <row r="3934" spans="1:37" x14ac:dyDescent="0.2">
      <c r="A3934" t="str">
        <f>"20200111153512987"</f>
        <v>20200111153512987</v>
      </c>
      <c r="B3934" t="str">
        <f>"1578728112979709"</f>
        <v>1578728112979709</v>
      </c>
      <c r="C3934" t="s">
        <v>37</v>
      </c>
      <c r="D3934">
        <v>4.6980259999999996</v>
      </c>
      <c r="E3934">
        <v>0.57576000000000005</v>
      </c>
      <c r="F3934" t="s">
        <v>39</v>
      </c>
      <c r="G3934">
        <v>-377.48649999999998</v>
      </c>
      <c r="H3934" s="1">
        <v>-1.5076249999999901E-6</v>
      </c>
      <c r="I3934">
        <v>141.2963</v>
      </c>
      <c r="J3934">
        <v>-348.87419999999997</v>
      </c>
      <c r="K3934">
        <v>1.1052599999999999</v>
      </c>
      <c r="L3934">
        <v>142.03020000000001</v>
      </c>
      <c r="M3934">
        <v>-0.99982000000000004</v>
      </c>
      <c r="N3934">
        <v>0</v>
      </c>
      <c r="O3934">
        <v>1.2025549999999999E-2</v>
      </c>
      <c r="P3934">
        <v>-0.99434349999999905</v>
      </c>
      <c r="Q3934">
        <v>8.3487169999999999E-2</v>
      </c>
      <c r="R3934">
        <v>-6.5660570000000001E-2</v>
      </c>
      <c r="S3934">
        <v>-3.0218509999999998</v>
      </c>
      <c r="T3934">
        <v>-0.115264899999999</v>
      </c>
      <c r="U3934">
        <v>-7.6080320000000007E-2</v>
      </c>
      <c r="V3934">
        <v>-7.7671920000000005E-2</v>
      </c>
      <c r="W3934">
        <v>9.801725E-2</v>
      </c>
      <c r="X3934">
        <v>0.99214910000000001</v>
      </c>
      <c r="Y3934">
        <v>-3.7154230000000003E-2</v>
      </c>
      <c r="Z3934">
        <v>-1.1667520000000001E-3</v>
      </c>
      <c r="AA3934">
        <v>0.99930889999999895</v>
      </c>
      <c r="AB3934">
        <v>46</v>
      </c>
      <c r="AC3934">
        <v>-28.612300000000001</v>
      </c>
      <c r="AD3934">
        <v>-1.1052615076250001</v>
      </c>
      <c r="AE3934">
        <v>-0.73390000000000499</v>
      </c>
      <c r="AF3934">
        <v>-1.0763575446209399</v>
      </c>
      <c r="AG3934">
        <v>-1.1052615076250001</v>
      </c>
      <c r="AH3934">
        <v>28.558816906362399</v>
      </c>
      <c r="AI3934">
        <v>92.214740533012801</v>
      </c>
      <c r="AJ3934">
        <v>92.158407650245294</v>
      </c>
      <c r="AK3934">
        <v>28.6004575427602</v>
      </c>
    </row>
    <row r="3935" spans="1:37" x14ac:dyDescent="0.2">
      <c r="A3935" t="str">
        <f>"20200111153513004"</f>
        <v>20200111153513004</v>
      </c>
      <c r="B3935" t="str">
        <f>"1578728112990444"</f>
        <v>1578728112990444</v>
      </c>
      <c r="C3935" t="s">
        <v>37</v>
      </c>
      <c r="D3935">
        <v>4.5697970000000003</v>
      </c>
      <c r="E3935">
        <v>0.57640669999999905</v>
      </c>
      <c r="F3935" t="s">
        <v>39</v>
      </c>
      <c r="G3935">
        <v>-387.89240000000001</v>
      </c>
      <c r="H3935" s="1">
        <v>-2.9418969999999999E-6</v>
      </c>
      <c r="I3935">
        <v>147.34110000000001</v>
      </c>
      <c r="J3935">
        <v>-349.20599999999899</v>
      </c>
      <c r="K3935">
        <v>1.1052500000000001</v>
      </c>
      <c r="L3935">
        <v>142.0341</v>
      </c>
      <c r="M3935">
        <v>-0.99982179999999998</v>
      </c>
      <c r="N3935">
        <v>0</v>
      </c>
      <c r="O3935">
        <v>1.1879260000000001E-2</v>
      </c>
      <c r="P3935">
        <v>-0.99446590000000001</v>
      </c>
      <c r="Q3935">
        <v>8.1996100000000002E-2</v>
      </c>
      <c r="R3935">
        <v>-6.5684419999999993E-2</v>
      </c>
      <c r="S3935">
        <v>-3.0517270000000001</v>
      </c>
      <c r="T3935">
        <v>-8.6446049999999997E-2</v>
      </c>
      <c r="U3935">
        <v>0.41538999999999998</v>
      </c>
      <c r="V3935">
        <v>-7.7550350000000004E-2</v>
      </c>
      <c r="W3935">
        <v>9.6526130000000002E-2</v>
      </c>
      <c r="X3935">
        <v>0.99230469999999904</v>
      </c>
      <c r="Y3935">
        <v>0.123047399999999</v>
      </c>
      <c r="Z3935">
        <v>1.3995800000000001E-3</v>
      </c>
      <c r="AA3935">
        <v>0.99239979999999905</v>
      </c>
      <c r="AB3935">
        <v>46</v>
      </c>
      <c r="AC3935">
        <v>-38.686399999999999</v>
      </c>
      <c r="AD3935">
        <v>-1.1052529418970001</v>
      </c>
      <c r="AE3935">
        <v>5.3070000000000102</v>
      </c>
      <c r="AF3935">
        <v>4.8431301404216596</v>
      </c>
      <c r="AG3935">
        <v>-1.1052529418970001</v>
      </c>
      <c r="AH3935">
        <v>38.715702875303499</v>
      </c>
      <c r="AI3935">
        <v>91.622591828959301</v>
      </c>
      <c r="AJ3935">
        <v>82.869639961456301</v>
      </c>
      <c r="AK3935">
        <v>39.033103165792703</v>
      </c>
    </row>
    <row r="3936" spans="1:37" x14ac:dyDescent="0.2">
      <c r="A3936" t="str">
        <f>"20200111153513022"</f>
        <v>20200111153513022</v>
      </c>
      <c r="B3936" t="str">
        <f>"1578728113009965"</f>
        <v>1578728113009965</v>
      </c>
      <c r="C3936" t="s">
        <v>37</v>
      </c>
      <c r="D3936">
        <v>4.5734209999999997</v>
      </c>
      <c r="E3936">
        <v>0.57520209999999905</v>
      </c>
      <c r="F3936" t="s">
        <v>39</v>
      </c>
      <c r="G3936">
        <v>-384.2115</v>
      </c>
      <c r="H3936" s="1">
        <v>-4.1293520000000002E-6</v>
      </c>
      <c r="I3936">
        <v>146.8689</v>
      </c>
      <c r="J3936">
        <v>-349.58069999999998</v>
      </c>
      <c r="K3936">
        <v>1.1052420000000001</v>
      </c>
      <c r="L3936">
        <v>142.0384</v>
      </c>
      <c r="M3936">
        <v>-0.99982380000000004</v>
      </c>
      <c r="N3936">
        <v>0</v>
      </c>
      <c r="O3936">
        <v>1.171492E-2</v>
      </c>
      <c r="P3936">
        <v>-0.99448899999999996</v>
      </c>
      <c r="Q3936">
        <v>8.1179189999999998E-2</v>
      </c>
      <c r="R3936">
        <v>-6.6345299999999996E-2</v>
      </c>
      <c r="S3936">
        <v>-3.0524900000000001</v>
      </c>
      <c r="T3936">
        <v>-9.6378800000000001E-2</v>
      </c>
      <c r="U3936">
        <v>0.42160029999999998</v>
      </c>
      <c r="V3936">
        <v>-7.8047699999999998E-2</v>
      </c>
      <c r="W3936">
        <v>9.5707390000000003E-2</v>
      </c>
      <c r="X3936">
        <v>0.99234500000000003</v>
      </c>
      <c r="Y3936">
        <v>0.12514719999999999</v>
      </c>
      <c r="Z3936">
        <v>1.5978660000000001E-3</v>
      </c>
      <c r="AA3936">
        <v>0.99213689999999999</v>
      </c>
      <c r="AB3936">
        <v>46</v>
      </c>
      <c r="AC3936">
        <v>-34.630800000000001</v>
      </c>
      <c r="AD3936">
        <v>-1.105246129352</v>
      </c>
      <c r="AE3936">
        <v>4.8304999999999998</v>
      </c>
      <c r="AF3936">
        <v>4.4200115624540102</v>
      </c>
      <c r="AG3936">
        <v>-1.105246129352</v>
      </c>
      <c r="AH3936">
        <v>34.650397621553999</v>
      </c>
      <c r="AI3936">
        <v>91.812273128380198</v>
      </c>
      <c r="AJ3936">
        <v>82.730597690500403</v>
      </c>
      <c r="AK3936">
        <v>34.948649853041097</v>
      </c>
    </row>
    <row r="3937" spans="1:37" x14ac:dyDescent="0.2">
      <c r="A3937" t="str">
        <f>"20200111153513038"</f>
        <v>20200111153513038</v>
      </c>
      <c r="B3937" t="str">
        <f>"1578728113029485"</f>
        <v>1578728113029485</v>
      </c>
      <c r="C3937" t="s">
        <v>37</v>
      </c>
      <c r="D3937">
        <v>4.5549839999999904</v>
      </c>
      <c r="E3937">
        <v>0.57407249999999999</v>
      </c>
      <c r="F3937" t="s">
        <v>39</v>
      </c>
      <c r="G3937">
        <v>-383.21940000000001</v>
      </c>
      <c r="H3937" s="1">
        <v>-4.4120579999999998E-6</v>
      </c>
      <c r="I3937">
        <v>146.55940000000001</v>
      </c>
      <c r="J3937">
        <v>-349.90539999999999</v>
      </c>
      <c r="K3937">
        <v>1.105226</v>
      </c>
      <c r="L3937">
        <v>142.0421</v>
      </c>
      <c r="M3937">
        <v>-0.99982539999999998</v>
      </c>
      <c r="N3937">
        <v>0</v>
      </c>
      <c r="O3937">
        <v>1.157334E-2</v>
      </c>
      <c r="P3937">
        <v>-0.99455680000000002</v>
      </c>
      <c r="Q3937">
        <v>7.9086719999999999E-2</v>
      </c>
      <c r="R3937">
        <v>-6.7839759999999999E-2</v>
      </c>
      <c r="S3937">
        <v>-3.0521849999999899</v>
      </c>
      <c r="T3937">
        <v>-0.1002841</v>
      </c>
      <c r="U3937">
        <v>0.41021729999999901</v>
      </c>
      <c r="V3937">
        <v>-7.9400719999999994E-2</v>
      </c>
      <c r="W3937">
        <v>9.3613509999999997E-2</v>
      </c>
      <c r="X3937">
        <v>0.99243740000000003</v>
      </c>
      <c r="Y3937">
        <v>0.1216648</v>
      </c>
      <c r="Z3937">
        <v>1.610846E-3</v>
      </c>
      <c r="AA3937">
        <v>0.9925699</v>
      </c>
      <c r="AB3937">
        <v>46</v>
      </c>
      <c r="AC3937">
        <v>-33.314</v>
      </c>
      <c r="AD3937">
        <v>-1.1052304120580001</v>
      </c>
      <c r="AE3937">
        <v>4.5172999999999996</v>
      </c>
      <c r="AF3937">
        <v>4.1269413130094899</v>
      </c>
      <c r="AG3937">
        <v>-1.1052304120580001</v>
      </c>
      <c r="AH3937">
        <v>33.328033802040302</v>
      </c>
      <c r="AI3937">
        <v>91.884971180601497</v>
      </c>
      <c r="AJ3937">
        <v>82.941114886455793</v>
      </c>
      <c r="AK3937">
        <v>33.600759157714002</v>
      </c>
    </row>
    <row r="3938" spans="1:37" x14ac:dyDescent="0.2">
      <c r="A3938" t="str">
        <f>"20200111153513060"</f>
        <v>20200111153513060</v>
      </c>
      <c r="B3938" t="str">
        <f>"1578728113049980"</f>
        <v>1578728113049980</v>
      </c>
      <c r="C3938" t="s">
        <v>37</v>
      </c>
      <c r="D3938">
        <v>4.6229360000000002</v>
      </c>
      <c r="E3938">
        <v>0.57332499999999997</v>
      </c>
      <c r="F3938" t="s">
        <v>39</v>
      </c>
      <c r="G3938">
        <v>-381.80110000000002</v>
      </c>
      <c r="H3938" s="1">
        <v>-4.8299009999999902E-6</v>
      </c>
      <c r="I3938">
        <v>146.19409999999999</v>
      </c>
      <c r="J3938">
        <v>-350.35210000000001</v>
      </c>
      <c r="K3938">
        <v>1.105208</v>
      </c>
      <c r="L3938">
        <v>142.0471</v>
      </c>
      <c r="M3938">
        <v>-0.99982769999999999</v>
      </c>
      <c r="N3938">
        <v>0</v>
      </c>
      <c r="O3938">
        <v>1.137933E-2</v>
      </c>
      <c r="P3938">
        <v>-0.99459470000000005</v>
      </c>
      <c r="Q3938">
        <v>7.7121319999999993E-2</v>
      </c>
      <c r="R3938">
        <v>-6.9527679999999994E-2</v>
      </c>
      <c r="S3938">
        <v>-3.051971</v>
      </c>
      <c r="T3938">
        <v>-0.1057551</v>
      </c>
      <c r="U3938">
        <v>0.39729309999999901</v>
      </c>
      <c r="V3938">
        <v>-8.0894339999999995E-2</v>
      </c>
      <c r="W3938">
        <v>9.1645519999999994E-2</v>
      </c>
      <c r="X3938">
        <v>0.99250049999999901</v>
      </c>
      <c r="Y3938">
        <v>0.1177303</v>
      </c>
      <c r="Z3938">
        <v>1.6380889999999999E-3</v>
      </c>
      <c r="AA3938">
        <v>0.99304429999999999</v>
      </c>
      <c r="AB3938">
        <v>46</v>
      </c>
      <c r="AC3938">
        <v>-31.449000000000002</v>
      </c>
      <c r="AD3938">
        <v>-1.105212829901</v>
      </c>
      <c r="AE3938">
        <v>4.1469999999999896</v>
      </c>
      <c r="AF3938">
        <v>3.7842306290093499</v>
      </c>
      <c r="AG3938">
        <v>-1.105212829901</v>
      </c>
      <c r="AH3938">
        <v>31.455973343165901</v>
      </c>
      <c r="AI3938">
        <v>91.997878975923896</v>
      </c>
      <c r="AJ3938">
        <v>83.140144143574204</v>
      </c>
      <c r="AK3938">
        <v>31.7020528644262</v>
      </c>
    </row>
    <row r="3939" spans="1:37" x14ac:dyDescent="0.2">
      <c r="A3939" t="str">
        <f>"20200111153513082"</f>
        <v>20200111153513082</v>
      </c>
      <c r="B3939" t="str">
        <f>"1578728113069501"</f>
        <v>1578728113069501</v>
      </c>
      <c r="C3939" t="s">
        <v>37</v>
      </c>
      <c r="D3939">
        <v>4.6109369999999998</v>
      </c>
      <c r="E3939">
        <v>0.5728299</v>
      </c>
      <c r="F3939" t="s">
        <v>39</v>
      </c>
      <c r="G3939">
        <v>-380.81979999999999</v>
      </c>
      <c r="H3939" s="1">
        <v>-5.1128410000000001E-6</v>
      </c>
      <c r="I3939">
        <v>145.90649999999999</v>
      </c>
      <c r="J3939">
        <v>-350.80340000000001</v>
      </c>
      <c r="K3939">
        <v>1.1051819999999899</v>
      </c>
      <c r="L3939">
        <v>142.05199999999999</v>
      </c>
      <c r="M3939">
        <v>-0.99982990000000005</v>
      </c>
      <c r="N3939">
        <v>0</v>
      </c>
      <c r="O3939">
        <v>1.1184070000000001E-2</v>
      </c>
      <c r="P3939">
        <v>-0.99468829999999997</v>
      </c>
      <c r="Q3939">
        <v>7.4842779999999998E-2</v>
      </c>
      <c r="R3939">
        <v>-7.066894E-2</v>
      </c>
      <c r="S3939">
        <v>-3.0518800000000001</v>
      </c>
      <c r="T3939">
        <v>-0.1107069</v>
      </c>
      <c r="U3939">
        <v>0.38659670000000002</v>
      </c>
      <c r="V3939">
        <v>-8.1840839999999998E-2</v>
      </c>
      <c r="W3939">
        <v>8.9365620000000007E-2</v>
      </c>
      <c r="X3939">
        <v>0.99263080000000004</v>
      </c>
      <c r="Y3939">
        <v>0.114499399999999</v>
      </c>
      <c r="Z3939">
        <v>1.663873E-3</v>
      </c>
      <c r="AA3939">
        <v>0.99342189999999997</v>
      </c>
      <c r="AB3939">
        <v>46</v>
      </c>
      <c r="AC3939">
        <v>-30.016399999999901</v>
      </c>
      <c r="AD3939">
        <v>-1.10518711284099</v>
      </c>
      <c r="AE3939">
        <v>3.8544999999999701</v>
      </c>
      <c r="AF3939">
        <v>3.5138309232035301</v>
      </c>
      <c r="AG3939">
        <v>-1.10518711284099</v>
      </c>
      <c r="AH3939">
        <v>30.017602047625601</v>
      </c>
      <c r="AI3939">
        <v>92.094274717797305</v>
      </c>
      <c r="AJ3939">
        <v>83.323397930415794</v>
      </c>
      <c r="AK3939">
        <v>30.242765730019901</v>
      </c>
    </row>
    <row r="3940" spans="1:37" x14ac:dyDescent="0.2">
      <c r="A3940" t="str">
        <f>"20200111153513097"</f>
        <v>20200111153513097</v>
      </c>
      <c r="B3940" t="str">
        <f>"1578728113089997"</f>
        <v>1578728113089997</v>
      </c>
      <c r="C3940" t="s">
        <v>37</v>
      </c>
      <c r="D3940">
        <v>4.6069199999999997</v>
      </c>
      <c r="E3940">
        <v>0.57242579999999998</v>
      </c>
      <c r="F3940" t="s">
        <v>39</v>
      </c>
      <c r="G3940">
        <v>-380.14260000000002</v>
      </c>
      <c r="H3940" s="1">
        <v>-5.3070329999999996E-6</v>
      </c>
      <c r="I3940">
        <v>145.7022</v>
      </c>
      <c r="J3940">
        <v>-351.13959999999997</v>
      </c>
      <c r="K3940">
        <v>1.105173</v>
      </c>
      <c r="L3940">
        <v>142.0557</v>
      </c>
      <c r="M3940">
        <v>-0.99983159999999904</v>
      </c>
      <c r="N3940">
        <v>0</v>
      </c>
      <c r="O3940">
        <v>1.103897E-2</v>
      </c>
      <c r="P3940">
        <v>-0.99475199999999997</v>
      </c>
      <c r="Q3940">
        <v>7.34181E-2</v>
      </c>
      <c r="R3940">
        <v>-7.126217E-2</v>
      </c>
      <c r="S3940">
        <v>-3.0516359999999998</v>
      </c>
      <c r="T3940">
        <v>-0.114953</v>
      </c>
      <c r="U3940">
        <v>0.37966919999999998</v>
      </c>
      <c r="V3940">
        <v>-8.2289580000000001E-2</v>
      </c>
      <c r="W3940">
        <v>8.7939790000000004E-2</v>
      </c>
      <c r="X3940">
        <v>0.99272099999999996</v>
      </c>
      <c r="Y3940">
        <v>0.1124291</v>
      </c>
      <c r="Z3940">
        <v>1.6946369999999999E-3</v>
      </c>
      <c r="AA3940">
        <v>0.99365829999999999</v>
      </c>
      <c r="AB3940">
        <v>46</v>
      </c>
      <c r="AC3940">
        <v>-29.003</v>
      </c>
      <c r="AD3940">
        <v>-1.1051783070329999</v>
      </c>
      <c r="AE3940">
        <v>3.6465000000000001</v>
      </c>
      <c r="AF3940">
        <v>3.3213324488485201</v>
      </c>
      <c r="AG3940">
        <v>-1.1051783070329999</v>
      </c>
      <c r="AH3940">
        <v>29.000036408975699</v>
      </c>
      <c r="AI3940">
        <v>92.1682995905594</v>
      </c>
      <c r="AJ3940">
        <v>83.466463905608805</v>
      </c>
      <c r="AK3940">
        <v>29.210525158716798</v>
      </c>
    </row>
    <row r="3941" spans="1:37" x14ac:dyDescent="0.2">
      <c r="A3941" t="str">
        <f>"20200111153513111"</f>
        <v>20200111153513111</v>
      </c>
      <c r="B3941" t="str">
        <f>"1578728113099756"</f>
        <v>1578728113099756</v>
      </c>
      <c r="C3941" t="s">
        <v>37</v>
      </c>
      <c r="D3941">
        <v>4.5882569999999996</v>
      </c>
      <c r="E3941">
        <v>0.5724013</v>
      </c>
      <c r="F3941" t="s">
        <v>39</v>
      </c>
      <c r="G3941">
        <v>-379.28989999999999</v>
      </c>
      <c r="H3941" s="1">
        <v>-1.855943E-6</v>
      </c>
      <c r="I3941">
        <v>145.5129</v>
      </c>
      <c r="J3941">
        <v>-351.3981</v>
      </c>
      <c r="K3941">
        <v>1.105162</v>
      </c>
      <c r="L3941">
        <v>142.05850000000001</v>
      </c>
      <c r="M3941">
        <v>-0.99983279999999997</v>
      </c>
      <c r="N3941">
        <v>0</v>
      </c>
      <c r="O3941">
        <v>1.0927839999999999E-2</v>
      </c>
      <c r="P3941">
        <v>-0.99478009999999994</v>
      </c>
      <c r="Q3941">
        <v>7.2780570000000003E-2</v>
      </c>
      <c r="R3941">
        <v>-7.1522530000000001E-2</v>
      </c>
      <c r="S3941">
        <v>-3.0514830000000002</v>
      </c>
      <c r="T3941">
        <v>-0.119801</v>
      </c>
      <c r="U3941">
        <v>0.37477109999999902</v>
      </c>
      <c r="V3941">
        <v>-8.2439090000000007E-2</v>
      </c>
      <c r="W3941">
        <v>8.7301859999999995E-2</v>
      </c>
      <c r="X3941">
        <v>0.99276489999999995</v>
      </c>
      <c r="Y3941">
        <v>0.1109695</v>
      </c>
      <c r="Z3941">
        <v>1.7421209999999999E-3</v>
      </c>
      <c r="AA3941">
        <v>0.99382230000000005</v>
      </c>
      <c r="AB3941">
        <v>46</v>
      </c>
      <c r="AC3941">
        <v>-27.8917999999999</v>
      </c>
      <c r="AD3941">
        <v>-1.1051638559429999</v>
      </c>
      <c r="AE3941">
        <v>3.4543999999999899</v>
      </c>
      <c r="AF3941">
        <v>3.1445015071134601</v>
      </c>
      <c r="AG3941">
        <v>-1.1051638559429999</v>
      </c>
      <c r="AH3941">
        <v>27.884769619817401</v>
      </c>
      <c r="AI3941">
        <v>92.255349751317993</v>
      </c>
      <c r="AJ3941">
        <v>83.566066987703906</v>
      </c>
      <c r="AK3941">
        <v>28.083262873587401</v>
      </c>
    </row>
    <row r="3942" spans="1:37" x14ac:dyDescent="0.2">
      <c r="A3942" t="str">
        <f>"20200111153513126"</f>
        <v>20200111153513126</v>
      </c>
      <c r="B3942" t="str">
        <f>"1578728113120253"</f>
        <v>1578728113120253</v>
      </c>
      <c r="C3942" t="s">
        <v>37</v>
      </c>
      <c r="D3942">
        <v>4.6033499999999998</v>
      </c>
      <c r="E3942">
        <v>0.57217169999999995</v>
      </c>
      <c r="F3942" t="s">
        <v>39</v>
      </c>
      <c r="G3942">
        <v>-379.17489999999998</v>
      </c>
      <c r="H3942" s="1">
        <v>-1.8914359999999999E-6</v>
      </c>
      <c r="I3942">
        <v>145.46090000000001</v>
      </c>
      <c r="J3942">
        <v>-351.69670000000002</v>
      </c>
      <c r="K3942">
        <v>1.1051500000000001</v>
      </c>
      <c r="L3942">
        <v>142.0616</v>
      </c>
      <c r="M3942">
        <v>-0.99983429999999995</v>
      </c>
      <c r="N3942">
        <v>0</v>
      </c>
      <c r="O3942">
        <v>1.079943E-2</v>
      </c>
      <c r="P3942">
        <v>-0.99480349999999995</v>
      </c>
      <c r="Q3942">
        <v>7.2129470000000001E-2</v>
      </c>
      <c r="R3942">
        <v>-7.185793E-2</v>
      </c>
      <c r="S3942">
        <v>-3.0514830000000002</v>
      </c>
      <c r="T3942">
        <v>-0.1214105</v>
      </c>
      <c r="U3942">
        <v>0.37379459999999998</v>
      </c>
      <c r="V3942">
        <v>-8.2646899999999995E-2</v>
      </c>
      <c r="W3942">
        <v>8.6649169999999998E-2</v>
      </c>
      <c r="X3942">
        <v>0.99280480000000004</v>
      </c>
      <c r="Y3942">
        <v>0.1107817</v>
      </c>
      <c r="Z3942">
        <v>1.7669109999999999E-3</v>
      </c>
      <c r="AA3942">
        <v>0.99384319999999904</v>
      </c>
      <c r="AB3942">
        <v>46</v>
      </c>
      <c r="AC3942">
        <v>-27.478199999999902</v>
      </c>
      <c r="AD3942">
        <v>-1.1051518914359999</v>
      </c>
      <c r="AE3942">
        <v>3.39930000000001</v>
      </c>
      <c r="AF3942">
        <v>3.0973861928481998</v>
      </c>
      <c r="AG3942">
        <v>-1.1051518914359999</v>
      </c>
      <c r="AH3942">
        <v>27.46954710856</v>
      </c>
      <c r="AI3942">
        <v>92.289382968831404</v>
      </c>
      <c r="AJ3942">
        <v>83.566667617923102</v>
      </c>
      <c r="AK3942">
        <v>27.665704044542</v>
      </c>
    </row>
    <row r="3943" spans="1:37" x14ac:dyDescent="0.2">
      <c r="A3943" t="str">
        <f>"20200111153513138"</f>
        <v>20200111153513138</v>
      </c>
      <c r="B3943" t="str">
        <f>"1578728113130013"</f>
        <v>1578728113130013</v>
      </c>
      <c r="C3943" t="s">
        <v>37</v>
      </c>
      <c r="D3943">
        <v>4.6604359999999998</v>
      </c>
      <c r="E3943">
        <v>0.5721598</v>
      </c>
      <c r="F3943" t="s">
        <v>39</v>
      </c>
      <c r="G3943">
        <v>-379.28980000000001</v>
      </c>
      <c r="H3943" s="1">
        <v>-1.829713E-6</v>
      </c>
      <c r="I3943">
        <v>145.41419999999999</v>
      </c>
      <c r="J3943">
        <v>-351.9683</v>
      </c>
      <c r="K3943">
        <v>1.1051389999999901</v>
      </c>
      <c r="L3943">
        <v>142.06450000000001</v>
      </c>
      <c r="M3943">
        <v>-0.99983549999999999</v>
      </c>
      <c r="N3943">
        <v>0</v>
      </c>
      <c r="O3943">
        <v>1.068293E-2</v>
      </c>
      <c r="P3943">
        <v>-0.99485879999999904</v>
      </c>
      <c r="Q3943">
        <v>7.1666779999999999E-2</v>
      </c>
      <c r="R3943">
        <v>-7.1552229999999994E-2</v>
      </c>
      <c r="S3943">
        <v>-3.0512700000000001</v>
      </c>
      <c r="T3943">
        <v>-0.1222087</v>
      </c>
      <c r="U3943">
        <v>0.37074279999999998</v>
      </c>
      <c r="V3943">
        <v>-8.2225580000000006E-2</v>
      </c>
      <c r="W3943">
        <v>8.6185979999999995E-2</v>
      </c>
      <c r="X3943">
        <v>0.99288009999999904</v>
      </c>
      <c r="Y3943">
        <v>0.109926</v>
      </c>
      <c r="Z3943">
        <v>1.7663259999999999E-3</v>
      </c>
      <c r="AA3943">
        <v>0.99393819999999999</v>
      </c>
      <c r="AB3943">
        <v>46</v>
      </c>
      <c r="AC3943">
        <v>-27.3215</v>
      </c>
      <c r="AD3943">
        <v>-1.1051408297130001</v>
      </c>
      <c r="AE3943">
        <v>3.3496999999999799</v>
      </c>
      <c r="AF3943">
        <v>3.0526830632596198</v>
      </c>
      <c r="AG3943">
        <v>-1.1051408297130001</v>
      </c>
      <c r="AH3943">
        <v>27.311704439893202</v>
      </c>
      <c r="AI3943">
        <v>92.302828012257805</v>
      </c>
      <c r="AJ3943">
        <v>83.6224081964465</v>
      </c>
      <c r="AK3943">
        <v>27.503988975243001</v>
      </c>
    </row>
    <row r="3944" spans="1:37" x14ac:dyDescent="0.2">
      <c r="A3944" t="str">
        <f>"20200111153513157"</f>
        <v>20200111153513157</v>
      </c>
      <c r="B3944" t="str">
        <f>"1578728113149533"</f>
        <v>1578728113149533</v>
      </c>
      <c r="C3944" t="s">
        <v>37</v>
      </c>
      <c r="D3944">
        <v>4.662083</v>
      </c>
      <c r="E3944">
        <v>0.57218249999999904</v>
      </c>
      <c r="F3944" t="s">
        <v>39</v>
      </c>
      <c r="G3944">
        <v>-379.09930000000003</v>
      </c>
      <c r="H3944" s="1">
        <v>-1.8975339999999999E-6</v>
      </c>
      <c r="I3944">
        <v>145.36199999999999</v>
      </c>
      <c r="J3944">
        <v>-352.34280000000001</v>
      </c>
      <c r="K3944">
        <v>1.1051389999999901</v>
      </c>
      <c r="L3944">
        <v>142.0684</v>
      </c>
      <c r="M3944">
        <v>-0.99983729999999904</v>
      </c>
      <c r="N3944">
        <v>0</v>
      </c>
      <c r="O3944">
        <v>1.052233E-2</v>
      </c>
      <c r="P3944">
        <v>-0.99486289999999999</v>
      </c>
      <c r="Q3944">
        <v>7.1970649999999997E-2</v>
      </c>
      <c r="R3944">
        <v>-7.1192850000000002E-2</v>
      </c>
      <c r="S3944">
        <v>-3.0510860000000002</v>
      </c>
      <c r="T3944">
        <v>-0.1242818</v>
      </c>
      <c r="U3944">
        <v>0.37083440000000001</v>
      </c>
      <c r="V3944">
        <v>-8.1706399999999998E-2</v>
      </c>
      <c r="W3944">
        <v>8.6488129999999996E-2</v>
      </c>
      <c r="X3944">
        <v>0.99289669999999897</v>
      </c>
      <c r="Y3944">
        <v>0.1101192</v>
      </c>
      <c r="Z3944">
        <v>1.8067999999999899E-3</v>
      </c>
      <c r="AA3944">
        <v>0.99391669999999999</v>
      </c>
      <c r="AB3944">
        <v>46</v>
      </c>
      <c r="AC3944">
        <v>-26.756499999999999</v>
      </c>
      <c r="AD3944">
        <v>-1.10514089753399</v>
      </c>
      <c r="AE3944">
        <v>3.2935999999999899</v>
      </c>
      <c r="AF3944">
        <v>3.0067936814433698</v>
      </c>
      <c r="AG3944">
        <v>-1.10514089753399</v>
      </c>
      <c r="AH3944">
        <v>26.744733235867699</v>
      </c>
      <c r="AI3944">
        <v>92.351422419029305</v>
      </c>
      <c r="AJ3944">
        <v>83.585420716922798</v>
      </c>
      <c r="AK3944">
        <v>26.935903558334498</v>
      </c>
    </row>
    <row r="3945" spans="1:37" x14ac:dyDescent="0.2">
      <c r="A3945" t="str">
        <f>"20200111153513171"</f>
        <v>20200111153513171</v>
      </c>
      <c r="B3945" t="str">
        <f>"1578728113160269"</f>
        <v>1578728113160269</v>
      </c>
      <c r="C3945" t="s">
        <v>37</v>
      </c>
      <c r="D3945">
        <v>4.6324420000000002</v>
      </c>
      <c r="E3945">
        <v>0.57206919999999895</v>
      </c>
      <c r="F3945" t="s">
        <v>39</v>
      </c>
      <c r="G3945">
        <v>-380.07619999999997</v>
      </c>
      <c r="H3945" s="1">
        <v>-5.2842810000000001E-6</v>
      </c>
      <c r="I3945">
        <v>145.44649999999999</v>
      </c>
      <c r="J3945">
        <v>-352.63900000000001</v>
      </c>
      <c r="K3945">
        <v>1.1051389999999901</v>
      </c>
      <c r="L3945">
        <v>142.07140000000001</v>
      </c>
      <c r="M3945">
        <v>-0.99983869999999897</v>
      </c>
      <c r="N3945">
        <v>0</v>
      </c>
      <c r="O3945">
        <v>1.039558E-2</v>
      </c>
      <c r="P3945">
        <v>-0.99490840000000003</v>
      </c>
      <c r="Q3945">
        <v>7.2503339999999999E-2</v>
      </c>
      <c r="R3945">
        <v>-7.0009080000000001E-2</v>
      </c>
      <c r="S3945">
        <v>-3.0508730000000002</v>
      </c>
      <c r="T3945">
        <v>-0.121574</v>
      </c>
      <c r="U3945">
        <v>0.37162779999999901</v>
      </c>
      <c r="V3945">
        <v>-8.0397300000000005E-2</v>
      </c>
      <c r="W3945">
        <v>8.7020669999999994E-2</v>
      </c>
      <c r="X3945">
        <v>0.99295710000000004</v>
      </c>
      <c r="Y3945">
        <v>0.1105114</v>
      </c>
      <c r="Z3945">
        <v>1.7803729999999901E-3</v>
      </c>
      <c r="AA3945">
        <v>0.99387320000000001</v>
      </c>
      <c r="AB3945">
        <v>46</v>
      </c>
      <c r="AC3945">
        <v>-27.437199999999901</v>
      </c>
      <c r="AD3945">
        <v>-1.105144284281</v>
      </c>
      <c r="AE3945">
        <v>3.37509999999997</v>
      </c>
      <c r="AF3945">
        <v>3.0847313100179101</v>
      </c>
      <c r="AG3945">
        <v>-1.105144284281</v>
      </c>
      <c r="AH3945">
        <v>27.426972714517198</v>
      </c>
      <c r="AI3945">
        <v>92.292990122792503</v>
      </c>
      <c r="AJ3945">
        <v>83.582870049450705</v>
      </c>
      <c r="AK3945">
        <v>27.622015556924001</v>
      </c>
    </row>
    <row r="3946" spans="1:37" x14ac:dyDescent="0.2">
      <c r="A3946" t="str">
        <f>"20200111153513189"</f>
        <v>20200111153513189</v>
      </c>
      <c r="B3946" t="str">
        <f>"1578728113179789"</f>
        <v>1578728113179789</v>
      </c>
      <c r="C3946" t="s">
        <v>37</v>
      </c>
      <c r="D3946">
        <v>4.6027329999999997</v>
      </c>
      <c r="E3946">
        <v>0.57204299999999997</v>
      </c>
      <c r="F3946" t="s">
        <v>39</v>
      </c>
      <c r="G3946">
        <v>-380.6164</v>
      </c>
      <c r="H3946" s="1">
        <v>-5.109624E-6</v>
      </c>
      <c r="I3946">
        <v>145.4982</v>
      </c>
      <c r="J3946">
        <v>-352.9932</v>
      </c>
      <c r="K3946">
        <v>1.1051389999999901</v>
      </c>
      <c r="L3946">
        <v>142.07499999999999</v>
      </c>
      <c r="M3946">
        <v>-0.99984019999999996</v>
      </c>
      <c r="N3946">
        <v>0</v>
      </c>
      <c r="O3946">
        <v>1.02437999999999E-2</v>
      </c>
      <c r="P3946">
        <v>-0.99495829999999996</v>
      </c>
      <c r="Q3946">
        <v>7.273607E-2</v>
      </c>
      <c r="R3946">
        <v>-6.9050689999999998E-2</v>
      </c>
      <c r="S3946">
        <v>-3.0503849999999999</v>
      </c>
      <c r="T3946">
        <v>-0.12049459999999999</v>
      </c>
      <c r="U3946">
        <v>0.37362669999999998</v>
      </c>
      <c r="V3946">
        <v>-7.9288629999999999E-2</v>
      </c>
      <c r="W3946">
        <v>8.7252930000000006E-2</v>
      </c>
      <c r="X3946">
        <v>0.99302579999999996</v>
      </c>
      <c r="Y3946">
        <v>0.11132359999999999</v>
      </c>
      <c r="Z3946">
        <v>1.7867339999999999E-3</v>
      </c>
      <c r="AA3946">
        <v>0.99378259999999996</v>
      </c>
      <c r="AB3946">
        <v>46</v>
      </c>
      <c r="AC3946">
        <v>-27.623200000000001</v>
      </c>
      <c r="AD3946">
        <v>-1.10514410962399</v>
      </c>
      <c r="AE3946">
        <v>3.4232</v>
      </c>
      <c r="AF3946">
        <v>3.1350812470259601</v>
      </c>
      <c r="AG3946">
        <v>-1.10514410962399</v>
      </c>
      <c r="AH3946">
        <v>27.6132906218971</v>
      </c>
      <c r="AI3946">
        <v>92.277264174836304</v>
      </c>
      <c r="AJ3946">
        <v>83.5226471426176</v>
      </c>
      <c r="AK3946">
        <v>27.812657134798201</v>
      </c>
    </row>
    <row r="3947" spans="1:37" x14ac:dyDescent="0.2">
      <c r="A3947" t="str">
        <f>"20200111153513206"</f>
        <v>20200111153513206</v>
      </c>
      <c r="B3947" t="str">
        <f>"1578728113200284"</f>
        <v>1578728113200284</v>
      </c>
      <c r="C3947" t="s">
        <v>37</v>
      </c>
      <c r="D3947">
        <v>4.6477430000000002</v>
      </c>
      <c r="E3947">
        <v>0.57196269999999905</v>
      </c>
      <c r="F3947" t="s">
        <v>39</v>
      </c>
      <c r="G3947">
        <v>-381.52170000000001</v>
      </c>
      <c r="H3947" s="1">
        <v>-4.8183190000000004E-6</v>
      </c>
      <c r="I3947">
        <v>145.59270000000001</v>
      </c>
      <c r="J3947">
        <v>-353.32990000000001</v>
      </c>
      <c r="K3947">
        <v>1.1051500000000001</v>
      </c>
      <c r="L3947">
        <v>142.07839999999999</v>
      </c>
      <c r="M3947">
        <v>-0.99984169999999895</v>
      </c>
      <c r="N3947">
        <v>0</v>
      </c>
      <c r="O3947">
        <v>1.0099479999999999E-2</v>
      </c>
      <c r="P3947">
        <v>-0.99505659999999896</v>
      </c>
      <c r="Q3947">
        <v>7.2901439999999998E-2</v>
      </c>
      <c r="R3947">
        <v>-6.7437880000000006E-2</v>
      </c>
      <c r="S3947">
        <v>-3.0499269999999998</v>
      </c>
      <c r="T3947">
        <v>-0.1181489</v>
      </c>
      <c r="U3947">
        <v>0.37608340000000001</v>
      </c>
      <c r="V3947">
        <v>-7.7533500000000005E-2</v>
      </c>
      <c r="W3947">
        <v>8.7419189999999994E-2</v>
      </c>
      <c r="X3947">
        <v>0.99314979999999997</v>
      </c>
      <c r="Y3947">
        <v>0.1122758</v>
      </c>
      <c r="Z3947">
        <v>1.776084E-3</v>
      </c>
      <c r="AA3947">
        <v>0.99367549999999905</v>
      </c>
      <c r="AB3947">
        <v>46</v>
      </c>
      <c r="AC3947">
        <v>-28.191800000000001</v>
      </c>
      <c r="AD3947">
        <v>-1.1051548183190001</v>
      </c>
      <c r="AE3947">
        <v>3.51430000000002</v>
      </c>
      <c r="AF3947">
        <v>3.2244882755952902</v>
      </c>
      <c r="AG3947">
        <v>-1.1051548183190001</v>
      </c>
      <c r="AH3947">
        <v>28.183210714796498</v>
      </c>
      <c r="AI3947">
        <v>92.231062231223703</v>
      </c>
      <c r="AJ3947">
        <v>83.473074518850694</v>
      </c>
      <c r="AK3947">
        <v>28.388590278605299</v>
      </c>
    </row>
    <row r="3948" spans="1:37" x14ac:dyDescent="0.2">
      <c r="A3948" t="str">
        <f>"20200111153513227"</f>
        <v>20200111153513227</v>
      </c>
      <c r="B3948" t="str">
        <f>"1578728113219804"</f>
        <v>1578728113219804</v>
      </c>
      <c r="C3948" t="s">
        <v>37</v>
      </c>
      <c r="D3948">
        <v>4.6356209999999898</v>
      </c>
      <c r="E3948">
        <v>0.57195319999999905</v>
      </c>
      <c r="F3948" t="s">
        <v>39</v>
      </c>
      <c r="G3948">
        <v>-382.27530000000002</v>
      </c>
      <c r="H3948" s="1">
        <v>-4.5784570000000002E-6</v>
      </c>
      <c r="I3948">
        <v>145.68629999999999</v>
      </c>
      <c r="J3948">
        <v>-353.78050000000002</v>
      </c>
      <c r="K3948">
        <v>1.1051690000000001</v>
      </c>
      <c r="L3948">
        <v>142.08279999999999</v>
      </c>
      <c r="M3948">
        <v>-0.9998437</v>
      </c>
      <c r="N3948">
        <v>0</v>
      </c>
      <c r="O3948">
        <v>9.9059270000000001E-3</v>
      </c>
      <c r="P3948">
        <v>-0.99499950000000004</v>
      </c>
      <c r="Q3948">
        <v>7.434048E-2</v>
      </c>
      <c r="R3948">
        <v>-6.6706730000000006E-2</v>
      </c>
      <c r="S3948">
        <v>-3.049194</v>
      </c>
      <c r="T3948">
        <v>-0.1164203</v>
      </c>
      <c r="U3948">
        <v>0.38008120000000001</v>
      </c>
      <c r="V3948">
        <v>-7.6610159999999997E-2</v>
      </c>
      <c r="W3948">
        <v>8.8855039999999996E-2</v>
      </c>
      <c r="X3948">
        <v>0.99309400000000003</v>
      </c>
      <c r="Y3948">
        <v>0.11378099999999999</v>
      </c>
      <c r="Z3948">
        <v>1.7863670000000001E-3</v>
      </c>
      <c r="AA3948">
        <v>0.99350419999999995</v>
      </c>
      <c r="AB3948">
        <v>46</v>
      </c>
      <c r="AC3948">
        <v>-28.494800000000001</v>
      </c>
      <c r="AD3948">
        <v>-1.105173578457</v>
      </c>
      <c r="AE3948">
        <v>3.6034999999999902</v>
      </c>
      <c r="AF3948">
        <v>3.31611561965711</v>
      </c>
      <c r="AG3948">
        <v>-1.105173578457</v>
      </c>
      <c r="AH3948">
        <v>28.4869235578551</v>
      </c>
      <c r="AI3948">
        <v>92.206835476526507</v>
      </c>
      <c r="AJ3948">
        <v>83.360177391388305</v>
      </c>
      <c r="AK3948">
        <v>28.7005722108904</v>
      </c>
    </row>
    <row r="3949" spans="1:37" x14ac:dyDescent="0.2">
      <c r="A3949" t="str">
        <f>"20200111153513245"</f>
        <v>20200111153513245</v>
      </c>
      <c r="B3949" t="str">
        <f>"1578728113239639"</f>
        <v>1578728113239639</v>
      </c>
      <c r="C3949" t="s">
        <v>37</v>
      </c>
      <c r="D3949">
        <v>4.6506419999999897</v>
      </c>
      <c r="E3949">
        <v>0.5719805</v>
      </c>
      <c r="F3949" t="s">
        <v>39</v>
      </c>
      <c r="G3949">
        <v>-384.46269999999998</v>
      </c>
      <c r="H3949" s="1">
        <v>-3.8777329999999996E-6</v>
      </c>
      <c r="I3949">
        <v>145.9323</v>
      </c>
      <c r="J3949">
        <v>-354.13729999999998</v>
      </c>
      <c r="K3949">
        <v>1.1051799999999901</v>
      </c>
      <c r="L3949">
        <v>142.08619999999999</v>
      </c>
      <c r="M3949">
        <v>-0.99984509999999904</v>
      </c>
      <c r="N3949">
        <v>0</v>
      </c>
      <c r="O3949">
        <v>9.7526599999999998E-3</v>
      </c>
      <c r="P3949">
        <v>-0.99492539999999996</v>
      </c>
      <c r="Q3949">
        <v>7.5617450000000003E-2</v>
      </c>
      <c r="R3949">
        <v>-6.6375970000000006E-2</v>
      </c>
      <c r="S3949">
        <v>-3.048889</v>
      </c>
      <c r="T3949">
        <v>-0.1098214</v>
      </c>
      <c r="U3949">
        <v>0.38253779999999998</v>
      </c>
      <c r="V3949">
        <v>-7.6126449999999998E-2</v>
      </c>
      <c r="W3949">
        <v>9.0129290000000001E-2</v>
      </c>
      <c r="X3949">
        <v>0.99301640000000002</v>
      </c>
      <c r="Y3949">
        <v>0.1147411</v>
      </c>
      <c r="Z3949">
        <v>1.7079789999999899E-3</v>
      </c>
      <c r="AA3949">
        <v>0.993394</v>
      </c>
      <c r="AB3949">
        <v>46</v>
      </c>
      <c r="AC3949">
        <v>-30.325399999999998</v>
      </c>
      <c r="AD3949">
        <v>-1.1051838777330001</v>
      </c>
      <c r="AE3949">
        <v>3.8460999999999999</v>
      </c>
      <c r="AF3949">
        <v>3.5454974809602402</v>
      </c>
      <c r="AG3949">
        <v>-1.1051838777330001</v>
      </c>
      <c r="AH3949">
        <v>30.321835970597899</v>
      </c>
      <c r="AI3949">
        <v>92.073305313670403</v>
      </c>
      <c r="AJ3949">
        <v>83.330754991132096</v>
      </c>
      <c r="AK3949">
        <v>30.548416005071999</v>
      </c>
    </row>
    <row r="3950" spans="1:37" x14ac:dyDescent="0.2">
      <c r="A3950" t="str">
        <f>"20200111153513261"</f>
        <v>20200111153513261</v>
      </c>
      <c r="B3950" t="str">
        <f>"1578728113250374"</f>
        <v>1578728113250374</v>
      </c>
      <c r="C3950" t="s">
        <v>37</v>
      </c>
      <c r="D3950">
        <v>4.6662569999999999</v>
      </c>
      <c r="E3950">
        <v>0.57197559999999903</v>
      </c>
      <c r="F3950" t="s">
        <v>39</v>
      </c>
      <c r="G3950">
        <v>-386.47379999999998</v>
      </c>
      <c r="H3950" s="1">
        <v>-3.233045E-6</v>
      </c>
      <c r="I3950">
        <v>146.15610000000001</v>
      </c>
      <c r="J3950">
        <v>-354.44630000000001</v>
      </c>
      <c r="K3950">
        <v>1.105194</v>
      </c>
      <c r="L3950">
        <v>142.0891</v>
      </c>
      <c r="M3950">
        <v>-0.99984649999999997</v>
      </c>
      <c r="N3950">
        <v>0</v>
      </c>
      <c r="O3950">
        <v>9.6196530000000006E-3</v>
      </c>
      <c r="P3950">
        <v>-0.99472299999999902</v>
      </c>
      <c r="Q3950">
        <v>7.8492430000000002E-2</v>
      </c>
      <c r="R3950">
        <v>-6.6067749999999995E-2</v>
      </c>
      <c r="S3950">
        <v>-3.0488590000000002</v>
      </c>
      <c r="T3950">
        <v>-0.1042027</v>
      </c>
      <c r="U3950">
        <v>0.38374330000000001</v>
      </c>
      <c r="V3950">
        <v>-7.5685890000000006E-2</v>
      </c>
      <c r="W3950">
        <v>9.300013E-2</v>
      </c>
      <c r="X3950">
        <v>0.99278529999999998</v>
      </c>
      <c r="Y3950">
        <v>0.11526749999999999</v>
      </c>
      <c r="Z3950">
        <v>1.634106E-3</v>
      </c>
      <c r="AA3950">
        <v>0.99333320000000003</v>
      </c>
      <c r="AB3950">
        <v>46</v>
      </c>
      <c r="AC3950">
        <v>-32.027499999999897</v>
      </c>
      <c r="AD3950">
        <v>-1.1051972330449999</v>
      </c>
      <c r="AE3950">
        <v>4.0670000000000002</v>
      </c>
      <c r="AF3950">
        <v>3.7542856999415202</v>
      </c>
      <c r="AG3950">
        <v>-1.1051972330449999</v>
      </c>
      <c r="AH3950">
        <v>32.027612303036904</v>
      </c>
      <c r="AI3950">
        <v>91.9629284980482</v>
      </c>
      <c r="AJ3950">
        <v>83.314283154619702</v>
      </c>
      <c r="AK3950">
        <v>32.2658344363563</v>
      </c>
    </row>
    <row r="3951" spans="1:37" x14ac:dyDescent="0.2">
      <c r="A3951" t="str">
        <f>"20200111153513276"</f>
        <v>20200111153513276</v>
      </c>
      <c r="B3951" t="str">
        <f>"1578728113269894"</f>
        <v>1578728113269894</v>
      </c>
      <c r="C3951" t="s">
        <v>37</v>
      </c>
      <c r="D3951">
        <v>4.6204019999999897</v>
      </c>
      <c r="E3951">
        <v>0.57199199999999994</v>
      </c>
      <c r="F3951" t="s">
        <v>39</v>
      </c>
      <c r="G3951">
        <v>-389.9384</v>
      </c>
      <c r="H3951" s="1">
        <v>-1.857836E-6</v>
      </c>
      <c r="I3951">
        <v>146.56569999999999</v>
      </c>
      <c r="J3951">
        <v>-354.79020000000003</v>
      </c>
      <c r="K3951">
        <v>1.1051979999999999</v>
      </c>
      <c r="L3951">
        <v>142.09229999999999</v>
      </c>
      <c r="M3951">
        <v>-0.99984799999999996</v>
      </c>
      <c r="N3951">
        <v>0</v>
      </c>
      <c r="O3951">
        <v>9.4716869999999995E-3</v>
      </c>
      <c r="P3951">
        <v>-0.99469719999999995</v>
      </c>
      <c r="Q3951">
        <v>7.9061670000000001E-2</v>
      </c>
      <c r="R3951">
        <v>-6.5780069999999996E-2</v>
      </c>
      <c r="S3951">
        <v>-3.04895</v>
      </c>
      <c r="T3951">
        <v>-9.4941849999999994E-2</v>
      </c>
      <c r="U3951">
        <v>0.3845673</v>
      </c>
      <c r="V3951">
        <v>-7.5251090000000007E-2</v>
      </c>
      <c r="W3951">
        <v>9.3566990000000003E-2</v>
      </c>
      <c r="X3951">
        <v>0.99276509999999996</v>
      </c>
      <c r="Y3951">
        <v>0.115685</v>
      </c>
      <c r="Z3951">
        <v>1.4999410000000001E-3</v>
      </c>
      <c r="AA3951">
        <v>0.99328479999999997</v>
      </c>
      <c r="AB3951">
        <v>46</v>
      </c>
      <c r="AC3951">
        <v>-35.148199999999903</v>
      </c>
      <c r="AD3951">
        <v>-1.1051998578359901</v>
      </c>
      <c r="AE3951">
        <v>4.4733999999999901</v>
      </c>
      <c r="AF3951">
        <v>4.1362264698113798</v>
      </c>
      <c r="AG3951">
        <v>-1.1051998578359901</v>
      </c>
      <c r="AH3951">
        <v>35.154793821762198</v>
      </c>
      <c r="AI3951">
        <v>91.788349571619605</v>
      </c>
      <c r="AJ3951">
        <v>83.289571009537497</v>
      </c>
      <c r="AK3951">
        <v>35.414536066224798</v>
      </c>
    </row>
    <row r="3952" spans="1:37" x14ac:dyDescent="0.2">
      <c r="A3952" t="str">
        <f>"20200111153513295"</f>
        <v>20200111153513295</v>
      </c>
      <c r="B3952" t="str">
        <f>"1578728113290390"</f>
        <v>1578728113290390</v>
      </c>
      <c r="C3952" t="s">
        <v>37</v>
      </c>
      <c r="D3952">
        <v>4.6138199999999996</v>
      </c>
      <c r="E3952">
        <v>0.57202519999999901</v>
      </c>
      <c r="F3952" t="s">
        <v>39</v>
      </c>
      <c r="G3952">
        <v>-391.27730000000003</v>
      </c>
      <c r="H3952" s="1">
        <v>-5.0986779999999998E-6</v>
      </c>
      <c r="I3952">
        <v>146.70429999999999</v>
      </c>
      <c r="J3952">
        <v>-355.1447</v>
      </c>
      <c r="K3952">
        <v>1.105197</v>
      </c>
      <c r="L3952">
        <v>142.09559999999999</v>
      </c>
      <c r="M3952">
        <v>-0.99984949999999995</v>
      </c>
      <c r="N3952">
        <v>0</v>
      </c>
      <c r="O3952">
        <v>9.3190159999999994E-3</v>
      </c>
      <c r="P3952">
        <v>-0.99472430000000001</v>
      </c>
      <c r="Q3952">
        <v>7.9151940000000004E-2</v>
      </c>
      <c r="R3952">
        <v>-6.5257919999999997E-2</v>
      </c>
      <c r="S3952">
        <v>-3.0488279999999999</v>
      </c>
      <c r="T3952">
        <v>-9.2349769999999998E-2</v>
      </c>
      <c r="U3952">
        <v>0.385376</v>
      </c>
      <c r="V3952">
        <v>-7.4577279999999996E-2</v>
      </c>
      <c r="W3952">
        <v>9.3655769999999999E-2</v>
      </c>
      <c r="X3952">
        <v>0.99280759999999901</v>
      </c>
      <c r="Y3952">
        <v>0.116103399999999</v>
      </c>
      <c r="Z3952">
        <v>1.469957E-3</v>
      </c>
      <c r="AA3952">
        <v>0.99323609999999896</v>
      </c>
      <c r="AB3952">
        <v>46</v>
      </c>
      <c r="AC3952">
        <v>-36.132599999999996</v>
      </c>
      <c r="AD3952">
        <v>-1.105202098678</v>
      </c>
      <c r="AE3952">
        <v>4.60869999999999</v>
      </c>
      <c r="AF3952">
        <v>4.2678145002952403</v>
      </c>
      <c r="AG3952">
        <v>-1.105202098678</v>
      </c>
      <c r="AH3952">
        <v>36.140712276451197</v>
      </c>
      <c r="AI3952">
        <v>91.739510154968798</v>
      </c>
      <c r="AJ3952">
        <v>83.265198287972197</v>
      </c>
      <c r="AK3952">
        <v>36.408608819029098</v>
      </c>
    </row>
    <row r="3953" spans="1:37" x14ac:dyDescent="0.2">
      <c r="A3953" t="str">
        <f>"20200111153513311"</f>
        <v>20200111153513311</v>
      </c>
      <c r="B3953" t="str">
        <f>"1578728113300150"</f>
        <v>1578728113300150</v>
      </c>
      <c r="C3953" t="s">
        <v>37</v>
      </c>
      <c r="D3953">
        <v>4.8221889999999998</v>
      </c>
      <c r="E3953">
        <v>0.57202519999999901</v>
      </c>
      <c r="F3953" t="s">
        <v>39</v>
      </c>
      <c r="G3953">
        <v>-391.44499999999999</v>
      </c>
      <c r="H3953" s="1">
        <v>-5.041019E-6</v>
      </c>
      <c r="I3953">
        <v>146.70099999999999</v>
      </c>
      <c r="J3953">
        <v>-355.49220000000003</v>
      </c>
      <c r="K3953">
        <v>1.1051930000000001</v>
      </c>
      <c r="L3953">
        <v>142.09870000000001</v>
      </c>
      <c r="M3953">
        <v>-0.99985089999999999</v>
      </c>
      <c r="N3953">
        <v>0</v>
      </c>
      <c r="O3953">
        <v>9.1697359999999995E-3</v>
      </c>
      <c r="P3953">
        <v>-0.99476089999999995</v>
      </c>
      <c r="Q3953">
        <v>7.8820009999999996E-2</v>
      </c>
      <c r="R3953">
        <v>-6.5101649999999997E-2</v>
      </c>
      <c r="S3953">
        <v>-3.0486759999999999</v>
      </c>
      <c r="T3953">
        <v>-9.2820169999999994E-2</v>
      </c>
      <c r="U3953">
        <v>0.386795</v>
      </c>
      <c r="V3953">
        <v>-7.4272840000000007E-2</v>
      </c>
      <c r="W3953">
        <v>9.3322959999999996E-2</v>
      </c>
      <c r="X3953">
        <v>0.99286169999999996</v>
      </c>
      <c r="Y3953">
        <v>0.1167121</v>
      </c>
      <c r="Z3953">
        <v>1.4912229999999901E-3</v>
      </c>
      <c r="AA3953">
        <v>0.99316469999999901</v>
      </c>
      <c r="AB3953">
        <v>45</v>
      </c>
      <c r="AC3953">
        <v>-35.952799999999897</v>
      </c>
      <c r="AD3953">
        <v>-1.1051980410190001</v>
      </c>
      <c r="AE3953">
        <v>4.6022999999999801</v>
      </c>
      <c r="AF3953">
        <v>4.2684250090800404</v>
      </c>
      <c r="AG3953">
        <v>-1.1051980410190001</v>
      </c>
      <c r="AH3953">
        <v>35.960061433735099</v>
      </c>
      <c r="AI3953">
        <v>91.748112550132404</v>
      </c>
      <c r="AJ3953">
        <v>83.230718868073495</v>
      </c>
      <c r="AK3953">
        <v>36.229365618045499</v>
      </c>
    </row>
    <row r="3954" spans="1:37" x14ac:dyDescent="0.2">
      <c r="A3954" t="str">
        <f>"20200111153513325"</f>
        <v>20200111153513325</v>
      </c>
      <c r="B3954" t="str">
        <f>"1578728113319670"</f>
        <v>1578728113319670</v>
      </c>
      <c r="C3954" t="s">
        <v>37</v>
      </c>
      <c r="D3954">
        <v>4.66303</v>
      </c>
      <c r="E3954">
        <v>0.57016250000000002</v>
      </c>
      <c r="F3954" t="s">
        <v>39</v>
      </c>
      <c r="G3954">
        <v>-391.30450000000002</v>
      </c>
      <c r="H3954" s="1">
        <v>-5.0792599999999902E-6</v>
      </c>
      <c r="I3954">
        <v>146.64699999999999</v>
      </c>
      <c r="J3954">
        <v>-355.77620000000002</v>
      </c>
      <c r="K3954">
        <v>1.1051839999999999</v>
      </c>
      <c r="L3954">
        <v>142.10120000000001</v>
      </c>
      <c r="M3954">
        <v>-0.99985190000000002</v>
      </c>
      <c r="N3954">
        <v>0</v>
      </c>
      <c r="O3954">
        <v>9.0477490000000008E-3</v>
      </c>
      <c r="P3954">
        <v>-0.99479019999999996</v>
      </c>
      <c r="Q3954">
        <v>7.8277529999999998E-2</v>
      </c>
      <c r="R3954">
        <v>-6.5305810000000006E-2</v>
      </c>
      <c r="S3954">
        <v>-3.048584</v>
      </c>
      <c r="T3954">
        <v>-9.4082120000000005E-2</v>
      </c>
      <c r="U3954">
        <v>0.38719179999999997</v>
      </c>
      <c r="V3954">
        <v>-7.435522E-2</v>
      </c>
      <c r="W3954">
        <v>9.2778869999999999E-2</v>
      </c>
      <c r="X3954">
        <v>0.99290650000000003</v>
      </c>
      <c r="Y3954">
        <v>0.1169626</v>
      </c>
      <c r="Z3954">
        <v>1.5191179999999901E-3</v>
      </c>
      <c r="AA3954">
        <v>0.993135199999999</v>
      </c>
      <c r="AB3954">
        <v>45</v>
      </c>
      <c r="AC3954">
        <v>-35.528300000000002</v>
      </c>
      <c r="AD3954">
        <v>-1.1051890792600001</v>
      </c>
      <c r="AE3954">
        <v>4.5458000000000096</v>
      </c>
      <c r="AF3954">
        <v>4.2201104298934897</v>
      </c>
      <c r="AG3954">
        <v>-1.1051890792600001</v>
      </c>
      <c r="AH3954">
        <v>35.534147871977403</v>
      </c>
      <c r="AI3954">
        <v>91.769024864977894</v>
      </c>
      <c r="AJ3954">
        <v>83.227155749317404</v>
      </c>
      <c r="AK3954">
        <v>35.800927919943199</v>
      </c>
    </row>
    <row r="3955" spans="1:37" x14ac:dyDescent="0.2">
      <c r="A3955" t="str">
        <f>"20200111153513338"</f>
        <v>20200111153513338</v>
      </c>
      <c r="B3955" t="str">
        <f>"1578728113330406"</f>
        <v>1578728113330406</v>
      </c>
      <c r="C3955" t="s">
        <v>37</v>
      </c>
      <c r="D3955">
        <v>4.676577</v>
      </c>
      <c r="E3955">
        <v>0.47315770000000001</v>
      </c>
      <c r="F3955" t="s">
        <v>39</v>
      </c>
      <c r="G3955">
        <v>-391.63920000000002</v>
      </c>
      <c r="H3955" s="1">
        <v>-4.9346449999999999E-6</v>
      </c>
      <c r="I3955">
        <v>146.47380000000001</v>
      </c>
      <c r="J3955">
        <v>-356.03859999999997</v>
      </c>
      <c r="K3955">
        <v>1.105164</v>
      </c>
      <c r="L3955">
        <v>142.1035</v>
      </c>
      <c r="M3955">
        <v>-0.99985309999999905</v>
      </c>
      <c r="N3955">
        <v>0</v>
      </c>
      <c r="O3955">
        <v>8.9349970000000001E-3</v>
      </c>
      <c r="P3955">
        <v>-0.99486839999999999</v>
      </c>
      <c r="Q3955">
        <v>7.6715809999999995E-2</v>
      </c>
      <c r="R3955">
        <v>-6.5968869999999999E-2</v>
      </c>
      <c r="S3955">
        <v>-3.0474549999999998</v>
      </c>
      <c r="T3955">
        <v>-9.3913670000000005E-2</v>
      </c>
      <c r="U3955">
        <v>0.37156679999999997</v>
      </c>
      <c r="V3955">
        <v>-7.4906299999999995E-2</v>
      </c>
      <c r="W3955">
        <v>9.1216740000000004E-2</v>
      </c>
      <c r="X3955">
        <v>0.9930099</v>
      </c>
      <c r="Y3955">
        <v>0.11210729999999999</v>
      </c>
      <c r="Z3955">
        <v>1.4463729999999999E-3</v>
      </c>
      <c r="AA3955">
        <v>0.99369509999999905</v>
      </c>
      <c r="AB3955">
        <v>45</v>
      </c>
      <c r="AC3955">
        <v>-35.6006</v>
      </c>
      <c r="AD3955">
        <v>-1.105168934645</v>
      </c>
      <c r="AE3955">
        <v>4.3703000000000101</v>
      </c>
      <c r="AF3955">
        <v>4.0481569243760296</v>
      </c>
      <c r="AG3955">
        <v>-1.105168934645</v>
      </c>
      <c r="AH3955">
        <v>35.6044287355707</v>
      </c>
      <c r="AI3955">
        <v>91.766527917930205</v>
      </c>
      <c r="AJ3955">
        <v>83.513432563680695</v>
      </c>
      <c r="AK3955">
        <v>35.8508621715686</v>
      </c>
    </row>
    <row r="3956" spans="1:37" x14ac:dyDescent="0.2">
      <c r="A3956" t="str">
        <f>"20200111153513356"</f>
        <v>20200111153513356</v>
      </c>
      <c r="B3956" t="str">
        <f>"1578728113349926"</f>
        <v>1578728113349926</v>
      </c>
      <c r="C3956" t="s">
        <v>37</v>
      </c>
      <c r="D3956">
        <v>4.7124160000000002</v>
      </c>
      <c r="E3956">
        <v>0.4602369</v>
      </c>
      <c r="F3956" t="s">
        <v>51</v>
      </c>
      <c r="G3956">
        <v>-401.92610000000002</v>
      </c>
      <c r="H3956" s="1">
        <v>-4.4930579999999902E-6</v>
      </c>
      <c r="I3956">
        <v>135.91730000000001</v>
      </c>
      <c r="J3956">
        <v>-356.39420000000001</v>
      </c>
      <c r="K3956">
        <v>1.105156</v>
      </c>
      <c r="L3956">
        <v>142.10659999999999</v>
      </c>
      <c r="M3956">
        <v>-0.99985440000000003</v>
      </c>
      <c r="N3956">
        <v>0</v>
      </c>
      <c r="O3956">
        <v>8.7824369999999902E-3</v>
      </c>
      <c r="P3956">
        <v>-0.99492289999999906</v>
      </c>
      <c r="Q3956">
        <v>7.582361E-2</v>
      </c>
      <c r="R3956">
        <v>-6.6173449999999995E-2</v>
      </c>
      <c r="S3956">
        <v>-2.9942929999999999</v>
      </c>
      <c r="T3956">
        <v>-7.211542E-2</v>
      </c>
      <c r="U3956">
        <v>-0.40367129999999901</v>
      </c>
      <c r="V3956">
        <v>-7.4959289999999998E-2</v>
      </c>
      <c r="W3956">
        <v>9.0323020000000004E-2</v>
      </c>
      <c r="X3956">
        <v>0.99308750000000001</v>
      </c>
      <c r="Y3956">
        <v>-0.14226129999999901</v>
      </c>
      <c r="Z3956">
        <v>-1.915761E-3</v>
      </c>
      <c r="AA3956">
        <v>0.98982729999999997</v>
      </c>
      <c r="AB3956">
        <v>45</v>
      </c>
      <c r="AC3956">
        <v>-45.5319</v>
      </c>
      <c r="AD3956">
        <v>-1.1051604930579999</v>
      </c>
      <c r="AE3956">
        <v>-6.18929999999997</v>
      </c>
      <c r="AF3956">
        <v>-6.5851758868639996</v>
      </c>
      <c r="AG3956">
        <v>-1.1051604930579999</v>
      </c>
      <c r="AH3956">
        <v>45.449490306322097</v>
      </c>
      <c r="AI3956">
        <v>91.378553884082507</v>
      </c>
      <c r="AJ3956">
        <v>98.244213436037199</v>
      </c>
      <c r="AK3956">
        <v>45.937371390631597</v>
      </c>
    </row>
    <row r="3957" spans="1:37" x14ac:dyDescent="0.2">
      <c r="A3957" t="str">
        <f>"20200111153513372"</f>
        <v>20200111153513372</v>
      </c>
      <c r="B3957" t="str">
        <f>"1578728113359686"</f>
        <v>1578728113359686</v>
      </c>
      <c r="C3957" t="s">
        <v>37</v>
      </c>
      <c r="D3957">
        <v>4.6597839999999904</v>
      </c>
      <c r="E3957">
        <v>0.4584319</v>
      </c>
      <c r="F3957" t="s">
        <v>39</v>
      </c>
      <c r="G3957">
        <v>-388.91379999999998</v>
      </c>
      <c r="H3957" s="1">
        <v>-1.1597150000000001E-6</v>
      </c>
      <c r="I3957">
        <v>136.59440000000001</v>
      </c>
      <c r="J3957">
        <v>-356.71140000000003</v>
      </c>
      <c r="K3957">
        <v>1.105143</v>
      </c>
      <c r="L3957">
        <v>142.10929999999999</v>
      </c>
      <c r="M3957">
        <v>-0.99985559999999996</v>
      </c>
      <c r="N3957">
        <v>0</v>
      </c>
      <c r="O3957">
        <v>8.6463900000000003E-3</v>
      </c>
      <c r="P3957">
        <v>-0.99500909999999998</v>
      </c>
      <c r="Q3957">
        <v>7.4455110000000005E-2</v>
      </c>
      <c r="R3957">
        <v>-6.6434709999999994E-2</v>
      </c>
      <c r="S3957">
        <v>-2.9893489999999998</v>
      </c>
      <c r="T3957">
        <v>-0.1015911</v>
      </c>
      <c r="U3957">
        <v>-0.5066986</v>
      </c>
      <c r="V3957">
        <v>-7.5085070000000004E-2</v>
      </c>
      <c r="W3957">
        <v>8.8954329999999998E-2</v>
      </c>
      <c r="X3957">
        <v>0.99320159999999902</v>
      </c>
      <c r="Y3957">
        <v>-0.17553369999999999</v>
      </c>
      <c r="Z3957">
        <v>-3.252502E-3</v>
      </c>
      <c r="AA3957">
        <v>0.98446800000000001</v>
      </c>
      <c r="AB3957">
        <v>45</v>
      </c>
      <c r="AC3957">
        <v>-32.202399999999898</v>
      </c>
      <c r="AD3957">
        <v>-1.105144159715</v>
      </c>
      <c r="AE3957">
        <v>-5.5148999999999804</v>
      </c>
      <c r="AF3957">
        <v>-5.7865370793207598</v>
      </c>
      <c r="AG3957">
        <v>-1.105144159715</v>
      </c>
      <c r="AH3957">
        <v>32.116758479326599</v>
      </c>
      <c r="AI3957">
        <v>91.939576446675801</v>
      </c>
      <c r="AJ3957">
        <v>100.213512933682</v>
      </c>
      <c r="AK3957">
        <v>32.652588415063001</v>
      </c>
    </row>
    <row r="3958" spans="1:37" x14ac:dyDescent="0.2">
      <c r="A3958" t="str">
        <f>"20200111153513395"</f>
        <v>20200111153513395</v>
      </c>
      <c r="B3958" t="str">
        <f>"1578728113389942"</f>
        <v>1578728113389942</v>
      </c>
      <c r="C3958" t="s">
        <v>37</v>
      </c>
      <c r="D3958">
        <v>4.5799589999999997</v>
      </c>
      <c r="E3958">
        <v>0.45719169999999998</v>
      </c>
      <c r="F3958" t="s">
        <v>39</v>
      </c>
      <c r="G3958">
        <v>-387.53620000000001</v>
      </c>
      <c r="H3958" s="1">
        <v>-1.594042E-6</v>
      </c>
      <c r="I3958">
        <v>136.72399999999999</v>
      </c>
      <c r="J3958">
        <v>-357.18009999999998</v>
      </c>
      <c r="K3958">
        <v>1.1051340000000001</v>
      </c>
      <c r="L3958">
        <v>142.11320000000001</v>
      </c>
      <c r="M3958">
        <v>-0.99985740000000001</v>
      </c>
      <c r="N3958">
        <v>0</v>
      </c>
      <c r="O3958">
        <v>8.4463530000000002E-3</v>
      </c>
      <c r="P3958">
        <v>-0.99501810000000002</v>
      </c>
      <c r="Q3958">
        <v>7.3773060000000001E-2</v>
      </c>
      <c r="R3958">
        <v>-6.7056829999999998E-2</v>
      </c>
      <c r="S3958">
        <v>-2.9882200000000001</v>
      </c>
      <c r="T3958">
        <v>-0.10713540000000001</v>
      </c>
      <c r="U3958">
        <v>-0.52204899999999999</v>
      </c>
      <c r="V3958">
        <v>-7.5507389999999994E-2</v>
      </c>
      <c r="W3958">
        <v>8.8269440000000005E-2</v>
      </c>
      <c r="X3958">
        <v>0.99323059999999996</v>
      </c>
      <c r="Y3958">
        <v>-0.18029310000000001</v>
      </c>
      <c r="Z3958">
        <v>-3.50722599999999E-3</v>
      </c>
      <c r="AA3958">
        <v>0.98360669999999994</v>
      </c>
      <c r="AB3958">
        <v>45</v>
      </c>
      <c r="AC3958">
        <v>-30.356100000000001</v>
      </c>
      <c r="AD3958">
        <v>-1.105135594042</v>
      </c>
      <c r="AE3958">
        <v>-5.3892000000000104</v>
      </c>
      <c r="AF3958">
        <v>-5.6381890808393296</v>
      </c>
      <c r="AG3958">
        <v>-1.105135594042</v>
      </c>
      <c r="AH3958">
        <v>30.270598905365102</v>
      </c>
      <c r="AI3958">
        <v>92.055536191888706</v>
      </c>
      <c r="AJ3958">
        <v>100.55098285273201</v>
      </c>
      <c r="AK3958">
        <v>30.811031447876001</v>
      </c>
    </row>
    <row r="3959" spans="1:37" x14ac:dyDescent="0.2">
      <c r="A3959" t="str">
        <f>"20200111153513418"</f>
        <v>20200111153513418</v>
      </c>
      <c r="B3959" t="str">
        <f>"1578728113410438"</f>
        <v>1578728113410438</v>
      </c>
      <c r="C3959" t="s">
        <v>37</v>
      </c>
      <c r="D3959">
        <v>4.5702059999999998</v>
      </c>
      <c r="E3959">
        <v>0.4574647</v>
      </c>
      <c r="F3959" t="s">
        <v>39</v>
      </c>
      <c r="G3959">
        <v>-386.0797</v>
      </c>
      <c r="H3959" s="1">
        <v>-2.1372230000000001E-6</v>
      </c>
      <c r="I3959">
        <v>136.94890000000001</v>
      </c>
      <c r="J3959">
        <v>-357.6343</v>
      </c>
      <c r="K3959">
        <v>1.105127</v>
      </c>
      <c r="L3959">
        <v>142.11689999999999</v>
      </c>
      <c r="M3959">
        <v>-0.99985900000000005</v>
      </c>
      <c r="N3959">
        <v>0</v>
      </c>
      <c r="O3959">
        <v>8.2546679999999997E-3</v>
      </c>
      <c r="P3959">
        <v>-0.99496079999999998</v>
      </c>
      <c r="Q3959">
        <v>7.3388899999999896E-2</v>
      </c>
      <c r="R3959">
        <v>-6.831624E-2</v>
      </c>
      <c r="S3959">
        <v>-2.9874879999999999</v>
      </c>
      <c r="T3959">
        <v>-0.114243</v>
      </c>
      <c r="U3959">
        <v>-0.53384399999999999</v>
      </c>
      <c r="V3959">
        <v>-7.6575610000000002E-2</v>
      </c>
      <c r="W3959">
        <v>8.7880899999999998E-2</v>
      </c>
      <c r="X3959">
        <v>0.99318329999999999</v>
      </c>
      <c r="Y3959">
        <v>-0.18389159999999999</v>
      </c>
      <c r="Z3959">
        <v>-3.8003379999999999E-3</v>
      </c>
      <c r="AA3959">
        <v>0.98293920000000001</v>
      </c>
      <c r="AB3959">
        <v>45</v>
      </c>
      <c r="AC3959">
        <v>-28.445399999999999</v>
      </c>
      <c r="AD3959">
        <v>-1.1051291372229901</v>
      </c>
      <c r="AE3959">
        <v>-5.16799999999997</v>
      </c>
      <c r="AF3959">
        <v>-5.3947736938043898</v>
      </c>
      <c r="AG3959">
        <v>-1.1051291372229901</v>
      </c>
      <c r="AH3959">
        <v>28.360326943058499</v>
      </c>
      <c r="AI3959">
        <v>92.192269033368206</v>
      </c>
      <c r="AJ3959">
        <v>100.770273451254</v>
      </c>
      <c r="AK3959">
        <v>28.8900162328524</v>
      </c>
    </row>
    <row r="3960" spans="1:37" x14ac:dyDescent="0.2">
      <c r="A3960" t="str">
        <f>"20200111153513435"</f>
        <v>20200111153513435</v>
      </c>
      <c r="B3960" t="str">
        <f>"1578728113429991"</f>
        <v>1578728113429991</v>
      </c>
      <c r="C3960" t="s">
        <v>37</v>
      </c>
      <c r="D3960">
        <v>4.5593810000000001</v>
      </c>
      <c r="E3960">
        <v>0.45764969999999999</v>
      </c>
      <c r="F3960" t="s">
        <v>39</v>
      </c>
      <c r="G3960">
        <v>-386.85419999999999</v>
      </c>
      <c r="H3960" s="1">
        <v>-1.8172079999999999E-6</v>
      </c>
      <c r="I3960">
        <v>136.88</v>
      </c>
      <c r="J3960">
        <v>-358.0025</v>
      </c>
      <c r="K3960">
        <v>1.105127</v>
      </c>
      <c r="L3960">
        <v>142.1198</v>
      </c>
      <c r="M3960">
        <v>-0.99986030000000004</v>
      </c>
      <c r="N3960">
        <v>0</v>
      </c>
      <c r="O3960">
        <v>8.1002920000000003E-3</v>
      </c>
      <c r="P3960">
        <v>-0.99490080000000003</v>
      </c>
      <c r="Q3960">
        <v>7.3439459999999998E-2</v>
      </c>
      <c r="R3960">
        <v>-6.9128720000000005E-2</v>
      </c>
      <c r="S3960">
        <v>-2.9867859999999999</v>
      </c>
      <c r="T3960">
        <v>-0.11296389999999901</v>
      </c>
      <c r="U3960">
        <v>-0.53529359999999904</v>
      </c>
      <c r="V3960">
        <v>-7.7233079999999996E-2</v>
      </c>
      <c r="W3960">
        <v>8.7928859999999998E-2</v>
      </c>
      <c r="X3960">
        <v>0.99312819999999902</v>
      </c>
      <c r="Y3960">
        <v>-0.18424489999999999</v>
      </c>
      <c r="Z3960">
        <v>-3.7593599999999998E-3</v>
      </c>
      <c r="AA3960">
        <v>0.9828732</v>
      </c>
      <c r="AB3960">
        <v>45</v>
      </c>
      <c r="AC3960">
        <v>-28.851699999999902</v>
      </c>
      <c r="AD3960">
        <v>-1.105128817208</v>
      </c>
      <c r="AE3960">
        <v>-5.2397999999999998</v>
      </c>
      <c r="AF3960">
        <v>-5.4655972706320801</v>
      </c>
      <c r="AG3960">
        <v>-1.105128817208</v>
      </c>
      <c r="AH3960">
        <v>28.7674454576477</v>
      </c>
      <c r="AI3960">
        <v>92.161364087730206</v>
      </c>
      <c r="AJ3960">
        <v>100.75754924598</v>
      </c>
      <c r="AK3960">
        <v>29.302900562676399</v>
      </c>
    </row>
    <row r="3961" spans="1:37" x14ac:dyDescent="0.2">
      <c r="A3961" t="str">
        <f>"20200111153513450"</f>
        <v>20200111153513450</v>
      </c>
      <c r="B3961" t="str">
        <f>"1578728113439751"</f>
        <v>1578728113439751</v>
      </c>
      <c r="C3961" t="s">
        <v>37</v>
      </c>
      <c r="D3961">
        <v>4.5610309999999998</v>
      </c>
      <c r="E3961">
        <v>0.4578062</v>
      </c>
      <c r="F3961" t="s">
        <v>39</v>
      </c>
      <c r="G3961">
        <v>-387.52080000000001</v>
      </c>
      <c r="H3961" s="1">
        <v>-1.5738249999999999E-6</v>
      </c>
      <c r="I3961">
        <v>136.81970000000001</v>
      </c>
      <c r="J3961">
        <v>-358.2971</v>
      </c>
      <c r="K3961">
        <v>1.1051389999999901</v>
      </c>
      <c r="L3961">
        <v>142.12209999999999</v>
      </c>
      <c r="M3961">
        <v>-0.99986129999999995</v>
      </c>
      <c r="N3961">
        <v>0</v>
      </c>
      <c r="O3961">
        <v>7.9776109999999904E-3</v>
      </c>
      <c r="P3961">
        <v>-0.9948224</v>
      </c>
      <c r="Q3961">
        <v>7.3639540000000003E-2</v>
      </c>
      <c r="R3961">
        <v>-7.0040999999999895E-2</v>
      </c>
      <c r="S3961">
        <v>-2.9863279999999999</v>
      </c>
      <c r="T3961">
        <v>-0.1118048</v>
      </c>
      <c r="U3961">
        <v>-0.53619380000000005</v>
      </c>
      <c r="V3961">
        <v>-7.8022540000000001E-2</v>
      </c>
      <c r="W3961">
        <v>8.8125519999999999E-2</v>
      </c>
      <c r="X3961">
        <v>0.99304899999999996</v>
      </c>
      <c r="Y3961">
        <v>-0.1844402</v>
      </c>
      <c r="Z3961">
        <v>-3.7203449999999999E-3</v>
      </c>
      <c r="AA3961">
        <v>0.98283670000000001</v>
      </c>
      <c r="AB3961">
        <v>45</v>
      </c>
      <c r="AC3961">
        <v>-29.223700000000001</v>
      </c>
      <c r="AD3961">
        <v>-1.105140573825</v>
      </c>
      <c r="AE3961">
        <v>-5.3023999999999702</v>
      </c>
      <c r="AF3961">
        <v>-5.5277382290159496</v>
      </c>
      <c r="AG3961">
        <v>-1.105140573825</v>
      </c>
      <c r="AH3961">
        <v>29.140119932283898</v>
      </c>
      <c r="AI3961">
        <v>92.133886837549099</v>
      </c>
      <c r="AJ3961">
        <v>100.741105839992</v>
      </c>
      <c r="AK3961">
        <v>29.680360767422101</v>
      </c>
    </row>
    <row r="3962" spans="1:37" x14ac:dyDescent="0.2">
      <c r="A3962" t="str">
        <f>"20200111153513472"</f>
        <v>20200111153513472</v>
      </c>
      <c r="B3962" t="str">
        <f>"1578728113470009"</f>
        <v>1578728113470009</v>
      </c>
      <c r="C3962" t="s">
        <v>37</v>
      </c>
      <c r="D3962">
        <v>4.6159349999999897</v>
      </c>
      <c r="E3962">
        <v>0.45791999999999999</v>
      </c>
      <c r="F3962" t="s">
        <v>39</v>
      </c>
      <c r="G3962">
        <v>-388.46069999999997</v>
      </c>
      <c r="H3962" s="1">
        <v>-1.2896289999999899E-6</v>
      </c>
      <c r="I3962">
        <v>136.6857</v>
      </c>
      <c r="J3962">
        <v>-358.74680000000001</v>
      </c>
      <c r="K3962">
        <v>1.105145</v>
      </c>
      <c r="L3962">
        <v>142.12549999999999</v>
      </c>
      <c r="M3962">
        <v>-0.99986280000000005</v>
      </c>
      <c r="N3962">
        <v>0</v>
      </c>
      <c r="O3962">
        <v>7.7911129999999997E-3</v>
      </c>
      <c r="P3962">
        <v>-0.99470569999999903</v>
      </c>
      <c r="Q3962">
        <v>7.4139979999999994E-2</v>
      </c>
      <c r="R3962">
        <v>-7.1161360000000007E-2</v>
      </c>
      <c r="S3962">
        <v>-2.98584</v>
      </c>
      <c r="T3962">
        <v>-0.10939589999999901</v>
      </c>
      <c r="U3962">
        <v>-0.53813169999999899</v>
      </c>
      <c r="V3962">
        <v>-7.8956589999999993E-2</v>
      </c>
      <c r="W3962">
        <v>8.862138E-2</v>
      </c>
      <c r="X3962">
        <v>0.99293109999999996</v>
      </c>
      <c r="Y3962">
        <v>-0.18490799999999999</v>
      </c>
      <c r="Z3962">
        <v>-3.6423390000000001E-3</v>
      </c>
      <c r="AA3962">
        <v>0.98274910000000004</v>
      </c>
      <c r="AB3962">
        <v>45</v>
      </c>
      <c r="AC3962">
        <v>-29.713899999999899</v>
      </c>
      <c r="AD3962">
        <v>-1.1051462896290001</v>
      </c>
      <c r="AE3962">
        <v>-5.4397999999999902</v>
      </c>
      <c r="AF3962">
        <v>-5.6635835090889204</v>
      </c>
      <c r="AG3962">
        <v>-1.1051462896290001</v>
      </c>
      <c r="AH3962">
        <v>29.630951686675701</v>
      </c>
      <c r="AI3962">
        <v>92.098026459928406</v>
      </c>
      <c r="AJ3962">
        <v>100.820852391209</v>
      </c>
      <c r="AK3962">
        <v>30.1875938813284</v>
      </c>
    </row>
    <row r="3963" spans="1:37" x14ac:dyDescent="0.2">
      <c r="A3963" t="str">
        <f>"20200111153513491"</f>
        <v>20200111153513491</v>
      </c>
      <c r="B3963" t="str">
        <f>"1578728113479767"</f>
        <v>1578728113479767</v>
      </c>
      <c r="C3963" t="s">
        <v>37</v>
      </c>
      <c r="D3963">
        <v>4.5913110000000001</v>
      </c>
      <c r="E3963">
        <v>0.45785799999999999</v>
      </c>
      <c r="F3963" t="s">
        <v>39</v>
      </c>
      <c r="G3963">
        <v>-389.88749999999999</v>
      </c>
      <c r="H3963" s="1">
        <v>-8.5813480000000002E-7</v>
      </c>
      <c r="I3963">
        <v>136.48249999999999</v>
      </c>
      <c r="J3963">
        <v>-359.11189999999999</v>
      </c>
      <c r="K3963">
        <v>1.105148</v>
      </c>
      <c r="L3963">
        <v>142.12819999999999</v>
      </c>
      <c r="M3963">
        <v>-0.99986399999999998</v>
      </c>
      <c r="N3963">
        <v>0</v>
      </c>
      <c r="O3963">
        <v>7.6404819999999997E-3</v>
      </c>
      <c r="P3963">
        <v>-0.99467159999999999</v>
      </c>
      <c r="Q3963">
        <v>7.4244130000000005E-2</v>
      </c>
      <c r="R3963">
        <v>-7.1527800000000002E-2</v>
      </c>
      <c r="S3963">
        <v>-2.9851380000000001</v>
      </c>
      <c r="T3963">
        <v>-0.10593909999999999</v>
      </c>
      <c r="U3963">
        <v>-0.54092410000000002</v>
      </c>
      <c r="V3963">
        <v>-7.9172720000000002E-2</v>
      </c>
      <c r="W3963">
        <v>8.8722540000000003E-2</v>
      </c>
      <c r="X3963">
        <v>0.99290480000000003</v>
      </c>
      <c r="Y3963">
        <v>-0.1856978</v>
      </c>
      <c r="Z3963">
        <v>-3.5364369999999999E-3</v>
      </c>
      <c r="AA3963">
        <v>0.98260049999999899</v>
      </c>
      <c r="AB3963">
        <v>45</v>
      </c>
      <c r="AC3963">
        <v>-30.775600000000001</v>
      </c>
      <c r="AD3963">
        <v>-1.1051488581347999</v>
      </c>
      <c r="AE3963">
        <v>-5.6456999999999997</v>
      </c>
      <c r="AF3963">
        <v>-5.8733734519737499</v>
      </c>
      <c r="AG3963">
        <v>-1.1051488581347999</v>
      </c>
      <c r="AH3963">
        <v>30.693270005186001</v>
      </c>
      <c r="AI3963">
        <v>92.0253963703572</v>
      </c>
      <c r="AJ3963">
        <v>100.83299224692701</v>
      </c>
      <c r="AK3963">
        <v>31.269708878021898</v>
      </c>
    </row>
    <row r="3964" spans="1:37" x14ac:dyDescent="0.2">
      <c r="A3964" t="str">
        <f>"20200111153513508"</f>
        <v>20200111153513508</v>
      </c>
      <c r="B3964" t="str">
        <f>"1578728113500263"</f>
        <v>1578728113500263</v>
      </c>
      <c r="C3964" t="s">
        <v>37</v>
      </c>
      <c r="D3964">
        <v>4.6006879999999999</v>
      </c>
      <c r="E3964">
        <v>0.45783180000000001</v>
      </c>
      <c r="F3964" t="s">
        <v>39</v>
      </c>
      <c r="G3964">
        <v>-390.27159999999998</v>
      </c>
      <c r="H3964" s="1">
        <v>-4.7150139999999997E-6</v>
      </c>
      <c r="I3964">
        <v>136.4633</v>
      </c>
      <c r="J3964">
        <v>-359.4427</v>
      </c>
      <c r="K3964">
        <v>1.105151</v>
      </c>
      <c r="L3964">
        <v>142.13069999999999</v>
      </c>
      <c r="M3964">
        <v>-0.99986509999999995</v>
      </c>
      <c r="N3964">
        <v>0</v>
      </c>
      <c r="O3964">
        <v>7.5046849999999997E-3</v>
      </c>
      <c r="P3964">
        <v>-0.99460729999999997</v>
      </c>
      <c r="Q3964">
        <v>7.4237609999999996E-2</v>
      </c>
      <c r="R3964">
        <v>-7.2423979999999999E-2</v>
      </c>
      <c r="S3964">
        <v>-2.9849239999999999</v>
      </c>
      <c r="T3964">
        <v>-0.10586760000000001</v>
      </c>
      <c r="U3964">
        <v>-0.54266359999999902</v>
      </c>
      <c r="V3964">
        <v>-7.993314E-2</v>
      </c>
      <c r="W3964">
        <v>8.8713050000000002E-2</v>
      </c>
      <c r="X3964">
        <v>0.99284479999999997</v>
      </c>
      <c r="Y3964">
        <v>-0.18613099999999999</v>
      </c>
      <c r="Z3964">
        <v>-3.536956E-3</v>
      </c>
      <c r="AA3964">
        <v>0.98251860000000002</v>
      </c>
      <c r="AB3964">
        <v>45</v>
      </c>
      <c r="AC3964">
        <v>-30.828899999999901</v>
      </c>
      <c r="AD3964">
        <v>-1.1051557150139999</v>
      </c>
      <c r="AE3964">
        <v>-5.6673999999999802</v>
      </c>
      <c r="AF3964">
        <v>-5.8913029324037796</v>
      </c>
      <c r="AG3964">
        <v>-1.1051557150139999</v>
      </c>
      <c r="AH3964">
        <v>30.747273970774199</v>
      </c>
      <c r="AI3964">
        <v>92.021762314475893</v>
      </c>
      <c r="AJ3964">
        <v>100.84664532777801</v>
      </c>
      <c r="AK3964">
        <v>31.3260861907393</v>
      </c>
    </row>
    <row r="3965" spans="1:37" x14ac:dyDescent="0.2">
      <c r="A3965" t="str">
        <f>"20200111153513529"</f>
        <v>20200111153513529</v>
      </c>
      <c r="B3965" t="str">
        <f>"1578728113519784"</f>
        <v>1578728113519784</v>
      </c>
      <c r="C3965" t="s">
        <v>37</v>
      </c>
      <c r="D3965">
        <v>4.5910449999999896</v>
      </c>
      <c r="E3965">
        <v>0.45795069999999999</v>
      </c>
      <c r="F3965" t="s">
        <v>39</v>
      </c>
      <c r="G3965">
        <v>-390.84140000000002</v>
      </c>
      <c r="H3965" s="1">
        <v>-4.4842929999999996E-6</v>
      </c>
      <c r="I3965">
        <v>136.38589999999999</v>
      </c>
      <c r="J3965">
        <v>-359.89010000000002</v>
      </c>
      <c r="K3965">
        <v>1.105146</v>
      </c>
      <c r="L3965">
        <v>142.13390000000001</v>
      </c>
      <c r="M3965">
        <v>-0.99986659999999905</v>
      </c>
      <c r="N3965">
        <v>0</v>
      </c>
      <c r="O3965">
        <v>7.3213319999999998E-3</v>
      </c>
      <c r="P3965">
        <v>-0.99451149999999999</v>
      </c>
      <c r="Q3965">
        <v>7.4750280000000002E-2</v>
      </c>
      <c r="R3965">
        <v>-7.3209399999999994E-2</v>
      </c>
      <c r="S3965">
        <v>-2.984375</v>
      </c>
      <c r="T3965">
        <v>-0.1050425</v>
      </c>
      <c r="U3965">
        <v>-0.54602050000000002</v>
      </c>
      <c r="V3965">
        <v>-8.0535430000000005E-2</v>
      </c>
      <c r="W3965">
        <v>8.9221239999999993E-2</v>
      </c>
      <c r="X3965">
        <v>0.99275049999999898</v>
      </c>
      <c r="Y3965">
        <v>-0.18705350000000001</v>
      </c>
      <c r="Z3965">
        <v>-3.5193849999999999E-3</v>
      </c>
      <c r="AA3965">
        <v>0.98234339999999998</v>
      </c>
      <c r="AB3965">
        <v>45</v>
      </c>
      <c r="AC3965">
        <v>-30.9513</v>
      </c>
      <c r="AD3965">
        <v>-1.105150484293</v>
      </c>
      <c r="AE3965">
        <v>-5.74800000000001</v>
      </c>
      <c r="AF3965">
        <v>-5.9671208049492099</v>
      </c>
      <c r="AG3965">
        <v>-1.105150484293</v>
      </c>
      <c r="AH3965">
        <v>30.870337511552201</v>
      </c>
      <c r="AI3965">
        <v>92.013068009910995</v>
      </c>
      <c r="AJ3965">
        <v>100.940137818501</v>
      </c>
      <c r="AK3965">
        <v>31.461176493750798</v>
      </c>
    </row>
    <row r="3966" spans="1:37" x14ac:dyDescent="0.2">
      <c r="A3966" t="str">
        <f>"20200111153513551"</f>
        <v>20200111153513551</v>
      </c>
      <c r="B3966" t="str">
        <f>"1578728113540279"</f>
        <v>1578728113540279</v>
      </c>
      <c r="C3966" t="s">
        <v>37</v>
      </c>
      <c r="D3966">
        <v>4.6078910000000004</v>
      </c>
      <c r="E3966">
        <v>0.45787420000000001</v>
      </c>
      <c r="F3966" t="s">
        <v>39</v>
      </c>
      <c r="G3966">
        <v>-391.84649999999999</v>
      </c>
      <c r="H3966" s="1">
        <v>-4.073652E-6</v>
      </c>
      <c r="I3966">
        <v>136.27019999999999</v>
      </c>
      <c r="J3966">
        <v>-360.32220000000001</v>
      </c>
      <c r="K3966">
        <v>1.1051389999999901</v>
      </c>
      <c r="L3966">
        <v>142.1369</v>
      </c>
      <c r="M3966">
        <v>-0.99986799999999998</v>
      </c>
      <c r="N3966">
        <v>0</v>
      </c>
      <c r="O3966">
        <v>7.144353E-3</v>
      </c>
      <c r="P3966">
        <v>-0.99453289999999905</v>
      </c>
      <c r="Q3966">
        <v>7.4761170000000002E-2</v>
      </c>
      <c r="R3966">
        <v>-7.2907490000000005E-2</v>
      </c>
      <c r="S3966">
        <v>-2.9840089999999999</v>
      </c>
      <c r="T3966">
        <v>-0.10319639999999999</v>
      </c>
      <c r="U3966">
        <v>-0.54753109999999905</v>
      </c>
      <c r="V3966">
        <v>-8.0057710000000004E-2</v>
      </c>
      <c r="W3966">
        <v>8.9230749999999998E-2</v>
      </c>
      <c r="X3966">
        <v>0.99278829999999996</v>
      </c>
      <c r="Y3966">
        <v>-0.1873861</v>
      </c>
      <c r="Z3966">
        <v>-3.4574609999999898E-3</v>
      </c>
      <c r="AA3966">
        <v>0.9822803</v>
      </c>
      <c r="AB3966">
        <v>45</v>
      </c>
      <c r="AC3966">
        <v>-31.524299999999901</v>
      </c>
      <c r="AD3966">
        <v>-1.10514307365199</v>
      </c>
      <c r="AE3966">
        <v>-5.8666999999999998</v>
      </c>
      <c r="AF3966">
        <v>-6.0845674338567202</v>
      </c>
      <c r="AG3966">
        <v>-1.10514307365199</v>
      </c>
      <c r="AH3966">
        <v>31.444226202968402</v>
      </c>
      <c r="AI3966">
        <v>91.976267373478095</v>
      </c>
      <c r="AJ3966">
        <v>100.951582959208</v>
      </c>
      <c r="AK3966">
        <v>32.046570231053302</v>
      </c>
    </row>
    <row r="3967" spans="1:37" x14ac:dyDescent="0.2">
      <c r="A3967" t="str">
        <f>"20200111153513568"</f>
        <v>20200111153513568</v>
      </c>
      <c r="B3967" t="str">
        <f>"1578728113559799"</f>
        <v>1578728113559799</v>
      </c>
      <c r="C3967" t="s">
        <v>37</v>
      </c>
      <c r="D3967">
        <v>4.6259449999999998</v>
      </c>
      <c r="E3967">
        <v>0.45780490000000001</v>
      </c>
      <c r="F3967" t="s">
        <v>39</v>
      </c>
      <c r="G3967">
        <v>-392.36090000000002</v>
      </c>
      <c r="H3967" s="1">
        <v>-3.8546170000000002E-6</v>
      </c>
      <c r="I3967">
        <v>136.261</v>
      </c>
      <c r="J3967">
        <v>-360.66160000000002</v>
      </c>
      <c r="K3967">
        <v>1.1051340000000001</v>
      </c>
      <c r="L3967">
        <v>142.13919999999999</v>
      </c>
      <c r="M3967">
        <v>-0.99986889999999995</v>
      </c>
      <c r="N3967">
        <v>0</v>
      </c>
      <c r="O3967">
        <v>7.0054499999999999E-3</v>
      </c>
      <c r="P3967">
        <v>-0.99455680000000002</v>
      </c>
      <c r="Q3967">
        <v>7.4664140000000004E-2</v>
      </c>
      <c r="R3967">
        <v>-7.2677989999999998E-2</v>
      </c>
      <c r="S3967">
        <v>-2.9841310000000001</v>
      </c>
      <c r="T3967">
        <v>-0.10293479999999899</v>
      </c>
      <c r="U3967">
        <v>-0.54728699999999997</v>
      </c>
      <c r="V3967">
        <v>-7.96901E-2</v>
      </c>
      <c r="W3967">
        <v>8.9132420000000004E-2</v>
      </c>
      <c r="X3967">
        <v>0.99282669999999995</v>
      </c>
      <c r="Y3967">
        <v>-0.18716559999999999</v>
      </c>
      <c r="Z3967">
        <v>-3.4400670000000002E-3</v>
      </c>
      <c r="AA3967">
        <v>0.98232229999999998</v>
      </c>
      <c r="AB3967">
        <v>45</v>
      </c>
      <c r="AC3967">
        <v>-31.699299999999901</v>
      </c>
      <c r="AD3967">
        <v>-1.1051378546170001</v>
      </c>
      <c r="AE3967">
        <v>-5.8781999999999899</v>
      </c>
      <c r="AF3967">
        <v>-6.0929877824540499</v>
      </c>
      <c r="AG3967">
        <v>-1.1051378546170001</v>
      </c>
      <c r="AH3967">
        <v>31.620183346025101</v>
      </c>
      <c r="AI3967">
        <v>91.965565701203204</v>
      </c>
      <c r="AJ3967">
        <v>100.906814353576</v>
      </c>
      <c r="AK3967">
        <v>32.220829049406703</v>
      </c>
    </row>
    <row r="3968" spans="1:37" x14ac:dyDescent="0.2">
      <c r="A3968" t="str">
        <f>"20200111153513585"</f>
        <v>20200111153513585</v>
      </c>
      <c r="B3968" t="str">
        <f>"1578728113580295"</f>
        <v>1578728113580295</v>
      </c>
      <c r="C3968" t="s">
        <v>37</v>
      </c>
      <c r="D3968">
        <v>4.6323610000000004</v>
      </c>
      <c r="E3968">
        <v>0.4576481</v>
      </c>
      <c r="F3968" t="s">
        <v>39</v>
      </c>
      <c r="G3968">
        <v>-392.82530000000003</v>
      </c>
      <c r="H3968" s="1">
        <v>-3.6591779999999999E-6</v>
      </c>
      <c r="I3968">
        <v>136.23949999999999</v>
      </c>
      <c r="J3968">
        <v>-361.0009</v>
      </c>
      <c r="K3968">
        <v>1.1051260000000001</v>
      </c>
      <c r="L3968">
        <v>142.14150000000001</v>
      </c>
      <c r="M3968">
        <v>-0.99986989999999998</v>
      </c>
      <c r="N3968">
        <v>0</v>
      </c>
      <c r="O3968">
        <v>6.8663680000000003E-3</v>
      </c>
      <c r="P3968">
        <v>-0.99459889999999995</v>
      </c>
      <c r="Q3968">
        <v>7.4403880000000006E-2</v>
      </c>
      <c r="R3968">
        <v>-7.2369119999999995E-2</v>
      </c>
      <c r="S3968">
        <v>-2.9841310000000001</v>
      </c>
      <c r="T3968">
        <v>-0.10253419999999901</v>
      </c>
      <c r="U3968">
        <v>-0.5473633</v>
      </c>
      <c r="V3968">
        <v>-7.9242679999999996E-2</v>
      </c>
      <c r="W3968">
        <v>8.8871690000000003E-2</v>
      </c>
      <c r="X3968">
        <v>0.99288589999999999</v>
      </c>
      <c r="Y3968">
        <v>-0.1870542</v>
      </c>
      <c r="Z3968">
        <v>-3.420041E-3</v>
      </c>
      <c r="AA3968">
        <v>0.98234359999999998</v>
      </c>
      <c r="AB3968">
        <v>45</v>
      </c>
      <c r="AC3968">
        <v>-31.824400000000001</v>
      </c>
      <c r="AD3968">
        <v>-1.105129659178</v>
      </c>
      <c r="AE3968">
        <v>-5.9020000000000099</v>
      </c>
      <c r="AF3968">
        <v>-6.1132753665248796</v>
      </c>
      <c r="AG3968">
        <v>-1.105129659178</v>
      </c>
      <c r="AH3968">
        <v>31.7461107109702</v>
      </c>
      <c r="AI3968">
        <v>91.957805987409898</v>
      </c>
      <c r="AJ3968">
        <v>100.89989214281999</v>
      </c>
      <c r="AK3968">
        <v>32.348245586796999</v>
      </c>
    </row>
    <row r="3969" spans="1:37" x14ac:dyDescent="0.2">
      <c r="A3969" t="str">
        <f>"20200111153513607"</f>
        <v>20200111153513607</v>
      </c>
      <c r="B3969" t="str">
        <f>"1578728113599818"</f>
        <v>1578728113599818</v>
      </c>
      <c r="C3969" t="s">
        <v>37</v>
      </c>
      <c r="D3969">
        <v>4.6393190000000004</v>
      </c>
      <c r="E3969">
        <v>0.4574434</v>
      </c>
      <c r="F3969" t="s">
        <v>39</v>
      </c>
      <c r="G3969">
        <v>-392.83150000000001</v>
      </c>
      <c r="H3969" s="1">
        <v>-3.6457530000000001E-6</v>
      </c>
      <c r="I3969">
        <v>136.30029999999999</v>
      </c>
      <c r="J3969">
        <v>-361.46140000000003</v>
      </c>
      <c r="K3969">
        <v>1.105113</v>
      </c>
      <c r="L3969">
        <v>142.14449999999999</v>
      </c>
      <c r="M3969">
        <v>-0.99987109999999901</v>
      </c>
      <c r="N3969">
        <v>0</v>
      </c>
      <c r="O3969">
        <v>6.6777649999999996E-3</v>
      </c>
      <c r="P3969">
        <v>-0.99462600000000001</v>
      </c>
      <c r="Q3969">
        <v>7.401278E-2</v>
      </c>
      <c r="R3969">
        <v>-7.2394529999999999E-2</v>
      </c>
      <c r="S3969">
        <v>-2.9841609999999998</v>
      </c>
      <c r="T3969">
        <v>-0.1036077</v>
      </c>
      <c r="U3969">
        <v>-0.54760739999999997</v>
      </c>
      <c r="V3969">
        <v>-7.9080700000000004E-2</v>
      </c>
      <c r="W3969">
        <v>8.8478420000000002E-2</v>
      </c>
      <c r="X3969">
        <v>0.99293390000000004</v>
      </c>
      <c r="Y3969">
        <v>-0.18694279999999999</v>
      </c>
      <c r="Z3969">
        <v>-3.4473529999999998E-3</v>
      </c>
      <c r="AA3969">
        <v>0.98236480000000004</v>
      </c>
      <c r="AB3969">
        <v>45</v>
      </c>
      <c r="AC3969">
        <v>-31.370099999999901</v>
      </c>
      <c r="AD3969">
        <v>-1.1051166457529999</v>
      </c>
      <c r="AE3969">
        <v>-5.8441999999999998</v>
      </c>
      <c r="AF3969">
        <v>-6.0463221478944602</v>
      </c>
      <c r="AG3969">
        <v>-1.1051166457529999</v>
      </c>
      <c r="AH3969">
        <v>31.292837167074499</v>
      </c>
      <c r="AI3969">
        <v>91.985878898156699</v>
      </c>
      <c r="AJ3969">
        <v>100.935784784189</v>
      </c>
      <c r="AK3969">
        <v>31.890765940658699</v>
      </c>
    </row>
    <row r="3970" spans="1:37" x14ac:dyDescent="0.2">
      <c r="A3970" t="str">
        <f>"20200111153513625"</f>
        <v>20200111153513625</v>
      </c>
      <c r="B3970" t="str">
        <f>"1578728113620311"</f>
        <v>1578728113620311</v>
      </c>
      <c r="C3970" t="s">
        <v>37</v>
      </c>
      <c r="D3970">
        <v>4.6313959999999996</v>
      </c>
      <c r="E3970">
        <v>0.45713039999999999</v>
      </c>
      <c r="F3970" t="s">
        <v>39</v>
      </c>
      <c r="G3970">
        <v>-392.9769</v>
      </c>
      <c r="H3970" s="1">
        <v>-3.5749970000000002E-6</v>
      </c>
      <c r="I3970">
        <v>136.3476</v>
      </c>
      <c r="J3970">
        <v>-361.80040000000002</v>
      </c>
      <c r="K3970">
        <v>1.105108</v>
      </c>
      <c r="L3970">
        <v>142.14660000000001</v>
      </c>
      <c r="M3970">
        <v>-0.99987219999999999</v>
      </c>
      <c r="N3970">
        <v>0</v>
      </c>
      <c r="O3970">
        <v>6.5386810000000002E-3</v>
      </c>
      <c r="P3970">
        <v>-0.99464949999999996</v>
      </c>
      <c r="Q3970">
        <v>7.3807689999999995E-2</v>
      </c>
      <c r="R3970">
        <v>-7.2282659999999999E-2</v>
      </c>
      <c r="S3970">
        <v>-2.98407</v>
      </c>
      <c r="T3970">
        <v>-0.1046392</v>
      </c>
      <c r="U3970">
        <v>-0.54887390000000003</v>
      </c>
      <c r="V3970">
        <v>-7.8830259999999999E-2</v>
      </c>
      <c r="W3970">
        <v>8.827227E-2</v>
      </c>
      <c r="X3970">
        <v>0.99297219999999997</v>
      </c>
      <c r="Y3970">
        <v>-0.1872124</v>
      </c>
      <c r="Z3970">
        <v>-3.4814780000000001E-3</v>
      </c>
      <c r="AA3970">
        <v>0.98231329999999994</v>
      </c>
      <c r="AB3970">
        <v>45</v>
      </c>
      <c r="AC3970">
        <v>-31.176499999999901</v>
      </c>
      <c r="AD3970">
        <v>-1.105111574997</v>
      </c>
      <c r="AE3970">
        <v>-5.7990000000000004</v>
      </c>
      <c r="AF3970">
        <v>-5.9954695878680502</v>
      </c>
      <c r="AG3970">
        <v>-1.105111574997</v>
      </c>
      <c r="AH3970">
        <v>31.1001414285241</v>
      </c>
      <c r="AI3970">
        <v>91.998326954563098</v>
      </c>
      <c r="AJ3970">
        <v>100.91159306431901</v>
      </c>
      <c r="AK3970">
        <v>31.692045122497898</v>
      </c>
    </row>
    <row r="3971" spans="1:37" x14ac:dyDescent="0.2">
      <c r="A3971" t="str">
        <f>"20200111153513640"</f>
        <v>20200111153513640</v>
      </c>
      <c r="B3971" t="str">
        <f>"1578728113629677"</f>
        <v>1578728113629677</v>
      </c>
      <c r="C3971" t="s">
        <v>37</v>
      </c>
      <c r="D3971">
        <v>4.6192970000000004</v>
      </c>
      <c r="E3971">
        <v>0.45698469999999902</v>
      </c>
      <c r="F3971" t="s">
        <v>39</v>
      </c>
      <c r="G3971">
        <v>-393.04599999999999</v>
      </c>
      <c r="H3971" s="1">
        <v>-3.5400239999999998E-6</v>
      </c>
      <c r="I3971">
        <v>136.3776</v>
      </c>
      <c r="J3971">
        <v>-362.1164</v>
      </c>
      <c r="K3971">
        <v>1.1050949999999999</v>
      </c>
      <c r="L3971">
        <v>142.14859999999999</v>
      </c>
      <c r="M3971">
        <v>-0.99987300000000001</v>
      </c>
      <c r="N3971">
        <v>0</v>
      </c>
      <c r="O3971">
        <v>6.4091319999999997E-3</v>
      </c>
      <c r="P3971">
        <v>-0.99469859999999899</v>
      </c>
      <c r="Q3971">
        <v>7.3252070000000002E-2</v>
      </c>
      <c r="R3971">
        <v>-7.2174920000000004E-2</v>
      </c>
      <c r="S3971">
        <v>-2.9839479999999998</v>
      </c>
      <c r="T3971">
        <v>-0.10553800000000001</v>
      </c>
      <c r="U3971">
        <v>-0.55093380000000003</v>
      </c>
      <c r="V3971">
        <v>-7.8593620000000003E-2</v>
      </c>
      <c r="W3971">
        <v>8.7715600000000005E-2</v>
      </c>
      <c r="X3971">
        <v>0.99304029999999999</v>
      </c>
      <c r="Y3971">
        <v>-0.18774589999999999</v>
      </c>
      <c r="Z3971">
        <v>-3.5160970000000001E-3</v>
      </c>
      <c r="AA3971">
        <v>0.98221139999999996</v>
      </c>
      <c r="AB3971">
        <v>45</v>
      </c>
      <c r="AC3971">
        <v>-30.929599999999901</v>
      </c>
      <c r="AD3971">
        <v>-1.1050985400240001</v>
      </c>
      <c r="AE3971">
        <v>-5.7709999999999804</v>
      </c>
      <c r="AF3971">
        <v>-5.9617797056155197</v>
      </c>
      <c r="AG3971">
        <v>-1.1050985400240001</v>
      </c>
      <c r="AH3971">
        <v>30.853910719099598</v>
      </c>
      <c r="AI3971">
        <v>92.014070623421205</v>
      </c>
      <c r="AJ3971">
        <v>100.936260621293</v>
      </c>
      <c r="AK3971">
        <v>31.444043421666098</v>
      </c>
    </row>
    <row r="3972" spans="1:37" x14ac:dyDescent="0.2">
      <c r="A3972" t="str">
        <f>"20200111153513657"</f>
        <v>20200111153513657</v>
      </c>
      <c r="B3972" t="str">
        <f>"1578728113650174"</f>
        <v>1578728113650174</v>
      </c>
      <c r="C3972" t="s">
        <v>37</v>
      </c>
      <c r="D3972">
        <v>4.6660719999999998</v>
      </c>
      <c r="E3972">
        <v>0.45672940000000001</v>
      </c>
      <c r="F3972" t="s">
        <v>39</v>
      </c>
      <c r="G3972">
        <v>-392.67469999999997</v>
      </c>
      <c r="H3972" s="1">
        <v>-3.67731499999999E-6</v>
      </c>
      <c r="I3972">
        <v>136.50149999999999</v>
      </c>
      <c r="J3972">
        <v>-362.45780000000002</v>
      </c>
      <c r="K3972">
        <v>1.105092</v>
      </c>
      <c r="L3972">
        <v>142.1507</v>
      </c>
      <c r="M3972">
        <v>-0.99987380000000003</v>
      </c>
      <c r="N3972">
        <v>0</v>
      </c>
      <c r="O3972">
        <v>6.2693319999999999E-3</v>
      </c>
      <c r="P3972">
        <v>-0.99471900000000002</v>
      </c>
      <c r="Q3972">
        <v>7.2761740000000005E-2</v>
      </c>
      <c r="R3972">
        <v>-7.2387199999999999E-2</v>
      </c>
      <c r="S3972">
        <v>-2.98388699999999</v>
      </c>
      <c r="T3972">
        <v>-0.107907999999999</v>
      </c>
      <c r="U3972">
        <v>-0.55140690000000003</v>
      </c>
      <c r="V3972">
        <v>-7.8666630000000001E-2</v>
      </c>
      <c r="W3972">
        <v>8.7223490000000001E-2</v>
      </c>
      <c r="X3972">
        <v>0.99307789999999996</v>
      </c>
      <c r="Y3972">
        <v>-0.18775749999999999</v>
      </c>
      <c r="Z3972">
        <v>-3.5902199999999999E-3</v>
      </c>
      <c r="AA3972">
        <v>0.98220879999999999</v>
      </c>
      <c r="AB3972">
        <v>45</v>
      </c>
      <c r="AC3972">
        <v>-30.2168999999999</v>
      </c>
      <c r="AD3972">
        <v>-1.105095677315</v>
      </c>
      <c r="AE3972">
        <v>-5.6492000000000004</v>
      </c>
      <c r="AF3972">
        <v>-5.8310132182778798</v>
      </c>
      <c r="AG3972">
        <v>-1.105095677315</v>
      </c>
      <c r="AH3972">
        <v>30.141931670520002</v>
      </c>
      <c r="AI3972">
        <v>92.061512149666498</v>
      </c>
      <c r="AJ3972">
        <v>100.94873251867401</v>
      </c>
      <c r="AK3972">
        <v>30.720644466515498</v>
      </c>
    </row>
    <row r="3973" spans="1:37" x14ac:dyDescent="0.2">
      <c r="A3973" t="str">
        <f>"20200111153513670"</f>
        <v>20200111153513670</v>
      </c>
      <c r="B3973" t="str">
        <f>"1578728113659933"</f>
        <v>1578728113659933</v>
      </c>
      <c r="C3973" t="s">
        <v>37</v>
      </c>
      <c r="D3973">
        <v>4.6359629999999896</v>
      </c>
      <c r="E3973">
        <v>0.456563</v>
      </c>
      <c r="F3973" t="s">
        <v>39</v>
      </c>
      <c r="G3973">
        <v>-392.40120000000002</v>
      </c>
      <c r="H3973" s="1">
        <v>-3.7788149999999999E-6</v>
      </c>
      <c r="I3973">
        <v>136.5907</v>
      </c>
      <c r="J3973">
        <v>-362.72370000000001</v>
      </c>
      <c r="K3973">
        <v>1.1050879999999901</v>
      </c>
      <c r="L3973">
        <v>142.15219999999999</v>
      </c>
      <c r="M3973">
        <v>-0.99987459999999995</v>
      </c>
      <c r="N3973">
        <v>0</v>
      </c>
      <c r="O3973">
        <v>6.1602790000000003E-3</v>
      </c>
      <c r="P3973">
        <v>-0.99473210000000001</v>
      </c>
      <c r="Q3973">
        <v>7.2491050000000001E-2</v>
      </c>
      <c r="R3973">
        <v>-7.2480950000000002E-2</v>
      </c>
      <c r="S3973">
        <v>-2.983673</v>
      </c>
      <c r="T3973">
        <v>-0.1101158</v>
      </c>
      <c r="U3973">
        <v>-0.55400090000000002</v>
      </c>
      <c r="V3973">
        <v>-7.8651929999999995E-2</v>
      </c>
      <c r="W3973">
        <v>8.6951290000000001E-2</v>
      </c>
      <c r="X3973">
        <v>0.99310290000000001</v>
      </c>
      <c r="Y3973">
        <v>-0.18848299999999901</v>
      </c>
      <c r="Z3973">
        <v>-3.6728759999999998E-3</v>
      </c>
      <c r="AA3973">
        <v>0.98206959999999999</v>
      </c>
      <c r="AB3973">
        <v>45</v>
      </c>
      <c r="AC3973">
        <v>-29.677499999999998</v>
      </c>
      <c r="AD3973">
        <v>-1.1050917788150001</v>
      </c>
      <c r="AE3973">
        <v>-5.5614999999999899</v>
      </c>
      <c r="AF3973">
        <v>-5.73655130962094</v>
      </c>
      <c r="AG3973">
        <v>-1.1050917788150001</v>
      </c>
      <c r="AH3973">
        <v>29.603018608815098</v>
      </c>
      <c r="AI3973">
        <v>92.0988711722907</v>
      </c>
      <c r="AJ3973">
        <v>100.966999540106</v>
      </c>
      <c r="AK3973">
        <v>30.173961614633399</v>
      </c>
    </row>
    <row r="3974" spans="1:37" x14ac:dyDescent="0.2">
      <c r="A3974" t="str">
        <f>"20200111153513685"</f>
        <v>20200111153513685</v>
      </c>
      <c r="B3974" t="str">
        <f>"1578728113679452"</f>
        <v>1578728113679452</v>
      </c>
      <c r="C3974" t="s">
        <v>37</v>
      </c>
      <c r="D3974">
        <v>4.6271639999999996</v>
      </c>
      <c r="E3974">
        <v>0.45623159999999902</v>
      </c>
      <c r="F3974" t="s">
        <v>39</v>
      </c>
      <c r="G3974">
        <v>-392.34210000000002</v>
      </c>
      <c r="H3974" s="1">
        <v>-3.7957080000000001E-6</v>
      </c>
      <c r="I3974">
        <v>136.63839999999999</v>
      </c>
      <c r="J3974">
        <v>-363.01369999999997</v>
      </c>
      <c r="K3974">
        <v>1.105083</v>
      </c>
      <c r="L3974">
        <v>142.15389999999999</v>
      </c>
      <c r="M3974">
        <v>-0.99987539999999997</v>
      </c>
      <c r="N3974">
        <v>0</v>
      </c>
      <c r="O3974">
        <v>6.0413339999999998E-3</v>
      </c>
      <c r="P3974">
        <v>-0.99478250000000001</v>
      </c>
      <c r="Q3974">
        <v>7.1487759999999997E-2</v>
      </c>
      <c r="R3974">
        <v>-7.2786030000000002E-2</v>
      </c>
      <c r="S3974">
        <v>-2.9835210000000001</v>
      </c>
      <c r="T3974">
        <v>-0.111318</v>
      </c>
      <c r="U3974">
        <v>-0.55540469999999997</v>
      </c>
      <c r="V3974">
        <v>-7.8838770000000002E-2</v>
      </c>
      <c r="W3974">
        <v>8.5947510000000005E-2</v>
      </c>
      <c r="X3974">
        <v>0.99317540000000004</v>
      </c>
      <c r="Y3974">
        <v>-0.18881889999999901</v>
      </c>
      <c r="Z3974">
        <v>-3.714789E-3</v>
      </c>
      <c r="AA3974">
        <v>0.98200489999999996</v>
      </c>
      <c r="AB3974">
        <v>45</v>
      </c>
      <c r="AC3974">
        <v>-29.328399999999998</v>
      </c>
      <c r="AD3974">
        <v>-1.1050867957079999</v>
      </c>
      <c r="AE3974">
        <v>-5.5155000000000003</v>
      </c>
      <c r="AF3974">
        <v>-5.6848054475815202</v>
      </c>
      <c r="AG3974">
        <v>-1.1050867957079999</v>
      </c>
      <c r="AH3974">
        <v>29.254424534639501</v>
      </c>
      <c r="AI3974">
        <v>92.123634482609106</v>
      </c>
      <c r="AJ3974">
        <v>100.996831996064</v>
      </c>
      <c r="AK3974">
        <v>29.822132463253102</v>
      </c>
    </row>
    <row r="3975" spans="1:37" x14ac:dyDescent="0.2">
      <c r="A3975" t="str">
        <f>"20200111153513707"</f>
        <v>20200111153513707</v>
      </c>
      <c r="B3975" t="str">
        <f>"1578728113699951"</f>
        <v>1578728113699951</v>
      </c>
      <c r="C3975" t="s">
        <v>37</v>
      </c>
      <c r="D3975">
        <v>4.6037839999999903</v>
      </c>
      <c r="E3975">
        <v>0.45591409999999999</v>
      </c>
      <c r="F3975" t="s">
        <v>39</v>
      </c>
      <c r="G3975">
        <v>-391.74930000000001</v>
      </c>
      <c r="H3975" s="1">
        <v>-4.0262590000000002E-6</v>
      </c>
      <c r="I3975">
        <v>136.7724</v>
      </c>
      <c r="J3975">
        <v>-363.46940000000001</v>
      </c>
      <c r="K3975">
        <v>1.1050799999999901</v>
      </c>
      <c r="L3975">
        <v>142.15649999999999</v>
      </c>
      <c r="M3975">
        <v>-0.99987649999999995</v>
      </c>
      <c r="N3975">
        <v>0</v>
      </c>
      <c r="O3975">
        <v>5.8544540000000003E-3</v>
      </c>
      <c r="P3975">
        <v>-0.99481169999999997</v>
      </c>
      <c r="Q3975">
        <v>7.0763759999999995E-2</v>
      </c>
      <c r="R3975">
        <v>-7.3091970000000006E-2</v>
      </c>
      <c r="S3975">
        <v>-2.983063</v>
      </c>
      <c r="T3975">
        <v>-0.11471969999999999</v>
      </c>
      <c r="U3975">
        <v>-0.55865480000000001</v>
      </c>
      <c r="V3975">
        <v>-7.8958319999999999E-2</v>
      </c>
      <c r="W3975">
        <v>8.5221569999999996E-2</v>
      </c>
      <c r="X3975">
        <v>0.99322849999999996</v>
      </c>
      <c r="Y3975">
        <v>-0.18968759999999901</v>
      </c>
      <c r="Z3975">
        <v>-3.8378549999999998E-3</v>
      </c>
      <c r="AA3975">
        <v>0.98183699999999996</v>
      </c>
      <c r="AB3975">
        <v>45</v>
      </c>
      <c r="AC3975">
        <v>-28.279900000000001</v>
      </c>
      <c r="AD3975">
        <v>-1.10508402625899</v>
      </c>
      <c r="AE3975">
        <v>-5.3840999999999797</v>
      </c>
      <c r="AF3975">
        <v>-5.5414230046521</v>
      </c>
      <c r="AG3975">
        <v>-1.10508402625899</v>
      </c>
      <c r="AH3975">
        <v>28.206326852939899</v>
      </c>
      <c r="AI3975">
        <v>92.2015782619509</v>
      </c>
      <c r="AJ3975">
        <v>101.114790059314</v>
      </c>
      <c r="AK3975">
        <v>28.766742154030201</v>
      </c>
    </row>
    <row r="3976" spans="1:37" x14ac:dyDescent="0.2">
      <c r="A3976" t="str">
        <f>"20200111153513725"</f>
        <v>20200111153513725</v>
      </c>
      <c r="B3976" t="str">
        <f>"1578728113719470"</f>
        <v>1578728113719470</v>
      </c>
      <c r="C3976" t="s">
        <v>37</v>
      </c>
      <c r="D3976">
        <v>4.6107820000000004</v>
      </c>
      <c r="E3976">
        <v>0.45564259999999901</v>
      </c>
      <c r="F3976" t="s">
        <v>39</v>
      </c>
      <c r="G3976">
        <v>-391.51479999999998</v>
      </c>
      <c r="H3976" s="1">
        <v>-4.1091880000000001E-6</v>
      </c>
      <c r="I3976">
        <v>136.87209999999999</v>
      </c>
      <c r="J3976">
        <v>-363.82330000000002</v>
      </c>
      <c r="K3976">
        <v>1.1050789999999999</v>
      </c>
      <c r="L3976">
        <v>142.1585</v>
      </c>
      <c r="M3976">
        <v>-0.99987739999999903</v>
      </c>
      <c r="N3976">
        <v>0</v>
      </c>
      <c r="O3976">
        <v>5.7092890000000002E-3</v>
      </c>
      <c r="P3976">
        <v>-0.99483790000000005</v>
      </c>
      <c r="Q3976">
        <v>7.0386359999999995E-2</v>
      </c>
      <c r="R3976">
        <v>-7.309794E-2</v>
      </c>
      <c r="S3976">
        <v>-2.9827270000000001</v>
      </c>
      <c r="T3976">
        <v>-0.1175297</v>
      </c>
      <c r="U3976">
        <v>-0.562011699999999</v>
      </c>
      <c r="V3976">
        <v>-7.8820210000000002E-2</v>
      </c>
      <c r="W3976">
        <v>8.4842429999999996E-2</v>
      </c>
      <c r="X3976">
        <v>0.99327189999999999</v>
      </c>
      <c r="Y3976">
        <v>-0.19062479999999901</v>
      </c>
      <c r="Z3976">
        <v>-3.944449E-3</v>
      </c>
      <c r="AA3976">
        <v>0.9816551</v>
      </c>
      <c r="AB3976">
        <v>45</v>
      </c>
      <c r="AC3976">
        <v>-27.691499999999898</v>
      </c>
      <c r="AD3976">
        <v>-1.105083109188</v>
      </c>
      <c r="AE3976">
        <v>-5.2864000000000102</v>
      </c>
      <c r="AF3976">
        <v>-5.4360765204113104</v>
      </c>
      <c r="AG3976">
        <v>-1.105083109188</v>
      </c>
      <c r="AH3976">
        <v>27.618426273188401</v>
      </c>
      <c r="AI3976">
        <v>92.248236460377498</v>
      </c>
      <c r="AJ3976">
        <v>101.135068062049</v>
      </c>
      <c r="AK3976">
        <v>28.170012538540401</v>
      </c>
    </row>
    <row r="3977" spans="1:37" x14ac:dyDescent="0.2">
      <c r="A3977" t="str">
        <f>"20200111153513737"</f>
        <v>20200111153513737</v>
      </c>
      <c r="B3977" t="str">
        <f>"1578728113730022"</f>
        <v>1578728113730022</v>
      </c>
      <c r="C3977" t="s">
        <v>37</v>
      </c>
      <c r="D3977">
        <v>4.6053620000000004</v>
      </c>
      <c r="E3977">
        <v>0.45549609999999902</v>
      </c>
      <c r="F3977" t="s">
        <v>39</v>
      </c>
      <c r="G3977">
        <v>-391.49340000000001</v>
      </c>
      <c r="H3977" s="1">
        <v>-4.1090629999999998E-6</v>
      </c>
      <c r="I3977">
        <v>136.9246</v>
      </c>
      <c r="J3977">
        <v>-364.0822</v>
      </c>
      <c r="K3977">
        <v>1.1050770000000001</v>
      </c>
      <c r="L3977">
        <v>142.15989999999999</v>
      </c>
      <c r="M3977">
        <v>-0.99987800000000004</v>
      </c>
      <c r="N3977">
        <v>0</v>
      </c>
      <c r="O3977">
        <v>5.6030359999999996E-3</v>
      </c>
      <c r="P3977">
        <v>-0.99484089999999903</v>
      </c>
      <c r="Q3977">
        <v>7.0278750000000001E-2</v>
      </c>
      <c r="R3977">
        <v>-7.3162690000000002E-2</v>
      </c>
      <c r="S3977">
        <v>-2.982513</v>
      </c>
      <c r="T3977">
        <v>-0.1191152</v>
      </c>
      <c r="U3977">
        <v>-0.56414790000000004</v>
      </c>
      <c r="V3977">
        <v>-7.8779260000000004E-2</v>
      </c>
      <c r="W3977">
        <v>8.4733149999999993E-2</v>
      </c>
      <c r="X3977">
        <v>0.99328449999999902</v>
      </c>
      <c r="Y3977">
        <v>-0.19120780000000001</v>
      </c>
      <c r="Z3977">
        <v>-4.00496599999999E-3</v>
      </c>
      <c r="AA3977">
        <v>0.98154140000000001</v>
      </c>
      <c r="AB3977">
        <v>45</v>
      </c>
      <c r="AC3977">
        <v>-27.411200000000001</v>
      </c>
      <c r="AD3977">
        <v>-1.1050811090629999</v>
      </c>
      <c r="AE3977">
        <v>-5.2352999999999899</v>
      </c>
      <c r="AF3977">
        <v>-5.3803831220337903</v>
      </c>
      <c r="AG3977">
        <v>-1.1050811090629999</v>
      </c>
      <c r="AH3977">
        <v>27.338563484179499</v>
      </c>
      <c r="AI3977">
        <v>92.271232968703401</v>
      </c>
      <c r="AJ3977">
        <v>101.13384013959499</v>
      </c>
      <c r="AK3977">
        <v>27.884884438992799</v>
      </c>
    </row>
    <row r="3978" spans="1:37" x14ac:dyDescent="0.2">
      <c r="A3978" t="str">
        <f>"20200111153513755"</f>
        <v>20200111153513755</v>
      </c>
      <c r="B3978" t="str">
        <f>"1578728113749540"</f>
        <v>1578728113749540</v>
      </c>
      <c r="C3978" t="s">
        <v>37</v>
      </c>
      <c r="D3978">
        <v>4.6133439999999997</v>
      </c>
      <c r="E3978">
        <v>0.45520850000000002</v>
      </c>
      <c r="F3978" t="s">
        <v>39</v>
      </c>
      <c r="G3978">
        <v>-391.62310000000002</v>
      </c>
      <c r="H3978" s="1">
        <v>-4.0509999999999998E-6</v>
      </c>
      <c r="I3978">
        <v>136.93809999999999</v>
      </c>
      <c r="J3978">
        <v>-364.35289999999998</v>
      </c>
      <c r="K3978">
        <v>1.105075</v>
      </c>
      <c r="L3978">
        <v>142.16130000000001</v>
      </c>
      <c r="M3978">
        <v>-0.99987859999999995</v>
      </c>
      <c r="N3978">
        <v>0</v>
      </c>
      <c r="O3978">
        <v>5.4921350000000004E-3</v>
      </c>
      <c r="P3978">
        <v>-0.99484869999999903</v>
      </c>
      <c r="Q3978">
        <v>6.9690470000000004E-2</v>
      </c>
      <c r="R3978">
        <v>-7.3615239999999998E-2</v>
      </c>
      <c r="S3978">
        <v>-2.9824220000000001</v>
      </c>
      <c r="T3978">
        <v>-0.11967</v>
      </c>
      <c r="U3978">
        <v>-0.56546019999999997</v>
      </c>
      <c r="V3978">
        <v>-7.9120930000000006E-2</v>
      </c>
      <c r="W3978">
        <v>8.4143499999999996E-2</v>
      </c>
      <c r="X3978">
        <v>0.99330750000000001</v>
      </c>
      <c r="Y3978">
        <v>-0.19151979999999999</v>
      </c>
      <c r="Z3978">
        <v>-4.0253550000000004E-3</v>
      </c>
      <c r="AA3978">
        <v>0.98148049999999998</v>
      </c>
      <c r="AB3978">
        <v>45</v>
      </c>
      <c r="AC3978">
        <v>-27.270199999999999</v>
      </c>
      <c r="AD3978">
        <v>-1.1050790509999999</v>
      </c>
      <c r="AE3978">
        <v>-5.2232000000000198</v>
      </c>
      <c r="AF3978">
        <v>-5.3644113727391103</v>
      </c>
      <c r="AG3978">
        <v>-1.1050790509999999</v>
      </c>
      <c r="AH3978">
        <v>27.1980166280273</v>
      </c>
      <c r="AI3978">
        <v>92.282767149236705</v>
      </c>
      <c r="AJ3978">
        <v>101.15754356665499</v>
      </c>
      <c r="AK3978">
        <v>27.744012283434799</v>
      </c>
    </row>
    <row r="3979" spans="1:37" x14ac:dyDescent="0.2">
      <c r="A3979" t="str">
        <f>"20200111153513775"</f>
        <v>20200111153513775</v>
      </c>
      <c r="B3979" t="str">
        <f>"1578728113770036"</f>
        <v>1578728113770036</v>
      </c>
      <c r="C3979" t="s">
        <v>37</v>
      </c>
      <c r="D3979">
        <v>4.5885769999999999</v>
      </c>
      <c r="E3979">
        <v>0.45500190000000001</v>
      </c>
      <c r="F3979" t="s">
        <v>39</v>
      </c>
      <c r="G3979">
        <v>-391.49110000000002</v>
      </c>
      <c r="H3979" s="1">
        <v>-4.0995920000000003E-6</v>
      </c>
      <c r="I3979">
        <v>136.9836</v>
      </c>
      <c r="J3979">
        <v>-364.81279999999998</v>
      </c>
      <c r="K3979">
        <v>1.105075</v>
      </c>
      <c r="L3979">
        <v>142.16370000000001</v>
      </c>
      <c r="M3979">
        <v>-0.99987969999999904</v>
      </c>
      <c r="N3979">
        <v>0</v>
      </c>
      <c r="O3979">
        <v>5.3033469999999999E-3</v>
      </c>
      <c r="P3979">
        <v>-0.99481249999999999</v>
      </c>
      <c r="Q3979">
        <v>6.9454059999999998E-2</v>
      </c>
      <c r="R3979">
        <v>-7.4326279999999995E-2</v>
      </c>
      <c r="S3979">
        <v>-2.9819339999999999</v>
      </c>
      <c r="T3979">
        <v>-0.1214261</v>
      </c>
      <c r="U3979">
        <v>-0.56892399999999999</v>
      </c>
      <c r="V3979">
        <v>-7.9644019999999996E-2</v>
      </c>
      <c r="W3979">
        <v>8.3903569999999997E-2</v>
      </c>
      <c r="X3979">
        <v>0.993286</v>
      </c>
      <c r="Y3979">
        <v>-0.19245899999999999</v>
      </c>
      <c r="Z3979">
        <v>-4.0959189999999999E-3</v>
      </c>
      <c r="AA3979">
        <v>0.98129650000000002</v>
      </c>
      <c r="AB3979">
        <v>45</v>
      </c>
      <c r="AC3979">
        <v>-26.6783</v>
      </c>
      <c r="AD3979">
        <v>-1.1050790995919999</v>
      </c>
      <c r="AE3979">
        <v>-5.1801000000000004</v>
      </c>
      <c r="AF3979">
        <v>-5.31274196004951</v>
      </c>
      <c r="AG3979">
        <v>-1.1050790995919999</v>
      </c>
      <c r="AH3979">
        <v>26.6064568193529</v>
      </c>
      <c r="AI3979">
        <v>92.332378967076806</v>
      </c>
      <c r="AJ3979">
        <v>101.292228738849</v>
      </c>
      <c r="AK3979">
        <v>27.154188837645499</v>
      </c>
    </row>
    <row r="3980" spans="1:37" x14ac:dyDescent="0.2">
      <c r="A3980" t="str">
        <f>"20200111153513792"</f>
        <v>20200111153513792</v>
      </c>
      <c r="B3980" t="str">
        <f>"1578728113779796"</f>
        <v>1578728113779796</v>
      </c>
      <c r="C3980" t="s">
        <v>37</v>
      </c>
      <c r="D3980">
        <v>4.6064419999999897</v>
      </c>
      <c r="E3980">
        <v>0.45486329999999903</v>
      </c>
      <c r="F3980" t="s">
        <v>39</v>
      </c>
      <c r="G3980">
        <v>-391.87049999999999</v>
      </c>
      <c r="H3980" s="1">
        <v>-3.9403530000000002E-6</v>
      </c>
      <c r="I3980">
        <v>136.96360000000001</v>
      </c>
      <c r="J3980">
        <v>-365.161</v>
      </c>
      <c r="K3980">
        <v>1.1050879999999901</v>
      </c>
      <c r="L3980">
        <v>142.16540000000001</v>
      </c>
      <c r="M3980">
        <v>-0.99987979999999999</v>
      </c>
      <c r="N3980">
        <v>0</v>
      </c>
      <c r="O3980">
        <v>5.1659619999999996E-3</v>
      </c>
      <c r="P3980">
        <v>-0.99476730000000002</v>
      </c>
      <c r="Q3980">
        <v>6.9478719999999994E-2</v>
      </c>
      <c r="R3980">
        <v>-7.4904819999999997E-2</v>
      </c>
      <c r="S3980">
        <v>-2.9813540000000001</v>
      </c>
      <c r="T3980">
        <v>-0.1217632</v>
      </c>
      <c r="U3980">
        <v>-0.57296749999999996</v>
      </c>
      <c r="V3980">
        <v>-8.0085459999999997E-2</v>
      </c>
      <c r="W3980">
        <v>8.3971030000000002E-2</v>
      </c>
      <c r="X3980">
        <v>0.99324480000000004</v>
      </c>
      <c r="Y3980">
        <v>-0.19364120000000001</v>
      </c>
      <c r="Z3980">
        <v>-4.12590099999999E-3</v>
      </c>
      <c r="AA3980">
        <v>0.98106369999999898</v>
      </c>
      <c r="AB3980">
        <v>45</v>
      </c>
      <c r="AC3980">
        <v>-26.709499999999899</v>
      </c>
      <c r="AD3980">
        <v>-1.105091940353</v>
      </c>
      <c r="AE3980">
        <v>-5.2017999999999898</v>
      </c>
      <c r="AF3980">
        <v>-5.33093331693071</v>
      </c>
      <c r="AG3980">
        <v>-1.105091940353</v>
      </c>
      <c r="AH3980">
        <v>26.638333962387801</v>
      </c>
      <c r="AI3980">
        <v>92.329419434970902</v>
      </c>
      <c r="AJ3980">
        <v>101.31668798033201</v>
      </c>
      <c r="AK3980">
        <v>27.188985168959402</v>
      </c>
    </row>
    <row r="3981" spans="1:37" x14ac:dyDescent="0.2">
      <c r="A3981" t="str">
        <f>"20200111153513808"</f>
        <v>20200111153513808</v>
      </c>
      <c r="B3981" t="str">
        <f>"1578728113800293"</f>
        <v>1578728113800293</v>
      </c>
      <c r="C3981" t="s">
        <v>37</v>
      </c>
      <c r="D3981">
        <v>4.6079220000000003</v>
      </c>
      <c r="E3981">
        <v>0.45455569999999901</v>
      </c>
      <c r="F3981" t="s">
        <v>39</v>
      </c>
      <c r="G3981">
        <v>-392.18830000000003</v>
      </c>
      <c r="H3981" s="1">
        <v>-3.807272E-6</v>
      </c>
      <c r="I3981">
        <v>136.9452</v>
      </c>
      <c r="J3981">
        <v>-365.4658</v>
      </c>
      <c r="K3981">
        <v>1.1051070000000001</v>
      </c>
      <c r="L3981">
        <v>142.1669</v>
      </c>
      <c r="M3981">
        <v>-0.99987909999999902</v>
      </c>
      <c r="N3981">
        <v>0</v>
      </c>
      <c r="O3981">
        <v>5.0507770000000002E-3</v>
      </c>
      <c r="P3981">
        <v>-0.99477969999999905</v>
      </c>
      <c r="Q3981">
        <v>6.8643170000000003E-2</v>
      </c>
      <c r="R3981">
        <v>-7.5510839999999996E-2</v>
      </c>
      <c r="S3981">
        <v>-2.9809269999999999</v>
      </c>
      <c r="T3981">
        <v>-0.121884199999999</v>
      </c>
      <c r="U3981">
        <v>-0.57574459999999905</v>
      </c>
      <c r="V3981">
        <v>-8.0576960000000003E-2</v>
      </c>
      <c r="W3981">
        <v>8.3220740000000001E-2</v>
      </c>
      <c r="X3981">
        <v>0.99326819999999905</v>
      </c>
      <c r="Y3981">
        <v>-0.19443460000000001</v>
      </c>
      <c r="Z3981">
        <v>-4.1416179999999997E-3</v>
      </c>
      <c r="AA3981">
        <v>0.98090669999999902</v>
      </c>
      <c r="AB3981">
        <v>45</v>
      </c>
      <c r="AC3981">
        <v>-26.7225</v>
      </c>
      <c r="AD3981">
        <v>-1.105110807272</v>
      </c>
      <c r="AE3981">
        <v>-5.2216999999999896</v>
      </c>
      <c r="AF3981">
        <v>-5.3478077030865299</v>
      </c>
      <c r="AG3981">
        <v>-1.105110807272</v>
      </c>
      <c r="AH3981">
        <v>26.6518778406606</v>
      </c>
      <c r="AI3981">
        <v>92.328038582525096</v>
      </c>
      <c r="AJ3981">
        <v>101.34596190291801</v>
      </c>
      <c r="AK3981">
        <v>27.2055676206</v>
      </c>
    </row>
    <row r="3982" spans="1:37" x14ac:dyDescent="0.2">
      <c r="A3982" t="str">
        <f>"20200111153513830"</f>
        <v>20200111153513830</v>
      </c>
      <c r="B3982" t="str">
        <f>"1578728113819812"</f>
        <v>1578728113819812</v>
      </c>
      <c r="C3982" t="s">
        <v>37</v>
      </c>
      <c r="D3982">
        <v>4.60344</v>
      </c>
      <c r="E3982">
        <v>0.45436109999999902</v>
      </c>
      <c r="F3982" t="s">
        <v>39</v>
      </c>
      <c r="G3982">
        <v>-391.91789999999997</v>
      </c>
      <c r="H3982" s="1">
        <v>-3.9103660000000002E-6</v>
      </c>
      <c r="I3982">
        <v>137.018</v>
      </c>
      <c r="J3982">
        <v>-365.90469999999999</v>
      </c>
      <c r="K3982">
        <v>1.1051530000000001</v>
      </c>
      <c r="L3982">
        <v>142.16890000000001</v>
      </c>
      <c r="M3982">
        <v>-0.99987700000000002</v>
      </c>
      <c r="N3982">
        <v>0</v>
      </c>
      <c r="O3982">
        <v>4.88898299999999E-3</v>
      </c>
      <c r="P3982">
        <v>-0.99474110000000004</v>
      </c>
      <c r="Q3982">
        <v>6.8364910000000001E-2</v>
      </c>
      <c r="R3982">
        <v>-7.6263709999999998E-2</v>
      </c>
      <c r="S3982">
        <v>-2.9803160000000002</v>
      </c>
      <c r="T3982">
        <v>-0.1245111</v>
      </c>
      <c r="U3982">
        <v>-0.58010859999999997</v>
      </c>
      <c r="V3982">
        <v>-8.1169549999999993E-2</v>
      </c>
      <c r="W3982">
        <v>8.3135210000000001E-2</v>
      </c>
      <c r="X3982">
        <v>0.99322710000000003</v>
      </c>
      <c r="Y3982">
        <v>-0.19568949999999999</v>
      </c>
      <c r="Z3982">
        <v>-4.2503319999999999E-3</v>
      </c>
      <c r="AA3982">
        <v>0.98065669999999905</v>
      </c>
      <c r="AB3982">
        <v>45</v>
      </c>
      <c r="AC3982">
        <v>-26.013199999999902</v>
      </c>
      <c r="AD3982">
        <v>-1.1051569103659999</v>
      </c>
      <c r="AE3982">
        <v>-5.1509</v>
      </c>
      <c r="AF3982">
        <v>-5.2688794880692198</v>
      </c>
      <c r="AG3982">
        <v>-1.1051569103659999</v>
      </c>
      <c r="AH3982">
        <v>25.942645579098901</v>
      </c>
      <c r="AI3982">
        <v>92.390578483359505</v>
      </c>
      <c r="AJ3982">
        <v>101.480463357977</v>
      </c>
      <c r="AK3982">
        <v>26.495345298732499</v>
      </c>
    </row>
    <row r="3983" spans="1:37" x14ac:dyDescent="0.2">
      <c r="A3983" t="str">
        <f>"20200111153513846"</f>
        <v>20200111153513846</v>
      </c>
      <c r="B3983" t="str">
        <f>"1578728113840354"</f>
        <v>1578728113840354</v>
      </c>
      <c r="C3983" t="s">
        <v>37</v>
      </c>
      <c r="D3983">
        <v>4.6009399999999996</v>
      </c>
      <c r="E3983">
        <v>0.45411689999999999</v>
      </c>
      <c r="F3983" t="s">
        <v>39</v>
      </c>
      <c r="G3983">
        <v>-392.10770000000002</v>
      </c>
      <c r="H3983" s="1">
        <v>-3.8260770000000001E-6</v>
      </c>
      <c r="I3983">
        <v>137.0342</v>
      </c>
      <c r="J3983">
        <v>-366.2244</v>
      </c>
      <c r="K3983">
        <v>1.105186</v>
      </c>
      <c r="L3983">
        <v>142.1703</v>
      </c>
      <c r="M3983">
        <v>-0.99987479999999995</v>
      </c>
      <c r="N3983">
        <v>0</v>
      </c>
      <c r="O3983">
        <v>4.7697130000000001E-3</v>
      </c>
      <c r="P3983">
        <v>-0.99474249999999997</v>
      </c>
      <c r="Q3983">
        <v>6.7765619999999999E-2</v>
      </c>
      <c r="R3983">
        <v>-7.6781169999999996E-2</v>
      </c>
      <c r="S3983">
        <v>-2.9797359999999999</v>
      </c>
      <c r="T3983">
        <v>-0.1256756</v>
      </c>
      <c r="U3983">
        <v>-0.58389279999999999</v>
      </c>
      <c r="V3983">
        <v>-8.1567390000000004E-2</v>
      </c>
      <c r="W3983">
        <v>8.2716100000000001E-2</v>
      </c>
      <c r="X3983">
        <v>0.99322949999999999</v>
      </c>
      <c r="Y3983">
        <v>-0.196803799999999</v>
      </c>
      <c r="Z3983">
        <v>-4.3086359999999898E-3</v>
      </c>
      <c r="AA3983">
        <v>0.98043340000000001</v>
      </c>
      <c r="AB3983">
        <v>44</v>
      </c>
      <c r="AC3983">
        <v>-25.883299999999998</v>
      </c>
      <c r="AD3983">
        <v>-1.1051898260769999</v>
      </c>
      <c r="AE3983">
        <v>-5.1360999999999901</v>
      </c>
      <c r="AF3983">
        <v>-5.25030181391881</v>
      </c>
      <c r="AG3983">
        <v>-1.1051898260769999</v>
      </c>
      <c r="AH3983">
        <v>25.8132252262048</v>
      </c>
      <c r="AI3983">
        <v>92.402481793697305</v>
      </c>
      <c r="AJ3983">
        <v>101.49689192278301</v>
      </c>
      <c r="AK3983">
        <v>26.364933344647</v>
      </c>
    </row>
    <row r="3984" spans="1:37" x14ac:dyDescent="0.2">
      <c r="A3984" t="str">
        <f>"20200111153513863"</f>
        <v>20200111153513863</v>
      </c>
      <c r="B3984" t="str">
        <f>"1578728113859874"</f>
        <v>1578728113859874</v>
      </c>
      <c r="C3984" t="s">
        <v>37</v>
      </c>
      <c r="D3984">
        <v>4.622922</v>
      </c>
      <c r="E3984">
        <v>0.45392319999999903</v>
      </c>
      <c r="F3984" t="s">
        <v>39</v>
      </c>
      <c r="G3984">
        <v>-391.96230000000003</v>
      </c>
      <c r="H3984" s="1">
        <v>-3.877533E-6</v>
      </c>
      <c r="I3984">
        <v>137.09559999999999</v>
      </c>
      <c r="J3984">
        <v>-366.5702</v>
      </c>
      <c r="K3984">
        <v>1.105219</v>
      </c>
      <c r="L3984">
        <v>142.17189999999999</v>
      </c>
      <c r="M3984">
        <v>-0.99987230000000005</v>
      </c>
      <c r="N3984">
        <v>0</v>
      </c>
      <c r="O3984">
        <v>4.6368920000000001E-3</v>
      </c>
      <c r="P3984">
        <v>-0.99469889999999905</v>
      </c>
      <c r="Q3984">
        <v>6.7340049999999999E-2</v>
      </c>
      <c r="R3984">
        <v>-7.7715779999999998E-2</v>
      </c>
      <c r="S3984">
        <v>-2.9792480000000001</v>
      </c>
      <c r="T3984">
        <v>-0.1279293</v>
      </c>
      <c r="U3984">
        <v>-0.58740230000000004</v>
      </c>
      <c r="V3984">
        <v>-8.2368750000000004E-2</v>
      </c>
      <c r="W3984">
        <v>8.2505110000000006E-2</v>
      </c>
      <c r="X3984">
        <v>0.99318090000000003</v>
      </c>
      <c r="Y3984">
        <v>-0.19780880000000001</v>
      </c>
      <c r="Z3984">
        <v>-4.4017600000000002E-3</v>
      </c>
      <c r="AA3984">
        <v>0.98023069999999901</v>
      </c>
      <c r="AB3984">
        <v>44</v>
      </c>
      <c r="AC3984">
        <v>-25.392099999999999</v>
      </c>
      <c r="AD3984">
        <v>-1.105222877533</v>
      </c>
      <c r="AE3984">
        <v>-5.0762999999999998</v>
      </c>
      <c r="AF3984">
        <v>-5.1845547721824099</v>
      </c>
      <c r="AG3984">
        <v>-1.105222877533</v>
      </c>
      <c r="AH3984">
        <v>25.322155917881101</v>
      </c>
      <c r="AI3984">
        <v>92.4484438698818</v>
      </c>
      <c r="AJ3984">
        <v>101.571039099495</v>
      </c>
      <c r="AK3984">
        <v>25.871078565151901</v>
      </c>
    </row>
    <row r="3985" spans="1:37" x14ac:dyDescent="0.2">
      <c r="A3985" t="str">
        <f>"20200111153513878"</f>
        <v>20200111153513878</v>
      </c>
      <c r="B3985" t="str">
        <f>"1578728113869635"</f>
        <v>1578728113869635</v>
      </c>
      <c r="C3985" t="s">
        <v>37</v>
      </c>
      <c r="D3985">
        <v>4.6302789999999998</v>
      </c>
      <c r="E3985">
        <v>0.45378559999999901</v>
      </c>
      <c r="F3985" t="s">
        <v>39</v>
      </c>
      <c r="G3985">
        <v>-392.05459999999999</v>
      </c>
      <c r="H3985" s="1">
        <v>-3.83584E-6</v>
      </c>
      <c r="I3985">
        <v>137.10759999999999</v>
      </c>
      <c r="J3985">
        <v>-366.86970000000002</v>
      </c>
      <c r="K3985">
        <v>1.105246</v>
      </c>
      <c r="L3985">
        <v>142.17310000000001</v>
      </c>
      <c r="M3985">
        <v>-0.99986980000000003</v>
      </c>
      <c r="N3985">
        <v>0</v>
      </c>
      <c r="O3985">
        <v>4.5185190000000004E-3</v>
      </c>
      <c r="P3985">
        <v>-0.99466739999999998</v>
      </c>
      <c r="Q3985">
        <v>6.7018910000000001E-2</v>
      </c>
      <c r="R3985">
        <v>-7.8395140000000002E-2</v>
      </c>
      <c r="S3985">
        <v>-2.9784549999999999</v>
      </c>
      <c r="T3985">
        <v>-0.12917139999999999</v>
      </c>
      <c r="U3985">
        <v>-0.59187319999999999</v>
      </c>
      <c r="V3985">
        <v>-8.2929829999999996E-2</v>
      </c>
      <c r="W3985">
        <v>8.2380620000000002E-2</v>
      </c>
      <c r="X3985">
        <v>0.99314449999999999</v>
      </c>
      <c r="Y3985">
        <v>-0.19915329999999901</v>
      </c>
      <c r="Z3985">
        <v>-4.4687570000000003E-3</v>
      </c>
      <c r="AA3985">
        <v>0.9799582</v>
      </c>
      <c r="AB3985">
        <v>44</v>
      </c>
      <c r="AC3985">
        <v>-25.184899999999899</v>
      </c>
      <c r="AD3985">
        <v>-1.10524983583999</v>
      </c>
      <c r="AE3985">
        <v>-5.0655000000000099</v>
      </c>
      <c r="AF3985">
        <v>-5.1696910400792797</v>
      </c>
      <c r="AG3985">
        <v>-1.10524983583999</v>
      </c>
      <c r="AH3985">
        <v>25.115261999389102</v>
      </c>
      <c r="AI3985">
        <v>92.468117203700501</v>
      </c>
      <c r="AJ3985">
        <v>101.631230527564</v>
      </c>
      <c r="AK3985">
        <v>25.665612557417301</v>
      </c>
    </row>
    <row r="3986" spans="1:37" x14ac:dyDescent="0.2">
      <c r="A3986" t="str">
        <f>"20200111153513891"</f>
        <v>20200111153513891</v>
      </c>
      <c r="B3986" t="str">
        <f>"1578728113880370"</f>
        <v>1578728113880370</v>
      </c>
      <c r="C3986" t="s">
        <v>37</v>
      </c>
      <c r="D3986">
        <v>4.6177359999999998</v>
      </c>
      <c r="E3986">
        <v>0.45367849999999998</v>
      </c>
      <c r="F3986" t="s">
        <v>39</v>
      </c>
      <c r="G3986">
        <v>-392.11489999999998</v>
      </c>
      <c r="H3986" s="1">
        <v>-3.80585699999999E-6</v>
      </c>
      <c r="I3986">
        <v>137.13079999999999</v>
      </c>
      <c r="J3986">
        <v>-367.11689999999999</v>
      </c>
      <c r="K3986">
        <v>1.105267</v>
      </c>
      <c r="L3986">
        <v>142.17420000000001</v>
      </c>
      <c r="M3986">
        <v>-0.99986749999999902</v>
      </c>
      <c r="N3986">
        <v>0</v>
      </c>
      <c r="O3986">
        <v>4.4175869999999997E-3</v>
      </c>
      <c r="P3986">
        <v>-0.99466379999999999</v>
      </c>
      <c r="Q3986">
        <v>6.6497680000000003E-2</v>
      </c>
      <c r="R3986">
        <v>-7.8882030000000006E-2</v>
      </c>
      <c r="S3986">
        <v>-2.9779969999999998</v>
      </c>
      <c r="T3986">
        <v>-0.13037869999999999</v>
      </c>
      <c r="U3986">
        <v>-0.59480290000000002</v>
      </c>
      <c r="V3986">
        <v>-8.3315340000000002E-2</v>
      </c>
      <c r="W3986">
        <v>8.2032740000000007E-2</v>
      </c>
      <c r="X3986">
        <v>0.9931411</v>
      </c>
      <c r="Y3986">
        <v>-0.2000062</v>
      </c>
      <c r="Z3986">
        <v>-4.5248420000000003E-3</v>
      </c>
      <c r="AA3986">
        <v>0.97978419999999899</v>
      </c>
      <c r="AB3986">
        <v>44</v>
      </c>
      <c r="AC3986">
        <v>-24.997999999999902</v>
      </c>
      <c r="AD3986">
        <v>-1.105270805857</v>
      </c>
      <c r="AE3986">
        <v>-5.0434000000000196</v>
      </c>
      <c r="AF3986">
        <v>-5.1441321764905998</v>
      </c>
      <c r="AG3986">
        <v>-1.105270805857</v>
      </c>
      <c r="AH3986">
        <v>24.928646406838102</v>
      </c>
      <c r="AI3986">
        <v>92.486364366605301</v>
      </c>
      <c r="AJ3986">
        <v>101.659569927246</v>
      </c>
      <c r="AK3986">
        <v>25.477855700208501</v>
      </c>
    </row>
    <row r="3987" spans="1:37" x14ac:dyDescent="0.2">
      <c r="A3987" t="str">
        <f>"20200111153513908"</f>
        <v>20200111153513908</v>
      </c>
      <c r="B3987" t="str">
        <f>"1578728113899892"</f>
        <v>1578728113899892</v>
      </c>
      <c r="C3987" t="s">
        <v>37</v>
      </c>
      <c r="D3987">
        <v>4.6597280000000003</v>
      </c>
      <c r="E3987">
        <v>0.45344200000000001</v>
      </c>
      <c r="F3987" t="s">
        <v>39</v>
      </c>
      <c r="G3987">
        <v>-392.02769999999998</v>
      </c>
      <c r="H3987" s="1">
        <v>-3.8348589999999998E-6</v>
      </c>
      <c r="I3987">
        <v>137.1781</v>
      </c>
      <c r="J3987">
        <v>-367.45420000000001</v>
      </c>
      <c r="K3987">
        <v>1.105291</v>
      </c>
      <c r="L3987">
        <v>142.1755</v>
      </c>
      <c r="M3987">
        <v>-0.99986419999999998</v>
      </c>
      <c r="N3987">
        <v>0</v>
      </c>
      <c r="O3987">
        <v>4.2793019999999996E-3</v>
      </c>
      <c r="P3987">
        <v>-0.99463049999999997</v>
      </c>
      <c r="Q3987">
        <v>6.5768699999999999E-2</v>
      </c>
      <c r="R3987">
        <v>-7.990324E-2</v>
      </c>
      <c r="S3987">
        <v>-2.9775700000000001</v>
      </c>
      <c r="T3987">
        <v>-0.13211249999999999</v>
      </c>
      <c r="U3987">
        <v>-0.59716800000000003</v>
      </c>
      <c r="V3987">
        <v>-8.4198090000000003E-2</v>
      </c>
      <c r="W3987">
        <v>8.1546560000000004E-2</v>
      </c>
      <c r="X3987">
        <v>0.99310669999999901</v>
      </c>
      <c r="Y3987">
        <v>-0.2006405</v>
      </c>
      <c r="Z3987">
        <v>-4.5930989999999998E-3</v>
      </c>
      <c r="AA3987">
        <v>0.97965419999999903</v>
      </c>
      <c r="AB3987">
        <v>44</v>
      </c>
      <c r="AC3987">
        <v>-24.5734999999999</v>
      </c>
      <c r="AD3987">
        <v>-1.1052948348589999</v>
      </c>
      <c r="AE3987">
        <v>-4.9973999999999901</v>
      </c>
      <c r="AF3987">
        <v>-5.0926311436704497</v>
      </c>
      <c r="AG3987">
        <v>-1.1052948348589999</v>
      </c>
      <c r="AH3987">
        <v>24.5042805572409</v>
      </c>
      <c r="AI3987">
        <v>92.528684517423102</v>
      </c>
      <c r="AJ3987">
        <v>101.7404373662</v>
      </c>
      <c r="AK3987">
        <v>25.052272037989301</v>
      </c>
    </row>
    <row r="3988" spans="1:37" x14ac:dyDescent="0.2">
      <c r="A3988" t="str">
        <f>"20200111153513923"</f>
        <v>20200111153513923</v>
      </c>
      <c r="B3988" t="str">
        <f>"1578728113919410"</f>
        <v>1578728113919410</v>
      </c>
      <c r="C3988" t="s">
        <v>37</v>
      </c>
      <c r="D3988">
        <v>4.6416899999999996</v>
      </c>
      <c r="E3988">
        <v>0.45331260000000001</v>
      </c>
      <c r="F3988" t="s">
        <v>39</v>
      </c>
      <c r="G3988">
        <v>-391.8947</v>
      </c>
      <c r="H3988" s="1">
        <v>-3.8824049999999998E-6</v>
      </c>
      <c r="I3988">
        <v>137.23179999999999</v>
      </c>
      <c r="J3988">
        <v>-367.73829999999998</v>
      </c>
      <c r="K3988">
        <v>1.1053170000000001</v>
      </c>
      <c r="L3988">
        <v>142.17670000000001</v>
      </c>
      <c r="M3988">
        <v>-0.99986129999999995</v>
      </c>
      <c r="N3988">
        <v>0</v>
      </c>
      <c r="O3988">
        <v>4.1626900000000001E-3</v>
      </c>
      <c r="P3988">
        <v>-0.99460800000000005</v>
      </c>
      <c r="Q3988">
        <v>6.539826E-2</v>
      </c>
      <c r="R3988">
        <v>-8.048574E-2</v>
      </c>
      <c r="S3988">
        <v>-2.976715</v>
      </c>
      <c r="T3988">
        <v>-0.13461879999999901</v>
      </c>
      <c r="U3988">
        <v>-0.60211179999999997</v>
      </c>
      <c r="V3988">
        <v>-8.4663740000000001E-2</v>
      </c>
      <c r="W3988">
        <v>8.1385929999999995E-2</v>
      </c>
      <c r="X3988">
        <v>0.99308030000000003</v>
      </c>
      <c r="Y3988">
        <v>-0.20213499999999901</v>
      </c>
      <c r="Z3988">
        <v>-4.7089239999999997E-3</v>
      </c>
      <c r="AA3988">
        <v>0.9793463</v>
      </c>
      <c r="AB3988">
        <v>44</v>
      </c>
      <c r="AC3988">
        <v>-24.156400000000001</v>
      </c>
      <c r="AD3988">
        <v>-1.105320882405</v>
      </c>
      <c r="AE3988">
        <v>-4.9449000000000103</v>
      </c>
      <c r="AF3988">
        <v>-5.0353074523309598</v>
      </c>
      <c r="AG3988">
        <v>-1.105320882405</v>
      </c>
      <c r="AH3988">
        <v>24.087201016534799</v>
      </c>
      <c r="AI3988">
        <v>92.571846564486293</v>
      </c>
      <c r="AJ3988">
        <v>101.80735933548399</v>
      </c>
      <c r="AK3988">
        <v>24.6326877990108</v>
      </c>
    </row>
    <row r="3989" spans="1:37" x14ac:dyDescent="0.2">
      <c r="A3989" t="str">
        <f>"20200111153513941"</f>
        <v>20200111153513941</v>
      </c>
      <c r="B3989" t="str">
        <f>"1578728113930146"</f>
        <v>1578728113930146</v>
      </c>
      <c r="C3989" t="s">
        <v>37</v>
      </c>
      <c r="D3989">
        <v>4.6495179999999996</v>
      </c>
      <c r="E3989">
        <v>0.45322579999999901</v>
      </c>
      <c r="F3989" t="s">
        <v>39</v>
      </c>
      <c r="G3989">
        <v>-391.93630000000002</v>
      </c>
      <c r="H3989" s="1">
        <v>-3.8598260000000002E-6</v>
      </c>
      <c r="I3989">
        <v>137.25839999999999</v>
      </c>
      <c r="J3989">
        <v>-368.11169999999998</v>
      </c>
      <c r="K3989">
        <v>1.105348</v>
      </c>
      <c r="L3989">
        <v>142.1781</v>
      </c>
      <c r="M3989">
        <v>-0.99985729999999995</v>
      </c>
      <c r="N3989">
        <v>0</v>
      </c>
      <c r="O3989">
        <v>4.0104540000000001E-3</v>
      </c>
      <c r="P3989">
        <v>-0.99453159999999896</v>
      </c>
      <c r="Q3989">
        <v>6.5362760000000006E-2</v>
      </c>
      <c r="R3989">
        <v>-8.1456529999999999E-2</v>
      </c>
      <c r="S3989">
        <v>-2.9762270000000002</v>
      </c>
      <c r="T3989">
        <v>-0.13594870000000001</v>
      </c>
      <c r="U3989">
        <v>-0.604904199999999</v>
      </c>
      <c r="V3989">
        <v>-8.5482639999999999E-2</v>
      </c>
      <c r="W3989">
        <v>8.1630209999999995E-2</v>
      </c>
      <c r="X3989">
        <v>0.99298999999999904</v>
      </c>
      <c r="Y3989">
        <v>-0.20289499999999999</v>
      </c>
      <c r="Z3989">
        <v>-4.76601299999999E-3</v>
      </c>
      <c r="AA3989">
        <v>0.97918890000000003</v>
      </c>
      <c r="AB3989">
        <v>44</v>
      </c>
      <c r="AC3989">
        <v>-23.8246</v>
      </c>
      <c r="AD3989">
        <v>-1.1053518598259999</v>
      </c>
      <c r="AE3989">
        <v>-4.9196999999999997</v>
      </c>
      <c r="AF3989">
        <v>-5.0048881588205596</v>
      </c>
      <c r="AG3989">
        <v>-1.1053518598259999</v>
      </c>
      <c r="AH3989">
        <v>23.755631937760999</v>
      </c>
      <c r="AI3989">
        <v>92.606909973550998</v>
      </c>
      <c r="AJ3989">
        <v>101.89720874365101</v>
      </c>
      <c r="AK3989">
        <v>24.302278843324402</v>
      </c>
    </row>
    <row r="3990" spans="1:37" x14ac:dyDescent="0.2">
      <c r="A3990" t="str">
        <f>"20200111153513964"</f>
        <v>20200111153513964</v>
      </c>
      <c r="B3990" t="str">
        <f>"1578728113959425"</f>
        <v>1578728113959425</v>
      </c>
      <c r="C3990" t="s">
        <v>37</v>
      </c>
      <c r="D3990">
        <v>4.6160019999999999</v>
      </c>
      <c r="E3990">
        <v>0.45295999999999997</v>
      </c>
      <c r="F3990" t="s">
        <v>39</v>
      </c>
      <c r="G3990">
        <v>-392.25229999999999</v>
      </c>
      <c r="H3990" s="1">
        <v>-3.727235E-6</v>
      </c>
      <c r="I3990">
        <v>137.24180000000001</v>
      </c>
      <c r="J3990">
        <v>-368.54750000000001</v>
      </c>
      <c r="K3990">
        <v>1.1053899999999901</v>
      </c>
      <c r="L3990">
        <v>142.17959999999999</v>
      </c>
      <c r="M3990">
        <v>-0.99985270000000004</v>
      </c>
      <c r="N3990">
        <v>0</v>
      </c>
      <c r="O3990">
        <v>3.8363939999999999E-3</v>
      </c>
      <c r="P3990">
        <v>-0.99439109999999997</v>
      </c>
      <c r="Q3990">
        <v>6.5567669999999995E-2</v>
      </c>
      <c r="R3990">
        <v>-8.2991640000000005E-2</v>
      </c>
      <c r="S3990">
        <v>-2.975616</v>
      </c>
      <c r="T3990">
        <v>-0.13624810000000001</v>
      </c>
      <c r="U3990">
        <v>-0.60844419999999899</v>
      </c>
      <c r="V3990">
        <v>-8.6844320000000003E-2</v>
      </c>
      <c r="W3990">
        <v>8.21601E-2</v>
      </c>
      <c r="X3990">
        <v>0.99282819999999905</v>
      </c>
      <c r="Y3990">
        <v>-0.20388029999999999</v>
      </c>
      <c r="Z3990">
        <v>-4.7913309999999898E-3</v>
      </c>
      <c r="AA3990">
        <v>0.97898410000000002</v>
      </c>
      <c r="AB3990">
        <v>44</v>
      </c>
      <c r="AC3990">
        <v>-23.704799999999899</v>
      </c>
      <c r="AD3990">
        <v>-1.1053937272349901</v>
      </c>
      <c r="AE3990">
        <v>-4.9377999999999798</v>
      </c>
      <c r="AF3990">
        <v>-5.0182588766694298</v>
      </c>
      <c r="AG3990">
        <v>-1.1053937272349901</v>
      </c>
      <c r="AH3990">
        <v>23.6364193048354</v>
      </c>
      <c r="AI3990">
        <v>92.619276676563999</v>
      </c>
      <c r="AJ3990">
        <v>101.98650785339601</v>
      </c>
      <c r="AK3990">
        <v>24.1885331303797</v>
      </c>
    </row>
    <row r="3991" spans="1:37" x14ac:dyDescent="0.2">
      <c r="A3991" t="str">
        <f>"20200111153513986"</f>
        <v>20200111153513986</v>
      </c>
      <c r="B3991" t="str">
        <f>"1578728113979924"</f>
        <v>1578728113979924</v>
      </c>
      <c r="C3991" t="s">
        <v>37</v>
      </c>
      <c r="D3991">
        <v>4.6500120000000003</v>
      </c>
      <c r="E3991">
        <v>0.4527697</v>
      </c>
      <c r="F3991" t="s">
        <v>39</v>
      </c>
      <c r="G3991">
        <v>-392.66230000000002</v>
      </c>
      <c r="H3991" s="1">
        <v>-3.55973099999999E-6</v>
      </c>
      <c r="I3991">
        <v>137.19450000000001</v>
      </c>
      <c r="J3991">
        <v>-368.99489999999997</v>
      </c>
      <c r="K3991">
        <v>1.1054360000000001</v>
      </c>
      <c r="L3991">
        <v>142.18119999999999</v>
      </c>
      <c r="M3991">
        <v>-0.99984740000000005</v>
      </c>
      <c r="N3991">
        <v>0</v>
      </c>
      <c r="O3991">
        <v>3.6600949999999999E-3</v>
      </c>
      <c r="P3991">
        <v>-0.99425549999999996</v>
      </c>
      <c r="Q3991">
        <v>6.5830890000000003E-2</v>
      </c>
      <c r="R3991">
        <v>-8.4395570000000003E-2</v>
      </c>
      <c r="S3991">
        <v>-2.9746090000000001</v>
      </c>
      <c r="T3991">
        <v>-0.136352799999999</v>
      </c>
      <c r="U3991">
        <v>-0.61491390000000001</v>
      </c>
      <c r="V3991">
        <v>-8.8073129999999999E-2</v>
      </c>
      <c r="W3991">
        <v>8.2758380000000006E-2</v>
      </c>
      <c r="X3991">
        <v>0.99267019999999995</v>
      </c>
      <c r="Y3991">
        <v>-0.2058131</v>
      </c>
      <c r="Z3991">
        <v>-4.8313770000000004E-3</v>
      </c>
      <c r="AA3991">
        <v>0.97857939999999999</v>
      </c>
      <c r="AB3991">
        <v>44</v>
      </c>
      <c r="AC3991">
        <v>-23.667400000000001</v>
      </c>
      <c r="AD3991">
        <v>-1.1054395597310001</v>
      </c>
      <c r="AE3991">
        <v>-4.9866999999999804</v>
      </c>
      <c r="AF3991">
        <v>-5.0627289473870496</v>
      </c>
      <c r="AG3991">
        <v>-1.1054395597310001</v>
      </c>
      <c r="AH3991">
        <v>23.5996910657129</v>
      </c>
      <c r="AI3991">
        <v>92.622271902220703</v>
      </c>
      <c r="AJ3991">
        <v>102.107876709739</v>
      </c>
      <c r="AK3991">
        <v>24.161925407798499</v>
      </c>
    </row>
    <row r="3992" spans="1:37" x14ac:dyDescent="0.2">
      <c r="A3992" t="str">
        <f>"20200111153514001"</f>
        <v>20200111153514001</v>
      </c>
      <c r="B3992" t="str">
        <f>"1578728113989682"</f>
        <v>1578728113989682</v>
      </c>
      <c r="C3992" t="s">
        <v>37</v>
      </c>
      <c r="D3992">
        <v>4.6142079999999996</v>
      </c>
      <c r="E3992">
        <v>0.4526907</v>
      </c>
      <c r="F3992" t="s">
        <v>39</v>
      </c>
      <c r="G3992">
        <v>-393.18329999999997</v>
      </c>
      <c r="H3992" s="1">
        <v>-3.3467519999999998E-6</v>
      </c>
      <c r="I3992">
        <v>137.13489999999999</v>
      </c>
      <c r="J3992">
        <v>-369.2679</v>
      </c>
      <c r="K3992">
        <v>1.105467</v>
      </c>
      <c r="L3992">
        <v>142.18209999999999</v>
      </c>
      <c r="M3992">
        <v>-0.99984430000000002</v>
      </c>
      <c r="N3992">
        <v>0</v>
      </c>
      <c r="O3992">
        <v>3.5530290000000001E-3</v>
      </c>
      <c r="P3992">
        <v>-0.99416389999999999</v>
      </c>
      <c r="Q3992">
        <v>6.6070909999999997E-2</v>
      </c>
      <c r="R3992">
        <v>-8.5280030000000007E-2</v>
      </c>
      <c r="S3992">
        <v>-2.9736020000000001</v>
      </c>
      <c r="T3992">
        <v>-0.13589709999999999</v>
      </c>
      <c r="U3992">
        <v>-0.62034609999999901</v>
      </c>
      <c r="V3992">
        <v>-8.8851280000000005E-2</v>
      </c>
      <c r="W3992">
        <v>8.3205059999999997E-2</v>
      </c>
      <c r="X3992">
        <v>0.99256350000000004</v>
      </c>
      <c r="Y3992">
        <v>-0.20748730000000001</v>
      </c>
      <c r="Z3992">
        <v>-4.8489479999999996E-3</v>
      </c>
      <c r="AA3992">
        <v>0.97822569999999998</v>
      </c>
      <c r="AB3992">
        <v>44</v>
      </c>
      <c r="AC3992">
        <v>-23.915399999999899</v>
      </c>
      <c r="AD3992">
        <v>-1.105470346752</v>
      </c>
      <c r="AE3992">
        <v>-5.0472000000000001</v>
      </c>
      <c r="AF3992">
        <v>-5.12167619865287</v>
      </c>
      <c r="AG3992">
        <v>-1.105470346752</v>
      </c>
      <c r="AH3992">
        <v>23.848529673543201</v>
      </c>
      <c r="AI3992">
        <v>92.594896471215193</v>
      </c>
      <c r="AJ3992">
        <v>102.120657929251</v>
      </c>
      <c r="AK3992">
        <v>24.4173298982764</v>
      </c>
    </row>
    <row r="3993" spans="1:37" x14ac:dyDescent="0.2">
      <c r="A3993" t="str">
        <f>"20200111153514015"</f>
        <v>20200111153514015</v>
      </c>
      <c r="B3993" t="str">
        <f>"1578728114010178"</f>
        <v>1578728114010178</v>
      </c>
      <c r="C3993" t="s">
        <v>37</v>
      </c>
      <c r="D3993">
        <v>4.6467809999999998</v>
      </c>
      <c r="E3993">
        <v>0.45247389999999998</v>
      </c>
      <c r="F3993" t="s">
        <v>39</v>
      </c>
      <c r="G3993">
        <v>-393.5521</v>
      </c>
      <c r="H3993" s="1">
        <v>-3.1967559999999899E-6</v>
      </c>
      <c r="I3993">
        <v>137.08869999999999</v>
      </c>
      <c r="J3993">
        <v>-369.54930000000002</v>
      </c>
      <c r="K3993">
        <v>1.1054949999999999</v>
      </c>
      <c r="L3993">
        <v>142.18299999999999</v>
      </c>
      <c r="M3993">
        <v>-0.99984089999999903</v>
      </c>
      <c r="N3993">
        <v>0</v>
      </c>
      <c r="O3993">
        <v>3.44223599999999E-3</v>
      </c>
      <c r="P3993">
        <v>-0.99408249999999998</v>
      </c>
      <c r="Q3993">
        <v>6.6573640000000003E-2</v>
      </c>
      <c r="R3993">
        <v>-8.5838689999999995E-2</v>
      </c>
      <c r="S3993">
        <v>-2.9731749999999999</v>
      </c>
      <c r="T3993">
        <v>-0.13534589999999999</v>
      </c>
      <c r="U3993">
        <v>-0.62358089999999999</v>
      </c>
      <c r="V3993">
        <v>-8.9299760000000006E-2</v>
      </c>
      <c r="W3993">
        <v>8.3924470000000001E-2</v>
      </c>
      <c r="X3993">
        <v>0.99246270000000003</v>
      </c>
      <c r="Y3993">
        <v>-0.20842749999999999</v>
      </c>
      <c r="Z3993">
        <v>-4.8456179999999899E-3</v>
      </c>
      <c r="AA3993">
        <v>0.97802579999999995</v>
      </c>
      <c r="AB3993">
        <v>44</v>
      </c>
      <c r="AC3993">
        <v>-24.002799999999901</v>
      </c>
      <c r="AD3993">
        <v>-1.105498196756</v>
      </c>
      <c r="AE3993">
        <v>-5.0942999999999996</v>
      </c>
      <c r="AF3993">
        <v>-5.1664188738706303</v>
      </c>
      <c r="AG3993">
        <v>-1.105498196756</v>
      </c>
      <c r="AH3993">
        <v>23.9365324518573</v>
      </c>
      <c r="AI3993">
        <v>92.584860819069505</v>
      </c>
      <c r="AJ3993">
        <v>102.179777510088</v>
      </c>
      <c r="AK3993">
        <v>24.512682351430499</v>
      </c>
    </row>
    <row r="3994" spans="1:37" x14ac:dyDescent="0.2">
      <c r="A3994" t="str">
        <f>"20200111153514027"</f>
        <v>20200111153514027</v>
      </c>
      <c r="B3994" t="str">
        <f>"1578728114019938"</f>
        <v>1578728114019938</v>
      </c>
      <c r="C3994" t="s">
        <v>37</v>
      </c>
      <c r="D3994">
        <v>4.6825429999999999</v>
      </c>
      <c r="E3994">
        <v>0.4523585</v>
      </c>
      <c r="F3994" t="s">
        <v>39</v>
      </c>
      <c r="G3994">
        <v>-394.03710000000001</v>
      </c>
      <c r="H3994" s="1">
        <v>-3.00121E-6</v>
      </c>
      <c r="I3994">
        <v>137.0181</v>
      </c>
      <c r="J3994">
        <v>-369.7876</v>
      </c>
      <c r="K3994">
        <v>1.1055189999999999</v>
      </c>
      <c r="L3994">
        <v>142.18369999999999</v>
      </c>
      <c r="M3994">
        <v>-0.99983789999999995</v>
      </c>
      <c r="N3994">
        <v>0</v>
      </c>
      <c r="O3994">
        <v>3.348186E-3</v>
      </c>
      <c r="P3994">
        <v>-0.993992599999999</v>
      </c>
      <c r="Q3994">
        <v>6.7197519999999997E-2</v>
      </c>
      <c r="R3994">
        <v>-8.6390250000000002E-2</v>
      </c>
      <c r="S3994">
        <v>-2.9726870000000001</v>
      </c>
      <c r="T3994">
        <v>-0.1342016</v>
      </c>
      <c r="U3994">
        <v>-0.62698359999999997</v>
      </c>
      <c r="V3994">
        <v>-8.9757840000000005E-2</v>
      </c>
      <c r="W3994">
        <v>8.4730310000000003E-2</v>
      </c>
      <c r="X3994">
        <v>0.99235289999999998</v>
      </c>
      <c r="Y3994">
        <v>-0.2094424</v>
      </c>
      <c r="Z3994">
        <v>-4.8233549999999997E-3</v>
      </c>
      <c r="AA3994">
        <v>0.97780909999999999</v>
      </c>
      <c r="AB3994">
        <v>44</v>
      </c>
      <c r="AC3994">
        <v>-24.249500000000001</v>
      </c>
      <c r="AD3994">
        <v>-1.10552200121</v>
      </c>
      <c r="AE3994">
        <v>-5.16559999999998</v>
      </c>
      <c r="AF3994">
        <v>-5.2363647322832501</v>
      </c>
      <c r="AG3994">
        <v>-1.10552200121</v>
      </c>
      <c r="AH3994">
        <v>24.183983763595201</v>
      </c>
      <c r="AI3994">
        <v>92.558141977252802</v>
      </c>
      <c r="AJ3994">
        <v>102.21720576653</v>
      </c>
      <c r="AK3994">
        <v>24.7690687185145</v>
      </c>
    </row>
    <row r="3995" spans="1:37" x14ac:dyDescent="0.2">
      <c r="A3995" t="str">
        <f>"20200111153514043"</f>
        <v>20200111153514043</v>
      </c>
      <c r="B3995" t="str">
        <f>"1578728114029698"</f>
        <v>1578728114029698</v>
      </c>
      <c r="C3995" t="s">
        <v>37</v>
      </c>
      <c r="D3995">
        <v>4.7514010000000004</v>
      </c>
      <c r="E3995">
        <v>0.45235789999999998</v>
      </c>
      <c r="F3995" t="s">
        <v>39</v>
      </c>
      <c r="G3995">
        <v>-394.57530000000003</v>
      </c>
      <c r="H3995" s="1">
        <v>-2.7848730000000001E-6</v>
      </c>
      <c r="I3995">
        <v>136.93620000000001</v>
      </c>
      <c r="J3995">
        <v>-370.0711</v>
      </c>
      <c r="K3995">
        <v>1.105548</v>
      </c>
      <c r="L3995">
        <v>142.18450000000001</v>
      </c>
      <c r="M3995">
        <v>-0.99983429999999995</v>
      </c>
      <c r="N3995">
        <v>0</v>
      </c>
      <c r="O3995">
        <v>3.2357639999999999E-3</v>
      </c>
      <c r="P3995">
        <v>-0.99383169999999899</v>
      </c>
      <c r="Q3995">
        <v>6.7792450000000004E-2</v>
      </c>
      <c r="R3995">
        <v>-8.7765770000000007E-2</v>
      </c>
      <c r="S3995">
        <v>-2.9724729999999999</v>
      </c>
      <c r="T3995">
        <v>-0.13257160000000001</v>
      </c>
      <c r="U3995">
        <v>-0.62925719999999996</v>
      </c>
      <c r="V3995">
        <v>-9.102151E-2</v>
      </c>
      <c r="W3995">
        <v>8.5537989999999994E-2</v>
      </c>
      <c r="X3995">
        <v>0.99216849999999901</v>
      </c>
      <c r="Y3995">
        <v>-0.21006710000000001</v>
      </c>
      <c r="Z3995">
        <v>-4.7736020000000001E-3</v>
      </c>
      <c r="AA3995">
        <v>0.97767530000000002</v>
      </c>
      <c r="AB3995">
        <v>43</v>
      </c>
      <c r="AC3995">
        <v>-24.504200000000001</v>
      </c>
      <c r="AD3995">
        <v>-1.105550784873</v>
      </c>
      <c r="AE3995">
        <v>-5.2483000000000004</v>
      </c>
      <c r="AF3995">
        <v>-5.3172264258990802</v>
      </c>
      <c r="AG3995">
        <v>-1.105550784873</v>
      </c>
      <c r="AH3995">
        <v>24.439521404170801</v>
      </c>
      <c r="AI3995">
        <v>92.530947639803003</v>
      </c>
      <c r="AJ3995">
        <v>102.274370220146</v>
      </c>
      <c r="AK3995">
        <v>25.0356814540195</v>
      </c>
    </row>
    <row r="3996" spans="1:37" x14ac:dyDescent="0.2">
      <c r="A3996" t="str">
        <f>"20200111153514065"</f>
        <v>20200111153514065</v>
      </c>
      <c r="B3996" t="str">
        <f>"1578728114059956"</f>
        <v>1578728114059956</v>
      </c>
      <c r="C3996" t="s">
        <v>37</v>
      </c>
      <c r="D3996">
        <v>4.7119599999999897</v>
      </c>
      <c r="E3996">
        <v>0.47385739999999998</v>
      </c>
      <c r="F3996" t="s">
        <v>39</v>
      </c>
      <c r="G3996">
        <v>-395.16789999999997</v>
      </c>
      <c r="H3996" s="1">
        <v>-2.54833499999999E-6</v>
      </c>
      <c r="I3996">
        <v>136.8364</v>
      </c>
      <c r="J3996">
        <v>-370.49919999999997</v>
      </c>
      <c r="K3996">
        <v>1.105583</v>
      </c>
      <c r="L3996">
        <v>142.1858</v>
      </c>
      <c r="M3996">
        <v>-0.99982939999999998</v>
      </c>
      <c r="N3996">
        <v>0</v>
      </c>
      <c r="O3996">
        <v>3.064743E-3</v>
      </c>
      <c r="P3996">
        <v>-0.99368849999999997</v>
      </c>
      <c r="Q3996">
        <v>6.7793320000000004E-2</v>
      </c>
      <c r="R3996">
        <v>-8.937262E-2</v>
      </c>
      <c r="S3996">
        <v>-2.971619</v>
      </c>
      <c r="T3996">
        <v>-0.1309043</v>
      </c>
      <c r="U3996">
        <v>-0.63323969999999996</v>
      </c>
      <c r="V3996">
        <v>-9.2458129999999999E-2</v>
      </c>
      <c r="W3996">
        <v>8.5846309999999995E-2</v>
      </c>
      <c r="X3996">
        <v>0.99200900000000003</v>
      </c>
      <c r="Y3996">
        <v>-0.2112145</v>
      </c>
      <c r="Z3996">
        <v>-4.7318320000000001E-3</v>
      </c>
      <c r="AA3996">
        <v>0.97742830000000003</v>
      </c>
      <c r="AB3996">
        <v>43</v>
      </c>
      <c r="AC3996">
        <v>-24.668700000000001</v>
      </c>
      <c r="AD3996">
        <v>-1.1055855483349999</v>
      </c>
      <c r="AE3996">
        <v>-5.3494000000000002</v>
      </c>
      <c r="AF3996">
        <v>-5.4146033490993304</v>
      </c>
      <c r="AG3996">
        <v>-1.1055855483349999</v>
      </c>
      <c r="AH3996">
        <v>24.604985033473401</v>
      </c>
      <c r="AI3996">
        <v>92.512720855287796</v>
      </c>
      <c r="AJ3996">
        <v>102.410764920281</v>
      </c>
      <c r="AK3996">
        <v>25.217960610053598</v>
      </c>
    </row>
    <row r="3997" spans="1:37" x14ac:dyDescent="0.2">
      <c r="A3997" t="str">
        <f>"20200111153514087"</f>
        <v>20200111153514087</v>
      </c>
      <c r="B3997" t="str">
        <f>"1578728114079473"</f>
        <v>1578728114079473</v>
      </c>
      <c r="C3997" t="s">
        <v>37</v>
      </c>
      <c r="D3997">
        <v>4.7069429999999999</v>
      </c>
      <c r="E3997">
        <v>0.4738212</v>
      </c>
      <c r="F3997" t="s">
        <v>39</v>
      </c>
      <c r="G3997">
        <v>-399.185</v>
      </c>
      <c r="H3997" s="1">
        <v>-7.7477769999999997E-7</v>
      </c>
      <c r="I3997">
        <v>137.6943</v>
      </c>
      <c r="J3997">
        <v>-370.93560000000002</v>
      </c>
      <c r="K3997">
        <v>1.1056090000000001</v>
      </c>
      <c r="L3997">
        <v>142.18690000000001</v>
      </c>
      <c r="M3997">
        <v>-0.9998243</v>
      </c>
      <c r="N3997">
        <v>0</v>
      </c>
      <c r="O3997">
        <v>2.890344E-3</v>
      </c>
      <c r="P3997">
        <v>-0.99350509999999903</v>
      </c>
      <c r="Q3997">
        <v>6.7198040000000001E-2</v>
      </c>
      <c r="R3997">
        <v>-9.1827240000000004E-2</v>
      </c>
      <c r="S3997">
        <v>-2.9848629999999998</v>
      </c>
      <c r="T3997">
        <v>-0.1150402</v>
      </c>
      <c r="U3997">
        <v>-0.46734619999999999</v>
      </c>
      <c r="V3997">
        <v>-9.4738020000000006E-2</v>
      </c>
      <c r="W3997">
        <v>8.5538459999999997E-2</v>
      </c>
      <c r="X3997">
        <v>0.99182049999999999</v>
      </c>
      <c r="Y3997">
        <v>-0.1574267</v>
      </c>
      <c r="Z3997">
        <v>-3.1249479999999998E-3</v>
      </c>
      <c r="AA3997">
        <v>0.98752569999999995</v>
      </c>
      <c r="AB3997">
        <v>43</v>
      </c>
      <c r="AC3997">
        <v>-28.249399999999898</v>
      </c>
      <c r="AD3997">
        <v>-1.1056097747777001</v>
      </c>
      <c r="AE3997">
        <v>-4.4926000000000004</v>
      </c>
      <c r="AF3997">
        <v>-4.5674221900951704</v>
      </c>
      <c r="AG3997">
        <v>-1.1056097747777001</v>
      </c>
      <c r="AH3997">
        <v>28.1941737125203</v>
      </c>
      <c r="AI3997">
        <v>92.216782680211793</v>
      </c>
      <c r="AJ3997">
        <v>99.201905936961296</v>
      </c>
      <c r="AK3997">
        <v>28.583127011725502</v>
      </c>
    </row>
    <row r="3998" spans="1:37" x14ac:dyDescent="0.2">
      <c r="A3998" t="str">
        <f>"20200111153514109"</f>
        <v>20200111153514109</v>
      </c>
      <c r="B3998" t="str">
        <f>"1578728114099969"</f>
        <v>1578728114099969</v>
      </c>
      <c r="C3998" t="s">
        <v>37</v>
      </c>
      <c r="D3998">
        <v>4.6964629999999996</v>
      </c>
      <c r="E3998">
        <v>0.47324679999999902</v>
      </c>
      <c r="F3998" t="s">
        <v>51</v>
      </c>
      <c r="G3998">
        <v>-400.4615</v>
      </c>
      <c r="H3998" s="1">
        <v>-4.5049330000000001E-6</v>
      </c>
      <c r="I3998">
        <v>137.48609999999999</v>
      </c>
      <c r="J3998">
        <v>-371.35289999999998</v>
      </c>
      <c r="K3998">
        <v>1.1056299999999999</v>
      </c>
      <c r="L3998">
        <v>142.18799999999999</v>
      </c>
      <c r="M3998">
        <v>-0.99982000000000004</v>
      </c>
      <c r="N3998">
        <v>0</v>
      </c>
      <c r="O3998">
        <v>2.72325E-3</v>
      </c>
      <c r="P3998">
        <v>-0.9932839</v>
      </c>
      <c r="Q3998">
        <v>6.6807870000000005E-2</v>
      </c>
      <c r="R3998">
        <v>-9.4466259999999996E-2</v>
      </c>
      <c r="S3998">
        <v>-2.9833069999999999</v>
      </c>
      <c r="T3998">
        <v>-0.11171150000000001</v>
      </c>
      <c r="U3998">
        <v>-0.474975599999999</v>
      </c>
      <c r="V3998">
        <v>-9.7210019999999994E-2</v>
      </c>
      <c r="W3998">
        <v>8.5395929999999995E-2</v>
      </c>
      <c r="X3998">
        <v>0.99159349999999902</v>
      </c>
      <c r="Y3998">
        <v>-0.15980899999999901</v>
      </c>
      <c r="Z3998">
        <v>-3.0736439999999999E-3</v>
      </c>
      <c r="AA3998">
        <v>0.987143199999999</v>
      </c>
      <c r="AB3998">
        <v>43</v>
      </c>
      <c r="AC3998">
        <v>-29.108599999999999</v>
      </c>
      <c r="AD3998">
        <v>-1.1056345049330001</v>
      </c>
      <c r="AE3998">
        <v>-4.7018999999999904</v>
      </c>
      <c r="AF3998">
        <v>-4.7744535103736503</v>
      </c>
      <c r="AG3998">
        <v>-1.1056345049330001</v>
      </c>
      <c r="AH3998">
        <v>29.054833377379701</v>
      </c>
      <c r="AI3998">
        <v>92.150433407672807</v>
      </c>
      <c r="AJ3998">
        <v>99.331765972162501</v>
      </c>
      <c r="AK3998">
        <v>29.465253716343899</v>
      </c>
    </row>
    <row r="3999" spans="1:37" x14ac:dyDescent="0.2">
      <c r="A3999" t="str">
        <f>"20200111153514132"</f>
        <v>20200111153514132</v>
      </c>
      <c r="B3999" t="str">
        <f>"1578728114119490"</f>
        <v>1578728114119490</v>
      </c>
      <c r="C3999" t="s">
        <v>37</v>
      </c>
      <c r="D3999">
        <v>4.7483110000000002</v>
      </c>
      <c r="E3999">
        <v>0.47283069999999999</v>
      </c>
      <c r="F3999" t="s">
        <v>51</v>
      </c>
      <c r="G3999">
        <v>-400.51179999999999</v>
      </c>
      <c r="H3999" s="1">
        <v>-4.5007599999999999E-6</v>
      </c>
      <c r="I3999">
        <v>137.42400000000001</v>
      </c>
      <c r="J3999">
        <v>-371.77300000000002</v>
      </c>
      <c r="K3999">
        <v>1.1056440000000001</v>
      </c>
      <c r="L3999">
        <v>142.18889999999999</v>
      </c>
      <c r="M3999">
        <v>-0.99981609999999999</v>
      </c>
      <c r="N3999">
        <v>0</v>
      </c>
      <c r="O3999">
        <v>2.5549309999999999E-3</v>
      </c>
      <c r="P3999">
        <v>-0.99292329999999995</v>
      </c>
      <c r="Q3999">
        <v>6.6908590000000004E-2</v>
      </c>
      <c r="R3999">
        <v>-9.8115499999999994E-2</v>
      </c>
      <c r="S3999">
        <v>-2.9815669999999899</v>
      </c>
      <c r="T3999">
        <v>-0.1130536</v>
      </c>
      <c r="U3999">
        <v>-0.48712159999999899</v>
      </c>
      <c r="V3999">
        <v>-0.1006909</v>
      </c>
      <c r="W3999">
        <v>8.5717570000000007E-2</v>
      </c>
      <c r="X3999">
        <v>0.99121840000000005</v>
      </c>
      <c r="Y3999">
        <v>-0.16364500000000001</v>
      </c>
      <c r="Z3999">
        <v>-3.1772150000000002E-3</v>
      </c>
      <c r="AA3999">
        <v>0.98651420000000001</v>
      </c>
      <c r="AB3999">
        <v>43</v>
      </c>
      <c r="AC3999">
        <v>-28.738799999999902</v>
      </c>
      <c r="AD3999">
        <v>-1.1056485007600001</v>
      </c>
      <c r="AE3999">
        <v>-4.7648999999999804</v>
      </c>
      <c r="AF3999">
        <v>-4.8313636811964296</v>
      </c>
      <c r="AG3999">
        <v>-1.1056485007600001</v>
      </c>
      <c r="AH3999">
        <v>28.6852083488447</v>
      </c>
      <c r="AI3999">
        <v>92.176699581254397</v>
      </c>
      <c r="AJ3999">
        <v>99.560428024225999</v>
      </c>
      <c r="AK3999">
        <v>29.110233795760699</v>
      </c>
    </row>
    <row r="4000" spans="1:37" x14ac:dyDescent="0.2">
      <c r="A4000" t="str">
        <f>"20200111153514154"</f>
        <v>20200111153514154</v>
      </c>
      <c r="B4000" t="str">
        <f>"1578728114149745"</f>
        <v>1578728114149745</v>
      </c>
      <c r="C4000" t="s">
        <v>37</v>
      </c>
      <c r="D4000">
        <v>4.7361769999999996</v>
      </c>
      <c r="E4000">
        <v>0.4724621</v>
      </c>
      <c r="F4000" t="s">
        <v>51</v>
      </c>
      <c r="G4000">
        <v>-400.73840000000001</v>
      </c>
      <c r="H4000" s="1">
        <v>-4.5744239999999996E-6</v>
      </c>
      <c r="I4000">
        <v>137.3194</v>
      </c>
      <c r="J4000">
        <v>-372.20339999999999</v>
      </c>
      <c r="K4000">
        <v>1.105656</v>
      </c>
      <c r="L4000">
        <v>142.18979999999999</v>
      </c>
      <c r="M4000">
        <v>-0.99981249999999999</v>
      </c>
      <c r="N4000">
        <v>0</v>
      </c>
      <c r="O4000">
        <v>2.3821390000000001E-3</v>
      </c>
      <c r="P4000">
        <v>-0.99252879999999999</v>
      </c>
      <c r="Q4000">
        <v>6.6348229999999994E-2</v>
      </c>
      <c r="R4000">
        <v>-0.102394</v>
      </c>
      <c r="S4000">
        <v>-2.97961399999999</v>
      </c>
      <c r="T4000">
        <v>-0.113735999999999</v>
      </c>
      <c r="U4000">
        <v>-0.50091549999999996</v>
      </c>
      <c r="V4000">
        <v>-0.1047973</v>
      </c>
      <c r="W4000">
        <v>8.5357459999999996E-2</v>
      </c>
      <c r="X4000">
        <v>0.99082369999999897</v>
      </c>
      <c r="Y4000">
        <v>-0.1680162</v>
      </c>
      <c r="Z4000">
        <v>-3.273513E-3</v>
      </c>
      <c r="AA4000">
        <v>0.98577879999999996</v>
      </c>
      <c r="AB4000">
        <v>43</v>
      </c>
      <c r="AC4000">
        <v>-28.535</v>
      </c>
      <c r="AD4000">
        <v>-1.105660574424</v>
      </c>
      <c r="AE4000">
        <v>-4.8703999999999796</v>
      </c>
      <c r="AF4000">
        <v>-4.9311791157140599</v>
      </c>
      <c r="AG4000">
        <v>-1.105660574424</v>
      </c>
      <c r="AH4000">
        <v>28.481763692435202</v>
      </c>
      <c r="AI4000">
        <v>92.190546289033705</v>
      </c>
      <c r="AJ4000">
        <v>99.822509824972698</v>
      </c>
      <c r="AK4000">
        <v>28.926629181583099</v>
      </c>
    </row>
    <row r="4001" spans="1:37" x14ac:dyDescent="0.2">
      <c r="A4001" t="str">
        <f>"20200111153514169"</f>
        <v>20200111153514169</v>
      </c>
      <c r="B4001" t="str">
        <f>"1578728114159505"</f>
        <v>1578728114159505</v>
      </c>
      <c r="C4001" t="s">
        <v>37</v>
      </c>
      <c r="D4001">
        <v>4.7290460000000003</v>
      </c>
      <c r="E4001">
        <v>0.47242279999999998</v>
      </c>
      <c r="F4001" t="s">
        <v>51</v>
      </c>
      <c r="G4001">
        <v>-400.74119999999999</v>
      </c>
      <c r="H4001" s="1">
        <v>-4.533727E-6</v>
      </c>
      <c r="I4001">
        <v>137.2396</v>
      </c>
      <c r="J4001">
        <v>-372.49400000000003</v>
      </c>
      <c r="K4001">
        <v>1.105664</v>
      </c>
      <c r="L4001">
        <v>142.19040000000001</v>
      </c>
      <c r="M4001">
        <v>-0.99981049999999905</v>
      </c>
      <c r="N4001">
        <v>0</v>
      </c>
      <c r="O4001">
        <v>2.265146E-3</v>
      </c>
      <c r="P4001">
        <v>-0.99231919999999996</v>
      </c>
      <c r="Q4001">
        <v>6.6030619999999998E-2</v>
      </c>
      <c r="R4001">
        <v>-0.104608199999999</v>
      </c>
      <c r="S4001">
        <v>-2.9770509999999999</v>
      </c>
      <c r="T4001">
        <v>-0.115342</v>
      </c>
      <c r="U4001">
        <v>-0.51640319999999995</v>
      </c>
      <c r="V4001">
        <v>-0.1068947</v>
      </c>
      <c r="W4001">
        <v>8.5156960000000004E-2</v>
      </c>
      <c r="X4001">
        <v>0.99061690000000002</v>
      </c>
      <c r="Y4001">
        <v>-0.17301329999999901</v>
      </c>
      <c r="Z4001">
        <v>-3.4126299999999998E-3</v>
      </c>
      <c r="AA4001">
        <v>0.98491359999999994</v>
      </c>
      <c r="AB4001">
        <v>43</v>
      </c>
      <c r="AC4001">
        <v>-28.2471999999999</v>
      </c>
      <c r="AD4001">
        <v>-1.105668533727</v>
      </c>
      <c r="AE4001">
        <v>-4.9508000000000099</v>
      </c>
      <c r="AF4001">
        <v>-5.0073399794752902</v>
      </c>
      <c r="AG4001">
        <v>-1.105668533727</v>
      </c>
      <c r="AH4001">
        <v>28.1940013103798</v>
      </c>
      <c r="AI4001">
        <v>92.211217906298998</v>
      </c>
      <c r="AJ4001">
        <v>100.070891969309</v>
      </c>
      <c r="AK4001">
        <v>28.6565466598162</v>
      </c>
    </row>
    <row r="4002" spans="1:37" x14ac:dyDescent="0.2">
      <c r="A4002" t="str">
        <f>"20200111153514183"</f>
        <v>20200111153514183</v>
      </c>
      <c r="B4002" t="str">
        <f>"1578728114180002"</f>
        <v>1578728114180002</v>
      </c>
      <c r="C4002" t="s">
        <v>37</v>
      </c>
      <c r="D4002">
        <v>4.7419379999999904</v>
      </c>
      <c r="E4002">
        <v>0.47237200000000001</v>
      </c>
      <c r="F4002" t="s">
        <v>51</v>
      </c>
      <c r="G4002">
        <v>-400.68520000000001</v>
      </c>
      <c r="H4002" s="1">
        <v>-4.4985810000000001E-6</v>
      </c>
      <c r="I4002">
        <v>137.2336</v>
      </c>
      <c r="J4002">
        <v>-372.75659999999999</v>
      </c>
      <c r="K4002">
        <v>1.105666</v>
      </c>
      <c r="L4002">
        <v>142.1909</v>
      </c>
      <c r="M4002">
        <v>-0.99980869999999999</v>
      </c>
      <c r="N4002">
        <v>0</v>
      </c>
      <c r="O4002">
        <v>2.1592829999999901E-3</v>
      </c>
      <c r="P4002">
        <v>-0.9921529</v>
      </c>
      <c r="Q4002">
        <v>6.5627550000000007E-2</v>
      </c>
      <c r="R4002">
        <v>-0.106422399999999</v>
      </c>
      <c r="S4002">
        <v>-2.97582999999999</v>
      </c>
      <c r="T4002">
        <v>-0.11671339999999999</v>
      </c>
      <c r="U4002">
        <v>-0.52323909999999996</v>
      </c>
      <c r="V4002">
        <v>-0.10860309999999999</v>
      </c>
      <c r="W4002">
        <v>8.4849079999999993E-2</v>
      </c>
      <c r="X4002">
        <v>0.99045749999999999</v>
      </c>
      <c r="Y4002">
        <v>-0.1751675</v>
      </c>
      <c r="Z4002">
        <v>-3.4916790000000001E-3</v>
      </c>
      <c r="AA4002">
        <v>0.98453250000000003</v>
      </c>
      <c r="AB4002">
        <v>42</v>
      </c>
      <c r="AC4002">
        <v>-27.928599999999999</v>
      </c>
      <c r="AD4002">
        <v>-1.105670498581</v>
      </c>
      <c r="AE4002">
        <v>-4.9573</v>
      </c>
      <c r="AF4002">
        <v>-5.0099932419499202</v>
      </c>
      <c r="AG4002">
        <v>-1.105670498581</v>
      </c>
      <c r="AH4002">
        <v>27.875473731331201</v>
      </c>
      <c r="AI4002">
        <v>92.235641814774596</v>
      </c>
      <c r="AJ4002">
        <v>100.188857930308</v>
      </c>
      <c r="AK4002">
        <v>28.343686691782899</v>
      </c>
    </row>
    <row r="4003" spans="1:37" x14ac:dyDescent="0.2">
      <c r="A4003" t="str">
        <f>"20200111153514198"</f>
        <v>20200111153514198</v>
      </c>
      <c r="B4003" t="str">
        <f>"1578728114189762"</f>
        <v>1578728114189762</v>
      </c>
      <c r="C4003" t="s">
        <v>37</v>
      </c>
      <c r="D4003">
        <v>4.7341689999999996</v>
      </c>
      <c r="E4003">
        <v>0.47238219999999997</v>
      </c>
      <c r="F4003" t="s">
        <v>51</v>
      </c>
      <c r="G4003">
        <v>-400.83460000000002</v>
      </c>
      <c r="H4003" s="1">
        <v>-4.564843E-6</v>
      </c>
      <c r="I4003">
        <v>137.1979</v>
      </c>
      <c r="J4003">
        <v>-373.04250000000002</v>
      </c>
      <c r="K4003">
        <v>1.105666</v>
      </c>
      <c r="L4003">
        <v>142.19139999999999</v>
      </c>
      <c r="M4003">
        <v>-0.99980709999999995</v>
      </c>
      <c r="N4003">
        <v>0</v>
      </c>
      <c r="O4003">
        <v>2.0436790000000001E-3</v>
      </c>
      <c r="P4003">
        <v>-0.99178630000000001</v>
      </c>
      <c r="Q4003">
        <v>6.4934829999999999E-2</v>
      </c>
      <c r="R4003">
        <v>-0.11019909999999999</v>
      </c>
      <c r="S4003">
        <v>-2.974701</v>
      </c>
      <c r="T4003">
        <v>-0.1171393</v>
      </c>
      <c r="U4003">
        <v>-0.52897640000000001</v>
      </c>
      <c r="V4003">
        <v>-0.11226369999999999</v>
      </c>
      <c r="W4003">
        <v>8.4242810000000001E-2</v>
      </c>
      <c r="X4003">
        <v>0.99010100000000001</v>
      </c>
      <c r="Y4003">
        <v>-0.17695610000000001</v>
      </c>
      <c r="Z4003">
        <v>-3.5355489999999998E-3</v>
      </c>
      <c r="AA4003">
        <v>0.98421239999999999</v>
      </c>
      <c r="AB4003">
        <v>42</v>
      </c>
      <c r="AC4003">
        <v>-27.792100000000001</v>
      </c>
      <c r="AD4003">
        <v>-1.1056705648430001</v>
      </c>
      <c r="AE4003">
        <v>-4.9934999999999796</v>
      </c>
      <c r="AF4003">
        <v>-5.0425670724216003</v>
      </c>
      <c r="AG4003">
        <v>-1.1056705648430001</v>
      </c>
      <c r="AH4003">
        <v>27.739303864787999</v>
      </c>
      <c r="AI4003">
        <v>92.245797563464606</v>
      </c>
      <c r="AJ4003">
        <v>100.302961568863</v>
      </c>
      <c r="AK4003">
        <v>28.2155802524221</v>
      </c>
    </row>
    <row r="4004" spans="1:37" x14ac:dyDescent="0.2">
      <c r="A4004" t="str">
        <f>"20200111153514214"</f>
        <v>20200111153514214</v>
      </c>
      <c r="B4004" t="str">
        <f>"1578728114210259"</f>
        <v>1578728114210259</v>
      </c>
      <c r="C4004" t="s">
        <v>37</v>
      </c>
      <c r="D4004">
        <v>4.7706280000000003</v>
      </c>
      <c r="E4004">
        <v>0.47252729999999998</v>
      </c>
      <c r="F4004" t="s">
        <v>51</v>
      </c>
      <c r="G4004">
        <v>-400.57229999999998</v>
      </c>
      <c r="H4004" s="1">
        <v>-4.4117910000000002E-6</v>
      </c>
      <c r="I4004">
        <v>137.19130000000001</v>
      </c>
      <c r="J4004">
        <v>-373.33300000000003</v>
      </c>
      <c r="K4004">
        <v>1.105666</v>
      </c>
      <c r="L4004">
        <v>142.1919</v>
      </c>
      <c r="M4004">
        <v>-0.99980559999999996</v>
      </c>
      <c r="N4004">
        <v>0</v>
      </c>
      <c r="O4004">
        <v>1.926112E-3</v>
      </c>
      <c r="P4004">
        <v>-0.99159489999999995</v>
      </c>
      <c r="Q4004">
        <v>6.4696600000000007E-2</v>
      </c>
      <c r="R4004">
        <v>-0.1120443</v>
      </c>
      <c r="S4004">
        <v>-2.9726870000000001</v>
      </c>
      <c r="T4004">
        <v>-0.1193911</v>
      </c>
      <c r="U4004">
        <v>-0.53991699999999998</v>
      </c>
      <c r="V4004">
        <v>-0.1139916</v>
      </c>
      <c r="W4004">
        <v>8.4083179999999993E-2</v>
      </c>
      <c r="X4004">
        <v>0.98991719999999905</v>
      </c>
      <c r="Y4004">
        <v>-0.18045510000000001</v>
      </c>
      <c r="Z4004">
        <v>-3.6696839999999999E-3</v>
      </c>
      <c r="AA4004">
        <v>0.98357640000000002</v>
      </c>
      <c r="AB4004">
        <v>42</v>
      </c>
      <c r="AC4004">
        <v>-27.239299999999901</v>
      </c>
      <c r="AD4004">
        <v>-1.1056704117909999</v>
      </c>
      <c r="AE4004">
        <v>-5.0005999999999897</v>
      </c>
      <c r="AF4004">
        <v>-5.0450254423497798</v>
      </c>
      <c r="AG4004">
        <v>-1.1056704117909999</v>
      </c>
      <c r="AH4004">
        <v>27.186283348833001</v>
      </c>
      <c r="AI4004">
        <v>92.289892586491106</v>
      </c>
      <c r="AJ4004">
        <v>100.512928944382</v>
      </c>
      <c r="AK4004">
        <v>27.6725277323287</v>
      </c>
    </row>
    <row r="4005" spans="1:37" x14ac:dyDescent="0.2">
      <c r="A4005" t="str">
        <f>"20200111153514232"</f>
        <v>20200111153514232</v>
      </c>
      <c r="B4005" t="str">
        <f>"1578728114220018"</f>
        <v>1578728114220018</v>
      </c>
      <c r="C4005" t="s">
        <v>37</v>
      </c>
      <c r="D4005">
        <v>4.6863209999999897</v>
      </c>
      <c r="E4005">
        <v>0.472578</v>
      </c>
      <c r="F4005" t="s">
        <v>51</v>
      </c>
      <c r="G4005">
        <v>-400.66849999999999</v>
      </c>
      <c r="H4005" s="1">
        <v>-4.4648250000000001E-6</v>
      </c>
      <c r="I4005">
        <v>137.18780000000001</v>
      </c>
      <c r="J4005">
        <v>-373.67469999999997</v>
      </c>
      <c r="K4005">
        <v>1.1056649999999999</v>
      </c>
      <c r="L4005">
        <v>142.19239999999999</v>
      </c>
      <c r="M4005">
        <v>-0.99980440000000004</v>
      </c>
      <c r="N4005">
        <v>0</v>
      </c>
      <c r="O4005">
        <v>1.7873979999999999E-3</v>
      </c>
      <c r="P4005">
        <v>-0.99117369999999905</v>
      </c>
      <c r="Q4005">
        <v>6.4446199999999995E-2</v>
      </c>
      <c r="R4005">
        <v>-0.1158506</v>
      </c>
      <c r="S4005">
        <v>-2.9718019999999998</v>
      </c>
      <c r="T4005">
        <v>-0.12020359999999999</v>
      </c>
      <c r="U4005">
        <v>-0.54402159999999999</v>
      </c>
      <c r="V4005">
        <v>-0.11765929999999999</v>
      </c>
      <c r="W4005">
        <v>8.3904989999999999E-2</v>
      </c>
      <c r="X4005">
        <v>0.98950300000000002</v>
      </c>
      <c r="Y4005">
        <v>-0.18168190000000001</v>
      </c>
      <c r="Z4005">
        <v>-3.7142999999999998E-3</v>
      </c>
      <c r="AA4005">
        <v>0.98335030000000001</v>
      </c>
      <c r="AB4005">
        <v>42</v>
      </c>
      <c r="AC4005">
        <v>-26.9938</v>
      </c>
      <c r="AD4005">
        <v>-1.1056694648249901</v>
      </c>
      <c r="AE4005">
        <v>-5.0045999999999804</v>
      </c>
      <c r="AF4005">
        <v>-5.0446676762657798</v>
      </c>
      <c r="AG4005">
        <v>-1.1056694648249901</v>
      </c>
      <c r="AH4005">
        <v>26.9411119574537</v>
      </c>
      <c r="AI4005">
        <v>92.310010165785101</v>
      </c>
      <c r="AJ4005">
        <v>100.60570306709801</v>
      </c>
      <c r="AK4005">
        <v>27.431636670703099</v>
      </c>
    </row>
    <row r="4006" spans="1:37" x14ac:dyDescent="0.2">
      <c r="A4006" t="str">
        <f>"20200111153514255"</f>
        <v>20200111153514255</v>
      </c>
      <c r="B4006" t="str">
        <f>"1578728114250273"</f>
        <v>1578728114250273</v>
      </c>
      <c r="C4006" t="s">
        <v>37</v>
      </c>
      <c r="D4006">
        <v>4.73766</v>
      </c>
      <c r="E4006">
        <v>0.47252379999999999</v>
      </c>
      <c r="F4006" t="s">
        <v>51</v>
      </c>
      <c r="G4006">
        <v>-400.89769999999999</v>
      </c>
      <c r="H4006" s="1">
        <v>-4.5520720000000001E-6</v>
      </c>
      <c r="I4006">
        <v>137.10599999999999</v>
      </c>
      <c r="J4006">
        <v>-374.09530000000001</v>
      </c>
      <c r="K4006">
        <v>1.105669</v>
      </c>
      <c r="L4006">
        <v>142.19290000000001</v>
      </c>
      <c r="M4006">
        <v>-0.99980329999999995</v>
      </c>
      <c r="N4006">
        <v>0</v>
      </c>
      <c r="O4006">
        <v>1.6166760000000001E-3</v>
      </c>
      <c r="P4006">
        <v>-0.990703</v>
      </c>
      <c r="Q4006">
        <v>6.4808459999999998E-2</v>
      </c>
      <c r="R4006">
        <v>-0.1196135</v>
      </c>
      <c r="S4006">
        <v>-2.9696349999999998</v>
      </c>
      <c r="T4006">
        <v>-0.1206125</v>
      </c>
      <c r="U4006">
        <v>-0.55485530000000005</v>
      </c>
      <c r="V4006">
        <v>-0.121252</v>
      </c>
      <c r="W4006">
        <v>8.4320740000000005E-2</v>
      </c>
      <c r="X4006">
        <v>0.98903390000000002</v>
      </c>
      <c r="Y4006">
        <v>-0.18510499999999999</v>
      </c>
      <c r="Z4006">
        <v>-3.7903889999999999E-3</v>
      </c>
      <c r="AA4006">
        <v>0.98271140000000001</v>
      </c>
      <c r="AB4006">
        <v>42</v>
      </c>
      <c r="AC4006">
        <v>-26.802399999999899</v>
      </c>
      <c r="AD4006">
        <v>-1.105673552072</v>
      </c>
      <c r="AE4006">
        <v>-5.0869000000000097</v>
      </c>
      <c r="AF4006">
        <v>-5.1218193982868803</v>
      </c>
      <c r="AG4006">
        <v>-1.105673552072</v>
      </c>
      <c r="AH4006">
        <v>26.750199001763999</v>
      </c>
      <c r="AI4006">
        <v>92.324694693988107</v>
      </c>
      <c r="AJ4006">
        <v>100.83915021118401</v>
      </c>
      <c r="AK4006">
        <v>27.258552686934699</v>
      </c>
    </row>
    <row r="4007" spans="1:37" x14ac:dyDescent="0.2">
      <c r="A4007" t="str">
        <f>"20200111153514269"</f>
        <v>20200111153514269</v>
      </c>
      <c r="B4007" t="str">
        <f>"1578728114260033"</f>
        <v>1578728114260033</v>
      </c>
      <c r="C4007" t="s">
        <v>37</v>
      </c>
      <c r="D4007">
        <v>4.7392849999999997</v>
      </c>
      <c r="E4007">
        <v>0.47255069999999999</v>
      </c>
      <c r="F4007" t="s">
        <v>51</v>
      </c>
      <c r="G4007">
        <v>-401.62049999999999</v>
      </c>
      <c r="H4007" s="1">
        <v>-4.8355999999999999E-6</v>
      </c>
      <c r="I4007">
        <v>136.94120000000001</v>
      </c>
      <c r="J4007">
        <v>-374.37389999999999</v>
      </c>
      <c r="K4007">
        <v>1.1056600000000001</v>
      </c>
      <c r="L4007">
        <v>142.19329999999999</v>
      </c>
      <c r="M4007">
        <v>-0.99980340000000001</v>
      </c>
      <c r="N4007">
        <v>0</v>
      </c>
      <c r="O4007">
        <v>1.5030429999999999E-3</v>
      </c>
      <c r="P4007">
        <v>-0.99045349999999999</v>
      </c>
      <c r="Q4007">
        <v>6.50757E-2</v>
      </c>
      <c r="R4007">
        <v>-0.121520899999999</v>
      </c>
      <c r="S4007">
        <v>-2.96759</v>
      </c>
      <c r="T4007">
        <v>-0.1192067</v>
      </c>
      <c r="U4007">
        <v>-0.56620789999999999</v>
      </c>
      <c r="V4007">
        <v>-0.12304619999999999</v>
      </c>
      <c r="W4007">
        <v>8.4593940000000006E-2</v>
      </c>
      <c r="X4007">
        <v>0.98878889999999997</v>
      </c>
      <c r="Y4007">
        <v>-0.18874479999999999</v>
      </c>
      <c r="Z4007">
        <v>-3.8153609999999902E-3</v>
      </c>
      <c r="AA4007">
        <v>0.98201879999999997</v>
      </c>
      <c r="AB4007">
        <v>42</v>
      </c>
      <c r="AC4007">
        <v>-27.246600000000001</v>
      </c>
      <c r="AD4007">
        <v>-1.1056648356000001</v>
      </c>
      <c r="AE4007">
        <v>-5.25209999999998</v>
      </c>
      <c r="AF4007">
        <v>-5.2846642402528801</v>
      </c>
      <c r="AG4007">
        <v>-1.1056648356000001</v>
      </c>
      <c r="AH4007">
        <v>27.195494315570802</v>
      </c>
      <c r="AI4007">
        <v>92.285441598333406</v>
      </c>
      <c r="AJ4007">
        <v>100.996742958621</v>
      </c>
      <c r="AK4007">
        <v>27.7262525763784</v>
      </c>
    </row>
    <row r="4008" spans="1:37" x14ac:dyDescent="0.2">
      <c r="A4008" t="str">
        <f>"20200111153514288"</f>
        <v>20200111153514288</v>
      </c>
      <c r="B4008" t="str">
        <f>"1578728114279553"</f>
        <v>1578728114279553</v>
      </c>
      <c r="C4008" t="s">
        <v>37</v>
      </c>
      <c r="D4008">
        <v>4.7430680000000001</v>
      </c>
      <c r="E4008">
        <v>0.47273799999999999</v>
      </c>
      <c r="F4008" t="s">
        <v>51</v>
      </c>
      <c r="G4008">
        <v>-402.10719999999998</v>
      </c>
      <c r="H4008" s="1">
        <v>-5.0081399999999998E-6</v>
      </c>
      <c r="I4008">
        <v>136.8485</v>
      </c>
      <c r="J4008">
        <v>-374.71820000000002</v>
      </c>
      <c r="K4008">
        <v>1.105653</v>
      </c>
      <c r="L4008">
        <v>142.19370000000001</v>
      </c>
      <c r="M4008">
        <v>-0.99980369999999996</v>
      </c>
      <c r="N4008">
        <v>0</v>
      </c>
      <c r="O4008">
        <v>1.3620279999999999E-3</v>
      </c>
      <c r="P4008">
        <v>-0.98993709999999902</v>
      </c>
      <c r="Q4008">
        <v>6.613579E-2</v>
      </c>
      <c r="R4008">
        <v>-0.1251012</v>
      </c>
      <c r="S4008">
        <v>-2.96655299999999</v>
      </c>
      <c r="T4008">
        <v>-0.11826979999999999</v>
      </c>
      <c r="U4008">
        <v>-0.57171629999999996</v>
      </c>
      <c r="V4008">
        <v>-0.1264874</v>
      </c>
      <c r="W4008">
        <v>8.5633009999999996E-2</v>
      </c>
      <c r="X4008">
        <v>0.98826510000000001</v>
      </c>
      <c r="Y4008">
        <v>-0.19042909999999999</v>
      </c>
      <c r="Z4008">
        <v>-3.8137279999999902E-3</v>
      </c>
      <c r="AA4008">
        <v>0.98169359999999894</v>
      </c>
      <c r="AB4008">
        <v>42</v>
      </c>
      <c r="AC4008">
        <v>-27.3889999999999</v>
      </c>
      <c r="AD4008">
        <v>-1.10565800814</v>
      </c>
      <c r="AE4008">
        <v>-5.3452000000000002</v>
      </c>
      <c r="AF4008">
        <v>-5.37407048035685</v>
      </c>
      <c r="AG4008">
        <v>-1.10565800814</v>
      </c>
      <c r="AH4008">
        <v>27.338775329516402</v>
      </c>
      <c r="AI4008">
        <v>92.272499729381494</v>
      </c>
      <c r="AJ4008">
        <v>101.121018928974</v>
      </c>
      <c r="AK4008">
        <v>27.883897677272099</v>
      </c>
    </row>
    <row r="4009" spans="1:37" x14ac:dyDescent="0.2">
      <c r="A4009" t="str">
        <f>"20200111153514304"</f>
        <v>20200111153514304</v>
      </c>
      <c r="B4009" t="str">
        <f>"1578728114300050"</f>
        <v>1578728114300050</v>
      </c>
      <c r="C4009" t="s">
        <v>37</v>
      </c>
      <c r="D4009">
        <v>4.7427089999999996</v>
      </c>
      <c r="E4009">
        <v>0.4729738</v>
      </c>
      <c r="F4009" t="s">
        <v>51</v>
      </c>
      <c r="G4009">
        <v>-403.31810000000002</v>
      </c>
      <c r="H4009" s="1">
        <v>-5.42581199999999E-6</v>
      </c>
      <c r="I4009">
        <v>136.59289999999999</v>
      </c>
      <c r="J4009">
        <v>-375.01679999999999</v>
      </c>
      <c r="K4009">
        <v>1.10564</v>
      </c>
      <c r="L4009">
        <v>142.19390000000001</v>
      </c>
      <c r="M4009">
        <v>-0.99980440000000004</v>
      </c>
      <c r="N4009">
        <v>0</v>
      </c>
      <c r="O4009">
        <v>1.237932E-3</v>
      </c>
      <c r="P4009">
        <v>-0.98952289999999998</v>
      </c>
      <c r="Q4009">
        <v>6.6443600000000005E-2</v>
      </c>
      <c r="R4009">
        <v>-0.12817970000000001</v>
      </c>
      <c r="S4009">
        <v>-2.9647830000000002</v>
      </c>
      <c r="T4009">
        <v>-0.114617</v>
      </c>
      <c r="U4009">
        <v>-0.58059689999999997</v>
      </c>
      <c r="V4009">
        <v>-0.12944220000000001</v>
      </c>
      <c r="W4009">
        <v>8.5909029999999997E-2</v>
      </c>
      <c r="X4009">
        <v>0.98785849999999897</v>
      </c>
      <c r="Y4009">
        <v>-0.19325590000000001</v>
      </c>
      <c r="Z4009">
        <v>-3.7465009999999902E-3</v>
      </c>
      <c r="AA4009">
        <v>0.98114129999999999</v>
      </c>
      <c r="AB4009">
        <v>42</v>
      </c>
      <c r="AC4009">
        <v>-28.301300000000001</v>
      </c>
      <c r="AD4009">
        <v>-1.1056454258120001</v>
      </c>
      <c r="AE4009">
        <v>-5.6010000000000204</v>
      </c>
      <c r="AF4009">
        <v>-5.6277720984230601</v>
      </c>
      <c r="AG4009">
        <v>-1.1056454258120001</v>
      </c>
      <c r="AH4009">
        <v>28.252848281315298</v>
      </c>
      <c r="AI4009">
        <v>92.197929509159493</v>
      </c>
      <c r="AJ4009">
        <v>101.265471119243</v>
      </c>
      <c r="AK4009">
        <v>28.829112136977599</v>
      </c>
    </row>
    <row r="4010" spans="1:37" x14ac:dyDescent="0.2">
      <c r="A4010" t="str">
        <f>"20200111153514333"</f>
        <v>20200111153514333</v>
      </c>
      <c r="B4010" t="str">
        <f>"1578728114330305"</f>
        <v>1578728114330305</v>
      </c>
      <c r="C4010" t="s">
        <v>37</v>
      </c>
      <c r="D4010">
        <v>4.7119819999999999</v>
      </c>
      <c r="E4010">
        <v>0.47339199999999998</v>
      </c>
      <c r="F4010" t="s">
        <v>51</v>
      </c>
      <c r="G4010">
        <v>-403.9511</v>
      </c>
      <c r="H4010" s="1">
        <v>-5.6425909999999902E-6</v>
      </c>
      <c r="I4010">
        <v>136.45599999999999</v>
      </c>
      <c r="J4010">
        <v>-375.54500000000002</v>
      </c>
      <c r="K4010">
        <v>1.105634</v>
      </c>
      <c r="L4010">
        <v>142.1943</v>
      </c>
      <c r="M4010">
        <v>-0.99980569999999902</v>
      </c>
      <c r="N4010">
        <v>0</v>
      </c>
      <c r="O4010">
        <v>1.0091339999999901E-3</v>
      </c>
      <c r="P4010">
        <v>-0.98910330000000002</v>
      </c>
      <c r="Q4010">
        <v>6.5631739999999994E-2</v>
      </c>
      <c r="R4010">
        <v>-0.13178419999999999</v>
      </c>
      <c r="S4010">
        <v>-2.9632869999999998</v>
      </c>
      <c r="T4010">
        <v>-0.1132339</v>
      </c>
      <c r="U4010">
        <v>-0.58764649999999996</v>
      </c>
      <c r="V4010">
        <v>-0.13281989999999999</v>
      </c>
      <c r="W4010">
        <v>8.5032010000000005E-2</v>
      </c>
      <c r="X4010">
        <v>0.98748590000000003</v>
      </c>
      <c r="Y4010">
        <v>-0.19537299999999999</v>
      </c>
      <c r="Z4010">
        <v>-3.7337020000000002E-3</v>
      </c>
      <c r="AA4010">
        <v>0.98072190000000004</v>
      </c>
      <c r="AB4010">
        <v>42</v>
      </c>
      <c r="AC4010">
        <v>-28.406099999999899</v>
      </c>
      <c r="AD4010">
        <v>-1.105639642591</v>
      </c>
      <c r="AE4010">
        <v>-5.7382999999999802</v>
      </c>
      <c r="AF4010">
        <v>-5.7585861627027404</v>
      </c>
      <c r="AG4010">
        <v>-1.105639642591</v>
      </c>
      <c r="AH4010">
        <v>28.359015130431501</v>
      </c>
      <c r="AI4010">
        <v>92.188063103419196</v>
      </c>
      <c r="AJ4010">
        <v>101.478423484904</v>
      </c>
      <c r="AK4010">
        <v>28.958893155308601</v>
      </c>
    </row>
    <row r="4011" spans="1:37" x14ac:dyDescent="0.2">
      <c r="A4011" t="str">
        <f>"20200111153514355"</f>
        <v>20200111153514355</v>
      </c>
      <c r="B4011" t="str">
        <f>"1578728114349828"</f>
        <v>1578728114349828</v>
      </c>
      <c r="C4011" t="s">
        <v>37</v>
      </c>
      <c r="D4011">
        <v>4.7412269999999896</v>
      </c>
      <c r="E4011">
        <v>0.47368399999999999</v>
      </c>
      <c r="F4011" t="s">
        <v>51</v>
      </c>
      <c r="G4011">
        <v>-403.28149999999999</v>
      </c>
      <c r="H4011" s="1">
        <v>-5.4249140000000003E-6</v>
      </c>
      <c r="I4011">
        <v>136.6258</v>
      </c>
      <c r="J4011">
        <v>-375.96260000000001</v>
      </c>
      <c r="K4011">
        <v>1.1056360000000001</v>
      </c>
      <c r="L4011">
        <v>142.19450000000001</v>
      </c>
      <c r="M4011">
        <v>-0.99980689999999905</v>
      </c>
      <c r="N4011">
        <v>0</v>
      </c>
      <c r="O4011">
        <v>8.1302459999999996E-4</v>
      </c>
      <c r="P4011">
        <v>-0.98882479999999995</v>
      </c>
      <c r="Q4011">
        <v>6.5488539999999998E-2</v>
      </c>
      <c r="R4011">
        <v>-0.13392770000000001</v>
      </c>
      <c r="S4011">
        <v>-2.9616699999999998</v>
      </c>
      <c r="T4011">
        <v>-0.1180586</v>
      </c>
      <c r="U4011">
        <v>-0.59460449999999998</v>
      </c>
      <c r="V4011">
        <v>-0.134770899999999</v>
      </c>
      <c r="W4011">
        <v>8.4831039999999996E-2</v>
      </c>
      <c r="X4011">
        <v>0.98723879999999997</v>
      </c>
      <c r="Y4011">
        <v>-0.19748460000000001</v>
      </c>
      <c r="Z4011">
        <v>-3.9277790000000002E-3</v>
      </c>
      <c r="AA4011">
        <v>0.98029809999999995</v>
      </c>
      <c r="AB4011">
        <v>41</v>
      </c>
      <c r="AC4011">
        <v>-27.3188999999999</v>
      </c>
      <c r="AD4011">
        <v>-1.1056414249140001</v>
      </c>
      <c r="AE4011">
        <v>-5.5686999999999998</v>
      </c>
      <c r="AF4011">
        <v>-5.5821348452766699</v>
      </c>
      <c r="AG4011">
        <v>-1.1056414249140001</v>
      </c>
      <c r="AH4011">
        <v>27.271475148317901</v>
      </c>
      <c r="AI4011">
        <v>92.274509115579903</v>
      </c>
      <c r="AJ4011">
        <v>101.567951976274</v>
      </c>
      <c r="AK4011">
        <v>27.858859078516801</v>
      </c>
    </row>
    <row r="4012" spans="1:37" x14ac:dyDescent="0.2">
      <c r="A4012" t="str">
        <f>"20200111153514377"</f>
        <v>20200111153514377</v>
      </c>
      <c r="B4012" t="str">
        <f>"1578728114370321"</f>
        <v>1578728114370321</v>
      </c>
      <c r="C4012" t="s">
        <v>37</v>
      </c>
      <c r="D4012">
        <v>4.7269740000000002</v>
      </c>
      <c r="E4012">
        <v>0.47403519999999999</v>
      </c>
      <c r="F4012" t="s">
        <v>51</v>
      </c>
      <c r="G4012">
        <v>-403.33629999999999</v>
      </c>
      <c r="H4012" s="1">
        <v>-5.4653120000000003E-6</v>
      </c>
      <c r="I4012">
        <v>136.6602</v>
      </c>
      <c r="J4012">
        <v>-376.366999999999</v>
      </c>
      <c r="K4012">
        <v>1.105656</v>
      </c>
      <c r="L4012">
        <v>142.19470000000001</v>
      </c>
      <c r="M4012">
        <v>-0.99980800000000003</v>
      </c>
      <c r="N4012">
        <v>0</v>
      </c>
      <c r="O4012">
        <v>6.0662300000000004E-4</v>
      </c>
      <c r="P4012">
        <v>-0.98845229999999995</v>
      </c>
      <c r="Q4012">
        <v>6.5515470000000006E-2</v>
      </c>
      <c r="R4012">
        <v>-0.13663819999999999</v>
      </c>
      <c r="S4012">
        <v>-2.9607239999999999</v>
      </c>
      <c r="T4012">
        <v>-0.1195857</v>
      </c>
      <c r="U4012">
        <v>-0.59858699999999998</v>
      </c>
      <c r="V4012">
        <v>-0.1372795</v>
      </c>
      <c r="W4012">
        <v>8.4795399999999896E-2</v>
      </c>
      <c r="X4012">
        <v>0.9868962</v>
      </c>
      <c r="Y4012">
        <v>-0.19860510000000001</v>
      </c>
      <c r="Z4012">
        <v>-3.993412E-3</v>
      </c>
      <c r="AA4012">
        <v>0.98007149999999998</v>
      </c>
      <c r="AB4012">
        <v>41</v>
      </c>
      <c r="AC4012">
        <v>-26.9693</v>
      </c>
      <c r="AD4012">
        <v>-1.105661465312</v>
      </c>
      <c r="AE4012">
        <v>-5.5345000000000004</v>
      </c>
      <c r="AF4012">
        <v>-5.5419241045282002</v>
      </c>
      <c r="AG4012">
        <v>-1.105661465312</v>
      </c>
      <c r="AH4012">
        <v>26.922515442042499</v>
      </c>
      <c r="AI4012">
        <v>92.303475034089601</v>
      </c>
      <c r="AJ4012">
        <v>101.631701126618</v>
      </c>
      <c r="AK4012">
        <v>27.509221140978301</v>
      </c>
    </row>
    <row r="4013" spans="1:37" x14ac:dyDescent="0.2">
      <c r="A4013" t="str">
        <f>"20200111153514400"</f>
        <v>20200111153514400</v>
      </c>
      <c r="B4013" t="str">
        <f>"1578728114389841"</f>
        <v>1578728114389841</v>
      </c>
      <c r="C4013" t="s">
        <v>37</v>
      </c>
      <c r="D4013">
        <v>4.7661249999999997</v>
      </c>
      <c r="E4013">
        <v>0.47414319999999999</v>
      </c>
      <c r="F4013" t="s">
        <v>51</v>
      </c>
      <c r="G4013">
        <v>-403.57499999999999</v>
      </c>
      <c r="H4013" s="1">
        <v>-5.5642869999999997E-6</v>
      </c>
      <c r="I4013">
        <v>136.6455</v>
      </c>
      <c r="J4013">
        <v>-376.7713</v>
      </c>
      <c r="K4013">
        <v>1.1056859999999999</v>
      </c>
      <c r="L4013">
        <v>142.19470000000001</v>
      </c>
      <c r="M4013">
        <v>-0.99980930000000001</v>
      </c>
      <c r="N4013">
        <v>0</v>
      </c>
      <c r="O4013">
        <v>3.803829E-4</v>
      </c>
      <c r="P4013">
        <v>-0.98807069999999997</v>
      </c>
      <c r="Q4013">
        <v>6.5771999999999997E-2</v>
      </c>
      <c r="R4013">
        <v>-0.13924919999999999</v>
      </c>
      <c r="S4013">
        <v>-2.9595950000000002</v>
      </c>
      <c r="T4013">
        <v>-0.1202701</v>
      </c>
      <c r="U4013">
        <v>-0.6036224</v>
      </c>
      <c r="V4013">
        <v>-0.13966989999999899</v>
      </c>
      <c r="W4013">
        <v>8.4978330000000005E-2</v>
      </c>
      <c r="X4013">
        <v>0.98654500000000001</v>
      </c>
      <c r="Y4013">
        <v>-0.20005429999999999</v>
      </c>
      <c r="Z4013">
        <v>-4.03711E-3</v>
      </c>
      <c r="AA4013">
        <v>0.97977649999999905</v>
      </c>
      <c r="AB4013">
        <v>41</v>
      </c>
      <c r="AC4013">
        <v>-26.8036999999999</v>
      </c>
      <c r="AD4013">
        <v>-1.105691564287</v>
      </c>
      <c r="AE4013">
        <v>-5.5492000000000097</v>
      </c>
      <c r="AF4013">
        <v>-5.5503404834355496</v>
      </c>
      <c r="AG4013">
        <v>-1.105691564287</v>
      </c>
      <c r="AH4013">
        <v>26.757924786189101</v>
      </c>
      <c r="AI4013">
        <v>92.316966420573095</v>
      </c>
      <c r="AJ4013">
        <v>101.718561103114</v>
      </c>
      <c r="AK4013">
        <v>27.3498696922079</v>
      </c>
    </row>
    <row r="4014" spans="1:37" x14ac:dyDescent="0.2">
      <c r="A4014" t="str">
        <f>"20200111153514423"</f>
        <v>20200111153514423</v>
      </c>
      <c r="B4014" t="str">
        <f>"1578728114410338"</f>
        <v>1578728114410338</v>
      </c>
      <c r="C4014" t="s">
        <v>37</v>
      </c>
      <c r="D4014">
        <v>4.7405780000000002</v>
      </c>
      <c r="E4014">
        <v>0.4802824</v>
      </c>
      <c r="F4014" t="s">
        <v>51</v>
      </c>
      <c r="G4014">
        <v>-403.95979999999997</v>
      </c>
      <c r="H4014" s="1">
        <v>-5.7066189999999899E-6</v>
      </c>
      <c r="I4014">
        <v>136.5849</v>
      </c>
      <c r="J4014">
        <v>-377.18790000000001</v>
      </c>
      <c r="K4014">
        <v>1.105718</v>
      </c>
      <c r="L4014">
        <v>142.19460000000001</v>
      </c>
      <c r="M4014">
        <v>-0.99981109999999895</v>
      </c>
      <c r="N4014">
        <v>0</v>
      </c>
      <c r="O4014">
        <v>1.283631E-4</v>
      </c>
      <c r="P4014">
        <v>-0.98772190000000004</v>
      </c>
      <c r="Q4014">
        <v>6.5355490000000002E-2</v>
      </c>
      <c r="R4014">
        <v>-0.14189560000000001</v>
      </c>
      <c r="S4014">
        <v>-2.958221</v>
      </c>
      <c r="T4014">
        <v>-0.1203041</v>
      </c>
      <c r="U4014">
        <v>-0.61036679999999999</v>
      </c>
      <c r="V4014">
        <v>-0.1420701</v>
      </c>
      <c r="W4014">
        <v>8.4465180000000001E-2</v>
      </c>
      <c r="X4014">
        <v>0.98624630000000002</v>
      </c>
      <c r="Y4014">
        <v>-0.202038</v>
      </c>
      <c r="Z4014">
        <v>-4.0689319999999999E-3</v>
      </c>
      <c r="AA4014">
        <v>0.97936919999999905</v>
      </c>
      <c r="AB4014">
        <v>41</v>
      </c>
      <c r="AC4014">
        <v>-26.771899999999899</v>
      </c>
      <c r="AD4014">
        <v>-1.105723706619</v>
      </c>
      <c r="AE4014">
        <v>-5.6097000000000001</v>
      </c>
      <c r="AF4014">
        <v>-5.60397977012114</v>
      </c>
      <c r="AG4014">
        <v>-1.105723706619</v>
      </c>
      <c r="AH4014">
        <v>26.727504656771099</v>
      </c>
      <c r="AI4014">
        <v>92.318629491862197</v>
      </c>
      <c r="AJ4014">
        <v>101.841717931948</v>
      </c>
      <c r="AK4014">
        <v>27.331057779695001</v>
      </c>
    </row>
    <row r="4015" spans="1:37" x14ac:dyDescent="0.2">
      <c r="A4015" t="str">
        <f>"20200111153514445"</f>
        <v>20200111153514445</v>
      </c>
      <c r="B4015" t="str">
        <f>"1578728114439618"</f>
        <v>1578728114439618</v>
      </c>
      <c r="C4015" t="s">
        <v>37</v>
      </c>
      <c r="D4015">
        <v>4.8130579999999998</v>
      </c>
      <c r="E4015">
        <v>0.47942499999999999</v>
      </c>
      <c r="F4015" t="s">
        <v>51</v>
      </c>
      <c r="G4015">
        <v>-402.34199999999998</v>
      </c>
      <c r="H4015" s="1">
        <v>-5.3529899999999902E-6</v>
      </c>
      <c r="I4015">
        <v>137.364</v>
      </c>
      <c r="J4015">
        <v>-377.59660000000002</v>
      </c>
      <c r="K4015">
        <v>1.105734</v>
      </c>
      <c r="L4015">
        <v>142.1944</v>
      </c>
      <c r="M4015">
        <v>-0.99981339999999996</v>
      </c>
      <c r="N4015">
        <v>0</v>
      </c>
      <c r="O4015">
        <v>-1.342812E-4</v>
      </c>
      <c r="P4015">
        <v>-0.98736740000000001</v>
      </c>
      <c r="Q4015">
        <v>6.6028989999999996E-2</v>
      </c>
      <c r="R4015">
        <v>-0.14403460000000001</v>
      </c>
      <c r="S4015">
        <v>-2.9641419999999998</v>
      </c>
      <c r="T4015">
        <v>-0.13029739999999901</v>
      </c>
      <c r="U4015">
        <v>-0.56922910000000004</v>
      </c>
      <c r="V4015">
        <v>-0.1439532</v>
      </c>
      <c r="W4015">
        <v>8.5008249999999994E-2</v>
      </c>
      <c r="X4015">
        <v>0.98592649999999904</v>
      </c>
      <c r="Y4015">
        <v>-0.18828529999999999</v>
      </c>
      <c r="Z4015">
        <v>-4.0930719999999997E-3</v>
      </c>
      <c r="AA4015">
        <v>0.98210589999999998</v>
      </c>
      <c r="AB4015">
        <v>41</v>
      </c>
      <c r="AC4015">
        <v>-24.745399999999901</v>
      </c>
      <c r="AD4015">
        <v>-1.1057393529899999</v>
      </c>
      <c r="AE4015">
        <v>-4.8303999999999903</v>
      </c>
      <c r="AF4015">
        <v>-4.8178097940138702</v>
      </c>
      <c r="AG4015">
        <v>-1.1057393529899999</v>
      </c>
      <c r="AH4015">
        <v>24.6985427122818</v>
      </c>
      <c r="AI4015">
        <v>92.516028832910706</v>
      </c>
      <c r="AJ4015">
        <v>101.037771192899</v>
      </c>
      <c r="AK4015">
        <v>25.188329893791199</v>
      </c>
    </row>
    <row r="4016" spans="1:37" x14ac:dyDescent="0.2">
      <c r="A4016" t="str">
        <f>"20200111153514466"</f>
        <v>20200111153514466</v>
      </c>
      <c r="B4016" t="str">
        <f>"1578728114460116"</f>
        <v>1578728114460116</v>
      </c>
      <c r="C4016" t="s">
        <v>37</v>
      </c>
      <c r="D4016">
        <v>4.5595939999999997</v>
      </c>
      <c r="E4016">
        <v>0.43117070000000002</v>
      </c>
      <c r="F4016" t="s">
        <v>51</v>
      </c>
      <c r="G4016">
        <v>-405.27910000000003</v>
      </c>
      <c r="H4016" s="1">
        <v>-6.4440210000000004E-6</v>
      </c>
      <c r="I4016">
        <v>136.74690000000001</v>
      </c>
      <c r="J4016">
        <v>-378.0025</v>
      </c>
      <c r="K4016">
        <v>1.1057600000000001</v>
      </c>
      <c r="L4016">
        <v>142.19399999999999</v>
      </c>
      <c r="M4016">
        <v>-0.99981609999999999</v>
      </c>
      <c r="N4016">
        <v>0</v>
      </c>
      <c r="O4016">
        <v>-4.0615129999999999E-4</v>
      </c>
      <c r="P4016">
        <v>-0.9868036</v>
      </c>
      <c r="Q4016">
        <v>6.6518190000000005E-2</v>
      </c>
      <c r="R4016">
        <v>-0.14762819999999999</v>
      </c>
      <c r="S4016">
        <v>-2.9613040000000002</v>
      </c>
      <c r="T4016">
        <v>-0.1182854</v>
      </c>
      <c r="U4016">
        <v>-0.58273319999999995</v>
      </c>
      <c r="V4016">
        <v>-0.147281</v>
      </c>
      <c r="W4016">
        <v>8.5334179999999996E-2</v>
      </c>
      <c r="X4016">
        <v>0.98540669999999897</v>
      </c>
      <c r="Y4016">
        <v>-0.1925337</v>
      </c>
      <c r="Z4016">
        <v>-3.7911920000000001E-3</v>
      </c>
      <c r="AA4016">
        <v>0.98128300000000002</v>
      </c>
      <c r="AB4016">
        <v>41</v>
      </c>
      <c r="AC4016">
        <v>-27.276599999999998</v>
      </c>
      <c r="AD4016">
        <v>-1.105766444021</v>
      </c>
      <c r="AE4016">
        <v>-5.4470999999999696</v>
      </c>
      <c r="AF4016">
        <v>-5.4274416318384997</v>
      </c>
      <c r="AG4016">
        <v>-1.105766444021</v>
      </c>
      <c r="AH4016">
        <v>27.235767464160698</v>
      </c>
      <c r="AI4016">
        <v>92.280135973102801</v>
      </c>
      <c r="AJ4016">
        <v>101.270054077833</v>
      </c>
      <c r="AK4016">
        <v>27.793288244782602</v>
      </c>
    </row>
    <row r="4017" spans="1:37" x14ac:dyDescent="0.2">
      <c r="A4017" t="str">
        <f>"20200111153514489"</f>
        <v>20200111153514489</v>
      </c>
      <c r="B4017" t="str">
        <f>"1578728114479633"</f>
        <v>1578728114479633</v>
      </c>
      <c r="C4017" t="s">
        <v>37</v>
      </c>
      <c r="D4017">
        <v>4.618455</v>
      </c>
      <c r="E4017">
        <v>0.40469109999999903</v>
      </c>
      <c r="F4017" t="s">
        <v>39</v>
      </c>
      <c r="G4017">
        <v>-399.07560000000001</v>
      </c>
      <c r="H4017" s="1">
        <v>-1.492466E-6</v>
      </c>
      <c r="I4017">
        <v>135.1369</v>
      </c>
      <c r="J4017">
        <v>-378.40219999999999</v>
      </c>
      <c r="K4017">
        <v>1.1057699999999999</v>
      </c>
      <c r="L4017">
        <v>142.1936</v>
      </c>
      <c r="M4017">
        <v>-0.99981980000000004</v>
      </c>
      <c r="N4017">
        <v>0</v>
      </c>
      <c r="O4017">
        <v>-6.8167279999999998E-4</v>
      </c>
      <c r="P4017">
        <v>-0.9860295</v>
      </c>
      <c r="Q4017">
        <v>6.8612690000000004E-2</v>
      </c>
      <c r="R4017">
        <v>-0.15178339999999901</v>
      </c>
      <c r="S4017">
        <v>-2.904846</v>
      </c>
      <c r="T4017">
        <v>-0.15242549999999999</v>
      </c>
      <c r="U4017">
        <v>-0.97279359999999904</v>
      </c>
      <c r="V4017">
        <v>-0.15116830000000001</v>
      </c>
      <c r="W4017">
        <v>8.7213020000000002E-2</v>
      </c>
      <c r="X4017">
        <v>0.98465319999999901</v>
      </c>
      <c r="Y4017">
        <v>-0.31651570000000001</v>
      </c>
      <c r="Z4017">
        <v>-8.0436829999999994E-3</v>
      </c>
      <c r="AA4017">
        <v>0.94855319999999899</v>
      </c>
      <c r="AB4017">
        <v>41</v>
      </c>
      <c r="AC4017">
        <v>-20.673400000000001</v>
      </c>
      <c r="AD4017">
        <v>-1.105771492466</v>
      </c>
      <c r="AE4017">
        <v>-7.0567000000000002</v>
      </c>
      <c r="AF4017">
        <v>-7.0246036617011498</v>
      </c>
      <c r="AG4017">
        <v>-1.105771492466</v>
      </c>
      <c r="AH4017">
        <v>20.6253565285744</v>
      </c>
      <c r="AI4017">
        <v>92.905246105196497</v>
      </c>
      <c r="AJ4017">
        <v>108.80786513311</v>
      </c>
      <c r="AK4017">
        <v>21.816808179207602</v>
      </c>
    </row>
    <row r="4018" spans="1:37" x14ac:dyDescent="0.2">
      <c r="A4018" t="str">
        <f>"20200111153514511"</f>
        <v>20200111153514511</v>
      </c>
      <c r="B4018" t="str">
        <f>"1578728114500130"</f>
        <v>1578728114500130</v>
      </c>
      <c r="C4018" t="s">
        <v>37</v>
      </c>
      <c r="D4018">
        <v>4.5866730000000002</v>
      </c>
      <c r="E4018">
        <v>0.3945901</v>
      </c>
      <c r="F4018" t="s">
        <v>39</v>
      </c>
      <c r="G4018">
        <v>-399.702</v>
      </c>
      <c r="H4018" s="1">
        <v>-1.759622E-6</v>
      </c>
      <c r="I4018">
        <v>133.33160000000001</v>
      </c>
      <c r="J4018">
        <v>-378.81099999999998</v>
      </c>
      <c r="K4018">
        <v>1.1057600000000001</v>
      </c>
      <c r="L4018">
        <v>142.19299999999899</v>
      </c>
      <c r="M4018">
        <v>-0.99982459999999995</v>
      </c>
      <c r="N4018">
        <v>0</v>
      </c>
      <c r="O4018">
        <v>-9.6333339999999995E-4</v>
      </c>
      <c r="P4018">
        <v>-0.98520609999999997</v>
      </c>
      <c r="Q4018">
        <v>7.1303710000000006E-2</v>
      </c>
      <c r="R4018">
        <v>-0.1558368</v>
      </c>
      <c r="S4018">
        <v>-2.8690799999999999</v>
      </c>
      <c r="T4018">
        <v>-0.14894749999999901</v>
      </c>
      <c r="U4018">
        <v>-1.193695</v>
      </c>
      <c r="V4018">
        <v>-0.1549478</v>
      </c>
      <c r="W4018">
        <v>8.9619229999999994E-2</v>
      </c>
      <c r="X4018">
        <v>0.98384930000000004</v>
      </c>
      <c r="Y4018">
        <v>-0.38280619999999999</v>
      </c>
      <c r="Z4018">
        <v>-9.4865639999999994E-3</v>
      </c>
      <c r="AA4018">
        <v>0.92377999999999905</v>
      </c>
      <c r="AB4018">
        <v>41</v>
      </c>
      <c r="AC4018">
        <v>-20.890999999999998</v>
      </c>
      <c r="AD4018">
        <v>-1.105761759622</v>
      </c>
      <c r="AE4018">
        <v>-8.8613999999999695</v>
      </c>
      <c r="AF4018">
        <v>-8.8203245242717898</v>
      </c>
      <c r="AG4018">
        <v>-1.105761759622</v>
      </c>
      <c r="AH4018">
        <v>20.850022306030201</v>
      </c>
      <c r="AI4018">
        <v>92.796295903902603</v>
      </c>
      <c r="AJ4018">
        <v>112.930145432147</v>
      </c>
      <c r="AK4018">
        <v>22.665927378875701</v>
      </c>
    </row>
    <row r="4019" spans="1:37" x14ac:dyDescent="0.2">
      <c r="A4019" t="str">
        <f>"20200111153514535"</f>
        <v>20200111153514535</v>
      </c>
      <c r="B4019" t="str">
        <f>"1578728114530387"</f>
        <v>1578728114530387</v>
      </c>
      <c r="C4019" t="s">
        <v>37</v>
      </c>
      <c r="D4019">
        <v>4.5256889999999999</v>
      </c>
      <c r="E4019">
        <v>0.38935759999999903</v>
      </c>
      <c r="F4019" t="s">
        <v>51</v>
      </c>
      <c r="G4019">
        <v>-400.14010000000002</v>
      </c>
      <c r="H4019" s="1">
        <v>-1.7276139999999999E-6</v>
      </c>
      <c r="I4019">
        <v>132.59360000000001</v>
      </c>
      <c r="J4019">
        <v>-379.22210000000001</v>
      </c>
      <c r="K4019">
        <v>1.1057239999999999</v>
      </c>
      <c r="L4019">
        <v>142.19220000000001</v>
      </c>
      <c r="M4019">
        <v>-0.99983069999999896</v>
      </c>
      <c r="N4019">
        <v>0</v>
      </c>
      <c r="O4019">
        <v>-1.246271E-3</v>
      </c>
      <c r="P4019">
        <v>-0.984382599999999</v>
      </c>
      <c r="Q4019">
        <v>7.3038889999999995E-2</v>
      </c>
      <c r="R4019">
        <v>-0.1601755</v>
      </c>
      <c r="S4019">
        <v>-2.8526609999999999</v>
      </c>
      <c r="T4019">
        <v>-0.14789040000000001</v>
      </c>
      <c r="U4019">
        <v>-1.2838750000000001</v>
      </c>
      <c r="V4019">
        <v>-0.15901129999999999</v>
      </c>
      <c r="W4019">
        <v>9.0994039999999998E-2</v>
      </c>
      <c r="X4019">
        <v>0.98307449999999996</v>
      </c>
      <c r="Y4019">
        <v>-0.40881970000000001</v>
      </c>
      <c r="Z4019">
        <v>-1.0041390000000001E-2</v>
      </c>
      <c r="AA4019">
        <v>0.91255989999999998</v>
      </c>
      <c r="AB4019">
        <v>41</v>
      </c>
      <c r="AC4019">
        <v>-20.917999999999999</v>
      </c>
      <c r="AD4019">
        <v>-1.105725727614</v>
      </c>
      <c r="AE4019">
        <v>-9.5985999999999994</v>
      </c>
      <c r="AF4019">
        <v>-9.5504745097970805</v>
      </c>
      <c r="AG4019">
        <v>-1.105725727614</v>
      </c>
      <c r="AH4019">
        <v>20.8817495427663</v>
      </c>
      <c r="AI4019">
        <v>92.756910613891804</v>
      </c>
      <c r="AJ4019">
        <v>114.577455692744</v>
      </c>
      <c r="AK4019">
        <v>22.988728906005399</v>
      </c>
    </row>
    <row r="4020" spans="1:37" x14ac:dyDescent="0.2">
      <c r="A4020" t="str">
        <f>"20200111153514556"</f>
        <v>20200111153514556</v>
      </c>
      <c r="B4020" t="str">
        <f>"1578728114549908"</f>
        <v>1578728114549908</v>
      </c>
      <c r="C4020" t="s">
        <v>37</v>
      </c>
      <c r="D4020">
        <v>4.5386540000000002</v>
      </c>
      <c r="E4020">
        <v>0.38833649999999997</v>
      </c>
      <c r="F4020" t="s">
        <v>51</v>
      </c>
      <c r="G4020">
        <v>-402.04079999999999</v>
      </c>
      <c r="H4020" s="1">
        <v>-2.203172E-6</v>
      </c>
      <c r="I4020">
        <v>131.4469</v>
      </c>
      <c r="J4020">
        <v>-379.6241</v>
      </c>
      <c r="K4020">
        <v>1.105667</v>
      </c>
      <c r="L4020">
        <v>142.19139999999999</v>
      </c>
      <c r="M4020">
        <v>-0.99983729999999904</v>
      </c>
      <c r="N4020">
        <v>0</v>
      </c>
      <c r="O4020">
        <v>-1.5259620000000001E-3</v>
      </c>
      <c r="P4020">
        <v>-0.98362359999999904</v>
      </c>
      <c r="Q4020">
        <v>7.3569949999999995E-2</v>
      </c>
      <c r="R4020">
        <v>-0.16453609999999999</v>
      </c>
      <c r="S4020">
        <v>-2.840179</v>
      </c>
      <c r="T4020">
        <v>-0.1376269</v>
      </c>
      <c r="U4020">
        <v>-1.337448</v>
      </c>
      <c r="V4020">
        <v>-0.1630983</v>
      </c>
      <c r="W4020">
        <v>9.1132690000000002E-2</v>
      </c>
      <c r="X4020">
        <v>0.98239179999999904</v>
      </c>
      <c r="Y4020">
        <v>-0.42424279999999998</v>
      </c>
      <c r="Z4020">
        <v>-9.6894140000000004E-3</v>
      </c>
      <c r="AA4020">
        <v>0.90549669999999904</v>
      </c>
      <c r="AB4020">
        <v>41</v>
      </c>
      <c r="AC4020">
        <v>-22.416699999999899</v>
      </c>
      <c r="AD4020">
        <v>-1.1056692031719999</v>
      </c>
      <c r="AE4020">
        <v>-10.744499999999899</v>
      </c>
      <c r="AF4020">
        <v>-10.6891284771476</v>
      </c>
      <c r="AG4020">
        <v>-1.1056692031719999</v>
      </c>
      <c r="AH4020">
        <v>22.388780207198401</v>
      </c>
      <c r="AI4020">
        <v>92.551768466931193</v>
      </c>
      <c r="AJ4020">
        <v>115.52131999197699</v>
      </c>
      <c r="AK4020">
        <v>24.8341992251421</v>
      </c>
    </row>
    <row r="4021" spans="1:37" x14ac:dyDescent="0.2">
      <c r="A4021" t="str">
        <f>"20200111153514578"</f>
        <v>20200111153514578</v>
      </c>
      <c r="B4021" t="str">
        <f>"1578728114569425"</f>
        <v>1578728114569425</v>
      </c>
      <c r="C4021" t="s">
        <v>37</v>
      </c>
      <c r="D4021">
        <v>4.5156289999999997</v>
      </c>
      <c r="E4021">
        <v>0.38752540000000002</v>
      </c>
      <c r="F4021" t="s">
        <v>51</v>
      </c>
      <c r="G4021">
        <v>-402.52980000000002</v>
      </c>
      <c r="H4021" s="1">
        <v>-2.36101699999999E-6</v>
      </c>
      <c r="I4021">
        <v>131.21879999999999</v>
      </c>
      <c r="J4021">
        <v>-380.01839999999999</v>
      </c>
      <c r="K4021">
        <v>1.105613</v>
      </c>
      <c r="L4021">
        <v>142.19049999999999</v>
      </c>
      <c r="M4021">
        <v>-0.99984340000000005</v>
      </c>
      <c r="N4021">
        <v>0</v>
      </c>
      <c r="O4021">
        <v>-1.8042679999999999E-3</v>
      </c>
      <c r="P4021">
        <v>-0.98288140000000002</v>
      </c>
      <c r="Q4021">
        <v>7.3172029999999999E-2</v>
      </c>
      <c r="R4021">
        <v>-0.16908589999999901</v>
      </c>
      <c r="S4021">
        <v>-2.8331909999999998</v>
      </c>
      <c r="T4021">
        <v>-0.13675960000000001</v>
      </c>
      <c r="U4021">
        <v>-1.3571930000000001</v>
      </c>
      <c r="V4021">
        <v>-0.1673753</v>
      </c>
      <c r="W4021">
        <v>9.0350089999999994E-2</v>
      </c>
      <c r="X4021">
        <v>0.98174450000000002</v>
      </c>
      <c r="Y4021">
        <v>-0.4299888</v>
      </c>
      <c r="Z4021">
        <v>-9.7549230000000004E-3</v>
      </c>
      <c r="AA4021">
        <v>0.90278150000000001</v>
      </c>
      <c r="AB4021">
        <v>41</v>
      </c>
      <c r="AC4021">
        <v>-22.511399999999998</v>
      </c>
      <c r="AD4021">
        <v>-1.1056153610169901</v>
      </c>
      <c r="AE4021">
        <v>-10.971699999999901</v>
      </c>
      <c r="AF4021">
        <v>-10.9097945410336</v>
      </c>
      <c r="AG4021">
        <v>-1.1056153610169901</v>
      </c>
      <c r="AH4021">
        <v>22.487331378655799</v>
      </c>
      <c r="AI4021">
        <v>92.532833450292799</v>
      </c>
      <c r="AJ4021">
        <v>115.88047810129601</v>
      </c>
      <c r="AK4021">
        <v>25.018514639913501</v>
      </c>
    </row>
    <row r="4022" spans="1:37" x14ac:dyDescent="0.2">
      <c r="A4022" t="str">
        <f>"20200111153514600"</f>
        <v>20200111153514600</v>
      </c>
      <c r="B4022" t="str">
        <f>"1578728114589921"</f>
        <v>1578728114589921</v>
      </c>
      <c r="C4022" t="s">
        <v>37</v>
      </c>
      <c r="D4022">
        <v>4.5107109999999997</v>
      </c>
      <c r="E4022">
        <v>0.38719009999999998</v>
      </c>
      <c r="F4022" t="s">
        <v>51</v>
      </c>
      <c r="G4022">
        <v>-402.03449999999998</v>
      </c>
      <c r="H4022" s="1">
        <v>-2.2173879999999998E-6</v>
      </c>
      <c r="I4022">
        <v>131.4804</v>
      </c>
      <c r="J4022">
        <v>-380.41730000000001</v>
      </c>
      <c r="K4022">
        <v>1.105551</v>
      </c>
      <c r="L4022">
        <v>142.18940000000001</v>
      </c>
      <c r="M4022">
        <v>-0.99984919999999999</v>
      </c>
      <c r="N4022">
        <v>0</v>
      </c>
      <c r="O4022">
        <v>-2.0913009999999998E-3</v>
      </c>
      <c r="P4022">
        <v>-0.98208639999999903</v>
      </c>
      <c r="Q4022">
        <v>7.3096919999999996E-2</v>
      </c>
      <c r="R4022">
        <v>-0.1736753</v>
      </c>
      <c r="S4022">
        <v>-2.8262939999999999</v>
      </c>
      <c r="T4022">
        <v>-0.1419319</v>
      </c>
      <c r="U4022">
        <v>-1.3748929999999999</v>
      </c>
      <c r="V4022">
        <v>-0.17168329999999901</v>
      </c>
      <c r="W4022">
        <v>8.990418E-2</v>
      </c>
      <c r="X4022">
        <v>0.9810413</v>
      </c>
      <c r="Y4022">
        <v>-0.43512709999999999</v>
      </c>
      <c r="Z4022">
        <v>-1.0241119999999999E-2</v>
      </c>
      <c r="AA4022">
        <v>0.90031079999999997</v>
      </c>
      <c r="AB4022">
        <v>40</v>
      </c>
      <c r="AC4022">
        <v>-21.617199999999901</v>
      </c>
      <c r="AD4022">
        <v>-1.1055532173880001</v>
      </c>
      <c r="AE4022">
        <v>-10.709</v>
      </c>
      <c r="AF4022">
        <v>-10.641413402211301</v>
      </c>
      <c r="AG4022">
        <v>-1.1055532173880001</v>
      </c>
      <c r="AH4022">
        <v>21.5942010954872</v>
      </c>
      <c r="AI4022">
        <v>92.629372429465406</v>
      </c>
      <c r="AJ4022">
        <v>116.233631989461</v>
      </c>
      <c r="AK4022">
        <v>24.0992001540628</v>
      </c>
    </row>
    <row r="4023" spans="1:37" x14ac:dyDescent="0.2">
      <c r="A4023" t="str">
        <f>"20200111153514623"</f>
        <v>20200111153514623</v>
      </c>
      <c r="B4023" t="str">
        <f>"1578728114610417"</f>
        <v>1578728114610417</v>
      </c>
      <c r="C4023" t="s">
        <v>37</v>
      </c>
      <c r="D4023">
        <v>4.493754</v>
      </c>
      <c r="E4023">
        <v>0.38673000000000002</v>
      </c>
      <c r="F4023" t="s">
        <v>40</v>
      </c>
      <c r="G4023">
        <v>-381.45510000000002</v>
      </c>
      <c r="H4023">
        <v>1.0517780000000001</v>
      </c>
      <c r="I4023">
        <v>141.67840000000001</v>
      </c>
      <c r="J4023">
        <v>-380.82170000000002</v>
      </c>
      <c r="K4023">
        <v>1.1055010000000001</v>
      </c>
      <c r="L4023">
        <v>142.1883</v>
      </c>
      <c r="M4023">
        <v>-0.99985449999999998</v>
      </c>
      <c r="N4023">
        <v>0</v>
      </c>
      <c r="O4023">
        <v>-2.3858389999999998E-3</v>
      </c>
      <c r="P4023">
        <v>-0.98149730000000002</v>
      </c>
      <c r="Q4023">
        <v>7.1620690000000001E-2</v>
      </c>
      <c r="R4023">
        <v>-0.17757790000000001</v>
      </c>
      <c r="S4023">
        <v>-2.81988499999999</v>
      </c>
      <c r="T4023">
        <v>-0.14609729999999899</v>
      </c>
      <c r="U4023">
        <v>-1.3894200000000001</v>
      </c>
      <c r="V4023">
        <v>-0.17529600000000001</v>
      </c>
      <c r="W4023">
        <v>8.8079420000000005E-2</v>
      </c>
      <c r="X4023">
        <v>0.98056790000000005</v>
      </c>
      <c r="Y4023">
        <v>-0.43936989999999998</v>
      </c>
      <c r="Z4023">
        <v>-1.0641009999999999E-2</v>
      </c>
      <c r="AA4023">
        <v>0.89824319999999902</v>
      </c>
      <c r="AB4023">
        <v>40</v>
      </c>
      <c r="AC4023">
        <v>-0.63339999999999397</v>
      </c>
      <c r="AD4023">
        <v>-5.3722999999999903E-2</v>
      </c>
      <c r="AE4023">
        <v>-0.50989999999998703</v>
      </c>
      <c r="AF4023">
        <v>-0.50617763804343197</v>
      </c>
      <c r="AG4023">
        <v>-5.3722999999999903E-2</v>
      </c>
      <c r="AH4023">
        <v>0.63185680612797102</v>
      </c>
      <c r="AI4023">
        <v>93.796417408664894</v>
      </c>
      <c r="AJ4023">
        <v>128.698060357814</v>
      </c>
      <c r="AK4023">
        <v>0.811384610055224</v>
      </c>
    </row>
    <row r="4024" spans="1:37" x14ac:dyDescent="0.2">
      <c r="A4024" t="str">
        <f>"20200111153514646"</f>
        <v>20200111153514646</v>
      </c>
      <c r="B4024" t="str">
        <f>"1578728114639697"</f>
        <v>1578728114639697</v>
      </c>
      <c r="C4024" t="s">
        <v>37</v>
      </c>
      <c r="D4024">
        <v>4.4807930000000002</v>
      </c>
      <c r="E4024">
        <v>0.38644669999999998</v>
      </c>
      <c r="F4024" t="s">
        <v>40</v>
      </c>
      <c r="G4024">
        <v>-381.81849999999997</v>
      </c>
      <c r="H4024">
        <v>1.051669</v>
      </c>
      <c r="I4024">
        <v>141.69110000000001</v>
      </c>
      <c r="J4024">
        <v>-381.238</v>
      </c>
      <c r="K4024">
        <v>1.105459</v>
      </c>
      <c r="L4024">
        <v>142.18700000000001</v>
      </c>
      <c r="M4024">
        <v>-0.99985919999999895</v>
      </c>
      <c r="N4024">
        <v>0</v>
      </c>
      <c r="O4024">
        <v>-2.6885020000000002E-3</v>
      </c>
      <c r="P4024">
        <v>-0.9810738</v>
      </c>
      <c r="Q4024">
        <v>6.9119739999999999E-2</v>
      </c>
      <c r="R4024">
        <v>-0.18087629999999999</v>
      </c>
      <c r="S4024">
        <v>-2.813812</v>
      </c>
      <c r="T4024">
        <v>-0.15196950000000001</v>
      </c>
      <c r="U4024">
        <v>-1.4031979999999999</v>
      </c>
      <c r="V4024">
        <v>-0.17829619999999999</v>
      </c>
      <c r="W4024">
        <v>8.5250549999999994E-2</v>
      </c>
      <c r="X4024">
        <v>0.98027690000000001</v>
      </c>
      <c r="Y4024">
        <v>-0.44334790000000002</v>
      </c>
      <c r="Z4024">
        <v>-1.1164179999999999E-2</v>
      </c>
      <c r="AA4024">
        <v>0.89628009999999902</v>
      </c>
      <c r="AB4024">
        <v>40</v>
      </c>
      <c r="AC4024">
        <v>-0.58049999999991497</v>
      </c>
      <c r="AD4024">
        <v>-5.3789999999999998E-2</v>
      </c>
      <c r="AE4024">
        <v>-0.495900000000006</v>
      </c>
      <c r="AF4024">
        <v>-0.49189566322924599</v>
      </c>
      <c r="AG4024">
        <v>-5.3789999999999998E-2</v>
      </c>
      <c r="AH4024">
        <v>0.57895750348061203</v>
      </c>
      <c r="AI4024">
        <v>94.0499950195195</v>
      </c>
      <c r="AJ4024">
        <v>130.35199703460199</v>
      </c>
      <c r="AK4024">
        <v>0.76160783769617502</v>
      </c>
    </row>
    <row r="4025" spans="1:37" x14ac:dyDescent="0.2">
      <c r="A4025" t="str">
        <f>"20200111153514668"</f>
        <v>20200111153514668</v>
      </c>
      <c r="B4025" t="str">
        <f>"1578728114660194"</f>
        <v>1578728114660194</v>
      </c>
      <c r="C4025" t="s">
        <v>37</v>
      </c>
      <c r="D4025">
        <v>4.4922319999999996</v>
      </c>
      <c r="E4025">
        <v>0.38637630000000001</v>
      </c>
      <c r="F4025" t="s">
        <v>40</v>
      </c>
      <c r="G4025">
        <v>-382.18340000000001</v>
      </c>
      <c r="H4025">
        <v>1.0512349999999999</v>
      </c>
      <c r="I4025">
        <v>141.71119999999999</v>
      </c>
      <c r="J4025">
        <v>-381.62970000000001</v>
      </c>
      <c r="K4025">
        <v>1.1054349999999999</v>
      </c>
      <c r="L4025">
        <v>142.18559999999999</v>
      </c>
      <c r="M4025">
        <v>-0.9998629</v>
      </c>
      <c r="N4025">
        <v>0</v>
      </c>
      <c r="O4025">
        <v>-2.970917E-3</v>
      </c>
      <c r="P4025">
        <v>-0.98063049999999996</v>
      </c>
      <c r="Q4025">
        <v>6.7348549999999993E-2</v>
      </c>
      <c r="R4025">
        <v>-0.183924799999999</v>
      </c>
      <c r="S4025">
        <v>-2.8085019999999998</v>
      </c>
      <c r="T4025">
        <v>-0.1610827</v>
      </c>
      <c r="U4025">
        <v>-1.41394</v>
      </c>
      <c r="V4025">
        <v>-0.18106710000000001</v>
      </c>
      <c r="W4025">
        <v>8.3197460000000001E-2</v>
      </c>
      <c r="X4025">
        <v>0.97994539999999997</v>
      </c>
      <c r="Y4025">
        <v>-0.4464399</v>
      </c>
      <c r="Z4025">
        <v>-1.191154E-2</v>
      </c>
      <c r="AA4025">
        <v>0.89473429999999998</v>
      </c>
      <c r="AB4025">
        <v>40</v>
      </c>
      <c r="AC4025">
        <v>-0.55369999999999198</v>
      </c>
      <c r="AD4025">
        <v>-5.4199999999999797E-2</v>
      </c>
      <c r="AE4025">
        <v>-0.47440000000000199</v>
      </c>
      <c r="AF4025">
        <v>-0.47015478998229199</v>
      </c>
      <c r="AG4025">
        <v>-5.4199999999999797E-2</v>
      </c>
      <c r="AH4025">
        <v>0.55205668555631204</v>
      </c>
      <c r="AI4025">
        <v>94.274642474780507</v>
      </c>
      <c r="AJ4025">
        <v>130.41911826362801</v>
      </c>
      <c r="AK4025">
        <v>0.72715180712882399</v>
      </c>
    </row>
    <row r="4026" spans="1:37" x14ac:dyDescent="0.2">
      <c r="A4026" t="str">
        <f>"20200111153514689"</f>
        <v>20200111153514689</v>
      </c>
      <c r="B4026" t="str">
        <f>"1578728114679713"</f>
        <v>1578728114679713</v>
      </c>
      <c r="C4026" t="s">
        <v>37</v>
      </c>
      <c r="D4026">
        <v>4.4845069999999998</v>
      </c>
      <c r="E4026">
        <v>0.38628000000000001</v>
      </c>
      <c r="F4026" t="s">
        <v>40</v>
      </c>
      <c r="G4026">
        <v>-382.54570000000001</v>
      </c>
      <c r="H4026">
        <v>1.0507580000000001</v>
      </c>
      <c r="I4026">
        <v>141.72069999999999</v>
      </c>
      <c r="J4026">
        <v>-382.02679999999998</v>
      </c>
      <c r="K4026">
        <v>1.105418</v>
      </c>
      <c r="L4026">
        <v>142.1841</v>
      </c>
      <c r="M4026">
        <v>-0.99986620000000004</v>
      </c>
      <c r="N4026">
        <v>0</v>
      </c>
      <c r="O4026">
        <v>-3.2555029999999999E-3</v>
      </c>
      <c r="P4026">
        <v>-0.98014769999999896</v>
      </c>
      <c r="Q4026">
        <v>6.6046359999999998E-2</v>
      </c>
      <c r="R4026">
        <v>-0.18694569999999999</v>
      </c>
      <c r="S4026">
        <v>-2.803925</v>
      </c>
      <c r="T4026">
        <v>-0.16738639999999999</v>
      </c>
      <c r="U4026">
        <v>-1.4226379999999901</v>
      </c>
      <c r="V4026">
        <v>-0.18381020000000001</v>
      </c>
      <c r="W4026">
        <v>8.1634949999999998E-2</v>
      </c>
      <c r="X4026">
        <v>0.97956599999999905</v>
      </c>
      <c r="Y4026">
        <v>-0.44892979999999999</v>
      </c>
      <c r="Z4026">
        <v>-1.244085E-2</v>
      </c>
      <c r="AA4026">
        <v>0.89348039999999995</v>
      </c>
      <c r="AB4026">
        <v>40</v>
      </c>
      <c r="AC4026">
        <v>-0.51890000000003</v>
      </c>
      <c r="AD4026">
        <v>-5.4659999999999903E-2</v>
      </c>
      <c r="AE4026">
        <v>-0.46340000000000697</v>
      </c>
      <c r="AF4026">
        <v>-0.45887540489925899</v>
      </c>
      <c r="AG4026">
        <v>-5.4659999999999903E-2</v>
      </c>
      <c r="AH4026">
        <v>0.51721328215510498</v>
      </c>
      <c r="AI4026">
        <v>94.520031171478394</v>
      </c>
      <c r="AJ4026">
        <v>131.57967274702699</v>
      </c>
      <c r="AK4026">
        <v>0.69358772484748799</v>
      </c>
    </row>
    <row r="4027" spans="1:37" x14ac:dyDescent="0.2">
      <c r="A4027" t="str">
        <f>"20200111153514711"</f>
        <v>20200111153514711</v>
      </c>
      <c r="B4027" t="str">
        <f>"1578728114700210"</f>
        <v>1578728114700210</v>
      </c>
      <c r="C4027" t="s">
        <v>37</v>
      </c>
      <c r="D4027">
        <v>4.4637120000000001</v>
      </c>
      <c r="E4027">
        <v>0.38637880000000002</v>
      </c>
      <c r="F4027" t="s">
        <v>40</v>
      </c>
      <c r="G4027">
        <v>-382.9085</v>
      </c>
      <c r="H4027">
        <v>1.0513629999999901</v>
      </c>
      <c r="I4027">
        <v>141.73349999999999</v>
      </c>
      <c r="J4027">
        <v>-382.42649999999998</v>
      </c>
      <c r="K4027">
        <v>1.1054200000000001</v>
      </c>
      <c r="L4027">
        <v>142.1825</v>
      </c>
      <c r="M4027">
        <v>-0.9998688</v>
      </c>
      <c r="N4027">
        <v>0</v>
      </c>
      <c r="O4027">
        <v>-3.5405759999999902E-3</v>
      </c>
      <c r="P4027">
        <v>-0.97950219999999899</v>
      </c>
      <c r="Q4027">
        <v>6.5877149999999995E-2</v>
      </c>
      <c r="R4027">
        <v>-0.19035529999999901</v>
      </c>
      <c r="S4027">
        <v>-2.7993160000000001</v>
      </c>
      <c r="T4027">
        <v>-0.17163149999999999</v>
      </c>
      <c r="U4027">
        <v>-1.431473</v>
      </c>
      <c r="V4027">
        <v>-0.18694269999999999</v>
      </c>
      <c r="W4027">
        <v>8.1229090000000004E-2</v>
      </c>
      <c r="X4027">
        <v>0.97900679999999995</v>
      </c>
      <c r="Y4027">
        <v>-0.45146819999999999</v>
      </c>
      <c r="Z4027">
        <v>-1.2822770000000001E-2</v>
      </c>
      <c r="AA4027">
        <v>0.89219499999999996</v>
      </c>
      <c r="AB4027">
        <v>40</v>
      </c>
      <c r="AC4027">
        <v>-0.48200000000002702</v>
      </c>
      <c r="AD4027">
        <v>-5.4057000000000202E-2</v>
      </c>
      <c r="AE4027">
        <v>-0.449000000000012</v>
      </c>
      <c r="AF4027">
        <v>-0.44429839786763903</v>
      </c>
      <c r="AG4027">
        <v>-5.4057000000000202E-2</v>
      </c>
      <c r="AH4027">
        <v>0.48035208456782702</v>
      </c>
      <c r="AI4027">
        <v>94.722771495142297</v>
      </c>
      <c r="AJ4027">
        <v>132.76707177357699</v>
      </c>
      <c r="AK4027">
        <v>0.65655262602887199</v>
      </c>
    </row>
    <row r="4028" spans="1:37" x14ac:dyDescent="0.2">
      <c r="A4028" t="str">
        <f>"20200111153514735"</f>
        <v>20200111153514735</v>
      </c>
      <c r="B4028" t="str">
        <f>"1578728114729489"</f>
        <v>1578728114729489</v>
      </c>
      <c r="C4028" t="s">
        <v>37</v>
      </c>
      <c r="D4028">
        <v>4.4387480000000004</v>
      </c>
      <c r="E4028">
        <v>0.38636549999999997</v>
      </c>
      <c r="F4028" t="s">
        <v>40</v>
      </c>
      <c r="G4028">
        <v>-383.2713</v>
      </c>
      <c r="H4028">
        <v>1.0533090000000001</v>
      </c>
      <c r="I4028">
        <v>141.74719999999999</v>
      </c>
      <c r="J4028">
        <v>-382.8356</v>
      </c>
      <c r="K4028">
        <v>1.105443</v>
      </c>
      <c r="L4028">
        <v>142.1807</v>
      </c>
      <c r="M4028">
        <v>-0.99987099999999995</v>
      </c>
      <c r="N4028">
        <v>0</v>
      </c>
      <c r="O4028">
        <v>-3.8326340000000001E-3</v>
      </c>
      <c r="P4028">
        <v>-0.97876359999999996</v>
      </c>
      <c r="Q4028">
        <v>6.7465830000000004E-2</v>
      </c>
      <c r="R4028">
        <v>-0.1935722</v>
      </c>
      <c r="S4028">
        <v>-2.794556</v>
      </c>
      <c r="T4028">
        <v>-0.17237829999999901</v>
      </c>
      <c r="U4028">
        <v>-1.439865</v>
      </c>
      <c r="V4028">
        <v>-0.18987770000000001</v>
      </c>
      <c r="W4028">
        <v>8.259967E-2</v>
      </c>
      <c r="X4028">
        <v>0.97832699999999995</v>
      </c>
      <c r="Y4028">
        <v>-0.45393169999999999</v>
      </c>
      <c r="Z4028">
        <v>-1.294418E-2</v>
      </c>
      <c r="AA4028">
        <v>0.89094249999999997</v>
      </c>
      <c r="AB4028">
        <v>40</v>
      </c>
      <c r="AC4028">
        <v>-0.43569999999999698</v>
      </c>
      <c r="AD4028">
        <v>-5.2133999999999903E-2</v>
      </c>
      <c r="AE4028">
        <v>-0.43350000000000899</v>
      </c>
      <c r="AF4028">
        <v>-0.42874194184581199</v>
      </c>
      <c r="AG4028">
        <v>-5.2133999999999903E-2</v>
      </c>
      <c r="AH4028">
        <v>0.434234140193828</v>
      </c>
      <c r="AI4028">
        <v>94.883124843731395</v>
      </c>
      <c r="AJ4028">
        <v>134.63536007118199</v>
      </c>
      <c r="AK4028">
        <v>0.612451545155689</v>
      </c>
    </row>
    <row r="4029" spans="1:37" x14ac:dyDescent="0.2">
      <c r="A4029" t="str">
        <f>"20200111153514757"</f>
        <v>20200111153514757</v>
      </c>
      <c r="B4029" t="str">
        <f>"1578728114749988"</f>
        <v>1578728114749988</v>
      </c>
      <c r="C4029" t="s">
        <v>37</v>
      </c>
      <c r="D4029">
        <v>4.4599880000000001</v>
      </c>
      <c r="E4029">
        <v>0.38629159999999901</v>
      </c>
      <c r="F4029" t="s">
        <v>40</v>
      </c>
      <c r="G4029">
        <v>-383.66419999999999</v>
      </c>
      <c r="H4029">
        <v>1.0554809999999999</v>
      </c>
      <c r="I4029">
        <v>141.7509</v>
      </c>
      <c r="J4029">
        <v>-383.24250000000001</v>
      </c>
      <c r="K4029">
        <v>1.1054740000000001</v>
      </c>
      <c r="L4029">
        <v>142.1788</v>
      </c>
      <c r="M4029">
        <v>-0.99987280000000001</v>
      </c>
      <c r="N4029">
        <v>0</v>
      </c>
      <c r="O4029">
        <v>-4.124071E-3</v>
      </c>
      <c r="P4029">
        <v>-0.97775659999999898</v>
      </c>
      <c r="Q4029">
        <v>7.0134429999999998E-2</v>
      </c>
      <c r="R4029">
        <v>-0.19766979999999901</v>
      </c>
      <c r="S4029">
        <v>-2.7901609999999999</v>
      </c>
      <c r="T4029">
        <v>-0.1682215</v>
      </c>
      <c r="U4029">
        <v>-1.448807</v>
      </c>
      <c r="V4029">
        <v>-0.19369610000000001</v>
      </c>
      <c r="W4029">
        <v>8.5071439999999998E-2</v>
      </c>
      <c r="X4029">
        <v>0.97736619999999996</v>
      </c>
      <c r="Y4029">
        <v>-0.45652150000000002</v>
      </c>
      <c r="Z4029">
        <v>-1.2698289999999999E-2</v>
      </c>
      <c r="AA4029">
        <v>0.88962180000000002</v>
      </c>
      <c r="AB4029">
        <v>40</v>
      </c>
      <c r="AC4029">
        <v>-0.42169999999998697</v>
      </c>
      <c r="AD4029">
        <v>-4.99930000000001E-2</v>
      </c>
      <c r="AE4029">
        <v>-0.42789999999999301</v>
      </c>
      <c r="AF4029">
        <v>-0.42322634932374198</v>
      </c>
      <c r="AG4029">
        <v>-4.99930000000001E-2</v>
      </c>
      <c r="AH4029">
        <v>0.42054916719908197</v>
      </c>
      <c r="AI4029">
        <v>94.789657173108594</v>
      </c>
      <c r="AJ4029">
        <v>135.18179091357601</v>
      </c>
      <c r="AK4029">
        <v>0.59873320005052699</v>
      </c>
    </row>
    <row r="4030" spans="1:37" x14ac:dyDescent="0.2">
      <c r="A4030" t="str">
        <f>"20200111153514779"</f>
        <v>20200111153514779</v>
      </c>
      <c r="B4030" t="str">
        <f>"1578728114769506"</f>
        <v>1578728114769506</v>
      </c>
      <c r="C4030" t="s">
        <v>37</v>
      </c>
      <c r="D4030">
        <v>4.465503</v>
      </c>
      <c r="E4030">
        <v>0.38622269999999997</v>
      </c>
      <c r="F4030" t="s">
        <v>40</v>
      </c>
      <c r="G4030">
        <v>-384.089</v>
      </c>
      <c r="H4030">
        <v>1.056508</v>
      </c>
      <c r="I4030">
        <v>141.7347</v>
      </c>
      <c r="J4030">
        <v>-383.63139999999999</v>
      </c>
      <c r="K4030">
        <v>1.10551</v>
      </c>
      <c r="L4030">
        <v>142.17689999999999</v>
      </c>
      <c r="M4030">
        <v>-0.99987389999999998</v>
      </c>
      <c r="N4030">
        <v>0</v>
      </c>
      <c r="O4030">
        <v>-4.4059920000000001E-3</v>
      </c>
      <c r="P4030">
        <v>-0.97660720000000001</v>
      </c>
      <c r="Q4030">
        <v>7.3175340000000005E-2</v>
      </c>
      <c r="R4030">
        <v>-0.2021975</v>
      </c>
      <c r="S4030">
        <v>-2.78454599999999</v>
      </c>
      <c r="T4030">
        <v>-0.1610742</v>
      </c>
      <c r="U4030">
        <v>-1.460434</v>
      </c>
      <c r="V4030">
        <v>-0.19795509999999999</v>
      </c>
      <c r="W4030">
        <v>8.7942160000000005E-2</v>
      </c>
      <c r="X4030">
        <v>0.97625819999999996</v>
      </c>
      <c r="Y4030">
        <v>-0.45996789999999999</v>
      </c>
      <c r="Z4030">
        <v>-1.2248490000000001E-2</v>
      </c>
      <c r="AA4030">
        <v>0.8878511</v>
      </c>
      <c r="AB4030">
        <v>40</v>
      </c>
      <c r="AC4030">
        <v>-0.457600000000013</v>
      </c>
      <c r="AD4030">
        <v>-4.90019999999999E-2</v>
      </c>
      <c r="AE4030">
        <v>-0.44219999999998499</v>
      </c>
      <c r="AF4030">
        <v>-0.437584511172462</v>
      </c>
      <c r="AG4030">
        <v>-4.90019999999999E-2</v>
      </c>
      <c r="AH4030">
        <v>0.45683518254545602</v>
      </c>
      <c r="AI4030">
        <v>94.429381941330902</v>
      </c>
      <c r="AJ4030">
        <v>133.76700841764</v>
      </c>
      <c r="AK4030">
        <v>0.63449175284898995</v>
      </c>
    </row>
    <row r="4031" spans="1:37" x14ac:dyDescent="0.2">
      <c r="A4031" t="str">
        <f>"20200111153514801"</f>
        <v>20200111153514801</v>
      </c>
      <c r="B4031" t="str">
        <f>"1578728114790001"</f>
        <v>1578728114790001</v>
      </c>
      <c r="C4031" t="s">
        <v>37</v>
      </c>
      <c r="D4031">
        <v>4.4036269999999904</v>
      </c>
      <c r="E4031">
        <v>0.3862834</v>
      </c>
      <c r="F4031" t="s">
        <v>40</v>
      </c>
      <c r="G4031">
        <v>-384.68040000000002</v>
      </c>
      <c r="H4031">
        <v>1.0474920000000001</v>
      </c>
      <c r="I4031">
        <v>141.6208</v>
      </c>
      <c r="J4031">
        <v>-384.03339999999997</v>
      </c>
      <c r="K4031">
        <v>1.105542</v>
      </c>
      <c r="L4031">
        <v>142.17490000000001</v>
      </c>
      <c r="M4031">
        <v>-0.9998745</v>
      </c>
      <c r="N4031">
        <v>0</v>
      </c>
      <c r="O4031">
        <v>-4.7118719999999998E-3</v>
      </c>
      <c r="P4031">
        <v>-0.9754275</v>
      </c>
      <c r="Q4031">
        <v>7.6469250000000002E-2</v>
      </c>
      <c r="R4031">
        <v>-0.20662359999999999</v>
      </c>
      <c r="S4031">
        <v>-2.7783199999999999</v>
      </c>
      <c r="T4031">
        <v>-0.1536759</v>
      </c>
      <c r="U4031">
        <v>-1.4730379999999901</v>
      </c>
      <c r="V4031">
        <v>-0.20209179999999999</v>
      </c>
      <c r="W4031">
        <v>9.1078539999999999E-2</v>
      </c>
      <c r="X4031">
        <v>0.9751223</v>
      </c>
      <c r="Y4031">
        <v>-0.46370869999999997</v>
      </c>
      <c r="Z4031">
        <v>-1.1779319999999999E-2</v>
      </c>
      <c r="AA4031">
        <v>0.88590939999999996</v>
      </c>
      <c r="AB4031">
        <v>40</v>
      </c>
      <c r="AC4031">
        <v>-0.64700000000004798</v>
      </c>
      <c r="AD4031">
        <v>-5.80499999999999E-2</v>
      </c>
      <c r="AE4031">
        <v>-0.55410000000000503</v>
      </c>
      <c r="AF4031">
        <v>-0.54849773207093</v>
      </c>
      <c r="AG4031">
        <v>-5.80499999999999E-2</v>
      </c>
      <c r="AH4031">
        <v>0.64660119183801601</v>
      </c>
      <c r="AI4031">
        <v>93.916521417641405</v>
      </c>
      <c r="AJ4031">
        <v>130.30721729727199</v>
      </c>
      <c r="AK4031">
        <v>0.84988979631084904</v>
      </c>
    </row>
    <row r="4032" spans="1:37" x14ac:dyDescent="0.2">
      <c r="A4032" t="str">
        <f>"20200111153514824"</f>
        <v>20200111153514824</v>
      </c>
      <c r="B4032" t="str">
        <f>"1578728114820258"</f>
        <v>1578728114820258</v>
      </c>
      <c r="C4032" t="s">
        <v>37</v>
      </c>
      <c r="D4032">
        <v>4.411543</v>
      </c>
      <c r="E4032">
        <v>0.386212099999999</v>
      </c>
      <c r="F4032" t="s">
        <v>40</v>
      </c>
      <c r="G4032">
        <v>-385.04199999999997</v>
      </c>
      <c r="H4032">
        <v>1.052546</v>
      </c>
      <c r="I4032">
        <v>141.63489999999999</v>
      </c>
      <c r="J4032">
        <v>-384.43740000000003</v>
      </c>
      <c r="K4032">
        <v>1.105556</v>
      </c>
      <c r="L4032">
        <v>142.17259999999999</v>
      </c>
      <c r="M4032">
        <v>-0.99987479999999995</v>
      </c>
      <c r="N4032">
        <v>0</v>
      </c>
      <c r="O4032">
        <v>-5.0362280000000002E-3</v>
      </c>
      <c r="P4032">
        <v>-0.97478129999999996</v>
      </c>
      <c r="Q4032">
        <v>7.7703289999999994E-2</v>
      </c>
      <c r="R4032">
        <v>-0.2091973</v>
      </c>
      <c r="S4032">
        <v>-2.7725520000000001</v>
      </c>
      <c r="T4032">
        <v>-0.1456771</v>
      </c>
      <c r="U4032">
        <v>-1.4846189999999999</v>
      </c>
      <c r="V4032">
        <v>-0.2043558</v>
      </c>
      <c r="W4032">
        <v>9.2177780000000001E-2</v>
      </c>
      <c r="X4032">
        <v>0.97454699999999905</v>
      </c>
      <c r="Y4032">
        <v>-0.46711279999999999</v>
      </c>
      <c r="Z4032">
        <v>-1.124493E-2</v>
      </c>
      <c r="AA4032">
        <v>0.88412619999999897</v>
      </c>
      <c r="AB4032">
        <v>40</v>
      </c>
      <c r="AC4032">
        <v>-0.60459999999994796</v>
      </c>
      <c r="AD4032">
        <v>-5.3010000000000002E-2</v>
      </c>
      <c r="AE4032">
        <v>-0.53770000000000095</v>
      </c>
      <c r="AF4032">
        <v>-0.53236282969188298</v>
      </c>
      <c r="AG4032">
        <v>-5.3010000000000002E-2</v>
      </c>
      <c r="AH4032">
        <v>0.60470499163663205</v>
      </c>
      <c r="AI4032">
        <v>93.764491575581502</v>
      </c>
      <c r="AJ4032">
        <v>131.359652816737</v>
      </c>
      <c r="AK4032">
        <v>0.80739604250194796</v>
      </c>
    </row>
    <row r="4033" spans="1:37" x14ac:dyDescent="0.2">
      <c r="A4033" t="str">
        <f>"20200111153514847"</f>
        <v>20200111153514847</v>
      </c>
      <c r="B4033" t="str">
        <f>"1578728114839780"</f>
        <v>1578728114839780</v>
      </c>
      <c r="C4033" t="s">
        <v>37</v>
      </c>
      <c r="D4033">
        <v>4.4264769999999896</v>
      </c>
      <c r="E4033">
        <v>0.38617069999999998</v>
      </c>
      <c r="F4033" t="s">
        <v>40</v>
      </c>
      <c r="G4033">
        <v>-385.404</v>
      </c>
      <c r="H4033">
        <v>1.055833</v>
      </c>
      <c r="I4033">
        <v>141.6516</v>
      </c>
      <c r="J4033">
        <v>-384.84010000000001</v>
      </c>
      <c r="K4033">
        <v>1.105577</v>
      </c>
      <c r="L4033">
        <v>142.17019999999999</v>
      </c>
      <c r="M4033">
        <v>-0.9998745</v>
      </c>
      <c r="N4033">
        <v>0</v>
      </c>
      <c r="O4033">
        <v>-5.3946439999999997E-3</v>
      </c>
      <c r="P4033">
        <v>-0.97371730000000001</v>
      </c>
      <c r="Q4033">
        <v>7.8641890000000006E-2</v>
      </c>
      <c r="R4033">
        <v>-0.21375229999999901</v>
      </c>
      <c r="S4033">
        <v>-2.7686459999999999</v>
      </c>
      <c r="T4033">
        <v>-0.14242099999999999</v>
      </c>
      <c r="U4033">
        <v>-1.492615</v>
      </c>
      <c r="V4033">
        <v>-0.20857210000000001</v>
      </c>
      <c r="W4033">
        <v>9.2983979999999994E-2</v>
      </c>
      <c r="X4033">
        <v>0.97357669999999996</v>
      </c>
      <c r="Y4033">
        <v>-0.4693138</v>
      </c>
      <c r="Z4033">
        <v>-1.1036219999999999E-2</v>
      </c>
      <c r="AA4033">
        <v>0.88296249999999998</v>
      </c>
      <c r="AB4033">
        <v>40</v>
      </c>
      <c r="AC4033">
        <v>-0.56389999999998897</v>
      </c>
      <c r="AD4033">
        <v>-4.9743999999999997E-2</v>
      </c>
      <c r="AE4033">
        <v>-0.51859999999999196</v>
      </c>
      <c r="AF4033">
        <v>-0.51338566517059703</v>
      </c>
      <c r="AG4033">
        <v>-4.9743999999999997E-2</v>
      </c>
      <c r="AH4033">
        <v>0.564310658599117</v>
      </c>
      <c r="AI4033">
        <v>93.730639278461098</v>
      </c>
      <c r="AJ4033">
        <v>132.294582594997</v>
      </c>
      <c r="AK4033">
        <v>0.76451672718602204</v>
      </c>
    </row>
    <row r="4034" spans="1:37" x14ac:dyDescent="0.2">
      <c r="A4034" t="str">
        <f>"20200111153514869"</f>
        <v>20200111153514869</v>
      </c>
      <c r="B4034" t="str">
        <f>"1578728114860274"</f>
        <v>1578728114860274</v>
      </c>
      <c r="C4034" t="s">
        <v>37</v>
      </c>
      <c r="D4034">
        <v>4.3492670000000002</v>
      </c>
      <c r="E4034">
        <v>0.38617959999999901</v>
      </c>
      <c r="F4034" t="s">
        <v>40</v>
      </c>
      <c r="G4034">
        <v>-385.76519999999999</v>
      </c>
      <c r="H4034">
        <v>1.0585990000000001</v>
      </c>
      <c r="I4034">
        <v>141.6661</v>
      </c>
      <c r="J4034">
        <v>-385.23500000000001</v>
      </c>
      <c r="K4034">
        <v>1.10561</v>
      </c>
      <c r="L4034">
        <v>142.1677</v>
      </c>
      <c r="M4034">
        <v>-0.99987359999999903</v>
      </c>
      <c r="N4034">
        <v>0</v>
      </c>
      <c r="O4034">
        <v>-5.8135209999999899E-3</v>
      </c>
      <c r="P4034">
        <v>-0.97256119999999902</v>
      </c>
      <c r="Q4034">
        <v>7.9210340000000004E-2</v>
      </c>
      <c r="R4034">
        <v>-0.21874740000000001</v>
      </c>
      <c r="S4034">
        <v>-2.7618099999999899</v>
      </c>
      <c r="T4034">
        <v>-0.1402562</v>
      </c>
      <c r="U4034">
        <v>-1.505539</v>
      </c>
      <c r="V4034">
        <v>-0.21317539999999999</v>
      </c>
      <c r="W4034">
        <v>9.3423599999999996E-2</v>
      </c>
      <c r="X4034">
        <v>0.97253699999999998</v>
      </c>
      <c r="Y4034">
        <v>-0.47305399999999997</v>
      </c>
      <c r="Z4034">
        <v>-1.0949840000000001E-2</v>
      </c>
      <c r="AA4034">
        <v>0.88096540000000001</v>
      </c>
      <c r="AB4034">
        <v>40</v>
      </c>
      <c r="AC4034">
        <v>-0.53019999999997902</v>
      </c>
      <c r="AD4034">
        <v>-4.70109999999999E-2</v>
      </c>
      <c r="AE4034">
        <v>-0.50159999999999605</v>
      </c>
      <c r="AF4034">
        <v>-0.49644927258485499</v>
      </c>
      <c r="AG4034">
        <v>-4.70109999999999E-2</v>
      </c>
      <c r="AH4034">
        <v>0.53090489352195003</v>
      </c>
      <c r="AI4034">
        <v>93.700567641680493</v>
      </c>
      <c r="AJ4034">
        <v>133.079122042042</v>
      </c>
      <c r="AK4034">
        <v>0.72837622169905103</v>
      </c>
    </row>
    <row r="4035" spans="1:37" x14ac:dyDescent="0.2">
      <c r="A4035" t="str">
        <f>"20200111153514884"</f>
        <v>20200111153514884</v>
      </c>
      <c r="B4035" t="str">
        <f>"1578728114879794"</f>
        <v>1578728114879794</v>
      </c>
      <c r="C4035" t="s">
        <v>37</v>
      </c>
      <c r="D4035">
        <v>4.3476720000000002</v>
      </c>
      <c r="E4035">
        <v>0.38628439999999997</v>
      </c>
      <c r="F4035" t="s">
        <v>40</v>
      </c>
      <c r="G4035">
        <v>-386.12520000000001</v>
      </c>
      <c r="H4035">
        <v>1.0600039999999999</v>
      </c>
      <c r="I4035">
        <v>141.67679999999999</v>
      </c>
      <c r="J4035">
        <v>-385.50490000000002</v>
      </c>
      <c r="K4035">
        <v>1.1056549999999901</v>
      </c>
      <c r="L4035">
        <v>142.16579999999999</v>
      </c>
      <c r="M4035">
        <v>-0.99987230000000005</v>
      </c>
      <c r="N4035">
        <v>0</v>
      </c>
      <c r="O4035">
        <v>-6.1581199999999996E-3</v>
      </c>
      <c r="P4035">
        <v>-0.97197479999999903</v>
      </c>
      <c r="Q4035">
        <v>7.894205E-2</v>
      </c>
      <c r="R4035">
        <v>-0.22143460000000001</v>
      </c>
      <c r="S4035">
        <v>-2.754486</v>
      </c>
      <c r="T4035">
        <v>-0.14112189999999999</v>
      </c>
      <c r="U4035">
        <v>-1.519028</v>
      </c>
      <c r="V4035">
        <v>-0.21554099999999901</v>
      </c>
      <c r="W4035">
        <v>9.3068490000000004E-2</v>
      </c>
      <c r="X4035">
        <v>0.97204950000000001</v>
      </c>
      <c r="Y4035">
        <v>-0.47703400000000001</v>
      </c>
      <c r="Z4035">
        <v>-1.1109580000000001E-2</v>
      </c>
      <c r="AA4035">
        <v>0.8788146</v>
      </c>
      <c r="AB4035">
        <v>40</v>
      </c>
      <c r="AC4035">
        <v>-0.62029999999998597</v>
      </c>
      <c r="AD4035">
        <v>-4.5650999999999602E-2</v>
      </c>
      <c r="AE4035">
        <v>-0.48900000000000399</v>
      </c>
      <c r="AF4035">
        <v>-0.48355519083381099</v>
      </c>
      <c r="AG4035">
        <v>-4.5650999999999602E-2</v>
      </c>
      <c r="AH4035">
        <v>0.62122478308699103</v>
      </c>
      <c r="AI4035">
        <v>93.3187918988653</v>
      </c>
      <c r="AJ4035">
        <v>127.896835137247</v>
      </c>
      <c r="AK4035">
        <v>0.78856189833443202</v>
      </c>
    </row>
    <row r="4036" spans="1:37" x14ac:dyDescent="0.2">
      <c r="A4036" t="str">
        <f>"20200111153514902"</f>
        <v>20200111153514902</v>
      </c>
      <c r="B4036" t="str">
        <f>"1578728114889553"</f>
        <v>1578728114889553</v>
      </c>
      <c r="C4036" t="s">
        <v>37</v>
      </c>
      <c r="D4036">
        <v>4.3421949999999896</v>
      </c>
      <c r="E4036">
        <v>0.38624999999999998</v>
      </c>
      <c r="F4036" t="s">
        <v>40</v>
      </c>
      <c r="G4036">
        <v>-386.47230000000002</v>
      </c>
      <c r="H4036">
        <v>1.054289</v>
      </c>
      <c r="I4036">
        <v>141.62979999999999</v>
      </c>
      <c r="J4036">
        <v>-385.83679999999998</v>
      </c>
      <c r="K4036">
        <v>1.1057379999999899</v>
      </c>
      <c r="L4036">
        <v>142.16329999999999</v>
      </c>
      <c r="M4036">
        <v>-0.99986980000000003</v>
      </c>
      <c r="N4036">
        <v>0</v>
      </c>
      <c r="O4036">
        <v>-6.6800719999999996E-3</v>
      </c>
      <c r="P4036">
        <v>-0.97075109999999998</v>
      </c>
      <c r="Q4036">
        <v>7.8600000000000003E-2</v>
      </c>
      <c r="R4036">
        <v>-0.22685720000000001</v>
      </c>
      <c r="S4036">
        <v>-2.7509459999999999</v>
      </c>
      <c r="T4036">
        <v>-0.14607149999999999</v>
      </c>
      <c r="U4036">
        <v>-1.5250090000000001</v>
      </c>
      <c r="V4036">
        <v>-0.22048190000000001</v>
      </c>
      <c r="W4036">
        <v>9.2601310000000006E-2</v>
      </c>
      <c r="X4036">
        <v>0.970985399999999</v>
      </c>
      <c r="Y4036">
        <v>-0.47848059999999998</v>
      </c>
      <c r="Z4036">
        <v>-1.151608E-2</v>
      </c>
      <c r="AA4036">
        <v>0.87802259999999999</v>
      </c>
      <c r="AB4036">
        <v>40</v>
      </c>
      <c r="AC4036">
        <v>-0.63550000000003504</v>
      </c>
      <c r="AD4036">
        <v>-5.14489999999998E-2</v>
      </c>
      <c r="AE4036">
        <v>-0.53350000000000297</v>
      </c>
      <c r="AF4036">
        <v>-0.52721547183489303</v>
      </c>
      <c r="AG4036">
        <v>-5.14489999999998E-2</v>
      </c>
      <c r="AH4036">
        <v>0.63660248346236104</v>
      </c>
      <c r="AI4036">
        <v>93.561719534120996</v>
      </c>
      <c r="AJ4036">
        <v>129.63055569355299</v>
      </c>
      <c r="AK4036">
        <v>0.82817019705706296</v>
      </c>
    </row>
    <row r="4037" spans="1:37" x14ac:dyDescent="0.2">
      <c r="A4037" t="str">
        <f>"20200111153514925"</f>
        <v>20200111153514925</v>
      </c>
      <c r="B4037" t="str">
        <f>"1578728114919812"</f>
        <v>1578728114919812</v>
      </c>
      <c r="C4037" t="s">
        <v>37</v>
      </c>
      <c r="D4037">
        <v>4.4762230000000001</v>
      </c>
      <c r="E4037">
        <v>0.38624570000000003</v>
      </c>
      <c r="F4037" t="s">
        <v>40</v>
      </c>
      <c r="G4037">
        <v>-386.82459999999998</v>
      </c>
      <c r="H4037">
        <v>1.0515239999999999</v>
      </c>
      <c r="I4037">
        <v>141.6087</v>
      </c>
      <c r="J4037">
        <v>-386.23779999999999</v>
      </c>
      <c r="K4037">
        <v>1.10588</v>
      </c>
      <c r="L4037">
        <v>142.15989999999999</v>
      </c>
      <c r="M4037">
        <v>-0.9998648</v>
      </c>
      <c r="N4037">
        <v>0</v>
      </c>
      <c r="O4037">
        <v>-7.5119459999999898E-3</v>
      </c>
      <c r="P4037">
        <v>-0.96953959999999995</v>
      </c>
      <c r="Q4037">
        <v>7.8157509999999999E-2</v>
      </c>
      <c r="R4037">
        <v>-0.23213010000000001</v>
      </c>
      <c r="S4037">
        <v>-2.7426759999999999</v>
      </c>
      <c r="T4037">
        <v>-0.1505252</v>
      </c>
      <c r="U4037">
        <v>-1.5398860000000001</v>
      </c>
      <c r="V4037">
        <v>-0.22498850000000001</v>
      </c>
      <c r="W4037">
        <v>9.1995480000000004E-2</v>
      </c>
      <c r="X4037">
        <v>0.9700088</v>
      </c>
      <c r="Y4037">
        <v>-0.48246070000000002</v>
      </c>
      <c r="Z4037">
        <v>-1.1942599999999999E-2</v>
      </c>
      <c r="AA4037">
        <v>0.87583619999999995</v>
      </c>
      <c r="AB4037">
        <v>40</v>
      </c>
      <c r="AC4037">
        <v>-0.586799999999982</v>
      </c>
      <c r="AD4037">
        <v>-5.4356000000000002E-2</v>
      </c>
      <c r="AE4037">
        <v>-0.55119999999999403</v>
      </c>
      <c r="AF4037">
        <v>-0.54429483105231002</v>
      </c>
      <c r="AG4037">
        <v>-5.4356000000000002E-2</v>
      </c>
      <c r="AH4037">
        <v>0.58824300075131097</v>
      </c>
      <c r="AI4037">
        <v>93.880083339159398</v>
      </c>
      <c r="AJ4037">
        <v>132.777750292478</v>
      </c>
      <c r="AK4037">
        <v>0.80326911167999604</v>
      </c>
    </row>
    <row r="4038" spans="1:37" x14ac:dyDescent="0.2">
      <c r="A4038" t="str">
        <f>"20200111153514947"</f>
        <v>20200111153514947</v>
      </c>
      <c r="B4038" t="str">
        <f>"1578728114940325"</f>
        <v>1578728114940325</v>
      </c>
      <c r="C4038" t="s">
        <v>37</v>
      </c>
      <c r="D4038">
        <v>4.4418620000000004</v>
      </c>
      <c r="E4038">
        <v>0.38633859999999998</v>
      </c>
      <c r="F4038" t="s">
        <v>40</v>
      </c>
      <c r="G4038">
        <v>-387.18430000000001</v>
      </c>
      <c r="H4038">
        <v>1.053145</v>
      </c>
      <c r="I4038">
        <v>141.62190000000001</v>
      </c>
      <c r="J4038">
        <v>-386.63549999999998</v>
      </c>
      <c r="K4038">
        <v>1.106063</v>
      </c>
      <c r="L4038">
        <v>142.1559</v>
      </c>
      <c r="M4038">
        <v>-0.99985689999999905</v>
      </c>
      <c r="N4038">
        <v>0</v>
      </c>
      <c r="O4038">
        <v>-8.5905770000000003E-3</v>
      </c>
      <c r="P4038">
        <v>-0.96845059999999905</v>
      </c>
      <c r="Q4038">
        <v>7.6471280000000003E-2</v>
      </c>
      <c r="R4038">
        <v>-0.23718229999999901</v>
      </c>
      <c r="S4038">
        <v>-2.7343439999999899</v>
      </c>
      <c r="T4038">
        <v>-0.1523466</v>
      </c>
      <c r="U4038">
        <v>-1.554565</v>
      </c>
      <c r="V4038">
        <v>-0.22904240000000001</v>
      </c>
      <c r="W4038">
        <v>9.0129290000000001E-2</v>
      </c>
      <c r="X4038">
        <v>0.96923490000000001</v>
      </c>
      <c r="Y4038">
        <v>-0.48619409999999902</v>
      </c>
      <c r="Z4038">
        <v>-1.214499E-2</v>
      </c>
      <c r="AA4038">
        <v>0.8737665</v>
      </c>
      <c r="AB4038">
        <v>40</v>
      </c>
      <c r="AC4038">
        <v>-0.54880000000002804</v>
      </c>
      <c r="AD4038">
        <v>-5.2918E-2</v>
      </c>
      <c r="AE4038">
        <v>-0.53399999999999104</v>
      </c>
      <c r="AF4038">
        <v>-0.52674955567558002</v>
      </c>
      <c r="AG4038">
        <v>-5.2918E-2</v>
      </c>
      <c r="AH4038">
        <v>0.55073730998149295</v>
      </c>
      <c r="AI4038">
        <v>93.972143369740195</v>
      </c>
      <c r="AJ4038">
        <v>133.72465258731</v>
      </c>
      <c r="AK4038">
        <v>0.76392211234789598</v>
      </c>
    </row>
    <row r="4039" spans="1:37" x14ac:dyDescent="0.2">
      <c r="A4039" t="str">
        <f>"20200111153514962"</f>
        <v>20200111153514962</v>
      </c>
      <c r="B4039" t="str">
        <f>"1578728114959826"</f>
        <v>1578728114959826</v>
      </c>
      <c r="C4039" t="s">
        <v>37</v>
      </c>
      <c r="D4039">
        <v>4.4770810000000001</v>
      </c>
      <c r="E4039">
        <v>0.386441799999999</v>
      </c>
      <c r="F4039" t="s">
        <v>40</v>
      </c>
      <c r="G4039">
        <v>-387.54329999999999</v>
      </c>
      <c r="H4039">
        <v>1.0535330000000001</v>
      </c>
      <c r="I4039">
        <v>141.6337</v>
      </c>
      <c r="J4039">
        <v>-386.90629999999999</v>
      </c>
      <c r="K4039">
        <v>1.106212</v>
      </c>
      <c r="L4039">
        <v>142.15289999999999</v>
      </c>
      <c r="M4039">
        <v>-0.99984930000000005</v>
      </c>
      <c r="N4039">
        <v>0</v>
      </c>
      <c r="O4039">
        <v>-9.4881050000000001E-3</v>
      </c>
      <c r="P4039">
        <v>-0.96784340000000002</v>
      </c>
      <c r="Q4039">
        <v>7.4658189999999999E-2</v>
      </c>
      <c r="R4039">
        <v>-0.24022009999999999</v>
      </c>
      <c r="S4039">
        <v>-2.7260740000000001</v>
      </c>
      <c r="T4039">
        <v>-0.157742299999999</v>
      </c>
      <c r="U4039">
        <v>-1.5682069999999999</v>
      </c>
      <c r="V4039">
        <v>-0.23124520000000001</v>
      </c>
      <c r="W4039">
        <v>8.8186319999999999E-2</v>
      </c>
      <c r="X4039">
        <v>0.96889049999999999</v>
      </c>
      <c r="Y4039">
        <v>-0.48979109999999998</v>
      </c>
      <c r="Z4039">
        <v>-1.264157E-2</v>
      </c>
      <c r="AA4039">
        <v>0.87174810000000003</v>
      </c>
      <c r="AB4039">
        <v>40</v>
      </c>
      <c r="AC4039">
        <v>-0.63700000000000001</v>
      </c>
      <c r="AD4039">
        <v>-5.26789999999999E-2</v>
      </c>
      <c r="AE4039">
        <v>-0.51919999999998301</v>
      </c>
      <c r="AF4039">
        <v>-0.51103214471978498</v>
      </c>
      <c r="AG4039">
        <v>-5.26789999999999E-2</v>
      </c>
      <c r="AH4039">
        <v>0.63927119151084799</v>
      </c>
      <c r="AI4039">
        <v>93.682832116697995</v>
      </c>
      <c r="AJ4039">
        <v>128.63877212547399</v>
      </c>
      <c r="AK4039">
        <v>0.82011986091888001</v>
      </c>
    </row>
    <row r="4040" spans="1:37" x14ac:dyDescent="0.2">
      <c r="A4040" t="str">
        <f>"20200111153514980"</f>
        <v>20200111153514980</v>
      </c>
      <c r="B4040" t="str">
        <f>"1578728114969586"</f>
        <v>1578728114969586</v>
      </c>
      <c r="C4040" t="s">
        <v>37</v>
      </c>
      <c r="D4040">
        <v>4.4655279999999999</v>
      </c>
      <c r="E4040">
        <v>0.38651429999999998</v>
      </c>
      <c r="F4040" t="s">
        <v>40</v>
      </c>
      <c r="G4040">
        <v>-387.88819999999998</v>
      </c>
      <c r="H4040">
        <v>1.0470660000000001</v>
      </c>
      <c r="I4040">
        <v>141.5847</v>
      </c>
      <c r="J4040">
        <v>-387.21949999999998</v>
      </c>
      <c r="K4040">
        <v>1.1064020000000001</v>
      </c>
      <c r="L4040">
        <v>142.14879999999999</v>
      </c>
      <c r="M4040">
        <v>-0.99983719999999998</v>
      </c>
      <c r="N4040">
        <v>0</v>
      </c>
      <c r="O4040">
        <v>-1.074248E-2</v>
      </c>
      <c r="P4040">
        <v>-0.96656430000000004</v>
      </c>
      <c r="Q4040">
        <v>7.0386569999999996E-2</v>
      </c>
      <c r="R4040">
        <v>-0.2465754</v>
      </c>
      <c r="S4040">
        <v>-2.7213129999999999</v>
      </c>
      <c r="T4040">
        <v>-0.16389599999999999</v>
      </c>
      <c r="U4040">
        <v>-1.5755159999999999</v>
      </c>
      <c r="V4040">
        <v>-0.2364299</v>
      </c>
      <c r="W4040">
        <v>8.3734409999999995E-2</v>
      </c>
      <c r="X4040">
        <v>0.96803379999999895</v>
      </c>
      <c r="Y4040">
        <v>-0.49106309999999898</v>
      </c>
      <c r="Z4040">
        <v>-1.3111299999999999E-2</v>
      </c>
      <c r="AA4040">
        <v>0.8710253</v>
      </c>
      <c r="AB4040">
        <v>40</v>
      </c>
      <c r="AC4040">
        <v>-0.66870000000000096</v>
      </c>
      <c r="AD4040">
        <v>-5.9336E-2</v>
      </c>
      <c r="AE4040">
        <v>-0.56409999999999605</v>
      </c>
      <c r="AF4040">
        <v>-0.55433321159145799</v>
      </c>
      <c r="AG4040">
        <v>-5.9336E-2</v>
      </c>
      <c r="AH4040">
        <v>0.67163231000220103</v>
      </c>
      <c r="AI4040">
        <v>93.897876672889694</v>
      </c>
      <c r="AJ4040">
        <v>129.53463673153499</v>
      </c>
      <c r="AK4040">
        <v>0.87286655922208001</v>
      </c>
    </row>
    <row r="4041" spans="1:37" x14ac:dyDescent="0.2">
      <c r="A4041" t="str">
        <f>"20200111153514995"</f>
        <v>20200111153514995</v>
      </c>
      <c r="B4041" t="str">
        <f>"1578728114990081"</f>
        <v>1578728114990081</v>
      </c>
      <c r="C4041" t="s">
        <v>37</v>
      </c>
      <c r="D4041">
        <v>4.4630559999999999</v>
      </c>
      <c r="E4041">
        <v>0.38661770000000001</v>
      </c>
      <c r="F4041" t="s">
        <v>40</v>
      </c>
      <c r="G4041">
        <v>-388.23630000000003</v>
      </c>
      <c r="H4041">
        <v>1.0398670000000001</v>
      </c>
      <c r="I4041">
        <v>141.55160000000001</v>
      </c>
      <c r="J4041">
        <v>-387.50619999999998</v>
      </c>
      <c r="K4041">
        <v>1.106616</v>
      </c>
      <c r="L4041">
        <v>142.1446</v>
      </c>
      <c r="M4041">
        <v>-0.99982119999999997</v>
      </c>
      <c r="N4041">
        <v>0</v>
      </c>
      <c r="O4041">
        <v>-1.2149760000000001E-2</v>
      </c>
      <c r="P4041">
        <v>-0.96575370000000005</v>
      </c>
      <c r="Q4041">
        <v>6.8521600000000002E-2</v>
      </c>
      <c r="R4041">
        <v>-0.2502491</v>
      </c>
      <c r="S4041">
        <v>-2.71048</v>
      </c>
      <c r="T4041">
        <v>-0.17737639999999999</v>
      </c>
      <c r="U4041">
        <v>-1.5921940000000001</v>
      </c>
      <c r="V4041">
        <v>-0.23878969999999999</v>
      </c>
      <c r="W4041">
        <v>8.1697699999999998E-2</v>
      </c>
      <c r="X4041">
        <v>0.9676285</v>
      </c>
      <c r="Y4041">
        <v>-0.49521700000000002</v>
      </c>
      <c r="Z4041">
        <v>-1.425716E-2</v>
      </c>
      <c r="AA4041">
        <v>0.86865230000000004</v>
      </c>
      <c r="AB4041">
        <v>40</v>
      </c>
      <c r="AC4041">
        <v>-0.73010000000004904</v>
      </c>
      <c r="AD4041">
        <v>-6.6748999999999906E-2</v>
      </c>
      <c r="AE4041">
        <v>-0.59299999999998898</v>
      </c>
      <c r="AF4041">
        <v>-0.58115796927469399</v>
      </c>
      <c r="AG4041">
        <v>-6.6748999999999906E-2</v>
      </c>
      <c r="AH4041">
        <v>0.73355738138094895</v>
      </c>
      <c r="AI4041">
        <v>94.079599036669507</v>
      </c>
      <c r="AJ4041">
        <v>128.387887780764</v>
      </c>
      <c r="AK4041">
        <v>0.93824647403065797</v>
      </c>
    </row>
    <row r="4042" spans="1:37" x14ac:dyDescent="0.2">
      <c r="A4042" t="str">
        <f>"20200111153515014"</f>
        <v>20200111153515014</v>
      </c>
      <c r="B4042" t="str">
        <f>"1578728115009601"</f>
        <v>1578728115009601</v>
      </c>
      <c r="C4042" t="s">
        <v>37</v>
      </c>
      <c r="D4042">
        <v>4.4946209999999898</v>
      </c>
      <c r="E4042">
        <v>0.38671679999999897</v>
      </c>
      <c r="F4042" t="s">
        <v>40</v>
      </c>
      <c r="G4042">
        <v>-388.26850000000002</v>
      </c>
      <c r="H4042">
        <v>1.0550360000000001</v>
      </c>
      <c r="I4042">
        <v>141.69309999999999</v>
      </c>
      <c r="J4042">
        <v>-387.8168</v>
      </c>
      <c r="K4042">
        <v>1.10687</v>
      </c>
      <c r="L4042">
        <v>142.13929999999999</v>
      </c>
      <c r="M4042">
        <v>-0.99979810000000002</v>
      </c>
      <c r="N4042">
        <v>0</v>
      </c>
      <c r="O4042">
        <v>-1.393729E-2</v>
      </c>
      <c r="P4042">
        <v>-0.96439609999999998</v>
      </c>
      <c r="Q4042">
        <v>6.4315529999999996E-2</v>
      </c>
      <c r="R4042">
        <v>-0.25652269999999999</v>
      </c>
      <c r="S4042">
        <v>-2.7043149999999998</v>
      </c>
      <c r="T4042">
        <v>-0.18298420000000001</v>
      </c>
      <c r="U4042">
        <v>-1.6017299999999901</v>
      </c>
      <c r="V4042">
        <v>-0.2433855</v>
      </c>
      <c r="W4042">
        <v>7.7280940000000006E-2</v>
      </c>
      <c r="X4042">
        <v>0.96684599999999898</v>
      </c>
      <c r="Y4042">
        <v>-0.49674950000000001</v>
      </c>
      <c r="Z4042">
        <v>-1.4660090000000001E-2</v>
      </c>
      <c r="AA4042">
        <v>0.86777019999999905</v>
      </c>
      <c r="AB4042">
        <v>40</v>
      </c>
      <c r="AC4042">
        <v>-0.45170000000001598</v>
      </c>
      <c r="AD4042">
        <v>-5.1833999999999901E-2</v>
      </c>
      <c r="AE4042">
        <v>-0.44620000000000398</v>
      </c>
      <c r="AF4042">
        <v>-0.43694834469077498</v>
      </c>
      <c r="AG4042">
        <v>-5.1833999999999901E-2</v>
      </c>
      <c r="AH4042">
        <v>0.45484414227478198</v>
      </c>
      <c r="AI4042">
        <v>94.698143054171894</v>
      </c>
      <c r="AJ4042">
        <v>133.85038718487499</v>
      </c>
      <c r="AK4042">
        <v>0.63284580526830603</v>
      </c>
    </row>
    <row r="4043" spans="1:37" x14ac:dyDescent="0.2">
      <c r="A4043" t="str">
        <f>"20200111153515036"</f>
        <v>20200111153515036</v>
      </c>
      <c r="B4043" t="str">
        <f>"1578728115030100"</f>
        <v>1578728115030100</v>
      </c>
      <c r="C4043" t="s">
        <v>37</v>
      </c>
      <c r="D4043">
        <v>4.4856049999999996</v>
      </c>
      <c r="E4043">
        <v>0.38688879999999998</v>
      </c>
      <c r="F4043" t="s">
        <v>40</v>
      </c>
      <c r="G4043">
        <v>-388.61610000000002</v>
      </c>
      <c r="H4043">
        <v>1.048962</v>
      </c>
      <c r="I4043">
        <v>141.6592</v>
      </c>
      <c r="J4043">
        <v>-388.2278</v>
      </c>
      <c r="K4043">
        <v>1.1072580000000001</v>
      </c>
      <c r="L4043">
        <v>142.13120000000001</v>
      </c>
      <c r="M4043">
        <v>-0.99975569999999903</v>
      </c>
      <c r="N4043">
        <v>0</v>
      </c>
      <c r="O4043">
        <v>-1.6727570000000001E-2</v>
      </c>
      <c r="P4043">
        <v>-0.96284650000000005</v>
      </c>
      <c r="Q4043">
        <v>6.1627639999999997E-2</v>
      </c>
      <c r="R4043">
        <v>-0.26292349999999998</v>
      </c>
      <c r="S4043">
        <v>-2.6932680000000002</v>
      </c>
      <c r="T4043">
        <v>-0.19510520000000001</v>
      </c>
      <c r="U4043">
        <v>-1.6183780000000001</v>
      </c>
      <c r="V4043">
        <v>-0.2471719</v>
      </c>
      <c r="W4043">
        <v>7.4301210000000006E-2</v>
      </c>
      <c r="X4043">
        <v>0.9661187</v>
      </c>
      <c r="Y4043">
        <v>-0.49972169999999999</v>
      </c>
      <c r="Z4043">
        <v>-1.5574640000000001E-2</v>
      </c>
      <c r="AA4043">
        <v>0.86604599999999898</v>
      </c>
      <c r="AB4043">
        <v>40</v>
      </c>
      <c r="AC4043">
        <v>-0.38830000000001502</v>
      </c>
      <c r="AD4043">
        <v>-5.8295999999999903E-2</v>
      </c>
      <c r="AE4043">
        <v>-0.47200000000000802</v>
      </c>
      <c r="AF4043">
        <v>-0.46124186230963499</v>
      </c>
      <c r="AG4043">
        <v>-5.8295999999999903E-2</v>
      </c>
      <c r="AH4043">
        <v>0.39257053511099299</v>
      </c>
      <c r="AI4043">
        <v>95.497662392777599</v>
      </c>
      <c r="AJ4043">
        <v>139.59834733022899</v>
      </c>
      <c r="AK4043">
        <v>0.60848508954631897</v>
      </c>
    </row>
    <row r="4044" spans="1:37" x14ac:dyDescent="0.2">
      <c r="A4044" t="str">
        <f>"20200111153515058"</f>
        <v>20200111153515058</v>
      </c>
      <c r="B4044" t="str">
        <f>"1578728115049617"</f>
        <v>1578728115049617</v>
      </c>
      <c r="C4044" t="s">
        <v>37</v>
      </c>
      <c r="D4044">
        <v>4.5169999999999897</v>
      </c>
      <c r="E4044">
        <v>0.38706859999999998</v>
      </c>
      <c r="F4044" t="s">
        <v>40</v>
      </c>
      <c r="G4044">
        <v>-388.97500000000002</v>
      </c>
      <c r="H4044">
        <v>1.0509790000000001</v>
      </c>
      <c r="I4044">
        <v>141.6756</v>
      </c>
      <c r="J4044">
        <v>-388.61090000000002</v>
      </c>
      <c r="K4044">
        <v>1.107653</v>
      </c>
      <c r="L4044">
        <v>142.12219999999999</v>
      </c>
      <c r="M4044">
        <v>-0.99969920000000001</v>
      </c>
      <c r="N4044">
        <v>0</v>
      </c>
      <c r="O4044">
        <v>-1.9828249999999999E-2</v>
      </c>
      <c r="P4044">
        <v>-0.96103919999999998</v>
      </c>
      <c r="Q4044">
        <v>6.0506699999999997E-2</v>
      </c>
      <c r="R4044">
        <v>-0.26970870000000002</v>
      </c>
      <c r="S4044">
        <v>-2.6821290000000002</v>
      </c>
      <c r="T4044">
        <v>-0.20200979999999999</v>
      </c>
      <c r="U4044">
        <v>-1.6353150000000001</v>
      </c>
      <c r="V4044">
        <v>-0.25105959999999999</v>
      </c>
      <c r="W4044">
        <v>7.2881710000000002E-2</v>
      </c>
      <c r="X4044">
        <v>0.96522399999999997</v>
      </c>
      <c r="Y4044">
        <v>-0.50254949999999998</v>
      </c>
      <c r="Z4044">
        <v>-1.604119E-2</v>
      </c>
      <c r="AA4044">
        <v>0.86439959999999905</v>
      </c>
      <c r="AB4044">
        <v>40</v>
      </c>
      <c r="AC4044">
        <v>-0.36410000000000697</v>
      </c>
      <c r="AD4044">
        <v>-5.6673999999999801E-2</v>
      </c>
      <c r="AE4044">
        <v>-0.44659999999998901</v>
      </c>
      <c r="AF4044">
        <v>-0.43508299944277701</v>
      </c>
      <c r="AG4044">
        <v>-5.6673999999999801E-2</v>
      </c>
      <c r="AH4044">
        <v>0.36931192424032699</v>
      </c>
      <c r="AI4044">
        <v>95.671313695797593</v>
      </c>
      <c r="AJ4044">
        <v>139.67437150477301</v>
      </c>
      <c r="AK4044">
        <v>0.57349843597538797</v>
      </c>
    </row>
    <row r="4045" spans="1:37" x14ac:dyDescent="0.2">
      <c r="A4045" t="str">
        <f>"20200111153515074"</f>
        <v>20200111153515074</v>
      </c>
      <c r="B4045" t="str">
        <f>"1578728115070114"</f>
        <v>1578728115070114</v>
      </c>
      <c r="C4045" t="s">
        <v>37</v>
      </c>
      <c r="D4045">
        <v>4.5117149999999997</v>
      </c>
      <c r="E4045">
        <v>0.38729629999999998</v>
      </c>
      <c r="F4045" t="s">
        <v>40</v>
      </c>
      <c r="G4045">
        <v>-389.33019999999999</v>
      </c>
      <c r="H4045">
        <v>1.052532</v>
      </c>
      <c r="I4045">
        <v>141.6773</v>
      </c>
      <c r="J4045">
        <v>-388.87479999999999</v>
      </c>
      <c r="K4045">
        <v>1.1079490000000001</v>
      </c>
      <c r="L4045">
        <v>142.11490000000001</v>
      </c>
      <c r="M4045">
        <v>-0.99964719999999996</v>
      </c>
      <c r="N4045">
        <v>0</v>
      </c>
      <c r="O4045">
        <v>-2.229248E-2</v>
      </c>
      <c r="P4045">
        <v>-0.95986369999999899</v>
      </c>
      <c r="Q4045">
        <v>6.0399880000000003E-2</v>
      </c>
      <c r="R4045">
        <v>-0.27388559999999901</v>
      </c>
      <c r="S4045">
        <v>-2.6705930000000002</v>
      </c>
      <c r="T4045">
        <v>-0.2046345</v>
      </c>
      <c r="U4045">
        <v>-1.6530910000000001</v>
      </c>
      <c r="V4045">
        <v>-0.25293119999999902</v>
      </c>
      <c r="W4045">
        <v>7.2566870000000006E-2</v>
      </c>
      <c r="X4045">
        <v>0.96475889999999997</v>
      </c>
      <c r="Y4045">
        <v>-0.50621380000000005</v>
      </c>
      <c r="Z4045">
        <v>-1.6238909999999999E-2</v>
      </c>
      <c r="AA4045">
        <v>0.8622552</v>
      </c>
      <c r="AB4045">
        <v>40</v>
      </c>
      <c r="AC4045">
        <v>-0.45539999999999697</v>
      </c>
      <c r="AD4045">
        <v>-5.5417000000000001E-2</v>
      </c>
      <c r="AE4045">
        <v>-0.43760000000000299</v>
      </c>
      <c r="AF4045">
        <v>-0.424073189543415</v>
      </c>
      <c r="AG4045">
        <v>-5.5417000000000001E-2</v>
      </c>
      <c r="AH4045">
        <v>0.46148994987873199</v>
      </c>
      <c r="AI4045">
        <v>95.052959606096195</v>
      </c>
      <c r="AJ4045">
        <v>132.58058123301899</v>
      </c>
      <c r="AK4045">
        <v>0.62919161454806405</v>
      </c>
    </row>
    <row r="4046" spans="1:37" x14ac:dyDescent="0.2">
      <c r="A4046" t="str">
        <f>"20200111153515092"</f>
        <v>20200111153515092</v>
      </c>
      <c r="B4046" t="str">
        <f>"1578728115079874"</f>
        <v>1578728115079874</v>
      </c>
      <c r="C4046" t="s">
        <v>37</v>
      </c>
      <c r="D4046">
        <v>4.4977119999999999</v>
      </c>
      <c r="E4046">
        <v>0.3873817</v>
      </c>
      <c r="F4046" t="s">
        <v>40</v>
      </c>
      <c r="G4046">
        <v>-389.67059999999998</v>
      </c>
      <c r="H4046">
        <v>1.046816</v>
      </c>
      <c r="I4046">
        <v>141.61779999999999</v>
      </c>
      <c r="J4046">
        <v>-389.19869999999997</v>
      </c>
      <c r="K4046">
        <v>1.1083229999999999</v>
      </c>
      <c r="L4046">
        <v>142.10499999999999</v>
      </c>
      <c r="M4046">
        <v>-0.99956829999999997</v>
      </c>
      <c r="N4046">
        <v>0</v>
      </c>
      <c r="O4046">
        <v>-2.559343E-2</v>
      </c>
      <c r="P4046">
        <v>-0.95774389999999998</v>
      </c>
      <c r="Q4046">
        <v>6.1317049999999998E-2</v>
      </c>
      <c r="R4046">
        <v>-0.28101120000000002</v>
      </c>
      <c r="S4046">
        <v>-2.6637270000000002</v>
      </c>
      <c r="T4046">
        <v>-0.20462330000000001</v>
      </c>
      <c r="U4046">
        <v>-1.6633150000000001</v>
      </c>
      <c r="V4046">
        <v>-0.25699250000000001</v>
      </c>
      <c r="W4046">
        <v>7.3201760000000005E-2</v>
      </c>
      <c r="X4046">
        <v>0.96363709999999903</v>
      </c>
      <c r="Y4046">
        <v>-0.50675130000000002</v>
      </c>
      <c r="Z4046">
        <v>-1.60457E-2</v>
      </c>
      <c r="AA4046">
        <v>0.86194289999999996</v>
      </c>
      <c r="AB4046">
        <v>40</v>
      </c>
      <c r="AC4046">
        <v>-0.47190000000000498</v>
      </c>
      <c r="AD4046">
        <v>-6.1506999999999902E-2</v>
      </c>
      <c r="AE4046">
        <v>-0.48720000000000102</v>
      </c>
      <c r="AF4046">
        <v>-0.47108773169380902</v>
      </c>
      <c r="AG4046">
        <v>-6.1506999999999902E-2</v>
      </c>
      <c r="AH4046">
        <v>0.48026648011122502</v>
      </c>
      <c r="AI4046">
        <v>95.223889594665806</v>
      </c>
      <c r="AJ4046">
        <v>134.447222473078</v>
      </c>
      <c r="AK4046">
        <v>0.67554618933115496</v>
      </c>
    </row>
    <row r="4047" spans="1:37" x14ac:dyDescent="0.2">
      <c r="A4047" t="str">
        <f>"20200111153515115"</f>
        <v>20200111153515115</v>
      </c>
      <c r="B4047" t="str">
        <f>"1578728115110129"</f>
        <v>1578728115110129</v>
      </c>
      <c r="C4047" t="s">
        <v>37</v>
      </c>
      <c r="D4047">
        <v>4.6133559999999996</v>
      </c>
      <c r="E4047">
        <v>0.38755040000000002</v>
      </c>
      <c r="F4047" t="s">
        <v>40</v>
      </c>
      <c r="G4047">
        <v>-390.017</v>
      </c>
      <c r="H4047">
        <v>1.0461549999999999</v>
      </c>
      <c r="I4047">
        <v>141.58590000000001</v>
      </c>
      <c r="J4047">
        <v>-389.6035</v>
      </c>
      <c r="K4047">
        <v>1.108786</v>
      </c>
      <c r="L4047">
        <v>142.0907</v>
      </c>
      <c r="M4047">
        <v>-0.99944049999999995</v>
      </c>
      <c r="N4047">
        <v>0</v>
      </c>
      <c r="O4047">
        <v>-3.0174799999999901E-2</v>
      </c>
      <c r="P4047">
        <v>-0.95555820000000002</v>
      </c>
      <c r="Q4047">
        <v>6.1102199999999898E-2</v>
      </c>
      <c r="R4047">
        <v>-0.28840169999999998</v>
      </c>
      <c r="S4047">
        <v>-2.6515200000000001</v>
      </c>
      <c r="T4047">
        <v>-0.20140520000000001</v>
      </c>
      <c r="U4047">
        <v>-1.682739</v>
      </c>
      <c r="V4047">
        <v>-0.26010460000000002</v>
      </c>
      <c r="W4047">
        <v>7.2651999999999994E-2</v>
      </c>
      <c r="X4047">
        <v>0.96284340000000002</v>
      </c>
      <c r="Y4047">
        <v>-0.50913109999999995</v>
      </c>
      <c r="Z4047">
        <v>-1.55929E-2</v>
      </c>
      <c r="AA4047">
        <v>0.86054769999999903</v>
      </c>
      <c r="AB4047">
        <v>40</v>
      </c>
      <c r="AC4047">
        <v>-0.41349999999999898</v>
      </c>
      <c r="AD4047">
        <v>-6.2631000000000103E-2</v>
      </c>
      <c r="AE4047">
        <v>-0.50479999999998804</v>
      </c>
      <c r="AF4047">
        <v>-0.48759959693071198</v>
      </c>
      <c r="AG4047">
        <v>-6.2631000000000103E-2</v>
      </c>
      <c r="AH4047">
        <v>0.424633644307223</v>
      </c>
      <c r="AI4047">
        <v>95.532687921866497</v>
      </c>
      <c r="AJ4047">
        <v>138.948519004948</v>
      </c>
      <c r="AK4047">
        <v>0.64960737446986205</v>
      </c>
    </row>
    <row r="4048" spans="1:37" x14ac:dyDescent="0.2">
      <c r="A4048" t="str">
        <f>"20200111153515137"</f>
        <v>20200111153515137</v>
      </c>
      <c r="B4048" t="str">
        <f>"1578728115129650"</f>
        <v>1578728115129650</v>
      </c>
      <c r="C4048" t="s">
        <v>37</v>
      </c>
      <c r="D4048">
        <v>4.5260189999999998</v>
      </c>
      <c r="E4048">
        <v>0.39817069999999999</v>
      </c>
      <c r="F4048" t="s">
        <v>40</v>
      </c>
      <c r="G4048">
        <v>-390.37299999999999</v>
      </c>
      <c r="H4048">
        <v>1.0503279999999999</v>
      </c>
      <c r="I4048">
        <v>141.5942</v>
      </c>
      <c r="J4048">
        <v>-390</v>
      </c>
      <c r="K4048">
        <v>1.109237</v>
      </c>
      <c r="L4048">
        <v>142.07470000000001</v>
      </c>
      <c r="M4048">
        <v>-0.99927770000000005</v>
      </c>
      <c r="N4048">
        <v>0</v>
      </c>
      <c r="O4048">
        <v>-3.5150000000000001E-2</v>
      </c>
      <c r="P4048">
        <v>-0.95366640000000003</v>
      </c>
      <c r="Q4048">
        <v>5.9981220000000002E-2</v>
      </c>
      <c r="R4048">
        <v>-0.2948269</v>
      </c>
      <c r="S4048">
        <v>-2.6385190000000001</v>
      </c>
      <c r="T4048">
        <v>-0.2004203</v>
      </c>
      <c r="U4048">
        <v>-1.7024379999999999</v>
      </c>
      <c r="V4048">
        <v>-0.2618607</v>
      </c>
      <c r="W4048">
        <v>7.1221380000000001E-2</v>
      </c>
      <c r="X4048">
        <v>0.96247419999999995</v>
      </c>
      <c r="Y4048">
        <v>-0.51132739999999999</v>
      </c>
      <c r="Z4048">
        <v>-1.5285740000000001E-2</v>
      </c>
      <c r="AA4048">
        <v>0.85925010000000002</v>
      </c>
      <c r="AB4048">
        <v>40</v>
      </c>
      <c r="AC4048">
        <v>-0.37300000000004702</v>
      </c>
      <c r="AD4048">
        <v>-5.8908999999999802E-2</v>
      </c>
      <c r="AE4048">
        <v>-0.48050000000000598</v>
      </c>
      <c r="AF4048">
        <v>-0.462750614730427</v>
      </c>
      <c r="AG4048">
        <v>-5.8908999999999802E-2</v>
      </c>
      <c r="AH4048">
        <v>0.38604016995884599</v>
      </c>
      <c r="AI4048">
        <v>95.583089365386201</v>
      </c>
      <c r="AJ4048">
        <v>140.16414257962401</v>
      </c>
      <c r="AK4048">
        <v>0.60550426467221696</v>
      </c>
    </row>
    <row r="4049" spans="1:37" x14ac:dyDescent="0.2">
      <c r="A4049" t="str">
        <f>"20200111153515159"</f>
        <v>20200111153515159</v>
      </c>
      <c r="B4049" t="str">
        <f>"1578728115150145"</f>
        <v>1578728115150145</v>
      </c>
      <c r="C4049" t="s">
        <v>37</v>
      </c>
      <c r="D4049">
        <v>4.4750209999999999</v>
      </c>
      <c r="E4049">
        <v>0.39799820000000002</v>
      </c>
      <c r="F4049" t="s">
        <v>40</v>
      </c>
      <c r="G4049">
        <v>-390.73349999999999</v>
      </c>
      <c r="H4049">
        <v>1.0637639999999999</v>
      </c>
      <c r="I4049">
        <v>141.62010000000001</v>
      </c>
      <c r="J4049">
        <v>-390.37699999999899</v>
      </c>
      <c r="K4049">
        <v>1.109656</v>
      </c>
      <c r="L4049">
        <v>142.05719999999999</v>
      </c>
      <c r="M4049">
        <v>-0.99908189999999997</v>
      </c>
      <c r="N4049">
        <v>0</v>
      </c>
      <c r="O4049">
        <v>-4.0329860000000002E-2</v>
      </c>
      <c r="P4049">
        <v>-0.95159699999999903</v>
      </c>
      <c r="Q4049">
        <v>5.8541320000000001E-2</v>
      </c>
      <c r="R4049">
        <v>-0.30172179999999998</v>
      </c>
      <c r="S4049">
        <v>-2.6484679999999998</v>
      </c>
      <c r="T4049">
        <v>-0.1641618</v>
      </c>
      <c r="U4049">
        <v>-1.641937</v>
      </c>
      <c r="V4049">
        <v>-0.26389489999999999</v>
      </c>
      <c r="W4049">
        <v>6.9484290000000004E-2</v>
      </c>
      <c r="X4049">
        <v>0.96204539999999905</v>
      </c>
      <c r="Y4049">
        <v>-0.49158220000000002</v>
      </c>
      <c r="Z4049">
        <v>-1.170007E-2</v>
      </c>
      <c r="AA4049">
        <v>0.87075259999999999</v>
      </c>
      <c r="AB4049">
        <v>40</v>
      </c>
      <c r="AC4049">
        <v>-0.35650000000003901</v>
      </c>
      <c r="AD4049">
        <v>-4.5892000000000002E-2</v>
      </c>
      <c r="AE4049">
        <v>-0.437099999999986</v>
      </c>
      <c r="AF4049">
        <v>-0.41958763335562699</v>
      </c>
      <c r="AG4049">
        <v>-4.5892000000000002E-2</v>
      </c>
      <c r="AH4049">
        <v>0.37138145588426302</v>
      </c>
      <c r="AI4049">
        <v>94.682112014533502</v>
      </c>
      <c r="AJ4049">
        <v>138.48761846078199</v>
      </c>
      <c r="AK4049">
        <v>0.56221352127433799</v>
      </c>
    </row>
    <row r="4050" spans="1:37" x14ac:dyDescent="0.2">
      <c r="A4050" t="str">
        <f>"20200111153515181"</f>
        <v>20200111153515181</v>
      </c>
      <c r="B4050" t="str">
        <f>"1578728115169666"</f>
        <v>1578728115169666</v>
      </c>
      <c r="C4050" t="s">
        <v>37</v>
      </c>
      <c r="D4050">
        <v>4.5106419999999998</v>
      </c>
      <c r="E4050">
        <v>0.3976693</v>
      </c>
      <c r="F4050" t="s">
        <v>40</v>
      </c>
      <c r="G4050">
        <v>-391.38869999999997</v>
      </c>
      <c r="H4050">
        <v>1.046284</v>
      </c>
      <c r="I4050">
        <v>141.4188</v>
      </c>
      <c r="J4050">
        <v>-390.76769999999999</v>
      </c>
      <c r="K4050">
        <v>1.1100950000000001</v>
      </c>
      <c r="L4050">
        <v>142.03649999999999</v>
      </c>
      <c r="M4050">
        <v>-0.99882859999999996</v>
      </c>
      <c r="N4050">
        <v>0</v>
      </c>
      <c r="O4050">
        <v>-4.6172440000000002E-2</v>
      </c>
      <c r="P4050">
        <v>-0.94937800000000006</v>
      </c>
      <c r="Q4050">
        <v>5.786053E-2</v>
      </c>
      <c r="R4050">
        <v>-0.30876009999999998</v>
      </c>
      <c r="S4050">
        <v>-2.635345</v>
      </c>
      <c r="T4050">
        <v>-0.1650693</v>
      </c>
      <c r="U4050">
        <v>-1.663284</v>
      </c>
      <c r="V4050">
        <v>-0.26545949999999902</v>
      </c>
      <c r="W4050">
        <v>6.8506259999999999E-2</v>
      </c>
      <c r="X4050">
        <v>0.96168509999999996</v>
      </c>
      <c r="Y4050">
        <v>-0.4934885</v>
      </c>
      <c r="Z4050">
        <v>-1.1513010000000001E-2</v>
      </c>
      <c r="AA4050">
        <v>0.86967609999999995</v>
      </c>
      <c r="AB4050">
        <v>40</v>
      </c>
      <c r="AC4050">
        <v>-0.62099999999998001</v>
      </c>
      <c r="AD4050">
        <v>-6.3811000000000007E-2</v>
      </c>
      <c r="AE4050">
        <v>-0.61769999999998404</v>
      </c>
      <c r="AF4050">
        <v>-0.58525875497966895</v>
      </c>
      <c r="AG4050">
        <v>-6.3811000000000007E-2</v>
      </c>
      <c r="AH4050">
        <v>0.64543564342095305</v>
      </c>
      <c r="AI4050">
        <v>94.188800647297299</v>
      </c>
      <c r="AJ4050">
        <v>132.20065530490399</v>
      </c>
      <c r="AK4050">
        <v>0.87360564547144004</v>
      </c>
    </row>
    <row r="4051" spans="1:37" x14ac:dyDescent="0.2">
      <c r="A4051" t="str">
        <f>"20200111153515204"</f>
        <v>20200111153515204</v>
      </c>
      <c r="B4051" t="str">
        <f>"1578728115199921"</f>
        <v>1578728115199921</v>
      </c>
      <c r="C4051" t="s">
        <v>37</v>
      </c>
      <c r="D4051">
        <v>4.4880579999999997</v>
      </c>
      <c r="E4051">
        <v>0.3951942</v>
      </c>
      <c r="F4051" t="s">
        <v>40</v>
      </c>
      <c r="G4051">
        <v>-391.7396</v>
      </c>
      <c r="H4051">
        <v>1.0493749999999999</v>
      </c>
      <c r="I4051">
        <v>141.4111</v>
      </c>
      <c r="J4051">
        <v>-391.16820000000001</v>
      </c>
      <c r="K4051">
        <v>1.1105209999999901</v>
      </c>
      <c r="L4051">
        <v>142.01249999999999</v>
      </c>
      <c r="M4051">
        <v>-0.99851279999999998</v>
      </c>
      <c r="N4051">
        <v>0</v>
      </c>
      <c r="O4051">
        <v>-5.2558590000000002E-2</v>
      </c>
      <c r="P4051">
        <v>-0.94691080000000005</v>
      </c>
      <c r="Q4051">
        <v>5.7887269999999998E-2</v>
      </c>
      <c r="R4051">
        <v>-0.31624209999999903</v>
      </c>
      <c r="S4051">
        <v>-2.621429</v>
      </c>
      <c r="T4051">
        <v>-0.16377949999999999</v>
      </c>
      <c r="U4051">
        <v>-1.6865079999999999</v>
      </c>
      <c r="V4051">
        <v>-0.26697129999999902</v>
      </c>
      <c r="W4051">
        <v>6.8244609999999997E-2</v>
      </c>
      <c r="X4051">
        <v>0.9612851</v>
      </c>
      <c r="Y4051">
        <v>-0.49549379999999998</v>
      </c>
      <c r="Z4051">
        <v>-1.114537E-2</v>
      </c>
      <c r="AA4051">
        <v>0.86853999999999998</v>
      </c>
      <c r="AB4051">
        <v>39</v>
      </c>
      <c r="AC4051">
        <v>-0.57139999999998203</v>
      </c>
      <c r="AD4051">
        <v>-6.1145999999999902E-2</v>
      </c>
      <c r="AE4051">
        <v>-0.60139999999998395</v>
      </c>
      <c r="AF4051">
        <v>-0.56745054771182801</v>
      </c>
      <c r="AG4051">
        <v>-6.1145999999999902E-2</v>
      </c>
      <c r="AH4051">
        <v>0.59896797015717695</v>
      </c>
      <c r="AI4051">
        <v>94.238377259554397</v>
      </c>
      <c r="AJ4051">
        <v>133.45220564795301</v>
      </c>
      <c r="AK4051">
        <v>0.82734611057807095</v>
      </c>
    </row>
    <row r="4052" spans="1:37" x14ac:dyDescent="0.2">
      <c r="A4052" t="str">
        <f>"20200111153515219"</f>
        <v>20200111153515219</v>
      </c>
      <c r="B4052" t="str">
        <f>"1578728115209682"</f>
        <v>1578728115209682</v>
      </c>
      <c r="C4052" t="s">
        <v>37</v>
      </c>
      <c r="D4052">
        <v>4.5115569999999998</v>
      </c>
      <c r="E4052">
        <v>0.39371030000000001</v>
      </c>
      <c r="F4052" t="s">
        <v>40</v>
      </c>
      <c r="G4052">
        <v>-392.09</v>
      </c>
      <c r="H4052">
        <v>1.0498769999999999</v>
      </c>
      <c r="I4052">
        <v>141.40119999999999</v>
      </c>
      <c r="J4052">
        <v>-391.44170000000003</v>
      </c>
      <c r="K4052">
        <v>1.110798</v>
      </c>
      <c r="L4052">
        <v>141.9948</v>
      </c>
      <c r="M4052">
        <v>-0.99826280000000001</v>
      </c>
      <c r="N4052">
        <v>0</v>
      </c>
      <c r="O4052">
        <v>-5.710805E-2</v>
      </c>
      <c r="P4052">
        <v>-0.9449921</v>
      </c>
      <c r="Q4052">
        <v>5.8308690000000003E-2</v>
      </c>
      <c r="R4052">
        <v>-0.32185449999999999</v>
      </c>
      <c r="S4052">
        <v>-2.602112</v>
      </c>
      <c r="T4052">
        <v>-0.17117739999999901</v>
      </c>
      <c r="U4052">
        <v>-1.726486</v>
      </c>
      <c r="V4052">
        <v>-0.26834970000000002</v>
      </c>
      <c r="W4052">
        <v>6.8469139999999998E-2</v>
      </c>
      <c r="X4052">
        <v>0.960885199999999</v>
      </c>
      <c r="Y4052">
        <v>-0.50371060000000001</v>
      </c>
      <c r="Z4052">
        <v>-1.165217E-2</v>
      </c>
      <c r="AA4052">
        <v>0.86379379999999994</v>
      </c>
      <c r="AB4052">
        <v>39</v>
      </c>
      <c r="AC4052">
        <v>-0.64829999999994903</v>
      </c>
      <c r="AD4052">
        <v>-6.0921000000000003E-2</v>
      </c>
      <c r="AE4052">
        <v>-0.59360000000000901</v>
      </c>
      <c r="AF4052">
        <v>-0.55294797315379196</v>
      </c>
      <c r="AG4052">
        <v>-6.0921000000000003E-2</v>
      </c>
      <c r="AH4052">
        <v>0.67788848169962701</v>
      </c>
      <c r="AI4052">
        <v>93.983617924228099</v>
      </c>
      <c r="AJ4052">
        <v>129.203838031917</v>
      </c>
      <c r="AK4052">
        <v>0.876923955013725</v>
      </c>
    </row>
    <row r="4053" spans="1:37" x14ac:dyDescent="0.2">
      <c r="A4053" t="str">
        <f>"20200111153515237"</f>
        <v>20200111153515237</v>
      </c>
      <c r="B4053" t="str">
        <f>"1578728115230180"</f>
        <v>1578728115230180</v>
      </c>
      <c r="C4053" t="s">
        <v>37</v>
      </c>
      <c r="D4053">
        <v>4.4849329999999998</v>
      </c>
      <c r="E4053">
        <v>0.37208150000000001</v>
      </c>
      <c r="F4053" t="s">
        <v>40</v>
      </c>
      <c r="G4053">
        <v>-392.42309999999998</v>
      </c>
      <c r="H4053">
        <v>1.0466930000000001</v>
      </c>
      <c r="I4053">
        <v>141.3295</v>
      </c>
      <c r="J4053">
        <v>-391.74849999999998</v>
      </c>
      <c r="K4053">
        <v>1.1110990000000001</v>
      </c>
      <c r="L4053">
        <v>141.97299999999899</v>
      </c>
      <c r="M4053">
        <v>-0.997942</v>
      </c>
      <c r="N4053">
        <v>0</v>
      </c>
      <c r="O4053">
        <v>-6.2458079999999999E-2</v>
      </c>
      <c r="P4053">
        <v>-0.94193320000000003</v>
      </c>
      <c r="Q4053">
        <v>5.8465900000000001E-2</v>
      </c>
      <c r="R4053">
        <v>-0.3306712</v>
      </c>
      <c r="S4053">
        <v>-2.58776899999999</v>
      </c>
      <c r="T4053">
        <v>-0.1690257</v>
      </c>
      <c r="U4053">
        <v>-1.753754</v>
      </c>
      <c r="V4053">
        <v>-0.27223399999999998</v>
      </c>
      <c r="W4053">
        <v>6.836449E-2</v>
      </c>
      <c r="X4053">
        <v>0.95979939999999997</v>
      </c>
      <c r="Y4053">
        <v>-0.50756459999999903</v>
      </c>
      <c r="Z4053">
        <v>-1.132937E-2</v>
      </c>
      <c r="AA4053">
        <v>0.86153919999999995</v>
      </c>
      <c r="AB4053">
        <v>39</v>
      </c>
      <c r="AC4053">
        <v>-0.67459999999999798</v>
      </c>
      <c r="AD4053">
        <v>-6.4405999999999894E-2</v>
      </c>
      <c r="AE4053">
        <v>-0.64349999999998797</v>
      </c>
      <c r="AF4053">
        <v>-0.59725431149581998</v>
      </c>
      <c r="AG4053">
        <v>-6.4405999999999894E-2</v>
      </c>
      <c r="AH4053">
        <v>0.71008974552939597</v>
      </c>
      <c r="AI4053">
        <v>93.9706941066582</v>
      </c>
      <c r="AJ4053">
        <v>130.06708856374701</v>
      </c>
      <c r="AK4053">
        <v>0.93010122682552598</v>
      </c>
    </row>
    <row r="4054" spans="1:37" x14ac:dyDescent="0.2">
      <c r="A4054" t="str">
        <f>"20200111153515259"</f>
        <v>20200111153515259</v>
      </c>
      <c r="B4054" t="str">
        <f>"1578728115250204"</f>
        <v>1578728115250204</v>
      </c>
      <c r="C4054" t="s">
        <v>37</v>
      </c>
      <c r="D4054">
        <v>4.499447</v>
      </c>
      <c r="E4054">
        <v>0.37295879999999998</v>
      </c>
      <c r="F4054" t="s">
        <v>40</v>
      </c>
      <c r="G4054">
        <v>-392.45209999999997</v>
      </c>
      <c r="H4054">
        <v>1.073936</v>
      </c>
      <c r="I4054">
        <v>141.4282</v>
      </c>
      <c r="J4054">
        <v>-392.13670000000002</v>
      </c>
      <c r="K4054">
        <v>1.111472</v>
      </c>
      <c r="L4054">
        <v>141.94299999999899</v>
      </c>
      <c r="M4054">
        <v>-0.99747189999999997</v>
      </c>
      <c r="N4054">
        <v>0</v>
      </c>
      <c r="O4054">
        <v>-6.9561040000000005E-2</v>
      </c>
      <c r="P4054">
        <v>-0.93740020000000002</v>
      </c>
      <c r="Q4054">
        <v>5.7361830000000003E-2</v>
      </c>
      <c r="R4054">
        <v>-0.34349780000000002</v>
      </c>
      <c r="S4054">
        <v>-2.51086399999999</v>
      </c>
      <c r="T4054">
        <v>-0.13262679999999999</v>
      </c>
      <c r="U4054">
        <v>-1.9435119999999999</v>
      </c>
      <c r="V4054">
        <v>-0.2785453</v>
      </c>
      <c r="W4054">
        <v>6.6894439999999999E-2</v>
      </c>
      <c r="X4054">
        <v>0.95809069999999996</v>
      </c>
      <c r="Y4054">
        <v>-0.55518339999999999</v>
      </c>
      <c r="Z4054">
        <v>-9.7205920000000001E-3</v>
      </c>
      <c r="AA4054">
        <v>0.83167119999999894</v>
      </c>
      <c r="AB4054">
        <v>39</v>
      </c>
      <c r="AC4054">
        <v>-0.31539999999995399</v>
      </c>
      <c r="AD4054">
        <v>-3.7536E-2</v>
      </c>
      <c r="AE4054">
        <v>-0.51479999999997905</v>
      </c>
      <c r="AF4054">
        <v>-0.48971787443188902</v>
      </c>
      <c r="AG4054">
        <v>-3.7536E-2</v>
      </c>
      <c r="AH4054">
        <v>0.34910020891897098</v>
      </c>
      <c r="AI4054">
        <v>93.571384991134096</v>
      </c>
      <c r="AJ4054">
        <v>144.51645482583399</v>
      </c>
      <c r="AK4054">
        <v>0.60258070306089095</v>
      </c>
    </row>
    <row r="4055" spans="1:37" x14ac:dyDescent="0.2">
      <c r="A4055" t="str">
        <f>"20200111153515282"</f>
        <v>20200111153515282</v>
      </c>
      <c r="B4055" t="str">
        <f>"1578728115269724"</f>
        <v>1578728115269724</v>
      </c>
      <c r="C4055" t="s">
        <v>37</v>
      </c>
      <c r="D4055">
        <v>4.4570230000000004</v>
      </c>
      <c r="E4055">
        <v>0.37390289999999998</v>
      </c>
      <c r="F4055" t="s">
        <v>51</v>
      </c>
      <c r="G4055">
        <v>-412.24509999999998</v>
      </c>
      <c r="H4055" s="1">
        <v>-4.7312319999999997E-6</v>
      </c>
      <c r="I4055">
        <v>125.99679999999999</v>
      </c>
      <c r="J4055">
        <v>-392.51889999999997</v>
      </c>
      <c r="K4055">
        <v>1.111845</v>
      </c>
      <c r="L4055">
        <v>141.9102</v>
      </c>
      <c r="M4055">
        <v>-0.99692639999999999</v>
      </c>
      <c r="N4055">
        <v>0</v>
      </c>
      <c r="O4055">
        <v>-7.6980290000000007E-2</v>
      </c>
      <c r="P4055">
        <v>-0.93165319999999996</v>
      </c>
      <c r="Q4055">
        <v>5.4203090000000002E-2</v>
      </c>
      <c r="R4055">
        <v>-0.35928259999999901</v>
      </c>
      <c r="S4055">
        <v>-2.4862669999999998</v>
      </c>
      <c r="T4055">
        <v>-0.1374263</v>
      </c>
      <c r="U4055">
        <v>-1.9716340000000001</v>
      </c>
      <c r="V4055">
        <v>-0.28759489999999999</v>
      </c>
      <c r="W4055">
        <v>6.3298149999999997E-2</v>
      </c>
      <c r="X4055">
        <v>0.95565809999999995</v>
      </c>
      <c r="Y4055">
        <v>-0.55873729999999999</v>
      </c>
      <c r="Z4055">
        <v>-9.8510339999999998E-3</v>
      </c>
      <c r="AA4055">
        <v>0.82928619999999897</v>
      </c>
      <c r="AB4055">
        <v>39</v>
      </c>
      <c r="AC4055">
        <v>-19.726199999999999</v>
      </c>
      <c r="AD4055">
        <v>-1.1118497312319999</v>
      </c>
      <c r="AE4055">
        <v>-15.913399999999999</v>
      </c>
      <c r="AF4055">
        <v>-14.319920917233199</v>
      </c>
      <c r="AG4055">
        <v>-1.1118497312319999</v>
      </c>
      <c r="AH4055">
        <v>20.852669618082299</v>
      </c>
      <c r="AI4055">
        <v>92.516722220586104</v>
      </c>
      <c r="AJ4055">
        <v>124.478119441161</v>
      </c>
      <c r="AK4055">
        <v>25.320548475527701</v>
      </c>
    </row>
    <row r="4056" spans="1:37" x14ac:dyDescent="0.2">
      <c r="A4056" t="str">
        <f>"20200111153515315"</f>
        <v>20200111153515315</v>
      </c>
      <c r="B4056" t="str">
        <f>"1578728115309740"</f>
        <v>1578728115309740</v>
      </c>
      <c r="C4056" t="s">
        <v>37</v>
      </c>
      <c r="D4056">
        <v>4.4401149999999996</v>
      </c>
      <c r="E4056">
        <v>0.37570549999999903</v>
      </c>
      <c r="F4056" t="s">
        <v>51</v>
      </c>
      <c r="G4056">
        <v>-411.72179999999997</v>
      </c>
      <c r="H4056" s="1">
        <v>-4.8775569999999902E-6</v>
      </c>
      <c r="I4056">
        <v>126.2084</v>
      </c>
      <c r="J4056">
        <v>-393.10890000000001</v>
      </c>
      <c r="K4056">
        <v>1.1124289999999999</v>
      </c>
      <c r="L4056">
        <v>141.8535</v>
      </c>
      <c r="M4056">
        <v>-0.99591249999999998</v>
      </c>
      <c r="N4056">
        <v>0</v>
      </c>
      <c r="O4056">
        <v>-8.9135359999999997E-2</v>
      </c>
      <c r="P4056">
        <v>-0.92404989999999998</v>
      </c>
      <c r="Q4056">
        <v>5.2897109999999997E-2</v>
      </c>
      <c r="R4056">
        <v>-0.37859409999999999</v>
      </c>
      <c r="S4056">
        <v>-2.4544069999999998</v>
      </c>
      <c r="T4056">
        <v>-0.14211019999999999</v>
      </c>
      <c r="U4056">
        <v>-2.0069119999999998</v>
      </c>
      <c r="V4056">
        <v>-0.29588700000000001</v>
      </c>
      <c r="W4056">
        <v>6.1422110000000002E-2</v>
      </c>
      <c r="X4056">
        <v>0.95324619999999904</v>
      </c>
      <c r="Y4056">
        <v>-0.56100640000000002</v>
      </c>
      <c r="Z4056">
        <v>-9.7034389999999995E-3</v>
      </c>
      <c r="AA4056">
        <v>0.82775460000000001</v>
      </c>
      <c r="AB4056">
        <v>39</v>
      </c>
      <c r="AC4056">
        <v>-18.6128999999999</v>
      </c>
      <c r="AD4056">
        <v>-1.112433877557</v>
      </c>
      <c r="AE4056">
        <v>-15.645099999999999</v>
      </c>
      <c r="AF4056">
        <v>-13.8944836044883</v>
      </c>
      <c r="AG4056">
        <v>-1.112433877557</v>
      </c>
      <c r="AH4056">
        <v>19.891838951915101</v>
      </c>
      <c r="AI4056">
        <v>92.625006251776398</v>
      </c>
      <c r="AJ4056">
        <v>124.934365233318</v>
      </c>
      <c r="AK4056">
        <v>24.289492391901799</v>
      </c>
    </row>
    <row r="4057" spans="1:37" x14ac:dyDescent="0.2">
      <c r="A4057" t="str">
        <f>"20200111153515338"</f>
        <v>20200111153515338</v>
      </c>
      <c r="B4057" t="str">
        <f>"1578728115330236"</f>
        <v>1578728115330236</v>
      </c>
      <c r="C4057" t="s">
        <v>37</v>
      </c>
      <c r="D4057">
        <v>4.5173259999999997</v>
      </c>
      <c r="E4057">
        <v>0.37650079999999903</v>
      </c>
      <c r="F4057" t="s">
        <v>40</v>
      </c>
      <c r="G4057">
        <v>-393.8152</v>
      </c>
      <c r="H4057">
        <v>1.0682370000000001</v>
      </c>
      <c r="I4057">
        <v>141.2561</v>
      </c>
      <c r="J4057">
        <v>-393.49599999999998</v>
      </c>
      <c r="K4057">
        <v>1.112803</v>
      </c>
      <c r="L4057">
        <v>141.81209999999999</v>
      </c>
      <c r="M4057">
        <v>-0.9951198</v>
      </c>
      <c r="N4057">
        <v>0</v>
      </c>
      <c r="O4057">
        <v>-9.7582080000000002E-2</v>
      </c>
      <c r="P4057">
        <v>-0.91933860000000001</v>
      </c>
      <c r="Q4057">
        <v>5.1836790000000001E-2</v>
      </c>
      <c r="R4057">
        <v>-0.39003779999999999</v>
      </c>
      <c r="S4057">
        <v>-2.4178160000000002</v>
      </c>
      <c r="T4057">
        <v>-0.15129889999999999</v>
      </c>
      <c r="U4057">
        <v>-2.0439449999999999</v>
      </c>
      <c r="V4057">
        <v>-0.2996684</v>
      </c>
      <c r="W4057">
        <v>6.0019469999999998E-2</v>
      </c>
      <c r="X4057">
        <v>0.95215360000000004</v>
      </c>
      <c r="Y4057">
        <v>-0.56745519999999905</v>
      </c>
      <c r="Z4057">
        <v>-1.013317E-2</v>
      </c>
      <c r="AA4057">
        <v>0.82334200000000002</v>
      </c>
      <c r="AB4057">
        <v>39</v>
      </c>
      <c r="AC4057">
        <v>-0.31920000000002302</v>
      </c>
      <c r="AD4057">
        <v>-4.45659999999998E-2</v>
      </c>
      <c r="AE4057">
        <v>-0.55599999999998295</v>
      </c>
      <c r="AF4057">
        <v>-0.51968318894244603</v>
      </c>
      <c r="AG4057">
        <v>-4.45659999999998E-2</v>
      </c>
      <c r="AH4057">
        <v>0.37014912370401398</v>
      </c>
      <c r="AI4057">
        <v>93.995591359183805</v>
      </c>
      <c r="AJ4057">
        <v>144.53928068415701</v>
      </c>
      <c r="AK4057">
        <v>0.63958355123020505</v>
      </c>
    </row>
    <row r="4058" spans="1:37" x14ac:dyDescent="0.2">
      <c r="A4058" t="str">
        <f>"20200111153515360"</f>
        <v>20200111153515360</v>
      </c>
      <c r="B4058" t="str">
        <f>"1578728115350264"</f>
        <v>1578728115350264</v>
      </c>
      <c r="C4058" t="s">
        <v>37</v>
      </c>
      <c r="D4058">
        <v>4.4773449999999997</v>
      </c>
      <c r="E4058">
        <v>0.37744</v>
      </c>
      <c r="F4058" t="s">
        <v>40</v>
      </c>
      <c r="G4058">
        <v>-394.16320000000002</v>
      </c>
      <c r="H4058">
        <v>1.068808</v>
      </c>
      <c r="I4058">
        <v>141.2362</v>
      </c>
      <c r="J4058">
        <v>-393.86970000000002</v>
      </c>
      <c r="K4058">
        <v>1.113173</v>
      </c>
      <c r="L4058">
        <v>141.76849999999999</v>
      </c>
      <c r="M4058">
        <v>-0.99423969999999995</v>
      </c>
      <c r="N4058">
        <v>0</v>
      </c>
      <c r="O4058">
        <v>-0.10616979999999999</v>
      </c>
      <c r="P4058">
        <v>-0.91503259999999897</v>
      </c>
      <c r="Q4058">
        <v>5.1056219999999999E-2</v>
      </c>
      <c r="R4058">
        <v>-0.40013599999999999</v>
      </c>
      <c r="S4058">
        <v>-2.3947449999999999</v>
      </c>
      <c r="T4058">
        <v>-0.1578909</v>
      </c>
      <c r="U4058">
        <v>-2.0679780000000001</v>
      </c>
      <c r="V4058">
        <v>-0.3019696</v>
      </c>
      <c r="W4058">
        <v>5.8927529999999999E-2</v>
      </c>
      <c r="X4058">
        <v>0.95149459999999997</v>
      </c>
      <c r="Y4058">
        <v>-0.5689594</v>
      </c>
      <c r="Z4058">
        <v>-1.018838E-2</v>
      </c>
      <c r="AA4058">
        <v>0.82230249999999905</v>
      </c>
      <c r="AB4058">
        <v>39</v>
      </c>
      <c r="AC4058">
        <v>-0.29349999999999399</v>
      </c>
      <c r="AD4058">
        <v>-4.4364999999999898E-2</v>
      </c>
      <c r="AE4058">
        <v>-0.532299999999992</v>
      </c>
      <c r="AF4058">
        <v>-0.49548714023996299</v>
      </c>
      <c r="AG4058">
        <v>-4.4364999999999898E-2</v>
      </c>
      <c r="AH4058">
        <v>0.34651516588311798</v>
      </c>
      <c r="AI4058">
        <v>94.196566955733502</v>
      </c>
      <c r="AJ4058">
        <v>145.03327465990699</v>
      </c>
      <c r="AK4058">
        <v>0.60625779958296799</v>
      </c>
    </row>
    <row r="4059" spans="1:37" x14ac:dyDescent="0.2">
      <c r="A4059" t="str">
        <f>"20200111153515382"</f>
        <v>20200111153515382</v>
      </c>
      <c r="B4059" t="str">
        <f>"1578728115380521"</f>
        <v>1578728115380521</v>
      </c>
      <c r="C4059" t="s">
        <v>37</v>
      </c>
      <c r="D4059">
        <v>4.487266</v>
      </c>
      <c r="E4059">
        <v>0.38468540000000001</v>
      </c>
      <c r="F4059" t="s">
        <v>51</v>
      </c>
      <c r="G4059">
        <v>-408.98809999999997</v>
      </c>
      <c r="H4059">
        <v>7.9986879999999996E-2</v>
      </c>
      <c r="I4059">
        <v>128.4821</v>
      </c>
      <c r="J4059">
        <v>-394.25830000000002</v>
      </c>
      <c r="K4059">
        <v>1.1135889999999999</v>
      </c>
      <c r="L4059">
        <v>141.7193</v>
      </c>
      <c r="M4059">
        <v>-0.99319059999999904</v>
      </c>
      <c r="N4059">
        <v>0</v>
      </c>
      <c r="O4059">
        <v>-0.1155663</v>
      </c>
      <c r="P4059">
        <v>-0.91055640000000004</v>
      </c>
      <c r="Q4059">
        <v>5.0142599999999898E-2</v>
      </c>
      <c r="R4059">
        <v>-0.41033219999999998</v>
      </c>
      <c r="S4059">
        <v>-2.3749389999999999</v>
      </c>
      <c r="T4059">
        <v>-0.16230269999999999</v>
      </c>
      <c r="U4059">
        <v>-2.0871430000000002</v>
      </c>
      <c r="V4059">
        <v>-0.30363829999999897</v>
      </c>
      <c r="W4059">
        <v>5.7704150000000003E-2</v>
      </c>
      <c r="X4059">
        <v>0.95103839999999995</v>
      </c>
      <c r="Y4059">
        <v>-0.56830429999999998</v>
      </c>
      <c r="Z4059">
        <v>-9.9592669999999904E-3</v>
      </c>
      <c r="AA4059">
        <v>0.82275810000000005</v>
      </c>
      <c r="AB4059">
        <v>39</v>
      </c>
      <c r="AC4059">
        <v>-14.7297999999999</v>
      </c>
      <c r="AD4059">
        <v>-1.0336021199999901</v>
      </c>
      <c r="AE4059">
        <v>-13.2372</v>
      </c>
      <c r="AF4059">
        <v>-11.414940811208901</v>
      </c>
      <c r="AG4059">
        <v>-1.0336021199999901</v>
      </c>
      <c r="AH4059">
        <v>16.117122272390102</v>
      </c>
      <c r="AI4059">
        <v>92.9958005646467</v>
      </c>
      <c r="AJ4059">
        <v>125.30800776357</v>
      </c>
      <c r="AK4059">
        <v>19.777028022659099</v>
      </c>
    </row>
    <row r="4060" spans="1:37" x14ac:dyDescent="0.2">
      <c r="A4060" t="str">
        <f>"20200111153515405"</f>
        <v>20200111153515405</v>
      </c>
      <c r="B4060" t="str">
        <f>"1578728115400043"</f>
        <v>1578728115400043</v>
      </c>
      <c r="C4060" t="s">
        <v>37</v>
      </c>
      <c r="D4060">
        <v>4.4765370000000004</v>
      </c>
      <c r="E4060">
        <v>0.38563109999999901</v>
      </c>
      <c r="F4060" t="s">
        <v>51</v>
      </c>
      <c r="G4060">
        <v>-410.07560000000001</v>
      </c>
      <c r="H4060" s="1">
        <v>-5.7294219999999999E-6</v>
      </c>
      <c r="I4060">
        <v>128.00200000000001</v>
      </c>
      <c r="J4060">
        <v>-394.6472</v>
      </c>
      <c r="K4060">
        <v>1.113999</v>
      </c>
      <c r="L4060">
        <v>141.666</v>
      </c>
      <c r="M4060">
        <v>-0.99199859999999895</v>
      </c>
      <c r="N4060">
        <v>0</v>
      </c>
      <c r="O4060">
        <v>-0.12538150000000001</v>
      </c>
      <c r="P4060">
        <v>-0.90573189999999903</v>
      </c>
      <c r="Q4060">
        <v>5.0838330000000001E-2</v>
      </c>
      <c r="R4060">
        <v>-0.42079099999999903</v>
      </c>
      <c r="S4060">
        <v>-2.3755189999999899</v>
      </c>
      <c r="T4060">
        <v>-0.1672448</v>
      </c>
      <c r="U4060">
        <v>-2.06012</v>
      </c>
      <c r="V4060">
        <v>-0.3052665</v>
      </c>
      <c r="W4060">
        <v>5.810212E-2</v>
      </c>
      <c r="X4060">
        <v>0.95049269999999997</v>
      </c>
      <c r="Y4060">
        <v>-0.55467670000000002</v>
      </c>
      <c r="Z4060">
        <v>-9.3016569999999996E-3</v>
      </c>
      <c r="AA4060">
        <v>0.83201399999999903</v>
      </c>
      <c r="AB4060">
        <v>39</v>
      </c>
      <c r="AC4060">
        <v>-15.4284</v>
      </c>
      <c r="AD4060">
        <v>-1.1140047294219999</v>
      </c>
      <c r="AE4060">
        <v>-13.6639999999999</v>
      </c>
      <c r="AF4060">
        <v>-11.587644463540601</v>
      </c>
      <c r="AG4060">
        <v>-1.1140047294219999</v>
      </c>
      <c r="AH4060">
        <v>16.970437265062799</v>
      </c>
      <c r="AI4060">
        <v>93.103058997223698</v>
      </c>
      <c r="AJ4060">
        <v>124.32579071892</v>
      </c>
      <c r="AK4060">
        <v>20.579364706375902</v>
      </c>
    </row>
    <row r="4061" spans="1:37" x14ac:dyDescent="0.2">
      <c r="A4061" t="str">
        <f>"20200111153515427"</f>
        <v>20200111153515427</v>
      </c>
      <c r="B4061" t="str">
        <f>"1578728115420536"</f>
        <v>1578728115420536</v>
      </c>
      <c r="C4061" t="s">
        <v>37</v>
      </c>
      <c r="D4061">
        <v>4.5027119999999998</v>
      </c>
      <c r="E4061">
        <v>0.3855364</v>
      </c>
      <c r="F4061" t="s">
        <v>51</v>
      </c>
      <c r="G4061">
        <v>-410.36779999999999</v>
      </c>
      <c r="H4061" s="1">
        <v>-5.611318E-6</v>
      </c>
      <c r="I4061">
        <v>127.779</v>
      </c>
      <c r="J4061">
        <v>-395.02390000000003</v>
      </c>
      <c r="K4061">
        <v>1.1143809999999901</v>
      </c>
      <c r="L4061">
        <v>141.6104</v>
      </c>
      <c r="M4061">
        <v>-0.99069599999999902</v>
      </c>
      <c r="N4061">
        <v>0</v>
      </c>
      <c r="O4061">
        <v>-0.13528280000000001</v>
      </c>
      <c r="P4061">
        <v>-0.90122440000000004</v>
      </c>
      <c r="Q4061">
        <v>5.2972720000000001E-2</v>
      </c>
      <c r="R4061">
        <v>-0.430102499999999</v>
      </c>
      <c r="S4061">
        <v>-2.3550719999999998</v>
      </c>
      <c r="T4061">
        <v>-0.1668867</v>
      </c>
      <c r="U4061">
        <v>-2.0803829999999999</v>
      </c>
      <c r="V4061">
        <v>-0.30569020000000002</v>
      </c>
      <c r="W4061">
        <v>5.9983769999999999E-2</v>
      </c>
      <c r="X4061">
        <v>0.95023969999999902</v>
      </c>
      <c r="Y4061">
        <v>-0.55398459999999905</v>
      </c>
      <c r="Z4061">
        <v>-8.7173130000000008E-3</v>
      </c>
      <c r="AA4061">
        <v>0.83248129999999998</v>
      </c>
      <c r="AB4061">
        <v>39</v>
      </c>
      <c r="AC4061">
        <v>-15.3438999999999</v>
      </c>
      <c r="AD4061">
        <v>-1.1143866113179901</v>
      </c>
      <c r="AE4061">
        <v>-13.8314</v>
      </c>
      <c r="AF4061">
        <v>-11.5944851506707</v>
      </c>
      <c r="AG4061">
        <v>-1.1143866113179901</v>
      </c>
      <c r="AH4061">
        <v>17.0246260468504</v>
      </c>
      <c r="AI4061">
        <v>93.096807218349099</v>
      </c>
      <c r="AJ4061">
        <v>124.256506655496</v>
      </c>
      <c r="AK4061">
        <v>20.6279382261948</v>
      </c>
    </row>
    <row r="4062" spans="1:37" x14ac:dyDescent="0.2">
      <c r="A4062" t="str">
        <f>"20200111153515448"</f>
        <v>20200111153515448</v>
      </c>
      <c r="B4062" t="str">
        <f>"1578728115440056"</f>
        <v>1578728115440056</v>
      </c>
      <c r="C4062" t="s">
        <v>37</v>
      </c>
      <c r="D4062">
        <v>4.4778760000000002</v>
      </c>
      <c r="E4062">
        <v>0.38551459999999999</v>
      </c>
      <c r="F4062" t="s">
        <v>40</v>
      </c>
      <c r="G4062">
        <v>-395.82049999999998</v>
      </c>
      <c r="H4062">
        <v>1.0591549999999901</v>
      </c>
      <c r="I4062">
        <v>140.89179999999999</v>
      </c>
      <c r="J4062">
        <v>-395.39769999999999</v>
      </c>
      <c r="K4062">
        <v>1.114751</v>
      </c>
      <c r="L4062">
        <v>141.5513</v>
      </c>
      <c r="M4062">
        <v>-0.98924639999999997</v>
      </c>
      <c r="N4062">
        <v>0</v>
      </c>
      <c r="O4062">
        <v>-0.1455002</v>
      </c>
      <c r="P4062">
        <v>-0.89686759999999999</v>
      </c>
      <c r="Q4062">
        <v>5.4477369999999997E-2</v>
      </c>
      <c r="R4062">
        <v>-0.43893109999999902</v>
      </c>
      <c r="S4062">
        <v>-2.3334349999999899</v>
      </c>
      <c r="T4062">
        <v>-0.1617702</v>
      </c>
      <c r="U4062">
        <v>-2.105591</v>
      </c>
      <c r="V4062">
        <v>-0.30531920000000001</v>
      </c>
      <c r="W4062">
        <v>6.1265050000000001E-2</v>
      </c>
      <c r="X4062">
        <v>0.95027719999999904</v>
      </c>
      <c r="Y4062">
        <v>-0.5542397</v>
      </c>
      <c r="Z4062">
        <v>-7.9088400000000003E-3</v>
      </c>
      <c r="AA4062">
        <v>0.83231959999999905</v>
      </c>
      <c r="AB4062">
        <v>39</v>
      </c>
      <c r="AC4062">
        <v>-0.42279999999999501</v>
      </c>
      <c r="AD4062">
        <v>-5.5596000000000201E-2</v>
      </c>
      <c r="AE4062">
        <v>-0.65950000000000797</v>
      </c>
      <c r="AF4062">
        <v>-0.58799444678226598</v>
      </c>
      <c r="AG4062">
        <v>-5.5596000000000201E-2</v>
      </c>
      <c r="AH4062">
        <v>0.51169051277688304</v>
      </c>
      <c r="AI4062">
        <v>94.079764306460106</v>
      </c>
      <c r="AJ4062">
        <v>138.969225259279</v>
      </c>
      <c r="AK4062">
        <v>0.78144453771758704</v>
      </c>
    </row>
    <row r="4063" spans="1:37" x14ac:dyDescent="0.2">
      <c r="A4063" t="str">
        <f>"20200111153515471"</f>
        <v>20200111153515471</v>
      </c>
      <c r="B4063" t="str">
        <f>"1578728115460552"</f>
        <v>1578728115460552</v>
      </c>
      <c r="C4063" t="s">
        <v>37</v>
      </c>
      <c r="D4063">
        <v>4.4518459999999997</v>
      </c>
      <c r="E4063">
        <v>0.38563069999999999</v>
      </c>
      <c r="F4063" t="s">
        <v>40</v>
      </c>
      <c r="G4063">
        <v>-396.16079999999999</v>
      </c>
      <c r="H4063">
        <v>1.062648</v>
      </c>
      <c r="I4063">
        <v>140.84909999999999</v>
      </c>
      <c r="J4063">
        <v>-395.77659999999997</v>
      </c>
      <c r="K4063">
        <v>1.1151229999999901</v>
      </c>
      <c r="L4063">
        <v>141.4871</v>
      </c>
      <c r="M4063">
        <v>-0.98760319999999902</v>
      </c>
      <c r="N4063">
        <v>0</v>
      </c>
      <c r="O4063">
        <v>-0.15625919999999999</v>
      </c>
      <c r="P4063">
        <v>-0.89223960000000002</v>
      </c>
      <c r="Q4063">
        <v>5.5604760000000003E-2</v>
      </c>
      <c r="R4063">
        <v>-0.44812570000000002</v>
      </c>
      <c r="S4063">
        <v>-2.3127439999999999</v>
      </c>
      <c r="T4063">
        <v>-0.15789919999999999</v>
      </c>
      <c r="U4063">
        <v>-2.1288450000000001</v>
      </c>
      <c r="V4063">
        <v>-0.30483939999999998</v>
      </c>
      <c r="W4063">
        <v>6.2174550000000002E-2</v>
      </c>
      <c r="X4063">
        <v>0.9503722</v>
      </c>
      <c r="Y4063">
        <v>-0.55346189999999995</v>
      </c>
      <c r="Z4063">
        <v>-7.1283450000000003E-3</v>
      </c>
      <c r="AA4063">
        <v>0.83284400000000003</v>
      </c>
      <c r="AB4063">
        <v>39</v>
      </c>
      <c r="AC4063">
        <v>-0.38420000000002102</v>
      </c>
      <c r="AD4063">
        <v>-5.24749999999998E-2</v>
      </c>
      <c r="AE4063">
        <v>-0.63800000000000501</v>
      </c>
      <c r="AF4063">
        <v>-0.56730319820082598</v>
      </c>
      <c r="AG4063">
        <v>-5.24749999999998E-2</v>
      </c>
      <c r="AH4063">
        <v>0.476816748964212</v>
      </c>
      <c r="AI4063">
        <v>94.050332015398098</v>
      </c>
      <c r="AJ4063">
        <v>139.95304254642201</v>
      </c>
      <c r="AK4063">
        <v>0.74292715417238997</v>
      </c>
    </row>
    <row r="4064" spans="1:37" x14ac:dyDescent="0.2">
      <c r="A4064" t="str">
        <f>"20200111153515494"</f>
        <v>20200111153515494</v>
      </c>
      <c r="B4064" t="str">
        <f>"1578728115489832"</f>
        <v>1578728115489832</v>
      </c>
      <c r="C4064" t="s">
        <v>37</v>
      </c>
      <c r="D4064">
        <v>4.5052440000000002</v>
      </c>
      <c r="E4064">
        <v>0.38594609999999901</v>
      </c>
      <c r="F4064" t="s">
        <v>40</v>
      </c>
      <c r="G4064">
        <v>-396.50150000000002</v>
      </c>
      <c r="H4064">
        <v>1.0665020000000001</v>
      </c>
      <c r="I4064">
        <v>140.8058</v>
      </c>
      <c r="J4064">
        <v>-396.16210000000001</v>
      </c>
      <c r="K4064">
        <v>1.115505</v>
      </c>
      <c r="L4064">
        <v>141.41720000000001</v>
      </c>
      <c r="M4064">
        <v>-0.98573739999999999</v>
      </c>
      <c r="N4064">
        <v>0</v>
      </c>
      <c r="O4064">
        <v>-0.16762170000000001</v>
      </c>
      <c r="P4064">
        <v>-0.88716289999999998</v>
      </c>
      <c r="Q4064">
        <v>5.7952139999999999E-2</v>
      </c>
      <c r="R4064">
        <v>-0.45780280000000001</v>
      </c>
      <c r="S4064">
        <v>-2.29089399999999</v>
      </c>
      <c r="T4064">
        <v>-0.15367259999999999</v>
      </c>
      <c r="U4064">
        <v>-2.1523439999999998</v>
      </c>
      <c r="V4064">
        <v>-0.30437720000000001</v>
      </c>
      <c r="W4064">
        <v>6.4304130000000001E-2</v>
      </c>
      <c r="X4064">
        <v>0.95037859999999996</v>
      </c>
      <c r="Y4064">
        <v>-0.55241359999999995</v>
      </c>
      <c r="Z4064">
        <v>-6.3217890000000004E-3</v>
      </c>
      <c r="AA4064">
        <v>0.83354619999999902</v>
      </c>
      <c r="AB4064">
        <v>39</v>
      </c>
      <c r="AC4064">
        <v>-0.33940000000001103</v>
      </c>
      <c r="AD4064">
        <v>-4.9002999999999901E-2</v>
      </c>
      <c r="AE4064">
        <v>-0.61140000000000305</v>
      </c>
      <c r="AF4064">
        <v>-0.54318302939325502</v>
      </c>
      <c r="AG4064">
        <v>-4.9002999999999901E-2</v>
      </c>
      <c r="AH4064">
        <v>0.43495640439833699</v>
      </c>
      <c r="AI4064">
        <v>94.028106320225206</v>
      </c>
      <c r="AJ4064">
        <v>141.31383229873501</v>
      </c>
      <c r="AK4064">
        <v>0.69759312722887701</v>
      </c>
    </row>
    <row r="4065" spans="1:37" x14ac:dyDescent="0.2">
      <c r="A4065" t="str">
        <f>"20200111153515517"</f>
        <v>20200111153515517</v>
      </c>
      <c r="B4065" t="str">
        <f>"1578728115510328"</f>
        <v>1578728115510328</v>
      </c>
      <c r="C4065" t="s">
        <v>37</v>
      </c>
      <c r="D4065">
        <v>4.4994909999999999</v>
      </c>
      <c r="E4065">
        <v>0.38614569999999998</v>
      </c>
      <c r="F4065" t="s">
        <v>40</v>
      </c>
      <c r="G4065">
        <v>-396.84320000000002</v>
      </c>
      <c r="H4065">
        <v>1.0712759999999999</v>
      </c>
      <c r="I4065">
        <v>140.76419999999999</v>
      </c>
      <c r="J4065">
        <v>-396.54349999999999</v>
      </c>
      <c r="K4065">
        <v>1.1158870000000001</v>
      </c>
      <c r="L4065">
        <v>141.3434</v>
      </c>
      <c r="M4065">
        <v>-0.98368349999999904</v>
      </c>
      <c r="N4065">
        <v>0</v>
      </c>
      <c r="O4065">
        <v>-0.17927750000000001</v>
      </c>
      <c r="P4065">
        <v>-0.88097080000000005</v>
      </c>
      <c r="Q4065">
        <v>6.0955189999999999E-2</v>
      </c>
      <c r="R4065">
        <v>-0.46922839999999999</v>
      </c>
      <c r="S4065">
        <v>-2.2685550000000001</v>
      </c>
      <c r="T4065">
        <v>-0.1472917</v>
      </c>
      <c r="U4065">
        <v>-2.17547599999999</v>
      </c>
      <c r="V4065">
        <v>-0.30558829999999998</v>
      </c>
      <c r="W4065">
        <v>6.7042870000000004E-2</v>
      </c>
      <c r="X4065">
        <v>0.94980059999999999</v>
      </c>
      <c r="Y4065">
        <v>-0.55112519999999998</v>
      </c>
      <c r="Z4065">
        <v>-5.4461880000000002E-3</v>
      </c>
      <c r="AA4065">
        <v>0.83440479999999995</v>
      </c>
      <c r="AB4065">
        <v>39</v>
      </c>
      <c r="AC4065">
        <v>-0.299700000000029</v>
      </c>
      <c r="AD4065">
        <v>-4.4610999999999901E-2</v>
      </c>
      <c r="AE4065">
        <v>-0.57920000000001404</v>
      </c>
      <c r="AF4065">
        <v>-0.51367470543724703</v>
      </c>
      <c r="AG4065">
        <v>-4.4610999999999901E-2</v>
      </c>
      <c r="AH4065">
        <v>0.39683562015612001</v>
      </c>
      <c r="AI4065">
        <v>93.931567670099</v>
      </c>
      <c r="AJ4065">
        <v>142.31238327502399</v>
      </c>
      <c r="AK4065">
        <v>0.65063842013189999</v>
      </c>
    </row>
    <row r="4066" spans="1:37" x14ac:dyDescent="0.2">
      <c r="A4066" t="str">
        <f>"20200111153515539"</f>
        <v>20200111153515539</v>
      </c>
      <c r="B4066" t="str">
        <f>"1578728115529849"</f>
        <v>1578728115529849</v>
      </c>
      <c r="C4066" t="s">
        <v>37</v>
      </c>
      <c r="D4066">
        <v>4.4923260000000003</v>
      </c>
      <c r="E4066">
        <v>0.38628579999999901</v>
      </c>
      <c r="F4066" t="s">
        <v>40</v>
      </c>
      <c r="G4066">
        <v>-397.1825</v>
      </c>
      <c r="H4066">
        <v>1.076838</v>
      </c>
      <c r="I4066">
        <v>140.71469999999999</v>
      </c>
      <c r="J4066">
        <v>-396.91590000000002</v>
      </c>
      <c r="K4066">
        <v>1.116247</v>
      </c>
      <c r="L4066">
        <v>141.2664</v>
      </c>
      <c r="M4066">
        <v>-0.98146089999999997</v>
      </c>
      <c r="N4066">
        <v>0</v>
      </c>
      <c r="O4066">
        <v>-0.19106529999999899</v>
      </c>
      <c r="P4066">
        <v>-0.87374879999999999</v>
      </c>
      <c r="Q4066">
        <v>6.3696299999999997E-2</v>
      </c>
      <c r="R4066">
        <v>-0.48218859999999902</v>
      </c>
      <c r="S4066">
        <v>-2.2408450000000002</v>
      </c>
      <c r="T4066">
        <v>-0.1369322</v>
      </c>
      <c r="U4066">
        <v>-2.2040860000000002</v>
      </c>
      <c r="V4066">
        <v>-0.30839879999999997</v>
      </c>
      <c r="W4066">
        <v>6.9474789999999995E-2</v>
      </c>
      <c r="X4066">
        <v>0.94871679999999903</v>
      </c>
      <c r="Y4066">
        <v>-0.55175260000000004</v>
      </c>
      <c r="Z4066">
        <v>-4.538383E-3</v>
      </c>
      <c r="AA4066">
        <v>0.8339955</v>
      </c>
      <c r="AB4066">
        <v>39</v>
      </c>
      <c r="AC4066">
        <v>-0.26659999999998202</v>
      </c>
      <c r="AD4066">
        <v>-3.9409E-2</v>
      </c>
      <c r="AE4066">
        <v>-0.55170000000001096</v>
      </c>
      <c r="AF4066">
        <v>-0.48856903499736698</v>
      </c>
      <c r="AG4066">
        <v>-3.9409E-2</v>
      </c>
      <c r="AH4066">
        <v>0.36559783488478198</v>
      </c>
      <c r="AI4066">
        <v>93.695157617587597</v>
      </c>
      <c r="AJ4066">
        <v>143.19236880941401</v>
      </c>
      <c r="AK4066">
        <v>0.61148552567636405</v>
      </c>
    </row>
    <row r="4067" spans="1:37" x14ac:dyDescent="0.2">
      <c r="A4067" t="str">
        <f>"20200111153515561"</f>
        <v>20200111153515561</v>
      </c>
      <c r="B4067" t="str">
        <f>"1578728115550345"</f>
        <v>1578728115550345</v>
      </c>
      <c r="C4067" t="s">
        <v>37</v>
      </c>
      <c r="D4067">
        <v>4.5703779999999998</v>
      </c>
      <c r="E4067">
        <v>0.3865131</v>
      </c>
      <c r="F4067" t="s">
        <v>51</v>
      </c>
      <c r="G4067">
        <v>-416.50009999999997</v>
      </c>
      <c r="H4067" s="1">
        <v>-1.629422E-6</v>
      </c>
      <c r="I4067">
        <v>121.4224</v>
      </c>
      <c r="J4067">
        <v>-397.27859999999998</v>
      </c>
      <c r="K4067">
        <v>1.1165849999999999</v>
      </c>
      <c r="L4067">
        <v>141.1866</v>
      </c>
      <c r="M4067">
        <v>-0.97907310000000003</v>
      </c>
      <c r="N4067">
        <v>0</v>
      </c>
      <c r="O4067">
        <v>-0.20294200000000001</v>
      </c>
      <c r="P4067">
        <v>-0.86625810000000003</v>
      </c>
      <c r="Q4067">
        <v>6.371483E-2</v>
      </c>
      <c r="R4067">
        <v>-0.4955174</v>
      </c>
      <c r="S4067">
        <v>-2.208008</v>
      </c>
      <c r="T4067">
        <v>-0.12585080000000001</v>
      </c>
      <c r="U4067">
        <v>-2.2373050000000001</v>
      </c>
      <c r="V4067">
        <v>-0.31150270000000002</v>
      </c>
      <c r="W4067">
        <v>6.9184129999999996E-2</v>
      </c>
      <c r="X4067">
        <v>0.94772339999999999</v>
      </c>
      <c r="Y4067">
        <v>-0.55409779999999997</v>
      </c>
      <c r="Z4067">
        <v>-3.727055E-3</v>
      </c>
      <c r="AA4067">
        <v>0.83244319999999905</v>
      </c>
      <c r="AB4067">
        <v>39</v>
      </c>
      <c r="AC4067">
        <v>-19.221499999999899</v>
      </c>
      <c r="AD4067">
        <v>-1.1165866294219999</v>
      </c>
      <c r="AE4067">
        <v>-19.764199999999999</v>
      </c>
      <c r="AF4067">
        <v>-15.426223657423501</v>
      </c>
      <c r="AG4067">
        <v>-1.1165866294219999</v>
      </c>
      <c r="AH4067">
        <v>22.795479331040401</v>
      </c>
      <c r="AI4067">
        <v>92.323038248704407</v>
      </c>
      <c r="AJ4067">
        <v>124.087113321464</v>
      </c>
      <c r="AK4067">
        <v>27.547214377532701</v>
      </c>
    </row>
    <row r="4068" spans="1:37" x14ac:dyDescent="0.2">
      <c r="A4068" t="str">
        <f>"20200111153515583"</f>
        <v>20200111153515583</v>
      </c>
      <c r="B4068" t="str">
        <f>"1578728115580600"</f>
        <v>1578728115580600</v>
      </c>
      <c r="C4068" t="s">
        <v>37</v>
      </c>
      <c r="D4068">
        <v>4.5393850000000002</v>
      </c>
      <c r="E4068">
        <v>0.38692080000000001</v>
      </c>
      <c r="F4068" t="s">
        <v>51</v>
      </c>
      <c r="G4068">
        <v>-416.80189999999999</v>
      </c>
      <c r="H4068" s="1">
        <v>-1.2910239999999901E-6</v>
      </c>
      <c r="I4068">
        <v>120.7979</v>
      </c>
      <c r="J4068">
        <v>-397.65069999999997</v>
      </c>
      <c r="K4068">
        <v>1.116903</v>
      </c>
      <c r="L4068">
        <v>141.09950000000001</v>
      </c>
      <c r="M4068">
        <v>-0.97639010000000004</v>
      </c>
      <c r="N4068">
        <v>0</v>
      </c>
      <c r="O4068">
        <v>-0.21547520000000001</v>
      </c>
      <c r="P4068">
        <v>-0.85869390000000001</v>
      </c>
      <c r="Q4068">
        <v>6.1986090000000001E-2</v>
      </c>
      <c r="R4068">
        <v>-0.50872649999999997</v>
      </c>
      <c r="S4068">
        <v>-2.1737669999999998</v>
      </c>
      <c r="T4068">
        <v>-0.124323</v>
      </c>
      <c r="U4068">
        <v>-2.270111</v>
      </c>
      <c r="V4068">
        <v>-0.3138514</v>
      </c>
      <c r="W4068">
        <v>6.7178950000000001E-2</v>
      </c>
      <c r="X4068">
        <v>0.947092499999999</v>
      </c>
      <c r="Y4068">
        <v>-0.55599869999999996</v>
      </c>
      <c r="Z4068">
        <v>-3.202674E-3</v>
      </c>
      <c r="AA4068">
        <v>0.83117700000000005</v>
      </c>
      <c r="AB4068">
        <v>39</v>
      </c>
      <c r="AC4068">
        <v>-19.151199999999999</v>
      </c>
      <c r="AD4068">
        <v>-1.1169042910239999</v>
      </c>
      <c r="AE4068">
        <v>-20.301600000000001</v>
      </c>
      <c r="AF4068">
        <v>-15.6724000452587</v>
      </c>
      <c r="AG4068">
        <v>-1.1169042910239999</v>
      </c>
      <c r="AH4068">
        <v>23.039321415639002</v>
      </c>
      <c r="AI4068">
        <v>92.295375620164407</v>
      </c>
      <c r="AJ4068">
        <v>124.22532860826099</v>
      </c>
      <c r="AK4068">
        <v>27.886949092130099</v>
      </c>
    </row>
    <row r="4069" spans="1:37" x14ac:dyDescent="0.2">
      <c r="A4069" t="str">
        <f>"20200111153515605"</f>
        <v>20200111153515605</v>
      </c>
      <c r="B4069" t="str">
        <f>"1578728115600120"</f>
        <v>1578728115600120</v>
      </c>
      <c r="C4069" t="s">
        <v>37</v>
      </c>
      <c r="D4069">
        <v>4.5874329999999999</v>
      </c>
      <c r="E4069">
        <v>0.3873491</v>
      </c>
      <c r="F4069" t="s">
        <v>51</v>
      </c>
      <c r="G4069">
        <v>-415.95940000000002</v>
      </c>
      <c r="H4069" s="1">
        <v>-1.750399E-6</v>
      </c>
      <c r="I4069">
        <v>121.41370000000001</v>
      </c>
      <c r="J4069">
        <v>-398.02190000000002</v>
      </c>
      <c r="K4069">
        <v>1.1172059999999999</v>
      </c>
      <c r="L4069">
        <v>141.0077</v>
      </c>
      <c r="M4069">
        <v>-0.97346869999999996</v>
      </c>
      <c r="N4069">
        <v>0</v>
      </c>
      <c r="O4069">
        <v>-0.22830719999999999</v>
      </c>
      <c r="P4069">
        <v>-0.85159499999999999</v>
      </c>
      <c r="Q4069">
        <v>6.0027589999999999E-2</v>
      </c>
      <c r="R4069">
        <v>-0.52075249999999995</v>
      </c>
      <c r="S4069">
        <v>-2.1399539999999999</v>
      </c>
      <c r="T4069">
        <v>-0.1305462</v>
      </c>
      <c r="U4069">
        <v>-2.3009189999999999</v>
      </c>
      <c r="V4069">
        <v>-0.31467030000000001</v>
      </c>
      <c r="W4069">
        <v>6.5005999999999994E-2</v>
      </c>
      <c r="X4069">
        <v>0.94697240000000005</v>
      </c>
      <c r="Y4069">
        <v>-0.55713859999999904</v>
      </c>
      <c r="Z4069">
        <v>-2.8241970000000001E-3</v>
      </c>
      <c r="AA4069">
        <v>0.83041469999999995</v>
      </c>
      <c r="AB4069">
        <v>39</v>
      </c>
      <c r="AC4069">
        <v>-17.9375</v>
      </c>
      <c r="AD4069">
        <v>-1.1172077503990001</v>
      </c>
      <c r="AE4069">
        <v>-19.593999999999902</v>
      </c>
      <c r="AF4069">
        <v>-14.9541920993417</v>
      </c>
      <c r="AG4069">
        <v>-1.1172077503990001</v>
      </c>
      <c r="AH4069">
        <v>21.898885403911301</v>
      </c>
      <c r="AI4069">
        <v>92.412480246861705</v>
      </c>
      <c r="AJ4069">
        <v>124.328175495012</v>
      </c>
      <c r="AK4069">
        <v>26.541235774454901</v>
      </c>
    </row>
    <row r="4070" spans="1:37" x14ac:dyDescent="0.2">
      <c r="A4070" t="str">
        <f>"20200111153515628"</f>
        <v>20200111153515628</v>
      </c>
      <c r="B4070" t="str">
        <f>"1578728115619640"</f>
        <v>1578728115619640</v>
      </c>
      <c r="C4070" t="s">
        <v>37</v>
      </c>
      <c r="D4070">
        <v>4.5823390000000002</v>
      </c>
      <c r="E4070">
        <v>0.38763170000000002</v>
      </c>
      <c r="F4070" t="s">
        <v>51</v>
      </c>
      <c r="G4070">
        <v>-415.18150000000003</v>
      </c>
      <c r="H4070" s="1">
        <v>-2.222228E-6</v>
      </c>
      <c r="I4070">
        <v>122.06619999999999</v>
      </c>
      <c r="J4070">
        <v>-398.38979999999998</v>
      </c>
      <c r="K4070">
        <v>1.1175010000000001</v>
      </c>
      <c r="L4070">
        <v>140.91139999999999</v>
      </c>
      <c r="M4070">
        <v>-0.97031710000000004</v>
      </c>
      <c r="N4070">
        <v>0</v>
      </c>
      <c r="O4070">
        <v>-0.24134649999999999</v>
      </c>
      <c r="P4070">
        <v>-0.84452819999999995</v>
      </c>
      <c r="Q4070">
        <v>6.0149250000000001E-2</v>
      </c>
      <c r="R4070">
        <v>-0.5321224</v>
      </c>
      <c r="S4070">
        <v>-2.1089479999999998</v>
      </c>
      <c r="T4070">
        <v>-0.1373075</v>
      </c>
      <c r="U4070">
        <v>-2.3279570000000001</v>
      </c>
      <c r="V4070">
        <v>-0.31471850000000001</v>
      </c>
      <c r="W4070">
        <v>6.4948889999999995E-2</v>
      </c>
      <c r="X4070">
        <v>0.94696039999999904</v>
      </c>
      <c r="Y4070">
        <v>-0.55685150000000005</v>
      </c>
      <c r="Z4070">
        <v>-2.3515960000000001E-3</v>
      </c>
      <c r="AA4070">
        <v>0.83060869999999998</v>
      </c>
      <c r="AB4070">
        <v>39</v>
      </c>
      <c r="AC4070">
        <v>-16.791699999999999</v>
      </c>
      <c r="AD4070">
        <v>-1.1175032222279999</v>
      </c>
      <c r="AE4070">
        <v>-18.845199999999899</v>
      </c>
      <c r="AF4070">
        <v>-14.2070379740096</v>
      </c>
      <c r="AG4070">
        <v>-1.1175032222279999</v>
      </c>
      <c r="AH4070">
        <v>20.803185367881099</v>
      </c>
      <c r="AI4070">
        <v>92.539992836662407</v>
      </c>
      <c r="AJ4070">
        <v>124.330188181021</v>
      </c>
      <c r="AK4070">
        <v>25.216289633827198</v>
      </c>
    </row>
    <row r="4071" spans="1:37" x14ac:dyDescent="0.2">
      <c r="A4071" t="str">
        <f>"20200111153515649"</f>
        <v>20200111153515649</v>
      </c>
      <c r="B4071" t="str">
        <f>"1578728115640136"</f>
        <v>1578728115640136</v>
      </c>
      <c r="C4071" t="s">
        <v>37</v>
      </c>
      <c r="D4071">
        <v>4.6068860000000003</v>
      </c>
      <c r="E4071">
        <v>0.38778779999999902</v>
      </c>
      <c r="F4071" t="s">
        <v>40</v>
      </c>
      <c r="G4071">
        <v>-399.08859999999999</v>
      </c>
      <c r="H4071">
        <v>1.0714920000000001</v>
      </c>
      <c r="I4071">
        <v>140.11959999999999</v>
      </c>
      <c r="J4071">
        <v>-398.75049999999999</v>
      </c>
      <c r="K4071">
        <v>1.117783</v>
      </c>
      <c r="L4071">
        <v>140.81180000000001</v>
      </c>
      <c r="M4071">
        <v>-0.96696680000000002</v>
      </c>
      <c r="N4071">
        <v>0</v>
      </c>
      <c r="O4071">
        <v>-0.25443369999999998</v>
      </c>
      <c r="P4071">
        <v>-0.83767080000000005</v>
      </c>
      <c r="Q4071">
        <v>6.062526E-2</v>
      </c>
      <c r="R4071">
        <v>-0.54280050000000002</v>
      </c>
      <c r="S4071">
        <v>-2.0783390000000002</v>
      </c>
      <c r="T4071">
        <v>-0.13685420000000001</v>
      </c>
      <c r="U4071">
        <v>-2.3547060000000002</v>
      </c>
      <c r="V4071">
        <v>-0.31401790000000002</v>
      </c>
      <c r="W4071">
        <v>6.5284350000000005E-2</v>
      </c>
      <c r="X4071">
        <v>0.94716979999999995</v>
      </c>
      <c r="Y4071">
        <v>-0.55639280000000002</v>
      </c>
      <c r="Z4071">
        <v>-1.71697E-3</v>
      </c>
      <c r="AA4071">
        <v>0.83091769999999998</v>
      </c>
      <c r="AB4071">
        <v>39</v>
      </c>
      <c r="AC4071">
        <v>-0.33809999999999701</v>
      </c>
      <c r="AD4071">
        <v>-4.6290999999999798E-2</v>
      </c>
      <c r="AE4071">
        <v>-0.69220000000001303</v>
      </c>
      <c r="AF4071">
        <v>-0.58128110753425299</v>
      </c>
      <c r="AG4071">
        <v>-4.6290999999999798E-2</v>
      </c>
      <c r="AH4071">
        <v>0.50130042079653303</v>
      </c>
      <c r="AI4071">
        <v>93.451166372646199</v>
      </c>
      <c r="AJ4071">
        <v>139.22531271542499</v>
      </c>
      <c r="AK4071">
        <v>0.76898159571476699</v>
      </c>
    </row>
    <row r="4072" spans="1:37" x14ac:dyDescent="0.2">
      <c r="A4072" t="str">
        <f>"20200111153515673"</f>
        <v>20200111153515673</v>
      </c>
      <c r="B4072" t="str">
        <f>"1578728115670392"</f>
        <v>1578728115670392</v>
      </c>
      <c r="C4072" t="s">
        <v>37</v>
      </c>
      <c r="D4072">
        <v>4.6222839999999996</v>
      </c>
      <c r="E4072">
        <v>0.39362550000000002</v>
      </c>
      <c r="F4072" t="s">
        <v>40</v>
      </c>
      <c r="G4072">
        <v>-399.41539999999998</v>
      </c>
      <c r="H4072">
        <v>1.073704</v>
      </c>
      <c r="I4072">
        <v>140.03960000000001</v>
      </c>
      <c r="J4072">
        <v>-399.11939999999998</v>
      </c>
      <c r="K4072">
        <v>1.1180540000000001</v>
      </c>
      <c r="L4072">
        <v>140.70439999999999</v>
      </c>
      <c r="M4072">
        <v>-0.96326019999999901</v>
      </c>
      <c r="N4072">
        <v>0</v>
      </c>
      <c r="O4072">
        <v>-0.26812179999999902</v>
      </c>
      <c r="P4072">
        <v>-0.8305072</v>
      </c>
      <c r="Q4072">
        <v>6.1030750000000002E-2</v>
      </c>
      <c r="R4072">
        <v>-0.55365439999999999</v>
      </c>
      <c r="S4072">
        <v>-2.0489199999999999</v>
      </c>
      <c r="T4072">
        <v>-0.1358086</v>
      </c>
      <c r="U4072">
        <v>-2.3800659999999998</v>
      </c>
      <c r="V4072">
        <v>-0.31297900000000001</v>
      </c>
      <c r="W4072">
        <v>6.5566990000000006E-2</v>
      </c>
      <c r="X4072">
        <v>0.94749409999999901</v>
      </c>
      <c r="Y4072">
        <v>-0.55490139999999999</v>
      </c>
      <c r="Z4072">
        <v>-1.0227299999999999E-3</v>
      </c>
      <c r="AA4072">
        <v>0.83191550000000003</v>
      </c>
      <c r="AB4072">
        <v>39</v>
      </c>
      <c r="AC4072">
        <v>-0.29599999999999199</v>
      </c>
      <c r="AD4072">
        <v>-4.4350000000000098E-2</v>
      </c>
      <c r="AE4072">
        <v>-0.66479999999998496</v>
      </c>
      <c r="AF4072">
        <v>-0.55900257755992899</v>
      </c>
      <c r="AG4072">
        <v>-4.4350000000000098E-2</v>
      </c>
      <c r="AH4072">
        <v>0.46171324607333802</v>
      </c>
      <c r="AI4072">
        <v>93.500432816945604</v>
      </c>
      <c r="AJ4072">
        <v>140.44468773807901</v>
      </c>
      <c r="AK4072">
        <v>0.72638139143168001</v>
      </c>
    </row>
    <row r="4073" spans="1:37" x14ac:dyDescent="0.2">
      <c r="A4073" t="str">
        <f>"20200111153515695"</f>
        <v>20200111153515695</v>
      </c>
      <c r="B4073" t="str">
        <f>"1578728115689912"</f>
        <v>1578728115689912</v>
      </c>
      <c r="C4073" t="s">
        <v>37</v>
      </c>
      <c r="D4073">
        <v>4.6850509999999996</v>
      </c>
      <c r="E4073">
        <v>0.3940961</v>
      </c>
      <c r="F4073" t="s">
        <v>40</v>
      </c>
      <c r="G4073">
        <v>-399.75060000000002</v>
      </c>
      <c r="H4073">
        <v>1.06565</v>
      </c>
      <c r="I4073">
        <v>139.97399999999999</v>
      </c>
      <c r="J4073">
        <v>-399.49220000000003</v>
      </c>
      <c r="K4073">
        <v>1.1183299999999901</v>
      </c>
      <c r="L4073">
        <v>140.59010000000001</v>
      </c>
      <c r="M4073">
        <v>-0.95921299999999898</v>
      </c>
      <c r="N4073">
        <v>0</v>
      </c>
      <c r="O4073">
        <v>-0.28225489999999998</v>
      </c>
      <c r="P4073">
        <v>-0.82323709999999894</v>
      </c>
      <c r="Q4073">
        <v>6.0376289999999999E-2</v>
      </c>
      <c r="R4073">
        <v>-0.56447819999999904</v>
      </c>
      <c r="S4073">
        <v>-2.0459900000000002</v>
      </c>
      <c r="T4073">
        <v>-0.16983960000000001</v>
      </c>
      <c r="U4073">
        <v>-2.3681950000000001</v>
      </c>
      <c r="V4073">
        <v>-0.31146230000000003</v>
      </c>
      <c r="W4073">
        <v>6.4815670000000006E-2</v>
      </c>
      <c r="X4073">
        <v>0.94804539999999904</v>
      </c>
      <c r="Y4073">
        <v>-0.54102099999999997</v>
      </c>
      <c r="Z4073" s="1">
        <v>2.00225E-5</v>
      </c>
      <c r="AA4073">
        <v>0.84100909999999995</v>
      </c>
      <c r="AB4073">
        <v>38</v>
      </c>
      <c r="AC4073">
        <v>-0.25839999999999402</v>
      </c>
      <c r="AD4073">
        <v>-5.2679999999999803E-2</v>
      </c>
      <c r="AE4073">
        <v>-0.61610000000001697</v>
      </c>
      <c r="AF4073">
        <v>-0.51489792934436895</v>
      </c>
      <c r="AG4073">
        <v>-5.2679999999999803E-2</v>
      </c>
      <c r="AH4073">
        <v>0.419202654908501</v>
      </c>
      <c r="AI4073">
        <v>94.536425497883002</v>
      </c>
      <c r="AJ4073">
        <v>140.849341811551</v>
      </c>
      <c r="AK4073">
        <v>0.66605249487217999</v>
      </c>
    </row>
    <row r="4074" spans="1:37" x14ac:dyDescent="0.2">
      <c r="A4074" t="str">
        <f>"20200111153515717"</f>
        <v>20200111153515717</v>
      </c>
      <c r="B4074" t="str">
        <f>"1578728115710408"</f>
        <v>1578728115710408</v>
      </c>
      <c r="C4074" t="s">
        <v>37</v>
      </c>
      <c r="D4074">
        <v>4.6926050000000004</v>
      </c>
      <c r="E4074">
        <v>0.39481090000000002</v>
      </c>
      <c r="F4074" t="s">
        <v>40</v>
      </c>
      <c r="G4074">
        <v>-400.07929999999999</v>
      </c>
      <c r="H4074">
        <v>1.070063</v>
      </c>
      <c r="I4074">
        <v>139.89400000000001</v>
      </c>
      <c r="J4074">
        <v>-399.84219999999999</v>
      </c>
      <c r="K4074">
        <v>1.1185769999999999</v>
      </c>
      <c r="L4074">
        <v>140.47720000000001</v>
      </c>
      <c r="M4074">
        <v>-0.95512419999999998</v>
      </c>
      <c r="N4074">
        <v>0</v>
      </c>
      <c r="O4074">
        <v>-0.29579179999999999</v>
      </c>
      <c r="P4074">
        <v>-0.81605289999999997</v>
      </c>
      <c r="Q4074">
        <v>6.0553969999999999E-2</v>
      </c>
      <c r="R4074">
        <v>-0.57479609999999903</v>
      </c>
      <c r="S4074">
        <v>-2.0161739999999999</v>
      </c>
      <c r="T4074">
        <v>-0.1657564</v>
      </c>
      <c r="U4074">
        <v>-2.3919679999999999</v>
      </c>
      <c r="V4074">
        <v>-0.31004140000000002</v>
      </c>
      <c r="W4074">
        <v>6.4911780000000002E-2</v>
      </c>
      <c r="X4074">
        <v>0.94850449999999997</v>
      </c>
      <c r="Y4074">
        <v>-0.53940690000000002</v>
      </c>
      <c r="Z4074">
        <v>8.5273939999999996E-4</v>
      </c>
      <c r="AA4074">
        <v>0.84204480000000004</v>
      </c>
      <c r="AB4074">
        <v>38</v>
      </c>
      <c r="AC4074">
        <v>-0.23709999999999801</v>
      </c>
      <c r="AD4074">
        <v>-4.8514000000000099E-2</v>
      </c>
      <c r="AE4074">
        <v>-0.58320000000000405</v>
      </c>
      <c r="AF4074">
        <v>-0.48408119053098497</v>
      </c>
      <c r="AG4074">
        <v>-4.8514000000000099E-2</v>
      </c>
      <c r="AH4074">
        <v>0.39665909150246897</v>
      </c>
      <c r="AI4074">
        <v>94.432617213855707</v>
      </c>
      <c r="AJ4074">
        <v>140.668599299611</v>
      </c>
      <c r="AK4074">
        <v>0.62771541489233795</v>
      </c>
    </row>
    <row r="4075" spans="1:37" x14ac:dyDescent="0.2">
      <c r="A4075" t="str">
        <f>"20200111153515739"</f>
        <v>20200111153515739</v>
      </c>
      <c r="B4075" t="str">
        <f>"1578728115729929"</f>
        <v>1578728115729929</v>
      </c>
      <c r="C4075" t="s">
        <v>37</v>
      </c>
      <c r="D4075">
        <v>4.6758150000000001</v>
      </c>
      <c r="E4075">
        <v>0.39541880000000001</v>
      </c>
      <c r="F4075" t="s">
        <v>40</v>
      </c>
      <c r="G4075">
        <v>-400.40100000000001</v>
      </c>
      <c r="H4075">
        <v>1.072962</v>
      </c>
      <c r="I4075">
        <v>139.79929999999999</v>
      </c>
      <c r="J4075">
        <v>-400.19349999999997</v>
      </c>
      <c r="K4075">
        <v>1.1188129999999901</v>
      </c>
      <c r="L4075">
        <v>140.35820000000001</v>
      </c>
      <c r="M4075">
        <v>-0.9507234</v>
      </c>
      <c r="N4075">
        <v>0</v>
      </c>
      <c r="O4075">
        <v>-0.30964259999999999</v>
      </c>
      <c r="P4075">
        <v>-0.80835649999999903</v>
      </c>
      <c r="Q4075">
        <v>6.1348939999999998E-2</v>
      </c>
      <c r="R4075">
        <v>-0.58548840000000002</v>
      </c>
      <c r="S4075">
        <v>-1.988953</v>
      </c>
      <c r="T4075">
        <v>-0.1623482</v>
      </c>
      <c r="U4075">
        <v>-2.412582</v>
      </c>
      <c r="V4075">
        <v>-0.3088282</v>
      </c>
      <c r="W4075">
        <v>6.5625039999999996E-2</v>
      </c>
      <c r="X4075">
        <v>0.94885109999999995</v>
      </c>
      <c r="Y4075">
        <v>-0.53638240000000004</v>
      </c>
      <c r="Z4075">
        <v>1.7173710000000001E-3</v>
      </c>
      <c r="AA4075">
        <v>0.84397330000000004</v>
      </c>
      <c r="AB4075">
        <v>38</v>
      </c>
      <c r="AC4075">
        <v>-0.20750000000003799</v>
      </c>
      <c r="AD4075">
        <v>-4.5850999999999802E-2</v>
      </c>
      <c r="AE4075">
        <v>-0.55890000000002205</v>
      </c>
      <c r="AF4075">
        <v>-0.46441904230132602</v>
      </c>
      <c r="AG4075">
        <v>-4.5850999999999802E-2</v>
      </c>
      <c r="AH4075">
        <v>0.36820211538826397</v>
      </c>
      <c r="AI4075">
        <v>94.423787273797004</v>
      </c>
      <c r="AJ4075">
        <v>141.591808662608</v>
      </c>
      <c r="AK4075">
        <v>0.59444104739618497</v>
      </c>
    </row>
    <row r="4076" spans="1:37" x14ac:dyDescent="0.2">
      <c r="A4076" t="str">
        <f>"20200111153515762"</f>
        <v>20200111153515762</v>
      </c>
      <c r="B4076" t="str">
        <f>"1578728115750424"</f>
        <v>1578728115750424</v>
      </c>
      <c r="C4076" t="s">
        <v>37</v>
      </c>
      <c r="D4076">
        <v>4.7169679999999996</v>
      </c>
      <c r="E4076">
        <v>0.39545130000000001</v>
      </c>
      <c r="F4076" t="s">
        <v>51</v>
      </c>
      <c r="G4076">
        <v>-413.93450000000001</v>
      </c>
      <c r="H4076" s="1">
        <v>-3.1703789999999998E-6</v>
      </c>
      <c r="I4076">
        <v>123.2847</v>
      </c>
      <c r="J4076">
        <v>-400.54610000000002</v>
      </c>
      <c r="K4076">
        <v>1.119046</v>
      </c>
      <c r="L4076">
        <v>140.23259999999999</v>
      </c>
      <c r="M4076">
        <v>-0.94599179999999905</v>
      </c>
      <c r="N4076">
        <v>0</v>
      </c>
      <c r="O4076">
        <v>-0.3238065</v>
      </c>
      <c r="P4076">
        <v>-0.80064239999999998</v>
      </c>
      <c r="Q4076">
        <v>6.0877109999999998E-2</v>
      </c>
      <c r="R4076">
        <v>-0.59604159999999995</v>
      </c>
      <c r="S4076">
        <v>-1.9597169999999999</v>
      </c>
      <c r="T4076">
        <v>-0.15956319999999999</v>
      </c>
      <c r="U4076">
        <v>-2.43498199999999</v>
      </c>
      <c r="V4076">
        <v>-0.30711579999999999</v>
      </c>
      <c r="W4076">
        <v>6.5100199999999997E-2</v>
      </c>
      <c r="X4076">
        <v>0.94944289999999998</v>
      </c>
      <c r="Y4076">
        <v>-0.53374370000000004</v>
      </c>
      <c r="Z4076">
        <v>2.5631690000000001E-3</v>
      </c>
      <c r="AA4076">
        <v>0.84564240000000002</v>
      </c>
      <c r="AB4076">
        <v>38</v>
      </c>
      <c r="AC4076">
        <v>-13.388399999999899</v>
      </c>
      <c r="AD4076">
        <v>-1.119049170379</v>
      </c>
      <c r="AE4076">
        <v>-16.947899999999901</v>
      </c>
      <c r="AF4076">
        <v>-11.667457891199</v>
      </c>
      <c r="AG4076">
        <v>-1.119049170379</v>
      </c>
      <c r="AH4076">
        <v>18.106808179652699</v>
      </c>
      <c r="AI4076">
        <v>92.973918568467198</v>
      </c>
      <c r="AJ4076">
        <v>122.796459096533</v>
      </c>
      <c r="AK4076">
        <v>21.5693844868917</v>
      </c>
    </row>
    <row r="4077" spans="1:37" x14ac:dyDescent="0.2">
      <c r="A4077" t="str">
        <f>"20200111153515784"</f>
        <v>20200111153515784</v>
      </c>
      <c r="B4077" t="str">
        <f>"1578728115779704"</f>
        <v>1578728115779704</v>
      </c>
      <c r="C4077" t="s">
        <v>37</v>
      </c>
      <c r="D4077">
        <v>4.6915559999999896</v>
      </c>
      <c r="E4077">
        <v>0.39569769999999999</v>
      </c>
      <c r="F4077" t="s">
        <v>51</v>
      </c>
      <c r="G4077">
        <v>-413.97519999999997</v>
      </c>
      <c r="H4077" s="1">
        <v>-3.0400070000000001E-6</v>
      </c>
      <c r="I4077">
        <v>123.0885</v>
      </c>
      <c r="J4077">
        <v>-400.90069999999997</v>
      </c>
      <c r="K4077">
        <v>1.1192599999999999</v>
      </c>
      <c r="L4077">
        <v>140.1002</v>
      </c>
      <c r="M4077">
        <v>-0.94091179999999996</v>
      </c>
      <c r="N4077">
        <v>0</v>
      </c>
      <c r="O4077">
        <v>-0.33828069999999999</v>
      </c>
      <c r="P4077">
        <v>-0.79206759999999998</v>
      </c>
      <c r="Q4077">
        <v>6.0260899999999999E-2</v>
      </c>
      <c r="R4077">
        <v>-0.60745159999999998</v>
      </c>
      <c r="S4077">
        <v>-1.9273990000000001</v>
      </c>
      <c r="T4077">
        <v>-0.16061029999999901</v>
      </c>
      <c r="U4077">
        <v>-2.4605869999999999</v>
      </c>
      <c r="V4077">
        <v>-0.30615359999999903</v>
      </c>
      <c r="W4077">
        <v>6.4413570000000003E-2</v>
      </c>
      <c r="X4077">
        <v>0.94980039999999999</v>
      </c>
      <c r="Y4077">
        <v>-0.53194019999999897</v>
      </c>
      <c r="Z4077">
        <v>3.454585E-3</v>
      </c>
      <c r="AA4077">
        <v>0.8467749</v>
      </c>
      <c r="AB4077">
        <v>38</v>
      </c>
      <c r="AC4077">
        <v>-13.0745</v>
      </c>
      <c r="AD4077">
        <v>-1.1192630400070001</v>
      </c>
      <c r="AE4077">
        <v>-17.011700000000001</v>
      </c>
      <c r="AF4077">
        <v>-11.553671524659</v>
      </c>
      <c r="AG4077">
        <v>-1.1192630400070001</v>
      </c>
      <c r="AH4077">
        <v>18.0099376034361</v>
      </c>
      <c r="AI4077">
        <v>92.994331218253095</v>
      </c>
      <c r="AJ4077">
        <v>122.680840181785</v>
      </c>
      <c r="AK4077">
        <v>21.426570605957998</v>
      </c>
    </row>
    <row r="4078" spans="1:37" x14ac:dyDescent="0.2">
      <c r="A4078" t="str">
        <f>"20200111153515807"</f>
        <v>20200111153515807</v>
      </c>
      <c r="B4078" t="str">
        <f>"1578728115800203"</f>
        <v>1578728115800203</v>
      </c>
      <c r="C4078" t="s">
        <v>37</v>
      </c>
      <c r="D4078">
        <v>4.7066949999999999</v>
      </c>
      <c r="E4078">
        <v>0.39578859999999999</v>
      </c>
      <c r="F4078" t="s">
        <v>40</v>
      </c>
      <c r="G4078">
        <v>-401.57040000000001</v>
      </c>
      <c r="H4078">
        <v>1.0624439999999999</v>
      </c>
      <c r="I4078">
        <v>139.22030000000001</v>
      </c>
      <c r="J4078">
        <v>-401.25720000000001</v>
      </c>
      <c r="K4078">
        <v>1.119456</v>
      </c>
      <c r="L4078">
        <v>139.96080000000001</v>
      </c>
      <c r="M4078">
        <v>-0.93546969999999996</v>
      </c>
      <c r="N4078">
        <v>0</v>
      </c>
      <c r="O4078">
        <v>-0.35304849999999999</v>
      </c>
      <c r="P4078">
        <v>-0.78228030000000004</v>
      </c>
      <c r="Q4078">
        <v>5.9816229999999998E-2</v>
      </c>
      <c r="R4078">
        <v>-0.62004749999999997</v>
      </c>
      <c r="S4078">
        <v>-1.892609</v>
      </c>
      <c r="T4078">
        <v>-0.16055510000000001</v>
      </c>
      <c r="U4078">
        <v>-2.4867710000000001</v>
      </c>
      <c r="V4078">
        <v>-0.30641009999999902</v>
      </c>
      <c r="W4078">
        <v>6.385586E-2</v>
      </c>
      <c r="X4078">
        <v>0.94975540000000003</v>
      </c>
      <c r="Y4078">
        <v>-0.53042619999999996</v>
      </c>
      <c r="Z4078">
        <v>4.3392259999999998E-3</v>
      </c>
      <c r="AA4078">
        <v>0.84772000000000003</v>
      </c>
      <c r="AB4078">
        <v>38</v>
      </c>
      <c r="AC4078">
        <v>-0.31319999999999398</v>
      </c>
      <c r="AD4078">
        <v>-5.7012E-2</v>
      </c>
      <c r="AE4078">
        <v>-0.74049999999999705</v>
      </c>
      <c r="AF4078">
        <v>-0.57930142161821296</v>
      </c>
      <c r="AG4078">
        <v>-5.7012E-2</v>
      </c>
      <c r="AH4078">
        <v>0.55171760889429</v>
      </c>
      <c r="AI4078">
        <v>94.076347972664905</v>
      </c>
      <c r="AJ4078">
        <v>136.39707889514199</v>
      </c>
      <c r="AK4078">
        <v>0.80201797061968405</v>
      </c>
    </row>
    <row r="4079" spans="1:37" x14ac:dyDescent="0.2">
      <c r="A4079" t="str">
        <f>"20200111153515829"</f>
        <v>20200111153515829</v>
      </c>
      <c r="B4079" t="str">
        <f>"1578728115819720"</f>
        <v>1578728115819720</v>
      </c>
      <c r="C4079" t="s">
        <v>37</v>
      </c>
      <c r="D4079">
        <v>4.7027269999999897</v>
      </c>
      <c r="E4079">
        <v>0.39589869999999999</v>
      </c>
      <c r="F4079" t="s">
        <v>40</v>
      </c>
      <c r="G4079">
        <v>-401.88389999999998</v>
      </c>
      <c r="H4079">
        <v>1.0646739999999999</v>
      </c>
      <c r="I4079">
        <v>139.11000000000001</v>
      </c>
      <c r="J4079">
        <v>-401.59530000000001</v>
      </c>
      <c r="K4079">
        <v>1.1196349999999999</v>
      </c>
      <c r="L4079">
        <v>139.8227</v>
      </c>
      <c r="M4079">
        <v>-0.92998769999999997</v>
      </c>
      <c r="N4079">
        <v>0</v>
      </c>
      <c r="O4079">
        <v>-0.36724420000000002</v>
      </c>
      <c r="P4079">
        <v>-0.7731922</v>
      </c>
      <c r="Q4079">
        <v>5.9997950000000001E-2</v>
      </c>
      <c r="R4079">
        <v>-0.63132709999999903</v>
      </c>
      <c r="S4079">
        <v>-1.8527529999999901</v>
      </c>
      <c r="T4079">
        <v>-0.16195909999999999</v>
      </c>
      <c r="U4079">
        <v>-2.5164339999999998</v>
      </c>
      <c r="V4079">
        <v>-0.30577280000000001</v>
      </c>
      <c r="W4079">
        <v>6.39734E-2</v>
      </c>
      <c r="X4079">
        <v>0.94995280000000004</v>
      </c>
      <c r="Y4079">
        <v>-0.53101339999999997</v>
      </c>
      <c r="Z4079">
        <v>5.1760419999999996E-3</v>
      </c>
      <c r="AA4079">
        <v>0.84734759999999998</v>
      </c>
      <c r="AB4079">
        <v>38</v>
      </c>
      <c r="AC4079">
        <v>-0.28859999999997399</v>
      </c>
      <c r="AD4079">
        <v>-5.4961000000000003E-2</v>
      </c>
      <c r="AE4079">
        <v>-0.71269999999998301</v>
      </c>
      <c r="AF4079">
        <v>-0.55405567246930298</v>
      </c>
      <c r="AG4079">
        <v>-5.4961000000000003E-2</v>
      </c>
      <c r="AH4079">
        <v>0.52750177772615303</v>
      </c>
      <c r="AI4079">
        <v>94.109285058342607</v>
      </c>
      <c r="AJ4079">
        <v>136.406416750842</v>
      </c>
      <c r="AK4079">
        <v>0.76697882970826803</v>
      </c>
    </row>
    <row r="4080" spans="1:37" x14ac:dyDescent="0.2">
      <c r="A4080" t="str">
        <f>"20200111153515851"</f>
        <v>20200111153515851</v>
      </c>
      <c r="B4080" t="str">
        <f>"1578728115840153"</f>
        <v>1578728115840153</v>
      </c>
      <c r="C4080" t="s">
        <v>37</v>
      </c>
      <c r="D4080">
        <v>4.6848609999999997</v>
      </c>
      <c r="E4080">
        <v>0.39599059999999903</v>
      </c>
      <c r="F4080" t="s">
        <v>40</v>
      </c>
      <c r="G4080">
        <v>-402.19099999999997</v>
      </c>
      <c r="H4080">
        <v>1.0672029999999999</v>
      </c>
      <c r="I4080">
        <v>138.98859999999999</v>
      </c>
      <c r="J4080">
        <v>-401.94380000000001</v>
      </c>
      <c r="K4080">
        <v>1.1198109999999999</v>
      </c>
      <c r="L4080">
        <v>139.67400000000001</v>
      </c>
      <c r="M4080">
        <v>-0.92399719999999996</v>
      </c>
      <c r="N4080">
        <v>0</v>
      </c>
      <c r="O4080">
        <v>-0.3820636</v>
      </c>
      <c r="P4080">
        <v>-0.76398469999999996</v>
      </c>
      <c r="Q4080">
        <v>6.0408940000000001E-2</v>
      </c>
      <c r="R4080">
        <v>-0.64240030000000004</v>
      </c>
      <c r="S4080">
        <v>-1.8161929999999999</v>
      </c>
      <c r="T4080">
        <v>-0.15986069999999999</v>
      </c>
      <c r="U4080">
        <v>-2.5428009999999999</v>
      </c>
      <c r="V4080">
        <v>-0.3043304</v>
      </c>
      <c r="W4080">
        <v>6.4357899999999996E-2</v>
      </c>
      <c r="X4080">
        <v>0.95038999999999996</v>
      </c>
      <c r="Y4080">
        <v>-0.52971330000000005</v>
      </c>
      <c r="Z4080">
        <v>5.9941859999999899E-3</v>
      </c>
      <c r="AA4080">
        <v>0.84815560000000001</v>
      </c>
      <c r="AB4080">
        <v>38</v>
      </c>
      <c r="AC4080">
        <v>-0.247199999999963</v>
      </c>
      <c r="AD4080">
        <v>-5.2607999999999898E-2</v>
      </c>
      <c r="AE4080">
        <v>-0.685400000000015</v>
      </c>
      <c r="AF4080">
        <v>-0.53613570717071501</v>
      </c>
      <c r="AG4080">
        <v>-5.2607999999999898E-2</v>
      </c>
      <c r="AH4080">
        <v>0.48779840675471797</v>
      </c>
      <c r="AI4080">
        <v>94.151195438393501</v>
      </c>
      <c r="AJ4080">
        <v>137.702780074515</v>
      </c>
      <c r="AK4080">
        <v>0.72674368507740394</v>
      </c>
    </row>
    <row r="4081" spans="1:37" x14ac:dyDescent="0.2">
      <c r="A4081" t="str">
        <f>"20200111153515874"</f>
        <v>20200111153515874</v>
      </c>
      <c r="B4081" t="str">
        <f>"1578728115870410"</f>
        <v>1578728115870410</v>
      </c>
      <c r="C4081" t="s">
        <v>37</v>
      </c>
      <c r="D4081">
        <v>4.6894580000000001</v>
      </c>
      <c r="E4081">
        <v>0.39619989999999999</v>
      </c>
      <c r="F4081" t="s">
        <v>40</v>
      </c>
      <c r="G4081">
        <v>-402.5009</v>
      </c>
      <c r="H4081">
        <v>1.0705309999999999</v>
      </c>
      <c r="I4081">
        <v>138.87</v>
      </c>
      <c r="J4081">
        <v>-402.28269999999998</v>
      </c>
      <c r="K4081">
        <v>1.119982</v>
      </c>
      <c r="L4081">
        <v>139.5231</v>
      </c>
      <c r="M4081">
        <v>-0.91783400000000004</v>
      </c>
      <c r="N4081">
        <v>0</v>
      </c>
      <c r="O4081">
        <v>-0.39663909999999902</v>
      </c>
      <c r="P4081">
        <v>-0.75497700000000001</v>
      </c>
      <c r="Q4081">
        <v>6.1277089999999999E-2</v>
      </c>
      <c r="R4081">
        <v>-0.65288219999999997</v>
      </c>
      <c r="S4081">
        <v>-1.77905299999999</v>
      </c>
      <c r="T4081">
        <v>-0.1573541</v>
      </c>
      <c r="U4081">
        <v>-2.5690309999999998</v>
      </c>
      <c r="V4081">
        <v>-0.30249280000000001</v>
      </c>
      <c r="W4081">
        <v>6.5226779999999998E-2</v>
      </c>
      <c r="X4081">
        <v>0.95091719999999902</v>
      </c>
      <c r="Y4081">
        <v>-0.52865249999999997</v>
      </c>
      <c r="Z4081">
        <v>6.75378099999999E-3</v>
      </c>
      <c r="AA4081">
        <v>0.84881139999999999</v>
      </c>
      <c r="AB4081">
        <v>38</v>
      </c>
      <c r="AC4081">
        <v>-0.21820000000002401</v>
      </c>
      <c r="AD4081">
        <v>-4.9451000000000099E-2</v>
      </c>
      <c r="AE4081">
        <v>-0.65309999999999402</v>
      </c>
      <c r="AF4081">
        <v>-0.510324986719914</v>
      </c>
      <c r="AG4081">
        <v>-4.9451000000000099E-2</v>
      </c>
      <c r="AH4081">
        <v>0.45701863484587402</v>
      </c>
      <c r="AI4081">
        <v>94.128771940380602</v>
      </c>
      <c r="AJ4081">
        <v>138.15414603772101</v>
      </c>
      <c r="AK4081">
        <v>0.68683551602116999</v>
      </c>
    </row>
    <row r="4082" spans="1:37" x14ac:dyDescent="0.2">
      <c r="A4082" t="str">
        <f>"20200111153515896"</f>
        <v>20200111153515896</v>
      </c>
      <c r="B4082" t="str">
        <f>"1578728115889929"</f>
        <v>1578728115889929</v>
      </c>
      <c r="C4082" t="s">
        <v>37</v>
      </c>
      <c r="D4082">
        <v>4.6925619999999997</v>
      </c>
      <c r="E4082">
        <v>0.4006305</v>
      </c>
      <c r="F4082" t="s">
        <v>40</v>
      </c>
      <c r="G4082">
        <v>-402.80689999999998</v>
      </c>
      <c r="H4082">
        <v>1.0734429999999999</v>
      </c>
      <c r="I4082">
        <v>138.7441</v>
      </c>
      <c r="J4082">
        <v>-402.6293</v>
      </c>
      <c r="K4082">
        <v>1.1201379999999901</v>
      </c>
      <c r="L4082">
        <v>139.3622</v>
      </c>
      <c r="M4082">
        <v>-0.91117329999999996</v>
      </c>
      <c r="N4082">
        <v>0</v>
      </c>
      <c r="O4082">
        <v>-0.41170770000000001</v>
      </c>
      <c r="P4082">
        <v>-0.74485979999999996</v>
      </c>
      <c r="Q4082">
        <v>6.2714619999999999E-2</v>
      </c>
      <c r="R4082">
        <v>-0.66426689999999999</v>
      </c>
      <c r="S4082">
        <v>-1.7441099999999901</v>
      </c>
      <c r="T4082">
        <v>-0.154856299999999</v>
      </c>
      <c r="U4082">
        <v>-2.5926819999999999</v>
      </c>
      <c r="V4082">
        <v>-0.30139070000000001</v>
      </c>
      <c r="W4082">
        <v>6.6639889999999993E-2</v>
      </c>
      <c r="X4082">
        <v>0.95116919999999905</v>
      </c>
      <c r="Y4082">
        <v>-0.52614859999999997</v>
      </c>
      <c r="Z4082">
        <v>7.5596069999999899E-3</v>
      </c>
      <c r="AA4082">
        <v>0.85035910000000003</v>
      </c>
      <c r="AB4082">
        <v>38</v>
      </c>
      <c r="AC4082">
        <v>-0.17759999999998399</v>
      </c>
      <c r="AD4082">
        <v>-4.6694999999999903E-2</v>
      </c>
      <c r="AE4082">
        <v>-0.61809999999999798</v>
      </c>
      <c r="AF4082">
        <v>-0.48757020211105101</v>
      </c>
      <c r="AG4082">
        <v>-4.6694999999999903E-2</v>
      </c>
      <c r="AH4082">
        <v>0.41417154223439301</v>
      </c>
      <c r="AI4082">
        <v>94.174672458494399</v>
      </c>
      <c r="AJ4082">
        <v>139.65341950745099</v>
      </c>
      <c r="AK4082">
        <v>0.64143837693766603</v>
      </c>
    </row>
    <row r="4083" spans="1:37" x14ac:dyDescent="0.2">
      <c r="A4083" t="str">
        <f>"20200111153515919"</f>
        <v>20200111153515919</v>
      </c>
      <c r="B4083" t="str">
        <f>"1578728115910425"</f>
        <v>1578728115910425</v>
      </c>
      <c r="C4083" t="s">
        <v>37</v>
      </c>
      <c r="D4083">
        <v>4.6769869999999996</v>
      </c>
      <c r="E4083">
        <v>0.40090700000000001</v>
      </c>
      <c r="F4083" t="s">
        <v>40</v>
      </c>
      <c r="G4083">
        <v>-403.12009999999998</v>
      </c>
      <c r="H4083">
        <v>1.067758</v>
      </c>
      <c r="I4083">
        <v>138.6268</v>
      </c>
      <c r="J4083">
        <v>-402.9545</v>
      </c>
      <c r="K4083">
        <v>1.120261</v>
      </c>
      <c r="L4083">
        <v>139.2047</v>
      </c>
      <c r="M4083">
        <v>-0.90458799999999995</v>
      </c>
      <c r="N4083">
        <v>0</v>
      </c>
      <c r="O4083">
        <v>-0.42598049999999998</v>
      </c>
      <c r="P4083">
        <v>-0.73478460000000001</v>
      </c>
      <c r="Q4083">
        <v>6.2391969999999998E-2</v>
      </c>
      <c r="R4083">
        <v>-0.67542480000000005</v>
      </c>
      <c r="S4083">
        <v>-1.730316</v>
      </c>
      <c r="T4083">
        <v>-0.18463080000000001</v>
      </c>
      <c r="U4083">
        <v>-2.593445</v>
      </c>
      <c r="V4083">
        <v>-0.30078319999999997</v>
      </c>
      <c r="W4083">
        <v>6.6284010000000004E-2</v>
      </c>
      <c r="X4083">
        <v>0.95138630000000002</v>
      </c>
      <c r="Y4083">
        <v>-0.51595290000000005</v>
      </c>
      <c r="Z4083">
        <v>1.0331E-2</v>
      </c>
      <c r="AA4083">
        <v>0.85655460000000005</v>
      </c>
      <c r="AB4083">
        <v>38</v>
      </c>
      <c r="AC4083">
        <v>-0.16559999999998301</v>
      </c>
      <c r="AD4083">
        <v>-5.2502999999999897E-2</v>
      </c>
      <c r="AE4083">
        <v>-0.57789999999999897</v>
      </c>
      <c r="AF4083">
        <v>-0.44885439946439798</v>
      </c>
      <c r="AG4083">
        <v>-5.2502999999999897E-2</v>
      </c>
      <c r="AH4083">
        <v>0.393027748173154</v>
      </c>
      <c r="AI4083">
        <v>95.029216308446706</v>
      </c>
      <c r="AJ4083">
        <v>138.79382726614</v>
      </c>
      <c r="AK4083">
        <v>0.59891372313681801</v>
      </c>
    </row>
    <row r="4084" spans="1:37" x14ac:dyDescent="0.2">
      <c r="A4084" t="str">
        <f>"20200111153515941"</f>
        <v>20200111153515941</v>
      </c>
      <c r="B4084" t="str">
        <f>"1578728115929945"</f>
        <v>1578728115929945</v>
      </c>
      <c r="C4084" t="s">
        <v>37</v>
      </c>
      <c r="D4084">
        <v>4.8787729999999998</v>
      </c>
      <c r="E4084">
        <v>0.40098549999999999</v>
      </c>
      <c r="F4084" t="s">
        <v>40</v>
      </c>
      <c r="G4084">
        <v>-403.41840000000002</v>
      </c>
      <c r="H4084">
        <v>1.069353</v>
      </c>
      <c r="I4084">
        <v>138.48750000000001</v>
      </c>
      <c r="J4084">
        <v>-403.28219999999999</v>
      </c>
      <c r="K4084">
        <v>1.1203609999999999</v>
      </c>
      <c r="L4084">
        <v>139.03919999999999</v>
      </c>
      <c r="M4084">
        <v>-0.89760949999999995</v>
      </c>
      <c r="N4084">
        <v>0</v>
      </c>
      <c r="O4084">
        <v>-0.44049379999999999</v>
      </c>
      <c r="P4084">
        <v>-0.72401110000000002</v>
      </c>
      <c r="Q4084">
        <v>5.9929419999999997E-2</v>
      </c>
      <c r="R4084">
        <v>-0.68718009999999996</v>
      </c>
      <c r="S4084">
        <v>-1.6929019999999999</v>
      </c>
      <c r="T4084">
        <v>-0.1857405</v>
      </c>
      <c r="U4084">
        <v>-2.6171259999999998</v>
      </c>
      <c r="V4084">
        <v>-0.30063049999999902</v>
      </c>
      <c r="W4084">
        <v>6.3775440000000003E-2</v>
      </c>
      <c r="X4084">
        <v>0.95160599999999995</v>
      </c>
      <c r="Y4084">
        <v>-0.51434089999999999</v>
      </c>
      <c r="Z4084">
        <v>1.1429E-2</v>
      </c>
      <c r="AA4084">
        <v>0.85750969999999904</v>
      </c>
      <c r="AB4084">
        <v>38</v>
      </c>
      <c r="AC4084">
        <v>-0.13620000000002999</v>
      </c>
      <c r="AD4084">
        <v>-5.1008000000000102E-2</v>
      </c>
      <c r="AE4084">
        <v>-0.55169999999998198</v>
      </c>
      <c r="AF4084">
        <v>-0.43179402173746001</v>
      </c>
      <c r="AG4084">
        <v>-5.1008000000000102E-2</v>
      </c>
      <c r="AH4084">
        <v>0.36240287091561302</v>
      </c>
      <c r="AI4084">
        <v>95.170294361371006</v>
      </c>
      <c r="AJ4084">
        <v>139.99340790016799</v>
      </c>
      <c r="AK4084">
        <v>0.56602449957584799</v>
      </c>
    </row>
    <row r="4085" spans="1:37" x14ac:dyDescent="0.2">
      <c r="A4085" t="str">
        <f>"20200111153515963"</f>
        <v>20200111153515963</v>
      </c>
      <c r="B4085" t="str">
        <f>"1578728115959976"</f>
        <v>1578728115959976</v>
      </c>
      <c r="C4085" t="s">
        <v>37</v>
      </c>
      <c r="D4085">
        <v>4.7174949999999898</v>
      </c>
      <c r="E4085">
        <v>0.40084439999999999</v>
      </c>
      <c r="F4085" t="s">
        <v>40</v>
      </c>
      <c r="G4085">
        <v>-403.8956</v>
      </c>
      <c r="H4085">
        <v>1.0475379999999901</v>
      </c>
      <c r="I4085">
        <v>138.0573</v>
      </c>
      <c r="J4085">
        <v>-403.6112</v>
      </c>
      <c r="K4085">
        <v>1.1204449999999999</v>
      </c>
      <c r="L4085">
        <v>138.8663</v>
      </c>
      <c r="M4085">
        <v>-0.89025580000000004</v>
      </c>
      <c r="N4085">
        <v>0</v>
      </c>
      <c r="O4085">
        <v>-0.45517089999999999</v>
      </c>
      <c r="P4085">
        <v>-0.71258319999999997</v>
      </c>
      <c r="Q4085">
        <v>5.6555979999999999E-2</v>
      </c>
      <c r="R4085">
        <v>-0.69930400000000004</v>
      </c>
      <c r="S4085">
        <v>-1.6513979999999999</v>
      </c>
      <c r="T4085">
        <v>-0.19605420000000001</v>
      </c>
      <c r="U4085">
        <v>-2.6428529999999899</v>
      </c>
      <c r="V4085">
        <v>-0.30083369999999998</v>
      </c>
      <c r="W4085">
        <v>6.0346469999999999E-2</v>
      </c>
      <c r="X4085">
        <v>0.95176539999999998</v>
      </c>
      <c r="Y4085">
        <v>-0.51370009999999999</v>
      </c>
      <c r="Z4085">
        <v>1.3137070000000001E-2</v>
      </c>
      <c r="AA4085">
        <v>0.857869199999999</v>
      </c>
      <c r="AB4085">
        <v>38</v>
      </c>
      <c r="AC4085">
        <v>-0.28440000000000498</v>
      </c>
      <c r="AD4085">
        <v>-7.2907000000000194E-2</v>
      </c>
      <c r="AE4085">
        <v>-0.80899999999999705</v>
      </c>
      <c r="AF4085">
        <v>-0.58660420492843901</v>
      </c>
      <c r="AG4085">
        <v>-7.2907000000000194E-2</v>
      </c>
      <c r="AH4085">
        <v>0.61704389554585404</v>
      </c>
      <c r="AI4085">
        <v>94.894521747978104</v>
      </c>
      <c r="AJ4085">
        <v>133.55132564715299</v>
      </c>
      <c r="AK4085">
        <v>0.85449581211327696</v>
      </c>
    </row>
    <row r="4086" spans="1:37" x14ac:dyDescent="0.2">
      <c r="A4086" t="str">
        <f>"20200111153515986"</f>
        <v>20200111153515986</v>
      </c>
      <c r="B4086" t="str">
        <f>"1578728115979495"</f>
        <v>1578728115979495</v>
      </c>
      <c r="C4086" t="s">
        <v>37</v>
      </c>
      <c r="D4086">
        <v>4.7296559999999896</v>
      </c>
      <c r="E4086">
        <v>0.40091709999999903</v>
      </c>
      <c r="F4086" t="s">
        <v>40</v>
      </c>
      <c r="G4086">
        <v>-404.18669999999997</v>
      </c>
      <c r="H4086">
        <v>1.0458069999999999</v>
      </c>
      <c r="I4086">
        <v>137.90960000000001</v>
      </c>
      <c r="J4086">
        <v>-403.94810000000001</v>
      </c>
      <c r="K4086">
        <v>1.1205270000000001</v>
      </c>
      <c r="L4086">
        <v>138.68199999999999</v>
      </c>
      <c r="M4086">
        <v>-0.88236360000000003</v>
      </c>
      <c r="N4086">
        <v>0</v>
      </c>
      <c r="O4086">
        <v>-0.47028679999999901</v>
      </c>
      <c r="P4086">
        <v>-0.69998139999999998</v>
      </c>
      <c r="Q4086">
        <v>5.3995799999999997E-2</v>
      </c>
      <c r="R4086">
        <v>-0.71211729999999995</v>
      </c>
      <c r="S4086">
        <v>-1.6059270000000001</v>
      </c>
      <c r="T4086">
        <v>-0.20827909999999999</v>
      </c>
      <c r="U4086">
        <v>-2.6704249999999998</v>
      </c>
      <c r="V4086">
        <v>-0.3016913</v>
      </c>
      <c r="W4086">
        <v>5.770463E-2</v>
      </c>
      <c r="X4086">
        <v>0.9516578</v>
      </c>
      <c r="Y4086">
        <v>-0.51371250000000002</v>
      </c>
      <c r="Z4086">
        <v>1.510941E-2</v>
      </c>
      <c r="AA4086">
        <v>0.85782939999999996</v>
      </c>
      <c r="AB4086">
        <v>38</v>
      </c>
      <c r="AC4086">
        <v>-0.23859999999996201</v>
      </c>
      <c r="AD4086">
        <v>-7.4720000000000106E-2</v>
      </c>
      <c r="AE4086">
        <v>-0.77240000000000397</v>
      </c>
      <c r="AF4086">
        <v>-0.564579443981028</v>
      </c>
      <c r="AG4086">
        <v>-7.4720000000000106E-2</v>
      </c>
      <c r="AH4086">
        <v>0.56899656380635499</v>
      </c>
      <c r="AI4086">
        <v>95.325585059391301</v>
      </c>
      <c r="AJ4086">
        <v>134.77674100284301</v>
      </c>
      <c r="AK4086">
        <v>0.80504044407058595</v>
      </c>
    </row>
    <row r="4087" spans="1:37" x14ac:dyDescent="0.2">
      <c r="A4087" t="str">
        <f>"20200111153516007"</f>
        <v>20200111153516007</v>
      </c>
      <c r="B4087" t="str">
        <f>"1578728115999995"</f>
        <v>1578728115999995</v>
      </c>
      <c r="C4087" t="s">
        <v>37</v>
      </c>
      <c r="D4087">
        <v>4.7300490000000002</v>
      </c>
      <c r="E4087">
        <v>0.40124679999999902</v>
      </c>
      <c r="F4087" t="s">
        <v>40</v>
      </c>
      <c r="G4087">
        <v>-404.47919999999999</v>
      </c>
      <c r="H4087">
        <v>1.047582</v>
      </c>
      <c r="I4087">
        <v>137.7619</v>
      </c>
      <c r="J4087">
        <v>-404.26220000000001</v>
      </c>
      <c r="K4087">
        <v>1.120603</v>
      </c>
      <c r="L4087">
        <v>138.5035</v>
      </c>
      <c r="M4087">
        <v>-0.87466679999999997</v>
      </c>
      <c r="N4087">
        <v>0</v>
      </c>
      <c r="O4087">
        <v>-0.48445009999999999</v>
      </c>
      <c r="P4087">
        <v>-0.68689449999999996</v>
      </c>
      <c r="Q4087">
        <v>5.3947799999999997E-2</v>
      </c>
      <c r="R4087">
        <v>-0.72475199999999995</v>
      </c>
      <c r="S4087">
        <v>-1.5573429999999999</v>
      </c>
      <c r="T4087">
        <v>-0.21392069999999999</v>
      </c>
      <c r="U4087">
        <v>-2.6981959999999998</v>
      </c>
      <c r="V4087">
        <v>-0.30369750000000001</v>
      </c>
      <c r="W4087">
        <v>5.7531819999999997E-2</v>
      </c>
      <c r="X4087">
        <v>0.95102989999999998</v>
      </c>
      <c r="Y4087">
        <v>-0.51529879999999995</v>
      </c>
      <c r="Z4087">
        <v>1.6578409999999998E-2</v>
      </c>
      <c r="AA4087">
        <v>0.85685029999999995</v>
      </c>
      <c r="AB4087">
        <v>38</v>
      </c>
      <c r="AC4087">
        <v>-0.21699999999998401</v>
      </c>
      <c r="AD4087">
        <v>-7.3021000000000003E-2</v>
      </c>
      <c r="AE4087">
        <v>-0.74160000000000503</v>
      </c>
      <c r="AF4087">
        <v>-0.538787886364403</v>
      </c>
      <c r="AG4087">
        <v>-7.3021000000000003E-2</v>
      </c>
      <c r="AH4087">
        <v>0.54428321041593197</v>
      </c>
      <c r="AI4087">
        <v>95.446430706116303</v>
      </c>
      <c r="AJ4087">
        <v>134.70929316247199</v>
      </c>
      <c r="AK4087">
        <v>0.76933001116211197</v>
      </c>
    </row>
    <row r="4088" spans="1:37" x14ac:dyDescent="0.2">
      <c r="A4088" t="str">
        <f>"20200111153516030"</f>
        <v>20200111153516030</v>
      </c>
      <c r="B4088" t="str">
        <f>"1578728116020489"</f>
        <v>1578728116020489</v>
      </c>
      <c r="C4088" t="s">
        <v>37</v>
      </c>
      <c r="D4088">
        <v>4.7878660000000002</v>
      </c>
      <c r="E4088">
        <v>0.40276899999999999</v>
      </c>
      <c r="F4088" t="s">
        <v>40</v>
      </c>
      <c r="G4088">
        <v>-404.76220000000001</v>
      </c>
      <c r="H4088">
        <v>1.0499780000000001</v>
      </c>
      <c r="I4088">
        <v>137.602</v>
      </c>
      <c r="J4088">
        <v>-404.57240000000002</v>
      </c>
      <c r="K4088">
        <v>1.1206609999999999</v>
      </c>
      <c r="L4088">
        <v>138.32069999999999</v>
      </c>
      <c r="M4088">
        <v>-0.86674050000000002</v>
      </c>
      <c r="N4088">
        <v>0</v>
      </c>
      <c r="O4088">
        <v>-0.49849159999999998</v>
      </c>
      <c r="P4088">
        <v>-0.67350290000000002</v>
      </c>
      <c r="Q4088">
        <v>5.3993409999999999E-2</v>
      </c>
      <c r="R4088">
        <v>-0.73721000000000003</v>
      </c>
      <c r="S4088">
        <v>-1.510162</v>
      </c>
      <c r="T4088">
        <v>-0.2133158</v>
      </c>
      <c r="U4088">
        <v>-2.7239529999999998</v>
      </c>
      <c r="V4088">
        <v>-0.30579190000000001</v>
      </c>
      <c r="W4088">
        <v>5.7453749999999998E-2</v>
      </c>
      <c r="X4088">
        <v>0.95036330000000002</v>
      </c>
      <c r="Y4088">
        <v>-0.51628479999999999</v>
      </c>
      <c r="Z4088">
        <v>1.7609759999999999E-2</v>
      </c>
      <c r="AA4088">
        <v>0.85623590000000005</v>
      </c>
      <c r="AB4088">
        <v>38</v>
      </c>
      <c r="AC4088">
        <v>-0.189799999999991</v>
      </c>
      <c r="AD4088">
        <v>-7.0682999999999996E-2</v>
      </c>
      <c r="AE4088">
        <v>-0.71869999999998402</v>
      </c>
      <c r="AF4088">
        <v>-0.52364851260037704</v>
      </c>
      <c r="AG4088">
        <v>-7.0682999999999996E-2</v>
      </c>
      <c r="AH4088">
        <v>0.51815798531484503</v>
      </c>
      <c r="AI4088">
        <v>95.480650201293699</v>
      </c>
      <c r="AJ4088">
        <v>135.30195734900499</v>
      </c>
      <c r="AK4088">
        <v>0.74006185483588205</v>
      </c>
    </row>
    <row r="4089" spans="1:37" x14ac:dyDescent="0.2">
      <c r="A4089" t="str">
        <f>"20200111153516053"</f>
        <v>20200111153516053</v>
      </c>
      <c r="B4089" t="str">
        <f>"1578728116050480"</f>
        <v>1578728116050480</v>
      </c>
      <c r="C4089" t="s">
        <v>37</v>
      </c>
      <c r="D4089">
        <v>4.7360800000000003</v>
      </c>
      <c r="E4089">
        <v>0.41493549999999901</v>
      </c>
      <c r="F4089" t="s">
        <v>40</v>
      </c>
      <c r="G4089">
        <v>-405.04419999999999</v>
      </c>
      <c r="H4089">
        <v>1.051534</v>
      </c>
      <c r="I4089">
        <v>137.43979999999999</v>
      </c>
      <c r="J4089">
        <v>-404.89249999999998</v>
      </c>
      <c r="K4089">
        <v>1.1207129999999901</v>
      </c>
      <c r="L4089">
        <v>138.125</v>
      </c>
      <c r="M4089">
        <v>-0.85822330000000002</v>
      </c>
      <c r="N4089">
        <v>0</v>
      </c>
      <c r="O4089">
        <v>-0.51301600000000003</v>
      </c>
      <c r="P4089">
        <v>-0.65900579999999997</v>
      </c>
      <c r="Q4089">
        <v>5.4535010000000002E-2</v>
      </c>
      <c r="R4089">
        <v>-0.7501582</v>
      </c>
      <c r="S4089">
        <v>-1.4687809999999999</v>
      </c>
      <c r="T4089">
        <v>-0.215223</v>
      </c>
      <c r="U4089">
        <v>-2.7433320000000001</v>
      </c>
      <c r="V4089">
        <v>-0.30830920000000001</v>
      </c>
      <c r="W4089">
        <v>5.7856009999999999E-2</v>
      </c>
      <c r="X4089">
        <v>0.94952519999999996</v>
      </c>
      <c r="Y4089">
        <v>-0.51443139999999998</v>
      </c>
      <c r="Z4089">
        <v>1.9018E-2</v>
      </c>
      <c r="AA4089">
        <v>0.85732070000000005</v>
      </c>
      <c r="AB4089">
        <v>38</v>
      </c>
      <c r="AC4089">
        <v>-0.151700000000005</v>
      </c>
      <c r="AD4089">
        <v>-6.9178999999999796E-2</v>
      </c>
      <c r="AE4089">
        <v>-0.68520000000000802</v>
      </c>
      <c r="AF4089">
        <v>-0.50538745155126197</v>
      </c>
      <c r="AG4089">
        <v>-6.9178999999999796E-2</v>
      </c>
      <c r="AH4089">
        <v>0.477139087441249</v>
      </c>
      <c r="AI4089">
        <v>95.684079849111896</v>
      </c>
      <c r="AJ4089">
        <v>136.64684234142501</v>
      </c>
      <c r="AK4089">
        <v>0.69847256137284797</v>
      </c>
    </row>
    <row r="4090" spans="1:37" x14ac:dyDescent="0.2">
      <c r="A4090" t="str">
        <f>"20200111153516075"</f>
        <v>20200111153516075</v>
      </c>
      <c r="B4090" t="str">
        <f>"1578728116069999"</f>
        <v>1578728116069999</v>
      </c>
      <c r="C4090" t="s">
        <v>37</v>
      </c>
      <c r="D4090">
        <v>4.5712260000000002</v>
      </c>
      <c r="E4090">
        <v>0.38352309999999901</v>
      </c>
      <c r="F4090" t="s">
        <v>40</v>
      </c>
      <c r="G4090">
        <v>-405.34710000000001</v>
      </c>
      <c r="H4090">
        <v>1.0483439999999999</v>
      </c>
      <c r="I4090">
        <v>137.29859999999999</v>
      </c>
      <c r="J4090">
        <v>-405.20339999999999</v>
      </c>
      <c r="K4090">
        <v>1.120744</v>
      </c>
      <c r="L4090">
        <v>137.92779999999999</v>
      </c>
      <c r="M4090">
        <v>-0.84961129999999996</v>
      </c>
      <c r="N4090">
        <v>0</v>
      </c>
      <c r="O4090">
        <v>-0.52715519999999905</v>
      </c>
      <c r="P4090">
        <v>-0.64433459999999998</v>
      </c>
      <c r="Q4090">
        <v>5.5219900000000002E-2</v>
      </c>
      <c r="R4090">
        <v>-0.76274750000000002</v>
      </c>
      <c r="S4090">
        <v>-1.4892879999999999</v>
      </c>
      <c r="T4090">
        <v>-0.23707909999999999</v>
      </c>
      <c r="U4090">
        <v>-2.7080690000000001</v>
      </c>
      <c r="V4090">
        <v>-0.31099389999999999</v>
      </c>
      <c r="W4090">
        <v>5.8398690000000003E-2</v>
      </c>
      <c r="X4090">
        <v>0.94861600000000001</v>
      </c>
      <c r="Y4090">
        <v>-0.49046529999999999</v>
      </c>
      <c r="Z4090">
        <v>2.3317790000000001E-2</v>
      </c>
      <c r="AA4090">
        <v>0.871148699999999</v>
      </c>
      <c r="AB4090">
        <v>38</v>
      </c>
      <c r="AC4090">
        <v>-0.143700000000023</v>
      </c>
      <c r="AD4090">
        <v>-7.2400000000000006E-2</v>
      </c>
      <c r="AE4090">
        <v>-0.62919999999999698</v>
      </c>
      <c r="AF4090">
        <v>-0.45318189863401198</v>
      </c>
      <c r="AG4090">
        <v>-7.2400000000000006E-2</v>
      </c>
      <c r="AH4090">
        <v>0.44819593319106599</v>
      </c>
      <c r="AI4090">
        <v>96.480450327199094</v>
      </c>
      <c r="AJ4090">
        <v>135.31692798847399</v>
      </c>
      <c r="AK4090">
        <v>0.64147890672923902</v>
      </c>
    </row>
    <row r="4091" spans="1:37" x14ac:dyDescent="0.2">
      <c r="A4091" t="str">
        <f>"20200111153516097"</f>
        <v>20200111153516097</v>
      </c>
      <c r="B4091" t="str">
        <f>"1578728116089519"</f>
        <v>1578728116089519</v>
      </c>
      <c r="C4091" t="s">
        <v>37</v>
      </c>
      <c r="D4091">
        <v>4.7587409999999997</v>
      </c>
      <c r="E4091">
        <v>0.3732356</v>
      </c>
      <c r="F4091" t="s">
        <v>40</v>
      </c>
      <c r="G4091">
        <v>-405.570999999999</v>
      </c>
      <c r="H4091">
        <v>1.0489549999999901</v>
      </c>
      <c r="I4091">
        <v>137.0729</v>
      </c>
      <c r="J4091">
        <v>-405.51310000000001</v>
      </c>
      <c r="K4091">
        <v>1.120762</v>
      </c>
      <c r="L4091">
        <v>137.7242</v>
      </c>
      <c r="M4091">
        <v>-0.84069729999999998</v>
      </c>
      <c r="N4091">
        <v>0</v>
      </c>
      <c r="O4091">
        <v>-0.54125789999999996</v>
      </c>
      <c r="P4091">
        <v>-0.6295615</v>
      </c>
      <c r="Q4091">
        <v>5.4328109999999999E-2</v>
      </c>
      <c r="R4091">
        <v>-0.77504899999999999</v>
      </c>
      <c r="S4091">
        <v>-1.245911</v>
      </c>
      <c r="T4091">
        <v>-0.2433082</v>
      </c>
      <c r="U4091">
        <v>-2.8982540000000001</v>
      </c>
      <c r="V4091">
        <v>-0.31341289999999999</v>
      </c>
      <c r="W4091">
        <v>5.7381399999999999E-2</v>
      </c>
      <c r="X4091">
        <v>0.94788169999999905</v>
      </c>
      <c r="Y4091">
        <v>-0.55848659999999894</v>
      </c>
      <c r="Z4091">
        <v>2.191386E-2</v>
      </c>
      <c r="AA4091">
        <v>0.82922410000000002</v>
      </c>
      <c r="AB4091">
        <v>37</v>
      </c>
      <c r="AC4091">
        <v>-5.7899999999960899E-2</v>
      </c>
      <c r="AD4091">
        <v>-7.1807000000000107E-2</v>
      </c>
      <c r="AE4091">
        <v>-0.651299999999992</v>
      </c>
      <c r="AF4091">
        <v>-0.51012431323584895</v>
      </c>
      <c r="AG4091">
        <v>-7.1807000000000107E-2</v>
      </c>
      <c r="AH4091">
        <v>0.39646991629537698</v>
      </c>
      <c r="AI4091">
        <v>96.342004275244506</v>
      </c>
      <c r="AJ4091">
        <v>142.145557574424</v>
      </c>
      <c r="AK4091">
        <v>0.65005496285361197</v>
      </c>
    </row>
    <row r="4092" spans="1:37" x14ac:dyDescent="0.2">
      <c r="A4092" t="str">
        <f>"20200111153516120"</f>
        <v>20200111153516120</v>
      </c>
      <c r="B4092" t="str">
        <f>"1578728116110016"</f>
        <v>1578728116110016</v>
      </c>
      <c r="C4092" t="s">
        <v>37</v>
      </c>
      <c r="D4092">
        <v>4.6961940000000002</v>
      </c>
      <c r="E4092">
        <v>0.36813420000000002</v>
      </c>
      <c r="F4092" t="s">
        <v>40</v>
      </c>
      <c r="G4092">
        <v>-405.83069999999998</v>
      </c>
      <c r="H4092">
        <v>1.057037</v>
      </c>
      <c r="I4092">
        <v>136.88509999999999</v>
      </c>
      <c r="J4092">
        <v>-405.8134</v>
      </c>
      <c r="K4092">
        <v>1.1207659999999999</v>
      </c>
      <c r="L4092">
        <v>137.51929999999999</v>
      </c>
      <c r="M4092">
        <v>-0.83172610000000002</v>
      </c>
      <c r="N4092">
        <v>0</v>
      </c>
      <c r="O4092">
        <v>-0.554944199999999</v>
      </c>
      <c r="P4092">
        <v>-0.61593350000000002</v>
      </c>
      <c r="Q4092">
        <v>5.2714709999999998E-2</v>
      </c>
      <c r="R4092">
        <v>-0.78603259999999997</v>
      </c>
      <c r="S4092">
        <v>-1.124878</v>
      </c>
      <c r="T4092">
        <v>-0.22569639999999999</v>
      </c>
      <c r="U4092">
        <v>-2.9727939999999999</v>
      </c>
      <c r="V4092">
        <v>-0.31447940000000002</v>
      </c>
      <c r="W4092">
        <v>5.57099E-2</v>
      </c>
      <c r="X4092">
        <v>0.94762809999999897</v>
      </c>
      <c r="Y4092">
        <v>-0.58139879999999999</v>
      </c>
      <c r="Z4092">
        <v>2.0442680000000001E-2</v>
      </c>
      <c r="AA4092">
        <v>0.81336189999999997</v>
      </c>
      <c r="AB4092">
        <v>37</v>
      </c>
      <c r="AC4092">
        <v>-1.7299999999977399E-2</v>
      </c>
      <c r="AD4092">
        <v>-6.3728999999999897E-2</v>
      </c>
      <c r="AE4092">
        <v>-0.63419999999999199</v>
      </c>
      <c r="AF4092">
        <v>-0.51277573414857902</v>
      </c>
      <c r="AG4092">
        <v>-6.3728999999999897E-2</v>
      </c>
      <c r="AH4092">
        <v>0.36272374126790602</v>
      </c>
      <c r="AI4092">
        <v>95.793598581906096</v>
      </c>
      <c r="AJ4092">
        <v>144.72544040983701</v>
      </c>
      <c r="AK4092">
        <v>0.63132309592791003</v>
      </c>
    </row>
    <row r="4093" spans="1:37" x14ac:dyDescent="0.2">
      <c r="A4093" t="str">
        <f>"20200111153516142"</f>
        <v>20200111153516142</v>
      </c>
      <c r="B4093" t="str">
        <f>"1578728116129536"</f>
        <v>1578728116129536</v>
      </c>
      <c r="C4093" t="s">
        <v>37</v>
      </c>
      <c r="D4093">
        <v>4.6743990000000002</v>
      </c>
      <c r="E4093">
        <v>0.36706859999999902</v>
      </c>
      <c r="F4093" t="s">
        <v>51</v>
      </c>
      <c r="G4093">
        <v>-411.03390000000002</v>
      </c>
      <c r="H4093" s="1">
        <v>-3.4293150000000001E-6</v>
      </c>
      <c r="I4093">
        <v>122.37820000000001</v>
      </c>
      <c r="J4093">
        <v>-406.10520000000002</v>
      </c>
      <c r="K4093">
        <v>1.120763</v>
      </c>
      <c r="L4093">
        <v>137.31290000000001</v>
      </c>
      <c r="M4093">
        <v>-0.82269740000000002</v>
      </c>
      <c r="N4093">
        <v>0</v>
      </c>
      <c r="O4093">
        <v>-0.56824330000000001</v>
      </c>
      <c r="P4093">
        <v>-0.60308709999999999</v>
      </c>
      <c r="Q4093">
        <v>5.2014860000000003E-2</v>
      </c>
      <c r="R4093">
        <v>-0.79597759999999995</v>
      </c>
      <c r="S4093">
        <v>-1.0401</v>
      </c>
      <c r="T4093">
        <v>-0.223293399999999</v>
      </c>
      <c r="U4093">
        <v>-3.0165860000000002</v>
      </c>
      <c r="V4093">
        <v>-0.31464589999999998</v>
      </c>
      <c r="W4093">
        <v>5.4998119999999998E-2</v>
      </c>
      <c r="X4093">
        <v>0.94761450000000003</v>
      </c>
      <c r="Y4093">
        <v>-0.59243559999999995</v>
      </c>
      <c r="Z4093">
        <v>2.0845659999999998E-2</v>
      </c>
      <c r="AA4093">
        <v>0.80534799999999995</v>
      </c>
      <c r="AB4093">
        <v>37</v>
      </c>
      <c r="AC4093">
        <v>-4.9286999999999903</v>
      </c>
      <c r="AD4093">
        <v>-1.1207664293149999</v>
      </c>
      <c r="AE4093">
        <v>-14.934699999999999</v>
      </c>
      <c r="AF4093">
        <v>-9.4393736353629603</v>
      </c>
      <c r="AG4093">
        <v>-1.1207664293149999</v>
      </c>
      <c r="AH4093">
        <v>12.479677375700099</v>
      </c>
      <c r="AI4093">
        <v>94.096867023636406</v>
      </c>
      <c r="AJ4093">
        <v>127.10311838608</v>
      </c>
      <c r="AK4093">
        <v>15.687582331851701</v>
      </c>
    </row>
    <row r="4094" spans="1:37" x14ac:dyDescent="0.2">
      <c r="A4094" t="str">
        <f>"20200111153516164"</f>
        <v>20200111153516164</v>
      </c>
      <c r="B4094" t="str">
        <f>"1578728116159791"</f>
        <v>1578728116159791</v>
      </c>
      <c r="C4094" t="s">
        <v>37</v>
      </c>
      <c r="D4094">
        <v>4.6125350000000003</v>
      </c>
      <c r="E4094">
        <v>0.36729259999999903</v>
      </c>
      <c r="F4094" t="s">
        <v>51</v>
      </c>
      <c r="G4094">
        <v>-411.08940000000001</v>
      </c>
      <c r="H4094" s="1">
        <v>-3.2418500000000001E-6</v>
      </c>
      <c r="I4094">
        <v>121.926</v>
      </c>
      <c r="J4094">
        <v>-406.40699999999998</v>
      </c>
      <c r="K4094">
        <v>1.1207530000000001</v>
      </c>
      <c r="L4094">
        <v>137.09200000000001</v>
      </c>
      <c r="M4094">
        <v>-0.81303199999999998</v>
      </c>
      <c r="N4094">
        <v>0</v>
      </c>
      <c r="O4094">
        <v>-0.58198839999999996</v>
      </c>
      <c r="P4094">
        <v>-0.59015430000000002</v>
      </c>
      <c r="Q4094">
        <v>5.0908040000000002E-2</v>
      </c>
      <c r="R4094">
        <v>-0.80568390000000001</v>
      </c>
      <c r="S4094">
        <v>-0.98400880000000002</v>
      </c>
      <c r="T4094">
        <v>-0.221271</v>
      </c>
      <c r="U4094">
        <v>-3.037811</v>
      </c>
      <c r="V4094">
        <v>-0.31403759999999997</v>
      </c>
      <c r="W4094">
        <v>5.3917310000000003E-2</v>
      </c>
      <c r="X4094">
        <v>0.94787829999999995</v>
      </c>
      <c r="Y4094">
        <v>-0.59403569999999895</v>
      </c>
      <c r="Z4094">
        <v>2.1750329999999998E-2</v>
      </c>
      <c r="AA4094">
        <v>0.80414459999999999</v>
      </c>
      <c r="AB4094">
        <v>37</v>
      </c>
      <c r="AC4094">
        <v>-4.6824000000000296</v>
      </c>
      <c r="AD4094">
        <v>-1.1207562418499999</v>
      </c>
      <c r="AE4094">
        <v>-15.166</v>
      </c>
      <c r="AF4094">
        <v>-9.5589709650456705</v>
      </c>
      <c r="AG4094">
        <v>-1.1207562418499999</v>
      </c>
      <c r="AH4094">
        <v>12.572389378044599</v>
      </c>
      <c r="AI4094">
        <v>94.059049086453498</v>
      </c>
      <c r="AJ4094">
        <v>127.246257311647</v>
      </c>
      <c r="AK4094">
        <v>15.8333507236276</v>
      </c>
    </row>
    <row r="4095" spans="1:37" x14ac:dyDescent="0.2">
      <c r="A4095" t="str">
        <f>"20200111153516187"</f>
        <v>20200111153516187</v>
      </c>
      <c r="B4095" t="str">
        <f>"1578728116180287"</f>
        <v>1578728116180287</v>
      </c>
      <c r="C4095" t="s">
        <v>37</v>
      </c>
      <c r="D4095">
        <v>4.6513669999999996</v>
      </c>
      <c r="E4095">
        <v>0.3521417</v>
      </c>
      <c r="F4095" t="s">
        <v>51</v>
      </c>
      <c r="G4095">
        <v>-411.05900000000003</v>
      </c>
      <c r="H4095" s="1">
        <v>-3.24924E-6</v>
      </c>
      <c r="I4095">
        <v>121.9242</v>
      </c>
      <c r="J4095">
        <v>-406.70409999999998</v>
      </c>
      <c r="K4095">
        <v>1.1207370000000001</v>
      </c>
      <c r="L4095">
        <v>136.86680000000001</v>
      </c>
      <c r="M4095">
        <v>-0.80318459999999903</v>
      </c>
      <c r="N4095">
        <v>0</v>
      </c>
      <c r="O4095">
        <v>-0.59550509999999901</v>
      </c>
      <c r="P4095">
        <v>-0.57792559999999904</v>
      </c>
      <c r="Q4095">
        <v>4.9973749999999997E-2</v>
      </c>
      <c r="R4095">
        <v>-0.814558</v>
      </c>
      <c r="S4095">
        <v>-0.93609619999999905</v>
      </c>
      <c r="T4095">
        <v>-0.22552129999999901</v>
      </c>
      <c r="U4095">
        <v>-3.0520939999999999</v>
      </c>
      <c r="V4095">
        <v>-0.31249899999999903</v>
      </c>
      <c r="W4095">
        <v>5.3056409999999998E-2</v>
      </c>
      <c r="X4095">
        <v>0.94843519999999903</v>
      </c>
      <c r="Y4095">
        <v>-0.59318510000000002</v>
      </c>
      <c r="Z4095">
        <v>2.3386790000000001E-2</v>
      </c>
      <c r="AA4095">
        <v>0.80472639999999995</v>
      </c>
      <c r="AB4095">
        <v>37</v>
      </c>
      <c r="AC4095">
        <v>-4.3549000000000397</v>
      </c>
      <c r="AD4095">
        <v>-1.12074024924</v>
      </c>
      <c r="AE4095">
        <v>-14.942600000000001</v>
      </c>
      <c r="AF4095">
        <v>-9.3610254923482508</v>
      </c>
      <c r="AG4095">
        <v>-1.12074024924</v>
      </c>
      <c r="AH4095">
        <v>12.333893831486201</v>
      </c>
      <c r="AI4095">
        <v>94.139884363613305</v>
      </c>
      <c r="AJ4095">
        <v>127.197319390581</v>
      </c>
      <c r="AK4095">
        <v>15.5244901372327</v>
      </c>
    </row>
    <row r="4096" spans="1:37" x14ac:dyDescent="0.2">
      <c r="A4096" t="str">
        <f>"20200111153516208"</f>
        <v>20200111153516208</v>
      </c>
      <c r="B4096" t="str">
        <f>"1578728116199808"</f>
        <v>1578728116199808</v>
      </c>
      <c r="C4096" t="s">
        <v>37</v>
      </c>
      <c r="D4096">
        <v>4.5077509999999998</v>
      </c>
      <c r="E4096">
        <v>0.35741669999999998</v>
      </c>
      <c r="F4096" t="s">
        <v>64</v>
      </c>
      <c r="G4096">
        <v>-444.2244</v>
      </c>
      <c r="H4096">
        <v>0.37987109999999902</v>
      </c>
      <c r="I4096">
        <v>-13.720479999999901</v>
      </c>
      <c r="J4096">
        <v>-406.9787</v>
      </c>
      <c r="K4096">
        <v>1.1207149999999999</v>
      </c>
      <c r="L4096">
        <v>136.65170000000001</v>
      </c>
      <c r="M4096">
        <v>-0.79378000000000004</v>
      </c>
      <c r="N4096">
        <v>0</v>
      </c>
      <c r="O4096">
        <v>-0.60798469999999905</v>
      </c>
      <c r="P4096">
        <v>-0.56727759999999905</v>
      </c>
      <c r="Q4096">
        <v>5.0280789999999999E-2</v>
      </c>
      <c r="R4096">
        <v>-0.82199059999999902</v>
      </c>
      <c r="S4096">
        <v>-0.77999879999999999</v>
      </c>
      <c r="T4096">
        <v>-1.54022E-2</v>
      </c>
      <c r="U4096">
        <v>-3.1305079999999998</v>
      </c>
      <c r="V4096">
        <v>-0.31001209999999901</v>
      </c>
      <c r="W4096">
        <v>5.3482580000000002E-2</v>
      </c>
      <c r="X4096">
        <v>0.94922709999999999</v>
      </c>
      <c r="Y4096">
        <v>-0.62332270000000001</v>
      </c>
      <c r="Z4096">
        <v>1.577192E-3</v>
      </c>
      <c r="AA4096">
        <v>0.78196319999999997</v>
      </c>
      <c r="AB4096">
        <v>37</v>
      </c>
      <c r="AC4096">
        <v>-37.245699999999999</v>
      </c>
      <c r="AD4096">
        <v>-0.7408439</v>
      </c>
      <c r="AE4096">
        <v>-150.37217999999999</v>
      </c>
      <c r="AF4096">
        <v>-96.728359865237394</v>
      </c>
      <c r="AG4096">
        <v>-0.7408439</v>
      </c>
      <c r="AH4096">
        <v>121.00231990548799</v>
      </c>
      <c r="AI4096">
        <v>90.274005371228</v>
      </c>
      <c r="AJ4096">
        <v>128.638581782118</v>
      </c>
      <c r="AK4096">
        <v>154.9144469519</v>
      </c>
    </row>
    <row r="4097" spans="1:37" x14ac:dyDescent="0.2">
      <c r="A4097" t="str">
        <f>"20200111153516231"</f>
        <v>20200111153516231</v>
      </c>
      <c r="B4097" t="str">
        <f>"1578728116220304"</f>
        <v>1578728116220304</v>
      </c>
      <c r="C4097" t="s">
        <v>37</v>
      </c>
      <c r="D4097">
        <v>4.6032769999999896</v>
      </c>
      <c r="E4097">
        <v>0.36130059999999897</v>
      </c>
      <c r="F4097" t="s">
        <v>39</v>
      </c>
      <c r="G4097">
        <v>-419.77089999999998</v>
      </c>
      <c r="H4097" s="1">
        <v>-2.4513050000000001E-6</v>
      </c>
      <c r="I4097">
        <v>85.252110000000002</v>
      </c>
      <c r="J4097">
        <v>-407.26199999999898</v>
      </c>
      <c r="K4097">
        <v>1.1206909999999899</v>
      </c>
      <c r="L4097">
        <v>136.42230000000001</v>
      </c>
      <c r="M4097">
        <v>-0.78376590000000002</v>
      </c>
      <c r="N4097">
        <v>0</v>
      </c>
      <c r="O4097">
        <v>-0.62084050000000002</v>
      </c>
      <c r="P4097">
        <v>-0.55579429999999996</v>
      </c>
      <c r="Q4097">
        <v>5.147579E-2</v>
      </c>
      <c r="R4097">
        <v>-0.82972440000000003</v>
      </c>
      <c r="S4097">
        <v>-0.77606200000000003</v>
      </c>
      <c r="T4097">
        <v>-6.7990179999999997E-2</v>
      </c>
      <c r="U4097">
        <v>-3.1182400000000001</v>
      </c>
      <c r="V4097">
        <v>-0.30772490000000002</v>
      </c>
      <c r="W4097">
        <v>5.4791010000000001E-2</v>
      </c>
      <c r="X4097">
        <v>0.94989650000000003</v>
      </c>
      <c r="Y4097">
        <v>-0.61069200000000001</v>
      </c>
      <c r="Z4097">
        <v>7.4841339999999999E-3</v>
      </c>
      <c r="AA4097">
        <v>0.79183289999999995</v>
      </c>
      <c r="AB4097">
        <v>37</v>
      </c>
      <c r="AC4097">
        <v>-12.508900000000001</v>
      </c>
      <c r="AD4097">
        <v>-1.120693451305</v>
      </c>
      <c r="AE4097">
        <v>-51.170189999999998</v>
      </c>
      <c r="AF4097">
        <v>-32.329121294373898</v>
      </c>
      <c r="AG4097">
        <v>-1.120693451305</v>
      </c>
      <c r="AH4097">
        <v>41.559338745123299</v>
      </c>
      <c r="AI4097">
        <v>91.219325935786799</v>
      </c>
      <c r="AJ4097">
        <v>127.879442612728</v>
      </c>
      <c r="AK4097">
        <v>52.665042242554499</v>
      </c>
    </row>
    <row r="4098" spans="1:37" x14ac:dyDescent="0.2">
      <c r="A4098" t="str">
        <f>"20200111153516253"</f>
        <v>20200111153516253</v>
      </c>
      <c r="B4098" t="str">
        <f>"1578728116250560"</f>
        <v>1578728116250560</v>
      </c>
      <c r="C4098" t="s">
        <v>37</v>
      </c>
      <c r="D4098">
        <v>4.6195190000000004</v>
      </c>
      <c r="E4098">
        <v>0.36643720000000002</v>
      </c>
      <c r="F4098" t="s">
        <v>39</v>
      </c>
      <c r="G4098">
        <v>-416.83300000000003</v>
      </c>
      <c r="H4098" s="1">
        <v>-3.7985510000000001E-6</v>
      </c>
      <c r="I4098">
        <v>97.177800000000005</v>
      </c>
      <c r="J4098">
        <v>-407.53899999999999</v>
      </c>
      <c r="K4098">
        <v>1.120671</v>
      </c>
      <c r="L4098">
        <v>136.19049999999999</v>
      </c>
      <c r="M4098">
        <v>-0.77365790000000001</v>
      </c>
      <c r="N4098">
        <v>0</v>
      </c>
      <c r="O4098">
        <v>-0.63339230000000002</v>
      </c>
      <c r="P4098">
        <v>-0.54467390000000004</v>
      </c>
      <c r="Q4098">
        <v>5.2702390000000002E-2</v>
      </c>
      <c r="R4098">
        <v>-0.83699049999999997</v>
      </c>
      <c r="S4098">
        <v>-0.75912480000000004</v>
      </c>
      <c r="T4098">
        <v>-8.8887809999999998E-2</v>
      </c>
      <c r="U4098">
        <v>-3.11267099999999</v>
      </c>
      <c r="V4098">
        <v>-0.3050736</v>
      </c>
      <c r="W4098">
        <v>5.6149329999999997E-2</v>
      </c>
      <c r="X4098">
        <v>0.95067209999999902</v>
      </c>
      <c r="Y4098">
        <v>-0.60161219999999904</v>
      </c>
      <c r="Z4098">
        <v>1.0392449999999999E-2</v>
      </c>
      <c r="AA4098">
        <v>0.79872080000000001</v>
      </c>
      <c r="AB4098">
        <v>37</v>
      </c>
      <c r="AC4098">
        <v>-9.2940000000000396</v>
      </c>
      <c r="AD4098">
        <v>-1.1206747985509999</v>
      </c>
      <c r="AE4098">
        <v>-39.012699999999903</v>
      </c>
      <c r="AF4098">
        <v>-24.280028209880498</v>
      </c>
      <c r="AG4098">
        <v>-1.1206747985509999</v>
      </c>
      <c r="AH4098">
        <v>31.8800963365127</v>
      </c>
      <c r="AI4098">
        <v>91.601899169692203</v>
      </c>
      <c r="AJ4098">
        <v>127.293065540265</v>
      </c>
      <c r="AK4098">
        <v>40.088854115602203</v>
      </c>
    </row>
    <row r="4099" spans="1:37" x14ac:dyDescent="0.2">
      <c r="A4099" t="str">
        <f>"20200111153516276"</f>
        <v>20200111153516276</v>
      </c>
      <c r="B4099" t="str">
        <f>"1578728116270080"</f>
        <v>1578728116270080</v>
      </c>
      <c r="C4099" t="s">
        <v>37</v>
      </c>
      <c r="D4099">
        <v>4.6361889999999999</v>
      </c>
      <c r="E4099">
        <v>0.36883549999999998</v>
      </c>
      <c r="F4099" t="s">
        <v>40</v>
      </c>
      <c r="G4099">
        <v>-407.76920000000001</v>
      </c>
      <c r="H4099">
        <v>1.0873930000000001</v>
      </c>
      <c r="I4099">
        <v>135.24279999999999</v>
      </c>
      <c r="J4099">
        <v>-407.82150000000001</v>
      </c>
      <c r="K4099">
        <v>1.1206469999999999</v>
      </c>
      <c r="L4099">
        <v>135.9462</v>
      </c>
      <c r="M4099">
        <v>-0.76301180000000002</v>
      </c>
      <c r="N4099">
        <v>0</v>
      </c>
      <c r="O4099">
        <v>-0.64617799999999903</v>
      </c>
      <c r="P4099">
        <v>-0.53339829999999999</v>
      </c>
      <c r="Q4099">
        <v>5.3404960000000001E-2</v>
      </c>
      <c r="R4099">
        <v>-0.84417679999999995</v>
      </c>
      <c r="S4099">
        <v>-0.75283809999999995</v>
      </c>
      <c r="T4099">
        <v>-0.108842699999999</v>
      </c>
      <c r="U4099">
        <v>-3.1011660000000001</v>
      </c>
      <c r="V4099">
        <v>-0.30199379999999998</v>
      </c>
      <c r="W4099">
        <v>5.7004840000000001E-2</v>
      </c>
      <c r="X4099">
        <v>0.95160400000000001</v>
      </c>
      <c r="Y4099">
        <v>-0.58909089999999997</v>
      </c>
      <c r="Z4099">
        <v>1.355634E-2</v>
      </c>
      <c r="AA4099">
        <v>0.80795309999999998</v>
      </c>
      <c r="AB4099">
        <v>37</v>
      </c>
      <c r="AC4099">
        <v>5.23000000000024E-2</v>
      </c>
      <c r="AD4099">
        <v>-3.3253999999999798E-2</v>
      </c>
      <c r="AE4099">
        <v>-0.70340000000001601</v>
      </c>
      <c r="AF4099">
        <v>-0.569308357413845</v>
      </c>
      <c r="AG4099">
        <v>-3.3253999999999798E-2</v>
      </c>
      <c r="AH4099">
        <v>0.41375178460325601</v>
      </c>
      <c r="AI4099">
        <v>92.705255886333305</v>
      </c>
      <c r="AJ4099">
        <v>143.99176367389799</v>
      </c>
      <c r="AK4099">
        <v>0.70456254058786705</v>
      </c>
    </row>
    <row r="4100" spans="1:37" x14ac:dyDescent="0.2">
      <c r="A4100" t="str">
        <f>"20200111153516298"</f>
        <v>20200111153516298</v>
      </c>
      <c r="B4100" t="str">
        <f>"1578728116289599"</f>
        <v>1578728116289599</v>
      </c>
      <c r="C4100" t="s">
        <v>37</v>
      </c>
      <c r="D4100">
        <v>4.6143619999999999</v>
      </c>
      <c r="E4100">
        <v>0.37064649999999999</v>
      </c>
      <c r="F4100" t="s">
        <v>40</v>
      </c>
      <c r="G4100">
        <v>-408.03129999999999</v>
      </c>
      <c r="H4100">
        <v>1.087253</v>
      </c>
      <c r="I4100">
        <v>135.0506</v>
      </c>
      <c r="J4100">
        <v>-408.08370000000002</v>
      </c>
      <c r="K4100">
        <v>1.1206209999999901</v>
      </c>
      <c r="L4100">
        <v>135.71180000000001</v>
      </c>
      <c r="M4100">
        <v>-0.75280740000000002</v>
      </c>
      <c r="N4100">
        <v>0</v>
      </c>
      <c r="O4100">
        <v>-0.65803819999999902</v>
      </c>
      <c r="P4100">
        <v>-0.52297009999999999</v>
      </c>
      <c r="Q4100">
        <v>5.3873539999999998E-2</v>
      </c>
      <c r="R4100">
        <v>-0.85064709999999999</v>
      </c>
      <c r="S4100">
        <v>-0.72723389999999999</v>
      </c>
      <c r="T4100">
        <v>-0.11570219999999901</v>
      </c>
      <c r="U4100">
        <v>-3.1015470000000001</v>
      </c>
      <c r="V4100">
        <v>-0.29880229999999902</v>
      </c>
      <c r="W4100">
        <v>5.7632269999999999E-2</v>
      </c>
      <c r="X4100">
        <v>0.95257320000000001</v>
      </c>
      <c r="Y4100">
        <v>-0.58276430000000001</v>
      </c>
      <c r="Z4100">
        <v>1.510416E-2</v>
      </c>
      <c r="AA4100">
        <v>0.81250089999999997</v>
      </c>
      <c r="AB4100">
        <v>37</v>
      </c>
      <c r="AC4100">
        <v>5.2400000000034197E-2</v>
      </c>
      <c r="AD4100">
        <v>-3.3367999999999801E-2</v>
      </c>
      <c r="AE4100">
        <v>-0.661200000000007</v>
      </c>
      <c r="AF4100">
        <v>-0.530964634565398</v>
      </c>
      <c r="AG4100">
        <v>-3.3367999999999801E-2</v>
      </c>
      <c r="AH4100">
        <v>0.39470157772247599</v>
      </c>
      <c r="AI4100">
        <v>92.887289682760098</v>
      </c>
      <c r="AJ4100">
        <v>143.374105889096</v>
      </c>
      <c r="AK4100">
        <v>0.66243958369030098</v>
      </c>
    </row>
    <row r="4101" spans="1:37" x14ac:dyDescent="0.2">
      <c r="A4101" t="str">
        <f>"20200111153516321"</f>
        <v>20200111153516321</v>
      </c>
      <c r="B4101" t="str">
        <f>"1578728116310096"</f>
        <v>1578728116310096</v>
      </c>
      <c r="C4101" t="s">
        <v>37</v>
      </c>
      <c r="D4101">
        <v>4.6047729999999998</v>
      </c>
      <c r="E4101">
        <v>0.37225229999999998</v>
      </c>
      <c r="F4101" t="s">
        <v>40</v>
      </c>
      <c r="G4101">
        <v>-408.27940000000001</v>
      </c>
      <c r="H4101">
        <v>1.0873250000000001</v>
      </c>
      <c r="I4101">
        <v>134.846</v>
      </c>
      <c r="J4101">
        <v>-408.35359999999997</v>
      </c>
      <c r="K4101">
        <v>1.1205860000000001</v>
      </c>
      <c r="L4101">
        <v>135.46209999999999</v>
      </c>
      <c r="M4101">
        <v>-0.74196200000000001</v>
      </c>
      <c r="N4101">
        <v>0</v>
      </c>
      <c r="O4101">
        <v>-0.67024309999999998</v>
      </c>
      <c r="P4101">
        <v>-0.51221510000000003</v>
      </c>
      <c r="Q4101">
        <v>5.3995689999999999E-2</v>
      </c>
      <c r="R4101">
        <v>-0.85715839999999999</v>
      </c>
      <c r="S4101">
        <v>-0.70095830000000003</v>
      </c>
      <c r="T4101">
        <v>-0.119310999999999</v>
      </c>
      <c r="U4101">
        <v>-3.103348</v>
      </c>
      <c r="V4101">
        <v>-0.29523539999999998</v>
      </c>
      <c r="W4101">
        <v>5.793218E-2</v>
      </c>
      <c r="X4101">
        <v>0.95366659999999903</v>
      </c>
      <c r="Y4101">
        <v>-0.57611769999999995</v>
      </c>
      <c r="Z4101">
        <v>1.6308110000000001E-2</v>
      </c>
      <c r="AA4101">
        <v>0.81720409999999999</v>
      </c>
      <c r="AB4101">
        <v>37</v>
      </c>
      <c r="AC4101">
        <v>7.4199999999962005E-2</v>
      </c>
      <c r="AD4101">
        <v>-3.3260999999999902E-2</v>
      </c>
      <c r="AE4101">
        <v>-0.61609999999998799</v>
      </c>
      <c r="AF4101">
        <v>-0.50547025346623098</v>
      </c>
      <c r="AG4101">
        <v>-3.3260999999999902E-2</v>
      </c>
      <c r="AH4101">
        <v>0.35690556580851601</v>
      </c>
      <c r="AI4101">
        <v>93.076860714953099</v>
      </c>
      <c r="AJ4101">
        <v>144.774612758725</v>
      </c>
      <c r="AK4101">
        <v>0.61966769656430598</v>
      </c>
    </row>
    <row r="4102" spans="1:37" x14ac:dyDescent="0.2">
      <c r="A4102" t="str">
        <f>"20200111153516354"</f>
        <v>20200111153516354</v>
      </c>
      <c r="B4102" t="str">
        <f>"1578728116350111"</f>
        <v>1578728116350111</v>
      </c>
      <c r="C4102" t="s">
        <v>37</v>
      </c>
      <c r="D4102">
        <v>4.6050240000000002</v>
      </c>
      <c r="E4102">
        <v>0.37458530000000001</v>
      </c>
      <c r="F4102" t="s">
        <v>39</v>
      </c>
      <c r="G4102">
        <v>-414.51429999999999</v>
      </c>
      <c r="H4102" s="1">
        <v>-4.4610219999999902E-6</v>
      </c>
      <c r="I4102">
        <v>107.0099</v>
      </c>
      <c r="J4102">
        <v>-408.75229999999999</v>
      </c>
      <c r="K4102">
        <v>1.120517</v>
      </c>
      <c r="L4102">
        <v>135.07749999999999</v>
      </c>
      <c r="M4102">
        <v>-0.725275</v>
      </c>
      <c r="N4102">
        <v>0</v>
      </c>
      <c r="O4102">
        <v>-0.68826619999999905</v>
      </c>
      <c r="P4102">
        <v>-0.49292039999999998</v>
      </c>
      <c r="Q4102">
        <v>5.3349170000000001E-2</v>
      </c>
      <c r="R4102">
        <v>-0.86843780000000004</v>
      </c>
      <c r="S4102">
        <v>-0.67248540000000001</v>
      </c>
      <c r="T4102">
        <v>-0.1223216</v>
      </c>
      <c r="U4102">
        <v>-3.1057890000000001</v>
      </c>
      <c r="V4102">
        <v>-0.29312759999999999</v>
      </c>
      <c r="W4102">
        <v>5.7412339999999999E-2</v>
      </c>
      <c r="X4102">
        <v>0.95434799999999997</v>
      </c>
      <c r="Y4102">
        <v>-0.56325879999999995</v>
      </c>
      <c r="Z4102">
        <v>1.787542E-2</v>
      </c>
      <c r="AA4102">
        <v>0.82608719999999902</v>
      </c>
      <c r="AB4102">
        <v>37</v>
      </c>
      <c r="AC4102">
        <v>-5.7619999999999996</v>
      </c>
      <c r="AD4102">
        <v>-1.120521461022</v>
      </c>
      <c r="AE4102">
        <v>-28.067599999999899</v>
      </c>
      <c r="AF4102">
        <v>-16.368085383525699</v>
      </c>
      <c r="AG4102">
        <v>-1.120521461022</v>
      </c>
      <c r="AH4102">
        <v>23.4642538080954</v>
      </c>
      <c r="AI4102">
        <v>92.242928410757798</v>
      </c>
      <c r="AJ4102">
        <v>124.898678097971</v>
      </c>
      <c r="AK4102">
        <v>28.631119332602399</v>
      </c>
    </row>
    <row r="4103" spans="1:37" x14ac:dyDescent="0.2">
      <c r="A4103" t="str">
        <f>"20200111153516377"</f>
        <v>20200111153516377</v>
      </c>
      <c r="B4103" t="str">
        <f>"1578728116369631"</f>
        <v>1578728116369631</v>
      </c>
      <c r="C4103" t="s">
        <v>37</v>
      </c>
      <c r="D4103">
        <v>4.5645369999999996</v>
      </c>
      <c r="E4103">
        <v>0.375716099999999</v>
      </c>
      <c r="F4103" t="s">
        <v>40</v>
      </c>
      <c r="G4103">
        <v>-408.93439999999998</v>
      </c>
      <c r="H4103">
        <v>1.08172</v>
      </c>
      <c r="I4103">
        <v>134.1628</v>
      </c>
      <c r="J4103">
        <v>-409.00369999999998</v>
      </c>
      <c r="K4103">
        <v>1.120476</v>
      </c>
      <c r="L4103">
        <v>134.8254</v>
      </c>
      <c r="M4103">
        <v>-0.71433599999999997</v>
      </c>
      <c r="N4103">
        <v>0</v>
      </c>
      <c r="O4103">
        <v>-0.69961300000000004</v>
      </c>
      <c r="P4103">
        <v>-0.48018919999999998</v>
      </c>
      <c r="Q4103">
        <v>5.3869529999999999E-2</v>
      </c>
      <c r="R4103">
        <v>-0.8755096</v>
      </c>
      <c r="S4103">
        <v>-0.61920169999999997</v>
      </c>
      <c r="T4103">
        <v>-0.13195750000000001</v>
      </c>
      <c r="U4103">
        <v>-3.1111599999999999</v>
      </c>
      <c r="V4103">
        <v>-0.29200739999999997</v>
      </c>
      <c r="W4103">
        <v>5.8005969999999997E-2</v>
      </c>
      <c r="X4103">
        <v>0.95465540000000004</v>
      </c>
      <c r="Y4103">
        <v>-0.56409290000000001</v>
      </c>
      <c r="Z4103">
        <v>1.99110999999999E-2</v>
      </c>
      <c r="AA4103">
        <v>0.82547119999999996</v>
      </c>
      <c r="AB4103">
        <v>37</v>
      </c>
      <c r="AC4103">
        <v>6.9299999999998294E-2</v>
      </c>
      <c r="AD4103">
        <v>-3.8755999999999999E-2</v>
      </c>
      <c r="AE4103">
        <v>-0.66259999999999697</v>
      </c>
      <c r="AF4103">
        <v>-0.52011141979389397</v>
      </c>
      <c r="AG4103">
        <v>-3.8755999999999999E-2</v>
      </c>
      <c r="AH4103">
        <v>0.41271841089470301</v>
      </c>
      <c r="AI4103">
        <v>93.340584683411194</v>
      </c>
      <c r="AJ4103">
        <v>141.567323872733</v>
      </c>
      <c r="AK4103">
        <v>0.66509728854316397</v>
      </c>
    </row>
    <row r="4104" spans="1:37" x14ac:dyDescent="0.2">
      <c r="A4104" t="str">
        <f>"20200111153516398"</f>
        <v>20200111153516398</v>
      </c>
      <c r="B4104" t="str">
        <f>"1578728116390130"</f>
        <v>1578728116390130</v>
      </c>
      <c r="C4104" t="s">
        <v>37</v>
      </c>
      <c r="D4104">
        <v>4.5796419999999998</v>
      </c>
      <c r="E4104">
        <v>0.37624659999999999</v>
      </c>
      <c r="F4104" t="s">
        <v>40</v>
      </c>
      <c r="G4104">
        <v>-409.16820000000001</v>
      </c>
      <c r="H4104">
        <v>1.0826149999999899</v>
      </c>
      <c r="I4104">
        <v>133.94460000000001</v>
      </c>
      <c r="J4104">
        <v>-409.24619999999999</v>
      </c>
      <c r="K4104">
        <v>1.1204229999999999</v>
      </c>
      <c r="L4104">
        <v>134.5744</v>
      </c>
      <c r="M4104">
        <v>-0.70346089999999994</v>
      </c>
      <c r="N4104">
        <v>0</v>
      </c>
      <c r="O4104">
        <v>-0.71054719999999905</v>
      </c>
      <c r="P4104">
        <v>-0.46750249999999999</v>
      </c>
      <c r="Q4104">
        <v>5.4125159999999999E-2</v>
      </c>
      <c r="R4104">
        <v>-0.88233320000000004</v>
      </c>
      <c r="S4104">
        <v>-0.58190920000000002</v>
      </c>
      <c r="T4104">
        <v>-0.13392850000000001</v>
      </c>
      <c r="U4104">
        <v>-3.1156160000000002</v>
      </c>
      <c r="V4104">
        <v>-0.29105399999999998</v>
      </c>
      <c r="W4104">
        <v>5.833108E-2</v>
      </c>
      <c r="X4104">
        <v>0.95492670000000002</v>
      </c>
      <c r="Y4104">
        <v>-0.56111080000000002</v>
      </c>
      <c r="Z4104">
        <v>2.0887360000000001E-2</v>
      </c>
      <c r="AA4104">
        <v>0.82747709999999997</v>
      </c>
      <c r="AB4104">
        <v>37</v>
      </c>
      <c r="AC4104">
        <v>7.7999999999974506E-2</v>
      </c>
      <c r="AD4104">
        <v>-3.7808000000000001E-2</v>
      </c>
      <c r="AE4104">
        <v>-0.62979999999998804</v>
      </c>
      <c r="AF4104">
        <v>-0.49676532146820102</v>
      </c>
      <c r="AG4104">
        <v>-3.7808000000000001E-2</v>
      </c>
      <c r="AH4104">
        <v>0.39129594277038299</v>
      </c>
      <c r="AI4104">
        <v>93.421529668259197</v>
      </c>
      <c r="AJ4104">
        <v>141.772930002111</v>
      </c>
      <c r="AK4104">
        <v>0.63349644379899195</v>
      </c>
    </row>
    <row r="4105" spans="1:37" x14ac:dyDescent="0.2">
      <c r="A4105" t="str">
        <f>"20200111153516421"</f>
        <v>20200111153516421</v>
      </c>
      <c r="B4105" t="str">
        <f>"1578728116409648"</f>
        <v>1578728116409648</v>
      </c>
      <c r="C4105" t="s">
        <v>37</v>
      </c>
      <c r="D4105">
        <v>4.5786689999999997</v>
      </c>
      <c r="E4105">
        <v>0.38967729999999901</v>
      </c>
      <c r="F4105" t="s">
        <v>40</v>
      </c>
      <c r="G4105">
        <v>-409.39429999999999</v>
      </c>
      <c r="H4105">
        <v>1.083318</v>
      </c>
      <c r="I4105">
        <v>133.72</v>
      </c>
      <c r="J4105">
        <v>-409.48970000000003</v>
      </c>
      <c r="K4105">
        <v>1.1203459999999901</v>
      </c>
      <c r="L4105">
        <v>134.3135</v>
      </c>
      <c r="M4105">
        <v>-0.69219730000000002</v>
      </c>
      <c r="N4105">
        <v>0</v>
      </c>
      <c r="O4105">
        <v>-0.72152450000000001</v>
      </c>
      <c r="P4105">
        <v>-0.45334829999999998</v>
      </c>
      <c r="Q4105">
        <v>5.2920729999999999E-2</v>
      </c>
      <c r="R4105">
        <v>-0.88976069999999996</v>
      </c>
      <c r="S4105">
        <v>-0.54141240000000002</v>
      </c>
      <c r="T4105">
        <v>-0.13560249999999999</v>
      </c>
      <c r="U4105">
        <v>-3.121521</v>
      </c>
      <c r="V4105">
        <v>-0.29128109999999902</v>
      </c>
      <c r="W4105">
        <v>5.7150039999999999E-2</v>
      </c>
      <c r="X4105">
        <v>0.95492889999999997</v>
      </c>
      <c r="Y4105">
        <v>-0.55877339999999998</v>
      </c>
      <c r="Z4105">
        <v>2.182015E-2</v>
      </c>
      <c r="AA4105">
        <v>0.82903329999999997</v>
      </c>
      <c r="AB4105">
        <v>37</v>
      </c>
      <c r="AC4105">
        <v>9.5400000000040494E-2</v>
      </c>
      <c r="AD4105">
        <v>-3.7027999999999797E-2</v>
      </c>
      <c r="AE4105">
        <v>-0.59350000000000502</v>
      </c>
      <c r="AF4105">
        <v>-0.47790282887498697</v>
      </c>
      <c r="AG4105">
        <v>-3.7027999999999797E-2</v>
      </c>
      <c r="AH4105">
        <v>0.36086795243747199</v>
      </c>
      <c r="AI4105">
        <v>93.538221543709795</v>
      </c>
      <c r="AJ4105">
        <v>142.943277027905</v>
      </c>
      <c r="AK4105">
        <v>0.59998988802073105</v>
      </c>
    </row>
    <row r="4106" spans="1:37" x14ac:dyDescent="0.2">
      <c r="A4106" t="str">
        <f>"20200111153516443"</f>
        <v>20200111153516443</v>
      </c>
      <c r="B4106" t="str">
        <f>"1578728116439904"</f>
        <v>1578728116439904</v>
      </c>
      <c r="C4106" t="s">
        <v>37</v>
      </c>
      <c r="D4106">
        <v>4.5807449999999896</v>
      </c>
      <c r="E4106">
        <v>0.39195190000000002</v>
      </c>
      <c r="F4106" t="s">
        <v>39</v>
      </c>
      <c r="G4106">
        <v>-413.32119999999998</v>
      </c>
      <c r="H4106" s="1">
        <v>-3.3399919999999898E-6</v>
      </c>
      <c r="I4106">
        <v>114.24079999999999</v>
      </c>
      <c r="J4106">
        <v>-409.73379999999997</v>
      </c>
      <c r="K4106">
        <v>1.120258</v>
      </c>
      <c r="L4106">
        <v>134.0436</v>
      </c>
      <c r="M4106">
        <v>-0.68057699999999999</v>
      </c>
      <c r="N4106">
        <v>0</v>
      </c>
      <c r="O4106">
        <v>-0.73249600000000004</v>
      </c>
      <c r="P4106">
        <v>-0.43972509999999998</v>
      </c>
      <c r="Q4106">
        <v>5.0157819999999999E-2</v>
      </c>
      <c r="R4106">
        <v>-0.89673069999999899</v>
      </c>
      <c r="S4106">
        <v>-0.58831789999999995</v>
      </c>
      <c r="T4106">
        <v>-0.17202779999999901</v>
      </c>
      <c r="U4106">
        <v>-3.0821230000000002</v>
      </c>
      <c r="V4106">
        <v>-0.290572099999999</v>
      </c>
      <c r="W4106">
        <v>5.4456770000000002E-2</v>
      </c>
      <c r="X4106">
        <v>0.95530219999999899</v>
      </c>
      <c r="Y4106">
        <v>-0.53125069999999996</v>
      </c>
      <c r="Z4106">
        <v>2.9396849999999999E-2</v>
      </c>
      <c r="AA4106">
        <v>0.84670449999999997</v>
      </c>
      <c r="AB4106">
        <v>37</v>
      </c>
      <c r="AC4106">
        <v>-3.5874000000000001</v>
      </c>
      <c r="AD4106">
        <v>-1.1202613399920001</v>
      </c>
      <c r="AE4106">
        <v>-19.802800000000001</v>
      </c>
      <c r="AF4106">
        <v>-10.8174907197788</v>
      </c>
      <c r="AG4106">
        <v>-1.1202613399920001</v>
      </c>
      <c r="AH4106">
        <v>16.896859713350501</v>
      </c>
      <c r="AI4106">
        <v>93.195924009888898</v>
      </c>
      <c r="AJ4106">
        <v>122.627663037913</v>
      </c>
      <c r="AK4106">
        <v>20.0942021268581</v>
      </c>
    </row>
    <row r="4107" spans="1:37" x14ac:dyDescent="0.2">
      <c r="A4107" t="str">
        <f>"20200111153516466"</f>
        <v>20200111153516466</v>
      </c>
      <c r="B4107" t="str">
        <f>"1578728116460399"</f>
        <v>1578728116460399</v>
      </c>
      <c r="C4107" t="s">
        <v>37</v>
      </c>
      <c r="D4107">
        <v>4.584352</v>
      </c>
      <c r="E4107">
        <v>0.39340729999999902</v>
      </c>
      <c r="F4107" t="s">
        <v>40</v>
      </c>
      <c r="G4107">
        <v>-409.93049999999999</v>
      </c>
      <c r="H4107">
        <v>1.056751</v>
      </c>
      <c r="I4107">
        <v>132.95699999999999</v>
      </c>
      <c r="J4107">
        <v>-409.96890000000002</v>
      </c>
      <c r="K4107">
        <v>1.120161</v>
      </c>
      <c r="L4107">
        <v>133.77510000000001</v>
      </c>
      <c r="M4107">
        <v>-0.66904549999999996</v>
      </c>
      <c r="N4107">
        <v>0</v>
      </c>
      <c r="O4107">
        <v>-0.74304399999999904</v>
      </c>
      <c r="P4107">
        <v>-0.42638939999999997</v>
      </c>
      <c r="Q4107">
        <v>4.7339480000000003E-2</v>
      </c>
      <c r="R4107">
        <v>-0.9033002</v>
      </c>
      <c r="S4107">
        <v>-0.55722050000000001</v>
      </c>
      <c r="T4107">
        <v>-0.180066</v>
      </c>
      <c r="U4107">
        <v>-3.0822910000000001</v>
      </c>
      <c r="V4107">
        <v>-0.28977750000000002</v>
      </c>
      <c r="W4107">
        <v>5.1712149999999998E-2</v>
      </c>
      <c r="X4107">
        <v>0.95569599999999899</v>
      </c>
      <c r="Y4107">
        <v>-0.52627559999999995</v>
      </c>
      <c r="Z4107">
        <v>3.173836E-2</v>
      </c>
      <c r="AA4107">
        <v>0.84972159999999997</v>
      </c>
      <c r="AB4107">
        <v>37</v>
      </c>
      <c r="AC4107">
        <v>3.8400000000024102E-2</v>
      </c>
      <c r="AD4107">
        <v>-6.3409999999999897E-2</v>
      </c>
      <c r="AE4107">
        <v>-0.81810000000001504</v>
      </c>
      <c r="AF4107">
        <v>-0.57252302561132395</v>
      </c>
      <c r="AG4107">
        <v>-6.3409999999999897E-2</v>
      </c>
      <c r="AH4107">
        <v>0.578800166622368</v>
      </c>
      <c r="AI4107">
        <v>94.453646677717501</v>
      </c>
      <c r="AJ4107">
        <v>134.687620186754</v>
      </c>
      <c r="AK4107">
        <v>0.81658623294617605</v>
      </c>
    </row>
    <row r="4108" spans="1:37" x14ac:dyDescent="0.2">
      <c r="A4108" t="str">
        <f>"20200111153516489"</f>
        <v>20200111153516489</v>
      </c>
      <c r="B4108" t="str">
        <f>"1578728116479920"</f>
        <v>1578728116479920</v>
      </c>
      <c r="C4108" t="s">
        <v>37</v>
      </c>
      <c r="D4108">
        <v>4.6350559999999996</v>
      </c>
      <c r="E4108">
        <v>0.40071519999999999</v>
      </c>
      <c r="F4108" t="s">
        <v>40</v>
      </c>
      <c r="G4108">
        <v>-410.1465</v>
      </c>
      <c r="H4108">
        <v>1.056624</v>
      </c>
      <c r="I4108">
        <v>132.72450000000001</v>
      </c>
      <c r="J4108">
        <v>-410.20699999999999</v>
      </c>
      <c r="K4108">
        <v>1.1200760000000001</v>
      </c>
      <c r="L4108">
        <v>133.49440000000001</v>
      </c>
      <c r="M4108">
        <v>-0.65703459999999902</v>
      </c>
      <c r="N4108">
        <v>0</v>
      </c>
      <c r="O4108">
        <v>-0.75368570000000001</v>
      </c>
      <c r="P4108">
        <v>-0.41249949999999902</v>
      </c>
      <c r="Q4108">
        <v>4.583048E-2</v>
      </c>
      <c r="R4108">
        <v>-0.90980399999999995</v>
      </c>
      <c r="S4108">
        <v>-0.52117919999999995</v>
      </c>
      <c r="T4108">
        <v>-0.18655729999999901</v>
      </c>
      <c r="U4108">
        <v>-3.0848849999999999</v>
      </c>
      <c r="V4108">
        <v>-0.28906320000000002</v>
      </c>
      <c r="W4108">
        <v>5.027827E-2</v>
      </c>
      <c r="X4108">
        <v>0.95598879999999997</v>
      </c>
      <c r="Y4108">
        <v>-0.52239139999999995</v>
      </c>
      <c r="Z4108">
        <v>3.3850579999999998E-2</v>
      </c>
      <c r="AA4108">
        <v>0.8520337</v>
      </c>
      <c r="AB4108">
        <v>37</v>
      </c>
      <c r="AC4108">
        <v>6.0499999999990402E-2</v>
      </c>
      <c r="AD4108">
        <v>-6.3451999999999995E-2</v>
      </c>
      <c r="AE4108">
        <v>-0.76990000000000602</v>
      </c>
      <c r="AF4108">
        <v>-0.54782337546344695</v>
      </c>
      <c r="AG4108">
        <v>-6.3451999999999995E-2</v>
      </c>
      <c r="AH4108">
        <v>0.53695838475967195</v>
      </c>
      <c r="AI4108">
        <v>94.728585123752893</v>
      </c>
      <c r="AJ4108">
        <v>135.573845652183</v>
      </c>
      <c r="AK4108">
        <v>0.76971482639473798</v>
      </c>
    </row>
    <row r="4109" spans="1:37" x14ac:dyDescent="0.2">
      <c r="A4109" t="str">
        <f>"20200111153516511"</f>
        <v>20200111153516511</v>
      </c>
      <c r="B4109" t="str">
        <f>"1578728116500416"</f>
        <v>1578728116500416</v>
      </c>
      <c r="C4109" t="s">
        <v>37</v>
      </c>
      <c r="D4109">
        <v>4.5824309999999997</v>
      </c>
      <c r="E4109">
        <v>0.40115699999999999</v>
      </c>
      <c r="F4109" t="s">
        <v>40</v>
      </c>
      <c r="G4109">
        <v>-410.3777</v>
      </c>
      <c r="H4109">
        <v>1.0595699999999999</v>
      </c>
      <c r="I4109">
        <v>132.499</v>
      </c>
      <c r="J4109">
        <v>-410.43130000000002</v>
      </c>
      <c r="K4109">
        <v>1.119996</v>
      </c>
      <c r="L4109">
        <v>133.22149999999999</v>
      </c>
      <c r="M4109">
        <v>-0.64540050000000004</v>
      </c>
      <c r="N4109">
        <v>0</v>
      </c>
      <c r="O4109">
        <v>-0.76367229999999997</v>
      </c>
      <c r="P4109">
        <v>-0.39959809999999901</v>
      </c>
      <c r="Q4109">
        <v>4.6860690000000003E-2</v>
      </c>
      <c r="R4109">
        <v>-0.91549159999999996</v>
      </c>
      <c r="S4109">
        <v>-0.52590939999999997</v>
      </c>
      <c r="T4109">
        <v>-0.18649579999999999</v>
      </c>
      <c r="U4109">
        <v>-3.0683590000000001</v>
      </c>
      <c r="V4109">
        <v>-0.28791</v>
      </c>
      <c r="W4109">
        <v>5.140405E-2</v>
      </c>
      <c r="X4109">
        <v>0.95627689999999999</v>
      </c>
      <c r="Y4109">
        <v>-0.50722060000000002</v>
      </c>
      <c r="Z4109">
        <v>3.516847E-2</v>
      </c>
      <c r="AA4109">
        <v>0.86109829999999998</v>
      </c>
      <c r="AB4109">
        <v>36</v>
      </c>
      <c r="AC4109">
        <v>5.3600000000017099E-2</v>
      </c>
      <c r="AD4109">
        <v>-6.0425999999999799E-2</v>
      </c>
      <c r="AE4109">
        <v>-0.72249999999999603</v>
      </c>
      <c r="AF4109">
        <v>-0.50379672158089694</v>
      </c>
      <c r="AG4109">
        <v>-6.0425999999999799E-2</v>
      </c>
      <c r="AH4109">
        <v>0.51365452406294398</v>
      </c>
      <c r="AI4109">
        <v>94.800754336999006</v>
      </c>
      <c r="AJ4109">
        <v>134.44489447751201</v>
      </c>
      <c r="AK4109">
        <v>0.72201344048569405</v>
      </c>
    </row>
    <row r="4110" spans="1:37" x14ac:dyDescent="0.2">
      <c r="A4110" t="str">
        <f>"20200111153516533"</f>
        <v>20200111153516533</v>
      </c>
      <c r="B4110" t="str">
        <f>"1578728116529696"</f>
        <v>1578728116529696</v>
      </c>
      <c r="C4110" t="s">
        <v>37</v>
      </c>
      <c r="D4110">
        <v>4.7900029999999996</v>
      </c>
      <c r="E4110">
        <v>0.4026303</v>
      </c>
      <c r="F4110" t="s">
        <v>40</v>
      </c>
      <c r="G4110">
        <v>-410.58359999999999</v>
      </c>
      <c r="H4110">
        <v>1.063558</v>
      </c>
      <c r="I4110">
        <v>132.25829999999999</v>
      </c>
      <c r="J4110">
        <v>-410.65120000000002</v>
      </c>
      <c r="K4110">
        <v>1.119909</v>
      </c>
      <c r="L4110">
        <v>132.9453</v>
      </c>
      <c r="M4110">
        <v>-0.63368230000000003</v>
      </c>
      <c r="N4110">
        <v>0</v>
      </c>
      <c r="O4110">
        <v>-0.77342409999999995</v>
      </c>
      <c r="P4110">
        <v>-0.386407</v>
      </c>
      <c r="Q4110">
        <v>4.9008089999999997E-2</v>
      </c>
      <c r="R4110">
        <v>-0.92102539999999999</v>
      </c>
      <c r="S4110">
        <v>-0.48577879999999901</v>
      </c>
      <c r="T4110">
        <v>-0.18009149999999999</v>
      </c>
      <c r="U4110">
        <v>-3.0741269999999998</v>
      </c>
      <c r="V4110">
        <v>-0.2870627</v>
      </c>
      <c r="W4110">
        <v>5.3635910000000002E-2</v>
      </c>
      <c r="X4110">
        <v>0.95640899999999995</v>
      </c>
      <c r="Y4110">
        <v>-0.50529709999999906</v>
      </c>
      <c r="Z4110">
        <v>3.4764620000000003E-2</v>
      </c>
      <c r="AA4110">
        <v>0.86224500000000004</v>
      </c>
      <c r="AB4110">
        <v>36</v>
      </c>
      <c r="AC4110">
        <v>6.7600000000027194E-2</v>
      </c>
      <c r="AD4110">
        <v>-5.6350999999999998E-2</v>
      </c>
      <c r="AE4110">
        <v>-0.68700000000001105</v>
      </c>
      <c r="AF4110">
        <v>-0.48445886594481002</v>
      </c>
      <c r="AG4110">
        <v>-5.6350999999999998E-2</v>
      </c>
      <c r="AH4110">
        <v>0.48533536487069501</v>
      </c>
      <c r="AI4110">
        <v>94.697694687470999</v>
      </c>
      <c r="AJ4110">
        <v>134.94821615356</v>
      </c>
      <c r="AK4110">
        <v>0.68805976803450897</v>
      </c>
    </row>
    <row r="4111" spans="1:37" x14ac:dyDescent="0.2">
      <c r="A4111" t="str">
        <f>"20200111153516556"</f>
        <v>20200111153516556</v>
      </c>
      <c r="B4111" t="str">
        <f>"1578728116550191"</f>
        <v>1578728116550191</v>
      </c>
      <c r="C4111" t="s">
        <v>37</v>
      </c>
      <c r="D4111">
        <v>4.6365080000000001</v>
      </c>
      <c r="E4111">
        <v>0.41444209999999898</v>
      </c>
      <c r="F4111" t="s">
        <v>40</v>
      </c>
      <c r="G4111">
        <v>-410.78809999999999</v>
      </c>
      <c r="H4111">
        <v>1.0672170000000001</v>
      </c>
      <c r="I4111">
        <v>132.01589999999999</v>
      </c>
      <c r="J4111">
        <v>-410.87310000000002</v>
      </c>
      <c r="K4111">
        <v>1.11982</v>
      </c>
      <c r="L4111">
        <v>132.65780000000001</v>
      </c>
      <c r="M4111">
        <v>-0.62154049999999905</v>
      </c>
      <c r="N4111">
        <v>0</v>
      </c>
      <c r="O4111">
        <v>-0.78321529999999995</v>
      </c>
      <c r="P4111">
        <v>-0.37405939999999999</v>
      </c>
      <c r="Q4111">
        <v>5.0615430000000003E-2</v>
      </c>
      <c r="R4111">
        <v>-0.92602269999999898</v>
      </c>
      <c r="S4111">
        <v>-0.45254519999999998</v>
      </c>
      <c r="T4111">
        <v>-0.1743691</v>
      </c>
      <c r="U4111">
        <v>-3.0766749999999998</v>
      </c>
      <c r="V4111">
        <v>-0.28492049999999902</v>
      </c>
      <c r="W4111">
        <v>5.5385190000000001E-2</v>
      </c>
      <c r="X4111">
        <v>0.95694979999999996</v>
      </c>
      <c r="Y4111">
        <v>-0.50104649999999995</v>
      </c>
      <c r="Z4111">
        <v>3.4513969999999998E-2</v>
      </c>
      <c r="AA4111">
        <v>0.86473180000000005</v>
      </c>
      <c r="AB4111">
        <v>36</v>
      </c>
      <c r="AC4111">
        <v>8.5000000000036297E-2</v>
      </c>
      <c r="AD4111">
        <v>-5.26029999999999E-2</v>
      </c>
      <c r="AE4111">
        <v>-0.64190000000002101</v>
      </c>
      <c r="AF4111">
        <v>-0.46254819001965403</v>
      </c>
      <c r="AG4111">
        <v>-5.26029999999999E-2</v>
      </c>
      <c r="AH4111">
        <v>0.44702342190938699</v>
      </c>
      <c r="AI4111">
        <v>94.675011711531099</v>
      </c>
      <c r="AJ4111">
        <v>135.97784200397899</v>
      </c>
      <c r="AK4111">
        <v>0.64540517772561801</v>
      </c>
    </row>
    <row r="4112" spans="1:37" x14ac:dyDescent="0.2">
      <c r="A4112" t="str">
        <f>"20200111153516577"</f>
        <v>20200111153516577</v>
      </c>
      <c r="B4112" t="str">
        <f>"1578728116569712"</f>
        <v>1578728116569712</v>
      </c>
      <c r="C4112" t="s">
        <v>37</v>
      </c>
      <c r="D4112">
        <v>4.994637</v>
      </c>
      <c r="E4112">
        <v>0.41494929999999902</v>
      </c>
      <c r="F4112" t="s">
        <v>40</v>
      </c>
      <c r="G4112">
        <v>-411.01589999999999</v>
      </c>
      <c r="H4112">
        <v>1.0770040000000001</v>
      </c>
      <c r="I4112">
        <v>131.78380000000001</v>
      </c>
      <c r="J4112">
        <v>-411.08530000000002</v>
      </c>
      <c r="K4112">
        <v>1.1197330000000001</v>
      </c>
      <c r="L4112">
        <v>132.37379999999999</v>
      </c>
      <c r="M4112">
        <v>-0.60961019999999999</v>
      </c>
      <c r="N4112">
        <v>0</v>
      </c>
      <c r="O4112">
        <v>-0.79253699999999905</v>
      </c>
      <c r="P4112">
        <v>-0.36255599999999999</v>
      </c>
      <c r="Q4112">
        <v>5.1943209999999997E-2</v>
      </c>
      <c r="R4112">
        <v>-0.93051319999999904</v>
      </c>
      <c r="S4112">
        <v>-0.49813839999999998</v>
      </c>
      <c r="T4112">
        <v>-0.14926809999999999</v>
      </c>
      <c r="U4112">
        <v>-3.0466000000000002</v>
      </c>
      <c r="V4112">
        <v>-0.28227600000000003</v>
      </c>
      <c r="W4112">
        <v>5.6874870000000001E-2</v>
      </c>
      <c r="X4112">
        <v>0.95764579999999999</v>
      </c>
      <c r="Y4112">
        <v>-0.47384330000000002</v>
      </c>
      <c r="Z4112">
        <v>3.0867909999999998E-2</v>
      </c>
      <c r="AA4112">
        <v>0.88006810000000002</v>
      </c>
      <c r="AB4112">
        <v>36</v>
      </c>
      <c r="AC4112">
        <v>6.9400000000030104E-2</v>
      </c>
      <c r="AD4112">
        <v>-4.2729000000000003E-2</v>
      </c>
      <c r="AE4112">
        <v>-0.58999999999997499</v>
      </c>
      <c r="AF4112">
        <v>-0.41259161926138299</v>
      </c>
      <c r="AG4112">
        <v>-4.2729000000000003E-2</v>
      </c>
      <c r="AH4112">
        <v>0.42315614464578499</v>
      </c>
      <c r="AI4112">
        <v>94.135189896711196</v>
      </c>
      <c r="AJ4112">
        <v>134.275773737149</v>
      </c>
      <c r="AK4112">
        <v>0.59255272717051499</v>
      </c>
    </row>
    <row r="4113" spans="1:37" x14ac:dyDescent="0.2">
      <c r="A4113" t="str">
        <f>"20200111153516600"</f>
        <v>20200111153516600</v>
      </c>
      <c r="B4113" t="str">
        <f>"1578728116590207"</f>
        <v>1578728116590207</v>
      </c>
      <c r="C4113" t="s">
        <v>37</v>
      </c>
      <c r="D4113">
        <v>4.832992</v>
      </c>
      <c r="E4113">
        <v>0.46441499999999902</v>
      </c>
      <c r="F4113" t="s">
        <v>40</v>
      </c>
      <c r="G4113">
        <v>-411.21940000000001</v>
      </c>
      <c r="H4113">
        <v>1.0766039999999999</v>
      </c>
      <c r="I4113">
        <v>131.4941</v>
      </c>
      <c r="J4113">
        <v>-411.29140000000001</v>
      </c>
      <c r="K4113">
        <v>1.1196299999999999</v>
      </c>
      <c r="L4113">
        <v>132.08869999999999</v>
      </c>
      <c r="M4113">
        <v>-0.59770999999999996</v>
      </c>
      <c r="N4113">
        <v>0</v>
      </c>
      <c r="O4113">
        <v>-0.80155050000000005</v>
      </c>
      <c r="P4113">
        <v>-0.3510723</v>
      </c>
      <c r="Q4113">
        <v>5.1595429999999998E-2</v>
      </c>
      <c r="R4113">
        <v>-0.93492559999999902</v>
      </c>
      <c r="S4113">
        <v>-0.4642944</v>
      </c>
      <c r="T4113">
        <v>-0.1495485</v>
      </c>
      <c r="U4113">
        <v>-3.0514679999999998</v>
      </c>
      <c r="V4113">
        <v>-0.27974919999999998</v>
      </c>
      <c r="W4113">
        <v>5.6683490000000003E-2</v>
      </c>
      <c r="X4113">
        <v>0.95839830000000004</v>
      </c>
      <c r="Y4113">
        <v>-0.47044369999999902</v>
      </c>
      <c r="Z4113">
        <v>3.1570960000000002E-2</v>
      </c>
      <c r="AA4113">
        <v>0.88186509999999996</v>
      </c>
      <c r="AB4113">
        <v>36</v>
      </c>
      <c r="AC4113">
        <v>7.2000000000002701E-2</v>
      </c>
      <c r="AD4113">
        <v>-4.3025999999999703E-2</v>
      </c>
      <c r="AE4113">
        <v>-0.59459999999998503</v>
      </c>
      <c r="AF4113">
        <v>-0.41104244626849501</v>
      </c>
      <c r="AG4113">
        <v>-4.3025999999999703E-2</v>
      </c>
      <c r="AH4113">
        <v>0.43139686822061102</v>
      </c>
      <c r="AI4113">
        <v>94.130001063968194</v>
      </c>
      <c r="AJ4113">
        <v>133.61592924591</v>
      </c>
      <c r="AK4113">
        <v>0.59741977471535102</v>
      </c>
    </row>
    <row r="4114" spans="1:37" x14ac:dyDescent="0.2">
      <c r="A4114" t="str">
        <f>"20200111153516622"</f>
        <v>20200111153516622</v>
      </c>
      <c r="B4114" t="str">
        <f>"1578728116620463"</f>
        <v>1578728116620463</v>
      </c>
      <c r="C4114" t="s">
        <v>37</v>
      </c>
      <c r="D4114">
        <v>4.8484550000000004</v>
      </c>
      <c r="E4114">
        <v>0.47150249999999999</v>
      </c>
      <c r="F4114" t="s">
        <v>39</v>
      </c>
      <c r="G4114">
        <v>-416.70229999999998</v>
      </c>
      <c r="H4114" s="1">
        <v>-1.7707729999999999E-6</v>
      </c>
      <c r="I4114">
        <v>112.2732</v>
      </c>
      <c r="J4114">
        <v>-411.4948</v>
      </c>
      <c r="K4114">
        <v>1.119515</v>
      </c>
      <c r="L4114">
        <v>131.79810000000001</v>
      </c>
      <c r="M4114">
        <v>-0.58564939999999999</v>
      </c>
      <c r="N4114">
        <v>0</v>
      </c>
      <c r="O4114">
        <v>-0.81040489999999998</v>
      </c>
      <c r="P4114">
        <v>-0.34000370000000002</v>
      </c>
      <c r="Q4114">
        <v>5.0823069999999998E-2</v>
      </c>
      <c r="R4114">
        <v>-0.93904979999999905</v>
      </c>
      <c r="S4114">
        <v>-0.79696659999999997</v>
      </c>
      <c r="T4114">
        <v>-0.1649119</v>
      </c>
      <c r="U4114">
        <v>-2.91865499999999</v>
      </c>
      <c r="V4114">
        <v>-0.27670709999999998</v>
      </c>
      <c r="W4114">
        <v>5.608697E-2</v>
      </c>
      <c r="X4114">
        <v>0.9593161</v>
      </c>
      <c r="Y4114">
        <v>-0.35174359999999999</v>
      </c>
      <c r="Z4114">
        <v>3.8329509999999997E-2</v>
      </c>
      <c r="AA4114">
        <v>0.93531129999999996</v>
      </c>
      <c r="AB4114">
        <v>36</v>
      </c>
      <c r="AC4114">
        <v>-5.20749999999998</v>
      </c>
      <c r="AD4114">
        <v>-1.119516770773</v>
      </c>
      <c r="AE4114">
        <v>-19.524899999999999</v>
      </c>
      <c r="AF4114">
        <v>-7.1934169958576</v>
      </c>
      <c r="AG4114">
        <v>-1.119516770773</v>
      </c>
      <c r="AH4114">
        <v>18.817528689120699</v>
      </c>
      <c r="AI4114">
        <v>93.180730480447906</v>
      </c>
      <c r="AJ4114">
        <v>110.920462649024</v>
      </c>
      <c r="AK4114">
        <v>20.176668502064899</v>
      </c>
    </row>
    <row r="4115" spans="1:37" x14ac:dyDescent="0.2">
      <c r="A4115" t="str">
        <f>"20200111153516645"</f>
        <v>20200111153516645</v>
      </c>
      <c r="B4115" t="str">
        <f>"1578728116639986"</f>
        <v>1578728116639986</v>
      </c>
      <c r="C4115" t="s">
        <v>37</v>
      </c>
      <c r="D4115">
        <v>4.8768320000000003</v>
      </c>
      <c r="E4115">
        <v>0.47227359999999902</v>
      </c>
      <c r="F4115" t="s">
        <v>39</v>
      </c>
      <c r="G4115">
        <v>-416.20010000000002</v>
      </c>
      <c r="H4115" s="1">
        <v>-2.989118E-6</v>
      </c>
      <c r="I4115">
        <v>115.02930000000001</v>
      </c>
      <c r="J4115">
        <v>-411.69990000000001</v>
      </c>
      <c r="K4115">
        <v>1.11941</v>
      </c>
      <c r="L4115">
        <v>131.49510000000001</v>
      </c>
      <c r="M4115">
        <v>-0.57313570000000003</v>
      </c>
      <c r="N4115">
        <v>0</v>
      </c>
      <c r="O4115">
        <v>-0.81930329999999996</v>
      </c>
      <c r="P4115">
        <v>-0.32883289999999998</v>
      </c>
      <c r="Q4115">
        <v>5.0063900000000001E-2</v>
      </c>
      <c r="R4115">
        <v>-0.94306000000000001</v>
      </c>
      <c r="S4115">
        <v>-0.81643679999999996</v>
      </c>
      <c r="T4115">
        <v>-0.1942509</v>
      </c>
      <c r="U4115">
        <v>-2.9096069999999998</v>
      </c>
      <c r="V4115">
        <v>-0.27333959999999902</v>
      </c>
      <c r="W4115">
        <v>5.5516120000000002E-2</v>
      </c>
      <c r="X4115">
        <v>0.96031420000000001</v>
      </c>
      <c r="Y4115">
        <v>-0.33083240000000003</v>
      </c>
      <c r="Z4115">
        <v>4.6316990000000002E-2</v>
      </c>
      <c r="AA4115">
        <v>0.94255219999999995</v>
      </c>
      <c r="AB4115">
        <v>36</v>
      </c>
      <c r="AC4115">
        <v>-4.5002000000000004</v>
      </c>
      <c r="AD4115">
        <v>-1.119412989118</v>
      </c>
      <c r="AE4115">
        <v>-16.465800000000002</v>
      </c>
      <c r="AF4115">
        <v>-5.7262235617393298</v>
      </c>
      <c r="AG4115">
        <v>-1.119412989118</v>
      </c>
      <c r="AH4115">
        <v>16.002957144870599</v>
      </c>
      <c r="AI4115">
        <v>93.768115956948407</v>
      </c>
      <c r="AJ4115">
        <v>109.68836946596799</v>
      </c>
      <c r="AK4115">
        <v>17.033418890516099</v>
      </c>
    </row>
    <row r="4116" spans="1:37" x14ac:dyDescent="0.2">
      <c r="A4116" t="str">
        <f>"20200111153516667"</f>
        <v>20200111153516667</v>
      </c>
      <c r="B4116" t="str">
        <f>"1578728116660479"</f>
        <v>1578728116660479</v>
      </c>
      <c r="C4116" t="s">
        <v>37</v>
      </c>
      <c r="D4116">
        <v>4.8960059999999999</v>
      </c>
      <c r="E4116">
        <v>0.47285259999999901</v>
      </c>
      <c r="F4116" t="s">
        <v>39</v>
      </c>
      <c r="G4116">
        <v>-416.1635</v>
      </c>
      <c r="H4116" s="1">
        <v>-2.962445E-6</v>
      </c>
      <c r="I4116">
        <v>114.95189999999999</v>
      </c>
      <c r="J4116">
        <v>-411.89</v>
      </c>
      <c r="K4116">
        <v>1.119308</v>
      </c>
      <c r="L4116">
        <v>131.20509999999999</v>
      </c>
      <c r="M4116">
        <v>-0.56121369999999904</v>
      </c>
      <c r="N4116">
        <v>0</v>
      </c>
      <c r="O4116">
        <v>-0.82751569999999997</v>
      </c>
      <c r="P4116">
        <v>-0.3179787</v>
      </c>
      <c r="Q4116">
        <v>4.9922559999999998E-2</v>
      </c>
      <c r="R4116">
        <v>-0.94678240000000002</v>
      </c>
      <c r="S4116">
        <v>-0.78707890000000003</v>
      </c>
      <c r="T4116">
        <v>-0.1973927</v>
      </c>
      <c r="U4116">
        <v>-2.9171450000000001</v>
      </c>
      <c r="V4116">
        <v>-0.27044869999999999</v>
      </c>
      <c r="W4116">
        <v>5.5537080000000003E-2</v>
      </c>
      <c r="X4116">
        <v>0.96113119999999996</v>
      </c>
      <c r="Y4116">
        <v>-0.32663690000000001</v>
      </c>
      <c r="Z4116">
        <v>4.7822360000000001E-2</v>
      </c>
      <c r="AA4116">
        <v>0.94393930000000004</v>
      </c>
      <c r="AB4116">
        <v>36</v>
      </c>
      <c r="AC4116">
        <v>-4.2735000000000101</v>
      </c>
      <c r="AD4116">
        <v>-1.1193109624449999</v>
      </c>
      <c r="AE4116">
        <v>-16.2531999999999</v>
      </c>
      <c r="AF4116">
        <v>-5.5611784510916902</v>
      </c>
      <c r="AG4116">
        <v>-1.1193109624449999</v>
      </c>
      <c r="AH4116">
        <v>15.7801605702108</v>
      </c>
      <c r="AI4116">
        <v>93.827314422353297</v>
      </c>
      <c r="AJ4116">
        <v>109.413264663425</v>
      </c>
      <c r="AK4116">
        <v>16.768811240430001</v>
      </c>
    </row>
    <row r="4117" spans="1:37" x14ac:dyDescent="0.2">
      <c r="A4117" t="str">
        <f>"20200111153516689"</f>
        <v>20200111153516689</v>
      </c>
      <c r="B4117" t="str">
        <f>"1578728116679999"</f>
        <v>1578728116679999</v>
      </c>
      <c r="C4117" t="s">
        <v>37</v>
      </c>
      <c r="D4117">
        <v>4.8935139999999997</v>
      </c>
      <c r="E4117">
        <v>0.47388590000000003</v>
      </c>
      <c r="F4117" t="s">
        <v>39</v>
      </c>
      <c r="G4117">
        <v>-416.07780000000002</v>
      </c>
      <c r="H4117" s="1">
        <v>-3.0166000000000001E-6</v>
      </c>
      <c r="I4117">
        <v>115.0428</v>
      </c>
      <c r="J4117">
        <v>-412.07839999999999</v>
      </c>
      <c r="K4117">
        <v>1.119205</v>
      </c>
      <c r="L4117">
        <v>130.90860000000001</v>
      </c>
      <c r="M4117">
        <v>-0.54907019999999995</v>
      </c>
      <c r="N4117">
        <v>0</v>
      </c>
      <c r="O4117">
        <v>-0.835623</v>
      </c>
      <c r="P4117">
        <v>-0.3067549</v>
      </c>
      <c r="Q4117">
        <v>4.8614669999999999E-2</v>
      </c>
      <c r="R4117">
        <v>-0.95054629999999996</v>
      </c>
      <c r="S4117">
        <v>-0.75784300000000004</v>
      </c>
      <c r="T4117">
        <v>-0.20255629999999999</v>
      </c>
      <c r="U4117">
        <v>-2.92482</v>
      </c>
      <c r="V4117">
        <v>-0.2677583</v>
      </c>
      <c r="W4117">
        <v>5.4382489999999999E-2</v>
      </c>
      <c r="X4117">
        <v>0.96195010000000003</v>
      </c>
      <c r="Y4117">
        <v>-0.32229910000000001</v>
      </c>
      <c r="Z4117">
        <v>4.9834219999999999E-2</v>
      </c>
      <c r="AA4117">
        <v>0.94532530000000004</v>
      </c>
      <c r="AB4117">
        <v>36</v>
      </c>
      <c r="AC4117">
        <v>-3.9994000000000298</v>
      </c>
      <c r="AD4117">
        <v>-1.1192080166</v>
      </c>
      <c r="AE4117">
        <v>-15.8658</v>
      </c>
      <c r="AF4117">
        <v>-5.3451258390864202</v>
      </c>
      <c r="AG4117">
        <v>-1.1192080166</v>
      </c>
      <c r="AH4117">
        <v>15.3837791275588</v>
      </c>
      <c r="AI4117">
        <v>93.931325304098095</v>
      </c>
      <c r="AJ4117">
        <v>109.15988881058399</v>
      </c>
      <c r="AK4117">
        <v>16.324327155065401</v>
      </c>
    </row>
    <row r="4118" spans="1:37" x14ac:dyDescent="0.2">
      <c r="A4118" t="str">
        <f>"20200111153516712"</f>
        <v>20200111153516712</v>
      </c>
      <c r="B4118" t="str">
        <f>"1578728116700496"</f>
        <v>1578728116700496</v>
      </c>
      <c r="C4118" t="s">
        <v>37</v>
      </c>
      <c r="D4118">
        <v>4.8834070000000001</v>
      </c>
      <c r="E4118">
        <v>0.47455760000000002</v>
      </c>
      <c r="F4118" t="s">
        <v>39</v>
      </c>
      <c r="G4118">
        <v>-415.85039999999998</v>
      </c>
      <c r="H4118" s="1">
        <v>-3.372235E-6</v>
      </c>
      <c r="I4118">
        <v>115.7778</v>
      </c>
      <c r="J4118">
        <v>-412.26429999999999</v>
      </c>
      <c r="K4118">
        <v>1.119103</v>
      </c>
      <c r="L4118">
        <v>130.60599999999999</v>
      </c>
      <c r="M4118">
        <v>-0.53672869999999995</v>
      </c>
      <c r="N4118">
        <v>0</v>
      </c>
      <c r="O4118">
        <v>-0.84360360000000001</v>
      </c>
      <c r="P4118">
        <v>-0.2953441</v>
      </c>
      <c r="Q4118">
        <v>4.717097E-2</v>
      </c>
      <c r="R4118">
        <v>-0.95422580000000001</v>
      </c>
      <c r="S4118">
        <v>-0.73077389999999998</v>
      </c>
      <c r="T4118">
        <v>-0.21682750000000001</v>
      </c>
      <c r="U4118">
        <v>-2.9313349999999998</v>
      </c>
      <c r="V4118">
        <v>-0.26511580000000001</v>
      </c>
      <c r="W4118">
        <v>5.3089270000000001E-2</v>
      </c>
      <c r="X4118">
        <v>0.962754</v>
      </c>
      <c r="Y4118">
        <v>-0.31714730000000002</v>
      </c>
      <c r="Z4118">
        <v>5.4160599999999899E-2</v>
      </c>
      <c r="AA4118">
        <v>0.94682849999999996</v>
      </c>
      <c r="AB4118">
        <v>36</v>
      </c>
      <c r="AC4118">
        <v>-3.5860999999999801</v>
      </c>
      <c r="AD4118">
        <v>-1.1191063722350001</v>
      </c>
      <c r="AE4118">
        <v>-14.828199999999899</v>
      </c>
      <c r="AF4118">
        <v>-4.9076941125480804</v>
      </c>
      <c r="AG4118">
        <v>-1.1191063722350001</v>
      </c>
      <c r="AH4118">
        <v>14.3584624166793</v>
      </c>
      <c r="AI4118">
        <v>94.218011524753507</v>
      </c>
      <c r="AJ4118">
        <v>108.870326875082</v>
      </c>
      <c r="AK4118">
        <v>15.2152326155701</v>
      </c>
    </row>
    <row r="4119" spans="1:37" x14ac:dyDescent="0.2">
      <c r="A4119" t="str">
        <f>"20200111153516734"</f>
        <v>20200111153516734</v>
      </c>
      <c r="B4119" t="str">
        <f>"1578728116729775"</f>
        <v>1578728116729775</v>
      </c>
      <c r="C4119" t="s">
        <v>37</v>
      </c>
      <c r="D4119">
        <v>4.8801959999999998</v>
      </c>
      <c r="E4119">
        <v>0.47553400000000001</v>
      </c>
      <c r="F4119" t="s">
        <v>39</v>
      </c>
      <c r="G4119">
        <v>-415.70319999999998</v>
      </c>
      <c r="H4119" s="1">
        <v>-3.5716900000000002E-6</v>
      </c>
      <c r="I4119">
        <v>116.1818</v>
      </c>
      <c r="J4119">
        <v>-412.44450000000001</v>
      </c>
      <c r="K4119">
        <v>1.1190059999999999</v>
      </c>
      <c r="L4119">
        <v>130.303</v>
      </c>
      <c r="M4119">
        <v>-0.52441850000000001</v>
      </c>
      <c r="N4119">
        <v>0</v>
      </c>
      <c r="O4119">
        <v>-0.85131109999999899</v>
      </c>
      <c r="P4119">
        <v>-0.28415400000000002</v>
      </c>
      <c r="Q4119">
        <v>4.6080699999999898E-2</v>
      </c>
      <c r="R4119">
        <v>-0.95767069999999999</v>
      </c>
      <c r="S4119">
        <v>-0.70053100000000001</v>
      </c>
      <c r="T4119">
        <v>-0.22797480000000001</v>
      </c>
      <c r="U4119">
        <v>-2.9383699999999999</v>
      </c>
      <c r="V4119">
        <v>-0.2623742</v>
      </c>
      <c r="W4119">
        <v>5.2150729999999999E-2</v>
      </c>
      <c r="X4119">
        <v>0.96355590000000002</v>
      </c>
      <c r="Y4119">
        <v>-0.31314720000000001</v>
      </c>
      <c r="Z4119">
        <v>5.775317E-2</v>
      </c>
      <c r="AA4119">
        <v>0.94794699999999998</v>
      </c>
      <c r="AB4119">
        <v>36</v>
      </c>
      <c r="AC4119">
        <v>-3.25869999999997</v>
      </c>
      <c r="AD4119">
        <v>-1.1190095716899999</v>
      </c>
      <c r="AE4119">
        <v>-14.1212</v>
      </c>
      <c r="AF4119">
        <v>-4.6043894748652896</v>
      </c>
      <c r="AG4119">
        <v>-1.1190095716899999</v>
      </c>
      <c r="AH4119">
        <v>13.6508193031503</v>
      </c>
      <c r="AI4119">
        <v>94.441491950531699</v>
      </c>
      <c r="AJ4119">
        <v>108.63913064461801</v>
      </c>
      <c r="AK4119">
        <v>14.4498253451398</v>
      </c>
    </row>
    <row r="4120" spans="1:37" x14ac:dyDescent="0.2">
      <c r="A4120" t="str">
        <f>"20200111153516758"</f>
        <v>20200111153516758</v>
      </c>
      <c r="B4120" t="str">
        <f>"1578728116750274"</f>
        <v>1578728116750274</v>
      </c>
      <c r="C4120" t="s">
        <v>37</v>
      </c>
      <c r="D4120">
        <v>4.8711739999999999</v>
      </c>
      <c r="E4120">
        <v>0.47610029999999998</v>
      </c>
      <c r="F4120" t="s">
        <v>39</v>
      </c>
      <c r="G4120">
        <v>-415.58850000000001</v>
      </c>
      <c r="H4120" s="1">
        <v>-3.7484599999999999E-6</v>
      </c>
      <c r="I4120">
        <v>116.54640000000001</v>
      </c>
      <c r="J4120">
        <v>-412.62849999999997</v>
      </c>
      <c r="K4120">
        <v>1.118906</v>
      </c>
      <c r="L4120">
        <v>129.9828</v>
      </c>
      <c r="M4120">
        <v>-0.51145309999999999</v>
      </c>
      <c r="N4120">
        <v>0</v>
      </c>
      <c r="O4120">
        <v>-0.85916360000000003</v>
      </c>
      <c r="P4120">
        <v>-0.27203099999999902</v>
      </c>
      <c r="Q4120">
        <v>4.5895749999999999E-2</v>
      </c>
      <c r="R4120">
        <v>-0.96119339999999998</v>
      </c>
      <c r="S4120">
        <v>-0.67294309999999902</v>
      </c>
      <c r="T4120">
        <v>-0.23951149999999999</v>
      </c>
      <c r="U4120">
        <v>-2.9444430000000001</v>
      </c>
      <c r="V4120">
        <v>-0.25992409999999999</v>
      </c>
      <c r="W4120">
        <v>5.2106920000000001E-2</v>
      </c>
      <c r="X4120">
        <v>0.96422209999999997</v>
      </c>
      <c r="Y4120">
        <v>-0.30766079999999901</v>
      </c>
      <c r="Z4120">
        <v>6.1571260000000003E-2</v>
      </c>
      <c r="AA4120">
        <v>0.94950190000000001</v>
      </c>
      <c r="AB4120">
        <v>36</v>
      </c>
      <c r="AC4120">
        <v>-2.9600000000000302</v>
      </c>
      <c r="AD4120">
        <v>-1.1189097484599999</v>
      </c>
      <c r="AE4120">
        <v>-13.4363999999999</v>
      </c>
      <c r="AF4120">
        <v>-4.3010673933113601</v>
      </c>
      <c r="AG4120">
        <v>-1.1189097484599999</v>
      </c>
      <c r="AH4120">
        <v>12.9738186013529</v>
      </c>
      <c r="AI4120">
        <v>94.679933327533305</v>
      </c>
      <c r="AJ4120">
        <v>108.341339773464</v>
      </c>
      <c r="AK4120">
        <v>13.7139020285189</v>
      </c>
    </row>
    <row r="4121" spans="1:37" x14ac:dyDescent="0.2">
      <c r="A4121" t="str">
        <f>"20200111153516778"</f>
        <v>20200111153516778</v>
      </c>
      <c r="B4121" t="str">
        <f>"1578728116769791"</f>
        <v>1578728116769791</v>
      </c>
      <c r="C4121" t="s">
        <v>37</v>
      </c>
      <c r="D4121">
        <v>4.8822849999999898</v>
      </c>
      <c r="E4121">
        <v>0.476666799999999</v>
      </c>
      <c r="F4121" t="s">
        <v>39</v>
      </c>
      <c r="G4121">
        <v>-415.57209999999998</v>
      </c>
      <c r="H4121" s="1">
        <v>-3.68853099999999E-6</v>
      </c>
      <c r="I4121">
        <v>116.4</v>
      </c>
      <c r="J4121">
        <v>-412.79149999999998</v>
      </c>
      <c r="K4121">
        <v>1.1188209999999901</v>
      </c>
      <c r="L4121">
        <v>129.6892</v>
      </c>
      <c r="M4121">
        <v>-0.49960739999999998</v>
      </c>
      <c r="N4121">
        <v>0</v>
      </c>
      <c r="O4121">
        <v>-0.86610589999999998</v>
      </c>
      <c r="P4121">
        <v>-0.2615092</v>
      </c>
      <c r="Q4121">
        <v>4.5589199999999899E-2</v>
      </c>
      <c r="R4121">
        <v>-0.96412389999999903</v>
      </c>
      <c r="S4121">
        <v>-0.639679</v>
      </c>
      <c r="T4121">
        <v>-0.24315110000000001</v>
      </c>
      <c r="U4121">
        <v>-2.9517060000000002</v>
      </c>
      <c r="V4121">
        <v>-0.25720520000000002</v>
      </c>
      <c r="W4121">
        <v>5.1947390000000003E-2</v>
      </c>
      <c r="X4121">
        <v>0.96495959999999903</v>
      </c>
      <c r="Y4121">
        <v>-0.30531839999999999</v>
      </c>
      <c r="Z4121">
        <v>6.3261049999999999E-2</v>
      </c>
      <c r="AA4121">
        <v>0.95014669999999901</v>
      </c>
      <c r="AB4121">
        <v>36</v>
      </c>
      <c r="AC4121">
        <v>-2.78059999999999</v>
      </c>
      <c r="AD4121">
        <v>-1.11882468853099</v>
      </c>
      <c r="AE4121">
        <v>-13.2891999999999</v>
      </c>
      <c r="AF4121">
        <v>-4.2030819139178002</v>
      </c>
      <c r="AG4121">
        <v>-1.11882468853099</v>
      </c>
      <c r="AH4121">
        <v>12.813680596229901</v>
      </c>
      <c r="AI4121">
        <v>94.742714597185</v>
      </c>
      <c r="AJ4121">
        <v>108.16027640386299</v>
      </c>
      <c r="AK4121">
        <v>13.5317432979261</v>
      </c>
    </row>
    <row r="4122" spans="1:37" x14ac:dyDescent="0.2">
      <c r="A4122" t="str">
        <f>"20200111153516802"</f>
        <v>20200111153516802</v>
      </c>
      <c r="B4122" t="str">
        <f>"1578728116790288"</f>
        <v>1578728116790288</v>
      </c>
      <c r="C4122" t="s">
        <v>37</v>
      </c>
      <c r="D4122">
        <v>4.864306</v>
      </c>
      <c r="E4122">
        <v>0.47718840000000001</v>
      </c>
      <c r="F4122" t="s">
        <v>39</v>
      </c>
      <c r="G4122">
        <v>-415.55880000000002</v>
      </c>
      <c r="H4122" s="1">
        <v>-3.6541319999999999E-6</v>
      </c>
      <c r="I4122">
        <v>116.3143</v>
      </c>
      <c r="J4122">
        <v>-412.96230000000003</v>
      </c>
      <c r="K4122">
        <v>1.118725</v>
      </c>
      <c r="L4122">
        <v>129.37020000000001</v>
      </c>
      <c r="M4122">
        <v>-0.48679289999999997</v>
      </c>
      <c r="N4122">
        <v>0</v>
      </c>
      <c r="O4122">
        <v>-0.87337310000000001</v>
      </c>
      <c r="P4122">
        <v>-0.24933549999999999</v>
      </c>
      <c r="Q4122">
        <v>4.5686619999999997E-2</v>
      </c>
      <c r="R4122">
        <v>-0.96733910000000001</v>
      </c>
      <c r="S4122">
        <v>-0.61187740000000002</v>
      </c>
      <c r="T4122">
        <v>-0.24738539999999901</v>
      </c>
      <c r="U4122">
        <v>-2.9573520000000002</v>
      </c>
      <c r="V4122">
        <v>-0.25513799999999998</v>
      </c>
      <c r="W4122">
        <v>5.2167869999999998E-2</v>
      </c>
      <c r="X4122">
        <v>0.96549629999999997</v>
      </c>
      <c r="Y4122">
        <v>-0.30023329999999998</v>
      </c>
      <c r="Z4122">
        <v>6.5225790000000006E-2</v>
      </c>
      <c r="AA4122">
        <v>0.95163310000000001</v>
      </c>
      <c r="AB4122">
        <v>36</v>
      </c>
      <c r="AC4122">
        <v>-2.59649999999999</v>
      </c>
      <c r="AD4122">
        <v>-1.1187286541320001</v>
      </c>
      <c r="AE4122">
        <v>-13.055899999999999</v>
      </c>
      <c r="AF4122">
        <v>-4.0596481960031499</v>
      </c>
      <c r="AG4122">
        <v>-1.1187286541320001</v>
      </c>
      <c r="AH4122">
        <v>12.579378269293899</v>
      </c>
      <c r="AI4122">
        <v>94.837716929226005</v>
      </c>
      <c r="AJ4122">
        <v>107.88605707834</v>
      </c>
      <c r="AK4122">
        <v>13.2654835915948</v>
      </c>
    </row>
    <row r="4123" spans="1:37" x14ac:dyDescent="0.2">
      <c r="A4123" t="str">
        <f>"20200111153516824"</f>
        <v>20200111153516824</v>
      </c>
      <c r="B4123" t="str">
        <f>"1578728116819568"</f>
        <v>1578728116819568</v>
      </c>
      <c r="C4123" t="s">
        <v>37</v>
      </c>
      <c r="D4123">
        <v>4.8661510000000003</v>
      </c>
      <c r="E4123">
        <v>0.4780451</v>
      </c>
      <c r="F4123" t="s">
        <v>39</v>
      </c>
      <c r="G4123">
        <v>-415.5557</v>
      </c>
      <c r="H4123" s="1">
        <v>-3.55694E-6</v>
      </c>
      <c r="I4123">
        <v>116.0864</v>
      </c>
      <c r="J4123">
        <v>-413.12090000000001</v>
      </c>
      <c r="K4123">
        <v>1.118633</v>
      </c>
      <c r="L4123">
        <v>129.0633</v>
      </c>
      <c r="M4123">
        <v>-0.47450979999999998</v>
      </c>
      <c r="N4123">
        <v>0</v>
      </c>
      <c r="O4123">
        <v>-0.88010730000000004</v>
      </c>
      <c r="P4123">
        <v>-0.23803189999999999</v>
      </c>
      <c r="Q4123">
        <v>4.5454300000000003E-2</v>
      </c>
      <c r="R4123">
        <v>-0.97019330000000004</v>
      </c>
      <c r="S4123">
        <v>-0.57864380000000004</v>
      </c>
      <c r="T4123">
        <v>-0.24961720000000001</v>
      </c>
      <c r="U4123">
        <v>-2.963943</v>
      </c>
      <c r="V4123">
        <v>-0.25285930000000001</v>
      </c>
      <c r="W4123">
        <v>5.2064060000000002E-2</v>
      </c>
      <c r="X4123">
        <v>0.96610119999999899</v>
      </c>
      <c r="Y4123">
        <v>-0.29755999999999999</v>
      </c>
      <c r="Z4123">
        <v>6.6577839999999999E-2</v>
      </c>
      <c r="AA4123">
        <v>0.95237879999999997</v>
      </c>
      <c r="AB4123">
        <v>36</v>
      </c>
      <c r="AC4123">
        <v>-2.4347999999999899</v>
      </c>
      <c r="AD4123">
        <v>-1.1186365569400001</v>
      </c>
      <c r="AE4123">
        <v>-12.976900000000001</v>
      </c>
      <c r="AF4123">
        <v>-3.98666933394927</v>
      </c>
      <c r="AG4123">
        <v>-1.1186365569400001</v>
      </c>
      <c r="AH4123">
        <v>12.4883404871278</v>
      </c>
      <c r="AI4123">
        <v>94.877343218347704</v>
      </c>
      <c r="AJ4123">
        <v>107.70471123938199</v>
      </c>
      <c r="AK4123">
        <v>13.1568814027949</v>
      </c>
    </row>
    <row r="4124" spans="1:37" x14ac:dyDescent="0.2">
      <c r="A4124" t="str">
        <f>"20200111153516846"</f>
        <v>20200111153516846</v>
      </c>
      <c r="B4124" t="str">
        <f>"1578728116840078"</f>
        <v>1578728116840078</v>
      </c>
      <c r="C4124" t="s">
        <v>37</v>
      </c>
      <c r="D4124">
        <v>4.8524529999999997</v>
      </c>
      <c r="E4124">
        <v>0.47849550000000002</v>
      </c>
      <c r="F4124" t="s">
        <v>39</v>
      </c>
      <c r="G4124">
        <v>-415.55790000000002</v>
      </c>
      <c r="H4124" s="1">
        <v>-3.4896609999999998E-6</v>
      </c>
      <c r="I4124">
        <v>115.93049999999999</v>
      </c>
      <c r="J4124">
        <v>-413.28269999999998</v>
      </c>
      <c r="K4124">
        <v>1.1185430000000001</v>
      </c>
      <c r="L4124">
        <v>128.73910000000001</v>
      </c>
      <c r="M4124">
        <v>-0.46156639999999999</v>
      </c>
      <c r="N4124">
        <v>0</v>
      </c>
      <c r="O4124">
        <v>-0.88696439999999999</v>
      </c>
      <c r="P4124">
        <v>-0.226525799999999</v>
      </c>
      <c r="Q4124">
        <v>4.5834659999999999E-2</v>
      </c>
      <c r="R4124">
        <v>-0.97292639999999997</v>
      </c>
      <c r="S4124">
        <v>-0.55090329999999998</v>
      </c>
      <c r="T4124">
        <v>-0.25288060000000001</v>
      </c>
      <c r="U4124">
        <v>-2.968826</v>
      </c>
      <c r="V4124">
        <v>-0.25013760000000002</v>
      </c>
      <c r="W4124">
        <v>5.2590240000000003E-2</v>
      </c>
      <c r="X4124">
        <v>0.966781</v>
      </c>
      <c r="Y4124">
        <v>-0.29247249999999902</v>
      </c>
      <c r="Z4124">
        <v>6.8292069999999996E-2</v>
      </c>
      <c r="AA4124">
        <v>0.95383229999999997</v>
      </c>
      <c r="AB4124">
        <v>36</v>
      </c>
      <c r="AC4124">
        <v>-2.2752000000000399</v>
      </c>
      <c r="AD4124">
        <v>-1.118546489661</v>
      </c>
      <c r="AE4124">
        <v>-12.8086</v>
      </c>
      <c r="AF4124">
        <v>-3.8659058621401399</v>
      </c>
      <c r="AG4124">
        <v>-1.118546489661</v>
      </c>
      <c r="AH4124">
        <v>12.321393023951901</v>
      </c>
      <c r="AI4124">
        <v>94.950460365525998</v>
      </c>
      <c r="AJ4124">
        <v>107.419540518772</v>
      </c>
      <c r="AK4124">
        <v>12.961986747221699</v>
      </c>
    </row>
    <row r="4125" spans="1:37" x14ac:dyDescent="0.2">
      <c r="A4125" t="str">
        <f>"20200111153516868"</f>
        <v>20200111153516868</v>
      </c>
      <c r="B4125" t="str">
        <f>"1578728116859583"</f>
        <v>1578728116859583</v>
      </c>
      <c r="C4125" t="s">
        <v>37</v>
      </c>
      <c r="D4125">
        <v>4.9010109999999996</v>
      </c>
      <c r="E4125">
        <v>0.4790314</v>
      </c>
      <c r="F4125" t="s">
        <v>39</v>
      </c>
      <c r="G4125">
        <v>-415.57420000000002</v>
      </c>
      <c r="H4125" s="1">
        <v>-3.348968E-6</v>
      </c>
      <c r="I4125">
        <v>115.6093</v>
      </c>
      <c r="J4125">
        <v>-413.42989999999998</v>
      </c>
      <c r="K4125">
        <v>1.1184639999999999</v>
      </c>
      <c r="L4125">
        <v>128.43350000000001</v>
      </c>
      <c r="M4125">
        <v>-0.44941229999999999</v>
      </c>
      <c r="N4125">
        <v>0</v>
      </c>
      <c r="O4125">
        <v>-0.89318439999999999</v>
      </c>
      <c r="P4125">
        <v>-0.2147183</v>
      </c>
      <c r="Q4125">
        <v>4.6967549999999997E-2</v>
      </c>
      <c r="R4125">
        <v>-0.97554580000000002</v>
      </c>
      <c r="S4125">
        <v>-0.51913450000000005</v>
      </c>
      <c r="T4125">
        <v>-0.25340819999999997</v>
      </c>
      <c r="U4125">
        <v>-2.974564</v>
      </c>
      <c r="V4125">
        <v>-0.2486536</v>
      </c>
      <c r="W4125">
        <v>5.381731E-2</v>
      </c>
      <c r="X4125">
        <v>0.96709619999999996</v>
      </c>
      <c r="Y4125">
        <v>-0.28961920000000002</v>
      </c>
      <c r="Z4125">
        <v>6.9161730000000005E-2</v>
      </c>
      <c r="AA4125">
        <v>0.95463989999999999</v>
      </c>
      <c r="AB4125">
        <v>36</v>
      </c>
      <c r="AC4125">
        <v>-2.1443000000000398</v>
      </c>
      <c r="AD4125">
        <v>-1.1184673489679999</v>
      </c>
      <c r="AE4125">
        <v>-12.824199999999999</v>
      </c>
      <c r="AF4125">
        <v>-3.8203104989825101</v>
      </c>
      <c r="AG4125">
        <v>-1.1184673489679999</v>
      </c>
      <c r="AH4125">
        <v>12.328378485835501</v>
      </c>
      <c r="AI4125">
        <v>94.952746595182802</v>
      </c>
      <c r="AJ4125">
        <v>107.217131800747</v>
      </c>
      <c r="AK4125">
        <v>12.9551016055203</v>
      </c>
    </row>
    <row r="4126" spans="1:37" x14ac:dyDescent="0.2">
      <c r="A4126" t="str">
        <f>"20200111153516890"</f>
        <v>20200111153516890</v>
      </c>
      <c r="B4126" t="str">
        <f>"1578728116880079"</f>
        <v>1578728116880079</v>
      </c>
      <c r="C4126" t="s">
        <v>37</v>
      </c>
      <c r="D4126">
        <v>4.8871379999999904</v>
      </c>
      <c r="E4126">
        <v>0.47932570000000002</v>
      </c>
      <c r="F4126" t="s">
        <v>39</v>
      </c>
      <c r="G4126">
        <v>-415.596</v>
      </c>
      <c r="H4126" s="1">
        <v>-3.1676669999999999E-6</v>
      </c>
      <c r="I4126">
        <v>115.1957</v>
      </c>
      <c r="J4126">
        <v>-413.57679999999999</v>
      </c>
      <c r="K4126">
        <v>1.1183689999999999</v>
      </c>
      <c r="L4126">
        <v>128.1173</v>
      </c>
      <c r="M4126">
        <v>-0.43687819999999999</v>
      </c>
      <c r="N4126">
        <v>0</v>
      </c>
      <c r="O4126">
        <v>-0.89938180000000001</v>
      </c>
      <c r="P4126">
        <v>-0.20392260000000001</v>
      </c>
      <c r="Q4126">
        <v>4.7586120000000003E-2</v>
      </c>
      <c r="R4126">
        <v>-0.97782959999999997</v>
      </c>
      <c r="S4126">
        <v>-0.48760989999999999</v>
      </c>
      <c r="T4126">
        <v>-0.2517799</v>
      </c>
      <c r="U4126">
        <v>-2.9799959999999999</v>
      </c>
      <c r="V4126">
        <v>-0.24581129999999901</v>
      </c>
      <c r="W4126">
        <v>5.4582459999999999E-2</v>
      </c>
      <c r="X4126">
        <v>0.96777969999999902</v>
      </c>
      <c r="Y4126">
        <v>-0.28634720000000002</v>
      </c>
      <c r="Z4126">
        <v>6.9449399999999994E-2</v>
      </c>
      <c r="AA4126">
        <v>0.95560560000000005</v>
      </c>
      <c r="AB4126">
        <v>36</v>
      </c>
      <c r="AC4126">
        <v>-2.0192000000000099</v>
      </c>
      <c r="AD4126">
        <v>-1.118372167667</v>
      </c>
      <c r="AE4126">
        <v>-12.9215999999999</v>
      </c>
      <c r="AF4126">
        <v>-3.8018114658417201</v>
      </c>
      <c r="AG4126">
        <v>-1.118372167667</v>
      </c>
      <c r="AH4126">
        <v>12.4143789746204</v>
      </c>
      <c r="AI4126">
        <v>94.923199250968693</v>
      </c>
      <c r="AJ4126">
        <v>107.026818736072</v>
      </c>
      <c r="AK4126">
        <v>13.0315514062108</v>
      </c>
    </row>
    <row r="4127" spans="1:37" x14ac:dyDescent="0.2">
      <c r="A4127" t="str">
        <f>"20200111153516913"</f>
        <v>20200111153516913</v>
      </c>
      <c r="B4127" t="str">
        <f>"1578728116899600"</f>
        <v>1578728116899600</v>
      </c>
      <c r="C4127" t="s">
        <v>37</v>
      </c>
      <c r="D4127">
        <v>4.8606249999999998</v>
      </c>
      <c r="E4127">
        <v>0.48844099999999901</v>
      </c>
      <c r="F4127" t="s">
        <v>39</v>
      </c>
      <c r="G4127">
        <v>-415.6157</v>
      </c>
      <c r="H4127" s="1">
        <v>-2.9977059999999999E-6</v>
      </c>
      <c r="I4127">
        <v>114.80759999999999</v>
      </c>
      <c r="J4127">
        <v>-413.72149999999999</v>
      </c>
      <c r="K4127">
        <v>1.118268</v>
      </c>
      <c r="L4127">
        <v>127.7944</v>
      </c>
      <c r="M4127">
        <v>-0.42413429999999902</v>
      </c>
      <c r="N4127">
        <v>0</v>
      </c>
      <c r="O4127">
        <v>-0.90546199999999999</v>
      </c>
      <c r="P4127">
        <v>-0.19299530000000001</v>
      </c>
      <c r="Q4127">
        <v>4.75077E-2</v>
      </c>
      <c r="R4127">
        <v>-0.98004899999999995</v>
      </c>
      <c r="S4127">
        <v>-0.45724490000000001</v>
      </c>
      <c r="T4127">
        <v>-0.25080989999999997</v>
      </c>
      <c r="U4127">
        <v>-2.9848629999999998</v>
      </c>
      <c r="V4127">
        <v>-0.2429297</v>
      </c>
      <c r="W4127">
        <v>5.4652939999999997E-2</v>
      </c>
      <c r="X4127">
        <v>0.96850309999999995</v>
      </c>
      <c r="Y4127">
        <v>-0.28254959999999901</v>
      </c>
      <c r="Z4127">
        <v>6.9909830000000006E-2</v>
      </c>
      <c r="AA4127">
        <v>0.95670180000000005</v>
      </c>
      <c r="AB4127">
        <v>36</v>
      </c>
      <c r="AC4127">
        <v>-1.8942000000000101</v>
      </c>
      <c r="AD4127">
        <v>-1.1182709977059999</v>
      </c>
      <c r="AE4127">
        <v>-12.986800000000001</v>
      </c>
      <c r="AF4127">
        <v>-3.76614994653539</v>
      </c>
      <c r="AG4127">
        <v>-1.1182709977059999</v>
      </c>
      <c r="AH4127">
        <v>12.473451741676699</v>
      </c>
      <c r="AI4127">
        <v>94.905408078337103</v>
      </c>
      <c r="AJ4127">
        <v>106.800811765972</v>
      </c>
      <c r="AK4127">
        <v>13.0775155819458</v>
      </c>
    </row>
    <row r="4128" spans="1:37" x14ac:dyDescent="0.2">
      <c r="A4128" t="str">
        <f>"20200111153516936"</f>
        <v>20200111153516936</v>
      </c>
      <c r="B4128" t="str">
        <f>"1578728116929855"</f>
        <v>1578728116929855</v>
      </c>
      <c r="C4128" t="s">
        <v>37</v>
      </c>
      <c r="D4128">
        <v>4.7672019999999904</v>
      </c>
      <c r="E4128">
        <v>0.48795429999999901</v>
      </c>
      <c r="F4128" t="s">
        <v>39</v>
      </c>
      <c r="G4128">
        <v>-415.71539999999999</v>
      </c>
      <c r="H4128" s="1">
        <v>-3.41574E-6</v>
      </c>
      <c r="I4128">
        <v>115.8233</v>
      </c>
      <c r="J4128">
        <v>-413.86509999999998</v>
      </c>
      <c r="K4128">
        <v>1.1181639999999999</v>
      </c>
      <c r="L4128">
        <v>127.46120000000001</v>
      </c>
      <c r="M4128">
        <v>-0.41105360000000002</v>
      </c>
      <c r="N4128">
        <v>0</v>
      </c>
      <c r="O4128">
        <v>-0.91147489999999998</v>
      </c>
      <c r="P4128">
        <v>-0.18175250000000001</v>
      </c>
      <c r="Q4128">
        <v>4.7343629999999998E-2</v>
      </c>
      <c r="R4128">
        <v>-0.98220370000000001</v>
      </c>
      <c r="S4128">
        <v>-0.4958496</v>
      </c>
      <c r="T4128">
        <v>-0.27808519999999998</v>
      </c>
      <c r="U4128">
        <v>-2.9768829999999999</v>
      </c>
      <c r="V4128">
        <v>-0.24006279999999899</v>
      </c>
      <c r="W4128">
        <v>5.4638649999999997E-2</v>
      </c>
      <c r="X4128">
        <v>0.96921849999999998</v>
      </c>
      <c r="Y4128">
        <v>-0.25626969999999999</v>
      </c>
      <c r="Z4128">
        <v>7.8749810000000003E-2</v>
      </c>
      <c r="AA4128">
        <v>0.96339209999999997</v>
      </c>
      <c r="AB4128">
        <v>36</v>
      </c>
      <c r="AC4128">
        <v>-1.8503000000000001</v>
      </c>
      <c r="AD4128">
        <v>-1.1181674157399999</v>
      </c>
      <c r="AE4128">
        <v>-11.6379</v>
      </c>
      <c r="AF4128">
        <v>-3.0700416506905999</v>
      </c>
      <c r="AG4128">
        <v>-1.1181674157399999</v>
      </c>
      <c r="AH4128">
        <v>11.268182869965701</v>
      </c>
      <c r="AI4128">
        <v>95.468964882675706</v>
      </c>
      <c r="AJ4128">
        <v>105.24045035675699</v>
      </c>
      <c r="AK4128">
        <v>11.732322843221899</v>
      </c>
    </row>
    <row r="4129" spans="1:37" x14ac:dyDescent="0.2">
      <c r="A4129" t="str">
        <f>"20200111153516959"</f>
        <v>20200111153516959</v>
      </c>
      <c r="B4129" t="str">
        <f>"1578728116950351"</f>
        <v>1578728116950351</v>
      </c>
      <c r="C4129" t="s">
        <v>37</v>
      </c>
      <c r="D4129">
        <v>4.8224849999999897</v>
      </c>
      <c r="E4129">
        <v>0.47491889999999998</v>
      </c>
      <c r="F4129" t="s">
        <v>39</v>
      </c>
      <c r="G4129">
        <v>-415.70839999999998</v>
      </c>
      <c r="H4129" s="1">
        <v>-3.2594359999999998E-6</v>
      </c>
      <c r="I4129">
        <v>115.45610000000001</v>
      </c>
      <c r="J4129">
        <v>-413.99849999999998</v>
      </c>
      <c r="K4129">
        <v>1.1180540000000001</v>
      </c>
      <c r="L4129">
        <v>127.13939999999999</v>
      </c>
      <c r="M4129">
        <v>-0.39849600000000002</v>
      </c>
      <c r="N4129">
        <v>0</v>
      </c>
      <c r="O4129">
        <v>-0.91703519999999905</v>
      </c>
      <c r="P4129">
        <v>-0.17158989999999999</v>
      </c>
      <c r="Q4129">
        <v>4.8115560000000002E-2</v>
      </c>
      <c r="R4129">
        <v>-0.98399249999999905</v>
      </c>
      <c r="S4129">
        <v>-0.45803829999999901</v>
      </c>
      <c r="T4129">
        <v>-0.27783920000000001</v>
      </c>
      <c r="U4129">
        <v>-2.9830019999999999</v>
      </c>
      <c r="V4129">
        <v>-0.2367619</v>
      </c>
      <c r="W4129">
        <v>5.5575159999999998E-2</v>
      </c>
      <c r="X4129">
        <v>0.96997690000000003</v>
      </c>
      <c r="Y4129">
        <v>-0.25522449999999902</v>
      </c>
      <c r="Z4129">
        <v>7.9357460000000005E-2</v>
      </c>
      <c r="AA4129">
        <v>0.96361960000000002</v>
      </c>
      <c r="AB4129">
        <v>36</v>
      </c>
      <c r="AC4129">
        <v>-1.7099</v>
      </c>
      <c r="AD4129">
        <v>-1.1180572594360001</v>
      </c>
      <c r="AE4129">
        <v>-11.6832999999999</v>
      </c>
      <c r="AF4129">
        <v>-3.0606503971615799</v>
      </c>
      <c r="AG4129">
        <v>-1.1180572594360001</v>
      </c>
      <c r="AH4129">
        <v>11.2955211445177</v>
      </c>
      <c r="AI4129">
        <v>95.457320002080493</v>
      </c>
      <c r="AJ4129">
        <v>105.16090488893001</v>
      </c>
      <c r="AK4129">
        <v>11.7561231201136</v>
      </c>
    </row>
    <row r="4130" spans="1:37" x14ac:dyDescent="0.2">
      <c r="A4130" t="str">
        <f>"20200111153516980"</f>
        <v>20200111153516980</v>
      </c>
      <c r="B4130" t="str">
        <f>"1578728116969871"</f>
        <v>1578728116969871</v>
      </c>
      <c r="C4130" t="s">
        <v>37</v>
      </c>
      <c r="D4130">
        <v>4.7905720000000001</v>
      </c>
      <c r="E4130">
        <v>0.47442459999999997</v>
      </c>
      <c r="F4130" t="s">
        <v>39</v>
      </c>
      <c r="G4130">
        <v>-416.01479999999998</v>
      </c>
      <c r="H4130" s="1">
        <v>-4.847993E-6</v>
      </c>
      <c r="I4130">
        <v>108.3916</v>
      </c>
      <c r="J4130">
        <v>-414.12209999999999</v>
      </c>
      <c r="K4130">
        <v>1.117937</v>
      </c>
      <c r="L4130">
        <v>126.82859999999999</v>
      </c>
      <c r="M4130">
        <v>-0.38646799999999998</v>
      </c>
      <c r="N4130">
        <v>0</v>
      </c>
      <c r="O4130">
        <v>-0.92216939999999903</v>
      </c>
      <c r="P4130">
        <v>-0.1619466</v>
      </c>
      <c r="Q4130">
        <v>4.8158529999999998E-2</v>
      </c>
      <c r="R4130">
        <v>-0.98562380000000005</v>
      </c>
      <c r="S4130">
        <v>-0.32278440000000003</v>
      </c>
      <c r="T4130">
        <v>-0.17898610000000001</v>
      </c>
      <c r="U4130">
        <v>-3.00126599999999</v>
      </c>
      <c r="V4130">
        <v>-0.23355399999999901</v>
      </c>
      <c r="W4130">
        <v>5.57794E-2</v>
      </c>
      <c r="X4130">
        <v>0.97074259999999901</v>
      </c>
      <c r="Y4130">
        <v>-0.28581459999999997</v>
      </c>
      <c r="Z4130">
        <v>5.1256370000000002E-2</v>
      </c>
      <c r="AA4130">
        <v>0.95691319999999902</v>
      </c>
      <c r="AB4130">
        <v>36</v>
      </c>
      <c r="AC4130">
        <v>-1.8926999999999901</v>
      </c>
      <c r="AD4130">
        <v>-1.1179418479929999</v>
      </c>
      <c r="AE4130">
        <v>-18.437000000000001</v>
      </c>
      <c r="AF4130">
        <v>-5.3610770687839002</v>
      </c>
      <c r="AG4130">
        <v>-1.1179418479929999</v>
      </c>
      <c r="AH4130">
        <v>17.671392777720602</v>
      </c>
      <c r="AI4130">
        <v>93.464357330528898</v>
      </c>
      <c r="AJ4130">
        <v>106.876539973679</v>
      </c>
      <c r="AK4130">
        <v>18.500515236538899</v>
      </c>
    </row>
    <row r="4131" spans="1:37" x14ac:dyDescent="0.2">
      <c r="A4131" t="str">
        <f>"20200111153517003"</f>
        <v>20200111153517003</v>
      </c>
      <c r="B4131" t="str">
        <f>"1578728116990368"</f>
        <v>1578728116990368</v>
      </c>
      <c r="C4131" t="s">
        <v>37</v>
      </c>
      <c r="D4131">
        <v>4.7696449999999997</v>
      </c>
      <c r="E4131">
        <v>0.47498590000000002</v>
      </c>
      <c r="F4131" t="s">
        <v>39</v>
      </c>
      <c r="G4131">
        <v>-416.23340000000002</v>
      </c>
      <c r="H4131" s="1">
        <v>-3.1715789999999999E-6</v>
      </c>
      <c r="I4131">
        <v>104.9272</v>
      </c>
      <c r="J4131">
        <v>-414.24770000000001</v>
      </c>
      <c r="K4131">
        <v>1.117807</v>
      </c>
      <c r="L4131">
        <v>126.5003</v>
      </c>
      <c r="M4131">
        <v>-0.37387490000000001</v>
      </c>
      <c r="N4131">
        <v>0</v>
      </c>
      <c r="O4131">
        <v>-0.92734669999999897</v>
      </c>
      <c r="P4131">
        <v>-0.15219559999999999</v>
      </c>
      <c r="Q4131">
        <v>4.7006720000000002E-2</v>
      </c>
      <c r="R4131">
        <v>-0.9872322</v>
      </c>
      <c r="S4131">
        <v>-0.2895508</v>
      </c>
      <c r="T4131">
        <v>-0.15332190000000001</v>
      </c>
      <c r="U4131">
        <v>-3.003708</v>
      </c>
      <c r="V4131">
        <v>-0.2298917</v>
      </c>
      <c r="W4131">
        <v>5.4808620000000002E-2</v>
      </c>
      <c r="X4131">
        <v>0.97167159999999997</v>
      </c>
      <c r="Y4131">
        <v>-0.2832942</v>
      </c>
      <c r="Z4131">
        <v>4.4321279999999998E-2</v>
      </c>
      <c r="AA4131">
        <v>0.95800830000000003</v>
      </c>
      <c r="AB4131">
        <v>35</v>
      </c>
      <c r="AC4131">
        <v>-1.9857</v>
      </c>
      <c r="AD4131">
        <v>-1.1178101715790001</v>
      </c>
      <c r="AE4131">
        <v>-21.5731</v>
      </c>
      <c r="AF4131">
        <v>-6.2084445520936402</v>
      </c>
      <c r="AG4131">
        <v>-1.1178101715790001</v>
      </c>
      <c r="AH4131">
        <v>20.695598790017499</v>
      </c>
      <c r="AI4131">
        <v>92.9615140490599</v>
      </c>
      <c r="AJ4131">
        <v>106.69864713787</v>
      </c>
      <c r="AK4131">
        <v>21.635667140476201</v>
      </c>
    </row>
    <row r="4132" spans="1:37" x14ac:dyDescent="0.2">
      <c r="A4132" t="str">
        <f>"20200111153517025"</f>
        <v>20200111153517025</v>
      </c>
      <c r="B4132" t="str">
        <f>"1578728117019647"</f>
        <v>1578728117019647</v>
      </c>
      <c r="C4132" t="s">
        <v>37</v>
      </c>
      <c r="D4132">
        <v>4.7552500000000002</v>
      </c>
      <c r="E4132">
        <v>0.47556080000000001</v>
      </c>
      <c r="F4132" t="s">
        <v>39</v>
      </c>
      <c r="G4132">
        <v>-416.24439999999998</v>
      </c>
      <c r="H4132" s="1">
        <v>-2.6273400000000001E-6</v>
      </c>
      <c r="I4132">
        <v>103.78</v>
      </c>
      <c r="J4132">
        <v>-414.36919999999998</v>
      </c>
      <c r="K4132">
        <v>1.1176680000000001</v>
      </c>
      <c r="L4132">
        <v>126.16930000000001</v>
      </c>
      <c r="M4132">
        <v>-0.3612879</v>
      </c>
      <c r="N4132">
        <v>0</v>
      </c>
      <c r="O4132">
        <v>-0.93232320000000002</v>
      </c>
      <c r="P4132">
        <v>-0.14315459999999999</v>
      </c>
      <c r="Q4132">
        <v>4.621985E-2</v>
      </c>
      <c r="R4132">
        <v>-0.98862050000000001</v>
      </c>
      <c r="S4132">
        <v>-0.26409909999999998</v>
      </c>
      <c r="T4132">
        <v>-0.147847799999999</v>
      </c>
      <c r="U4132">
        <v>-3.005112</v>
      </c>
      <c r="V4132">
        <v>-0.22559570000000001</v>
      </c>
      <c r="W4132">
        <v>5.4222510000000002E-2</v>
      </c>
      <c r="X4132">
        <v>0.97271090000000004</v>
      </c>
      <c r="Y4132">
        <v>-0.27839209999999998</v>
      </c>
      <c r="Z4132">
        <v>4.3134409999999998E-2</v>
      </c>
      <c r="AA4132">
        <v>0.95949850000000003</v>
      </c>
      <c r="AB4132">
        <v>35</v>
      </c>
      <c r="AC4132">
        <v>-1.8752</v>
      </c>
      <c r="AD4132">
        <v>-1.1176706273399999</v>
      </c>
      <c r="AE4132">
        <v>-22.389299999999999</v>
      </c>
      <c r="AF4132">
        <v>-6.3258119563324096</v>
      </c>
      <c r="AG4132">
        <v>-1.1176706273399999</v>
      </c>
      <c r="AH4132">
        <v>21.500979063723801</v>
      </c>
      <c r="AI4132">
        <v>92.854905886092595</v>
      </c>
      <c r="AJ4132">
        <v>106.39443219557199</v>
      </c>
      <c r="AK4132">
        <v>22.440079884812899</v>
      </c>
    </row>
    <row r="4133" spans="1:37" x14ac:dyDescent="0.2">
      <c r="A4133" t="str">
        <f>"20200111153517047"</f>
        <v>20200111153517047</v>
      </c>
      <c r="B4133" t="str">
        <f>"1578728117040146"</f>
        <v>1578728117040146</v>
      </c>
      <c r="C4133" t="s">
        <v>37</v>
      </c>
      <c r="D4133">
        <v>4.7656970000000003</v>
      </c>
      <c r="E4133">
        <v>0.47603709999999999</v>
      </c>
      <c r="F4133" t="s">
        <v>39</v>
      </c>
      <c r="G4133">
        <v>-416.20639999999997</v>
      </c>
      <c r="H4133" s="1">
        <v>-2.38395499999999E-6</v>
      </c>
      <c r="I4133">
        <v>103.2239</v>
      </c>
      <c r="J4133">
        <v>-414.48439999999999</v>
      </c>
      <c r="K4133">
        <v>1.117532</v>
      </c>
      <c r="L4133">
        <v>125.84229999999999</v>
      </c>
      <c r="M4133">
        <v>-0.3489719</v>
      </c>
      <c r="N4133">
        <v>0</v>
      </c>
      <c r="O4133">
        <v>-0.93700329999999998</v>
      </c>
      <c r="P4133">
        <v>-0.134178399999999</v>
      </c>
      <c r="Q4133">
        <v>4.568883E-2</v>
      </c>
      <c r="R4133">
        <v>-0.98990339999999999</v>
      </c>
      <c r="S4133">
        <v>-0.24072270000000001</v>
      </c>
      <c r="T4133">
        <v>-0.14644779999999999</v>
      </c>
      <c r="U4133">
        <v>-3.0065309999999998</v>
      </c>
      <c r="V4133">
        <v>-0.22157279999999999</v>
      </c>
      <c r="W4133">
        <v>5.388159E-2</v>
      </c>
      <c r="X4133">
        <v>0.97365409999999997</v>
      </c>
      <c r="Y4133">
        <v>-0.27317950000000002</v>
      </c>
      <c r="Z4133">
        <v>4.3092999999999999E-2</v>
      </c>
      <c r="AA4133">
        <v>0.9609974</v>
      </c>
      <c r="AB4133">
        <v>35</v>
      </c>
      <c r="AC4133">
        <v>-1.72199999999998</v>
      </c>
      <c r="AD4133">
        <v>-1.117534383955</v>
      </c>
      <c r="AE4133">
        <v>-22.618399999999902</v>
      </c>
      <c r="AF4133">
        <v>-6.26522446641766</v>
      </c>
      <c r="AG4133">
        <v>-1.117534383955</v>
      </c>
      <c r="AH4133">
        <v>21.744322544247598</v>
      </c>
      <c r="AI4133">
        <v>92.827266579353804</v>
      </c>
      <c r="AJ4133">
        <v>106.073358093444</v>
      </c>
      <c r="AK4133">
        <v>22.6565108439538</v>
      </c>
    </row>
    <row r="4134" spans="1:37" x14ac:dyDescent="0.2">
      <c r="A4134" t="str">
        <f>"20200111153517069"</f>
        <v>20200111153517069</v>
      </c>
      <c r="B4134" t="str">
        <f>"1578728117059664"</f>
        <v>1578728117059664</v>
      </c>
      <c r="C4134" t="s">
        <v>37</v>
      </c>
      <c r="D4134">
        <v>4.7875540000000001</v>
      </c>
      <c r="E4134">
        <v>0.47651099999999902</v>
      </c>
      <c r="F4134" t="s">
        <v>39</v>
      </c>
      <c r="G4134">
        <v>-416.09879999999998</v>
      </c>
      <c r="H4134" s="1">
        <v>-2.4953460000000001E-6</v>
      </c>
      <c r="I4134">
        <v>103.43940000000001</v>
      </c>
      <c r="J4134">
        <v>-414.59269999999998</v>
      </c>
      <c r="K4134">
        <v>1.1173949999999999</v>
      </c>
      <c r="L4134">
        <v>125.52200000000001</v>
      </c>
      <c r="M4134">
        <v>-0.33704650000000003</v>
      </c>
      <c r="N4134">
        <v>0</v>
      </c>
      <c r="O4134">
        <v>-0.94135930000000001</v>
      </c>
      <c r="P4134">
        <v>-0.1255492</v>
      </c>
      <c r="Q4134">
        <v>4.6457909999999998E-2</v>
      </c>
      <c r="R4134">
        <v>-0.99099919999999997</v>
      </c>
      <c r="S4134">
        <v>-0.216766399999999</v>
      </c>
      <c r="T4134">
        <v>-0.15005639999999901</v>
      </c>
      <c r="U4134">
        <v>-3.0081329999999999</v>
      </c>
      <c r="V4134">
        <v>-0.21768119999999999</v>
      </c>
      <c r="W4134">
        <v>5.4835290000000002E-2</v>
      </c>
      <c r="X4134">
        <v>0.97447830000000002</v>
      </c>
      <c r="Y4134">
        <v>-0.26861599999999902</v>
      </c>
      <c r="Z4134">
        <v>4.4494850000000002E-2</v>
      </c>
      <c r="AA4134">
        <v>0.96221909999999899</v>
      </c>
      <c r="AB4134">
        <v>35</v>
      </c>
      <c r="AC4134">
        <v>-1.5061</v>
      </c>
      <c r="AD4134">
        <v>-1.117397495346</v>
      </c>
      <c r="AE4134">
        <v>-22.082599999999999</v>
      </c>
      <c r="AF4134">
        <v>-6.0104936798854203</v>
      </c>
      <c r="AG4134">
        <v>-1.117397495346</v>
      </c>
      <c r="AH4134">
        <v>21.243725787986001</v>
      </c>
      <c r="AI4134">
        <v>92.897392825090705</v>
      </c>
      <c r="AJ4134">
        <v>105.797815528226</v>
      </c>
      <c r="AK4134">
        <v>22.105892806979998</v>
      </c>
    </row>
    <row r="4135" spans="1:37" x14ac:dyDescent="0.2">
      <c r="A4135" t="str">
        <f>"20200111153517092"</f>
        <v>20200111153517092</v>
      </c>
      <c r="B4135" t="str">
        <f>"1578728117080161"</f>
        <v>1578728117080161</v>
      </c>
      <c r="C4135" t="s">
        <v>37</v>
      </c>
      <c r="D4135">
        <v>4.7821449999999999</v>
      </c>
      <c r="E4135">
        <v>0.47701159999999998</v>
      </c>
      <c r="F4135" t="s">
        <v>39</v>
      </c>
      <c r="G4135">
        <v>-416.07119999999998</v>
      </c>
      <c r="H4135" s="1">
        <v>-2.178042E-6</v>
      </c>
      <c r="I4135">
        <v>102.59399999999999</v>
      </c>
      <c r="J4135">
        <v>-414.7022</v>
      </c>
      <c r="K4135">
        <v>1.117238</v>
      </c>
      <c r="L4135">
        <v>125.18429999999999</v>
      </c>
      <c r="M4135">
        <v>-0.32463179999999903</v>
      </c>
      <c r="N4135">
        <v>0</v>
      </c>
      <c r="O4135">
        <v>-0.94571269999999996</v>
      </c>
      <c r="P4135">
        <v>-0.1163476</v>
      </c>
      <c r="Q4135">
        <v>4.7541550000000002E-2</v>
      </c>
      <c r="R4135">
        <v>-0.99207000000000001</v>
      </c>
      <c r="S4135">
        <v>-0.19406129999999999</v>
      </c>
      <c r="T4135">
        <v>-0.14667060000000001</v>
      </c>
      <c r="U4135">
        <v>-3.0095519999999998</v>
      </c>
      <c r="V4135">
        <v>-0.21389269999999999</v>
      </c>
      <c r="W4135">
        <v>5.610267E-2</v>
      </c>
      <c r="X4135">
        <v>0.97524480000000002</v>
      </c>
      <c r="Y4135">
        <v>-0.26319429999999999</v>
      </c>
      <c r="Z4135">
        <v>4.3834100000000001E-2</v>
      </c>
      <c r="AA4135">
        <v>0.96374649999999995</v>
      </c>
      <c r="AB4135">
        <v>35</v>
      </c>
      <c r="AC4135">
        <v>-1.36899999999997</v>
      </c>
      <c r="AD4135">
        <v>-1.117240178042</v>
      </c>
      <c r="AE4135">
        <v>-22.590299999999999</v>
      </c>
      <c r="AF4135">
        <v>-6.0248962185866599</v>
      </c>
      <c r="AG4135">
        <v>-1.117240178042</v>
      </c>
      <c r="AH4135">
        <v>21.7579660276715</v>
      </c>
      <c r="AI4135">
        <v>92.833049205863205</v>
      </c>
      <c r="AJ4135">
        <v>105.47769242845401</v>
      </c>
      <c r="AK4135">
        <v>22.6043510351763</v>
      </c>
    </row>
    <row r="4136" spans="1:37" x14ac:dyDescent="0.2">
      <c r="A4136" t="str">
        <f>"20200111153517115"</f>
        <v>20200111153517115</v>
      </c>
      <c r="B4136" t="str">
        <f>"1578728117099679"</f>
        <v>1578728117099679</v>
      </c>
      <c r="C4136" t="s">
        <v>37</v>
      </c>
      <c r="D4136">
        <v>4.8092249999999996</v>
      </c>
      <c r="E4136">
        <v>0.47760429999999998</v>
      </c>
      <c r="F4136" t="s">
        <v>39</v>
      </c>
      <c r="G4136">
        <v>-416.03949999999998</v>
      </c>
      <c r="H4136" s="1">
        <v>-1.7718919999999999E-6</v>
      </c>
      <c r="I4136">
        <v>101.51439999999999</v>
      </c>
      <c r="J4136">
        <v>-414.80779999999999</v>
      </c>
      <c r="K4136">
        <v>1.117059</v>
      </c>
      <c r="L4136">
        <v>124.8437</v>
      </c>
      <c r="M4136">
        <v>-0.31229759999999901</v>
      </c>
      <c r="N4136">
        <v>0</v>
      </c>
      <c r="O4136">
        <v>-0.94985789999999903</v>
      </c>
      <c r="P4136">
        <v>-0.1078114</v>
      </c>
      <c r="Q4136">
        <v>4.8115930000000001E-2</v>
      </c>
      <c r="R4136">
        <v>-0.99300650000000001</v>
      </c>
      <c r="S4136">
        <v>-0.17010500000000001</v>
      </c>
      <c r="T4136">
        <v>-0.14211409999999999</v>
      </c>
      <c r="U4136">
        <v>-3.010834</v>
      </c>
      <c r="V4136">
        <v>-0.20956729999999901</v>
      </c>
      <c r="W4136">
        <v>5.688058E-2</v>
      </c>
      <c r="X4136">
        <v>0.97613839999999996</v>
      </c>
      <c r="Y4136">
        <v>-0.25830039999999999</v>
      </c>
      <c r="Z4136">
        <v>4.2788359999999998E-2</v>
      </c>
      <c r="AA4136">
        <v>0.96511659999999899</v>
      </c>
      <c r="AB4136">
        <v>35</v>
      </c>
      <c r="AC4136">
        <v>-1.23169999999998</v>
      </c>
      <c r="AD4136">
        <v>-1.117060771892</v>
      </c>
      <c r="AE4136">
        <v>-23.3293</v>
      </c>
      <c r="AF4136">
        <v>-6.1025265267617304</v>
      </c>
      <c r="AG4136">
        <v>-1.117060771892</v>
      </c>
      <c r="AH4136">
        <v>22.495452355566499</v>
      </c>
      <c r="AI4136">
        <v>92.743803002612097</v>
      </c>
      <c r="AJ4136">
        <v>105.177814167802</v>
      </c>
      <c r="AK4136">
        <v>23.335252976119499</v>
      </c>
    </row>
    <row r="4137" spans="1:37" x14ac:dyDescent="0.2">
      <c r="A4137" t="str">
        <f>"20200111153517137"</f>
        <v>20200111153517137</v>
      </c>
      <c r="B4137" t="str">
        <f>"1578728117129935"</f>
        <v>1578728117129935</v>
      </c>
      <c r="C4137" t="s">
        <v>37</v>
      </c>
      <c r="D4137">
        <v>4.7766339999999996</v>
      </c>
      <c r="E4137">
        <v>0.47838339999999901</v>
      </c>
      <c r="F4137" t="s">
        <v>39</v>
      </c>
      <c r="G4137">
        <v>-415.9889</v>
      </c>
      <c r="H4137" s="1">
        <v>-1.582949E-6</v>
      </c>
      <c r="I4137">
        <v>100.98739999999999</v>
      </c>
      <c r="J4137">
        <v>-414.9067</v>
      </c>
      <c r="K4137">
        <v>1.1168689999999999</v>
      </c>
      <c r="L4137">
        <v>124.51</v>
      </c>
      <c r="M4137">
        <v>-0.3004173</v>
      </c>
      <c r="N4137">
        <v>0</v>
      </c>
      <c r="O4137">
        <v>-0.95368259999999905</v>
      </c>
      <c r="P4137">
        <v>-9.9440580000000001E-2</v>
      </c>
      <c r="Q4137">
        <v>4.797626E-2</v>
      </c>
      <c r="R4137">
        <v>-0.99388639999999995</v>
      </c>
      <c r="S4137">
        <v>-0.14910889999999999</v>
      </c>
      <c r="T4137">
        <v>-0.1410257</v>
      </c>
      <c r="U4137">
        <v>-3.0117950000000002</v>
      </c>
      <c r="V4137">
        <v>-0.20557410000000001</v>
      </c>
      <c r="W4137">
        <v>5.693438E-2</v>
      </c>
      <c r="X4137">
        <v>0.97698399999999996</v>
      </c>
      <c r="Y4137">
        <v>-0.25296449999999998</v>
      </c>
      <c r="Z4137">
        <v>4.2754340000000002E-2</v>
      </c>
      <c r="AA4137">
        <v>0.96653040000000001</v>
      </c>
      <c r="AB4137">
        <v>35</v>
      </c>
      <c r="AC4137">
        <v>-1.0822000000000001</v>
      </c>
      <c r="AD4137">
        <v>-1.116870582949</v>
      </c>
      <c r="AE4137">
        <v>-23.522600000000001</v>
      </c>
      <c r="AF4137">
        <v>-6.0216949943639699</v>
      </c>
      <c r="AG4137">
        <v>-1.116870582949</v>
      </c>
      <c r="AH4137">
        <v>22.709835989950399</v>
      </c>
      <c r="AI4137">
        <v>92.721636532904796</v>
      </c>
      <c r="AJ4137">
        <v>104.850686160612</v>
      </c>
      <c r="AK4137">
        <v>23.5211577349979</v>
      </c>
    </row>
    <row r="4138" spans="1:37" x14ac:dyDescent="0.2">
      <c r="A4138" t="str">
        <f>"20200111153517160"</f>
        <v>20200111153517160</v>
      </c>
      <c r="B4138" t="str">
        <f>"1578728117150431"</f>
        <v>1578728117150431</v>
      </c>
      <c r="C4138" t="s">
        <v>37</v>
      </c>
      <c r="D4138">
        <v>4.8406589999999996</v>
      </c>
      <c r="E4138">
        <v>0.4788501</v>
      </c>
      <c r="F4138" t="s">
        <v>39</v>
      </c>
      <c r="G4138">
        <v>-415.93259999999998</v>
      </c>
      <c r="H4138" s="1">
        <v>-1.5133289999999999E-6</v>
      </c>
      <c r="I4138">
        <v>100.7671</v>
      </c>
      <c r="J4138">
        <v>-415.00119999999998</v>
      </c>
      <c r="K4138">
        <v>1.11666</v>
      </c>
      <c r="L4138">
        <v>124.17610000000001</v>
      </c>
      <c r="M4138">
        <v>-0.28875889999999999</v>
      </c>
      <c r="N4138">
        <v>0</v>
      </c>
      <c r="O4138">
        <v>-0.95727770000000001</v>
      </c>
      <c r="P4138">
        <v>-9.177987E-2</v>
      </c>
      <c r="Q4138">
        <v>4.7713369999999998E-2</v>
      </c>
      <c r="R4138">
        <v>-0.99463570000000001</v>
      </c>
      <c r="S4138">
        <v>-0.13015750000000001</v>
      </c>
      <c r="T4138">
        <v>-0.14169660000000001</v>
      </c>
      <c r="U4138">
        <v>-3.0122529999999998</v>
      </c>
      <c r="V4138">
        <v>-0.20114170000000001</v>
      </c>
      <c r="W4138">
        <v>5.6881519999999998E-2</v>
      </c>
      <c r="X4138">
        <v>0.97790929999999998</v>
      </c>
      <c r="Y4138">
        <v>-0.24723149999999999</v>
      </c>
      <c r="Z4138">
        <v>4.3243080000000003E-2</v>
      </c>
      <c r="AA4138">
        <v>0.96799109999999999</v>
      </c>
      <c r="AB4138">
        <v>35</v>
      </c>
      <c r="AC4138">
        <v>-0.93139999999999601</v>
      </c>
      <c r="AD4138">
        <v>-1.1166615133290001</v>
      </c>
      <c r="AE4138">
        <v>-23.408999999999999</v>
      </c>
      <c r="AF4138">
        <v>-5.8553433877901204</v>
      </c>
      <c r="AG4138">
        <v>-1.1166615133290001</v>
      </c>
      <c r="AH4138">
        <v>22.6291481937042</v>
      </c>
      <c r="AI4138">
        <v>92.735100704520804</v>
      </c>
      <c r="AJ4138">
        <v>104.50723272884601</v>
      </c>
      <c r="AK4138">
        <v>23.401075340610198</v>
      </c>
    </row>
    <row r="4139" spans="1:37" x14ac:dyDescent="0.2">
      <c r="A4139" t="str">
        <f>"20200111153517181"</f>
        <v>20200111153517181</v>
      </c>
      <c r="B4139" t="str">
        <f>"1578728117169951"</f>
        <v>1578728117169951</v>
      </c>
      <c r="C4139" t="s">
        <v>37</v>
      </c>
      <c r="D4139">
        <v>4.8491010000000001</v>
      </c>
      <c r="E4139">
        <v>0.47900979999999999</v>
      </c>
      <c r="F4139" t="s">
        <v>39</v>
      </c>
      <c r="G4139">
        <v>-415.86770000000001</v>
      </c>
      <c r="H4139" s="1">
        <v>-1.475543E-6</v>
      </c>
      <c r="I4139">
        <v>100.6237</v>
      </c>
      <c r="J4139">
        <v>-415.08780000000002</v>
      </c>
      <c r="K4139">
        <v>1.1164350000000001</v>
      </c>
      <c r="L4139">
        <v>123.85590000000001</v>
      </c>
      <c r="M4139">
        <v>-0.27782220000000002</v>
      </c>
      <c r="N4139">
        <v>0</v>
      </c>
      <c r="O4139">
        <v>-0.96050979999999997</v>
      </c>
      <c r="P4139">
        <v>-8.424856E-2</v>
      </c>
      <c r="Q4139">
        <v>4.7718139999999999E-2</v>
      </c>
      <c r="R4139">
        <v>-0.99530200000000002</v>
      </c>
      <c r="S4139">
        <v>-0.1108398</v>
      </c>
      <c r="T4139">
        <v>-0.14284240000000001</v>
      </c>
      <c r="U4139">
        <v>-3.0128020000000002</v>
      </c>
      <c r="V4139">
        <v>-0.19735449999999999</v>
      </c>
      <c r="W4139">
        <v>5.707338E-2</v>
      </c>
      <c r="X4139">
        <v>0.97866939999999902</v>
      </c>
      <c r="Y4139">
        <v>-0.24238209999999999</v>
      </c>
      <c r="Z4139">
        <v>4.384644E-2</v>
      </c>
      <c r="AA4139">
        <v>0.96918959999999998</v>
      </c>
      <c r="AB4139">
        <v>35</v>
      </c>
      <c r="AC4139">
        <v>-0.77989999999999704</v>
      </c>
      <c r="AD4139">
        <v>-1.1164364755430001</v>
      </c>
      <c r="AE4139">
        <v>-23.232199999999999</v>
      </c>
      <c r="AF4139">
        <v>-5.6928600183928397</v>
      </c>
      <c r="AG4139">
        <v>-1.1164364755430001</v>
      </c>
      <c r="AH4139">
        <v>22.482225067021901</v>
      </c>
      <c r="AI4139">
        <v>92.756050994484596</v>
      </c>
      <c r="AJ4139">
        <v>104.20953821451501</v>
      </c>
      <c r="AK4139">
        <v>23.2186461611604</v>
      </c>
    </row>
    <row r="4140" spans="1:37" x14ac:dyDescent="0.2">
      <c r="A4140" t="str">
        <f>"20200111153517205"</f>
        <v>20200111153517205</v>
      </c>
      <c r="B4140" t="str">
        <f>"1578728117200207"</f>
        <v>1578728117200207</v>
      </c>
      <c r="C4140" t="s">
        <v>37</v>
      </c>
      <c r="D4140">
        <v>4.779871</v>
      </c>
      <c r="E4140">
        <v>0.48525089999999999</v>
      </c>
      <c r="F4140" t="s">
        <v>39</v>
      </c>
      <c r="G4140">
        <v>-415.79469999999998</v>
      </c>
      <c r="H4140" s="1">
        <v>-1.2767279999999999E-6</v>
      </c>
      <c r="I4140">
        <v>100.05540000000001</v>
      </c>
      <c r="J4140">
        <v>-415.17689999999999</v>
      </c>
      <c r="K4140">
        <v>1.1161939999999999</v>
      </c>
      <c r="L4140">
        <v>123.5102</v>
      </c>
      <c r="M4140">
        <v>-0.26625409999999999</v>
      </c>
      <c r="N4140">
        <v>0</v>
      </c>
      <c r="O4140">
        <v>-0.9637812</v>
      </c>
      <c r="P4140">
        <v>-7.6268009999999997E-2</v>
      </c>
      <c r="Q4140">
        <v>4.7158140000000001E-2</v>
      </c>
      <c r="R4140">
        <v>-0.99597169999999902</v>
      </c>
      <c r="S4140">
        <v>-8.950806E-2</v>
      </c>
      <c r="T4140">
        <v>-0.14135159999999999</v>
      </c>
      <c r="U4140">
        <v>-3.0133669999999899</v>
      </c>
      <c r="V4140">
        <v>-0.19338469999999999</v>
      </c>
      <c r="W4140">
        <v>5.6706340000000001E-2</v>
      </c>
      <c r="X4140">
        <v>0.97948289999999905</v>
      </c>
      <c r="Y4140">
        <v>-0.23757449999999999</v>
      </c>
      <c r="Z4140">
        <v>4.3643010000000003E-2</v>
      </c>
      <c r="AA4140">
        <v>0.97038840000000004</v>
      </c>
      <c r="AB4140">
        <v>35</v>
      </c>
      <c r="AC4140">
        <v>-0.61779999999998803</v>
      </c>
      <c r="AD4140">
        <v>-1.1161952767279999</v>
      </c>
      <c r="AE4140">
        <v>-23.454799999999899</v>
      </c>
      <c r="AF4140">
        <v>-5.6374169212784304</v>
      </c>
      <c r="AG4140">
        <v>-1.1161952767279999</v>
      </c>
      <c r="AH4140">
        <v>22.7210365093052</v>
      </c>
      <c r="AI4140">
        <v>92.729816510518901</v>
      </c>
      <c r="AJ4140">
        <v>103.934518011474</v>
      </c>
      <c r="AK4140">
        <v>23.436549692676302</v>
      </c>
    </row>
    <row r="4141" spans="1:37" x14ac:dyDescent="0.2">
      <c r="A4141" t="str">
        <f>"20200111153517227"</f>
        <v>20200111153517227</v>
      </c>
      <c r="B4141" t="str">
        <f>"1578728117219727"</f>
        <v>1578728117219727</v>
      </c>
      <c r="C4141" t="s">
        <v>37</v>
      </c>
      <c r="D4141">
        <v>4.7845909999999998</v>
      </c>
      <c r="E4141">
        <v>0.48524909999999999</v>
      </c>
      <c r="F4141" t="s">
        <v>39</v>
      </c>
      <c r="G4141">
        <v>-416.21550000000002</v>
      </c>
      <c r="H4141" s="1">
        <v>-3.4889530000000002E-6</v>
      </c>
      <c r="I4141">
        <v>96.200760000000002</v>
      </c>
      <c r="J4141">
        <v>-415.26150000000001</v>
      </c>
      <c r="K4141">
        <v>1.1159600000000001</v>
      </c>
      <c r="L4141">
        <v>123.1661</v>
      </c>
      <c r="M4141">
        <v>-0.25499579999999999</v>
      </c>
      <c r="N4141">
        <v>0</v>
      </c>
      <c r="O4141">
        <v>-0.96682169999999901</v>
      </c>
      <c r="P4141">
        <v>-6.7754229999999999E-2</v>
      </c>
      <c r="Q4141">
        <v>4.7313130000000002E-2</v>
      </c>
      <c r="R4141">
        <v>-0.99657980000000002</v>
      </c>
      <c r="S4141">
        <v>-0.114440899999999</v>
      </c>
      <c r="T4141">
        <v>-0.1229923</v>
      </c>
      <c r="U4141">
        <v>-3.0091860000000001</v>
      </c>
      <c r="V4141">
        <v>-0.19029589999999999</v>
      </c>
      <c r="W4141">
        <v>5.7024829999999999E-2</v>
      </c>
      <c r="X4141">
        <v>0.98006919999999897</v>
      </c>
      <c r="Y4141">
        <v>-0.21812110000000001</v>
      </c>
      <c r="Z4141">
        <v>3.831114E-2</v>
      </c>
      <c r="AA4141">
        <v>0.97516939999999996</v>
      </c>
      <c r="AB4141">
        <v>35</v>
      </c>
      <c r="AC4141">
        <v>-0.95400000000000695</v>
      </c>
      <c r="AD4141">
        <v>-1.1159634889529999</v>
      </c>
      <c r="AE4141">
        <v>-26.965340000000001</v>
      </c>
      <c r="AF4141">
        <v>-5.9442259895675003</v>
      </c>
      <c r="AG4141">
        <v>-1.1159634889529999</v>
      </c>
      <c r="AH4141">
        <v>26.272066574570498</v>
      </c>
      <c r="AI4141">
        <v>92.372406261354001</v>
      </c>
      <c r="AJ4141">
        <v>102.74888851625801</v>
      </c>
      <c r="AK4141">
        <v>26.959241072819299</v>
      </c>
    </row>
    <row r="4142" spans="1:37" x14ac:dyDescent="0.2">
      <c r="A4142" t="str">
        <f>"20200111153517249"</f>
        <v>20200111153517249</v>
      </c>
      <c r="B4142" t="str">
        <f>"1578728117240226"</f>
        <v>1578728117240226</v>
      </c>
      <c r="C4142" t="s">
        <v>37</v>
      </c>
      <c r="D4142">
        <v>4.8728800000000003</v>
      </c>
      <c r="E4142">
        <v>0.48542449999999998</v>
      </c>
      <c r="F4142" t="s">
        <v>39</v>
      </c>
      <c r="G4142">
        <v>-416.01690000000002</v>
      </c>
      <c r="H4142" s="1">
        <v>-4.1401700000000002E-6</v>
      </c>
      <c r="I4142">
        <v>97.636659999999907</v>
      </c>
      <c r="J4142">
        <v>-415.3372</v>
      </c>
      <c r="K4142">
        <v>1.1157269999999999</v>
      </c>
      <c r="L4142">
        <v>122.84310000000001</v>
      </c>
      <c r="M4142">
        <v>-0.24468599999999999</v>
      </c>
      <c r="N4142">
        <v>0</v>
      </c>
      <c r="O4142">
        <v>-0.96948299999999998</v>
      </c>
      <c r="P4142">
        <v>-6.0228160000000003E-2</v>
      </c>
      <c r="Q4142">
        <v>4.8080810000000002E-2</v>
      </c>
      <c r="R4142">
        <v>-0.99702630000000003</v>
      </c>
      <c r="S4142">
        <v>-8.9080809999999996E-2</v>
      </c>
      <c r="T4142">
        <v>-0.13159749999999901</v>
      </c>
      <c r="U4142">
        <v>-3.0104980000000001</v>
      </c>
      <c r="V4142">
        <v>-0.18723319999999999</v>
      </c>
      <c r="W4142">
        <v>5.7952179999999999E-2</v>
      </c>
      <c r="X4142">
        <v>0.98060449999999999</v>
      </c>
      <c r="Y4142">
        <v>-0.21595249999999999</v>
      </c>
      <c r="Z4142">
        <v>4.1158340000000002E-2</v>
      </c>
      <c r="AA4142">
        <v>0.97553599999999996</v>
      </c>
      <c r="AB4142">
        <v>35</v>
      </c>
      <c r="AC4142">
        <v>-0.67970000000002495</v>
      </c>
      <c r="AD4142">
        <v>-1.1157311401700001</v>
      </c>
      <c r="AE4142">
        <v>-25.206440000000001</v>
      </c>
      <c r="AF4142">
        <v>-5.4985776399216499</v>
      </c>
      <c r="AG4142">
        <v>-1.1157311401700001</v>
      </c>
      <c r="AH4142">
        <v>24.558294611945801</v>
      </c>
      <c r="AI4142">
        <v>92.538504829535299</v>
      </c>
      <c r="AJ4142">
        <v>102.620326452415</v>
      </c>
      <c r="AK4142">
        <v>25.191050916675099</v>
      </c>
    </row>
    <row r="4143" spans="1:37" x14ac:dyDescent="0.2">
      <c r="A4143" t="str">
        <f>"20200111153517271"</f>
        <v>20200111153517271</v>
      </c>
      <c r="B4143" t="str">
        <f>"1578728117259744"</f>
        <v>1578728117259744</v>
      </c>
      <c r="C4143" t="s">
        <v>37</v>
      </c>
      <c r="D4143">
        <v>4.8200289999999999</v>
      </c>
      <c r="E4143">
        <v>0.4857206</v>
      </c>
      <c r="F4143" t="s">
        <v>39</v>
      </c>
      <c r="G4143">
        <v>-415.9196</v>
      </c>
      <c r="H4143" s="1">
        <v>-3.8772720000000002E-6</v>
      </c>
      <c r="I4143">
        <v>96.983580000000003</v>
      </c>
      <c r="J4143">
        <v>-415.41199999999998</v>
      </c>
      <c r="K4143">
        <v>1.1154679999999999</v>
      </c>
      <c r="L4143">
        <v>122.5085</v>
      </c>
      <c r="M4143">
        <v>-0.23430000000000001</v>
      </c>
      <c r="N4143">
        <v>0</v>
      </c>
      <c r="O4143">
        <v>-0.97204609999999902</v>
      </c>
      <c r="P4143">
        <v>-5.2551439999999998E-2</v>
      </c>
      <c r="Q4143">
        <v>4.8912070000000002E-2</v>
      </c>
      <c r="R4143">
        <v>-0.99741999999999997</v>
      </c>
      <c r="S4143">
        <v>-6.7810060000000005E-2</v>
      </c>
      <c r="T4143">
        <v>-0.1299168</v>
      </c>
      <c r="U4143">
        <v>-3.0111080000000001</v>
      </c>
      <c r="V4143">
        <v>-0.18426039999999999</v>
      </c>
      <c r="W4143">
        <v>5.8945160000000003E-2</v>
      </c>
      <c r="X4143">
        <v>0.98110830000000004</v>
      </c>
      <c r="Y4143">
        <v>-0.2123969</v>
      </c>
      <c r="Z4143">
        <v>4.0810800000000001E-2</v>
      </c>
      <c r="AA4143">
        <v>0.9763309</v>
      </c>
      <c r="AB4143">
        <v>35</v>
      </c>
      <c r="AC4143">
        <v>-0.50760000000002403</v>
      </c>
      <c r="AD4143">
        <v>-1.115471877272</v>
      </c>
      <c r="AE4143">
        <v>-25.524919999999899</v>
      </c>
      <c r="AF4143">
        <v>-5.4772526392099996</v>
      </c>
      <c r="AG4143">
        <v>-1.115471877272</v>
      </c>
      <c r="AH4143">
        <v>24.885687760918501</v>
      </c>
      <c r="AI4143">
        <v>92.506583170013599</v>
      </c>
      <c r="AJ4143">
        <v>102.41269191083801</v>
      </c>
      <c r="AK4143">
        <v>25.5057254222782</v>
      </c>
    </row>
    <row r="4144" spans="1:37" x14ac:dyDescent="0.2">
      <c r="A4144" t="str">
        <f>"20200111153517286"</f>
        <v>20200111153517286</v>
      </c>
      <c r="B4144" t="str">
        <f>"1578728117280240"</f>
        <v>1578728117280240</v>
      </c>
      <c r="C4144" t="s">
        <v>37</v>
      </c>
      <c r="D4144">
        <v>4.8864479999999997</v>
      </c>
      <c r="E4144">
        <v>0.48591469999999998</v>
      </c>
      <c r="F4144" t="s">
        <v>39</v>
      </c>
      <c r="G4144">
        <v>-415.83069999999998</v>
      </c>
      <c r="H4144" s="1">
        <v>-3.4304159999999998E-6</v>
      </c>
      <c r="I4144">
        <v>95.905209999999997</v>
      </c>
      <c r="J4144">
        <v>-415.46019999999999</v>
      </c>
      <c r="K4144">
        <v>1.115275</v>
      </c>
      <c r="L4144">
        <v>122.28440000000001</v>
      </c>
      <c r="M4144">
        <v>-0.22752510000000001</v>
      </c>
      <c r="N4144">
        <v>0</v>
      </c>
      <c r="O4144">
        <v>-0.97365460000000004</v>
      </c>
      <c r="P4144">
        <v>-4.715312E-2</v>
      </c>
      <c r="Q4144">
        <v>4.9625269999999999E-2</v>
      </c>
      <c r="R4144">
        <v>-0.99765409999999899</v>
      </c>
      <c r="S4144">
        <v>-4.73938E-2</v>
      </c>
      <c r="T4144">
        <v>-0.12626999999999999</v>
      </c>
      <c r="U4144">
        <v>-3.0114589999999999</v>
      </c>
      <c r="V4144">
        <v>-0.1827174</v>
      </c>
      <c r="W4144">
        <v>5.9756240000000002E-2</v>
      </c>
      <c r="X4144">
        <v>0.98134779999999999</v>
      </c>
      <c r="Y4144">
        <v>-0.21221039999999999</v>
      </c>
      <c r="Z4144">
        <v>3.9766469999999998E-2</v>
      </c>
      <c r="AA4144">
        <v>0.97641460000000002</v>
      </c>
      <c r="AB4144">
        <v>35</v>
      </c>
      <c r="AC4144">
        <v>-0.370499999999992</v>
      </c>
      <c r="AD4144">
        <v>-1.1152784304159999</v>
      </c>
      <c r="AE4144">
        <v>-26.379190000000001</v>
      </c>
      <c r="AF4144">
        <v>-5.6317702288250997</v>
      </c>
      <c r="AG4144">
        <v>-1.1152784304159999</v>
      </c>
      <c r="AH4144">
        <v>25.725494365671299</v>
      </c>
      <c r="AI4144">
        <v>92.4250330423002</v>
      </c>
      <c r="AJ4144">
        <v>102.348265538825</v>
      </c>
      <c r="AK4144">
        <v>26.358333449704698</v>
      </c>
    </row>
    <row r="4145" spans="1:37" x14ac:dyDescent="0.2">
      <c r="A4145" t="str">
        <f>"20200111153517304"</f>
        <v>20200111153517304</v>
      </c>
      <c r="B4145" t="str">
        <f>"1578728117299759"</f>
        <v>1578728117299759</v>
      </c>
      <c r="C4145" t="s">
        <v>37</v>
      </c>
      <c r="D4145">
        <v>4.8424469999999999</v>
      </c>
      <c r="E4145">
        <v>0.48637449999999999</v>
      </c>
      <c r="F4145" t="s">
        <v>39</v>
      </c>
      <c r="G4145">
        <v>-415.76179999999999</v>
      </c>
      <c r="H4145" s="1">
        <v>-3.0134580000000001E-6</v>
      </c>
      <c r="I4145">
        <v>94.904780000000002</v>
      </c>
      <c r="J4145">
        <v>-415.51929999999999</v>
      </c>
      <c r="K4145">
        <v>1.1150100000000001</v>
      </c>
      <c r="L4145">
        <v>121.99939999999999</v>
      </c>
      <c r="M4145">
        <v>-0.219136</v>
      </c>
      <c r="N4145">
        <v>0</v>
      </c>
      <c r="O4145">
        <v>-0.97557769999999999</v>
      </c>
      <c r="P4145">
        <v>-4.1255979999999998E-2</v>
      </c>
      <c r="Q4145">
        <v>5.0725930000000002E-2</v>
      </c>
      <c r="R4145">
        <v>-0.99786030000000003</v>
      </c>
      <c r="S4145">
        <v>-3.3172609999999998E-2</v>
      </c>
      <c r="T4145">
        <v>-0.12267349999999901</v>
      </c>
      <c r="U4145">
        <v>-3.0115810000000001</v>
      </c>
      <c r="V4145">
        <v>-0.180042799999999</v>
      </c>
      <c r="W4145">
        <v>6.100614E-2</v>
      </c>
      <c r="X4145">
        <v>0.9817652</v>
      </c>
      <c r="Y4145">
        <v>-0.2084075</v>
      </c>
      <c r="Z4145">
        <v>3.8768950000000003E-2</v>
      </c>
      <c r="AA4145">
        <v>0.97727339999999996</v>
      </c>
      <c r="AB4145">
        <v>35</v>
      </c>
      <c r="AC4145">
        <v>-0.24250000000000599</v>
      </c>
      <c r="AD4145">
        <v>-1.1150130134580001</v>
      </c>
      <c r="AE4145">
        <v>-27.0946199999999</v>
      </c>
      <c r="AF4145">
        <v>-5.6918392733993901</v>
      </c>
      <c r="AG4145">
        <v>-1.1150130134580001</v>
      </c>
      <c r="AH4145">
        <v>26.444281018392299</v>
      </c>
      <c r="AI4145">
        <v>92.360430007718705</v>
      </c>
      <c r="AJ4145">
        <v>102.146965443818</v>
      </c>
      <c r="AK4145">
        <v>27.072869942325902</v>
      </c>
    </row>
    <row r="4146" spans="1:37" x14ac:dyDescent="0.2">
      <c r="A4146" t="str">
        <f>"20200111153517327"</f>
        <v>20200111153517327</v>
      </c>
      <c r="B4146" t="str">
        <f>"1578728117320255"</f>
        <v>1578728117320255</v>
      </c>
      <c r="C4146" t="s">
        <v>37</v>
      </c>
      <c r="D4146">
        <v>4.8765039999999997</v>
      </c>
      <c r="E4146">
        <v>0.48708059999999997</v>
      </c>
      <c r="F4146" t="s">
        <v>39</v>
      </c>
      <c r="G4146">
        <v>-415.69479999999999</v>
      </c>
      <c r="H4146" s="1">
        <v>-2.6444679999999998E-6</v>
      </c>
      <c r="I4146">
        <v>94.016940000000005</v>
      </c>
      <c r="J4146">
        <v>-415.58609999999999</v>
      </c>
      <c r="K4146">
        <v>1.1146739999999999</v>
      </c>
      <c r="L4146">
        <v>121.6617</v>
      </c>
      <c r="M4146">
        <v>-0.2095427</v>
      </c>
      <c r="N4146">
        <v>0</v>
      </c>
      <c r="O4146">
        <v>-0.97768409999999994</v>
      </c>
      <c r="P4146">
        <v>-3.3923769999999999E-2</v>
      </c>
      <c r="Q4146">
        <v>5.1487730000000002E-2</v>
      </c>
      <c r="R4146">
        <v>-0.99809780000000003</v>
      </c>
      <c r="S4146">
        <v>-1.8890379999999998E-2</v>
      </c>
      <c r="T4146">
        <v>-0.1200088</v>
      </c>
      <c r="U4146">
        <v>-3.011749</v>
      </c>
      <c r="V4146">
        <v>-0.1775678</v>
      </c>
      <c r="W4146">
        <v>6.1928499999999997E-2</v>
      </c>
      <c r="X4146">
        <v>0.98215810000000003</v>
      </c>
      <c r="Y4146">
        <v>-0.20343229999999901</v>
      </c>
      <c r="Z4146">
        <v>3.8073070000000001E-2</v>
      </c>
      <c r="AA4146">
        <v>0.97834849999999995</v>
      </c>
      <c r="AB4146">
        <v>35</v>
      </c>
      <c r="AC4146">
        <v>-0.10869999999999801</v>
      </c>
      <c r="AD4146">
        <v>-1.1146766444679901</v>
      </c>
      <c r="AE4146">
        <v>-27.644759999999899</v>
      </c>
      <c r="AF4146">
        <v>-5.6778940125463997</v>
      </c>
      <c r="AG4146">
        <v>-1.1146766444679901</v>
      </c>
      <c r="AH4146">
        <v>27.009759897896298</v>
      </c>
      <c r="AI4146">
        <v>92.312729796550599</v>
      </c>
      <c r="AJ4146">
        <v>101.871652746916</v>
      </c>
      <c r="AK4146">
        <v>27.6226015100215</v>
      </c>
    </row>
    <row r="4147" spans="1:37" x14ac:dyDescent="0.2">
      <c r="A4147" t="str">
        <f>"20200111153517341"</f>
        <v>20200111153517341</v>
      </c>
      <c r="B4147" t="str">
        <f>"1578728117330016"</f>
        <v>1578728117330016</v>
      </c>
      <c r="C4147" t="s">
        <v>37</v>
      </c>
      <c r="D4147">
        <v>4.8682800000000004</v>
      </c>
      <c r="E4147">
        <v>0.48735070000000003</v>
      </c>
      <c r="F4147" t="s">
        <v>39</v>
      </c>
      <c r="G4147">
        <v>-415.61020000000002</v>
      </c>
      <c r="H4147" s="1">
        <v>-2.41197E-6</v>
      </c>
      <c r="I4147">
        <v>93.303479999999993</v>
      </c>
      <c r="J4147">
        <v>-415.62860000000001</v>
      </c>
      <c r="K4147">
        <v>1.114447</v>
      </c>
      <c r="L4147">
        <v>121.43859999999999</v>
      </c>
      <c r="M4147">
        <v>-0.20337929999999901</v>
      </c>
      <c r="N4147">
        <v>0</v>
      </c>
      <c r="O4147">
        <v>-0.97898539999999901</v>
      </c>
      <c r="P4147">
        <v>-2.849432E-2</v>
      </c>
      <c r="Q4147">
        <v>5.1571520000000003E-2</v>
      </c>
      <c r="R4147">
        <v>-0.99826309999999996</v>
      </c>
      <c r="S4147">
        <v>-2.5634770000000002E-3</v>
      </c>
      <c r="T4147">
        <v>-0.1183828</v>
      </c>
      <c r="U4147">
        <v>-3.011749</v>
      </c>
      <c r="V4147">
        <v>-0.1766868</v>
      </c>
      <c r="W4147">
        <v>6.2098420000000001E-2</v>
      </c>
      <c r="X4147">
        <v>0.98230620000000002</v>
      </c>
      <c r="Y4147">
        <v>-0.20256769999999999</v>
      </c>
      <c r="Z4147">
        <v>3.7638270000000001E-2</v>
      </c>
      <c r="AA4147">
        <v>0.97854470000000005</v>
      </c>
      <c r="AB4147">
        <v>35</v>
      </c>
      <c r="AC4147">
        <v>1.8399999999985501E-2</v>
      </c>
      <c r="AD4147">
        <v>-1.1144494119699999</v>
      </c>
      <c r="AE4147">
        <v>-28.135119999999901</v>
      </c>
      <c r="AF4147">
        <v>-5.7317654853256403</v>
      </c>
      <c r="AG4147">
        <v>-1.1144494119699999</v>
      </c>
      <c r="AH4147">
        <v>27.500073077879101</v>
      </c>
      <c r="AI4147">
        <v>92.271890037562002</v>
      </c>
      <c r="AJ4147">
        <v>101.7734477824</v>
      </c>
      <c r="AK4147">
        <v>28.113149100719799</v>
      </c>
    </row>
    <row r="4148" spans="1:37" x14ac:dyDescent="0.2">
      <c r="A4148" t="str">
        <f>"20200111153517360"</f>
        <v>20200111153517360</v>
      </c>
      <c r="B4148" t="str">
        <f>"1578728117350511"</f>
        <v>1578728117350511</v>
      </c>
      <c r="C4148" t="s">
        <v>37</v>
      </c>
      <c r="D4148">
        <v>4.8938709999999999</v>
      </c>
      <c r="E4148">
        <v>0.48767489999999902</v>
      </c>
      <c r="F4148" t="s">
        <v>39</v>
      </c>
      <c r="G4148">
        <v>-415.51870000000002</v>
      </c>
      <c r="H4148" s="1">
        <v>-2.4529210000000002E-6</v>
      </c>
      <c r="I4148">
        <v>93.352319999999906</v>
      </c>
      <c r="J4148">
        <v>-415.68020000000001</v>
      </c>
      <c r="K4148">
        <v>1.1141620000000001</v>
      </c>
      <c r="L4148">
        <v>121.1579</v>
      </c>
      <c r="M4148">
        <v>-0.1958667</v>
      </c>
      <c r="N4148">
        <v>0</v>
      </c>
      <c r="O4148">
        <v>-0.98051669999999902</v>
      </c>
      <c r="P4148">
        <v>-2.324468E-2</v>
      </c>
      <c r="Q4148">
        <v>5.1018670000000002E-2</v>
      </c>
      <c r="R4148">
        <v>-0.99842730000000002</v>
      </c>
      <c r="S4148">
        <v>1.177979E-2</v>
      </c>
      <c r="T4148">
        <v>-0.11950429999999999</v>
      </c>
      <c r="U4148">
        <v>-3.0117340000000001</v>
      </c>
      <c r="V4148">
        <v>-0.17426440000000001</v>
      </c>
      <c r="W4148">
        <v>6.1688640000000003E-2</v>
      </c>
      <c r="X4148">
        <v>0.98276469999999905</v>
      </c>
      <c r="Y4148">
        <v>-0.19971810000000001</v>
      </c>
      <c r="Z4148">
        <v>3.809676E-2</v>
      </c>
      <c r="AA4148">
        <v>0.97911250000000005</v>
      </c>
      <c r="AB4148">
        <v>35</v>
      </c>
      <c r="AC4148">
        <v>0.16149999999998901</v>
      </c>
      <c r="AD4148">
        <v>-1.114164452921</v>
      </c>
      <c r="AE4148">
        <v>-27.805579999999999</v>
      </c>
      <c r="AF4148">
        <v>-5.5961814476159297</v>
      </c>
      <c r="AG4148">
        <v>-1.114164452921</v>
      </c>
      <c r="AH4148">
        <v>27.191586127281401</v>
      </c>
      <c r="AI4148">
        <v>92.298245157058503</v>
      </c>
      <c r="AJ4148">
        <v>101.62941665535401</v>
      </c>
      <c r="AK4148">
        <v>27.7838256066395</v>
      </c>
    </row>
    <row r="4149" spans="1:37" x14ac:dyDescent="0.2">
      <c r="A4149" t="str">
        <f>"20200111153517382"</f>
        <v>20200111153517382</v>
      </c>
      <c r="B4149" t="str">
        <f>"1578728117370031"</f>
        <v>1578728117370031</v>
      </c>
      <c r="C4149" t="s">
        <v>37</v>
      </c>
      <c r="D4149">
        <v>4.9019919999999999</v>
      </c>
      <c r="E4149">
        <v>0.49430360000000001</v>
      </c>
      <c r="F4149" t="s">
        <v>39</v>
      </c>
      <c r="G4149">
        <v>-415.45319999999998</v>
      </c>
      <c r="H4149" s="1">
        <v>-2.5689139999999899E-6</v>
      </c>
      <c r="I4149">
        <v>93.641940000000005</v>
      </c>
      <c r="J4149">
        <v>-415.74029999999999</v>
      </c>
      <c r="K4149">
        <v>1.1138129999999999</v>
      </c>
      <c r="L4149">
        <v>120.8145</v>
      </c>
      <c r="M4149">
        <v>-0.18704849999999901</v>
      </c>
      <c r="N4149">
        <v>0</v>
      </c>
      <c r="O4149">
        <v>-0.9822379</v>
      </c>
      <c r="P4149">
        <v>-1.8564020000000001E-2</v>
      </c>
      <c r="Q4149">
        <v>4.9970630000000002E-2</v>
      </c>
      <c r="R4149">
        <v>-0.99857830000000003</v>
      </c>
      <c r="S4149">
        <v>2.4841309999999998E-2</v>
      </c>
      <c r="T4149">
        <v>-0.1219426</v>
      </c>
      <c r="U4149">
        <v>-3.0115509999999999</v>
      </c>
      <c r="V4149">
        <v>-0.1699678</v>
      </c>
      <c r="W4149">
        <v>6.0843840000000003E-2</v>
      </c>
      <c r="X4149">
        <v>0.98356949999999999</v>
      </c>
      <c r="Y4149">
        <v>-0.19515779999999999</v>
      </c>
      <c r="Z4149">
        <v>3.8997499999999997E-2</v>
      </c>
      <c r="AA4149">
        <v>0.97999629999999904</v>
      </c>
      <c r="AB4149">
        <v>35</v>
      </c>
      <c r="AC4149">
        <v>0.28710000000000901</v>
      </c>
      <c r="AD4149">
        <v>-1.1138155689139999</v>
      </c>
      <c r="AE4149">
        <v>-27.172559999999901</v>
      </c>
      <c r="AF4149">
        <v>-5.3561829485283399</v>
      </c>
      <c r="AG4149">
        <v>-1.1138155689139999</v>
      </c>
      <c r="AH4149">
        <v>26.594488452032799</v>
      </c>
      <c r="AI4149">
        <v>92.351073933323804</v>
      </c>
      <c r="AJ4149">
        <v>101.38715028167999</v>
      </c>
      <c r="AK4149">
        <v>27.151355342320699</v>
      </c>
    </row>
    <row r="4150" spans="1:37" x14ac:dyDescent="0.2">
      <c r="A4150" t="str">
        <f>"20200111153517406"</f>
        <v>20200111153517406</v>
      </c>
      <c r="B4150" t="str">
        <f>"1578728117400287"</f>
        <v>1578728117400287</v>
      </c>
      <c r="C4150" t="s">
        <v>37</v>
      </c>
      <c r="D4150">
        <v>4.9479199999999999</v>
      </c>
      <c r="E4150">
        <v>0.4962974</v>
      </c>
      <c r="F4150" t="s">
        <v>39</v>
      </c>
      <c r="G4150">
        <v>-415.83789999999999</v>
      </c>
      <c r="H4150" s="1">
        <v>-1.3822779999999999E-6</v>
      </c>
      <c r="I4150">
        <v>100.36020000000001</v>
      </c>
      <c r="J4150">
        <v>-415.79860000000002</v>
      </c>
      <c r="K4150">
        <v>1.113462</v>
      </c>
      <c r="L4150">
        <v>120.46469999999999</v>
      </c>
      <c r="M4150">
        <v>-0.17844089999999899</v>
      </c>
      <c r="N4150">
        <v>0</v>
      </c>
      <c r="O4150">
        <v>-0.98383880000000001</v>
      </c>
      <c r="P4150">
        <v>-1.3128239999999999E-2</v>
      </c>
      <c r="Q4150">
        <v>4.9676280000000003E-2</v>
      </c>
      <c r="R4150">
        <v>-0.99867899999999998</v>
      </c>
      <c r="S4150">
        <v>-1.4373779999999999E-2</v>
      </c>
      <c r="T4150">
        <v>-0.16402659999999999</v>
      </c>
      <c r="U4150">
        <v>-3.012222</v>
      </c>
      <c r="V4150">
        <v>-0.16664849999999901</v>
      </c>
      <c r="W4150">
        <v>6.0721039999999997E-2</v>
      </c>
      <c r="X4150">
        <v>0.98414489999999999</v>
      </c>
      <c r="Y4150">
        <v>-0.17376810000000001</v>
      </c>
      <c r="Z4150">
        <v>5.2650790000000003E-2</v>
      </c>
      <c r="AA4150">
        <v>0.98337809999999903</v>
      </c>
      <c r="AB4150">
        <v>35</v>
      </c>
      <c r="AC4150">
        <v>-3.9299999999968797E-2</v>
      </c>
      <c r="AD4150">
        <v>-1.113463382278</v>
      </c>
      <c r="AE4150">
        <v>-20.104499999999899</v>
      </c>
      <c r="AF4150">
        <v>-3.53833742203213</v>
      </c>
      <c r="AG4150">
        <v>-1.113463382278</v>
      </c>
      <c r="AH4150">
        <v>19.728263832788599</v>
      </c>
      <c r="AI4150">
        <v>93.179716378730802</v>
      </c>
      <c r="AJ4150">
        <v>100.16810241907</v>
      </c>
      <c r="AK4150">
        <v>20.073963890371601</v>
      </c>
    </row>
    <row r="4151" spans="1:37" x14ac:dyDescent="0.2">
      <c r="A4151" t="str">
        <f>"20200111153517428"</f>
        <v>20200111153517428</v>
      </c>
      <c r="B4151" t="str">
        <f>"1578728117419807"</f>
        <v>1578728117419807</v>
      </c>
      <c r="C4151" t="s">
        <v>37</v>
      </c>
      <c r="D4151">
        <v>4.913316</v>
      </c>
      <c r="E4151">
        <v>0.49569869999999999</v>
      </c>
      <c r="F4151" t="s">
        <v>39</v>
      </c>
      <c r="G4151">
        <v>-415.88810000000001</v>
      </c>
      <c r="H4151" s="1">
        <v>-1.3772159999999999E-6</v>
      </c>
      <c r="I4151">
        <v>100.3818</v>
      </c>
      <c r="J4151">
        <v>-415.85340000000002</v>
      </c>
      <c r="K4151">
        <v>1.1131309999999901</v>
      </c>
      <c r="L4151">
        <v>120.119</v>
      </c>
      <c r="M4151">
        <v>-0.17029839999999999</v>
      </c>
      <c r="N4151">
        <v>0</v>
      </c>
      <c r="O4151">
        <v>-0.98528179999999999</v>
      </c>
      <c r="P4151">
        <v>-8.0906409999999904E-3</v>
      </c>
      <c r="Q4151">
        <v>5.0258079999999997E-2</v>
      </c>
      <c r="R4151">
        <v>-0.99870380000000003</v>
      </c>
      <c r="S4151">
        <v>-1.3427730000000001E-2</v>
      </c>
      <c r="T4151">
        <v>-0.1670006</v>
      </c>
      <c r="U4151">
        <v>-3.0121000000000002</v>
      </c>
      <c r="V4151">
        <v>-0.16342419999999999</v>
      </c>
      <c r="W4151">
        <v>6.1464480000000002E-2</v>
      </c>
      <c r="X4151">
        <v>0.9846393</v>
      </c>
      <c r="Y4151">
        <v>-0.1659273</v>
      </c>
      <c r="Z4151">
        <v>5.3761820000000002E-2</v>
      </c>
      <c r="AA4151">
        <v>0.98467139999999997</v>
      </c>
      <c r="AB4151">
        <v>35</v>
      </c>
      <c r="AC4151">
        <v>-3.4699999999986603E-2</v>
      </c>
      <c r="AD4151">
        <v>-1.11313237721599</v>
      </c>
      <c r="AE4151">
        <v>-19.737200000000001</v>
      </c>
      <c r="AF4151">
        <v>-3.31683756027937</v>
      </c>
      <c r="AG4151">
        <v>-1.11313237721599</v>
      </c>
      <c r="AH4151">
        <v>19.393052942644399</v>
      </c>
      <c r="AI4151">
        <v>93.238170065370895</v>
      </c>
      <c r="AJ4151">
        <v>99.705518056654498</v>
      </c>
      <c r="AK4151">
        <v>19.7061152317421</v>
      </c>
    </row>
    <row r="4152" spans="1:37" x14ac:dyDescent="0.2">
      <c r="A4152" t="str">
        <f>"20200111153517449"</f>
        <v>20200111153517449</v>
      </c>
      <c r="B4152" t="str">
        <f>"1578728117440303"</f>
        <v>1578728117440303</v>
      </c>
      <c r="C4152" t="s">
        <v>37</v>
      </c>
      <c r="D4152">
        <v>4.9208259999999999</v>
      </c>
      <c r="E4152">
        <v>0.4955212</v>
      </c>
      <c r="F4152" t="s">
        <v>39</v>
      </c>
      <c r="G4152">
        <v>-415.80329999999998</v>
      </c>
      <c r="H4152" s="1">
        <v>-4.5576729999999999E-6</v>
      </c>
      <c r="I4152">
        <v>98.521540000000002</v>
      </c>
      <c r="J4152">
        <v>-415.90129999999999</v>
      </c>
      <c r="K4152">
        <v>1.1128180000000001</v>
      </c>
      <c r="L4152">
        <v>119.80249999999999</v>
      </c>
      <c r="M4152">
        <v>-0.16316900000000001</v>
      </c>
      <c r="N4152">
        <v>0</v>
      </c>
      <c r="O4152">
        <v>-0.98648819999999904</v>
      </c>
      <c r="P4152">
        <v>-4.563236E-3</v>
      </c>
      <c r="Q4152">
        <v>5.1410419999999998E-2</v>
      </c>
      <c r="R4152">
        <v>-0.99866710000000003</v>
      </c>
      <c r="S4152">
        <v>6.9885249999999998E-3</v>
      </c>
      <c r="T4152">
        <v>-0.15522659999999999</v>
      </c>
      <c r="U4152">
        <v>-3.011765</v>
      </c>
      <c r="V4152">
        <v>-0.1597412</v>
      </c>
      <c r="W4152">
        <v>6.2778E-2</v>
      </c>
      <c r="X4152">
        <v>0.9851607</v>
      </c>
      <c r="Y4152">
        <v>-0.16547110000000001</v>
      </c>
      <c r="Z4152">
        <v>5.0082340000000003E-2</v>
      </c>
      <c r="AA4152">
        <v>0.98494219999999899</v>
      </c>
      <c r="AB4152">
        <v>35</v>
      </c>
      <c r="AC4152">
        <v>9.8000000000013202E-2</v>
      </c>
      <c r="AD4152">
        <v>-1.112822557673</v>
      </c>
      <c r="AE4152">
        <v>-21.28096</v>
      </c>
      <c r="AF4152">
        <v>-3.5597222865890701</v>
      </c>
      <c r="AG4152">
        <v>-1.112822557673</v>
      </c>
      <c r="AH4152">
        <v>20.922490610596999</v>
      </c>
      <c r="AI4152">
        <v>93.001519050642202</v>
      </c>
      <c r="AJ4152">
        <v>99.6557606867472</v>
      </c>
      <c r="AK4152">
        <v>21.2523083488129</v>
      </c>
    </row>
    <row r="4153" spans="1:37" x14ac:dyDescent="0.2">
      <c r="A4153" t="str">
        <f>"20200111153517472"</f>
        <v>20200111153517472</v>
      </c>
      <c r="B4153" t="str">
        <f>"1578728117459824"</f>
        <v>1578728117459824</v>
      </c>
      <c r="C4153" t="s">
        <v>37</v>
      </c>
      <c r="D4153">
        <v>4.9129069999999997</v>
      </c>
      <c r="E4153">
        <v>0.4954964</v>
      </c>
      <c r="F4153" t="s">
        <v>39</v>
      </c>
      <c r="G4153">
        <v>-415.74439999999998</v>
      </c>
      <c r="H4153" s="1">
        <v>-3.3966789999999899E-6</v>
      </c>
      <c r="I4153">
        <v>95.790880000000001</v>
      </c>
      <c r="J4153">
        <v>-415.95119999999997</v>
      </c>
      <c r="K4153">
        <v>1.1124689999999999</v>
      </c>
      <c r="L4153">
        <v>119.4571</v>
      </c>
      <c r="M4153">
        <v>-0.1557529</v>
      </c>
      <c r="N4153">
        <v>0</v>
      </c>
      <c r="O4153">
        <v>-0.98768699999999998</v>
      </c>
      <c r="P4153">
        <v>-8.1757049999999995E-4</v>
      </c>
      <c r="Q4153">
        <v>5.1830870000000001E-2</v>
      </c>
      <c r="R4153">
        <v>-0.99865559999999998</v>
      </c>
      <c r="S4153">
        <v>1.9683840000000001E-2</v>
      </c>
      <c r="T4153">
        <v>-0.13955809999999999</v>
      </c>
      <c r="U4153">
        <v>-3.0112759999999898</v>
      </c>
      <c r="V4153">
        <v>-0.15597849999999999</v>
      </c>
      <c r="W4153">
        <v>6.336667E-2</v>
      </c>
      <c r="X4153">
        <v>0.98572579999999999</v>
      </c>
      <c r="Y4153">
        <v>-0.16221540000000001</v>
      </c>
      <c r="Z4153">
        <v>4.5140909999999999E-2</v>
      </c>
      <c r="AA4153">
        <v>0.98572229999999905</v>
      </c>
      <c r="AB4153">
        <v>35</v>
      </c>
      <c r="AC4153">
        <v>0.20679999999998699</v>
      </c>
      <c r="AD4153">
        <v>-1.112472396679</v>
      </c>
      <c r="AE4153">
        <v>-23.666219999999999</v>
      </c>
      <c r="AF4153">
        <v>-3.8821776289374901</v>
      </c>
      <c r="AG4153">
        <v>-1.112472396679</v>
      </c>
      <c r="AH4153">
        <v>23.293656254315199</v>
      </c>
      <c r="AI4153">
        <v>92.697142797123107</v>
      </c>
      <c r="AJ4153">
        <v>99.462086681137507</v>
      </c>
      <c r="AK4153">
        <v>23.641136175535099</v>
      </c>
    </row>
    <row r="4154" spans="1:37" x14ac:dyDescent="0.2">
      <c r="A4154" t="str">
        <f>"20200111153517494"</f>
        <v>20200111153517494</v>
      </c>
      <c r="B4154" t="str">
        <f>"1578728117490081"</f>
        <v>1578728117490081</v>
      </c>
      <c r="C4154" t="s">
        <v>37</v>
      </c>
      <c r="D4154">
        <v>4.9156559999999896</v>
      </c>
      <c r="E4154">
        <v>0.4954847</v>
      </c>
      <c r="F4154" t="s">
        <v>39</v>
      </c>
      <c r="G4154">
        <v>-415.6832</v>
      </c>
      <c r="H4154" s="1">
        <v>-2.4872830000000001E-6</v>
      </c>
      <c r="I4154">
        <v>93.58184</v>
      </c>
      <c r="J4154">
        <v>-415.99869999999999</v>
      </c>
      <c r="K4154">
        <v>1.1121080000000001</v>
      </c>
      <c r="L4154">
        <v>119.11239999999999</v>
      </c>
      <c r="M4154">
        <v>-0.1487253</v>
      </c>
      <c r="N4154">
        <v>0</v>
      </c>
      <c r="O4154">
        <v>-0.9887705</v>
      </c>
      <c r="P4154">
        <v>2.0172929999999999E-3</v>
      </c>
      <c r="Q4154">
        <v>5.2035480000000002E-2</v>
      </c>
      <c r="R4154">
        <v>-0.99864349999999902</v>
      </c>
      <c r="S4154">
        <v>3.1188960000000002E-2</v>
      </c>
      <c r="T4154">
        <v>-0.1294448</v>
      </c>
      <c r="U4154">
        <v>-3.0107879999999998</v>
      </c>
      <c r="V4154">
        <v>-0.15170449999999999</v>
      </c>
      <c r="W4154">
        <v>6.3747849999999995E-2</v>
      </c>
      <c r="X4154">
        <v>0.98636809999999997</v>
      </c>
      <c r="Y4154">
        <v>-0.15896640000000001</v>
      </c>
      <c r="Z4154">
        <v>4.1963069999999998E-2</v>
      </c>
      <c r="AA4154">
        <v>0.98639179999999904</v>
      </c>
      <c r="AB4154">
        <v>35</v>
      </c>
      <c r="AC4154">
        <v>0.31549999999998501</v>
      </c>
      <c r="AD4154">
        <v>-1.1121104872830001</v>
      </c>
      <c r="AE4154">
        <v>-25.530559999999902</v>
      </c>
      <c r="AF4154">
        <v>-4.1016547872517304</v>
      </c>
      <c r="AG4154">
        <v>-1.1121104872830001</v>
      </c>
      <c r="AH4154">
        <v>25.151916511023199</v>
      </c>
      <c r="AI4154">
        <v>92.498761251527796</v>
      </c>
      <c r="AJ4154">
        <v>99.261994136119</v>
      </c>
      <c r="AK4154">
        <v>25.5084155899027</v>
      </c>
    </row>
    <row r="4155" spans="1:37" x14ac:dyDescent="0.2">
      <c r="A4155" t="str">
        <f>"20200111153517518"</f>
        <v>20200111153517518</v>
      </c>
      <c r="B4155" t="str">
        <f>"1578728117509599"</f>
        <v>1578728117509599</v>
      </c>
      <c r="C4155" t="s">
        <v>37</v>
      </c>
      <c r="D4155">
        <v>4.9035260000000003</v>
      </c>
      <c r="E4155">
        <v>0.49533490000000002</v>
      </c>
      <c r="F4155" t="s">
        <v>39</v>
      </c>
      <c r="G4155">
        <v>-415.63029999999998</v>
      </c>
      <c r="H4155" s="1">
        <v>-1.7061700000000001E-6</v>
      </c>
      <c r="I4155">
        <v>91.245159999999998</v>
      </c>
      <c r="J4155">
        <v>-416.04509999999999</v>
      </c>
      <c r="K4155">
        <v>1.1117239999999999</v>
      </c>
      <c r="L4155">
        <v>118.7594</v>
      </c>
      <c r="M4155">
        <v>-0.1419156</v>
      </c>
      <c r="N4155">
        <v>0</v>
      </c>
      <c r="O4155">
        <v>-0.98977169999999903</v>
      </c>
      <c r="P4155">
        <v>4.2741189999999998E-3</v>
      </c>
      <c r="Q4155">
        <v>5.3093410000000001E-2</v>
      </c>
      <c r="R4155">
        <v>-0.99858040000000003</v>
      </c>
      <c r="S4155">
        <v>3.9794919999999998E-2</v>
      </c>
      <c r="T4155">
        <v>-0.1201315</v>
      </c>
      <c r="U4155">
        <v>-3.0102540000000002</v>
      </c>
      <c r="V4155">
        <v>-0.14708750000000001</v>
      </c>
      <c r="W4155">
        <v>6.4986489999999994E-2</v>
      </c>
      <c r="X4155">
        <v>0.98698629999999998</v>
      </c>
      <c r="Y4155">
        <v>-0.154992299999999</v>
      </c>
      <c r="Z4155">
        <v>3.90275E-2</v>
      </c>
      <c r="AA4155">
        <v>0.98714449999999998</v>
      </c>
      <c r="AB4155">
        <v>35</v>
      </c>
      <c r="AC4155">
        <v>0.41480000000001299</v>
      </c>
      <c r="AD4155">
        <v>-1.1117257061700001</v>
      </c>
      <c r="AE4155">
        <v>-27.514240000000001</v>
      </c>
      <c r="AF4155">
        <v>-4.3086817862665603</v>
      </c>
      <c r="AG4155">
        <v>-1.1117257061700001</v>
      </c>
      <c r="AH4155">
        <v>27.132543077185002</v>
      </c>
      <c r="AI4155">
        <v>92.317313590611704</v>
      </c>
      <c r="AJ4155">
        <v>99.023295575065802</v>
      </c>
      <c r="AK4155">
        <v>27.495009849359299</v>
      </c>
    </row>
    <row r="4156" spans="1:37" x14ac:dyDescent="0.2">
      <c r="A4156" t="str">
        <f>"20200111153517540"</f>
        <v>20200111153517540</v>
      </c>
      <c r="B4156" t="str">
        <f>"1578728117530096"</f>
        <v>1578728117530096</v>
      </c>
      <c r="C4156" t="s">
        <v>37</v>
      </c>
      <c r="D4156">
        <v>4.9136319999999998</v>
      </c>
      <c r="E4156">
        <v>0.49552099999999999</v>
      </c>
      <c r="F4156" t="s">
        <v>39</v>
      </c>
      <c r="G4156">
        <v>-415.5625</v>
      </c>
      <c r="H4156" s="1">
        <v>-4.5155689999999998E-6</v>
      </c>
      <c r="I4156">
        <v>88.323819999999998</v>
      </c>
      <c r="J4156">
        <v>-416.08730000000003</v>
      </c>
      <c r="K4156">
        <v>1.111353</v>
      </c>
      <c r="L4156">
        <v>118.4229</v>
      </c>
      <c r="M4156">
        <v>-0.1358193</v>
      </c>
      <c r="N4156">
        <v>0</v>
      </c>
      <c r="O4156">
        <v>-0.99062739999999905</v>
      </c>
      <c r="P4156">
        <v>5.6121510000000001E-3</v>
      </c>
      <c r="Q4156">
        <v>5.2690019999999997E-2</v>
      </c>
      <c r="R4156">
        <v>-0.99859549999999997</v>
      </c>
      <c r="S4156">
        <v>4.7729489999999999E-2</v>
      </c>
      <c r="T4156">
        <v>-0.1099441</v>
      </c>
      <c r="U4156">
        <v>-3.0099179999999999</v>
      </c>
      <c r="V4156">
        <v>-0.1422629</v>
      </c>
      <c r="W4156">
        <v>6.4758079999999996E-2</v>
      </c>
      <c r="X4156">
        <v>0.98770829999999998</v>
      </c>
      <c r="Y4156">
        <v>-0.15151419999999999</v>
      </c>
      <c r="Z4156">
        <v>3.5782399999999999E-2</v>
      </c>
      <c r="AA4156">
        <v>0.9878072</v>
      </c>
      <c r="AB4156">
        <v>35</v>
      </c>
      <c r="AC4156">
        <v>0.52480000000002702</v>
      </c>
      <c r="AD4156">
        <v>-1.1113575155690001</v>
      </c>
      <c r="AE4156">
        <v>-30.099080000000001</v>
      </c>
      <c r="AF4156">
        <v>-4.6021299142813099</v>
      </c>
      <c r="AG4156">
        <v>-1.1113575155690001</v>
      </c>
      <c r="AH4156">
        <v>29.7083362374734</v>
      </c>
      <c r="AI4156">
        <v>92.117146829779401</v>
      </c>
      <c r="AJ4156">
        <v>98.805719027619006</v>
      </c>
      <c r="AK4156">
        <v>30.0832172028543</v>
      </c>
    </row>
    <row r="4157" spans="1:37" x14ac:dyDescent="0.2">
      <c r="A4157" t="str">
        <f>"20200111153517560"</f>
        <v>20200111153517560</v>
      </c>
      <c r="B4157" t="str">
        <f>"1578728117550183"</f>
        <v>1578728117550183</v>
      </c>
      <c r="C4157" t="s">
        <v>37</v>
      </c>
      <c r="D4157">
        <v>4.9306830000000001</v>
      </c>
      <c r="E4157">
        <v>0.49552089999999999</v>
      </c>
      <c r="F4157" t="s">
        <v>39</v>
      </c>
      <c r="G4157">
        <v>-415.57279999999997</v>
      </c>
      <c r="H4157" s="1">
        <v>-4.2266170000000002E-6</v>
      </c>
      <c r="I4157">
        <v>87.654560000000004</v>
      </c>
      <c r="J4157">
        <v>-416.1259</v>
      </c>
      <c r="K4157">
        <v>1.1110040000000001</v>
      </c>
      <c r="L4157">
        <v>118.10120000000001</v>
      </c>
      <c r="M4157">
        <v>-0.13034999999999999</v>
      </c>
      <c r="N4157">
        <v>0</v>
      </c>
      <c r="O4157">
        <v>-0.99136229999999903</v>
      </c>
      <c r="P4157">
        <v>6.6645630000000001E-3</v>
      </c>
      <c r="Q4157">
        <v>5.281806E-2</v>
      </c>
      <c r="R4157">
        <v>-0.99858179999999996</v>
      </c>
      <c r="S4157">
        <v>5.0323489999999999E-2</v>
      </c>
      <c r="T4157">
        <v>-0.10870969999999899</v>
      </c>
      <c r="U4157">
        <v>-3.009674</v>
      </c>
      <c r="V4157">
        <v>-0.13779079999999999</v>
      </c>
      <c r="W4157">
        <v>6.5042160000000002E-2</v>
      </c>
      <c r="X4157">
        <v>0.98832350000000002</v>
      </c>
      <c r="Y4157">
        <v>-0.14690999999999901</v>
      </c>
      <c r="Z4157">
        <v>3.543611E-2</v>
      </c>
      <c r="AA4157">
        <v>0.98851489999999997</v>
      </c>
      <c r="AB4157">
        <v>35</v>
      </c>
      <c r="AC4157">
        <v>0.55310000000002801</v>
      </c>
      <c r="AD4157">
        <v>-1.111008226617</v>
      </c>
      <c r="AE4157">
        <v>-30.446639999999999</v>
      </c>
      <c r="AF4157">
        <v>-4.5115103287624398</v>
      </c>
      <c r="AG4157">
        <v>-1.111008226617</v>
      </c>
      <c r="AH4157">
        <v>30.074679104986298</v>
      </c>
      <c r="AI4157">
        <v>92.092249603562493</v>
      </c>
      <c r="AJ4157">
        <v>98.531340335834301</v>
      </c>
      <c r="AK4157">
        <v>30.4314703554403</v>
      </c>
    </row>
    <row r="4158" spans="1:37" x14ac:dyDescent="0.2">
      <c r="A4158" t="str">
        <f>"20200111153517584"</f>
        <v>20200111153517584</v>
      </c>
      <c r="B4158" t="str">
        <f>"1578728117580440"</f>
        <v>1578728117580440</v>
      </c>
      <c r="C4158" t="s">
        <v>37</v>
      </c>
      <c r="D4158">
        <v>4.9145389999999898</v>
      </c>
      <c r="E4158">
        <v>0.49552239999999997</v>
      </c>
      <c r="F4158" t="s">
        <v>39</v>
      </c>
      <c r="G4158">
        <v>-415.55410000000001</v>
      </c>
      <c r="H4158" s="1">
        <v>-3.55443699999999E-6</v>
      </c>
      <c r="I4158">
        <v>86.079939999999993</v>
      </c>
      <c r="J4158">
        <v>-416.16570000000002</v>
      </c>
      <c r="K4158">
        <v>1.1106609999999999</v>
      </c>
      <c r="L4158">
        <v>117.7556</v>
      </c>
      <c r="M4158">
        <v>-0.12479899999999999</v>
      </c>
      <c r="N4158">
        <v>0</v>
      </c>
      <c r="O4158">
        <v>-0.99207719999999899</v>
      </c>
      <c r="P4158">
        <v>7.2181060000000002E-3</v>
      </c>
      <c r="Q4158">
        <v>5.4024999999999997E-2</v>
      </c>
      <c r="R4158">
        <v>-0.99851329999999905</v>
      </c>
      <c r="S4158">
        <v>5.3741459999999998E-2</v>
      </c>
      <c r="T4158">
        <v>-0.1044146</v>
      </c>
      <c r="U4158">
        <v>-3.0094150000000002</v>
      </c>
      <c r="V4158">
        <v>-0.13275290000000001</v>
      </c>
      <c r="W4158">
        <v>6.6404379999999999E-2</v>
      </c>
      <c r="X4158">
        <v>0.98892219999999997</v>
      </c>
      <c r="Y4158">
        <v>-0.1424966</v>
      </c>
      <c r="Z4158">
        <v>3.4088680000000003E-2</v>
      </c>
      <c r="AA4158">
        <v>0.98920810000000003</v>
      </c>
      <c r="AB4158">
        <v>35</v>
      </c>
      <c r="AC4158">
        <v>0.61160000000000903</v>
      </c>
      <c r="AD4158">
        <v>-1.110664554437</v>
      </c>
      <c r="AE4158">
        <v>-31.675659999999901</v>
      </c>
      <c r="AF4158">
        <v>-4.5547217320547899</v>
      </c>
      <c r="AG4158">
        <v>-1.110664554437</v>
      </c>
      <c r="AH4158">
        <v>31.313150435463001</v>
      </c>
      <c r="AI4158">
        <v>92.0102686288038</v>
      </c>
      <c r="AJ4158">
        <v>98.276039165675897</v>
      </c>
      <c r="AK4158">
        <v>31.6621612655054</v>
      </c>
    </row>
    <row r="4159" spans="1:37" x14ac:dyDescent="0.2">
      <c r="A4159" t="str">
        <f>"20200111153517606"</f>
        <v>20200111153517606</v>
      </c>
      <c r="B4159" t="str">
        <f>"1578728117599962"</f>
        <v>1578728117599962</v>
      </c>
      <c r="C4159" t="s">
        <v>37</v>
      </c>
      <c r="D4159">
        <v>4.9165279999999996</v>
      </c>
      <c r="E4159">
        <v>0.49570999999999998</v>
      </c>
      <c r="F4159" t="s">
        <v>39</v>
      </c>
      <c r="G4159">
        <v>-415.52659999999997</v>
      </c>
      <c r="H4159" s="1">
        <v>-2.2365340000000002E-6</v>
      </c>
      <c r="I4159">
        <v>82.722589999999997</v>
      </c>
      <c r="J4159">
        <v>-416.2047</v>
      </c>
      <c r="K4159">
        <v>1.110328</v>
      </c>
      <c r="L4159">
        <v>117.4023</v>
      </c>
      <c r="M4159">
        <v>-0.1194537</v>
      </c>
      <c r="N4159">
        <v>0</v>
      </c>
      <c r="O4159">
        <v>-0.99273579999999995</v>
      </c>
      <c r="P4159">
        <v>8.2326510000000006E-3</v>
      </c>
      <c r="Q4159">
        <v>5.4111079999999999E-2</v>
      </c>
      <c r="R4159">
        <v>-0.99850139999999998</v>
      </c>
      <c r="S4159">
        <v>5.4901119999999998E-2</v>
      </c>
      <c r="T4159">
        <v>-9.5402600000000004E-2</v>
      </c>
      <c r="U4159">
        <v>-3.0092319999999999</v>
      </c>
      <c r="V4159">
        <v>-0.12837089999999901</v>
      </c>
      <c r="W4159">
        <v>6.6623249999999995E-2</v>
      </c>
      <c r="X4159">
        <v>0.98948590000000003</v>
      </c>
      <c r="Y4159">
        <v>-0.13754749999999999</v>
      </c>
      <c r="Z4159">
        <v>3.1193729999999999E-2</v>
      </c>
      <c r="AA4159">
        <v>0.99000379999999999</v>
      </c>
      <c r="AB4159">
        <v>35</v>
      </c>
      <c r="AC4159">
        <v>0.67810000000002801</v>
      </c>
      <c r="AD4159">
        <v>-1.110330236534</v>
      </c>
      <c r="AE4159">
        <v>-34.67971</v>
      </c>
      <c r="AF4159">
        <v>-4.8113608999400901</v>
      </c>
      <c r="AG4159">
        <v>-1.110330236534</v>
      </c>
      <c r="AH4159">
        <v>34.315172004762502</v>
      </c>
      <c r="AI4159">
        <v>91.835323160042904</v>
      </c>
      <c r="AJ4159">
        <v>97.981461033371005</v>
      </c>
      <c r="AK4159">
        <v>34.668617749487403</v>
      </c>
    </row>
    <row r="4160" spans="1:37" x14ac:dyDescent="0.2">
      <c r="A4160" t="str">
        <f>"20200111153517628"</f>
        <v>20200111153517628</v>
      </c>
      <c r="B4160" t="str">
        <f>"1578728117620455"</f>
        <v>1578728117620455</v>
      </c>
      <c r="C4160" t="s">
        <v>37</v>
      </c>
      <c r="D4160">
        <v>4.8800309999999998</v>
      </c>
      <c r="E4160">
        <v>0.4957955</v>
      </c>
      <c r="F4160" t="s">
        <v>39</v>
      </c>
      <c r="G4160">
        <v>-415.52350000000001</v>
      </c>
      <c r="H4160" s="1">
        <v>-1.8169769999999999E-6</v>
      </c>
      <c r="I4160">
        <v>81.487290000000002</v>
      </c>
      <c r="J4160">
        <v>-416.23970000000003</v>
      </c>
      <c r="K4160">
        <v>1.110034</v>
      </c>
      <c r="L4160">
        <v>117.0722</v>
      </c>
      <c r="M4160">
        <v>-0.11476889999999899</v>
      </c>
      <c r="N4160">
        <v>0</v>
      </c>
      <c r="O4160">
        <v>-0.99328890000000003</v>
      </c>
      <c r="P4160">
        <v>9.7576480000000007E-3</v>
      </c>
      <c r="Q4160">
        <v>5.3601490000000002E-2</v>
      </c>
      <c r="R4160">
        <v>-0.99851449999999997</v>
      </c>
      <c r="S4160">
        <v>5.706787E-2</v>
      </c>
      <c r="T4160">
        <v>-9.3027109999999996E-2</v>
      </c>
      <c r="U4160">
        <v>-3.0090789999999998</v>
      </c>
      <c r="V4160">
        <v>-0.12515670000000001</v>
      </c>
      <c r="W4160">
        <v>6.6218349999999995E-2</v>
      </c>
      <c r="X4160">
        <v>0.98992469999999999</v>
      </c>
      <c r="Y4160">
        <v>-0.1335874</v>
      </c>
      <c r="Z4160">
        <v>3.045308E-2</v>
      </c>
      <c r="AA4160">
        <v>0.99056909999999898</v>
      </c>
      <c r="AB4160">
        <v>35</v>
      </c>
      <c r="AC4160">
        <v>0.71620000000001405</v>
      </c>
      <c r="AD4160">
        <v>-1.1100358169769999</v>
      </c>
      <c r="AE4160">
        <v>-35.584909999999901</v>
      </c>
      <c r="AF4160">
        <v>-4.7912663904309003</v>
      </c>
      <c r="AG4160">
        <v>-1.1100358169769999</v>
      </c>
      <c r="AH4160">
        <v>35.233247939350903</v>
      </c>
      <c r="AI4160">
        <v>91.788080252834007</v>
      </c>
      <c r="AJ4160">
        <v>97.743983542102697</v>
      </c>
      <c r="AK4160">
        <v>35.574853105737702</v>
      </c>
    </row>
    <row r="4161" spans="1:37" x14ac:dyDescent="0.2">
      <c r="A4161" t="str">
        <f>"20200111153517650"</f>
        <v>20200111153517650</v>
      </c>
      <c r="B4161" t="str">
        <f>"1578728117639976"</f>
        <v>1578728117639976</v>
      </c>
      <c r="C4161" t="s">
        <v>37</v>
      </c>
      <c r="D4161">
        <v>4.8639999999999999</v>
      </c>
      <c r="E4161">
        <v>0.49595099999999998</v>
      </c>
      <c r="F4161" t="s">
        <v>39</v>
      </c>
      <c r="G4161">
        <v>-415.52190000000002</v>
      </c>
      <c r="H4161" s="1">
        <v>-1.7945539999999999E-6</v>
      </c>
      <c r="I4161">
        <v>81.420119999999997</v>
      </c>
      <c r="J4161">
        <v>-416.27370000000002</v>
      </c>
      <c r="K4161">
        <v>1.109721</v>
      </c>
      <c r="L4161">
        <v>116.7383</v>
      </c>
      <c r="M4161">
        <v>-0.1103527</v>
      </c>
      <c r="N4161">
        <v>0</v>
      </c>
      <c r="O4161">
        <v>-0.993789699999999</v>
      </c>
      <c r="P4161">
        <v>1.152511E-2</v>
      </c>
      <c r="Q4161">
        <v>5.3857559999999999E-2</v>
      </c>
      <c r="R4161">
        <v>-0.99848219999999999</v>
      </c>
      <c r="S4161">
        <v>6.0577390000000002E-2</v>
      </c>
      <c r="T4161">
        <v>-9.3682650000000006E-2</v>
      </c>
      <c r="U4161">
        <v>-3.008896</v>
      </c>
      <c r="V4161">
        <v>-0.122455199999999</v>
      </c>
      <c r="W4161">
        <v>6.6570439999999995E-2</v>
      </c>
      <c r="X4161">
        <v>0.99023890000000003</v>
      </c>
      <c r="Y4161">
        <v>-0.1303376</v>
      </c>
      <c r="Z4161">
        <v>3.069908E-2</v>
      </c>
      <c r="AA4161">
        <v>0.99099429999999999</v>
      </c>
      <c r="AB4161">
        <v>35</v>
      </c>
      <c r="AC4161">
        <v>0.75180000000000202</v>
      </c>
      <c r="AD4161">
        <v>-1.109722794554</v>
      </c>
      <c r="AE4161">
        <v>-35.318179999999998</v>
      </c>
      <c r="AF4161">
        <v>-4.6404828708381602</v>
      </c>
      <c r="AG4161">
        <v>-1.109722794554</v>
      </c>
      <c r="AH4161">
        <v>34.984934358480501</v>
      </c>
      <c r="AI4161">
        <v>91.801049849478005</v>
      </c>
      <c r="AJ4161">
        <v>97.555739291144107</v>
      </c>
      <c r="AK4161">
        <v>35.308797742524199</v>
      </c>
    </row>
    <row r="4162" spans="1:37" x14ac:dyDescent="0.2">
      <c r="A4162" t="str">
        <f>"20200111153517673"</f>
        <v>20200111153517673</v>
      </c>
      <c r="B4162" t="str">
        <f>"1578728117660471"</f>
        <v>1578728117660471</v>
      </c>
      <c r="C4162" t="s">
        <v>37</v>
      </c>
      <c r="D4162">
        <v>4.847289</v>
      </c>
      <c r="E4162">
        <v>0.49588500000000002</v>
      </c>
      <c r="F4162" t="s">
        <v>39</v>
      </c>
      <c r="G4162">
        <v>-415.5147</v>
      </c>
      <c r="H4162" s="1">
        <v>-1.7514599999999901E-6</v>
      </c>
      <c r="I4162">
        <v>81.287850000000006</v>
      </c>
      <c r="J4162">
        <v>-416.3073</v>
      </c>
      <c r="K4162">
        <v>1.10938</v>
      </c>
      <c r="L4162">
        <v>116.3967</v>
      </c>
      <c r="M4162">
        <v>-0.106182399999999</v>
      </c>
      <c r="N4162">
        <v>0</v>
      </c>
      <c r="O4162">
        <v>-0.99424449999999998</v>
      </c>
      <c r="P4162">
        <v>1.277592E-2</v>
      </c>
      <c r="Q4162">
        <v>5.314762E-2</v>
      </c>
      <c r="R4162">
        <v>-0.99850490000000003</v>
      </c>
      <c r="S4162">
        <v>6.4422610000000005E-2</v>
      </c>
      <c r="T4162">
        <v>-9.4189049999999996E-2</v>
      </c>
      <c r="U4162">
        <v>-3.008896</v>
      </c>
      <c r="V4162">
        <v>-0.11947670000000001</v>
      </c>
      <c r="W4162">
        <v>6.5963339999999995E-2</v>
      </c>
      <c r="X4162">
        <v>0.9906433</v>
      </c>
      <c r="Y4162">
        <v>-0.1274431</v>
      </c>
      <c r="Z4162">
        <v>3.089165E-2</v>
      </c>
      <c r="AA4162">
        <v>0.99136469999999899</v>
      </c>
      <c r="AB4162">
        <v>34</v>
      </c>
      <c r="AC4162">
        <v>0.79259999999999298</v>
      </c>
      <c r="AD4162">
        <v>-1.10938175146</v>
      </c>
      <c r="AE4162">
        <v>-35.108849999999897</v>
      </c>
      <c r="AF4162">
        <v>-4.5119363015662497</v>
      </c>
      <c r="AG4162">
        <v>-1.10938175146</v>
      </c>
      <c r="AH4162">
        <v>34.791438858714599</v>
      </c>
      <c r="AI4162">
        <v>91.811193694916199</v>
      </c>
      <c r="AJ4162">
        <v>97.389177041481105</v>
      </c>
      <c r="AK4162">
        <v>35.100320723884202</v>
      </c>
    </row>
    <row r="4163" spans="1:37" x14ac:dyDescent="0.2">
      <c r="A4163" t="str">
        <f>"20200111153517695"</f>
        <v>20200111153517695</v>
      </c>
      <c r="B4163" t="str">
        <f>"1578728117690728"</f>
        <v>1578728117690728</v>
      </c>
      <c r="C4163" t="s">
        <v>37</v>
      </c>
      <c r="D4163">
        <v>4.7998580000000004</v>
      </c>
      <c r="E4163">
        <v>0.52927800000000003</v>
      </c>
      <c r="F4163" t="s">
        <v>39</v>
      </c>
      <c r="G4163">
        <v>-415.51220000000001</v>
      </c>
      <c r="H4163" s="1">
        <v>-1.9383219999999999E-6</v>
      </c>
      <c r="I4163">
        <v>81.835009999999997</v>
      </c>
      <c r="J4163">
        <v>-416.34059999999999</v>
      </c>
      <c r="K4163">
        <v>1.1090100000000001</v>
      </c>
      <c r="L4163">
        <v>116.0463</v>
      </c>
      <c r="M4163">
        <v>-0.1022846</v>
      </c>
      <c r="N4163">
        <v>0</v>
      </c>
      <c r="O4163">
        <v>-0.99465360000000003</v>
      </c>
      <c r="P4163">
        <v>1.310448E-2</v>
      </c>
      <c r="Q4163">
        <v>5.2313989999999998E-2</v>
      </c>
      <c r="R4163">
        <v>-0.99854469999999995</v>
      </c>
      <c r="S4163">
        <v>6.9213869999999997E-2</v>
      </c>
      <c r="T4163">
        <v>-9.6576449999999994E-2</v>
      </c>
      <c r="U4163">
        <v>-3.0087429999999999</v>
      </c>
      <c r="V4163">
        <v>-0.1158507</v>
      </c>
      <c r="W4163">
        <v>6.5244849999999993E-2</v>
      </c>
      <c r="X4163">
        <v>0.99112149999999999</v>
      </c>
      <c r="Y4163">
        <v>-0.12513360000000001</v>
      </c>
      <c r="Z4163">
        <v>3.1699289999999998E-2</v>
      </c>
      <c r="AA4163">
        <v>0.9916334</v>
      </c>
      <c r="AB4163">
        <v>34</v>
      </c>
      <c r="AC4163">
        <v>0.82839999999998704</v>
      </c>
      <c r="AD4163">
        <v>-1.1090119383220001</v>
      </c>
      <c r="AE4163">
        <v>-34.211289999999998</v>
      </c>
      <c r="AF4163">
        <v>-4.3191599818251198</v>
      </c>
      <c r="AG4163">
        <v>-1.1090119383220001</v>
      </c>
      <c r="AH4163">
        <v>33.911465932725903</v>
      </c>
      <c r="AI4163">
        <v>91.8580855266149</v>
      </c>
      <c r="AJ4163">
        <v>97.258440550049599</v>
      </c>
      <c r="AK4163">
        <v>34.2034000083964</v>
      </c>
    </row>
    <row r="4164" spans="1:37" x14ac:dyDescent="0.2">
      <c r="A4164" t="str">
        <f>"20200111153517718"</f>
        <v>20200111153517718</v>
      </c>
      <c r="B4164" t="str">
        <f>"1578728117710247"</f>
        <v>1578728117710247</v>
      </c>
      <c r="C4164" t="s">
        <v>37</v>
      </c>
      <c r="D4164">
        <v>4.7946160000000004</v>
      </c>
      <c r="E4164">
        <v>0.54254179999999996</v>
      </c>
      <c r="F4164" t="s">
        <v>39</v>
      </c>
      <c r="G4164">
        <v>-418.05160000000001</v>
      </c>
      <c r="H4164" s="1">
        <v>-5.6215839999999997E-7</v>
      </c>
      <c r="I4164">
        <v>89.776619999999994</v>
      </c>
      <c r="J4164">
        <v>-416.37189999999998</v>
      </c>
      <c r="K4164">
        <v>1.108636</v>
      </c>
      <c r="L4164">
        <v>115.70820000000001</v>
      </c>
      <c r="M4164">
        <v>-9.8915320000000001E-2</v>
      </c>
      <c r="N4164">
        <v>0</v>
      </c>
      <c r="O4164">
        <v>-0.99499479999999996</v>
      </c>
      <c r="P4164">
        <v>1.2971989999999999E-2</v>
      </c>
      <c r="Q4164">
        <v>5.2800899999999998E-2</v>
      </c>
      <c r="R4164">
        <v>-0.99852099999999899</v>
      </c>
      <c r="S4164">
        <v>-0.19628909999999999</v>
      </c>
      <c r="T4164">
        <v>-0.12722310000000001</v>
      </c>
      <c r="U4164">
        <v>-3.0135959999999899</v>
      </c>
      <c r="V4164">
        <v>-0.1122996</v>
      </c>
      <c r="W4164">
        <v>6.5841529999999995E-2</v>
      </c>
      <c r="X4164">
        <v>0.99149069999999995</v>
      </c>
      <c r="Y4164">
        <v>-3.4095229999999997E-2</v>
      </c>
      <c r="Z4164">
        <v>4.1812460000000003E-2</v>
      </c>
      <c r="AA4164">
        <v>0.99854359999999998</v>
      </c>
      <c r="AB4164">
        <v>34</v>
      </c>
      <c r="AC4164">
        <v>-1.67970000000002</v>
      </c>
      <c r="AD4164">
        <v>-1.1086365621584</v>
      </c>
      <c r="AE4164">
        <v>-25.93158</v>
      </c>
      <c r="AF4164">
        <v>-0.89220372494074596</v>
      </c>
      <c r="AG4164">
        <v>-1.1086365621584</v>
      </c>
      <c r="AH4164">
        <v>25.9233630306612</v>
      </c>
      <c r="AI4164">
        <v>92.447367460998805</v>
      </c>
      <c r="AJ4164">
        <v>91.971169327547997</v>
      </c>
      <c r="AK4164">
        <v>25.962393058676302</v>
      </c>
    </row>
    <row r="4165" spans="1:37" x14ac:dyDescent="0.2">
      <c r="A4165" t="str">
        <f>"20200111153517740"</f>
        <v>20200111153517740</v>
      </c>
      <c r="B4165" t="str">
        <f>"1578728117730751"</f>
        <v>1578728117730751</v>
      </c>
      <c r="C4165" t="s">
        <v>37</v>
      </c>
      <c r="D4165">
        <v>4.7100770000000001</v>
      </c>
      <c r="E4165">
        <v>0.54762529999999998</v>
      </c>
      <c r="F4165" t="s">
        <v>39</v>
      </c>
      <c r="G4165">
        <v>-418.78649999999999</v>
      </c>
      <c r="H4165" s="1">
        <v>-1.0650260000000001E-6</v>
      </c>
      <c r="I4165">
        <v>91.613590000000002</v>
      </c>
      <c r="J4165">
        <v>-416.40230000000003</v>
      </c>
      <c r="K4165">
        <v>1.1082459999999901</v>
      </c>
      <c r="L4165">
        <v>115.3695</v>
      </c>
      <c r="M4165">
        <v>-9.596942E-2</v>
      </c>
      <c r="N4165">
        <v>0</v>
      </c>
      <c r="O4165">
        <v>-0.9952839</v>
      </c>
      <c r="P4165">
        <v>1.3026360000000001E-2</v>
      </c>
      <c r="Q4165">
        <v>5.329503E-2</v>
      </c>
      <c r="R4165">
        <v>-0.99849409999999905</v>
      </c>
      <c r="S4165">
        <v>-0.30221559999999997</v>
      </c>
      <c r="T4165">
        <v>-0.13875789999999999</v>
      </c>
      <c r="U4165">
        <v>-3.015701</v>
      </c>
      <c r="V4165">
        <v>-0.1093532</v>
      </c>
      <c r="W4165">
        <v>6.6438629999999999E-2</v>
      </c>
      <c r="X4165">
        <v>0.99178009999999905</v>
      </c>
      <c r="Y4165">
        <v>3.6496720000000001E-3</v>
      </c>
      <c r="Z4165">
        <v>4.5531699999999897E-2</v>
      </c>
      <c r="AA4165">
        <v>0.99895619999999996</v>
      </c>
      <c r="AB4165">
        <v>34</v>
      </c>
      <c r="AC4165">
        <v>-2.3841999999999599</v>
      </c>
      <c r="AD4165">
        <v>-1.1082470650259999</v>
      </c>
      <c r="AE4165">
        <v>-23.75591</v>
      </c>
      <c r="AF4165">
        <v>9.2924055978116302E-2</v>
      </c>
      <c r="AG4165">
        <v>-1.1082470650259999</v>
      </c>
      <c r="AH4165">
        <v>23.8237387480278</v>
      </c>
      <c r="AI4165">
        <v>92.663379364431606</v>
      </c>
      <c r="AJ4165">
        <v>89.776519996328005</v>
      </c>
      <c r="AK4165">
        <v>23.849682898764101</v>
      </c>
    </row>
    <row r="4166" spans="1:37" x14ac:dyDescent="0.2">
      <c r="A4166" t="str">
        <f>"20200111153517761"</f>
        <v>20200111153517761</v>
      </c>
      <c r="B4166" t="str">
        <f>"1578728117750264"</f>
        <v>1578728117750264</v>
      </c>
      <c r="C4166" t="s">
        <v>37</v>
      </c>
      <c r="D4166">
        <v>4.7894259999999997</v>
      </c>
      <c r="E4166">
        <v>0.55026160000000002</v>
      </c>
      <c r="F4166" t="s">
        <v>39</v>
      </c>
      <c r="G4166">
        <v>-418.92500000000001</v>
      </c>
      <c r="H4166" s="1">
        <v>-1.701909E-6</v>
      </c>
      <c r="I4166">
        <v>93.155469999999994</v>
      </c>
      <c r="J4166">
        <v>-416.43199999999899</v>
      </c>
      <c r="K4166">
        <v>1.107872</v>
      </c>
      <c r="L4166">
        <v>115.0341</v>
      </c>
      <c r="M4166">
        <v>-9.3480960000000002E-2</v>
      </c>
      <c r="N4166">
        <v>0</v>
      </c>
      <c r="O4166">
        <v>-0.99552109999999905</v>
      </c>
      <c r="P4166">
        <v>1.2827160000000001E-2</v>
      </c>
      <c r="Q4166">
        <v>5.3948419999999997E-2</v>
      </c>
      <c r="R4166">
        <v>-0.99846179999999995</v>
      </c>
      <c r="S4166">
        <v>-0.3426208</v>
      </c>
      <c r="T4166">
        <v>-0.1505184</v>
      </c>
      <c r="U4166">
        <v>-3.017029</v>
      </c>
      <c r="V4166">
        <v>-0.1066111</v>
      </c>
      <c r="W4166">
        <v>6.7188460000000005E-2</v>
      </c>
      <c r="X4166">
        <v>0.99202809999999897</v>
      </c>
      <c r="Y4166">
        <v>1.931167E-2</v>
      </c>
      <c r="Z4166">
        <v>4.9338359999999998E-2</v>
      </c>
      <c r="AA4166">
        <v>0.99859540000000002</v>
      </c>
      <c r="AB4166">
        <v>34</v>
      </c>
      <c r="AC4166">
        <v>-2.4930000000000501</v>
      </c>
      <c r="AD4166">
        <v>-1.1078737019089999</v>
      </c>
      <c r="AE4166">
        <v>-21.878630000000001</v>
      </c>
      <c r="AF4166">
        <v>0.43553975846793302</v>
      </c>
      <c r="AG4166">
        <v>-1.1078737019089999</v>
      </c>
      <c r="AH4166">
        <v>21.960289744564601</v>
      </c>
      <c r="AI4166">
        <v>92.887496932419594</v>
      </c>
      <c r="AJ4166">
        <v>88.863798289208404</v>
      </c>
      <c r="AK4166">
        <v>21.9925306566983</v>
      </c>
    </row>
    <row r="4167" spans="1:37" x14ac:dyDescent="0.2">
      <c r="A4167" t="str">
        <f>"20200111153517784"</f>
        <v>20200111153517784</v>
      </c>
      <c r="B4167" t="str">
        <f>"1578728117780520"</f>
        <v>1578728117780520</v>
      </c>
      <c r="C4167" t="s">
        <v>37</v>
      </c>
      <c r="D4167">
        <v>4.7831999999999999</v>
      </c>
      <c r="E4167">
        <v>0.55242899999999995</v>
      </c>
      <c r="F4167" t="s">
        <v>39</v>
      </c>
      <c r="G4167">
        <v>-419.05829999999997</v>
      </c>
      <c r="H4167" s="1">
        <v>-1.7381749999999899E-6</v>
      </c>
      <c r="I4167">
        <v>93.29513</v>
      </c>
      <c r="J4167">
        <v>-416.46159999999998</v>
      </c>
      <c r="K4167">
        <v>1.1075159999999999</v>
      </c>
      <c r="L4167">
        <v>114.6923</v>
      </c>
      <c r="M4167">
        <v>-9.1293739999999998E-2</v>
      </c>
      <c r="N4167">
        <v>0</v>
      </c>
      <c r="O4167">
        <v>-0.99572439999999995</v>
      </c>
      <c r="P4167">
        <v>1.223249E-2</v>
      </c>
      <c r="Q4167">
        <v>5.4498709999999999E-2</v>
      </c>
      <c r="R4167">
        <v>-0.99843909999999902</v>
      </c>
      <c r="S4167">
        <v>-0.36456300000000003</v>
      </c>
      <c r="T4167">
        <v>-0.1537859</v>
      </c>
      <c r="U4167">
        <v>-3.0176240000000001</v>
      </c>
      <c r="V4167">
        <v>-0.1037793</v>
      </c>
      <c r="W4167">
        <v>6.782502E-2</v>
      </c>
      <c r="X4167">
        <v>0.99228510000000003</v>
      </c>
      <c r="Y4167">
        <v>2.864154E-2</v>
      </c>
      <c r="Z4167">
        <v>5.0385399999999997E-2</v>
      </c>
      <c r="AA4167">
        <v>0.99831909999999902</v>
      </c>
      <c r="AB4167">
        <v>34</v>
      </c>
      <c r="AC4167">
        <v>-2.59669999999999</v>
      </c>
      <c r="AD4167">
        <v>-1.1075177381749901</v>
      </c>
      <c r="AE4167">
        <v>-21.397169999999999</v>
      </c>
      <c r="AF4167">
        <v>0.63056775231598206</v>
      </c>
      <c r="AG4167">
        <v>-1.1075177381749901</v>
      </c>
      <c r="AH4167">
        <v>21.488150443120301</v>
      </c>
      <c r="AI4167">
        <v>92.9491956666688</v>
      </c>
      <c r="AJ4167">
        <v>88.319143107176401</v>
      </c>
      <c r="AK4167">
        <v>21.525910449892798</v>
      </c>
    </row>
    <row r="4168" spans="1:37" x14ac:dyDescent="0.2">
      <c r="A4168" t="str">
        <f>"20200111153517806"</f>
        <v>20200111153517806</v>
      </c>
      <c r="B4168" t="str">
        <f>"1578728117800042"</f>
        <v>1578728117800042</v>
      </c>
      <c r="C4168" t="s">
        <v>37</v>
      </c>
      <c r="D4168">
        <v>4.7270269999999996</v>
      </c>
      <c r="E4168">
        <v>0.55314680000000005</v>
      </c>
      <c r="F4168" t="s">
        <v>39</v>
      </c>
      <c r="G4168">
        <v>-419.15890000000002</v>
      </c>
      <c r="H4168" s="1">
        <v>-1.7852939999999999E-6</v>
      </c>
      <c r="I4168">
        <v>93.446539999999999</v>
      </c>
      <c r="J4168">
        <v>-416.4914</v>
      </c>
      <c r="K4168">
        <v>1.1071759999999999</v>
      </c>
      <c r="L4168">
        <v>114.3439</v>
      </c>
      <c r="M4168">
        <v>-8.942203E-2</v>
      </c>
      <c r="N4168">
        <v>0</v>
      </c>
      <c r="O4168">
        <v>-0.99589470000000002</v>
      </c>
      <c r="P4168">
        <v>1.1320520000000001E-2</v>
      </c>
      <c r="Q4168">
        <v>5.4323870000000003E-2</v>
      </c>
      <c r="R4168">
        <v>-0.99845930000000005</v>
      </c>
      <c r="S4168">
        <v>-0.38314819999999999</v>
      </c>
      <c r="T4168">
        <v>-0.15732399999999999</v>
      </c>
      <c r="U4168">
        <v>-3.0179749999999999</v>
      </c>
      <c r="V4168">
        <v>-0.1009482</v>
      </c>
      <c r="W4168">
        <v>6.7728430000000006E-2</v>
      </c>
      <c r="X4168">
        <v>0.99258359999999901</v>
      </c>
      <c r="Y4168">
        <v>3.6553170000000003E-2</v>
      </c>
      <c r="Z4168">
        <v>5.1522730000000003E-2</v>
      </c>
      <c r="AA4168">
        <v>0.99800259999999996</v>
      </c>
      <c r="AB4168">
        <v>34</v>
      </c>
      <c r="AC4168">
        <v>-2.6675000000000102</v>
      </c>
      <c r="AD4168">
        <v>-1.1071777852939999</v>
      </c>
      <c r="AE4168">
        <v>-20.897359999999999</v>
      </c>
      <c r="AF4168">
        <v>0.78577220456744901</v>
      </c>
      <c r="AG4168">
        <v>-1.1071777852939999</v>
      </c>
      <c r="AH4168">
        <v>20.994194631525801</v>
      </c>
      <c r="AI4168">
        <v>93.016721504610004</v>
      </c>
      <c r="AJ4168">
        <v>87.856530030894206</v>
      </c>
      <c r="AK4168">
        <v>21.038048598482401</v>
      </c>
    </row>
    <row r="4169" spans="1:37" x14ac:dyDescent="0.2">
      <c r="A4169" t="str">
        <f>"20200111153517829"</f>
        <v>20200111153517829</v>
      </c>
      <c r="B4169" t="str">
        <f>"1578728117820535"</f>
        <v>1578728117820535</v>
      </c>
      <c r="C4169" t="s">
        <v>37</v>
      </c>
      <c r="D4169">
        <v>4.703309</v>
      </c>
      <c r="E4169">
        <v>0.55401350000000005</v>
      </c>
      <c r="F4169" t="s">
        <v>39</v>
      </c>
      <c r="G4169">
        <v>-419.1995</v>
      </c>
      <c r="H4169" s="1">
        <v>-1.796419E-6</v>
      </c>
      <c r="I4169">
        <v>93.489269999999905</v>
      </c>
      <c r="J4169">
        <v>-416.51920000000001</v>
      </c>
      <c r="K4169">
        <v>1.106876</v>
      </c>
      <c r="L4169">
        <v>114.015</v>
      </c>
      <c r="M4169">
        <v>-8.798483E-2</v>
      </c>
      <c r="N4169">
        <v>0</v>
      </c>
      <c r="O4169">
        <v>-0.99602289999999905</v>
      </c>
      <c r="P4169">
        <v>1.002639E-2</v>
      </c>
      <c r="Q4169">
        <v>5.3417199999999998E-2</v>
      </c>
      <c r="R4169">
        <v>-0.99852209999999997</v>
      </c>
      <c r="S4169">
        <v>-0.39187620000000001</v>
      </c>
      <c r="T4169">
        <v>-0.160215</v>
      </c>
      <c r="U4169">
        <v>-3.017792</v>
      </c>
      <c r="V4169">
        <v>-9.8176029999999997E-2</v>
      </c>
      <c r="W4169">
        <v>6.6891110000000004E-2</v>
      </c>
      <c r="X4169">
        <v>0.99291839999999998</v>
      </c>
      <c r="Y4169">
        <v>4.0835749999999997E-2</v>
      </c>
      <c r="Z4169">
        <v>5.2466230000000003E-2</v>
      </c>
      <c r="AA4169">
        <v>0.99778739999999999</v>
      </c>
      <c r="AB4169">
        <v>34</v>
      </c>
      <c r="AC4169">
        <v>-2.6802999999999799</v>
      </c>
      <c r="AD4169">
        <v>-1.106877796419</v>
      </c>
      <c r="AE4169">
        <v>-20.525729999999999</v>
      </c>
      <c r="AF4169">
        <v>0.86130968354201398</v>
      </c>
      <c r="AG4169">
        <v>-1.106877796419</v>
      </c>
      <c r="AH4169">
        <v>20.622993438355302</v>
      </c>
      <c r="AI4169">
        <v>93.069561871806499</v>
      </c>
      <c r="AJ4169">
        <v>87.608458400583302</v>
      </c>
      <c r="AK4169">
        <v>20.670628708039199</v>
      </c>
    </row>
    <row r="4170" spans="1:37" x14ac:dyDescent="0.2">
      <c r="A4170" t="str">
        <f>"20200111153517851"</f>
        <v>20200111153517851</v>
      </c>
      <c r="B4170" t="str">
        <f>"1578728117840056"</f>
        <v>1578728117840056</v>
      </c>
      <c r="C4170" t="s">
        <v>37</v>
      </c>
      <c r="D4170">
        <v>4.7788259999999996</v>
      </c>
      <c r="E4170">
        <v>0.55452639999999997</v>
      </c>
      <c r="F4170" t="s">
        <v>39</v>
      </c>
      <c r="G4170">
        <v>-419.23270000000002</v>
      </c>
      <c r="H4170" s="1">
        <v>-1.854011E-6</v>
      </c>
      <c r="I4170">
        <v>93.637230000000002</v>
      </c>
      <c r="J4170">
        <v>-416.5478</v>
      </c>
      <c r="K4170">
        <v>1.106562</v>
      </c>
      <c r="L4170">
        <v>113.67529999999999</v>
      </c>
      <c r="M4170">
        <v>-8.6831539999999999E-2</v>
      </c>
      <c r="N4170">
        <v>0</v>
      </c>
      <c r="O4170">
        <v>-0.99612459999999903</v>
      </c>
      <c r="P4170">
        <v>8.8751630000000001E-3</v>
      </c>
      <c r="Q4170">
        <v>5.2486709999999999E-2</v>
      </c>
      <c r="R4170">
        <v>-0.99858250000000004</v>
      </c>
      <c r="S4170">
        <v>-0.40176390000000001</v>
      </c>
      <c r="T4170">
        <v>-0.16388949999999999</v>
      </c>
      <c r="U4170">
        <v>-3.0172270000000001</v>
      </c>
      <c r="V4170">
        <v>-9.5826750000000002E-2</v>
      </c>
      <c r="W4170">
        <v>6.6027550000000004E-2</v>
      </c>
      <c r="X4170">
        <v>0.99320569999999897</v>
      </c>
      <c r="Y4170">
        <v>4.5221879999999999E-2</v>
      </c>
      <c r="Z4170">
        <v>5.3667689999999997E-2</v>
      </c>
      <c r="AA4170">
        <v>0.99753429999999998</v>
      </c>
      <c r="AB4170">
        <v>34</v>
      </c>
      <c r="AC4170">
        <v>-2.6849000000000198</v>
      </c>
      <c r="AD4170">
        <v>-1.1065638540110001</v>
      </c>
      <c r="AE4170">
        <v>-20.038069999999902</v>
      </c>
      <c r="AF4170">
        <v>0.93185842762296101</v>
      </c>
      <c r="AG4170">
        <v>-1.1065638540110001</v>
      </c>
      <c r="AH4170">
        <v>20.135207255502301</v>
      </c>
      <c r="AI4170">
        <v>93.142264141633206</v>
      </c>
      <c r="AJ4170">
        <v>87.350239088064598</v>
      </c>
      <c r="AK4170">
        <v>20.187110117948201</v>
      </c>
    </row>
    <row r="4171" spans="1:37" x14ac:dyDescent="0.2">
      <c r="A4171" t="str">
        <f>"20200111153517874"</f>
        <v>20200111153517874</v>
      </c>
      <c r="B4171" t="str">
        <f>"1578728117870312"</f>
        <v>1578728117870312</v>
      </c>
      <c r="C4171" t="s">
        <v>37</v>
      </c>
      <c r="D4171">
        <v>4.7569429999999997</v>
      </c>
      <c r="E4171">
        <v>0.55527059999999995</v>
      </c>
      <c r="F4171" t="s">
        <v>39</v>
      </c>
      <c r="G4171">
        <v>-419.23480000000001</v>
      </c>
      <c r="H4171" s="1">
        <v>-1.9478330000000001E-6</v>
      </c>
      <c r="I4171">
        <v>93.856830000000002</v>
      </c>
      <c r="J4171">
        <v>-416.57650000000001</v>
      </c>
      <c r="K4171">
        <v>1.1062379999999901</v>
      </c>
      <c r="L4171">
        <v>113.33240000000001</v>
      </c>
      <c r="M4171">
        <v>-8.5993559999999997E-2</v>
      </c>
      <c r="N4171">
        <v>0</v>
      </c>
      <c r="O4171">
        <v>-0.99619729999999995</v>
      </c>
      <c r="P4171">
        <v>8.8650719999999999E-3</v>
      </c>
      <c r="Q4171">
        <v>5.2080479999999998E-2</v>
      </c>
      <c r="R4171">
        <v>-0.99860349999999998</v>
      </c>
      <c r="S4171">
        <v>-0.40902709999999998</v>
      </c>
      <c r="T4171">
        <v>-0.1684406</v>
      </c>
      <c r="U4171">
        <v>-3.0167540000000002</v>
      </c>
      <c r="V4171">
        <v>-9.4927620000000004E-2</v>
      </c>
      <c r="W4171">
        <v>6.5681649999999994E-2</v>
      </c>
      <c r="X4171">
        <v>0.99331499999999995</v>
      </c>
      <c r="Y4171">
        <v>4.8430620000000001E-2</v>
      </c>
      <c r="Z4171">
        <v>5.515515E-2</v>
      </c>
      <c r="AA4171">
        <v>0.99730249999999998</v>
      </c>
      <c r="AB4171">
        <v>34</v>
      </c>
      <c r="AC4171">
        <v>-2.6582999999999899</v>
      </c>
      <c r="AD4171">
        <v>-1.1062399478329901</v>
      </c>
      <c r="AE4171">
        <v>-19.475570000000001</v>
      </c>
      <c r="AF4171">
        <v>0.97043935691299399</v>
      </c>
      <c r="AG4171">
        <v>-1.1062399478329901</v>
      </c>
      <c r="AH4171">
        <v>19.570045453481399</v>
      </c>
      <c r="AI4171">
        <v>93.231365118140801</v>
      </c>
      <c r="AJ4171">
        <v>87.161142416677194</v>
      </c>
      <c r="AK4171">
        <v>19.6252948619621</v>
      </c>
    </row>
    <row r="4172" spans="1:37" x14ac:dyDescent="0.2">
      <c r="A4172" t="str">
        <f>"20200111153517897"</f>
        <v>20200111153517897</v>
      </c>
      <c r="B4172" t="str">
        <f>"1578728117889831"</f>
        <v>1578728117889831</v>
      </c>
      <c r="C4172" t="s">
        <v>37</v>
      </c>
      <c r="D4172">
        <v>4.7787169999999897</v>
      </c>
      <c r="E4172">
        <v>0.55564859999999905</v>
      </c>
      <c r="F4172" t="s">
        <v>39</v>
      </c>
      <c r="G4172">
        <v>-419.30250000000001</v>
      </c>
      <c r="H4172" s="1">
        <v>-1.808379E-6</v>
      </c>
      <c r="I4172">
        <v>93.559719999999999</v>
      </c>
      <c r="J4172">
        <v>-416.60669999999999</v>
      </c>
      <c r="K4172">
        <v>1.1059030000000001</v>
      </c>
      <c r="L4172">
        <v>112.9726</v>
      </c>
      <c r="M4172">
        <v>-8.5425870000000001E-2</v>
      </c>
      <c r="N4172">
        <v>0</v>
      </c>
      <c r="O4172">
        <v>-0.99624669999999904</v>
      </c>
      <c r="P4172">
        <v>1.036454E-2</v>
      </c>
      <c r="Q4172">
        <v>5.3205790000000003E-2</v>
      </c>
      <c r="R4172">
        <v>-0.99852999999999903</v>
      </c>
      <c r="S4172">
        <v>-0.41589359999999997</v>
      </c>
      <c r="T4172">
        <v>-0.16877729999999999</v>
      </c>
      <c r="U4172">
        <v>-3.0166930000000001</v>
      </c>
      <c r="V4172">
        <v>-9.5796790000000007E-2</v>
      </c>
      <c r="W4172">
        <v>6.6861139999999999E-2</v>
      </c>
      <c r="X4172">
        <v>0.99315290000000001</v>
      </c>
      <c r="Y4172">
        <v>5.122993E-2</v>
      </c>
      <c r="Z4172">
        <v>5.525791E-2</v>
      </c>
      <c r="AA4172">
        <v>0.99715699999999996</v>
      </c>
      <c r="AB4172">
        <v>34</v>
      </c>
      <c r="AC4172">
        <v>-2.6958000000000202</v>
      </c>
      <c r="AD4172">
        <v>-1.105904808379</v>
      </c>
      <c r="AE4172">
        <v>-19.412880000000001</v>
      </c>
      <c r="AF4172">
        <v>1.02415900772561</v>
      </c>
      <c r="AG4172">
        <v>-1.105904808379</v>
      </c>
      <c r="AH4172">
        <v>19.510098092345601</v>
      </c>
      <c r="AI4172">
        <v>93.239814639965104</v>
      </c>
      <c r="AJ4172">
        <v>86.995085423571496</v>
      </c>
      <c r="AK4172">
        <v>19.568235860476701</v>
      </c>
    </row>
    <row r="4173" spans="1:37" x14ac:dyDescent="0.2">
      <c r="A4173" t="str">
        <f>"20200111153517920"</f>
        <v>20200111153517920</v>
      </c>
      <c r="B4173" t="str">
        <f>"1578728117910327"</f>
        <v>1578728117910327</v>
      </c>
      <c r="C4173" t="s">
        <v>37</v>
      </c>
      <c r="D4173">
        <v>4.7279249999999999</v>
      </c>
      <c r="E4173">
        <v>0.55598999999999998</v>
      </c>
      <c r="F4173" t="s">
        <v>39</v>
      </c>
      <c r="G4173">
        <v>-419.3965</v>
      </c>
      <c r="H4173" s="1">
        <v>-1.416587E-6</v>
      </c>
      <c r="I4173">
        <v>92.685329999999993</v>
      </c>
      <c r="J4173">
        <v>-416.63420000000002</v>
      </c>
      <c r="K4173">
        <v>1.105623</v>
      </c>
      <c r="L4173">
        <v>112.64570000000001</v>
      </c>
      <c r="M4173">
        <v>-8.5170949999999995E-2</v>
      </c>
      <c r="N4173">
        <v>0</v>
      </c>
      <c r="O4173">
        <v>-0.99626870000000001</v>
      </c>
      <c r="P4173">
        <v>1.170614E-2</v>
      </c>
      <c r="Q4173">
        <v>5.3670160000000001E-2</v>
      </c>
      <c r="R4173">
        <v>-0.99849030000000005</v>
      </c>
      <c r="S4173">
        <v>-0.41494750000000002</v>
      </c>
      <c r="T4173">
        <v>-0.16448969999999999</v>
      </c>
      <c r="U4173">
        <v>-3.017487</v>
      </c>
      <c r="V4173">
        <v>-9.6831009999999995E-2</v>
      </c>
      <c r="W4173">
        <v>6.7371150000000005E-2</v>
      </c>
      <c r="X4173">
        <v>0.99301810000000001</v>
      </c>
      <c r="Y4173">
        <v>5.1153730000000001E-2</v>
      </c>
      <c r="Z4173">
        <v>5.3847310000000002E-2</v>
      </c>
      <c r="AA4173">
        <v>0.99723799999999996</v>
      </c>
      <c r="AB4173">
        <v>34</v>
      </c>
      <c r="AC4173">
        <v>-2.7622999999999802</v>
      </c>
      <c r="AD4173">
        <v>-1.1056244165869999</v>
      </c>
      <c r="AE4173">
        <v>-19.960370000000001</v>
      </c>
      <c r="AF4173">
        <v>1.0488940171571901</v>
      </c>
      <c r="AG4173">
        <v>-1.1056244165869999</v>
      </c>
      <c r="AH4173">
        <v>20.062718621562802</v>
      </c>
      <c r="AI4173">
        <v>93.149995174804204</v>
      </c>
      <c r="AJ4173">
        <v>87.007258238875593</v>
      </c>
      <c r="AK4173">
        <v>20.1205184450546</v>
      </c>
    </row>
    <row r="4174" spans="1:37" x14ac:dyDescent="0.2">
      <c r="A4174" t="str">
        <f>"20200111153517940"</f>
        <v>20200111153517940</v>
      </c>
      <c r="B4174" t="str">
        <f>"1578728117929849"</f>
        <v>1578728117929849</v>
      </c>
      <c r="C4174" t="s">
        <v>37</v>
      </c>
      <c r="D4174">
        <v>4.7623889999999998</v>
      </c>
      <c r="E4174">
        <v>0.55620380000000003</v>
      </c>
      <c r="F4174" t="s">
        <v>40</v>
      </c>
      <c r="G4174">
        <v>-416.7756</v>
      </c>
      <c r="H4174">
        <v>1.0503750000000001</v>
      </c>
      <c r="I4174">
        <v>111.62009999999999</v>
      </c>
      <c r="J4174">
        <v>-416.66199999999998</v>
      </c>
      <c r="K4174">
        <v>1.1053679999999999</v>
      </c>
      <c r="L4174">
        <v>112.3173</v>
      </c>
      <c r="M4174">
        <v>-8.5153660000000006E-2</v>
      </c>
      <c r="N4174">
        <v>0</v>
      </c>
      <c r="O4174">
        <v>-0.99627009999999905</v>
      </c>
      <c r="P4174">
        <v>1.2781610000000001E-2</v>
      </c>
      <c r="Q4174">
        <v>5.1814819999999998E-2</v>
      </c>
      <c r="R4174">
        <v>-0.99857489999999904</v>
      </c>
      <c r="S4174">
        <v>-0.41494750000000002</v>
      </c>
      <c r="T4174">
        <v>-0.16260229999999901</v>
      </c>
      <c r="U4174">
        <v>-3.0181429999999998</v>
      </c>
      <c r="V4174">
        <v>-9.7849469999999994E-2</v>
      </c>
      <c r="W4174">
        <v>6.5558399999999906E-2</v>
      </c>
      <c r="X4174">
        <v>0.99303949999999996</v>
      </c>
      <c r="Y4174">
        <v>5.1146369999999997E-2</v>
      </c>
      <c r="Z4174">
        <v>5.3219929999999999E-2</v>
      </c>
      <c r="AA4174">
        <v>0.99727209999999999</v>
      </c>
      <c r="AB4174">
        <v>34</v>
      </c>
      <c r="AC4174">
        <v>-0.11360000000001901</v>
      </c>
      <c r="AD4174">
        <v>-5.4993E-2</v>
      </c>
      <c r="AE4174">
        <v>-0.69720000000000903</v>
      </c>
      <c r="AF4174">
        <v>5.3488217265774997E-2</v>
      </c>
      <c r="AG4174">
        <v>-5.4993E-2</v>
      </c>
      <c r="AH4174">
        <v>0.70009849027580495</v>
      </c>
      <c r="AI4174">
        <v>94.478384611058004</v>
      </c>
      <c r="AJ4174">
        <v>85.631033285586597</v>
      </c>
      <c r="AK4174">
        <v>0.70428908519281497</v>
      </c>
    </row>
    <row r="4175" spans="1:37" x14ac:dyDescent="0.2">
      <c r="A4175" t="str">
        <f>"20200111153517962"</f>
        <v>20200111153517962</v>
      </c>
      <c r="B4175" t="str">
        <f>"1578728117960010"</f>
        <v>1578728117960010</v>
      </c>
      <c r="C4175" t="s">
        <v>37</v>
      </c>
      <c r="D4175">
        <v>4.7449440000000003</v>
      </c>
      <c r="E4175">
        <v>0.55661680000000002</v>
      </c>
      <c r="F4175" t="s">
        <v>40</v>
      </c>
      <c r="G4175">
        <v>-416.79919999999998</v>
      </c>
      <c r="H4175">
        <v>1.0500339999999999</v>
      </c>
      <c r="I4175">
        <v>111.31659999999999</v>
      </c>
      <c r="J4175">
        <v>-416.69110000000001</v>
      </c>
      <c r="K4175">
        <v>1.105138</v>
      </c>
      <c r="L4175">
        <v>111.9766</v>
      </c>
      <c r="M4175">
        <v>-8.5322659999999995E-2</v>
      </c>
      <c r="N4175">
        <v>0</v>
      </c>
      <c r="O4175">
        <v>-0.99625599999999903</v>
      </c>
      <c r="P4175">
        <v>1.238904E-2</v>
      </c>
      <c r="Q4175">
        <v>4.8043759999999998E-2</v>
      </c>
      <c r="R4175">
        <v>-0.99876860000000001</v>
      </c>
      <c r="S4175">
        <v>-0.41381839999999998</v>
      </c>
      <c r="T4175">
        <v>-0.16689219999999999</v>
      </c>
      <c r="U4175">
        <v>-3.0182500000000001</v>
      </c>
      <c r="V4175">
        <v>-9.7607120000000006E-2</v>
      </c>
      <c r="W4175">
        <v>6.1828559999999998E-2</v>
      </c>
      <c r="X4175">
        <v>0.99330260000000004</v>
      </c>
      <c r="Y4175">
        <v>5.0595759999999997E-2</v>
      </c>
      <c r="Z4175">
        <v>5.4618890000000003E-2</v>
      </c>
      <c r="AA4175">
        <v>0.99722459999999902</v>
      </c>
      <c r="AB4175">
        <v>34</v>
      </c>
      <c r="AC4175">
        <v>-0.108099999999979</v>
      </c>
      <c r="AD4175">
        <v>-5.5104E-2</v>
      </c>
      <c r="AE4175">
        <v>-0.66000000000001002</v>
      </c>
      <c r="AF4175">
        <v>5.1040806978607897E-2</v>
      </c>
      <c r="AG4175">
        <v>-5.5104E-2</v>
      </c>
      <c r="AH4175">
        <v>0.66232079030217295</v>
      </c>
      <c r="AI4175">
        <v>94.741965696166005</v>
      </c>
      <c r="AJ4175">
        <v>85.593292215849004</v>
      </c>
      <c r="AK4175">
        <v>0.66656615880160197</v>
      </c>
    </row>
    <row r="4176" spans="1:37" x14ac:dyDescent="0.2">
      <c r="A4176" t="str">
        <f>"20200111153517977"</f>
        <v>20200111153517977</v>
      </c>
      <c r="B4176" t="str">
        <f>"1578728117969771"</f>
        <v>1578728117969771</v>
      </c>
      <c r="C4176" t="s">
        <v>37</v>
      </c>
      <c r="D4176">
        <v>4.7591449999999904</v>
      </c>
      <c r="E4176">
        <v>0.55678830000000001</v>
      </c>
      <c r="F4176" t="s">
        <v>40</v>
      </c>
      <c r="G4176">
        <v>-416.82479999999998</v>
      </c>
      <c r="H4176">
        <v>1.0483929999999999</v>
      </c>
      <c r="I4176">
        <v>111.01479999999999</v>
      </c>
      <c r="J4176">
        <v>-416.71100000000001</v>
      </c>
      <c r="K4176">
        <v>1.1050009999999999</v>
      </c>
      <c r="L4176">
        <v>111.74469999999999</v>
      </c>
      <c r="M4176">
        <v>-8.5526889999999994E-2</v>
      </c>
      <c r="N4176">
        <v>0</v>
      </c>
      <c r="O4176">
        <v>-0.99623869999999903</v>
      </c>
      <c r="P4176">
        <v>1.205957E-2</v>
      </c>
      <c r="Q4176">
        <v>4.7099040000000002E-2</v>
      </c>
      <c r="R4176">
        <v>-0.99881730000000002</v>
      </c>
      <c r="S4176">
        <v>-0.418518099999999</v>
      </c>
      <c r="T4176">
        <v>-0.1780378</v>
      </c>
      <c r="U4176">
        <v>-3.017471</v>
      </c>
      <c r="V4176">
        <v>-9.7466280000000002E-2</v>
      </c>
      <c r="W4176">
        <v>6.0906660000000001E-2</v>
      </c>
      <c r="X4176">
        <v>0.99337339999999996</v>
      </c>
      <c r="Y4176">
        <v>5.1921429999999998E-2</v>
      </c>
      <c r="Z4176">
        <v>5.825959E-2</v>
      </c>
      <c r="AA4176">
        <v>0.99695029999999996</v>
      </c>
      <c r="AB4176">
        <v>34</v>
      </c>
      <c r="AC4176">
        <v>-0.113799999999969</v>
      </c>
      <c r="AD4176">
        <v>-5.6607999999999901E-2</v>
      </c>
      <c r="AE4176">
        <v>-0.72989999999999999</v>
      </c>
      <c r="AF4176">
        <v>5.0653374532712098E-2</v>
      </c>
      <c r="AG4176">
        <v>-5.6607999999999901E-2</v>
      </c>
      <c r="AH4176">
        <v>0.73265665013700199</v>
      </c>
      <c r="AI4176">
        <v>94.407644877117207</v>
      </c>
      <c r="AJ4176">
        <v>86.045059152101899</v>
      </c>
      <c r="AK4176">
        <v>0.73658400539621005</v>
      </c>
    </row>
    <row r="4177" spans="1:37" x14ac:dyDescent="0.2">
      <c r="A4177" t="str">
        <f>"20200111153517997"</f>
        <v>20200111153517997</v>
      </c>
      <c r="B4177" t="str">
        <f>"1578728117990270"</f>
        <v>1578728117990270</v>
      </c>
      <c r="C4177" t="s">
        <v>37</v>
      </c>
      <c r="D4177">
        <v>4.8014539999999997</v>
      </c>
      <c r="E4177">
        <v>0.55733069999999996</v>
      </c>
      <c r="F4177" t="s">
        <v>39</v>
      </c>
      <c r="G4177">
        <v>-419.28250000000003</v>
      </c>
      <c r="H4177" s="1">
        <v>-1.702545E-6</v>
      </c>
      <c r="I4177">
        <v>93.304760000000002</v>
      </c>
      <c r="J4177">
        <v>-416.73570000000001</v>
      </c>
      <c r="K4177">
        <v>1.104838</v>
      </c>
      <c r="L4177">
        <v>111.45869999999999</v>
      </c>
      <c r="M4177">
        <v>-8.5917800000000003E-2</v>
      </c>
      <c r="N4177">
        <v>0</v>
      </c>
      <c r="O4177">
        <v>-0.99620509999999995</v>
      </c>
      <c r="P4177">
        <v>1.1351429999999999E-2</v>
      </c>
      <c r="Q4177">
        <v>4.5259269999999997E-2</v>
      </c>
      <c r="R4177">
        <v>-0.99891079999999999</v>
      </c>
      <c r="S4177">
        <v>-0.420745799999999</v>
      </c>
      <c r="T4177">
        <v>-0.18080170000000001</v>
      </c>
      <c r="U4177">
        <v>-3.017166</v>
      </c>
      <c r="V4177">
        <v>-9.7135819999999998E-2</v>
      </c>
      <c r="W4177">
        <v>5.909652E-2</v>
      </c>
      <c r="X4177">
        <v>0.99351509999999998</v>
      </c>
      <c r="Y4177">
        <v>5.2258079999999998E-2</v>
      </c>
      <c r="Z4177">
        <v>5.9160299999999999E-2</v>
      </c>
      <c r="AA4177">
        <v>0.99687969999999904</v>
      </c>
      <c r="AB4177">
        <v>34</v>
      </c>
      <c r="AC4177">
        <v>-2.5468000000000099</v>
      </c>
      <c r="AD4177">
        <v>-1.1048397025450001</v>
      </c>
      <c r="AE4177">
        <v>-18.153939999999899</v>
      </c>
      <c r="AF4177">
        <v>0.97394540440323396</v>
      </c>
      <c r="AG4177">
        <v>-1.1048397025450001</v>
      </c>
      <c r="AH4177">
        <v>18.2393819604487</v>
      </c>
      <c r="AI4177">
        <v>93.461502706554597</v>
      </c>
      <c r="AJ4177">
        <v>86.943426367961493</v>
      </c>
      <c r="AK4177">
        <v>18.298751179198501</v>
      </c>
    </row>
    <row r="4178" spans="1:37" x14ac:dyDescent="0.2">
      <c r="A4178" t="str">
        <f>"20200111153518012"</f>
        <v>20200111153518012</v>
      </c>
      <c r="B4178" t="str">
        <f>"1578728118000027"</f>
        <v>1578728118000027</v>
      </c>
      <c r="C4178" t="s">
        <v>37</v>
      </c>
      <c r="D4178">
        <v>4.792014</v>
      </c>
      <c r="E4178">
        <v>0.55753240000000004</v>
      </c>
      <c r="F4178" t="s">
        <v>39</v>
      </c>
      <c r="G4178">
        <v>-419.26490000000001</v>
      </c>
      <c r="H4178" s="1">
        <v>-1.8309739999999901E-6</v>
      </c>
      <c r="I4178">
        <v>93.59684</v>
      </c>
      <c r="J4178">
        <v>-416.75569999999999</v>
      </c>
      <c r="K4178">
        <v>1.1046879999999999</v>
      </c>
      <c r="L4178">
        <v>111.2311</v>
      </c>
      <c r="M4178">
        <v>-8.6373720000000001E-2</v>
      </c>
      <c r="N4178">
        <v>0</v>
      </c>
      <c r="O4178">
        <v>-0.99616589999999905</v>
      </c>
      <c r="P4178">
        <v>1.1050559999999999E-2</v>
      </c>
      <c r="Q4178">
        <v>4.5758510000000002E-2</v>
      </c>
      <c r="R4178">
        <v>-0.99889159999999899</v>
      </c>
      <c r="S4178">
        <v>-0.427124</v>
      </c>
      <c r="T4178">
        <v>-0.18658929999999899</v>
      </c>
      <c r="U4178">
        <v>-3.0165709999999999</v>
      </c>
      <c r="V4178">
        <v>-9.7267309999999996E-2</v>
      </c>
      <c r="W4178">
        <v>5.9624400000000001E-2</v>
      </c>
      <c r="X4178">
        <v>0.99347070000000004</v>
      </c>
      <c r="Y4178">
        <v>5.3878870000000002E-2</v>
      </c>
      <c r="Z4178">
        <v>6.1043779999999999E-2</v>
      </c>
      <c r="AA4178">
        <v>0.9966798</v>
      </c>
      <c r="AB4178">
        <v>34</v>
      </c>
      <c r="AC4178">
        <v>-2.5092000000000199</v>
      </c>
      <c r="AD4178">
        <v>-1.1046898309739901</v>
      </c>
      <c r="AE4178">
        <v>-17.634259999999902</v>
      </c>
      <c r="AF4178">
        <v>0.97279530385443802</v>
      </c>
      <c r="AG4178">
        <v>-1.1046898309739901</v>
      </c>
      <c r="AH4178">
        <v>17.716946986410498</v>
      </c>
      <c r="AI4178">
        <v>93.5625440158462</v>
      </c>
      <c r="AJ4178">
        <v>86.857181234702495</v>
      </c>
      <c r="AK4178">
        <v>17.777988661407601</v>
      </c>
    </row>
    <row r="4179" spans="1:37" x14ac:dyDescent="0.2">
      <c r="A4179" t="str">
        <f>"20200111153518030"</f>
        <v>20200111153518030</v>
      </c>
      <c r="B4179" t="str">
        <f>"1578728118020523"</f>
        <v>1578728118020523</v>
      </c>
      <c r="C4179" t="s">
        <v>37</v>
      </c>
      <c r="D4179">
        <v>4.7636149999999997</v>
      </c>
      <c r="E4179">
        <v>0.55784319999999998</v>
      </c>
      <c r="F4179" t="s">
        <v>39</v>
      </c>
      <c r="G4179">
        <v>-419.33350000000002</v>
      </c>
      <c r="H4179" s="1">
        <v>-1.6409099999999899E-6</v>
      </c>
      <c r="I4179">
        <v>93.182199999999995</v>
      </c>
      <c r="J4179">
        <v>-416.77940000000001</v>
      </c>
      <c r="K4179">
        <v>1.104492</v>
      </c>
      <c r="L4179">
        <v>110.9622</v>
      </c>
      <c r="M4179">
        <v>-8.7064660000000002E-2</v>
      </c>
      <c r="N4179">
        <v>0</v>
      </c>
      <c r="O4179">
        <v>-0.99610599999999905</v>
      </c>
      <c r="P4179">
        <v>1.0657059999999999E-2</v>
      </c>
      <c r="Q4179">
        <v>4.7531289999999997E-2</v>
      </c>
      <c r="R4179">
        <v>-0.99881319999999996</v>
      </c>
      <c r="S4179">
        <v>-0.43084719999999999</v>
      </c>
      <c r="T4179">
        <v>-0.18463080000000001</v>
      </c>
      <c r="U4179">
        <v>-3.0165709999999999</v>
      </c>
      <c r="V4179">
        <v>-9.7525630000000002E-2</v>
      </c>
      <c r="W4179">
        <v>6.1438300000000001E-2</v>
      </c>
      <c r="X4179">
        <v>0.99333479999999996</v>
      </c>
      <c r="Y4179">
        <v>5.4397649999999999E-2</v>
      </c>
      <c r="Z4179">
        <v>6.0393889999999999E-2</v>
      </c>
      <c r="AA4179">
        <v>0.99669129999999995</v>
      </c>
      <c r="AB4179">
        <v>34</v>
      </c>
      <c r="AC4179">
        <v>-2.5541</v>
      </c>
      <c r="AD4179">
        <v>-1.1044936409099999</v>
      </c>
      <c r="AE4179">
        <v>-17.78</v>
      </c>
      <c r="AF4179">
        <v>0.99248813977082895</v>
      </c>
      <c r="AG4179">
        <v>-1.1044936409099999</v>
      </c>
      <c r="AH4179">
        <v>17.867309512318599</v>
      </c>
      <c r="AI4179">
        <v>93.531889671471504</v>
      </c>
      <c r="AJ4179">
        <v>86.820617974459907</v>
      </c>
      <c r="AK4179">
        <v>17.9289064953607</v>
      </c>
    </row>
    <row r="4180" spans="1:37" x14ac:dyDescent="0.2">
      <c r="A4180" t="str">
        <f>"20200111153518053"</f>
        <v>20200111153518053</v>
      </c>
      <c r="B4180" t="str">
        <f>"1578728118050420"</f>
        <v>1578728118050420</v>
      </c>
      <c r="C4180" t="s">
        <v>37</v>
      </c>
      <c r="D4180">
        <v>4.7145390000000003</v>
      </c>
      <c r="E4180">
        <v>0.57104820000000001</v>
      </c>
      <c r="F4180" t="s">
        <v>39</v>
      </c>
      <c r="G4180">
        <v>-419.459</v>
      </c>
      <c r="H4180" s="1">
        <v>-1.2655039999999999E-6</v>
      </c>
      <c r="I4180">
        <v>92.358969999999999</v>
      </c>
      <c r="J4180">
        <v>-416.81079999999997</v>
      </c>
      <c r="K4180">
        <v>1.1041969999999901</v>
      </c>
      <c r="L4180">
        <v>110.61499999999999</v>
      </c>
      <c r="M4180">
        <v>-8.8236229999999999E-2</v>
      </c>
      <c r="N4180">
        <v>0</v>
      </c>
      <c r="O4180">
        <v>-0.99600270000000002</v>
      </c>
      <c r="P4180">
        <v>1.0090099999999999E-2</v>
      </c>
      <c r="Q4180">
        <v>4.9591959999999997E-2</v>
      </c>
      <c r="R4180">
        <v>-0.99871840000000001</v>
      </c>
      <c r="S4180">
        <v>-0.43450929999999999</v>
      </c>
      <c r="T4180">
        <v>-0.17910599999999999</v>
      </c>
      <c r="U4180">
        <v>-3.016724</v>
      </c>
      <c r="V4180">
        <v>-9.8072389999999995E-2</v>
      </c>
      <c r="W4180">
        <v>6.356415E-2</v>
      </c>
      <c r="X4180">
        <v>0.99314720000000001</v>
      </c>
      <c r="Y4180">
        <v>5.4417130000000001E-2</v>
      </c>
      <c r="Z4180">
        <v>5.8576019999999999E-2</v>
      </c>
      <c r="AA4180">
        <v>0.99679869999999904</v>
      </c>
      <c r="AB4180">
        <v>34</v>
      </c>
      <c r="AC4180">
        <v>-2.6482000000000299</v>
      </c>
      <c r="AD4180">
        <v>-1.1041982655039999</v>
      </c>
      <c r="AE4180">
        <v>-18.256029999999999</v>
      </c>
      <c r="AF4180">
        <v>1.0232041161789001</v>
      </c>
      <c r="AG4180">
        <v>-1.1041982655039999</v>
      </c>
      <c r="AH4180">
        <v>18.352743213941</v>
      </c>
      <c r="AI4180">
        <v>93.4377413938155</v>
      </c>
      <c r="AJ4180">
        <v>86.808943045500001</v>
      </c>
      <c r="AK4180">
        <v>18.414379814421299</v>
      </c>
    </row>
    <row r="4181" spans="1:37" x14ac:dyDescent="0.2">
      <c r="A4181" t="str">
        <f>"20200111153518074"</f>
        <v>20200111153518074</v>
      </c>
      <c r="B4181" t="str">
        <f>"1578728118069938"</f>
        <v>1578728118069938</v>
      </c>
      <c r="C4181" t="s">
        <v>37</v>
      </c>
      <c r="D4181">
        <v>4.7274449999999897</v>
      </c>
      <c r="E4181">
        <v>0.56976000000000004</v>
      </c>
      <c r="F4181" t="s">
        <v>39</v>
      </c>
      <c r="G4181">
        <v>-423.34800000000001</v>
      </c>
      <c r="H4181" s="1">
        <v>-2.84251899999999E-6</v>
      </c>
      <c r="I4181">
        <v>74.138570000000001</v>
      </c>
      <c r="J4181">
        <v>-416.84140000000002</v>
      </c>
      <c r="K4181">
        <v>1.1038779999999999</v>
      </c>
      <c r="L4181">
        <v>110.283999999999</v>
      </c>
      <c r="M4181">
        <v>-8.9683440000000003E-2</v>
      </c>
      <c r="N4181">
        <v>0</v>
      </c>
      <c r="O4181">
        <v>-0.99587349999999997</v>
      </c>
      <c r="P4181">
        <v>8.9575330000000002E-3</v>
      </c>
      <c r="Q4181">
        <v>5.050636E-2</v>
      </c>
      <c r="R4181">
        <v>-0.99868349999999995</v>
      </c>
      <c r="S4181">
        <v>-0.54013059999999902</v>
      </c>
      <c r="T4181">
        <v>-9.1233369999999994E-2</v>
      </c>
      <c r="U4181">
        <v>-3.0138240000000001</v>
      </c>
      <c r="V4181">
        <v>-9.8334660000000004E-2</v>
      </c>
      <c r="W4181">
        <v>6.4550140000000006E-2</v>
      </c>
      <c r="X4181">
        <v>0.99305769999999904</v>
      </c>
      <c r="Y4181">
        <v>8.7332119999999999E-2</v>
      </c>
      <c r="Z4181">
        <v>2.9780580000000001E-2</v>
      </c>
      <c r="AA4181">
        <v>0.99573400000000001</v>
      </c>
      <c r="AB4181">
        <v>34</v>
      </c>
      <c r="AC4181">
        <v>-6.5065999999999899</v>
      </c>
      <c r="AD4181">
        <v>-1.1038808425190001</v>
      </c>
      <c r="AE4181">
        <v>-36.145429999999898</v>
      </c>
      <c r="AF4181">
        <v>3.23549329916038</v>
      </c>
      <c r="AG4181">
        <v>-1.1038808425190001</v>
      </c>
      <c r="AH4181">
        <v>36.550317773371098</v>
      </c>
      <c r="AI4181">
        <v>91.723168525643501</v>
      </c>
      <c r="AJ4181">
        <v>84.941270875454293</v>
      </c>
      <c r="AK4181">
        <v>36.709844716884803</v>
      </c>
    </row>
    <row r="4182" spans="1:37" x14ac:dyDescent="0.2">
      <c r="A4182" t="str">
        <f>"20200111153518089"</f>
        <v>20200111153518089</v>
      </c>
      <c r="B4182" t="str">
        <f>"1578728118079699"</f>
        <v>1578728118079699</v>
      </c>
      <c r="C4182" t="s">
        <v>37</v>
      </c>
      <c r="D4182">
        <v>4.804684</v>
      </c>
      <c r="E4182">
        <v>0.56853509999999996</v>
      </c>
      <c r="F4182" t="s">
        <v>39</v>
      </c>
      <c r="G4182">
        <v>-423.51929999999999</v>
      </c>
      <c r="H4182" s="1">
        <v>-2.2068879999999899E-6</v>
      </c>
      <c r="I4182">
        <v>72.550650000000005</v>
      </c>
      <c r="J4182">
        <v>-416.86219999999997</v>
      </c>
      <c r="K4182">
        <v>1.1036629999999901</v>
      </c>
      <c r="L4182">
        <v>110.0647</v>
      </c>
      <c r="M4182">
        <v>-9.0861689999999995E-2</v>
      </c>
      <c r="N4182">
        <v>0</v>
      </c>
      <c r="O4182">
        <v>-0.99576669999999901</v>
      </c>
      <c r="P4182">
        <v>8.0421509999999904E-3</v>
      </c>
      <c r="Q4182">
        <v>5.0105839999999999E-2</v>
      </c>
      <c r="R4182">
        <v>-0.99871149999999997</v>
      </c>
      <c r="S4182">
        <v>-0.53326419999999997</v>
      </c>
      <c r="T4182">
        <v>-8.8150499999999896E-2</v>
      </c>
      <c r="U4182">
        <v>-3.0131990000000002</v>
      </c>
      <c r="V4182">
        <v>-9.8569870000000004E-2</v>
      </c>
      <c r="W4182">
        <v>6.4200869999999993E-2</v>
      </c>
      <c r="X4182">
        <v>0.99305699999999997</v>
      </c>
      <c r="Y4182">
        <v>8.3994650000000004E-2</v>
      </c>
      <c r="Z4182">
        <v>2.8786229999999999E-2</v>
      </c>
      <c r="AA4182">
        <v>0.99605030000000006</v>
      </c>
      <c r="AB4182">
        <v>34</v>
      </c>
      <c r="AC4182">
        <v>-6.6571000000000096</v>
      </c>
      <c r="AD4182">
        <v>-1.10366520688799</v>
      </c>
      <c r="AE4182">
        <v>-37.514049999999997</v>
      </c>
      <c r="AF4182">
        <v>3.2179388329440899</v>
      </c>
      <c r="AG4182">
        <v>-1.10366520688799</v>
      </c>
      <c r="AH4182">
        <v>37.931948362756501</v>
      </c>
      <c r="AI4182">
        <v>91.660641970208601</v>
      </c>
      <c r="AJ4182">
        <v>85.150950205553201</v>
      </c>
      <c r="AK4182">
        <v>38.084195065883797</v>
      </c>
    </row>
    <row r="4183" spans="1:37" x14ac:dyDescent="0.2">
      <c r="A4183" t="str">
        <f>"20200111153518103"</f>
        <v>20200111153518103</v>
      </c>
      <c r="B4183" t="str">
        <f>"1578728118100195"</f>
        <v>1578728118100195</v>
      </c>
      <c r="C4183" t="s">
        <v>37</v>
      </c>
      <c r="D4183">
        <v>4.8676620000000002</v>
      </c>
      <c r="E4183">
        <v>0.56777239999999995</v>
      </c>
      <c r="F4183" t="s">
        <v>39</v>
      </c>
      <c r="G4183">
        <v>-423.14400000000001</v>
      </c>
      <c r="H4183" s="1">
        <v>-2.781302E-6</v>
      </c>
      <c r="I4183">
        <v>74.122380000000007</v>
      </c>
      <c r="J4183">
        <v>-416.8827</v>
      </c>
      <c r="K4183">
        <v>1.1034539999999999</v>
      </c>
      <c r="L4183">
        <v>109.8523</v>
      </c>
      <c r="M4183">
        <v>-9.2138510000000007E-2</v>
      </c>
      <c r="N4183">
        <v>0</v>
      </c>
      <c r="O4183">
        <v>-0.99564940000000002</v>
      </c>
      <c r="P4183">
        <v>6.7838639999999997E-3</v>
      </c>
      <c r="Q4183">
        <v>4.9078139999999999E-2</v>
      </c>
      <c r="R4183">
        <v>-0.99877199999999899</v>
      </c>
      <c r="S4183">
        <v>-0.52655030000000003</v>
      </c>
      <c r="T4183">
        <v>-9.251094E-2</v>
      </c>
      <c r="U4183">
        <v>-3.0127410000000001</v>
      </c>
      <c r="V4183">
        <v>-9.8567979999999999E-2</v>
      </c>
      <c r="W4183">
        <v>6.3223909999999994E-2</v>
      </c>
      <c r="X4183">
        <v>0.99311990000000006</v>
      </c>
      <c r="Y4183">
        <v>8.0581949999999999E-2</v>
      </c>
      <c r="Z4183">
        <v>3.0218120000000001E-2</v>
      </c>
      <c r="AA4183">
        <v>0.9962898</v>
      </c>
      <c r="AB4183">
        <v>34</v>
      </c>
      <c r="AC4183">
        <v>-6.2613000000000003</v>
      </c>
      <c r="AD4183">
        <v>-1.103456781302</v>
      </c>
      <c r="AE4183">
        <v>-35.7299199999999</v>
      </c>
      <c r="AF4183">
        <v>2.93952148024507</v>
      </c>
      <c r="AG4183">
        <v>-1.103456781302</v>
      </c>
      <c r="AH4183">
        <v>36.121439847571601</v>
      </c>
      <c r="AI4183">
        <v>91.743995791053194</v>
      </c>
      <c r="AJ4183">
        <v>85.347587119819707</v>
      </c>
      <c r="AK4183">
        <v>36.257644987819504</v>
      </c>
    </row>
    <row r="4184" spans="1:37" x14ac:dyDescent="0.2">
      <c r="A4184" t="str">
        <f>"20200111153518120"</f>
        <v>20200111153518120</v>
      </c>
      <c r="B4184" t="str">
        <f>"1578728118109955"</f>
        <v>1578728118109955</v>
      </c>
      <c r="C4184" t="s">
        <v>37</v>
      </c>
      <c r="D4184">
        <v>4.7986659999999999</v>
      </c>
      <c r="E4184">
        <v>0.56767509999999999</v>
      </c>
      <c r="F4184" t="s">
        <v>39</v>
      </c>
      <c r="G4184">
        <v>-422.53089999999997</v>
      </c>
      <c r="H4184" s="1">
        <v>-4.0006709999999902E-6</v>
      </c>
      <c r="I4184">
        <v>77.423739999999995</v>
      </c>
      <c r="J4184">
        <v>-416.90730000000002</v>
      </c>
      <c r="K4184">
        <v>1.103208</v>
      </c>
      <c r="L4184">
        <v>109.60250000000001</v>
      </c>
      <c r="M4184">
        <v>-9.3839060000000002E-2</v>
      </c>
      <c r="N4184">
        <v>0</v>
      </c>
      <c r="O4184">
        <v>-0.99549069999999995</v>
      </c>
      <c r="P4184">
        <v>5.1864140000000003E-3</v>
      </c>
      <c r="Q4184">
        <v>4.7773860000000001E-2</v>
      </c>
      <c r="R4184">
        <v>-0.99884519999999899</v>
      </c>
      <c r="S4184">
        <v>-0.52465819999999996</v>
      </c>
      <c r="T4184">
        <v>-0.10250039999999901</v>
      </c>
      <c r="U4184">
        <v>-3.0122990000000001</v>
      </c>
      <c r="V4184">
        <v>-9.8649550000000003E-2</v>
      </c>
      <c r="W4184">
        <v>6.198037E-2</v>
      </c>
      <c r="X4184">
        <v>0.99319020000000002</v>
      </c>
      <c r="Y4184">
        <v>7.8278799999999996E-2</v>
      </c>
      <c r="Z4184">
        <v>3.3479330000000002E-2</v>
      </c>
      <c r="AA4184">
        <v>0.99636919999999995</v>
      </c>
      <c r="AB4184">
        <v>34</v>
      </c>
      <c r="AC4184">
        <v>-5.62359999999995</v>
      </c>
      <c r="AD4184">
        <v>-1.103212000671</v>
      </c>
      <c r="AE4184">
        <v>-32.178759999999997</v>
      </c>
      <c r="AF4184">
        <v>2.5759271634624099</v>
      </c>
      <c r="AG4184">
        <v>-1.103212000671</v>
      </c>
      <c r="AH4184">
        <v>32.527404999345499</v>
      </c>
      <c r="AI4184">
        <v>91.936463028780096</v>
      </c>
      <c r="AJ4184">
        <v>85.472052676069097</v>
      </c>
      <c r="AK4184">
        <v>32.647887427233897</v>
      </c>
    </row>
    <row r="4185" spans="1:37" x14ac:dyDescent="0.2">
      <c r="A4185" t="str">
        <f>"20200111153518142"</f>
        <v>20200111153518142</v>
      </c>
      <c r="B4185" t="str">
        <f>"1578728118130451"</f>
        <v>1578728118130451</v>
      </c>
      <c r="C4185" t="s">
        <v>37</v>
      </c>
      <c r="D4185">
        <v>4.7000120000000001</v>
      </c>
      <c r="E4185">
        <v>0.56759789999999999</v>
      </c>
      <c r="F4185" t="s">
        <v>39</v>
      </c>
      <c r="G4185">
        <v>-422.38420000000002</v>
      </c>
      <c r="H4185" s="1">
        <v>-4.3092250000000002E-6</v>
      </c>
      <c r="I4185">
        <v>78.406850000000006</v>
      </c>
      <c r="J4185">
        <v>-416.94080000000002</v>
      </c>
      <c r="K4185">
        <v>1.1028990000000001</v>
      </c>
      <c r="L4185">
        <v>109.27370000000001</v>
      </c>
      <c r="M4185">
        <v>-9.6420930000000002E-2</v>
      </c>
      <c r="N4185">
        <v>0</v>
      </c>
      <c r="O4185">
        <v>-0.99524389999999996</v>
      </c>
      <c r="P4185">
        <v>1.2843970000000001E-3</v>
      </c>
      <c r="Q4185">
        <v>4.6899370000000003E-2</v>
      </c>
      <c r="R4185">
        <v>-0.99889919999999999</v>
      </c>
      <c r="S4185">
        <v>-0.52868649999999995</v>
      </c>
      <c r="T4185">
        <v>-0.1064927</v>
      </c>
      <c r="U4185">
        <v>-3.011307</v>
      </c>
      <c r="V4185">
        <v>-9.7306450000000003E-2</v>
      </c>
      <c r="W4185">
        <v>6.118034E-2</v>
      </c>
      <c r="X4185">
        <v>0.99337229999999999</v>
      </c>
      <c r="Y4185">
        <v>7.7033899999999905E-2</v>
      </c>
      <c r="Z4185">
        <v>3.4777820000000001E-2</v>
      </c>
      <c r="AA4185">
        <v>0.99642180000000002</v>
      </c>
      <c r="AB4185">
        <v>34</v>
      </c>
      <c r="AC4185">
        <v>-5.4433999999999898</v>
      </c>
      <c r="AD4185">
        <v>-1.102903309225</v>
      </c>
      <c r="AE4185">
        <v>-30.866849999999999</v>
      </c>
      <c r="AF4185">
        <v>2.43851601122774</v>
      </c>
      <c r="AG4185">
        <v>-1.102903309225</v>
      </c>
      <c r="AH4185">
        <v>31.209267721135699</v>
      </c>
      <c r="AI4185">
        <v>92.017786675429406</v>
      </c>
      <c r="AJ4185">
        <v>85.532308174371295</v>
      </c>
      <c r="AK4185">
        <v>31.323811194298099</v>
      </c>
    </row>
    <row r="4186" spans="1:37" x14ac:dyDescent="0.2">
      <c r="A4186" t="str">
        <f>"20200111153518157"</f>
        <v>20200111153518157</v>
      </c>
      <c r="B4186" t="str">
        <f>"1578728118150082"</f>
        <v>1578728118150082</v>
      </c>
      <c r="C4186" t="s">
        <v>37</v>
      </c>
      <c r="D4186">
        <v>4.831467</v>
      </c>
      <c r="E4186">
        <v>0.56746850000000004</v>
      </c>
      <c r="F4186" t="s">
        <v>39</v>
      </c>
      <c r="G4186">
        <v>-422.36869999999999</v>
      </c>
      <c r="H4186" s="1">
        <v>-4.5140469999999997E-6</v>
      </c>
      <c r="I4186">
        <v>79.016809999999893</v>
      </c>
      <c r="J4186">
        <v>-416.96660000000003</v>
      </c>
      <c r="K4186">
        <v>1.102684</v>
      </c>
      <c r="L4186">
        <v>109.027</v>
      </c>
      <c r="M4186">
        <v>-9.8542309999999994E-2</v>
      </c>
      <c r="N4186">
        <v>0</v>
      </c>
      <c r="O4186">
        <v>-0.99503589999999997</v>
      </c>
      <c r="P4186">
        <v>-1.2086110000000001E-3</v>
      </c>
      <c r="Q4186">
        <v>4.6409470000000001E-2</v>
      </c>
      <c r="R4186">
        <v>-0.99892209999999904</v>
      </c>
      <c r="S4186">
        <v>-0.53982540000000001</v>
      </c>
      <c r="T4186">
        <v>-0.1096877</v>
      </c>
      <c r="U4186">
        <v>-3.0091549999999998</v>
      </c>
      <c r="V4186">
        <v>-9.691777E-2</v>
      </c>
      <c r="W4186">
        <v>6.0743409999999998E-2</v>
      </c>
      <c r="X4186">
        <v>0.99343709999999996</v>
      </c>
      <c r="Y4186">
        <v>7.8598890000000005E-2</v>
      </c>
      <c r="Z4186">
        <v>3.5820190000000002E-2</v>
      </c>
      <c r="AA4186">
        <v>0.9962626</v>
      </c>
      <c r="AB4186">
        <v>34</v>
      </c>
      <c r="AC4186">
        <v>-5.4020999999999599</v>
      </c>
      <c r="AD4186">
        <v>-1.102688514047</v>
      </c>
      <c r="AE4186">
        <v>-30.010190000000001</v>
      </c>
      <c r="AF4186">
        <v>2.4150850408563</v>
      </c>
      <c r="AG4186">
        <v>-1.102688514047</v>
      </c>
      <c r="AH4186">
        <v>30.356786235879799</v>
      </c>
      <c r="AI4186">
        <v>92.073766899469803</v>
      </c>
      <c r="AJ4186">
        <v>85.451318628521605</v>
      </c>
      <c r="AK4186">
        <v>30.472660341435201</v>
      </c>
    </row>
    <row r="4187" spans="1:37" x14ac:dyDescent="0.2">
      <c r="A4187" t="str">
        <f>"20200111153518176"</f>
        <v>20200111153518176</v>
      </c>
      <c r="B4187" t="str">
        <f>"1578728118170569"</f>
        <v>1578728118170569</v>
      </c>
      <c r="C4187" t="s">
        <v>37</v>
      </c>
      <c r="D4187">
        <v>4.9214359999999999</v>
      </c>
      <c r="E4187">
        <v>0.56691659999999999</v>
      </c>
      <c r="F4187" t="s">
        <v>39</v>
      </c>
      <c r="G4187">
        <v>-422.29199999999997</v>
      </c>
      <c r="H4187" s="1">
        <v>-6.6148540000000002E-7</v>
      </c>
      <c r="I4187">
        <v>79.709469999999996</v>
      </c>
      <c r="J4187">
        <v>-416.99549999999999</v>
      </c>
      <c r="K4187">
        <v>1.1024780000000001</v>
      </c>
      <c r="L4187">
        <v>108.75960000000001</v>
      </c>
      <c r="M4187">
        <v>-0.10103289999999999</v>
      </c>
      <c r="N4187">
        <v>0</v>
      </c>
      <c r="O4187">
        <v>-0.99478599999999995</v>
      </c>
      <c r="P4187">
        <v>-4.7144980000000001E-3</v>
      </c>
      <c r="Q4187">
        <v>4.610968E-2</v>
      </c>
      <c r="R4187">
        <v>-0.99892539999999996</v>
      </c>
      <c r="S4187">
        <v>-0.54635619999999996</v>
      </c>
      <c r="T4187">
        <v>-0.11312989999999901</v>
      </c>
      <c r="U4187">
        <v>-3.0078279999999999</v>
      </c>
      <c r="V4187">
        <v>-9.5888870000000001E-2</v>
      </c>
      <c r="W4187">
        <v>6.0493060000000001E-2</v>
      </c>
      <c r="X4187">
        <v>0.99355210000000005</v>
      </c>
      <c r="Y4187">
        <v>7.8267260000000005E-2</v>
      </c>
      <c r="Z4187">
        <v>3.6938319999999997E-2</v>
      </c>
      <c r="AA4187">
        <v>0.99624789999999996</v>
      </c>
      <c r="AB4187">
        <v>34</v>
      </c>
      <c r="AC4187">
        <v>-5.2964999999999796</v>
      </c>
      <c r="AD4187">
        <v>-1.1024786614854001</v>
      </c>
      <c r="AE4187">
        <v>-29.050129999999999</v>
      </c>
      <c r="AF4187">
        <v>2.3308415753041301</v>
      </c>
      <c r="AG4187">
        <v>-1.1024786614854001</v>
      </c>
      <c r="AH4187">
        <v>29.395651001475901</v>
      </c>
      <c r="AI4187">
        <v>92.141147215179302</v>
      </c>
      <c r="AJ4187">
        <v>85.466385316034007</v>
      </c>
      <c r="AK4187">
        <v>29.5085170662433</v>
      </c>
    </row>
    <row r="4188" spans="1:37" x14ac:dyDescent="0.2">
      <c r="A4188" t="str">
        <f>"20200111153518198"</f>
        <v>20200111153518198</v>
      </c>
      <c r="B4188" t="str">
        <f>"1578728118190090"</f>
        <v>1578728118190090</v>
      </c>
      <c r="C4188" t="s">
        <v>37</v>
      </c>
      <c r="D4188">
        <v>4.8662390000000002</v>
      </c>
      <c r="E4188">
        <v>0.56591910000000001</v>
      </c>
      <c r="F4188" t="s">
        <v>39</v>
      </c>
      <c r="G4188">
        <v>-422.15289999999999</v>
      </c>
      <c r="H4188" s="1">
        <v>-1.048677E-6</v>
      </c>
      <c r="I4188">
        <v>80.698329999999999</v>
      </c>
      <c r="J4188">
        <v>-417.03269999999998</v>
      </c>
      <c r="K4188">
        <v>1.1022419999999999</v>
      </c>
      <c r="L4188">
        <v>108.4238</v>
      </c>
      <c r="M4188">
        <v>-0.10436960000000001</v>
      </c>
      <c r="N4188">
        <v>0</v>
      </c>
      <c r="O4188">
        <v>-0.99444140000000003</v>
      </c>
      <c r="P4188">
        <v>-8.4743700000000002E-3</v>
      </c>
      <c r="Q4188">
        <v>4.6655090000000003E-2</v>
      </c>
      <c r="R4188">
        <v>-0.99887539999999997</v>
      </c>
      <c r="S4188">
        <v>-0.55249019999999904</v>
      </c>
      <c r="T4188">
        <v>-0.1181036</v>
      </c>
      <c r="U4188">
        <v>-3.00607299999999</v>
      </c>
      <c r="V4188">
        <v>-9.5440479999999994E-2</v>
      </c>
      <c r="W4188">
        <v>6.1096570000000003E-2</v>
      </c>
      <c r="X4188">
        <v>0.99355839999999995</v>
      </c>
      <c r="Y4188">
        <v>7.6981049999999995E-2</v>
      </c>
      <c r="Z4188">
        <v>3.8556960000000001E-2</v>
      </c>
      <c r="AA4188">
        <v>0.99628669999999997</v>
      </c>
      <c r="AB4188">
        <v>34</v>
      </c>
      <c r="AC4188">
        <v>-5.1202000000000103</v>
      </c>
      <c r="AD4188">
        <v>-1.1022430486769901</v>
      </c>
      <c r="AE4188">
        <v>-27.725470000000001</v>
      </c>
      <c r="AF4188">
        <v>2.1949004520461202</v>
      </c>
      <c r="AG4188">
        <v>-1.1022430486769901</v>
      </c>
      <c r="AH4188">
        <v>28.065570128552601</v>
      </c>
      <c r="AI4188">
        <v>92.242230597597299</v>
      </c>
      <c r="AJ4188">
        <v>85.528219084517303</v>
      </c>
      <c r="AK4188">
        <v>28.172837172948199</v>
      </c>
    </row>
    <row r="4189" spans="1:37" x14ac:dyDescent="0.2">
      <c r="A4189" t="str">
        <f>"20200111153518221"</f>
        <v>20200111153518221</v>
      </c>
      <c r="B4189" t="str">
        <f>"1578728118210586"</f>
        <v>1578728118210586</v>
      </c>
      <c r="C4189" t="s">
        <v>37</v>
      </c>
      <c r="D4189">
        <v>4.7796779999999996</v>
      </c>
      <c r="E4189">
        <v>0.56587449999999995</v>
      </c>
      <c r="F4189" t="s">
        <v>39</v>
      </c>
      <c r="G4189">
        <v>-422.09399999999999</v>
      </c>
      <c r="H4189" s="1">
        <v>-1.1949180000000001E-6</v>
      </c>
      <c r="I4189">
        <v>81.075760000000002</v>
      </c>
      <c r="J4189">
        <v>-417.07069999999999</v>
      </c>
      <c r="K4189">
        <v>1.1020449999999999</v>
      </c>
      <c r="L4189">
        <v>108.0947</v>
      </c>
      <c r="M4189">
        <v>-0.1078539</v>
      </c>
      <c r="N4189">
        <v>0</v>
      </c>
      <c r="O4189">
        <v>-0.99406949999999905</v>
      </c>
      <c r="P4189">
        <v>-1.1408959999999999E-2</v>
      </c>
      <c r="Q4189">
        <v>4.7822290000000003E-2</v>
      </c>
      <c r="R4189">
        <v>-0.99879089999999904</v>
      </c>
      <c r="S4189">
        <v>-0.55599980000000004</v>
      </c>
      <c r="T4189">
        <v>-0.1210871</v>
      </c>
      <c r="U4189">
        <v>-3.004318</v>
      </c>
      <c r="V4189">
        <v>-9.5958630000000003E-2</v>
      </c>
      <c r="W4189">
        <v>6.2317320000000002E-2</v>
      </c>
      <c r="X4189">
        <v>0.99343269999999995</v>
      </c>
      <c r="Y4189">
        <v>7.4708819999999995E-2</v>
      </c>
      <c r="Z4189">
        <v>3.9529269999999998E-2</v>
      </c>
      <c r="AA4189">
        <v>0.99642160000000002</v>
      </c>
      <c r="AB4189">
        <v>34</v>
      </c>
      <c r="AC4189">
        <v>-5.0232999999999999</v>
      </c>
      <c r="AD4189">
        <v>-1.102046194918</v>
      </c>
      <c r="AE4189">
        <v>-27.018940000000001</v>
      </c>
      <c r="AF4189">
        <v>2.0762735449180898</v>
      </c>
      <c r="AG4189">
        <v>-1.102046194918</v>
      </c>
      <c r="AH4189">
        <v>27.3591407877501</v>
      </c>
      <c r="AI4189">
        <v>92.300062230467205</v>
      </c>
      <c r="AJ4189">
        <v>85.660166295538403</v>
      </c>
      <c r="AK4189">
        <v>27.459934491782601</v>
      </c>
    </row>
    <row r="4190" spans="1:37" x14ac:dyDescent="0.2">
      <c r="A4190" t="str">
        <f>"20200111153518242"</f>
        <v>20200111153518242</v>
      </c>
      <c r="B4190" t="str">
        <f>"1578728118230105"</f>
        <v>1578728118230105</v>
      </c>
      <c r="C4190" t="s">
        <v>37</v>
      </c>
      <c r="D4190">
        <v>4.8177059999999896</v>
      </c>
      <c r="E4190">
        <v>0.56548529999999997</v>
      </c>
      <c r="F4190" t="s">
        <v>39</v>
      </c>
      <c r="G4190">
        <v>-422.35899999999998</v>
      </c>
      <c r="H4190" s="1">
        <v>-7.7908559999999899E-7</v>
      </c>
      <c r="I4190">
        <v>79.942070000000001</v>
      </c>
      <c r="J4190">
        <v>-417.1105</v>
      </c>
      <c r="K4190">
        <v>1.1018760000000001</v>
      </c>
      <c r="L4190">
        <v>107.7611</v>
      </c>
      <c r="M4190">
        <v>-0.1115302</v>
      </c>
      <c r="N4190">
        <v>0</v>
      </c>
      <c r="O4190">
        <v>-0.99366399999999999</v>
      </c>
      <c r="P4190">
        <v>-1.339887E-2</v>
      </c>
      <c r="Q4190">
        <v>4.9144199999999902E-2</v>
      </c>
      <c r="R4190">
        <v>-0.99870219999999899</v>
      </c>
      <c r="S4190">
        <v>-0.56405640000000001</v>
      </c>
      <c r="T4190">
        <v>-0.117545699999999</v>
      </c>
      <c r="U4190">
        <v>-3.0027919999999999</v>
      </c>
      <c r="V4190">
        <v>-9.761177E-2</v>
      </c>
      <c r="W4190">
        <v>6.3692180000000001E-2</v>
      </c>
      <c r="X4190">
        <v>0.99318439999999997</v>
      </c>
      <c r="Y4190">
        <v>7.3702699999999996E-2</v>
      </c>
      <c r="Z4190">
        <v>3.8362729999999998E-2</v>
      </c>
      <c r="AA4190">
        <v>0.99654219999999905</v>
      </c>
      <c r="AB4190">
        <v>34</v>
      </c>
      <c r="AC4190">
        <v>-5.2485000000000301</v>
      </c>
      <c r="AD4190">
        <v>-1.1018767790855999</v>
      </c>
      <c r="AE4190">
        <v>-27.819029999999898</v>
      </c>
      <c r="AF4190">
        <v>2.1095913994361899</v>
      </c>
      <c r="AG4190">
        <v>-1.1018767790855999</v>
      </c>
      <c r="AH4190">
        <v>28.188154400276598</v>
      </c>
      <c r="AI4190">
        <v>92.2323194880979</v>
      </c>
      <c r="AJ4190">
        <v>85.719983193198601</v>
      </c>
      <c r="AK4190">
        <v>28.288452711357301</v>
      </c>
    </row>
    <row r="4191" spans="1:37" x14ac:dyDescent="0.2">
      <c r="A4191" t="str">
        <f>"20200111153518265"</f>
        <v>20200111153518265</v>
      </c>
      <c r="B4191" t="str">
        <f>"1578728118260361"</f>
        <v>1578728118260361</v>
      </c>
      <c r="C4191" t="s">
        <v>37</v>
      </c>
      <c r="D4191">
        <v>4.8436370000000002</v>
      </c>
      <c r="E4191">
        <v>0.56490050000000003</v>
      </c>
      <c r="F4191" t="s">
        <v>39</v>
      </c>
      <c r="G4191">
        <v>-422.48860000000002</v>
      </c>
      <c r="H4191" s="1">
        <v>-4.6399159999999998E-6</v>
      </c>
      <c r="I4191">
        <v>79.32423</v>
      </c>
      <c r="J4191">
        <v>-417.15210000000002</v>
      </c>
      <c r="K4191">
        <v>1.1017489999999901</v>
      </c>
      <c r="L4191">
        <v>107.4241</v>
      </c>
      <c r="M4191">
        <v>-0.1153362</v>
      </c>
      <c r="N4191">
        <v>0</v>
      </c>
      <c r="O4191">
        <v>-0.99322919999999904</v>
      </c>
      <c r="P4191">
        <v>-1.558728E-2</v>
      </c>
      <c r="Q4191">
        <v>4.9714729999999999E-2</v>
      </c>
      <c r="R4191">
        <v>-0.99864209999999998</v>
      </c>
      <c r="S4191">
        <v>-0.56774899999999995</v>
      </c>
      <c r="T4191">
        <v>-0.11632239999999899</v>
      </c>
      <c r="U4191">
        <v>-3.0019990000000001</v>
      </c>
      <c r="V4191">
        <v>-9.9213179999999998E-2</v>
      </c>
      <c r="W4191">
        <v>6.4306509999999997E-2</v>
      </c>
      <c r="X4191">
        <v>0.99298609999999898</v>
      </c>
      <c r="Y4191">
        <v>7.1116260000000001E-2</v>
      </c>
      <c r="Z4191">
        <v>3.7948379999999997E-2</v>
      </c>
      <c r="AA4191">
        <v>0.99674589999999996</v>
      </c>
      <c r="AB4191">
        <v>34</v>
      </c>
      <c r="AC4191">
        <v>-5.3365</v>
      </c>
      <c r="AD4191">
        <v>-1.1017536399159999</v>
      </c>
      <c r="AE4191">
        <v>-28.099869999999999</v>
      </c>
      <c r="AF4191">
        <v>2.0565829513607499</v>
      </c>
      <c r="AG4191">
        <v>-1.1017536399159999</v>
      </c>
      <c r="AH4191">
        <v>28.485593961564302</v>
      </c>
      <c r="AI4191">
        <v>92.209213139725605</v>
      </c>
      <c r="AJ4191">
        <v>85.870564341010706</v>
      </c>
      <c r="AK4191">
        <v>28.580980701543599</v>
      </c>
    </row>
    <row r="4192" spans="1:37" x14ac:dyDescent="0.2">
      <c r="A4192" t="str">
        <f>"20200111153518287"</f>
        <v>20200111153518287</v>
      </c>
      <c r="B4192" t="str">
        <f>"1578728118279881"</f>
        <v>1578728118279881</v>
      </c>
      <c r="C4192" t="s">
        <v>37</v>
      </c>
      <c r="D4192">
        <v>4.8451459999999997</v>
      </c>
      <c r="E4192">
        <v>0.56464110000000001</v>
      </c>
      <c r="F4192" t="s">
        <v>39</v>
      </c>
      <c r="G4192">
        <v>-422.45960000000002</v>
      </c>
      <c r="H4192" s="1">
        <v>-4.6735430000000004E-6</v>
      </c>
      <c r="I4192">
        <v>79.438130000000001</v>
      </c>
      <c r="J4192">
        <v>-417.19549999999998</v>
      </c>
      <c r="K4192">
        <v>1.1016520000000001</v>
      </c>
      <c r="L4192">
        <v>107.0835</v>
      </c>
      <c r="M4192">
        <v>-0.119238</v>
      </c>
      <c r="N4192">
        <v>0</v>
      </c>
      <c r="O4192">
        <v>-0.99276830000000005</v>
      </c>
      <c r="P4192">
        <v>-1.8677010000000001E-2</v>
      </c>
      <c r="Q4192">
        <v>4.9344249999999999E-2</v>
      </c>
      <c r="R4192">
        <v>-0.99860729999999998</v>
      </c>
      <c r="S4192">
        <v>-0.56915280000000001</v>
      </c>
      <c r="T4192">
        <v>-0.118147</v>
      </c>
      <c r="U4192">
        <v>-3.0010829999999999</v>
      </c>
      <c r="V4192">
        <v>-0.100033</v>
      </c>
      <c r="W4192">
        <v>6.3965800000000003E-2</v>
      </c>
      <c r="X4192">
        <v>0.99292590000000003</v>
      </c>
      <c r="Y4192">
        <v>6.7697869999999993E-2</v>
      </c>
      <c r="Z4192">
        <v>3.8530429999999997E-2</v>
      </c>
      <c r="AA4192">
        <v>0.9969616</v>
      </c>
      <c r="AB4192">
        <v>34</v>
      </c>
      <c r="AC4192">
        <v>-5.26410000000004</v>
      </c>
      <c r="AD4192">
        <v>-1.101656673543</v>
      </c>
      <c r="AE4192">
        <v>-27.64537</v>
      </c>
      <c r="AF4192">
        <v>1.9268867926168201</v>
      </c>
      <c r="AG4192">
        <v>-1.101656673543</v>
      </c>
      <c r="AH4192">
        <v>28.0328844713327</v>
      </c>
      <c r="AI4192">
        <v>92.245200836344594</v>
      </c>
      <c r="AJ4192">
        <v>86.067864572663794</v>
      </c>
      <c r="AK4192">
        <v>28.1206179149927</v>
      </c>
    </row>
    <row r="4193" spans="1:37" x14ac:dyDescent="0.2">
      <c r="A4193" t="str">
        <f>"20200111153518309"</f>
        <v>20200111153518309</v>
      </c>
      <c r="B4193" t="str">
        <f>"1578728118300377"</f>
        <v>1578728118300377</v>
      </c>
      <c r="C4193" t="s">
        <v>37</v>
      </c>
      <c r="D4193">
        <v>4.8580519999999998</v>
      </c>
      <c r="E4193">
        <v>0.56438549999999998</v>
      </c>
      <c r="F4193" t="s">
        <v>39</v>
      </c>
      <c r="G4193">
        <v>-422.36250000000001</v>
      </c>
      <c r="H4193" s="1">
        <v>-8.7850779999999996E-7</v>
      </c>
      <c r="I4193">
        <v>80.171619999999905</v>
      </c>
      <c r="J4193">
        <v>-417.23829999999998</v>
      </c>
      <c r="K4193">
        <v>1.1015919999999999</v>
      </c>
      <c r="L4193">
        <v>106.7585</v>
      </c>
      <c r="M4193">
        <v>-0.122980899999999</v>
      </c>
      <c r="N4193">
        <v>0</v>
      </c>
      <c r="O4193">
        <v>-0.99231159999999996</v>
      </c>
      <c r="P4193">
        <v>-2.2085230000000001E-2</v>
      </c>
      <c r="Q4193">
        <v>4.9290349999999997E-2</v>
      </c>
      <c r="R4193">
        <v>-0.99854039999999999</v>
      </c>
      <c r="S4193">
        <v>-0.5758972</v>
      </c>
      <c r="T4193">
        <v>-0.12278559999999999</v>
      </c>
      <c r="U4193">
        <v>-2.9994809999999998</v>
      </c>
      <c r="V4193">
        <v>-0.10038030000000001</v>
      </c>
      <c r="W4193">
        <v>6.3929630000000001E-2</v>
      </c>
      <c r="X4193">
        <v>0.99289319999999903</v>
      </c>
      <c r="Y4193">
        <v>6.6184590000000001E-2</v>
      </c>
      <c r="Z4193">
        <v>4.0027899999999998E-2</v>
      </c>
      <c r="AA4193">
        <v>0.99700419999999901</v>
      </c>
      <c r="AB4193">
        <v>34</v>
      </c>
      <c r="AC4193">
        <v>-5.1242000000000303</v>
      </c>
      <c r="AD4193">
        <v>-1.1015928785078</v>
      </c>
      <c r="AE4193">
        <v>-26.586880000000001</v>
      </c>
      <c r="AF4193">
        <v>1.81230036964723</v>
      </c>
      <c r="AG4193">
        <v>-1.1015928785078</v>
      </c>
      <c r="AH4193">
        <v>26.970616977686099</v>
      </c>
      <c r="AI4193">
        <v>92.333642714788397</v>
      </c>
      <c r="AJ4193">
        <v>86.155768254151795</v>
      </c>
      <c r="AK4193">
        <v>27.053874392716001</v>
      </c>
    </row>
    <row r="4194" spans="1:37" x14ac:dyDescent="0.2">
      <c r="A4194" t="str">
        <f>"20200111153518331"</f>
        <v>20200111153518331</v>
      </c>
      <c r="B4194" t="str">
        <f>"1578728118319897"</f>
        <v>1578728118319897</v>
      </c>
      <c r="C4194" t="s">
        <v>37</v>
      </c>
      <c r="D4194">
        <v>4.9543749999999998</v>
      </c>
      <c r="E4194">
        <v>0.56433739999999999</v>
      </c>
      <c r="F4194" t="s">
        <v>39</v>
      </c>
      <c r="G4194">
        <v>-422.33960000000002</v>
      </c>
      <c r="H4194" s="1">
        <v>-1.058441E-6</v>
      </c>
      <c r="I4194">
        <v>80.605289999999997</v>
      </c>
      <c r="J4194">
        <v>-417.28289999999998</v>
      </c>
      <c r="K4194">
        <v>1.101548</v>
      </c>
      <c r="L4194">
        <v>106.4289</v>
      </c>
      <c r="M4194">
        <v>-0.12677049999999901</v>
      </c>
      <c r="N4194">
        <v>0</v>
      </c>
      <c r="O4194">
        <v>-0.99183449999999995</v>
      </c>
      <c r="P4194">
        <v>-2.6524200000000001E-2</v>
      </c>
      <c r="Q4194">
        <v>4.9202009999999997E-2</v>
      </c>
      <c r="R4194">
        <v>-0.99843689999999996</v>
      </c>
      <c r="S4194">
        <v>-0.58471680000000004</v>
      </c>
      <c r="T4194">
        <v>-0.1262653</v>
      </c>
      <c r="U4194">
        <v>-2.9976959999999999</v>
      </c>
      <c r="V4194">
        <v>-9.9754010000000004E-2</v>
      </c>
      <c r="W4194">
        <v>6.3845879999999994E-2</v>
      </c>
      <c r="X4194">
        <v>0.9929616</v>
      </c>
      <c r="Y4194">
        <v>6.5301540000000005E-2</v>
      </c>
      <c r="Z4194">
        <v>4.1144609999999998E-2</v>
      </c>
      <c r="AA4194">
        <v>0.99701700000000004</v>
      </c>
      <c r="AB4194">
        <v>34</v>
      </c>
      <c r="AC4194">
        <v>-5.0567000000000304</v>
      </c>
      <c r="AD4194">
        <v>-1.1015490584409999</v>
      </c>
      <c r="AE4194">
        <v>-25.823609999999999</v>
      </c>
      <c r="AF4194">
        <v>1.73885898815976</v>
      </c>
      <c r="AG4194">
        <v>-1.1015490584409999</v>
      </c>
      <c r="AH4194">
        <v>26.2103979622811</v>
      </c>
      <c r="AI4194">
        <v>92.401291287965407</v>
      </c>
      <c r="AJ4194">
        <v>86.204426204386493</v>
      </c>
      <c r="AK4194">
        <v>26.2911011988848</v>
      </c>
    </row>
    <row r="4195" spans="1:37" x14ac:dyDescent="0.2">
      <c r="A4195" t="str">
        <f>"20200111153518354"</f>
        <v>20200111153518354</v>
      </c>
      <c r="B4195" t="str">
        <f>"1578728118350153"</f>
        <v>1578728118350153</v>
      </c>
      <c r="C4195" t="s">
        <v>37</v>
      </c>
      <c r="D4195">
        <v>4.9479119999999996</v>
      </c>
      <c r="E4195">
        <v>0.58930079999999996</v>
      </c>
      <c r="F4195" t="s">
        <v>39</v>
      </c>
      <c r="G4195">
        <v>-422.40859999999998</v>
      </c>
      <c r="H4195" s="1">
        <v>-1.1339770000000001E-6</v>
      </c>
      <c r="I4195">
        <v>80.738550000000004</v>
      </c>
      <c r="J4195">
        <v>-417.3297</v>
      </c>
      <c r="K4195">
        <v>1.1015239999999999</v>
      </c>
      <c r="L4195">
        <v>106.09269999999999</v>
      </c>
      <c r="M4195">
        <v>-0.13061449999999999</v>
      </c>
      <c r="N4195">
        <v>0</v>
      </c>
      <c r="O4195">
        <v>-0.99133559999999998</v>
      </c>
      <c r="P4195">
        <v>-3.1220939999999999E-2</v>
      </c>
      <c r="Q4195">
        <v>4.8939209999999997E-2</v>
      </c>
      <c r="R4195">
        <v>-0.99831389999999998</v>
      </c>
      <c r="S4195">
        <v>-0.59759519999999899</v>
      </c>
      <c r="T4195">
        <v>-0.12842619999999999</v>
      </c>
      <c r="U4195">
        <v>-2.9951629999999998</v>
      </c>
      <c r="V4195">
        <v>-9.8932249999999999E-2</v>
      </c>
      <c r="W4195">
        <v>6.3581760000000001E-2</v>
      </c>
      <c r="X4195">
        <v>0.99306079999999997</v>
      </c>
      <c r="Y4195">
        <v>6.5712179999999995E-2</v>
      </c>
      <c r="Z4195">
        <v>4.1832880000000003E-2</v>
      </c>
      <c r="AA4195">
        <v>0.9969614</v>
      </c>
      <c r="AB4195">
        <v>34</v>
      </c>
      <c r="AC4195">
        <v>-5.0788999999999698</v>
      </c>
      <c r="AD4195">
        <v>-1.101525133977</v>
      </c>
      <c r="AE4195">
        <v>-25.354149999999901</v>
      </c>
      <c r="AF4195">
        <v>1.72031971477969</v>
      </c>
      <c r="AG4195">
        <v>-1.101525133977</v>
      </c>
      <c r="AH4195">
        <v>25.7536118234528</v>
      </c>
      <c r="AI4195">
        <v>92.4437043607291</v>
      </c>
      <c r="AJ4195">
        <v>86.178367340485906</v>
      </c>
      <c r="AK4195">
        <v>25.834499791846699</v>
      </c>
    </row>
    <row r="4196" spans="1:37" x14ac:dyDescent="0.2">
      <c r="A4196" t="str">
        <f>"20200111153518389"</f>
        <v>20200111153518389</v>
      </c>
      <c r="B4196" t="str">
        <f>"1578728118380409"</f>
        <v>1578728118380409</v>
      </c>
      <c r="C4196" t="s">
        <v>37</v>
      </c>
      <c r="D4196">
        <v>4.9536600000000002</v>
      </c>
      <c r="E4196">
        <v>0.58967360000000002</v>
      </c>
      <c r="F4196" t="s">
        <v>39</v>
      </c>
      <c r="G4196">
        <v>-426.50130000000001</v>
      </c>
      <c r="H4196" s="1">
        <v>-2.8924399999999999E-6</v>
      </c>
      <c r="I4196">
        <v>72.299210000000002</v>
      </c>
      <c r="J4196">
        <v>-417.40280000000001</v>
      </c>
      <c r="K4196">
        <v>1.1015109999999999</v>
      </c>
      <c r="L4196">
        <v>105.5857</v>
      </c>
      <c r="M4196">
        <v>-0.13634299999999999</v>
      </c>
      <c r="N4196">
        <v>0</v>
      </c>
      <c r="O4196">
        <v>-0.99056420000000001</v>
      </c>
      <c r="P4196">
        <v>-3.734813E-2</v>
      </c>
      <c r="Q4196">
        <v>4.7114139999999999E-2</v>
      </c>
      <c r="R4196">
        <v>-0.9981913</v>
      </c>
      <c r="S4196">
        <v>-0.80999759999999998</v>
      </c>
      <c r="T4196">
        <v>-9.7283010000000003E-2</v>
      </c>
      <c r="U4196">
        <v>-2.9845280000000001</v>
      </c>
      <c r="V4196">
        <v>-9.8604070000000002E-2</v>
      </c>
      <c r="W4196">
        <v>6.1753839999999997E-2</v>
      </c>
      <c r="X4196">
        <v>0.9932088</v>
      </c>
      <c r="Y4196">
        <v>0.12775149999999999</v>
      </c>
      <c r="Z4196">
        <v>3.1423779999999998E-2</v>
      </c>
      <c r="AA4196">
        <v>0.99130830000000003</v>
      </c>
      <c r="AB4196">
        <v>34</v>
      </c>
      <c r="AC4196">
        <v>-9.0984999999999996</v>
      </c>
      <c r="AD4196">
        <v>-1.1015138924400001</v>
      </c>
      <c r="AE4196">
        <v>-33.286490000000001</v>
      </c>
      <c r="AF4196">
        <v>4.4701458025131497</v>
      </c>
      <c r="AG4196">
        <v>-1.1015138924400001</v>
      </c>
      <c r="AH4196">
        <v>34.181397769712703</v>
      </c>
      <c r="AI4196">
        <v>91.8301751511448</v>
      </c>
      <c r="AJ4196">
        <v>82.549304790439606</v>
      </c>
      <c r="AK4196">
        <v>34.490049142358203</v>
      </c>
    </row>
    <row r="4197" spans="1:37" x14ac:dyDescent="0.2">
      <c r="A4197" t="str">
        <f>"20200111153518410"</f>
        <v>20200111153518410</v>
      </c>
      <c r="B4197" t="str">
        <f>"1578728118399931"</f>
        <v>1578728118399931</v>
      </c>
      <c r="C4197" t="s">
        <v>37</v>
      </c>
      <c r="D4197">
        <v>4.9933579999999997</v>
      </c>
      <c r="E4197">
        <v>0.58951640000000005</v>
      </c>
      <c r="F4197" t="s">
        <v>39</v>
      </c>
      <c r="G4197">
        <v>-427.32639999999998</v>
      </c>
      <c r="H4197" s="1">
        <v>-2.1443400000000002E-6</v>
      </c>
      <c r="I4197">
        <v>70.043559999999999</v>
      </c>
      <c r="J4197">
        <v>-417.45139999999998</v>
      </c>
      <c r="K4197">
        <v>1.101512</v>
      </c>
      <c r="L4197">
        <v>105.2598</v>
      </c>
      <c r="M4197">
        <v>-0.1399764</v>
      </c>
      <c r="N4197">
        <v>0</v>
      </c>
      <c r="O4197">
        <v>-0.99005710000000002</v>
      </c>
      <c r="P4197">
        <v>-3.9680699999999999E-2</v>
      </c>
      <c r="Q4197">
        <v>4.6348559999999997E-2</v>
      </c>
      <c r="R4197">
        <v>-0.99813719999999995</v>
      </c>
      <c r="S4197">
        <v>-0.83166499999999999</v>
      </c>
      <c r="T4197">
        <v>-9.2314240000000006E-2</v>
      </c>
      <c r="U4197">
        <v>-2.9786679999999999</v>
      </c>
      <c r="V4197">
        <v>-9.9941349999999998E-2</v>
      </c>
      <c r="W4197">
        <v>6.0994239999999998E-2</v>
      </c>
      <c r="X4197">
        <v>0.99312199999999995</v>
      </c>
      <c r="Y4197">
        <v>0.13131999999999999</v>
      </c>
      <c r="Z4197">
        <v>2.981866E-2</v>
      </c>
      <c r="AA4197">
        <v>0.99089150000000004</v>
      </c>
      <c r="AB4197">
        <v>33</v>
      </c>
      <c r="AC4197">
        <v>-9.875</v>
      </c>
      <c r="AD4197">
        <v>-1.1015141443400001</v>
      </c>
      <c r="AE4197">
        <v>-35.216239999999999</v>
      </c>
      <c r="AF4197">
        <v>4.8434473764769903</v>
      </c>
      <c r="AG4197">
        <v>-1.1015141443400001</v>
      </c>
      <c r="AH4197">
        <v>36.219012038291901</v>
      </c>
      <c r="AI4197">
        <v>91.726615862450004</v>
      </c>
      <c r="AJ4197">
        <v>82.383215661603401</v>
      </c>
      <c r="AK4197">
        <v>36.558024412279401</v>
      </c>
    </row>
    <row r="4198" spans="1:37" x14ac:dyDescent="0.2">
      <c r="A4198" t="str">
        <f>"20200111153518432"</f>
        <v>20200111153518432</v>
      </c>
      <c r="B4198" t="str">
        <f>"1578728118420426"</f>
        <v>1578728118420426</v>
      </c>
      <c r="C4198" t="s">
        <v>37</v>
      </c>
      <c r="D4198">
        <v>4.9091680000000002</v>
      </c>
      <c r="E4198">
        <v>0.58882519999999905</v>
      </c>
      <c r="F4198" t="s">
        <v>39</v>
      </c>
      <c r="G4198">
        <v>-427.53910000000002</v>
      </c>
      <c r="H4198" s="1">
        <v>-5.5644179999999997E-6</v>
      </c>
      <c r="I4198">
        <v>69.408349999999999</v>
      </c>
      <c r="J4198">
        <v>-417.50170000000003</v>
      </c>
      <c r="K4198">
        <v>1.101537</v>
      </c>
      <c r="L4198">
        <v>104.93049999999999</v>
      </c>
      <c r="M4198">
        <v>-0.14360729999999999</v>
      </c>
      <c r="N4198">
        <v>0</v>
      </c>
      <c r="O4198">
        <v>-0.98953709999999995</v>
      </c>
      <c r="P4198">
        <v>-4.1347750000000003E-2</v>
      </c>
      <c r="Q4198">
        <v>4.6299140000000003E-2</v>
      </c>
      <c r="R4198">
        <v>-0.99807179999999995</v>
      </c>
      <c r="S4198">
        <v>-0.83752439999999995</v>
      </c>
      <c r="T4198">
        <v>-9.1453430000000002E-2</v>
      </c>
      <c r="U4198">
        <v>-2.9765630000000001</v>
      </c>
      <c r="V4198">
        <v>-0.10193039999999901</v>
      </c>
      <c r="W4198">
        <v>6.0952359999999997E-2</v>
      </c>
      <c r="X4198">
        <v>0.99292250000000004</v>
      </c>
      <c r="Y4198">
        <v>0.1296755</v>
      </c>
      <c r="Z4198">
        <v>2.9533279999999999E-2</v>
      </c>
      <c r="AA4198">
        <v>0.99111659999999902</v>
      </c>
      <c r="AB4198">
        <v>33</v>
      </c>
      <c r="AC4198">
        <v>-10.0373999999999</v>
      </c>
      <c r="AD4198">
        <v>-1.1015425644179999</v>
      </c>
      <c r="AE4198">
        <v>-35.522150000000003</v>
      </c>
      <c r="AF4198">
        <v>4.8273077566428197</v>
      </c>
      <c r="AG4198">
        <v>-1.1015425644179999</v>
      </c>
      <c r="AH4198">
        <v>36.562905860622003</v>
      </c>
      <c r="AI4198">
        <v>91.710809208546195</v>
      </c>
      <c r="AJ4198">
        <v>82.478883027520197</v>
      </c>
      <c r="AK4198">
        <v>36.896644578759101</v>
      </c>
    </row>
    <row r="4199" spans="1:37" x14ac:dyDescent="0.2">
      <c r="A4199" t="str">
        <f>"20200111153518454"</f>
        <v>20200111153518454</v>
      </c>
      <c r="B4199" t="str">
        <f>"1578728118449705"</f>
        <v>1578728118449705</v>
      </c>
      <c r="C4199" t="s">
        <v>37</v>
      </c>
      <c r="D4199">
        <v>4.9570720000000001</v>
      </c>
      <c r="E4199">
        <v>0.58833519999999995</v>
      </c>
      <c r="F4199" t="s">
        <v>39</v>
      </c>
      <c r="G4199">
        <v>-427.31650000000002</v>
      </c>
      <c r="H4199" s="1">
        <v>-2.1377779999999999E-6</v>
      </c>
      <c r="I4199">
        <v>70.03443</v>
      </c>
      <c r="J4199">
        <v>-417.5532</v>
      </c>
      <c r="K4199">
        <v>1.1015760000000001</v>
      </c>
      <c r="L4199">
        <v>104.6009</v>
      </c>
      <c r="M4199">
        <v>-0.14718789999999901</v>
      </c>
      <c r="N4199">
        <v>0</v>
      </c>
      <c r="O4199">
        <v>-0.98901090000000003</v>
      </c>
      <c r="P4199">
        <v>-4.2271030000000001E-2</v>
      </c>
      <c r="Q4199">
        <v>4.707654E-2</v>
      </c>
      <c r="R4199">
        <v>-0.99799660000000001</v>
      </c>
      <c r="S4199">
        <v>-0.836883499999999</v>
      </c>
      <c r="T4199">
        <v>-9.3925359999999999E-2</v>
      </c>
      <c r="U4199">
        <v>-2.9754939999999999</v>
      </c>
      <c r="V4199">
        <v>-0.1046</v>
      </c>
      <c r="W4199">
        <v>6.173766E-2</v>
      </c>
      <c r="X4199">
        <v>0.99259629999999999</v>
      </c>
      <c r="Y4199">
        <v>0.12597429999999901</v>
      </c>
      <c r="Z4199">
        <v>3.0325330000000001E-2</v>
      </c>
      <c r="AA4199">
        <v>0.9915699</v>
      </c>
      <c r="AB4199">
        <v>33</v>
      </c>
      <c r="AC4199">
        <v>-9.7633000000000099</v>
      </c>
      <c r="AD4199">
        <v>-1.1015781377779901</v>
      </c>
      <c r="AE4199">
        <v>-34.566469999999903</v>
      </c>
      <c r="AF4199">
        <v>4.56439217878218</v>
      </c>
      <c r="AG4199">
        <v>-1.1015781377779901</v>
      </c>
      <c r="AH4199">
        <v>35.593618390745</v>
      </c>
      <c r="AI4199">
        <v>91.758278223778802</v>
      </c>
      <c r="AJ4199">
        <v>82.692486109589098</v>
      </c>
      <c r="AK4199">
        <v>35.901989088368701</v>
      </c>
    </row>
    <row r="4200" spans="1:37" x14ac:dyDescent="0.2">
      <c r="A4200" t="str">
        <f>"20200111153518477"</f>
        <v>20200111153518477</v>
      </c>
      <c r="B4200" t="str">
        <f>"1578728118470204"</f>
        <v>1578728118470204</v>
      </c>
      <c r="C4200" t="s">
        <v>37</v>
      </c>
      <c r="D4200">
        <v>5.0202439999999999</v>
      </c>
      <c r="E4200">
        <v>0.58809290000000003</v>
      </c>
      <c r="F4200" t="s">
        <v>39</v>
      </c>
      <c r="G4200">
        <v>-427.27179999999998</v>
      </c>
      <c r="H4200" s="1">
        <v>-2.1190750000000001E-6</v>
      </c>
      <c r="I4200">
        <v>70.018550000000005</v>
      </c>
      <c r="J4200">
        <v>-417.60669999999999</v>
      </c>
      <c r="K4200">
        <v>1.1016250000000001</v>
      </c>
      <c r="L4200">
        <v>104.2659</v>
      </c>
      <c r="M4200">
        <v>-0.1507608</v>
      </c>
      <c r="N4200">
        <v>0</v>
      </c>
      <c r="O4200">
        <v>-0.98847249999999998</v>
      </c>
      <c r="P4200">
        <v>-4.3307360000000003E-2</v>
      </c>
      <c r="Q4200">
        <v>4.6962740000000003E-2</v>
      </c>
      <c r="R4200">
        <v>-0.99795750000000005</v>
      </c>
      <c r="S4200">
        <v>-0.83609009999999995</v>
      </c>
      <c r="T4200">
        <v>-9.4768050000000006E-2</v>
      </c>
      <c r="U4200">
        <v>-2.975098</v>
      </c>
      <c r="V4200">
        <v>-0.1071666</v>
      </c>
      <c r="W4200">
        <v>6.1625810000000003E-2</v>
      </c>
      <c r="X4200">
        <v>0.99232940000000003</v>
      </c>
      <c r="Y4200">
        <v>0.1221757</v>
      </c>
      <c r="Z4200">
        <v>3.0584610000000002E-2</v>
      </c>
      <c r="AA4200">
        <v>0.99203709999999901</v>
      </c>
      <c r="AB4200">
        <v>33</v>
      </c>
      <c r="AC4200">
        <v>-9.66509999999999</v>
      </c>
      <c r="AD4200">
        <v>-1.101627119075</v>
      </c>
      <c r="AE4200">
        <v>-34.247349999999997</v>
      </c>
      <c r="AF4200">
        <v>4.3867479392068898</v>
      </c>
      <c r="AG4200">
        <v>-1.101627119075</v>
      </c>
      <c r="AH4200">
        <v>35.2792843276263</v>
      </c>
      <c r="AI4200">
        <v>91.774871233484603</v>
      </c>
      <c r="AJ4200">
        <v>82.912025431937806</v>
      </c>
      <c r="AK4200">
        <v>35.568033997694002</v>
      </c>
    </row>
    <row r="4201" spans="1:37" x14ac:dyDescent="0.2">
      <c r="A4201" t="str">
        <f>"20200111153518499"</f>
        <v>20200111153518499</v>
      </c>
      <c r="B4201" t="str">
        <f>"1578728118489721"</f>
        <v>1578728118489721</v>
      </c>
      <c r="C4201" t="s">
        <v>37</v>
      </c>
      <c r="D4201">
        <v>5.0016089999999904</v>
      </c>
      <c r="E4201">
        <v>0.58785500000000002</v>
      </c>
      <c r="F4201" t="s">
        <v>39</v>
      </c>
      <c r="G4201">
        <v>-427.19540000000001</v>
      </c>
      <c r="H4201" s="1">
        <v>-2.1817709999999999E-6</v>
      </c>
      <c r="I4201">
        <v>70.212100000000007</v>
      </c>
      <c r="J4201">
        <v>-417.65940000000001</v>
      </c>
      <c r="K4201">
        <v>1.1016840000000001</v>
      </c>
      <c r="L4201">
        <v>103.9431</v>
      </c>
      <c r="M4201">
        <v>-0.15412529999999999</v>
      </c>
      <c r="N4201">
        <v>0</v>
      </c>
      <c r="O4201">
        <v>-0.98795359999999999</v>
      </c>
      <c r="P4201">
        <v>-4.4412920000000002E-2</v>
      </c>
      <c r="Q4201">
        <v>4.6607540000000003E-2</v>
      </c>
      <c r="R4201">
        <v>-0.99792569999999903</v>
      </c>
      <c r="S4201">
        <v>-0.83749390000000001</v>
      </c>
      <c r="T4201">
        <v>-9.6218590000000007E-2</v>
      </c>
      <c r="U4201">
        <v>-2.974335</v>
      </c>
      <c r="V4201">
        <v>-0.1094613</v>
      </c>
      <c r="W4201">
        <v>6.1265999999999897E-2</v>
      </c>
      <c r="X4201">
        <v>0.99210109999999996</v>
      </c>
      <c r="Y4201">
        <v>0.11929239999999899</v>
      </c>
      <c r="Z4201">
        <v>3.103914E-2</v>
      </c>
      <c r="AA4201">
        <v>0.99237389999999903</v>
      </c>
      <c r="AB4201">
        <v>33</v>
      </c>
      <c r="AC4201">
        <v>-9.5359999999999996</v>
      </c>
      <c r="AD4201">
        <v>-1.101686181771</v>
      </c>
      <c r="AE4201">
        <v>-33.730999999999902</v>
      </c>
      <c r="AF4201">
        <v>4.2185656545369596</v>
      </c>
      <c r="AG4201">
        <v>-1.101686181771</v>
      </c>
      <c r="AH4201">
        <v>34.763422269366004</v>
      </c>
      <c r="AI4201">
        <v>91.801940306382406</v>
      </c>
      <c r="AJ4201">
        <v>83.080947953835704</v>
      </c>
      <c r="AK4201">
        <v>35.035775094936803</v>
      </c>
    </row>
    <row r="4202" spans="1:37" x14ac:dyDescent="0.2">
      <c r="A4202" t="str">
        <f>"20200111153518521"</f>
        <v>20200111153518521</v>
      </c>
      <c r="B4202" t="str">
        <f>"1578728118510217"</f>
        <v>1578728118510217</v>
      </c>
      <c r="C4202" t="s">
        <v>37</v>
      </c>
      <c r="D4202">
        <v>5.009531</v>
      </c>
      <c r="E4202">
        <v>0.58757950000000003</v>
      </c>
      <c r="F4202" t="s">
        <v>39</v>
      </c>
      <c r="G4202">
        <v>-427.04079999999999</v>
      </c>
      <c r="H4202" s="1">
        <v>-2.3415649999999998E-6</v>
      </c>
      <c r="I4202">
        <v>70.680430000000001</v>
      </c>
      <c r="J4202">
        <v>-417.71539999999999</v>
      </c>
      <c r="K4202">
        <v>1.1017649999999899</v>
      </c>
      <c r="L4202">
        <v>103.6071</v>
      </c>
      <c r="M4202">
        <v>-0.15751779999999899</v>
      </c>
      <c r="N4202">
        <v>0</v>
      </c>
      <c r="O4202">
        <v>-0.98741829999999997</v>
      </c>
      <c r="P4202">
        <v>-4.613809E-2</v>
      </c>
      <c r="Q4202">
        <v>4.6543859999999999E-2</v>
      </c>
      <c r="R4202">
        <v>-0.99785020000000002</v>
      </c>
      <c r="S4202">
        <v>-0.8386536</v>
      </c>
      <c r="T4202">
        <v>-9.8485110000000001E-2</v>
      </c>
      <c r="U4202">
        <v>-2.9735109999999998</v>
      </c>
      <c r="V4202">
        <v>-0.11116810000000001</v>
      </c>
      <c r="W4202">
        <v>6.1186999999999998E-2</v>
      </c>
      <c r="X4202">
        <v>0.99191620000000003</v>
      </c>
      <c r="Y4202">
        <v>0.1163057</v>
      </c>
      <c r="Z4202">
        <v>3.1756350000000003E-2</v>
      </c>
      <c r="AA4202">
        <v>0.99270559999999997</v>
      </c>
      <c r="AB4202">
        <v>33</v>
      </c>
      <c r="AC4202">
        <v>-9.3254000000000001</v>
      </c>
      <c r="AD4202">
        <v>-1.10176734156499</v>
      </c>
      <c r="AE4202">
        <v>-32.926670000000001</v>
      </c>
      <c r="AF4202">
        <v>4.0177581565110403</v>
      </c>
      <c r="AG4202">
        <v>-1.10176734156499</v>
      </c>
      <c r="AH4202">
        <v>33.949407781739403</v>
      </c>
      <c r="AI4202">
        <v>91.845907113313501</v>
      </c>
      <c r="AJ4202">
        <v>83.250697449604502</v>
      </c>
      <c r="AK4202">
        <v>34.204072281089303</v>
      </c>
    </row>
    <row r="4203" spans="1:37" x14ac:dyDescent="0.2">
      <c r="A4203" t="str">
        <f>"20200111153518544"</f>
        <v>20200111153518544</v>
      </c>
      <c r="B4203" t="str">
        <f>"1578728118540473"</f>
        <v>1578728118540473</v>
      </c>
      <c r="C4203" t="s">
        <v>37</v>
      </c>
      <c r="D4203">
        <v>4.9937870000000002</v>
      </c>
      <c r="E4203">
        <v>0.58715890000000004</v>
      </c>
      <c r="F4203" t="s">
        <v>39</v>
      </c>
      <c r="G4203">
        <v>-427.0514</v>
      </c>
      <c r="H4203" s="1">
        <v>-2.3406920000000001E-6</v>
      </c>
      <c r="I4203">
        <v>70.67183</v>
      </c>
      <c r="J4203">
        <v>-417.77190000000002</v>
      </c>
      <c r="K4203">
        <v>1.101847</v>
      </c>
      <c r="L4203">
        <v>103.27460000000001</v>
      </c>
      <c r="M4203">
        <v>-0.16078299999999901</v>
      </c>
      <c r="N4203">
        <v>0</v>
      </c>
      <c r="O4203">
        <v>-0.98689199999999999</v>
      </c>
      <c r="P4203">
        <v>-4.8261739999999997E-2</v>
      </c>
      <c r="Q4203">
        <v>4.6895729999999997E-2</v>
      </c>
      <c r="R4203">
        <v>-0.99773349999999905</v>
      </c>
      <c r="S4203">
        <v>-0.84249879999999999</v>
      </c>
      <c r="T4203">
        <v>-9.9425319999999998E-2</v>
      </c>
      <c r="U4203">
        <v>-2.972137</v>
      </c>
      <c r="V4203">
        <v>-0.1123468</v>
      </c>
      <c r="W4203">
        <v>6.1518249999999997E-2</v>
      </c>
      <c r="X4203">
        <v>0.9917629</v>
      </c>
      <c r="Y4203">
        <v>0.1143267</v>
      </c>
      <c r="Z4203">
        <v>3.2046079999999998E-2</v>
      </c>
      <c r="AA4203">
        <v>0.99292619999999898</v>
      </c>
      <c r="AB4203">
        <v>33</v>
      </c>
      <c r="AC4203">
        <v>-9.2794999999999792</v>
      </c>
      <c r="AD4203">
        <v>-1.101849340692</v>
      </c>
      <c r="AE4203">
        <v>-32.60277</v>
      </c>
      <c r="AF4203">
        <v>3.9121375806991998</v>
      </c>
      <c r="AG4203">
        <v>-1.101849340692</v>
      </c>
      <c r="AH4203">
        <v>33.635109787841301</v>
      </c>
      <c r="AI4203">
        <v>91.863720807053696</v>
      </c>
      <c r="AJ4203">
        <v>83.365673058778697</v>
      </c>
      <c r="AK4203">
        <v>33.879780147752399</v>
      </c>
    </row>
    <row r="4204" spans="1:37" x14ac:dyDescent="0.2">
      <c r="A4204" t="str">
        <f>"20200111153518566"</f>
        <v>20200111153518566</v>
      </c>
      <c r="B4204" t="str">
        <f>"1578728118559993"</f>
        <v>1578728118559993</v>
      </c>
      <c r="C4204" t="s">
        <v>37</v>
      </c>
      <c r="D4204">
        <v>5.001995</v>
      </c>
      <c r="E4204">
        <v>0.56873249999999997</v>
      </c>
      <c r="F4204" t="s">
        <v>39</v>
      </c>
      <c r="G4204">
        <v>-426.85649999999998</v>
      </c>
      <c r="H4204" s="1">
        <v>-2.57689799999999E-6</v>
      </c>
      <c r="I4204">
        <v>71.343329999999995</v>
      </c>
      <c r="J4204">
        <v>-417.82870000000003</v>
      </c>
      <c r="K4204">
        <v>1.101925</v>
      </c>
      <c r="L4204">
        <v>102.9469</v>
      </c>
      <c r="M4204">
        <v>-0.16389479999999901</v>
      </c>
      <c r="N4204">
        <v>0</v>
      </c>
      <c r="O4204">
        <v>-0.98638029999999999</v>
      </c>
      <c r="P4204">
        <v>-4.9314690000000001E-2</v>
      </c>
      <c r="Q4204">
        <v>4.6596810000000002E-2</v>
      </c>
      <c r="R4204">
        <v>-0.99769609999999997</v>
      </c>
      <c r="S4204">
        <v>-0.8451843</v>
      </c>
      <c r="T4204">
        <v>-0.1025107</v>
      </c>
      <c r="U4204">
        <v>-2.9707340000000002</v>
      </c>
      <c r="V4204">
        <v>-0.1144466</v>
      </c>
      <c r="W4204">
        <v>6.1202230000000003E-2</v>
      </c>
      <c r="X4204">
        <v>0.99154240000000005</v>
      </c>
      <c r="Y4204">
        <v>0.112138</v>
      </c>
      <c r="Z4204">
        <v>3.3029019999999999E-2</v>
      </c>
      <c r="AA4204">
        <v>0.99314360000000002</v>
      </c>
      <c r="AB4204">
        <v>33</v>
      </c>
      <c r="AC4204">
        <v>-9.0277999999999494</v>
      </c>
      <c r="AD4204">
        <v>-1.1019275768979999</v>
      </c>
      <c r="AE4204">
        <v>-31.603569999999898</v>
      </c>
      <c r="AF4204">
        <v>3.7213588847849</v>
      </c>
      <c r="AG4204">
        <v>-1.1019275768979999</v>
      </c>
      <c r="AH4204">
        <v>32.6192258825576</v>
      </c>
      <c r="AI4204">
        <v>91.922343612309703</v>
      </c>
      <c r="AJ4204">
        <v>83.491559854814398</v>
      </c>
      <c r="AK4204">
        <v>32.849302176932397</v>
      </c>
    </row>
    <row r="4205" spans="1:37" x14ac:dyDescent="0.2">
      <c r="A4205" t="str">
        <f>"20200111153518589"</f>
        <v>20200111153518589</v>
      </c>
      <c r="B4205" t="str">
        <f>"1578728118580489"</f>
        <v>1578728118580489</v>
      </c>
      <c r="C4205" t="s">
        <v>37</v>
      </c>
      <c r="D4205">
        <v>4.8889120000000004</v>
      </c>
      <c r="E4205">
        <v>0.50275259999999999</v>
      </c>
      <c r="F4205" t="s">
        <v>39</v>
      </c>
      <c r="G4205">
        <v>-422.87699999999899</v>
      </c>
      <c r="H4205" s="1">
        <v>-1.6054509999999901E-6</v>
      </c>
      <c r="I4205">
        <v>81.547049999999999</v>
      </c>
      <c r="J4205">
        <v>-417.88580000000002</v>
      </c>
      <c r="K4205">
        <v>1.1020239999999999</v>
      </c>
      <c r="L4205">
        <v>102.62220000000001</v>
      </c>
      <c r="M4205">
        <v>-0.16685039999999901</v>
      </c>
      <c r="N4205">
        <v>0</v>
      </c>
      <c r="O4205">
        <v>-0.98588449999999905</v>
      </c>
      <c r="P4205">
        <v>-4.9541399999999999E-2</v>
      </c>
      <c r="Q4205">
        <v>4.5732259999999997E-2</v>
      </c>
      <c r="R4205">
        <v>-0.99772469999999902</v>
      </c>
      <c r="S4205">
        <v>-0.70285030000000004</v>
      </c>
      <c r="T4205">
        <v>-0.15341469999999999</v>
      </c>
      <c r="U4205">
        <v>-2.9793699999999999</v>
      </c>
      <c r="V4205">
        <v>-0.1172226</v>
      </c>
      <c r="W4205">
        <v>6.0320279999999997E-2</v>
      </c>
      <c r="X4205">
        <v>0.99127209999999999</v>
      </c>
      <c r="Y4205">
        <v>6.3688969999999998E-2</v>
      </c>
      <c r="Z4205">
        <v>4.9619360000000001E-2</v>
      </c>
      <c r="AA4205">
        <v>0.9967355</v>
      </c>
      <c r="AB4205">
        <v>33</v>
      </c>
      <c r="AC4205">
        <v>-4.9911999999999299</v>
      </c>
      <c r="AD4205">
        <v>-1.10202560545099</v>
      </c>
      <c r="AE4205">
        <v>-21.075150000000001</v>
      </c>
      <c r="AF4205">
        <v>1.40085793098194</v>
      </c>
      <c r="AG4205">
        <v>-1.10202560545099</v>
      </c>
      <c r="AH4205">
        <v>21.556718247947899</v>
      </c>
      <c r="AI4205">
        <v>92.920386033715502</v>
      </c>
      <c r="AJ4205">
        <v>86.281876152412195</v>
      </c>
      <c r="AK4205">
        <v>21.630278893238401</v>
      </c>
    </row>
    <row r="4206" spans="1:37" x14ac:dyDescent="0.2">
      <c r="A4206" t="str">
        <f>"20200111153518610"</f>
        <v>20200111153518610</v>
      </c>
      <c r="B4206" t="str">
        <f>"1578728118600009"</f>
        <v>1578728118600009</v>
      </c>
      <c r="C4206" t="s">
        <v>37</v>
      </c>
      <c r="D4206">
        <v>5.0149140000000001</v>
      </c>
      <c r="E4206">
        <v>0.48800270000000001</v>
      </c>
      <c r="F4206" t="s">
        <v>39</v>
      </c>
      <c r="G4206">
        <v>-419.19349999999997</v>
      </c>
      <c r="H4206" s="1">
        <v>-5.3349920000000002E-7</v>
      </c>
      <c r="I4206">
        <v>80.542919999999995</v>
      </c>
      <c r="J4206">
        <v>-417.94310000000002</v>
      </c>
      <c r="K4206">
        <v>1.1021399999999999</v>
      </c>
      <c r="L4206">
        <v>102.30119999999999</v>
      </c>
      <c r="M4206">
        <v>-0.1696327</v>
      </c>
      <c r="N4206">
        <v>0</v>
      </c>
      <c r="O4206">
        <v>-0.98540969999999894</v>
      </c>
      <c r="P4206">
        <v>-4.9811660000000001E-2</v>
      </c>
      <c r="Q4206">
        <v>4.5795780000000001E-2</v>
      </c>
      <c r="R4206">
        <v>-0.99770800000000004</v>
      </c>
      <c r="S4206">
        <v>-0.17797850000000001</v>
      </c>
      <c r="T4206">
        <v>-0.14998020000000001</v>
      </c>
      <c r="U4206">
        <v>-3.004883</v>
      </c>
      <c r="V4206">
        <v>-0.1197696</v>
      </c>
      <c r="W4206">
        <v>6.0358349999999998E-2</v>
      </c>
      <c r="X4206">
        <v>0.99096519999999999</v>
      </c>
      <c r="Y4206">
        <v>-0.1111533</v>
      </c>
      <c r="Z4206">
        <v>4.8571699999999898E-2</v>
      </c>
      <c r="AA4206">
        <v>0.99261559999999904</v>
      </c>
      <c r="AB4206">
        <v>33</v>
      </c>
      <c r="AC4206">
        <v>-1.25039999999995</v>
      </c>
      <c r="AD4206">
        <v>-1.1021405334991901</v>
      </c>
      <c r="AE4206">
        <v>-21.758279999999999</v>
      </c>
      <c r="AF4206">
        <v>-2.4527236356406998</v>
      </c>
      <c r="AG4206">
        <v>-1.1021405334991901</v>
      </c>
      <c r="AH4206">
        <v>21.599774436361699</v>
      </c>
      <c r="AI4206">
        <v>92.902395702387594</v>
      </c>
      <c r="AJ4206">
        <v>96.478369807889706</v>
      </c>
      <c r="AK4206">
        <v>21.766506901432699</v>
      </c>
    </row>
    <row r="4207" spans="1:37" x14ac:dyDescent="0.2">
      <c r="A4207" t="str">
        <f>"20200111153518633"</f>
        <v>20200111153518633</v>
      </c>
      <c r="B4207" t="str">
        <f>"1578728118630265"</f>
        <v>1578728118630265</v>
      </c>
      <c r="C4207" t="s">
        <v>37</v>
      </c>
      <c r="D4207">
        <v>4.8636699999999999</v>
      </c>
      <c r="E4207">
        <v>0.487201199999999</v>
      </c>
      <c r="F4207" t="s">
        <v>39</v>
      </c>
      <c r="G4207">
        <v>-418.39749999999998</v>
      </c>
      <c r="H4207" s="1">
        <v>-5.0404899999999898E-7</v>
      </c>
      <c r="I4207">
        <v>79.876239999999996</v>
      </c>
      <c r="J4207">
        <v>-418.00220000000002</v>
      </c>
      <c r="K4207">
        <v>1.1022730000000001</v>
      </c>
      <c r="L4207">
        <v>101.9747</v>
      </c>
      <c r="M4207">
        <v>-0.17230399999999901</v>
      </c>
      <c r="N4207">
        <v>0</v>
      </c>
      <c r="O4207">
        <v>-0.98494629999999905</v>
      </c>
      <c r="P4207">
        <v>-5.0757990000000003E-2</v>
      </c>
      <c r="Q4207">
        <v>4.5983459999999997E-2</v>
      </c>
      <c r="R4207">
        <v>-0.99765199999999998</v>
      </c>
      <c r="S4207">
        <v>-6.1004639999999999E-2</v>
      </c>
      <c r="T4207">
        <v>-0.1479675</v>
      </c>
      <c r="U4207">
        <v>-3.01065099999999</v>
      </c>
      <c r="V4207">
        <v>-0.121534199999999</v>
      </c>
      <c r="W4207">
        <v>6.0508770000000003E-2</v>
      </c>
      <c r="X4207">
        <v>0.99074119999999999</v>
      </c>
      <c r="Y4207">
        <v>-0.1523516</v>
      </c>
      <c r="Z4207">
        <v>4.7697000000000003E-2</v>
      </c>
      <c r="AA4207">
        <v>0.98717469999999996</v>
      </c>
      <c r="AB4207">
        <v>33</v>
      </c>
      <c r="AC4207">
        <v>-0.39529999999996301</v>
      </c>
      <c r="AD4207">
        <v>-1.1022735040489999</v>
      </c>
      <c r="AE4207">
        <v>-22.098459999999999</v>
      </c>
      <c r="AF4207">
        <v>-3.4101503602509999</v>
      </c>
      <c r="AG4207">
        <v>-1.1022735040489999</v>
      </c>
      <c r="AH4207">
        <v>21.7818294285671</v>
      </c>
      <c r="AI4207">
        <v>92.862186320285701</v>
      </c>
      <c r="AJ4207">
        <v>98.897963715776697</v>
      </c>
      <c r="AK4207">
        <v>22.0746965010267</v>
      </c>
    </row>
    <row r="4208" spans="1:37" x14ac:dyDescent="0.2">
      <c r="A4208" t="str">
        <f>"20200111153518656"</f>
        <v>20200111153518656</v>
      </c>
      <c r="B4208" t="str">
        <f>"1578728118649785"</f>
        <v>1578728118649785</v>
      </c>
      <c r="C4208" t="s">
        <v>37</v>
      </c>
      <c r="D4208">
        <v>4.8509390000000003</v>
      </c>
      <c r="E4208">
        <v>0.487579599999999</v>
      </c>
      <c r="F4208" t="s">
        <v>39</v>
      </c>
      <c r="G4208">
        <v>-418.45639999999997</v>
      </c>
      <c r="H4208" s="1">
        <v>-3.8848779999999997E-6</v>
      </c>
      <c r="I4208">
        <v>78.050259999999994</v>
      </c>
      <c r="J4208">
        <v>-418.06369999999998</v>
      </c>
      <c r="K4208">
        <v>1.1024229999999999</v>
      </c>
      <c r="L4208">
        <v>101.639</v>
      </c>
      <c r="M4208">
        <v>-0.17486789999999999</v>
      </c>
      <c r="N4208">
        <v>0</v>
      </c>
      <c r="O4208">
        <v>-0.98449439999999999</v>
      </c>
      <c r="P4208">
        <v>-5.1641230000000003E-2</v>
      </c>
      <c r="Q4208">
        <v>4.5891359999999999E-2</v>
      </c>
      <c r="R4208">
        <v>-0.99761100000000003</v>
      </c>
      <c r="S4208">
        <v>-5.7159420000000002E-2</v>
      </c>
      <c r="T4208">
        <v>-0.1387062</v>
      </c>
      <c r="U4208">
        <v>-3.0105590000000002</v>
      </c>
      <c r="V4208">
        <v>-0.1232622</v>
      </c>
      <c r="W4208">
        <v>6.0370739999999999E-2</v>
      </c>
      <c r="X4208">
        <v>0.99053609999999903</v>
      </c>
      <c r="Y4208">
        <v>-0.15618089999999901</v>
      </c>
      <c r="Z4208">
        <v>4.4675090000000001E-2</v>
      </c>
      <c r="AA4208">
        <v>0.98671759999999997</v>
      </c>
      <c r="AB4208">
        <v>33</v>
      </c>
      <c r="AC4208">
        <v>-0.39269999999999</v>
      </c>
      <c r="AD4208">
        <v>-1.1024268848779999</v>
      </c>
      <c r="AE4208">
        <v>-23.588740000000001</v>
      </c>
      <c r="AF4208">
        <v>-3.73051550269656</v>
      </c>
      <c r="AG4208">
        <v>-1.1024268848779999</v>
      </c>
      <c r="AH4208">
        <v>23.243135984497702</v>
      </c>
      <c r="AI4208">
        <v>92.681251846538402</v>
      </c>
      <c r="AJ4208">
        <v>99.118188750308406</v>
      </c>
      <c r="AK4208">
        <v>23.566405354788699</v>
      </c>
    </row>
    <row r="4209" spans="1:37" x14ac:dyDescent="0.2">
      <c r="A4209" t="str">
        <f>"20200111153518678"</f>
        <v>20200111153518678</v>
      </c>
      <c r="B4209" t="str">
        <f>"1578728118670282"</f>
        <v>1578728118670282</v>
      </c>
      <c r="C4209" t="s">
        <v>37</v>
      </c>
      <c r="D4209">
        <v>4.8456199999999896</v>
      </c>
      <c r="E4209">
        <v>0.4880042</v>
      </c>
      <c r="F4209" t="s">
        <v>39</v>
      </c>
      <c r="G4209">
        <v>-418.5711</v>
      </c>
      <c r="H4209" s="1">
        <v>-3.4645349999999999E-6</v>
      </c>
      <c r="I4209">
        <v>77.117850000000004</v>
      </c>
      <c r="J4209">
        <v>-418.12329999999997</v>
      </c>
      <c r="K4209">
        <v>1.10259</v>
      </c>
      <c r="L4209">
        <v>101.3171</v>
      </c>
      <c r="M4209">
        <v>-0.1771296</v>
      </c>
      <c r="N4209">
        <v>0</v>
      </c>
      <c r="O4209">
        <v>-0.98408999999999902</v>
      </c>
      <c r="P4209">
        <v>-5.193971E-2</v>
      </c>
      <c r="Q4209">
        <v>4.4761339999999997E-2</v>
      </c>
      <c r="R4209">
        <v>-0.99764660000000005</v>
      </c>
      <c r="S4209">
        <v>-6.2286380000000002E-2</v>
      </c>
      <c r="T4209">
        <v>-0.1353326</v>
      </c>
      <c r="U4209">
        <v>-3.0101930000000001</v>
      </c>
      <c r="V4209">
        <v>-0.1252829</v>
      </c>
      <c r="W4209">
        <v>5.9192679999999998E-2</v>
      </c>
      <c r="X4209">
        <v>0.9903537</v>
      </c>
      <c r="Y4209">
        <v>-0.156767299999999</v>
      </c>
      <c r="Z4209">
        <v>4.3566000000000001E-2</v>
      </c>
      <c r="AA4209">
        <v>0.98667419999999995</v>
      </c>
      <c r="AB4209">
        <v>33</v>
      </c>
      <c r="AC4209">
        <v>-0.44780000000002901</v>
      </c>
      <c r="AD4209">
        <v>-1.102593464535</v>
      </c>
      <c r="AE4209">
        <v>-24.1992499999999</v>
      </c>
      <c r="AF4209">
        <v>-3.8381319407499199</v>
      </c>
      <c r="AG4209">
        <v>-1.102593464535</v>
      </c>
      <c r="AH4209">
        <v>23.846364332567099</v>
      </c>
      <c r="AI4209">
        <v>92.613730126271193</v>
      </c>
      <c r="AJ4209">
        <v>99.143480968403395</v>
      </c>
      <c r="AK4209">
        <v>24.178421392311101</v>
      </c>
    </row>
    <row r="4210" spans="1:37" x14ac:dyDescent="0.2">
      <c r="A4210" t="str">
        <f>"20200111153518701"</f>
        <v>20200111153518701</v>
      </c>
      <c r="B4210" t="str">
        <f>"1578728118689801"</f>
        <v>1578728118689801</v>
      </c>
      <c r="C4210" t="s">
        <v>37</v>
      </c>
      <c r="D4210">
        <v>4.8769710000000002</v>
      </c>
      <c r="E4210">
        <v>0.4880949</v>
      </c>
      <c r="F4210" t="s">
        <v>39</v>
      </c>
      <c r="G4210">
        <v>-418.64850000000001</v>
      </c>
      <c r="H4210" s="1">
        <v>-3.5957839999999999E-6</v>
      </c>
      <c r="I4210">
        <v>77.45581</v>
      </c>
      <c r="J4210">
        <v>-418.18419999999998</v>
      </c>
      <c r="K4210">
        <v>1.1027750000000001</v>
      </c>
      <c r="L4210">
        <v>100.9915</v>
      </c>
      <c r="M4210">
        <v>-0.1791857</v>
      </c>
      <c r="N4210">
        <v>0</v>
      </c>
      <c r="O4210">
        <v>-0.98371769999999903</v>
      </c>
      <c r="P4210">
        <v>-5.1184279999999999E-2</v>
      </c>
      <c r="Q4210">
        <v>4.3850430000000003E-2</v>
      </c>
      <c r="R4210">
        <v>-0.99772609999999995</v>
      </c>
      <c r="S4210">
        <v>-6.6253660000000006E-2</v>
      </c>
      <c r="T4210">
        <v>-0.1390808</v>
      </c>
      <c r="U4210">
        <v>-3.0098569999999998</v>
      </c>
      <c r="V4210">
        <v>-0.12814239999999999</v>
      </c>
      <c r="W4210">
        <v>5.822778E-2</v>
      </c>
      <c r="X4210">
        <v>0.99004499999999995</v>
      </c>
      <c r="Y4210">
        <v>-0.15753010000000001</v>
      </c>
      <c r="Z4210">
        <v>4.4745970000000003E-2</v>
      </c>
      <c r="AA4210">
        <v>0.98649989999999999</v>
      </c>
      <c r="AB4210">
        <v>33</v>
      </c>
      <c r="AC4210">
        <v>-0.46430000000003702</v>
      </c>
      <c r="AD4210">
        <v>-1.1027785957839999</v>
      </c>
      <c r="AE4210">
        <v>-23.535689999999999</v>
      </c>
      <c r="AF4210">
        <v>-3.75264444427502</v>
      </c>
      <c r="AG4210">
        <v>-1.1027785957839999</v>
      </c>
      <c r="AH4210">
        <v>23.187015331429699</v>
      </c>
      <c r="AI4210">
        <v>92.688021867525904</v>
      </c>
      <c r="AJ4210">
        <v>99.1931794323676</v>
      </c>
      <c r="AK4210">
        <v>23.5145942116045</v>
      </c>
    </row>
    <row r="4211" spans="1:37" x14ac:dyDescent="0.2">
      <c r="A4211" t="str">
        <f>"20200111153518722"</f>
        <v>20200111153518722</v>
      </c>
      <c r="B4211" t="str">
        <f>"1578728118720058"</f>
        <v>1578728118720058</v>
      </c>
      <c r="C4211" t="s">
        <v>37</v>
      </c>
      <c r="D4211">
        <v>4.8380239999999999</v>
      </c>
      <c r="E4211">
        <v>0.488506099999999</v>
      </c>
      <c r="F4211" t="s">
        <v>39</v>
      </c>
      <c r="G4211">
        <v>-418.68699999999899</v>
      </c>
      <c r="H4211" s="1">
        <v>-3.8051959999999999E-6</v>
      </c>
      <c r="I4211">
        <v>77.959869999999995</v>
      </c>
      <c r="J4211">
        <v>-418.2441</v>
      </c>
      <c r="K4211">
        <v>1.1029610000000001</v>
      </c>
      <c r="L4211">
        <v>100.67359999999999</v>
      </c>
      <c r="M4211">
        <v>-0.18096960000000001</v>
      </c>
      <c r="N4211">
        <v>0</v>
      </c>
      <c r="O4211">
        <v>-0.98339149999999997</v>
      </c>
      <c r="P4211">
        <v>-5.1363430000000002E-2</v>
      </c>
      <c r="Q4211">
        <v>4.399629E-2</v>
      </c>
      <c r="R4211">
        <v>-0.99771049999999994</v>
      </c>
      <c r="S4211">
        <v>-6.5704349999999995E-2</v>
      </c>
      <c r="T4211">
        <v>-0.144112299999999</v>
      </c>
      <c r="U4211">
        <v>-3.0097959999999899</v>
      </c>
      <c r="V4211">
        <v>-0.1297864</v>
      </c>
      <c r="W4211">
        <v>5.831157E-2</v>
      </c>
      <c r="X4211">
        <v>0.98982579999999998</v>
      </c>
      <c r="Y4211">
        <v>-0.1595017</v>
      </c>
      <c r="Z4211">
        <v>4.6331209999999998E-2</v>
      </c>
      <c r="AA4211">
        <v>0.98610989999999998</v>
      </c>
      <c r="AB4211">
        <v>33</v>
      </c>
      <c r="AC4211">
        <v>-0.442899999999951</v>
      </c>
      <c r="AD4211">
        <v>-1.1029648051959999</v>
      </c>
      <c r="AE4211">
        <v>-22.713729999999899</v>
      </c>
      <c r="AF4211">
        <v>-3.6666590947677302</v>
      </c>
      <c r="AG4211">
        <v>-1.1029648051959999</v>
      </c>
      <c r="AH4211">
        <v>22.366063910514299</v>
      </c>
      <c r="AI4211">
        <v>92.786078006107203</v>
      </c>
      <c r="AJ4211">
        <v>99.310167791350096</v>
      </c>
      <c r="AK4211">
        <v>22.691446298725701</v>
      </c>
    </row>
    <row r="4212" spans="1:37" x14ac:dyDescent="0.2">
      <c r="A4212" t="str">
        <f>"20200111153518745"</f>
        <v>20200111153518745</v>
      </c>
      <c r="B4212" t="str">
        <f>"1578728118740553"</f>
        <v>1578728118740553</v>
      </c>
      <c r="C4212" t="s">
        <v>37</v>
      </c>
      <c r="D4212">
        <v>4.9381490000000001</v>
      </c>
      <c r="E4212">
        <v>0.48853559999999902</v>
      </c>
      <c r="F4212" t="s">
        <v>39</v>
      </c>
      <c r="G4212">
        <v>-418.77870000000001</v>
      </c>
      <c r="H4212" s="1">
        <v>-3.4945609999999999E-6</v>
      </c>
      <c r="I4212">
        <v>77.273690000000002</v>
      </c>
      <c r="J4212">
        <v>-418.30650000000003</v>
      </c>
      <c r="K4212">
        <v>1.103146</v>
      </c>
      <c r="L4212">
        <v>100.34480000000001</v>
      </c>
      <c r="M4212">
        <v>-0.18262220000000001</v>
      </c>
      <c r="N4212">
        <v>0</v>
      </c>
      <c r="O4212">
        <v>-0.98308600000000002</v>
      </c>
      <c r="P4212">
        <v>-5.2128960000000002E-2</v>
      </c>
      <c r="Q4212">
        <v>4.3773230000000003E-2</v>
      </c>
      <c r="R4212">
        <v>-0.99768089999999998</v>
      </c>
      <c r="S4212">
        <v>-6.8756100000000001E-2</v>
      </c>
      <c r="T4212">
        <v>-0.1418576</v>
      </c>
      <c r="U4212">
        <v>-3.0095830000000001</v>
      </c>
      <c r="V4212">
        <v>-0.13072020000000001</v>
      </c>
      <c r="W4212">
        <v>5.8025479999999997E-2</v>
      </c>
      <c r="X4212">
        <v>0.98971980000000004</v>
      </c>
      <c r="Y4212">
        <v>-0.1601592</v>
      </c>
      <c r="Z4212">
        <v>4.5586620000000001E-2</v>
      </c>
      <c r="AA4212">
        <v>0.98603799999999997</v>
      </c>
      <c r="AB4212">
        <v>33</v>
      </c>
      <c r="AC4212">
        <v>-0.47219999999998602</v>
      </c>
      <c r="AD4212">
        <v>-1.1031494945610001</v>
      </c>
      <c r="AE4212">
        <v>-23.071110000000001</v>
      </c>
      <c r="AF4212">
        <v>-3.7408926425980402</v>
      </c>
      <c r="AG4212">
        <v>-1.1031494945610001</v>
      </c>
      <c r="AH4212">
        <v>22.7173777554064</v>
      </c>
      <c r="AI4212">
        <v>92.743196538980499</v>
      </c>
      <c r="AJ4212">
        <v>99.351031769386793</v>
      </c>
      <c r="AK4212">
        <v>23.049739014848502</v>
      </c>
    </row>
    <row r="4213" spans="1:37" x14ac:dyDescent="0.2">
      <c r="A4213" t="str">
        <f>"20200111153518767"</f>
        <v>20200111153518767</v>
      </c>
      <c r="B4213" t="str">
        <f>"1578728118760076"</f>
        <v>1578728118760076</v>
      </c>
      <c r="C4213" t="s">
        <v>37</v>
      </c>
      <c r="D4213">
        <v>4.8530959999999999</v>
      </c>
      <c r="E4213">
        <v>0.48859529999999901</v>
      </c>
      <c r="F4213" t="s">
        <v>39</v>
      </c>
      <c r="G4213">
        <v>-418.86059999999998</v>
      </c>
      <c r="H4213" s="1">
        <v>-3.34711599999999E-6</v>
      </c>
      <c r="I4213">
        <v>76.963840000000005</v>
      </c>
      <c r="J4213">
        <v>-418.36919999999998</v>
      </c>
      <c r="K4213">
        <v>1.103324</v>
      </c>
      <c r="L4213">
        <v>100.0163</v>
      </c>
      <c r="M4213">
        <v>-0.18407379999999901</v>
      </c>
      <c r="N4213">
        <v>0</v>
      </c>
      <c r="O4213">
        <v>-0.98281540000000001</v>
      </c>
      <c r="P4213">
        <v>-5.1431320000000003E-2</v>
      </c>
      <c r="Q4213">
        <v>4.3195409999999997E-2</v>
      </c>
      <c r="R4213">
        <v>-0.99774219999999902</v>
      </c>
      <c r="S4213">
        <v>-7.1319579999999994E-2</v>
      </c>
      <c r="T4213">
        <v>-0.14199229999999999</v>
      </c>
      <c r="U4213">
        <v>-3.0094910000000001</v>
      </c>
      <c r="V4213">
        <v>-0.1329061</v>
      </c>
      <c r="W4213">
        <v>5.7389969999999998E-2</v>
      </c>
      <c r="X4213">
        <v>0.989465699999999</v>
      </c>
      <c r="Y4213">
        <v>-0.16077669999999999</v>
      </c>
      <c r="Z4213">
        <v>4.560931E-2</v>
      </c>
      <c r="AA4213">
        <v>0.98593639999999905</v>
      </c>
      <c r="AB4213">
        <v>33</v>
      </c>
      <c r="AC4213">
        <v>-0.49139999999999801</v>
      </c>
      <c r="AD4213">
        <v>-1.1033273471159999</v>
      </c>
      <c r="AE4213">
        <v>-23.05246</v>
      </c>
      <c r="AF4213">
        <v>-3.7521657766220402</v>
      </c>
      <c r="AG4213">
        <v>-1.1033273471159999</v>
      </c>
      <c r="AH4213">
        <v>22.696967022245602</v>
      </c>
      <c r="AI4213">
        <v>92.745817685379905</v>
      </c>
      <c r="AJ4213">
        <v>99.386995009037605</v>
      </c>
      <c r="AK4213">
        <v>23.031465243424101</v>
      </c>
    </row>
    <row r="4214" spans="1:37" x14ac:dyDescent="0.2">
      <c r="A4214" t="str">
        <f>"20200111153518789"</f>
        <v>20200111153518789</v>
      </c>
      <c r="B4214" t="str">
        <f>"1578728118780569"</f>
        <v>1578728118780569</v>
      </c>
      <c r="C4214" t="s">
        <v>37</v>
      </c>
      <c r="D4214">
        <v>4.9231319999999998</v>
      </c>
      <c r="E4214">
        <v>0.48847119999999999</v>
      </c>
      <c r="F4214" t="s">
        <v>39</v>
      </c>
      <c r="G4214">
        <v>-418.91019999999997</v>
      </c>
      <c r="H4214" s="1">
        <v>-3.2562670000000002E-6</v>
      </c>
      <c r="I4214">
        <v>76.772580000000005</v>
      </c>
      <c r="J4214">
        <v>-418.42930000000001</v>
      </c>
      <c r="K4214">
        <v>1.1034949999999999</v>
      </c>
      <c r="L4214">
        <v>99.703090000000003</v>
      </c>
      <c r="M4214">
        <v>-0.18526529999999899</v>
      </c>
      <c r="N4214">
        <v>0</v>
      </c>
      <c r="O4214">
        <v>-0.98259159999999901</v>
      </c>
      <c r="P4214">
        <v>-4.9821030000000002E-2</v>
      </c>
      <c r="Q4214">
        <v>4.2339099999999998E-2</v>
      </c>
      <c r="R4214">
        <v>-0.99786059999999999</v>
      </c>
      <c r="S4214">
        <v>-7.0037840000000004E-2</v>
      </c>
      <c r="T4214">
        <v>-0.1428478</v>
      </c>
      <c r="U4214">
        <v>-3.009369</v>
      </c>
      <c r="V4214">
        <v>-0.13573689999999999</v>
      </c>
      <c r="W4214">
        <v>5.6478300000000002E-2</v>
      </c>
      <c r="X4214">
        <v>0.98913379999999995</v>
      </c>
      <c r="Y4214">
        <v>-0.16239219999999999</v>
      </c>
      <c r="Z4214">
        <v>4.5863389999999997E-2</v>
      </c>
      <c r="AA4214">
        <v>0.98565979999999997</v>
      </c>
      <c r="AB4214">
        <v>33</v>
      </c>
      <c r="AC4214">
        <v>-0.48089999999996202</v>
      </c>
      <c r="AD4214">
        <v>-1.1034982562669999</v>
      </c>
      <c r="AE4214">
        <v>-22.930510000000002</v>
      </c>
      <c r="AF4214">
        <v>-3.7673383669401699</v>
      </c>
      <c r="AG4214">
        <v>-1.1034982562669999</v>
      </c>
      <c r="AH4214">
        <v>22.5703285077381</v>
      </c>
      <c r="AI4214">
        <v>92.7609143113268</v>
      </c>
      <c r="AJ4214">
        <v>99.476195146927793</v>
      </c>
      <c r="AK4214">
        <v>22.909174487960499</v>
      </c>
    </row>
    <row r="4215" spans="1:37" x14ac:dyDescent="0.2">
      <c r="A4215" t="str">
        <f>"20200111153518811"</f>
        <v>20200111153518811</v>
      </c>
      <c r="B4215" t="str">
        <f>"1578728118800089"</f>
        <v>1578728118800089</v>
      </c>
      <c r="C4215" t="s">
        <v>37</v>
      </c>
      <c r="D4215">
        <v>4.9156579999999996</v>
      </c>
      <c r="E4215">
        <v>0.48834539999999999</v>
      </c>
      <c r="F4215" t="s">
        <v>39</v>
      </c>
      <c r="G4215">
        <v>-418.91820000000001</v>
      </c>
      <c r="H4215" s="1">
        <v>-3.3265409999999999E-6</v>
      </c>
      <c r="I4215">
        <v>76.939700000000002</v>
      </c>
      <c r="J4215">
        <v>-418.49180000000001</v>
      </c>
      <c r="K4215">
        <v>1.103683</v>
      </c>
      <c r="L4215">
        <v>99.378200000000007</v>
      </c>
      <c r="M4215">
        <v>-0.18630260000000001</v>
      </c>
      <c r="N4215">
        <v>0</v>
      </c>
      <c r="O4215">
        <v>-0.98239539999999903</v>
      </c>
      <c r="P4215">
        <v>-4.8696610000000001E-2</v>
      </c>
      <c r="Q4215">
        <v>4.3110269999999999E-2</v>
      </c>
      <c r="R4215">
        <v>-0.99788310000000002</v>
      </c>
      <c r="S4215">
        <v>-6.4636230000000003E-2</v>
      </c>
      <c r="T4215">
        <v>-0.1458863</v>
      </c>
      <c r="U4215">
        <v>-3.0093990000000002</v>
      </c>
      <c r="V4215">
        <v>-0.13791329999999999</v>
      </c>
      <c r="W4215">
        <v>5.7185729999999997E-2</v>
      </c>
      <c r="X4215">
        <v>0.98879209999999995</v>
      </c>
      <c r="Y4215">
        <v>-0.1652026</v>
      </c>
      <c r="Z4215">
        <v>4.6811560000000002E-2</v>
      </c>
      <c r="AA4215">
        <v>0.98514809999999997</v>
      </c>
      <c r="AB4215">
        <v>33</v>
      </c>
      <c r="AC4215">
        <v>-0.426400000000001</v>
      </c>
      <c r="AD4215">
        <v>-1.103686326541</v>
      </c>
      <c r="AE4215">
        <v>-22.438500000000001</v>
      </c>
      <c r="AF4215">
        <v>-3.7527400277640801</v>
      </c>
      <c r="AG4215">
        <v>-1.103686326541</v>
      </c>
      <c r="AH4215">
        <v>22.0716470653248</v>
      </c>
      <c r="AI4215">
        <v>92.822238468251697</v>
      </c>
      <c r="AJ4215">
        <v>99.649458249209005</v>
      </c>
      <c r="AK4215">
        <v>22.4155924614907</v>
      </c>
    </row>
    <row r="4216" spans="1:37" x14ac:dyDescent="0.2">
      <c r="A4216" t="str">
        <f>"20200111153518834"</f>
        <v>20200111153518834</v>
      </c>
      <c r="B4216" t="str">
        <f>"1578728118830345"</f>
        <v>1578728118830345</v>
      </c>
      <c r="C4216" t="s">
        <v>37</v>
      </c>
      <c r="D4216">
        <v>4.9053620000000002</v>
      </c>
      <c r="E4216">
        <v>0.48823800000000001</v>
      </c>
      <c r="F4216" t="s">
        <v>39</v>
      </c>
      <c r="G4216">
        <v>-418.96179999999998</v>
      </c>
      <c r="H4216" s="1">
        <v>-2.9814430000000001E-6</v>
      </c>
      <c r="I4216">
        <v>76.153319999999994</v>
      </c>
      <c r="J4216">
        <v>-418.55410000000001</v>
      </c>
      <c r="K4216">
        <v>1.1038840000000001</v>
      </c>
      <c r="L4216">
        <v>99.055049999999994</v>
      </c>
      <c r="M4216">
        <v>-0.18713689999999999</v>
      </c>
      <c r="N4216">
        <v>0</v>
      </c>
      <c r="O4216">
        <v>-0.98223689999999997</v>
      </c>
      <c r="P4216">
        <v>-4.855727E-2</v>
      </c>
      <c r="Q4216">
        <v>4.4791289999999997E-2</v>
      </c>
      <c r="R4216">
        <v>-0.99781549999999997</v>
      </c>
      <c r="S4216">
        <v>-6.0913090000000003E-2</v>
      </c>
      <c r="T4216">
        <v>-0.14302049999999999</v>
      </c>
      <c r="U4216">
        <v>-3.0095830000000001</v>
      </c>
      <c r="V4216">
        <v>-0.1388993</v>
      </c>
      <c r="W4216">
        <v>5.879711E-2</v>
      </c>
      <c r="X4216">
        <v>0.98855949999999904</v>
      </c>
      <c r="Y4216">
        <v>-0.16725860000000001</v>
      </c>
      <c r="Z4216">
        <v>4.5872309999999999E-2</v>
      </c>
      <c r="AA4216">
        <v>0.98484530000000003</v>
      </c>
      <c r="AB4216">
        <v>33</v>
      </c>
      <c r="AC4216">
        <v>-0.40769999999997703</v>
      </c>
      <c r="AD4216">
        <v>-1.1038869814429999</v>
      </c>
      <c r="AE4216">
        <v>-22.901730000000001</v>
      </c>
      <c r="AF4216">
        <v>-3.8766668500106398</v>
      </c>
      <c r="AG4216">
        <v>-1.1038869814429999</v>
      </c>
      <c r="AH4216">
        <v>22.5210621863759</v>
      </c>
      <c r="AI4216">
        <v>92.765541738782204</v>
      </c>
      <c r="AJ4216">
        <v>99.766903188897501</v>
      </c>
      <c r="AK4216">
        <v>22.8789281728052</v>
      </c>
    </row>
    <row r="4217" spans="1:37" x14ac:dyDescent="0.2">
      <c r="A4217" t="str">
        <f>"20200111153518856"</f>
        <v>20200111153518856</v>
      </c>
      <c r="B4217" t="str">
        <f>"1578728118849865"</f>
        <v>1578728118849865</v>
      </c>
      <c r="C4217" t="s">
        <v>37</v>
      </c>
      <c r="D4217">
        <v>4.8507699999999998</v>
      </c>
      <c r="E4217">
        <v>0.48808259999999998</v>
      </c>
      <c r="F4217" t="s">
        <v>39</v>
      </c>
      <c r="G4217">
        <v>-419.03359999999998</v>
      </c>
      <c r="H4217" s="1">
        <v>-2.405595E-6</v>
      </c>
      <c r="I4217">
        <v>74.840689999999995</v>
      </c>
      <c r="J4217">
        <v>-418.61759999999998</v>
      </c>
      <c r="K4217">
        <v>1.1040909999999999</v>
      </c>
      <c r="L4217">
        <v>98.726559999999907</v>
      </c>
      <c r="M4217">
        <v>-0.18778510000000001</v>
      </c>
      <c r="N4217">
        <v>0</v>
      </c>
      <c r="O4217">
        <v>-0.98211349999999997</v>
      </c>
      <c r="P4217">
        <v>-4.8201210000000001E-2</v>
      </c>
      <c r="Q4217">
        <v>4.6129249999999997E-2</v>
      </c>
      <c r="R4217">
        <v>-0.99777199999999899</v>
      </c>
      <c r="S4217">
        <v>-5.960083E-2</v>
      </c>
      <c r="T4217">
        <v>-0.13721220000000001</v>
      </c>
      <c r="U4217">
        <v>-3.009827</v>
      </c>
      <c r="V4217">
        <v>-0.13991909999999999</v>
      </c>
      <c r="W4217">
        <v>6.0062780000000003E-2</v>
      </c>
      <c r="X4217">
        <v>0.98833950000000004</v>
      </c>
      <c r="Y4217">
        <v>-0.1683384</v>
      </c>
      <c r="Z4217">
        <v>4.3997269999999998E-2</v>
      </c>
      <c r="AA4217">
        <v>0.98474689999999998</v>
      </c>
      <c r="AB4217">
        <v>33</v>
      </c>
      <c r="AC4217">
        <v>-0.41599999999999598</v>
      </c>
      <c r="AD4217">
        <v>-1.104093405595</v>
      </c>
      <c r="AE4217">
        <v>-23.885869999999901</v>
      </c>
      <c r="AF4217">
        <v>-4.0685479294055904</v>
      </c>
      <c r="AG4217">
        <v>-1.104093405595</v>
      </c>
      <c r="AH4217">
        <v>23.4888165762206</v>
      </c>
      <c r="AI4217">
        <v>92.651782715172203</v>
      </c>
      <c r="AJ4217">
        <v>99.826821893812607</v>
      </c>
      <c r="AK4217">
        <v>23.8641280723491</v>
      </c>
    </row>
    <row r="4218" spans="1:37" x14ac:dyDescent="0.2">
      <c r="A4218" t="str">
        <f>"20200111153518879"</f>
        <v>20200111153518879</v>
      </c>
      <c r="B4218" t="str">
        <f>"1578728118870361"</f>
        <v>1578728118870361</v>
      </c>
      <c r="C4218" t="s">
        <v>37</v>
      </c>
      <c r="D4218">
        <v>4.8949660000000002</v>
      </c>
      <c r="E4218">
        <v>0.48799340000000002</v>
      </c>
      <c r="F4218" t="s">
        <v>39</v>
      </c>
      <c r="G4218">
        <v>-419.09320000000002</v>
      </c>
      <c r="H4218" s="1">
        <v>-1.9645879999999999E-6</v>
      </c>
      <c r="I4218">
        <v>73.837329999999994</v>
      </c>
      <c r="J4218">
        <v>-418.67849999999999</v>
      </c>
      <c r="K4218">
        <v>1.1042799999999999</v>
      </c>
      <c r="L4218">
        <v>98.410979999999995</v>
      </c>
      <c r="M4218">
        <v>-0.1882154</v>
      </c>
      <c r="N4218">
        <v>0</v>
      </c>
      <c r="O4218">
        <v>-0.98203090000000004</v>
      </c>
      <c r="P4218">
        <v>-4.8528059999999998E-2</v>
      </c>
      <c r="Q4218">
        <v>4.6825609999999997E-2</v>
      </c>
      <c r="R4218">
        <v>-0.9977239</v>
      </c>
      <c r="S4218">
        <v>-5.7525630000000001E-2</v>
      </c>
      <c r="T4218">
        <v>-0.13352749999999999</v>
      </c>
      <c r="U4218">
        <v>-3.0100709999999999</v>
      </c>
      <c r="V4218">
        <v>-0.14004810000000001</v>
      </c>
      <c r="W4218">
        <v>6.0690580000000001E-2</v>
      </c>
      <c r="X4218">
        <v>0.98828289999999996</v>
      </c>
      <c r="Y4218">
        <v>-0.1694494</v>
      </c>
      <c r="Z4218">
        <v>4.280519E-2</v>
      </c>
      <c r="AA4218">
        <v>0.98460890000000001</v>
      </c>
      <c r="AB4218">
        <v>33</v>
      </c>
      <c r="AC4218">
        <v>-0.41470000000003798</v>
      </c>
      <c r="AD4218">
        <v>-1.104281964588</v>
      </c>
      <c r="AE4218">
        <v>-24.573650000000001</v>
      </c>
      <c r="AF4218">
        <v>-4.2097936830327702</v>
      </c>
      <c r="AG4218">
        <v>-1.104281964588</v>
      </c>
      <c r="AH4218">
        <v>24.163658164376599</v>
      </c>
      <c r="AI4218">
        <v>92.577827247904594</v>
      </c>
      <c r="AJ4218">
        <v>99.882879710535505</v>
      </c>
      <c r="AK4218">
        <v>24.552478029637999</v>
      </c>
    </row>
    <row r="4219" spans="1:37" x14ac:dyDescent="0.2">
      <c r="A4219" t="str">
        <f>"20200111153518901"</f>
        <v>20200111153518901</v>
      </c>
      <c r="B4219" t="str">
        <f>"1578728118889881"</f>
        <v>1578728118889881</v>
      </c>
      <c r="C4219" t="s">
        <v>37</v>
      </c>
      <c r="D4219">
        <v>4.8622639999999997</v>
      </c>
      <c r="E4219">
        <v>0.48792239999999998</v>
      </c>
      <c r="F4219" t="s">
        <v>39</v>
      </c>
      <c r="G4219">
        <v>-419.16460000000001</v>
      </c>
      <c r="H4219" s="1">
        <v>-1.6274359999999901E-6</v>
      </c>
      <c r="I4219">
        <v>73.080960000000005</v>
      </c>
      <c r="J4219">
        <v>-418.74020000000002</v>
      </c>
      <c r="K4219">
        <v>1.1044579999999999</v>
      </c>
      <c r="L4219">
        <v>98.091740000000001</v>
      </c>
      <c r="M4219">
        <v>-0.1884632</v>
      </c>
      <c r="N4219">
        <v>0</v>
      </c>
      <c r="O4219">
        <v>-0.98198369999999902</v>
      </c>
      <c r="P4219">
        <v>-4.8042599999999998E-2</v>
      </c>
      <c r="Q4219">
        <v>4.7937099999999899E-2</v>
      </c>
      <c r="R4219">
        <v>-0.99769479999999999</v>
      </c>
      <c r="S4219">
        <v>-5.776978E-2</v>
      </c>
      <c r="T4219">
        <v>-0.13123170000000001</v>
      </c>
      <c r="U4219">
        <v>-3.0101930000000001</v>
      </c>
      <c r="V4219">
        <v>-0.14079249999999999</v>
      </c>
      <c r="W4219">
        <v>6.173671E-2</v>
      </c>
      <c r="X4219">
        <v>0.98811229999999906</v>
      </c>
      <c r="Y4219">
        <v>-0.1696184</v>
      </c>
      <c r="Z4219">
        <v>4.2065140000000001E-2</v>
      </c>
      <c r="AA4219">
        <v>0.98461160000000003</v>
      </c>
      <c r="AB4219">
        <v>33</v>
      </c>
      <c r="AC4219">
        <v>-0.42439999999999101</v>
      </c>
      <c r="AD4219">
        <v>-1.1044596274359999</v>
      </c>
      <c r="AE4219">
        <v>-25.01078</v>
      </c>
      <c r="AF4219">
        <v>-4.2889040669533696</v>
      </c>
      <c r="AG4219">
        <v>-1.1044596274359999</v>
      </c>
      <c r="AH4219">
        <v>24.594551977392999</v>
      </c>
      <c r="AI4219">
        <v>92.533059985526606</v>
      </c>
      <c r="AJ4219">
        <v>99.892013936998595</v>
      </c>
      <c r="AK4219">
        <v>24.9901283736769</v>
      </c>
    </row>
    <row r="4220" spans="1:37" x14ac:dyDescent="0.2">
      <c r="A4220" t="str">
        <f>"20200111153518917"</f>
        <v>20200111153518917</v>
      </c>
      <c r="B4220" t="str">
        <f>"1578728118910377"</f>
        <v>1578728118910377</v>
      </c>
      <c r="C4220" t="s">
        <v>37</v>
      </c>
      <c r="D4220">
        <v>4.8661979999999998</v>
      </c>
      <c r="E4220">
        <v>0.48775379999999902</v>
      </c>
      <c r="F4220" t="s">
        <v>39</v>
      </c>
      <c r="G4220">
        <v>-419.22390000000001</v>
      </c>
      <c r="H4220" s="1">
        <v>-1.1289459999999999E-6</v>
      </c>
      <c r="I4220">
        <v>71.943479999999994</v>
      </c>
      <c r="J4220">
        <v>-418.78489999999999</v>
      </c>
      <c r="K4220">
        <v>1.1045719999999899</v>
      </c>
      <c r="L4220">
        <v>97.859800000000007</v>
      </c>
      <c r="M4220">
        <v>-0.18854489999999999</v>
      </c>
      <c r="N4220">
        <v>0</v>
      </c>
      <c r="O4220">
        <v>-0.9819679</v>
      </c>
      <c r="P4220">
        <v>-4.827145E-2</v>
      </c>
      <c r="Q4220">
        <v>4.8231309999999999E-2</v>
      </c>
      <c r="R4220">
        <v>-0.99766919999999903</v>
      </c>
      <c r="S4220">
        <v>-5.569458E-2</v>
      </c>
      <c r="T4220">
        <v>-0.1271533</v>
      </c>
      <c r="U4220">
        <v>-3.0103759999999999</v>
      </c>
      <c r="V4220">
        <v>-0.1406627</v>
      </c>
      <c r="W4220">
        <v>6.1987519999999997E-2</v>
      </c>
      <c r="X4220">
        <v>0.98811510000000002</v>
      </c>
      <c r="Y4220">
        <v>-0.17037910000000001</v>
      </c>
      <c r="Z4220">
        <v>4.0754190000000003E-2</v>
      </c>
      <c r="AA4220">
        <v>0.98453550000000001</v>
      </c>
      <c r="AB4220">
        <v>33</v>
      </c>
      <c r="AC4220">
        <v>-0.43900000000002098</v>
      </c>
      <c r="AD4220">
        <v>-1.1045731289459999</v>
      </c>
      <c r="AE4220">
        <v>-25.916319999999999</v>
      </c>
      <c r="AF4220">
        <v>-4.4476520957115797</v>
      </c>
      <c r="AG4220">
        <v>-1.1045731289459999</v>
      </c>
      <c r="AH4220">
        <v>25.4879034359248</v>
      </c>
      <c r="AI4220">
        <v>92.444588699345204</v>
      </c>
      <c r="AJ4220">
        <v>99.898474772796703</v>
      </c>
      <c r="AK4220">
        <v>25.896619712246299</v>
      </c>
    </row>
    <row r="4221" spans="1:37" x14ac:dyDescent="0.2">
      <c r="A4221" t="str">
        <f>"20200111153518934"</f>
        <v>20200111153518934</v>
      </c>
      <c r="B4221" t="str">
        <f>"1578728118929897"</f>
        <v>1578728118929897</v>
      </c>
      <c r="C4221" t="s">
        <v>37</v>
      </c>
      <c r="D4221">
        <v>4.8735390000000001</v>
      </c>
      <c r="E4221">
        <v>0.48762919999999998</v>
      </c>
      <c r="F4221" t="s">
        <v>39</v>
      </c>
      <c r="G4221">
        <v>-419.26870000000002</v>
      </c>
      <c r="H4221" s="1">
        <v>-9.0767219999999996E-7</v>
      </c>
      <c r="I4221">
        <v>71.446190000000001</v>
      </c>
      <c r="J4221">
        <v>-418.83330000000001</v>
      </c>
      <c r="K4221">
        <v>1.104673</v>
      </c>
      <c r="L4221">
        <v>97.608090000000004</v>
      </c>
      <c r="M4221">
        <v>-0.18855269999999999</v>
      </c>
      <c r="N4221">
        <v>0</v>
      </c>
      <c r="O4221">
        <v>-0.98196659999999902</v>
      </c>
      <c r="P4221">
        <v>-4.7285979999999998E-2</v>
      </c>
      <c r="Q4221">
        <v>4.7345119999999997E-2</v>
      </c>
      <c r="R4221">
        <v>-0.9977589</v>
      </c>
      <c r="S4221">
        <v>-5.5145260000000001E-2</v>
      </c>
      <c r="T4221">
        <v>-0.12589139999999999</v>
      </c>
      <c r="U4221">
        <v>-3.010437</v>
      </c>
      <c r="V4221">
        <v>-0.14167189999999999</v>
      </c>
      <c r="W4221">
        <v>6.1060389999999999E-2</v>
      </c>
      <c r="X4221">
        <v>0.98802869999999998</v>
      </c>
      <c r="Y4221">
        <v>-0.17056650000000001</v>
      </c>
      <c r="Z4221">
        <v>4.0348920000000003E-2</v>
      </c>
      <c r="AA4221">
        <v>0.9845197</v>
      </c>
      <c r="AB4221">
        <v>33</v>
      </c>
      <c r="AC4221">
        <v>-0.435400000000015</v>
      </c>
      <c r="AD4221">
        <v>-1.1046739076722001</v>
      </c>
      <c r="AE4221">
        <v>-26.161899999999999</v>
      </c>
      <c r="AF4221">
        <v>-4.4977586302080397</v>
      </c>
      <c r="AG4221">
        <v>-1.1046739076722001</v>
      </c>
      <c r="AH4221">
        <v>25.728790352276299</v>
      </c>
      <c r="AI4221">
        <v>92.421820577397</v>
      </c>
      <c r="AJ4221">
        <v>99.915917530212099</v>
      </c>
      <c r="AK4221">
        <v>26.1423179945714</v>
      </c>
    </row>
    <row r="4222" spans="1:37" x14ac:dyDescent="0.2">
      <c r="A4222" t="str">
        <f>"20200111153518958"</f>
        <v>20200111153518958</v>
      </c>
      <c r="B4222" t="str">
        <f>"1578728118950393"</f>
        <v>1578728118950393</v>
      </c>
      <c r="C4222" t="s">
        <v>37</v>
      </c>
      <c r="D4222">
        <v>4.8726419999999999</v>
      </c>
      <c r="E4222">
        <v>0.48748069999999999</v>
      </c>
      <c r="F4222" t="s">
        <v>39</v>
      </c>
      <c r="G4222">
        <v>-419.2724</v>
      </c>
      <c r="H4222" s="1">
        <v>-1.074783E-6</v>
      </c>
      <c r="I4222">
        <v>71.837280000000007</v>
      </c>
      <c r="J4222">
        <v>-418.8965</v>
      </c>
      <c r="K4222">
        <v>1.104803</v>
      </c>
      <c r="L4222">
        <v>97.278959999999998</v>
      </c>
      <c r="M4222">
        <v>-0.18843189999999899</v>
      </c>
      <c r="N4222">
        <v>0</v>
      </c>
      <c r="O4222">
        <v>-0.98198940000000001</v>
      </c>
      <c r="P4222">
        <v>-4.5694800000000001E-2</v>
      </c>
      <c r="Q4222">
        <v>4.5849040000000001E-2</v>
      </c>
      <c r="R4222">
        <v>-0.99790259999999997</v>
      </c>
      <c r="S4222">
        <v>-5.130005E-2</v>
      </c>
      <c r="T4222">
        <v>-0.1290433</v>
      </c>
      <c r="U4222">
        <v>-3.010437</v>
      </c>
      <c r="V4222">
        <v>-0.1431608</v>
      </c>
      <c r="W4222">
        <v>5.9510639999999997E-2</v>
      </c>
      <c r="X4222">
        <v>0.98790869999999997</v>
      </c>
      <c r="Y4222">
        <v>-0.17170299999999999</v>
      </c>
      <c r="Z4222">
        <v>4.1354990000000001E-2</v>
      </c>
      <c r="AA4222">
        <v>0.9842803</v>
      </c>
      <c r="AB4222">
        <v>33</v>
      </c>
      <c r="AC4222">
        <v>-0.37590000000000101</v>
      </c>
      <c r="AD4222">
        <v>-1.1048040747829999</v>
      </c>
      <c r="AE4222">
        <v>-25.441679999999899</v>
      </c>
      <c r="AF4222">
        <v>-4.4169878182054596</v>
      </c>
      <c r="AG4222">
        <v>-1.1048040747829999</v>
      </c>
      <c r="AH4222">
        <v>25.009524242797799</v>
      </c>
      <c r="AI4222">
        <v>92.490915495305103</v>
      </c>
      <c r="AJ4222">
        <v>100.01584992202601</v>
      </c>
      <c r="AK4222">
        <v>25.420595513892302</v>
      </c>
    </row>
    <row r="4223" spans="1:37" x14ac:dyDescent="0.2">
      <c r="A4223" t="str">
        <f>"20200111153518979"</f>
        <v>20200111153518979</v>
      </c>
      <c r="B4223" t="str">
        <f>"1578728118969914"</f>
        <v>1578728118969914</v>
      </c>
      <c r="C4223" t="s">
        <v>37</v>
      </c>
      <c r="D4223">
        <v>4.879867</v>
      </c>
      <c r="E4223">
        <v>0.48733290000000001</v>
      </c>
      <c r="F4223" t="s">
        <v>39</v>
      </c>
      <c r="G4223">
        <v>-419.27350000000001</v>
      </c>
      <c r="H4223" s="1">
        <v>-1.3889609999999999E-6</v>
      </c>
      <c r="I4223">
        <v>72.570059999999998</v>
      </c>
      <c r="J4223">
        <v>-418.95599999999899</v>
      </c>
      <c r="K4223">
        <v>1.104932</v>
      </c>
      <c r="L4223">
        <v>96.968019999999996</v>
      </c>
      <c r="M4223">
        <v>-0.1881592</v>
      </c>
      <c r="N4223">
        <v>0</v>
      </c>
      <c r="O4223">
        <v>-0.98204199999999997</v>
      </c>
      <c r="P4223">
        <v>-4.3624839999999998E-2</v>
      </c>
      <c r="Q4223">
        <v>4.4943549999999999E-2</v>
      </c>
      <c r="R4223">
        <v>-0.9980367</v>
      </c>
      <c r="S4223">
        <v>-4.5928959999999998E-2</v>
      </c>
      <c r="T4223">
        <v>-0.13460239999999901</v>
      </c>
      <c r="U4223">
        <v>-3.0103759999999999</v>
      </c>
      <c r="V4223">
        <v>-0.1449645</v>
      </c>
      <c r="W4223">
        <v>5.8550539999999998E-2</v>
      </c>
      <c r="X4223">
        <v>0.987703</v>
      </c>
      <c r="Y4223">
        <v>-0.1731856</v>
      </c>
      <c r="Z4223">
        <v>4.3132230000000001E-2</v>
      </c>
      <c r="AA4223">
        <v>0.98394429999999999</v>
      </c>
      <c r="AB4223">
        <v>33</v>
      </c>
      <c r="AC4223">
        <v>-0.31750000000005202</v>
      </c>
      <c r="AD4223">
        <v>-1.104933388961</v>
      </c>
      <c r="AE4223">
        <v>-24.397960000000001</v>
      </c>
      <c r="AF4223">
        <v>-4.27055064651283</v>
      </c>
      <c r="AG4223">
        <v>-1.104933388961</v>
      </c>
      <c r="AH4223">
        <v>23.9726800816298</v>
      </c>
      <c r="AI4223">
        <v>92.598126565114796</v>
      </c>
      <c r="AJ4223">
        <v>100.10084771588799</v>
      </c>
      <c r="AK4223">
        <v>24.375148633693399</v>
      </c>
    </row>
    <row r="4224" spans="1:37" x14ac:dyDescent="0.2">
      <c r="A4224" t="str">
        <f>"20200111153519002"</f>
        <v>20200111153519002</v>
      </c>
      <c r="B4224" t="str">
        <f>"1578728118990409"</f>
        <v>1578728118990409</v>
      </c>
      <c r="C4224" t="s">
        <v>37</v>
      </c>
      <c r="D4224">
        <v>4.8547589999999996</v>
      </c>
      <c r="E4224">
        <v>0.48718429999999902</v>
      </c>
      <c r="F4224" t="s">
        <v>39</v>
      </c>
      <c r="G4224">
        <v>-419.26510000000002</v>
      </c>
      <c r="H4224" s="1">
        <v>-1.5095849999999999E-6</v>
      </c>
      <c r="I4224">
        <v>72.84778</v>
      </c>
      <c r="J4224">
        <v>-419.01780000000002</v>
      </c>
      <c r="K4224">
        <v>1.1050850000000001</v>
      </c>
      <c r="L4224">
        <v>96.644009999999994</v>
      </c>
      <c r="M4224">
        <v>-0.187723</v>
      </c>
      <c r="N4224">
        <v>0</v>
      </c>
      <c r="O4224">
        <v>-0.98212549999999899</v>
      </c>
      <c r="P4224">
        <v>-4.1737610000000001E-2</v>
      </c>
      <c r="Q4224">
        <v>4.4512299999999998E-2</v>
      </c>
      <c r="R4224">
        <v>-0.99813680000000005</v>
      </c>
      <c r="S4224">
        <v>-3.8574219999999999E-2</v>
      </c>
      <c r="T4224">
        <v>-0.13790629999999901</v>
      </c>
      <c r="U4224">
        <v>-3.010437</v>
      </c>
      <c r="V4224">
        <v>-0.1464201</v>
      </c>
      <c r="W4224">
        <v>5.8057860000000003E-2</v>
      </c>
      <c r="X4224">
        <v>0.98751730000000004</v>
      </c>
      <c r="Y4224">
        <v>-0.175152</v>
      </c>
      <c r="Z4224">
        <v>4.4186290000000003E-2</v>
      </c>
      <c r="AA4224">
        <v>0.98354940000000002</v>
      </c>
      <c r="AB4224">
        <v>33</v>
      </c>
      <c r="AC4224">
        <v>-0.247299999999995</v>
      </c>
      <c r="AD4224">
        <v>-1.105086509585</v>
      </c>
      <c r="AE4224">
        <v>-23.796229999999898</v>
      </c>
      <c r="AF4224">
        <v>-4.2155301441784996</v>
      </c>
      <c r="AG4224">
        <v>-1.105086509585</v>
      </c>
      <c r="AH4224">
        <v>23.369134993774999</v>
      </c>
      <c r="AI4224">
        <v>92.664462303182304</v>
      </c>
      <c r="AJ4224">
        <v>100.22554956994</v>
      </c>
      <c r="AK4224">
        <v>23.772008349052602</v>
      </c>
    </row>
    <row r="4225" spans="1:37" x14ac:dyDescent="0.2">
      <c r="A4225" t="str">
        <f>"20200111153519024"</f>
        <v>20200111153519024</v>
      </c>
      <c r="B4225" t="str">
        <f>"1578728119020666"</f>
        <v>1578728119020666</v>
      </c>
      <c r="C4225" t="s">
        <v>37</v>
      </c>
      <c r="D4225">
        <v>4.8677760000000001</v>
      </c>
      <c r="E4225">
        <v>0.48703370000000001</v>
      </c>
      <c r="F4225" t="s">
        <v>39</v>
      </c>
      <c r="G4225">
        <v>-419.26749999999998</v>
      </c>
      <c r="H4225" s="1">
        <v>-1.526511E-6</v>
      </c>
      <c r="I4225">
        <v>72.888219999999905</v>
      </c>
      <c r="J4225">
        <v>-419.07900000000001</v>
      </c>
      <c r="K4225">
        <v>1.105226</v>
      </c>
      <c r="L4225">
        <v>96.321110000000004</v>
      </c>
      <c r="M4225">
        <v>-0.18717449999999999</v>
      </c>
      <c r="N4225">
        <v>0</v>
      </c>
      <c r="O4225">
        <v>-0.9822303</v>
      </c>
      <c r="P4225">
        <v>-4.0027840000000002E-2</v>
      </c>
      <c r="Q4225">
        <v>4.4464219999999999E-2</v>
      </c>
      <c r="R4225">
        <v>-0.99820889999999995</v>
      </c>
      <c r="S4225">
        <v>-3.1646729999999998E-2</v>
      </c>
      <c r="T4225">
        <v>-0.14004559999999999</v>
      </c>
      <c r="U4225">
        <v>-3.010529</v>
      </c>
      <c r="V4225">
        <v>-0.14758170000000001</v>
      </c>
      <c r="W4225">
        <v>5.795169E-2</v>
      </c>
      <c r="X4225">
        <v>0.98735059999999997</v>
      </c>
      <c r="Y4225">
        <v>-0.17686540000000001</v>
      </c>
      <c r="Z4225">
        <v>4.4869590000000001E-2</v>
      </c>
      <c r="AA4225">
        <v>0.98321179999999997</v>
      </c>
      <c r="AB4225">
        <v>33</v>
      </c>
      <c r="AC4225">
        <v>-0.18849999999997599</v>
      </c>
      <c r="AD4225">
        <v>-1.1052275265110001</v>
      </c>
      <c r="AE4225">
        <v>-23.43289</v>
      </c>
      <c r="AF4225">
        <v>-4.19196199170214</v>
      </c>
      <c r="AG4225">
        <v>-1.1052275265110001</v>
      </c>
      <c r="AH4225">
        <v>23.0027909715674</v>
      </c>
      <c r="AI4225">
        <v>92.706302080874195</v>
      </c>
      <c r="AJ4225">
        <v>100.328079102868</v>
      </c>
      <c r="AK4225">
        <v>23.407743712431099</v>
      </c>
    </row>
    <row r="4226" spans="1:37" x14ac:dyDescent="0.2">
      <c r="A4226" t="str">
        <f>"20200111153519047"</f>
        <v>20200111153519047</v>
      </c>
      <c r="B4226" t="str">
        <f>"1578728119040188"</f>
        <v>1578728119040188</v>
      </c>
      <c r="C4226" t="s">
        <v>37</v>
      </c>
      <c r="D4226">
        <v>4.845345</v>
      </c>
      <c r="E4226">
        <v>0.48701879999999997</v>
      </c>
      <c r="F4226" t="s">
        <v>39</v>
      </c>
      <c r="G4226">
        <v>-419.27929999999998</v>
      </c>
      <c r="H4226" s="1">
        <v>-1.4468859999999999E-6</v>
      </c>
      <c r="I4226">
        <v>72.707509999999999</v>
      </c>
      <c r="J4226">
        <v>-419.13839999999999</v>
      </c>
      <c r="K4226">
        <v>1.1053489999999999</v>
      </c>
      <c r="L4226">
        <v>96.005740000000003</v>
      </c>
      <c r="M4226">
        <v>-0.18652009999999999</v>
      </c>
      <c r="N4226">
        <v>0</v>
      </c>
      <c r="O4226">
        <v>-0.98235479999999997</v>
      </c>
      <c r="P4226">
        <v>-3.8438880000000002E-2</v>
      </c>
      <c r="Q4226">
        <v>4.3865139999999997E-2</v>
      </c>
      <c r="R4226">
        <v>-0.99829789999999996</v>
      </c>
      <c r="S4226">
        <v>-2.554321E-2</v>
      </c>
      <c r="T4226">
        <v>-0.14091119999999999</v>
      </c>
      <c r="U4226">
        <v>-3.0106199999999999</v>
      </c>
      <c r="V4226">
        <v>-0.1485185</v>
      </c>
      <c r="W4226">
        <v>5.7301419999999999E-2</v>
      </c>
      <c r="X4226">
        <v>0.98724809999999996</v>
      </c>
      <c r="Y4226">
        <v>-0.178203</v>
      </c>
      <c r="Z4226">
        <v>4.5148389999999997E-2</v>
      </c>
      <c r="AA4226">
        <v>0.98295739999999998</v>
      </c>
      <c r="AB4226">
        <v>33</v>
      </c>
      <c r="AC4226">
        <v>-0.14089999999998701</v>
      </c>
      <c r="AD4226">
        <v>-1.10535044688599</v>
      </c>
      <c r="AE4226">
        <v>-23.29823</v>
      </c>
      <c r="AF4226">
        <v>-4.1981234966249703</v>
      </c>
      <c r="AG4226">
        <v>-1.10535044688599</v>
      </c>
      <c r="AH4226">
        <v>22.864115098653201</v>
      </c>
      <c r="AI4226">
        <v>92.722332588780901</v>
      </c>
      <c r="AJ4226">
        <v>100.404298447214</v>
      </c>
      <c r="AK4226">
        <v>23.272597614959299</v>
      </c>
    </row>
    <row r="4227" spans="1:37" x14ac:dyDescent="0.2">
      <c r="A4227" t="str">
        <f>"20200111153519069"</f>
        <v>20200111153519069</v>
      </c>
      <c r="B4227" t="str">
        <f>"1578728119060681"</f>
        <v>1578728119060681</v>
      </c>
      <c r="C4227" t="s">
        <v>37</v>
      </c>
      <c r="D4227">
        <v>4.8408519999999999</v>
      </c>
      <c r="E4227">
        <v>0.4870197</v>
      </c>
      <c r="F4227" t="s">
        <v>39</v>
      </c>
      <c r="G4227">
        <v>-419.29969999999997</v>
      </c>
      <c r="H4227" s="1">
        <v>-1.489696E-6</v>
      </c>
      <c r="I4227">
        <v>72.815700000000007</v>
      </c>
      <c r="J4227">
        <v>-419.19830000000002</v>
      </c>
      <c r="K4227">
        <v>1.1054679999999999</v>
      </c>
      <c r="L4227">
        <v>95.685789999999997</v>
      </c>
      <c r="M4227">
        <v>-0.185719</v>
      </c>
      <c r="N4227">
        <v>0</v>
      </c>
      <c r="O4227">
        <v>-0.98250669999999996</v>
      </c>
      <c r="P4227">
        <v>-3.6405420000000001E-2</v>
      </c>
      <c r="Q4227">
        <v>4.3588210000000002E-2</v>
      </c>
      <c r="R4227">
        <v>-0.99838660000000001</v>
      </c>
      <c r="S4227">
        <v>-2.0935059999999998E-2</v>
      </c>
      <c r="T4227">
        <v>-0.14350089999999999</v>
      </c>
      <c r="U4227">
        <v>-3.0106199999999999</v>
      </c>
      <c r="V4227">
        <v>-0.14974370000000001</v>
      </c>
      <c r="W4227">
        <v>5.6974839999999999E-2</v>
      </c>
      <c r="X4227">
        <v>0.98708189999999996</v>
      </c>
      <c r="Y4227">
        <v>-0.17890529999999999</v>
      </c>
      <c r="Z4227">
        <v>4.598431E-2</v>
      </c>
      <c r="AA4227">
        <v>0.98279110000000003</v>
      </c>
      <c r="AB4227">
        <v>33</v>
      </c>
      <c r="AC4227">
        <v>-0.101399999999955</v>
      </c>
      <c r="AD4227">
        <v>-1.105469489696</v>
      </c>
      <c r="AE4227">
        <v>-22.870089999999902</v>
      </c>
      <c r="AF4227">
        <v>-4.1385069113214996</v>
      </c>
      <c r="AG4227">
        <v>-1.105469489696</v>
      </c>
      <c r="AH4227">
        <v>22.4385488087831</v>
      </c>
      <c r="AI4227">
        <v>92.773775388981207</v>
      </c>
      <c r="AJ4227">
        <v>100.45004541980001</v>
      </c>
      <c r="AK4227">
        <v>22.843768841674201</v>
      </c>
    </row>
    <row r="4228" spans="1:37" x14ac:dyDescent="0.2">
      <c r="A4228" t="str">
        <f>"20200111153519086"</f>
        <v>20200111153519086</v>
      </c>
      <c r="B4228" t="str">
        <f>"1578728119080201"</f>
        <v>1578728119080201</v>
      </c>
      <c r="C4228" t="s">
        <v>37</v>
      </c>
      <c r="D4228">
        <v>4.8668949999999898</v>
      </c>
      <c r="E4228">
        <v>0.48696729999999999</v>
      </c>
      <c r="F4228" t="s">
        <v>39</v>
      </c>
      <c r="G4228">
        <v>-419.31150000000002</v>
      </c>
      <c r="H4228" s="1">
        <v>-1.4426759999999999E-6</v>
      </c>
      <c r="I4228">
        <v>72.710989999999995</v>
      </c>
      <c r="J4228">
        <v>-419.24220000000003</v>
      </c>
      <c r="K4228">
        <v>1.1055549999999901</v>
      </c>
      <c r="L4228">
        <v>95.450469999999996</v>
      </c>
      <c r="M4228">
        <v>-0.18504379999999901</v>
      </c>
      <c r="N4228">
        <v>0</v>
      </c>
      <c r="O4228">
        <v>-0.98263409999999995</v>
      </c>
      <c r="P4228">
        <v>-3.5260960000000001E-2</v>
      </c>
      <c r="Q4228">
        <v>4.3725020000000003E-2</v>
      </c>
      <c r="R4228">
        <v>-0.99842140000000001</v>
      </c>
      <c r="S4228">
        <v>-1.4831540000000001E-2</v>
      </c>
      <c r="T4228">
        <v>-0.14486089999999999</v>
      </c>
      <c r="U4228">
        <v>-3.0106199999999999</v>
      </c>
      <c r="V4228">
        <v>-0.1502078</v>
      </c>
      <c r="W4228">
        <v>5.7077669999999997E-2</v>
      </c>
      <c r="X4228">
        <v>0.98700549999999998</v>
      </c>
      <c r="Y4228">
        <v>-0.1802214</v>
      </c>
      <c r="Z4228">
        <v>4.6422709999999999E-2</v>
      </c>
      <c r="AA4228">
        <v>0.98252999999999902</v>
      </c>
      <c r="AB4228">
        <v>33</v>
      </c>
      <c r="AC4228">
        <v>-6.9299999999998294E-2</v>
      </c>
      <c r="AD4228">
        <v>-1.1055564426759901</v>
      </c>
      <c r="AE4228">
        <v>-22.73948</v>
      </c>
      <c r="AF4228">
        <v>-4.13033157645794</v>
      </c>
      <c r="AG4228">
        <v>-1.1055564426759901</v>
      </c>
      <c r="AH4228">
        <v>22.306798159261898</v>
      </c>
      <c r="AI4228">
        <v>92.789991607274104</v>
      </c>
      <c r="AJ4228">
        <v>100.490093839233</v>
      </c>
      <c r="AK4228">
        <v>22.712884847537101</v>
      </c>
    </row>
    <row r="4229" spans="1:37" x14ac:dyDescent="0.2">
      <c r="A4229" t="str">
        <f>"20200111153519102"</f>
        <v>20200111153519102</v>
      </c>
      <c r="B4229" t="str">
        <f>"1578728119089961"</f>
        <v>1578728119089961</v>
      </c>
      <c r="C4229" t="s">
        <v>37</v>
      </c>
      <c r="D4229">
        <v>4.8769260000000001</v>
      </c>
      <c r="E4229">
        <v>0.48696270000000003</v>
      </c>
      <c r="F4229" t="s">
        <v>39</v>
      </c>
      <c r="G4229">
        <v>-419.3261</v>
      </c>
      <c r="H4229" s="1">
        <v>-1.3566329999999999E-6</v>
      </c>
      <c r="I4229">
        <v>72.516459999999995</v>
      </c>
      <c r="J4229">
        <v>-419.28699999999998</v>
      </c>
      <c r="K4229">
        <v>1.1056429999999999</v>
      </c>
      <c r="L4229">
        <v>95.208309999999997</v>
      </c>
      <c r="M4229">
        <v>-0.1842789</v>
      </c>
      <c r="N4229">
        <v>0</v>
      </c>
      <c r="O4229">
        <v>-0.98277760000000003</v>
      </c>
      <c r="P4229">
        <v>-3.4012779999999999E-2</v>
      </c>
      <c r="Q4229">
        <v>4.4319560000000001E-2</v>
      </c>
      <c r="R4229">
        <v>-0.9984381</v>
      </c>
      <c r="S4229">
        <v>-1.101685E-2</v>
      </c>
      <c r="T4229">
        <v>-0.14513429999999999</v>
      </c>
      <c r="U4229">
        <v>-3.0107119999999998</v>
      </c>
      <c r="V4229">
        <v>-0.15068110000000001</v>
      </c>
      <c r="W4229">
        <v>5.7638929999999998E-2</v>
      </c>
      <c r="X4229">
        <v>0.98690069999999996</v>
      </c>
      <c r="Y4229">
        <v>-0.1807009</v>
      </c>
      <c r="Z4229">
        <v>4.6517059999999999E-2</v>
      </c>
      <c r="AA4229">
        <v>0.98243740000000002</v>
      </c>
      <c r="AB4229">
        <v>33</v>
      </c>
      <c r="AC4229">
        <v>-3.9100000000019002E-2</v>
      </c>
      <c r="AD4229">
        <v>-1.1056443566329901</v>
      </c>
      <c r="AE4229">
        <v>-22.691849999999999</v>
      </c>
      <c r="AF4229">
        <v>-4.1337813248379502</v>
      </c>
      <c r="AG4229">
        <v>-1.1056443566329901</v>
      </c>
      <c r="AH4229">
        <v>22.257520465981301</v>
      </c>
      <c r="AI4229">
        <v>92.796098043934705</v>
      </c>
      <c r="AJ4229">
        <v>100.521386031259</v>
      </c>
      <c r="AK4229">
        <v>22.665123312669401</v>
      </c>
    </row>
    <row r="4230" spans="1:37" x14ac:dyDescent="0.2">
      <c r="A4230" t="str">
        <f>"20200111153519125"</f>
        <v>20200111153519125</v>
      </c>
      <c r="B4230" t="str">
        <f>"1578728119120217"</f>
        <v>1578728119120217</v>
      </c>
      <c r="C4230" t="s">
        <v>37</v>
      </c>
      <c r="D4230">
        <v>5.108771</v>
      </c>
      <c r="E4230">
        <v>0.48692039999999998</v>
      </c>
      <c r="F4230" t="s">
        <v>39</v>
      </c>
      <c r="G4230">
        <v>-419.34179999999998</v>
      </c>
      <c r="H4230" s="1">
        <v>-1.1373600000000001E-6</v>
      </c>
      <c r="I4230">
        <v>72.011830000000003</v>
      </c>
      <c r="J4230">
        <v>-419.34609999999998</v>
      </c>
      <c r="K4230">
        <v>1.1057549999999901</v>
      </c>
      <c r="L4230">
        <v>94.887180000000001</v>
      </c>
      <c r="M4230">
        <v>-0.183158399999999</v>
      </c>
      <c r="N4230">
        <v>0</v>
      </c>
      <c r="O4230">
        <v>-0.98298750000000001</v>
      </c>
      <c r="P4230">
        <v>-3.2153050000000002E-2</v>
      </c>
      <c r="Q4230">
        <v>4.5182439999999997E-2</v>
      </c>
      <c r="R4230">
        <v>-0.9984615</v>
      </c>
      <c r="S4230">
        <v>-7.1105959999999899E-3</v>
      </c>
      <c r="T4230">
        <v>-0.1435092</v>
      </c>
      <c r="U4230">
        <v>-3.010834</v>
      </c>
      <c r="V4230">
        <v>-0.15140419999999999</v>
      </c>
      <c r="W4230">
        <v>5.8457710000000003E-2</v>
      </c>
      <c r="X4230">
        <v>0.9867418</v>
      </c>
      <c r="Y4230">
        <v>-0.1808543</v>
      </c>
      <c r="Z4230">
        <v>4.6009830000000002E-2</v>
      </c>
      <c r="AA4230">
        <v>0.98243309999999995</v>
      </c>
      <c r="AB4230">
        <v>33</v>
      </c>
      <c r="AC4230">
        <v>4.3000000000006297E-3</v>
      </c>
      <c r="AD4230">
        <v>-1.10575613735999</v>
      </c>
      <c r="AE4230">
        <v>-22.875350000000001</v>
      </c>
      <c r="AF4230">
        <v>-4.18465701053145</v>
      </c>
      <c r="AG4230">
        <v>-1.10575613735999</v>
      </c>
      <c r="AH4230">
        <v>22.435094222170001</v>
      </c>
      <c r="AI4230">
        <v>92.773884205799206</v>
      </c>
      <c r="AJ4230">
        <v>100.565558840609</v>
      </c>
      <c r="AK4230">
        <v>22.848796547930998</v>
      </c>
    </row>
    <row r="4231" spans="1:37" x14ac:dyDescent="0.2">
      <c r="A4231" t="str">
        <f>"20200111153519147"</f>
        <v>20200111153519147</v>
      </c>
      <c r="B4231" t="str">
        <f>"1578728119139737"</f>
        <v>1578728119139737</v>
      </c>
      <c r="C4231" t="s">
        <v>37</v>
      </c>
      <c r="D4231">
        <v>5.0173519999999998</v>
      </c>
      <c r="E4231">
        <v>0.51388199999999995</v>
      </c>
      <c r="F4231" t="s">
        <v>39</v>
      </c>
      <c r="G4231">
        <v>-419.35419999999999</v>
      </c>
      <c r="H4231" s="1">
        <v>-7.9107849999999997E-7</v>
      </c>
      <c r="I4231">
        <v>71.209789999999998</v>
      </c>
      <c r="J4231">
        <v>-419.40550000000002</v>
      </c>
      <c r="K4231">
        <v>1.1058569999999901</v>
      </c>
      <c r="L4231">
        <v>94.561400000000006</v>
      </c>
      <c r="M4231">
        <v>-0.1819317</v>
      </c>
      <c r="N4231">
        <v>0</v>
      </c>
      <c r="O4231">
        <v>-0.983214899999999</v>
      </c>
      <c r="P4231">
        <v>-3.091909E-2</v>
      </c>
      <c r="Q4231">
        <v>4.5944770000000003E-2</v>
      </c>
      <c r="R4231">
        <v>-0.99846539999999995</v>
      </c>
      <c r="S4231">
        <v>-1.037598E-3</v>
      </c>
      <c r="T4231">
        <v>-0.1406144</v>
      </c>
      <c r="U4231">
        <v>-3.0109560000000002</v>
      </c>
      <c r="V4231">
        <v>-0.15140100000000001</v>
      </c>
      <c r="W4231">
        <v>5.9183630000000001E-2</v>
      </c>
      <c r="X4231">
        <v>0.98669899999999999</v>
      </c>
      <c r="Y4231">
        <v>-0.18160870000000001</v>
      </c>
      <c r="Z4231">
        <v>4.5094620000000002E-2</v>
      </c>
      <c r="AA4231">
        <v>0.98233630000000005</v>
      </c>
      <c r="AB4231">
        <v>32</v>
      </c>
      <c r="AC4231">
        <v>5.1300000000026102E-2</v>
      </c>
      <c r="AD4231">
        <v>-1.1058577910784999</v>
      </c>
      <c r="AE4231">
        <v>-23.351610000000001</v>
      </c>
      <c r="AF4231">
        <v>-4.2896238546043604</v>
      </c>
      <c r="AG4231">
        <v>-1.1058577910784999</v>
      </c>
      <c r="AH4231">
        <v>22.901131168681299</v>
      </c>
      <c r="AI4231">
        <v>92.717384681429493</v>
      </c>
      <c r="AJ4231">
        <v>100.60916979863801</v>
      </c>
      <c r="AK4231">
        <v>23.3256426079375</v>
      </c>
    </row>
    <row r="4232" spans="1:37" x14ac:dyDescent="0.2">
      <c r="A4232" t="str">
        <f>"20200111153519169"</f>
        <v>20200111153519169</v>
      </c>
      <c r="B4232" t="str">
        <f>"1578728119160233"</f>
        <v>1578728119160233</v>
      </c>
      <c r="C4232" t="s">
        <v>37</v>
      </c>
      <c r="D4232">
        <v>4.9809369999999999</v>
      </c>
      <c r="E4232">
        <v>0.59625629999999996</v>
      </c>
      <c r="F4232" t="s">
        <v>39</v>
      </c>
      <c r="G4232">
        <v>-420.79250000000002</v>
      </c>
      <c r="H4232" s="1">
        <v>-2.5373720000000001E-6</v>
      </c>
      <c r="I4232">
        <v>75.012259999999998</v>
      </c>
      <c r="J4232">
        <v>-419.46069999999997</v>
      </c>
      <c r="K4232">
        <v>1.1059270000000001</v>
      </c>
      <c r="L4232">
        <v>94.256320000000002</v>
      </c>
      <c r="M4232">
        <v>-0.18072279999999999</v>
      </c>
      <c r="N4232">
        <v>0</v>
      </c>
      <c r="O4232">
        <v>-0.98343799999999904</v>
      </c>
      <c r="P4232">
        <v>-3.0583019999999999E-2</v>
      </c>
      <c r="Q4232">
        <v>4.648509E-2</v>
      </c>
      <c r="R4232">
        <v>-0.99845079999999997</v>
      </c>
      <c r="S4232">
        <v>-0.213256799999999</v>
      </c>
      <c r="T4232">
        <v>-0.170034299999999</v>
      </c>
      <c r="U4232">
        <v>-3.0058289999999999</v>
      </c>
      <c r="V4232">
        <v>-0.1505263</v>
      </c>
      <c r="W4232">
        <v>5.9700089999999997E-2</v>
      </c>
      <c r="X4232">
        <v>0.9868017</v>
      </c>
      <c r="Y4232">
        <v>-0.11078979999999999</v>
      </c>
      <c r="Z4232">
        <v>5.4844129999999998E-2</v>
      </c>
      <c r="AA4232">
        <v>0.99232949999999998</v>
      </c>
      <c r="AB4232">
        <v>32</v>
      </c>
      <c r="AC4232">
        <v>-1.3318000000000401</v>
      </c>
      <c r="AD4232">
        <v>-1.1059295373719999</v>
      </c>
      <c r="AE4232">
        <v>-19.244060000000001</v>
      </c>
      <c r="AF4232">
        <v>-2.1611989155894098</v>
      </c>
      <c r="AG4232">
        <v>-1.1059295373719999</v>
      </c>
      <c r="AH4232">
        <v>19.105041305212001</v>
      </c>
      <c r="AI4232">
        <v>93.292021955509497</v>
      </c>
      <c r="AJ4232">
        <v>96.453972223211096</v>
      </c>
      <c r="AK4232">
        <v>19.258672440441799</v>
      </c>
    </row>
    <row r="4233" spans="1:37" x14ac:dyDescent="0.2">
      <c r="A4233" t="str">
        <f>"20200111153519192"</f>
        <v>20200111153519192</v>
      </c>
      <c r="B4233" t="str">
        <f>"1578728119179753"</f>
        <v>1578728119179753</v>
      </c>
      <c r="C4233" t="s">
        <v>37</v>
      </c>
      <c r="D4233">
        <v>4.928045</v>
      </c>
      <c r="E4233">
        <v>0.61029549999999999</v>
      </c>
      <c r="F4233" t="s">
        <v>40</v>
      </c>
      <c r="G4233">
        <v>-419.70530000000002</v>
      </c>
      <c r="H4233">
        <v>1.0474729999999901</v>
      </c>
      <c r="I4233">
        <v>93.417630000000003</v>
      </c>
      <c r="J4233">
        <v>-419.51889999999997</v>
      </c>
      <c r="K4233">
        <v>1.1059760000000001</v>
      </c>
      <c r="L4233">
        <v>93.931849999999997</v>
      </c>
      <c r="M4233">
        <v>-0.17939359999999999</v>
      </c>
      <c r="N4233">
        <v>0</v>
      </c>
      <c r="O4233">
        <v>-0.98368140000000004</v>
      </c>
      <c r="P4233">
        <v>-3.0330719999999999E-2</v>
      </c>
      <c r="Q4233">
        <v>4.6220200000000003E-2</v>
      </c>
      <c r="R4233">
        <v>-0.99847070000000004</v>
      </c>
      <c r="S4233">
        <v>-0.87005619999999995</v>
      </c>
      <c r="T4233">
        <v>-0.20837079999999999</v>
      </c>
      <c r="U4233">
        <v>-2.9877009999999999</v>
      </c>
      <c r="V4233">
        <v>-0.14945069999999999</v>
      </c>
      <c r="W4233">
        <v>5.9419239999999998E-2</v>
      </c>
      <c r="X4233">
        <v>0.98698220000000003</v>
      </c>
      <c r="Y4233">
        <v>0.1021812</v>
      </c>
      <c r="Z4233">
        <v>6.6344730000000005E-2</v>
      </c>
      <c r="AA4233">
        <v>0.99255099999999996</v>
      </c>
      <c r="AB4233">
        <v>32</v>
      </c>
      <c r="AC4233">
        <v>-0.186400000000048</v>
      </c>
      <c r="AD4233">
        <v>-5.8503000000000097E-2</v>
      </c>
      <c r="AE4233">
        <v>-0.51421999999999402</v>
      </c>
      <c r="AF4233">
        <v>9.0088389907848399E-2</v>
      </c>
      <c r="AG4233">
        <v>-5.8503000000000097E-2</v>
      </c>
      <c r="AH4233">
        <v>0.53321829478776195</v>
      </c>
      <c r="AI4233">
        <v>96.174451190326707</v>
      </c>
      <c r="AJ4233">
        <v>80.4103144907467</v>
      </c>
      <c r="AK4233">
        <v>0.54393038975732599</v>
      </c>
    </row>
    <row r="4234" spans="1:37" x14ac:dyDescent="0.2">
      <c r="A4234" t="str">
        <f>"20200111153519213"</f>
        <v>20200111153519213</v>
      </c>
      <c r="B4234" t="str">
        <f>"1578728119210009"</f>
        <v>1578728119210009</v>
      </c>
      <c r="C4234" t="s">
        <v>37</v>
      </c>
      <c r="D4234">
        <v>4.8881160000000001</v>
      </c>
      <c r="E4234">
        <v>0.61675829999999998</v>
      </c>
      <c r="F4234" t="s">
        <v>39</v>
      </c>
      <c r="G4234">
        <v>-424.95139999999998</v>
      </c>
      <c r="H4234" s="1">
        <v>-4.4242930000000002E-6</v>
      </c>
      <c r="I4234">
        <v>77.406840000000003</v>
      </c>
      <c r="J4234">
        <v>-419.5745</v>
      </c>
      <c r="K4234">
        <v>1.1060099999999999</v>
      </c>
      <c r="L4234">
        <v>93.62</v>
      </c>
      <c r="M4234">
        <v>-0.17809059999999999</v>
      </c>
      <c r="N4234">
        <v>0</v>
      </c>
      <c r="O4234">
        <v>-0.98391810000000002</v>
      </c>
      <c r="P4234">
        <v>-3.0006749999999999E-2</v>
      </c>
      <c r="Q4234">
        <v>4.598878E-2</v>
      </c>
      <c r="R4234">
        <v>-0.99849100000000002</v>
      </c>
      <c r="S4234">
        <v>-0.98098750000000001</v>
      </c>
      <c r="T4234">
        <v>-0.1997147</v>
      </c>
      <c r="U4234">
        <v>-2.9840390000000001</v>
      </c>
      <c r="V4234">
        <v>-0.14846870000000001</v>
      </c>
      <c r="W4234">
        <v>5.9178870000000001E-2</v>
      </c>
      <c r="X4234">
        <v>0.98714480000000004</v>
      </c>
      <c r="Y4234">
        <v>0.1374765</v>
      </c>
      <c r="Z4234">
        <v>6.3220810000000002E-2</v>
      </c>
      <c r="AA4234">
        <v>0.98848539999999996</v>
      </c>
      <c r="AB4234">
        <v>32</v>
      </c>
      <c r="AC4234">
        <v>-5.3768999999999698</v>
      </c>
      <c r="AD4234">
        <v>-1.1060144242929999</v>
      </c>
      <c r="AE4234">
        <v>-16.213159999999998</v>
      </c>
      <c r="AF4234">
        <v>2.39321139065314</v>
      </c>
      <c r="AG4234">
        <v>-1.1060144242929999</v>
      </c>
      <c r="AH4234">
        <v>16.8409891097747</v>
      </c>
      <c r="AI4234">
        <v>93.7201760922744</v>
      </c>
      <c r="AJ4234">
        <v>81.912059327192395</v>
      </c>
      <c r="AK4234">
        <v>17.046103451013298</v>
      </c>
    </row>
    <row r="4235" spans="1:37" x14ac:dyDescent="0.2">
      <c r="A4235" t="str">
        <f>"20200111153519237"</f>
        <v>20200111153519237</v>
      </c>
      <c r="B4235" t="str">
        <f>"1578728119230505"</f>
        <v>1578728119230505</v>
      </c>
      <c r="C4235" t="s">
        <v>37</v>
      </c>
      <c r="D4235">
        <v>4.850136</v>
      </c>
      <c r="E4235">
        <v>0.61848769999999997</v>
      </c>
      <c r="F4235" t="s">
        <v>39</v>
      </c>
      <c r="G4235">
        <v>-425.72</v>
      </c>
      <c r="H4235" s="1">
        <v>-4.0313549999999901E-6</v>
      </c>
      <c r="I4235">
        <v>75.851579999999998</v>
      </c>
      <c r="J4235">
        <v>-419.63279999999997</v>
      </c>
      <c r="K4235">
        <v>1.1060369999999999</v>
      </c>
      <c r="L4235">
        <v>93.28931</v>
      </c>
      <c r="M4235">
        <v>-0.1766972</v>
      </c>
      <c r="N4235">
        <v>0</v>
      </c>
      <c r="O4235">
        <v>-0.98416949999999903</v>
      </c>
      <c r="P4235">
        <v>-2.9167149999999999E-2</v>
      </c>
      <c r="Q4235">
        <v>4.679813E-2</v>
      </c>
      <c r="R4235">
        <v>-0.99847889999999995</v>
      </c>
      <c r="S4235">
        <v>-1.0314030000000001</v>
      </c>
      <c r="T4235">
        <v>-0.18562319999999999</v>
      </c>
      <c r="U4235">
        <v>-2.9820859999999998</v>
      </c>
      <c r="V4235">
        <v>-0.14789910000000001</v>
      </c>
      <c r="W4235">
        <v>5.9979949999999997E-2</v>
      </c>
      <c r="X4235">
        <v>0.987182</v>
      </c>
      <c r="Y4235">
        <v>0.1541476</v>
      </c>
      <c r="Z4235">
        <v>5.8608149999999998E-2</v>
      </c>
      <c r="AA4235">
        <v>0.98630799999999996</v>
      </c>
      <c r="AB4235">
        <v>32</v>
      </c>
      <c r="AC4235">
        <v>-6.0872000000000499</v>
      </c>
      <c r="AD4235">
        <v>-1.106041031355</v>
      </c>
      <c r="AE4235">
        <v>-17.437729999999998</v>
      </c>
      <c r="AF4235">
        <v>2.8995147779033501</v>
      </c>
      <c r="AG4235">
        <v>-1.106041031355</v>
      </c>
      <c r="AH4235">
        <v>18.173818813149801</v>
      </c>
      <c r="AI4235">
        <v>93.439279731630094</v>
      </c>
      <c r="AJ4235">
        <v>80.935227192311899</v>
      </c>
      <c r="AK4235">
        <v>18.436870747594799</v>
      </c>
    </row>
    <row r="4236" spans="1:37" x14ac:dyDescent="0.2">
      <c r="A4236" t="str">
        <f>"20200111153519258"</f>
        <v>20200111153519258</v>
      </c>
      <c r="B4236" t="str">
        <f>"1578728119250028"</f>
        <v>1578728119250028</v>
      </c>
      <c r="C4236" t="s">
        <v>37</v>
      </c>
      <c r="D4236">
        <v>4.8433919999999997</v>
      </c>
      <c r="E4236">
        <v>0.61993889999999996</v>
      </c>
      <c r="F4236" t="s">
        <v>39</v>
      </c>
      <c r="G4236">
        <v>-426.2183</v>
      </c>
      <c r="H4236" s="1">
        <v>-3.6447629999999999E-6</v>
      </c>
      <c r="I4236">
        <v>74.455830000000006</v>
      </c>
      <c r="J4236">
        <v>-419.68610000000001</v>
      </c>
      <c r="K4236">
        <v>1.1060540000000001</v>
      </c>
      <c r="L4236">
        <v>92.985290000000006</v>
      </c>
      <c r="M4236">
        <v>-0.1754174</v>
      </c>
      <c r="N4236">
        <v>0</v>
      </c>
      <c r="O4236">
        <v>-0.9843982</v>
      </c>
      <c r="P4236">
        <v>-2.8284690000000001E-2</v>
      </c>
      <c r="Q4236">
        <v>4.7907810000000002E-2</v>
      </c>
      <c r="R4236">
        <v>-0.99845119999999898</v>
      </c>
      <c r="S4236">
        <v>-1.042816</v>
      </c>
      <c r="T4236">
        <v>-0.17514440000000001</v>
      </c>
      <c r="U4236">
        <v>-2.9823300000000001</v>
      </c>
      <c r="V4236">
        <v>-0.14748339999999999</v>
      </c>
      <c r="W4236">
        <v>6.1084670000000001E-2</v>
      </c>
      <c r="X4236">
        <v>0.98717639999999995</v>
      </c>
      <c r="Y4236">
        <v>0.1588368</v>
      </c>
      <c r="Z4236">
        <v>5.527075E-2</v>
      </c>
      <c r="AA4236">
        <v>0.98575659999999898</v>
      </c>
      <c r="AB4236">
        <v>32</v>
      </c>
      <c r="AC4236">
        <v>-6.53219999999998</v>
      </c>
      <c r="AD4236">
        <v>-1.1060576447629999</v>
      </c>
      <c r="AE4236">
        <v>-18.52946</v>
      </c>
      <c r="AF4236">
        <v>3.17014964642759</v>
      </c>
      <c r="AG4236">
        <v>-1.1060576447629999</v>
      </c>
      <c r="AH4236">
        <v>19.326808619076498</v>
      </c>
      <c r="AI4236">
        <v>93.232317105564306</v>
      </c>
      <c r="AJ4236">
        <v>80.684804531567906</v>
      </c>
      <c r="AK4236">
        <v>19.616287714363601</v>
      </c>
    </row>
    <row r="4237" spans="1:37" x14ac:dyDescent="0.2">
      <c r="A4237" t="str">
        <f>"20200111153519276"</f>
        <v>20200111153519276</v>
      </c>
      <c r="B4237" t="str">
        <f>"1578728119270522"</f>
        <v>1578728119270522</v>
      </c>
      <c r="C4237" t="s">
        <v>37</v>
      </c>
      <c r="D4237">
        <v>4.8522379999999998</v>
      </c>
      <c r="E4237">
        <v>0.62086490000000005</v>
      </c>
      <c r="F4237" t="s">
        <v>39</v>
      </c>
      <c r="G4237">
        <v>-426.64139999999998</v>
      </c>
      <c r="H4237" s="1">
        <v>-3.3114869999999998E-6</v>
      </c>
      <c r="I4237">
        <v>73.255899999999997</v>
      </c>
      <c r="J4237">
        <v>-419.72770000000003</v>
      </c>
      <c r="K4237">
        <v>1.106066</v>
      </c>
      <c r="L4237">
        <v>92.745819999999995</v>
      </c>
      <c r="M4237">
        <v>-0.17441309999999999</v>
      </c>
      <c r="N4237">
        <v>0</v>
      </c>
      <c r="O4237">
        <v>-0.98457669999999997</v>
      </c>
      <c r="P4237">
        <v>-2.7621690000000001E-2</v>
      </c>
      <c r="Q4237">
        <v>4.8358459999999999E-2</v>
      </c>
      <c r="R4237">
        <v>-0.99844829999999996</v>
      </c>
      <c r="S4237">
        <v>-1.0515749999999999</v>
      </c>
      <c r="T4237">
        <v>-0.1672244</v>
      </c>
      <c r="U4237">
        <v>-2.98287999999999</v>
      </c>
      <c r="V4237">
        <v>-0.1471296</v>
      </c>
      <c r="W4237">
        <v>6.1532999999999997E-2</v>
      </c>
      <c r="X4237">
        <v>0.98720140000000001</v>
      </c>
      <c r="Y4237">
        <v>0.16240929999999901</v>
      </c>
      <c r="Z4237">
        <v>5.2743440000000003E-2</v>
      </c>
      <c r="AA4237">
        <v>0.98531279999999999</v>
      </c>
      <c r="AB4237">
        <v>32</v>
      </c>
      <c r="AC4237">
        <v>-6.91369999999994</v>
      </c>
      <c r="AD4237">
        <v>-1.1060693114869999</v>
      </c>
      <c r="AE4237">
        <v>-19.489920000000001</v>
      </c>
      <c r="AF4237">
        <v>3.39837062653495</v>
      </c>
      <c r="AG4237">
        <v>-1.1060693114869999</v>
      </c>
      <c r="AH4237">
        <v>20.338903289616699</v>
      </c>
      <c r="AI4237">
        <v>93.070309799521297</v>
      </c>
      <c r="AJ4237">
        <v>80.514235201083395</v>
      </c>
      <c r="AK4237">
        <v>20.650503607938699</v>
      </c>
    </row>
    <row r="4238" spans="1:37" x14ac:dyDescent="0.2">
      <c r="A4238" t="str">
        <f>"20200111153519291"</f>
        <v>20200111153519291</v>
      </c>
      <c r="B4238" t="str">
        <f>"1578728119280281"</f>
        <v>1578728119280281</v>
      </c>
      <c r="C4238" t="s">
        <v>37</v>
      </c>
      <c r="D4238">
        <v>4.9159100000000002</v>
      </c>
      <c r="E4238">
        <v>0.62106790000000001</v>
      </c>
      <c r="F4238" t="s">
        <v>39</v>
      </c>
      <c r="G4238">
        <v>-426.95299999999997</v>
      </c>
      <c r="H4238" s="1">
        <v>-3.033322E-6</v>
      </c>
      <c r="I4238">
        <v>72.347399999999993</v>
      </c>
      <c r="J4238">
        <v>-419.76870000000002</v>
      </c>
      <c r="K4238">
        <v>1.1060779999999999</v>
      </c>
      <c r="L4238">
        <v>92.508700000000005</v>
      </c>
      <c r="M4238">
        <v>-0.1734233</v>
      </c>
      <c r="N4238">
        <v>0</v>
      </c>
      <c r="O4238">
        <v>-0.984751499999999</v>
      </c>
      <c r="P4238">
        <v>-2.6994629999999999E-2</v>
      </c>
      <c r="Q4238">
        <v>4.9852300000000002E-2</v>
      </c>
      <c r="R4238">
        <v>-0.99839169999999999</v>
      </c>
      <c r="S4238">
        <v>-1.056702</v>
      </c>
      <c r="T4238">
        <v>-0.16176299999999999</v>
      </c>
      <c r="U4238">
        <v>-2.983276</v>
      </c>
      <c r="V4238">
        <v>-0.14674970000000001</v>
      </c>
      <c r="W4238">
        <v>6.3024040000000003E-2</v>
      </c>
      <c r="X4238">
        <v>0.98716380000000004</v>
      </c>
      <c r="Y4238">
        <v>0.1648954</v>
      </c>
      <c r="Z4238">
        <v>5.1007879999999998E-2</v>
      </c>
      <c r="AA4238">
        <v>0.98499119999999996</v>
      </c>
      <c r="AB4238">
        <v>32</v>
      </c>
      <c r="AC4238">
        <v>-7.1843000000000004</v>
      </c>
      <c r="AD4238">
        <v>-1.1060810333219999</v>
      </c>
      <c r="AE4238">
        <v>-20.161300000000001</v>
      </c>
      <c r="AF4238">
        <v>3.5691169884009102</v>
      </c>
      <c r="AG4238">
        <v>-1.1060810333219999</v>
      </c>
      <c r="AH4238">
        <v>21.0455820742383</v>
      </c>
      <c r="AI4238">
        <v>92.966219009420101</v>
      </c>
      <c r="AJ4238">
        <v>80.374796338710695</v>
      </c>
      <c r="AK4238">
        <v>21.374717218542798</v>
      </c>
    </row>
    <row r="4239" spans="1:37" x14ac:dyDescent="0.2">
      <c r="A4239" t="str">
        <f>"20200111153519315"</f>
        <v>20200111153519315</v>
      </c>
      <c r="B4239" t="str">
        <f>"1578728119310538"</f>
        <v>1578728119310538</v>
      </c>
      <c r="C4239" t="s">
        <v>37</v>
      </c>
      <c r="D4239">
        <v>4.9335170000000002</v>
      </c>
      <c r="E4239">
        <v>0.62160119999999996</v>
      </c>
      <c r="F4239" t="s">
        <v>39</v>
      </c>
      <c r="G4239">
        <v>-427.22890000000001</v>
      </c>
      <c r="H4239" s="1">
        <v>-2.7146779999999998E-6</v>
      </c>
      <c r="I4239">
        <v>71.43356</v>
      </c>
      <c r="J4239">
        <v>-419.82369999999997</v>
      </c>
      <c r="K4239">
        <v>1.1060889999999901</v>
      </c>
      <c r="L4239">
        <v>92.188479999999998</v>
      </c>
      <c r="M4239">
        <v>-0.17209150000000001</v>
      </c>
      <c r="N4239">
        <v>0</v>
      </c>
      <c r="O4239">
        <v>-0.98498529999999995</v>
      </c>
      <c r="P4239">
        <v>-2.6787169999999999E-2</v>
      </c>
      <c r="Q4239">
        <v>5.1160400000000002E-2</v>
      </c>
      <c r="R4239">
        <v>-0.99833150000000004</v>
      </c>
      <c r="S4239">
        <v>-1.0563049999999901</v>
      </c>
      <c r="T4239">
        <v>-0.1566138</v>
      </c>
      <c r="U4239">
        <v>-2.9841000000000002</v>
      </c>
      <c r="V4239">
        <v>-0.1456115</v>
      </c>
      <c r="W4239">
        <v>6.4333150000000006E-2</v>
      </c>
      <c r="X4239">
        <v>0.98724789999999996</v>
      </c>
      <c r="Y4239">
        <v>0.16605449999999999</v>
      </c>
      <c r="Z4239">
        <v>4.9389229999999999E-2</v>
      </c>
      <c r="AA4239">
        <v>0.98487899999999995</v>
      </c>
      <c r="AB4239">
        <v>32</v>
      </c>
      <c r="AC4239">
        <v>-7.40520000000003</v>
      </c>
      <c r="AD4239">
        <v>-1.1060917146779901</v>
      </c>
      <c r="AE4239">
        <v>-20.754919999999998</v>
      </c>
      <c r="AF4239">
        <v>3.7132633899336298</v>
      </c>
      <c r="AG4239">
        <v>-1.1060917146779901</v>
      </c>
      <c r="AH4239">
        <v>21.665126461175401</v>
      </c>
      <c r="AI4239">
        <v>92.880709161253506</v>
      </c>
      <c r="AJ4239">
        <v>80.274369586810593</v>
      </c>
      <c r="AK4239">
        <v>22.0088497760111</v>
      </c>
    </row>
    <row r="4240" spans="1:37" x14ac:dyDescent="0.2">
      <c r="A4240" t="str">
        <f>"20200111153519337"</f>
        <v>20200111153519337</v>
      </c>
      <c r="B4240" t="str">
        <f>"1578728119330060"</f>
        <v>1578728119330060</v>
      </c>
      <c r="C4240" t="s">
        <v>37</v>
      </c>
      <c r="D4240">
        <v>4.9747629999999896</v>
      </c>
      <c r="E4240">
        <v>0.62188710000000003</v>
      </c>
      <c r="F4240" t="s">
        <v>39</v>
      </c>
      <c r="G4240">
        <v>-427.50319999999999</v>
      </c>
      <c r="H4240" s="1">
        <v>-2.4154639999999999E-6</v>
      </c>
      <c r="I4240">
        <v>70.565939999999998</v>
      </c>
      <c r="J4240">
        <v>-419.87880000000001</v>
      </c>
      <c r="K4240">
        <v>1.1061099999999999</v>
      </c>
      <c r="L4240">
        <v>91.864809999999906</v>
      </c>
      <c r="M4240">
        <v>-0.1707497</v>
      </c>
      <c r="N4240">
        <v>0</v>
      </c>
      <c r="O4240">
        <v>-0.98521890000000001</v>
      </c>
      <c r="P4240">
        <v>-2.718075E-2</v>
      </c>
      <c r="Q4240">
        <v>5.1679860000000001E-2</v>
      </c>
      <c r="R4240">
        <v>-0.99829419999999902</v>
      </c>
      <c r="S4240">
        <v>-1.0599369999999999</v>
      </c>
      <c r="T4240">
        <v>-0.15266440000000001</v>
      </c>
      <c r="U4240">
        <v>-2.984375</v>
      </c>
      <c r="V4240">
        <v>-0.143874</v>
      </c>
      <c r="W4240">
        <v>6.4857999999999999E-2</v>
      </c>
      <c r="X4240">
        <v>0.98746840000000002</v>
      </c>
      <c r="Y4240">
        <v>0.1684541</v>
      </c>
      <c r="Z4240">
        <v>4.8140189999999999E-2</v>
      </c>
      <c r="AA4240">
        <v>0.98453329999999994</v>
      </c>
      <c r="AB4240">
        <v>32</v>
      </c>
      <c r="AC4240">
        <v>-7.6243999999999801</v>
      </c>
      <c r="AD4240">
        <v>-1.1061124154639901</v>
      </c>
      <c r="AE4240">
        <v>-21.298869999999901</v>
      </c>
      <c r="AF4240">
        <v>3.8660496394702899</v>
      </c>
      <c r="AG4240">
        <v>-1.1061124154639901</v>
      </c>
      <c r="AH4240">
        <v>22.2348549906019</v>
      </c>
      <c r="AI4240">
        <v>92.805903355048599</v>
      </c>
      <c r="AJ4240">
        <v>80.136398283111106</v>
      </c>
      <c r="AK4240">
        <v>22.5955438293391</v>
      </c>
    </row>
    <row r="4241" spans="1:37" x14ac:dyDescent="0.2">
      <c r="A4241" t="str">
        <f>"20200111153519360"</f>
        <v>20200111153519360</v>
      </c>
      <c r="B4241" t="str">
        <f>"1578728119350553"</f>
        <v>1578728119350553</v>
      </c>
      <c r="C4241" t="s">
        <v>37</v>
      </c>
      <c r="D4241">
        <v>4.9186120000000004</v>
      </c>
      <c r="E4241">
        <v>0.62220929999999997</v>
      </c>
      <c r="F4241" t="s">
        <v>39</v>
      </c>
      <c r="G4241">
        <v>-427.65539999999999</v>
      </c>
      <c r="H4241" s="1">
        <v>-2.2277019999999999E-6</v>
      </c>
      <c r="I4241">
        <v>70.033869999999993</v>
      </c>
      <c r="J4241">
        <v>-419.93119999999999</v>
      </c>
      <c r="K4241">
        <v>1.1061190000000001</v>
      </c>
      <c r="L4241">
        <v>91.554689999999994</v>
      </c>
      <c r="M4241">
        <v>-0.16946549999999999</v>
      </c>
      <c r="N4241">
        <v>0</v>
      </c>
      <c r="O4241">
        <v>-0.98544050000000005</v>
      </c>
      <c r="P4241">
        <v>-2.7313130000000001E-2</v>
      </c>
      <c r="Q4241">
        <v>5.2252229999999997E-2</v>
      </c>
      <c r="R4241">
        <v>-0.9982607</v>
      </c>
      <c r="S4241">
        <v>-1.0629580000000001</v>
      </c>
      <c r="T4241">
        <v>-0.1511914</v>
      </c>
      <c r="U4241">
        <v>-2.9840089999999999</v>
      </c>
      <c r="V4241">
        <v>-0.14245070000000001</v>
      </c>
      <c r="W4241">
        <v>6.5434699999999998E-2</v>
      </c>
      <c r="X4241">
        <v>0.98763659999999998</v>
      </c>
      <c r="Y4241">
        <v>0.17066879999999901</v>
      </c>
      <c r="Z4241">
        <v>4.7681210000000002E-2</v>
      </c>
      <c r="AA4241">
        <v>0.98417410000000005</v>
      </c>
      <c r="AB4241">
        <v>32</v>
      </c>
      <c r="AC4241">
        <v>-7.72419999999999</v>
      </c>
      <c r="AD4241">
        <v>-1.1061212277020001</v>
      </c>
      <c r="AE4241">
        <v>-21.520820000000001</v>
      </c>
      <c r="AF4241">
        <v>3.9558190363037</v>
      </c>
      <c r="AG4241">
        <v>-1.1061212277020001</v>
      </c>
      <c r="AH4241">
        <v>22.466019000233999</v>
      </c>
      <c r="AI4241">
        <v>92.7760609186886</v>
      </c>
      <c r="AJ4241">
        <v>80.013718864913898</v>
      </c>
      <c r="AK4241">
        <v>22.838432917720699</v>
      </c>
    </row>
    <row r="4242" spans="1:37" x14ac:dyDescent="0.2">
      <c r="A4242" t="str">
        <f>"20200111153519375"</f>
        <v>20200111153519375</v>
      </c>
      <c r="B4242" t="str">
        <f>"1578728119370074"</f>
        <v>1578728119370074</v>
      </c>
      <c r="C4242" t="s">
        <v>37</v>
      </c>
      <c r="D4242">
        <v>4.861478</v>
      </c>
      <c r="E4242">
        <v>0.62264649999999999</v>
      </c>
      <c r="F4242" t="s">
        <v>39</v>
      </c>
      <c r="G4242">
        <v>-427.81610000000001</v>
      </c>
      <c r="H4242" s="1">
        <v>-5.6403610000000002E-6</v>
      </c>
      <c r="I4242">
        <v>69.487129999999993</v>
      </c>
      <c r="J4242">
        <v>-419.9717</v>
      </c>
      <c r="K4242">
        <v>1.106123</v>
      </c>
      <c r="L4242">
        <v>91.312559999999905</v>
      </c>
      <c r="M4242">
        <v>-0.16846429999999901</v>
      </c>
      <c r="N4242">
        <v>0</v>
      </c>
      <c r="O4242">
        <v>-0.98561219999999905</v>
      </c>
      <c r="P4242">
        <v>-2.6563960000000001E-2</v>
      </c>
      <c r="Q4242">
        <v>5.2254580000000002E-2</v>
      </c>
      <c r="R4242">
        <v>-0.99828059999999996</v>
      </c>
      <c r="S4242">
        <v>-1.0661620000000001</v>
      </c>
      <c r="T4242">
        <v>-0.1495658</v>
      </c>
      <c r="U4242">
        <v>-2.98388699999999</v>
      </c>
      <c r="V4242">
        <v>-0.14218829999999999</v>
      </c>
      <c r="W4242">
        <v>6.5437079999999995E-2</v>
      </c>
      <c r="X4242">
        <v>0.98767430000000001</v>
      </c>
      <c r="Y4242">
        <v>0.17262810000000001</v>
      </c>
      <c r="Z4242">
        <v>4.7167380000000002E-2</v>
      </c>
      <c r="AA4242">
        <v>0.98385710000000004</v>
      </c>
      <c r="AB4242">
        <v>32</v>
      </c>
      <c r="AC4242">
        <v>-7.8444000000000003</v>
      </c>
      <c r="AD4242">
        <v>-1.106128640361</v>
      </c>
      <c r="AE4242">
        <v>-21.825429999999901</v>
      </c>
      <c r="AF4242">
        <v>4.0459093065250098</v>
      </c>
      <c r="AG4242">
        <v>-1.106128640361</v>
      </c>
      <c r="AH4242">
        <v>22.783237411244599</v>
      </c>
      <c r="AI4242">
        <v>92.736782289430096</v>
      </c>
      <c r="AJ4242">
        <v>79.930235879612894</v>
      </c>
      <c r="AK4242">
        <v>23.166113390527801</v>
      </c>
    </row>
    <row r="4243" spans="1:37" x14ac:dyDescent="0.2">
      <c r="A4243" t="str">
        <f>"20200111153519392"</f>
        <v>20200111153519392</v>
      </c>
      <c r="B4243" t="str">
        <f>"1578728119379833"</f>
        <v>1578728119379833</v>
      </c>
      <c r="C4243" t="s">
        <v>37</v>
      </c>
      <c r="D4243">
        <v>4.8709049999999996</v>
      </c>
      <c r="E4243">
        <v>0.62286790000000003</v>
      </c>
      <c r="F4243" t="s">
        <v>39</v>
      </c>
      <c r="G4243">
        <v>-427.95979999999997</v>
      </c>
      <c r="H4243" s="1">
        <v>-5.4940119999999997E-6</v>
      </c>
      <c r="I4243">
        <v>68.982129999999998</v>
      </c>
      <c r="J4243">
        <v>-420.00920000000002</v>
      </c>
      <c r="K4243">
        <v>1.106133</v>
      </c>
      <c r="L4243">
        <v>91.087069999999997</v>
      </c>
      <c r="M4243">
        <v>-0.16753209999999999</v>
      </c>
      <c r="N4243">
        <v>0</v>
      </c>
      <c r="O4243">
        <v>-0.98577109999999901</v>
      </c>
      <c r="P4243">
        <v>-2.571493E-2</v>
      </c>
      <c r="Q4243">
        <v>5.3038019999999998E-2</v>
      </c>
      <c r="R4243">
        <v>-0.99826159999999997</v>
      </c>
      <c r="S4243">
        <v>-1.0676270000000001</v>
      </c>
      <c r="T4243">
        <v>-0.14783589999999999</v>
      </c>
      <c r="U4243">
        <v>-2.9844970000000002</v>
      </c>
      <c r="V4243">
        <v>-0.14208959999999901</v>
      </c>
      <c r="W4243">
        <v>6.6219310000000003E-2</v>
      </c>
      <c r="X4243">
        <v>0.98763630000000002</v>
      </c>
      <c r="Y4243">
        <v>0.1739327</v>
      </c>
      <c r="Z4243">
        <v>4.6616150000000002E-2</v>
      </c>
      <c r="AA4243">
        <v>0.98365360000000002</v>
      </c>
      <c r="AB4243">
        <v>32</v>
      </c>
      <c r="AC4243">
        <v>-7.9505999999999499</v>
      </c>
      <c r="AD4243">
        <v>-1.106138494012</v>
      </c>
      <c r="AE4243">
        <v>-22.104939999999999</v>
      </c>
      <c r="AF4243">
        <v>4.1254271370536104</v>
      </c>
      <c r="AG4243">
        <v>-1.106138494012</v>
      </c>
      <c r="AH4243">
        <v>23.073410963657299</v>
      </c>
      <c r="AI4243">
        <v>92.701874382675797</v>
      </c>
      <c r="AJ4243">
        <v>79.862874974183995</v>
      </c>
      <c r="AK4243">
        <v>23.46539973938</v>
      </c>
    </row>
    <row r="4244" spans="1:37" x14ac:dyDescent="0.2">
      <c r="A4244" t="str">
        <f>"20200111153519415"</f>
        <v>20200111153519415</v>
      </c>
      <c r="B4244" t="str">
        <f>"1578728119410089"</f>
        <v>1578728119410089</v>
      </c>
      <c r="C4244" t="s">
        <v>37</v>
      </c>
      <c r="D4244">
        <v>4.8897769999999996</v>
      </c>
      <c r="E4244">
        <v>0.62345139999999999</v>
      </c>
      <c r="F4244" t="s">
        <v>39</v>
      </c>
      <c r="G4244">
        <v>-428.2029</v>
      </c>
      <c r="H4244" s="1">
        <v>-5.2558609999999999E-6</v>
      </c>
      <c r="I4244">
        <v>68.155619999999999</v>
      </c>
      <c r="J4244">
        <v>-420.06209999999999</v>
      </c>
      <c r="K4244">
        <v>1.1061350000000001</v>
      </c>
      <c r="L4244">
        <v>90.767430000000004</v>
      </c>
      <c r="M4244">
        <v>-0.1662129</v>
      </c>
      <c r="N4244">
        <v>0</v>
      </c>
      <c r="O4244">
        <v>-0.9859945</v>
      </c>
      <c r="P4244">
        <v>-2.4108109999999999E-2</v>
      </c>
      <c r="Q4244">
        <v>5.3985980000000003E-2</v>
      </c>
      <c r="R4244">
        <v>-0.99825059999999999</v>
      </c>
      <c r="S4244">
        <v>-1.066711</v>
      </c>
      <c r="T4244">
        <v>-0.1440052</v>
      </c>
      <c r="U4244">
        <v>-2.985382</v>
      </c>
      <c r="V4244">
        <v>-0.14235139999999999</v>
      </c>
      <c r="W4244">
        <v>6.7164669999999996E-2</v>
      </c>
      <c r="X4244">
        <v>0.98753480000000005</v>
      </c>
      <c r="Y4244">
        <v>0.17490929999999999</v>
      </c>
      <c r="Z4244">
        <v>4.5411849999999997E-2</v>
      </c>
      <c r="AA4244">
        <v>0.98353670000000004</v>
      </c>
      <c r="AB4244">
        <v>32</v>
      </c>
      <c r="AC4244">
        <v>-8.1408000000000094</v>
      </c>
      <c r="AD4244">
        <v>-1.1061402558610001</v>
      </c>
      <c r="AE4244">
        <v>-22.611809999999998</v>
      </c>
      <c r="AF4244">
        <v>4.2597869017386598</v>
      </c>
      <c r="AG4244">
        <v>-1.1061402558610001</v>
      </c>
      <c r="AH4244">
        <v>23.6004545146345</v>
      </c>
      <c r="AI4244">
        <v>92.640846558045496</v>
      </c>
      <c r="AJ4244">
        <v>79.768503554761196</v>
      </c>
      <c r="AK4244">
        <v>24.007306887928799</v>
      </c>
    </row>
    <row r="4245" spans="1:37" x14ac:dyDescent="0.2">
      <c r="A4245" t="str">
        <f>"20200111153519438"</f>
        <v>20200111153519438</v>
      </c>
      <c r="B4245" t="str">
        <f>"1578728119430585"</f>
        <v>1578728119430585</v>
      </c>
      <c r="C4245" t="s">
        <v>37</v>
      </c>
      <c r="D4245">
        <v>4.824173</v>
      </c>
      <c r="E4245">
        <v>0.58141669999999901</v>
      </c>
      <c r="F4245" t="s">
        <v>39</v>
      </c>
      <c r="G4245">
        <v>-428.4991</v>
      </c>
      <c r="H4245" s="1">
        <v>-4.9633200000000001E-6</v>
      </c>
      <c r="I4245">
        <v>67.141570000000002</v>
      </c>
      <c r="J4245">
        <v>-420.1155</v>
      </c>
      <c r="K4245">
        <v>1.106133</v>
      </c>
      <c r="L4245">
        <v>90.441890000000001</v>
      </c>
      <c r="M4245">
        <v>-0.16487099999999999</v>
      </c>
      <c r="N4245">
        <v>0</v>
      </c>
      <c r="O4245">
        <v>-0.98621959999999997</v>
      </c>
      <c r="P4245">
        <v>-2.2254699999999999E-2</v>
      </c>
      <c r="Q4245">
        <v>5.4163330000000003E-2</v>
      </c>
      <c r="R4245">
        <v>-0.99828399999999995</v>
      </c>
      <c r="S4245">
        <v>-1.066711</v>
      </c>
      <c r="T4245">
        <v>-0.13985129999999901</v>
      </c>
      <c r="U4245">
        <v>-2.9870610000000002</v>
      </c>
      <c r="V4245">
        <v>-0.14283989999999999</v>
      </c>
      <c r="W4245">
        <v>6.7338789999999996E-2</v>
      </c>
      <c r="X4245">
        <v>0.98745239999999901</v>
      </c>
      <c r="Y4245">
        <v>0.17609379999999999</v>
      </c>
      <c r="Z4245">
        <v>4.409163E-2</v>
      </c>
      <c r="AA4245">
        <v>0.98338539999999997</v>
      </c>
      <c r="AB4245">
        <v>32</v>
      </c>
      <c r="AC4245">
        <v>-8.3835999999999995</v>
      </c>
      <c r="AD4245">
        <v>-1.1061379633199999</v>
      </c>
      <c r="AE4245">
        <v>-23.300319999999999</v>
      </c>
      <c r="AF4245">
        <v>4.41812493596957</v>
      </c>
      <c r="AG4245">
        <v>-1.1061379633199999</v>
      </c>
      <c r="AH4245">
        <v>24.315222712220901</v>
      </c>
      <c r="AI4245">
        <v>92.562774958627401</v>
      </c>
      <c r="AJ4245">
        <v>79.701596602890206</v>
      </c>
      <c r="AK4245">
        <v>24.738096626228899</v>
      </c>
    </row>
    <row r="4246" spans="1:37" x14ac:dyDescent="0.2">
      <c r="A4246" t="str">
        <f>"20200111153519459"</f>
        <v>20200111153519459</v>
      </c>
      <c r="B4246" t="str">
        <f>"1578728119450105"</f>
        <v>1578728119450105</v>
      </c>
      <c r="C4246" t="s">
        <v>37</v>
      </c>
      <c r="D4246">
        <v>4.7649349999999897</v>
      </c>
      <c r="E4246">
        <v>0.57687600000000006</v>
      </c>
      <c r="F4246" t="s">
        <v>39</v>
      </c>
      <c r="G4246">
        <v>-425.22430000000003</v>
      </c>
      <c r="H4246" s="1">
        <v>-5.1417780000000003E-6</v>
      </c>
      <c r="I4246">
        <v>69.372959999999907</v>
      </c>
      <c r="J4246">
        <v>-420.1651</v>
      </c>
      <c r="K4246">
        <v>1.106128</v>
      </c>
      <c r="L4246">
        <v>90.136899999999997</v>
      </c>
      <c r="M4246">
        <v>-0.16361539999999999</v>
      </c>
      <c r="N4246">
        <v>0</v>
      </c>
      <c r="O4246">
        <v>-0.98642879999999999</v>
      </c>
      <c r="P4246">
        <v>-1.9628489999999998E-2</v>
      </c>
      <c r="Q4246">
        <v>5.4114599999999999E-2</v>
      </c>
      <c r="R4246">
        <v>-0.99834210000000001</v>
      </c>
      <c r="S4246">
        <v>-0.72683719999999996</v>
      </c>
      <c r="T4246">
        <v>-0.15737129999999999</v>
      </c>
      <c r="U4246">
        <v>-2.99749799999999</v>
      </c>
      <c r="V4246">
        <v>-0.14418129999999901</v>
      </c>
      <c r="W4246">
        <v>6.7283609999999994E-2</v>
      </c>
      <c r="X4246">
        <v>0.98726119999999995</v>
      </c>
      <c r="Y4246">
        <v>7.3148270000000001E-2</v>
      </c>
      <c r="Z4246">
        <v>5.0575679999999998E-2</v>
      </c>
      <c r="AA4246">
        <v>0.99603779999999997</v>
      </c>
      <c r="AB4246">
        <v>32</v>
      </c>
      <c r="AC4246">
        <v>-5.0592000000000299</v>
      </c>
      <c r="AD4246">
        <v>-1.106133141778</v>
      </c>
      <c r="AE4246">
        <v>-20.763940000000002</v>
      </c>
      <c r="AF4246">
        <v>1.58913314583245</v>
      </c>
      <c r="AG4246">
        <v>-1.106133141778</v>
      </c>
      <c r="AH4246">
        <v>21.2549782809809</v>
      </c>
      <c r="AI4246">
        <v>92.970773243065807</v>
      </c>
      <c r="AJ4246">
        <v>85.724223514820196</v>
      </c>
      <c r="AK4246">
        <v>21.342984243247098</v>
      </c>
    </row>
    <row r="4247" spans="1:37" x14ac:dyDescent="0.2">
      <c r="A4247" t="str">
        <f>"20200111153519482"</f>
        <v>20200111153519482</v>
      </c>
      <c r="B4247" t="str">
        <f>"1578728119470602"</f>
        <v>1578728119470602</v>
      </c>
      <c r="C4247" t="s">
        <v>37</v>
      </c>
      <c r="D4247">
        <v>4.6984440000000003</v>
      </c>
      <c r="E4247">
        <v>0.57613570000000003</v>
      </c>
      <c r="F4247" t="s">
        <v>39</v>
      </c>
      <c r="G4247">
        <v>-425.51060000000001</v>
      </c>
      <c r="H4247" s="1">
        <v>-4.2582939999999998E-6</v>
      </c>
      <c r="I4247">
        <v>66.627589999999998</v>
      </c>
      <c r="J4247">
        <v>-420.21530000000001</v>
      </c>
      <c r="K4247">
        <v>1.1061219999999901</v>
      </c>
      <c r="L4247">
        <v>89.82602</v>
      </c>
      <c r="M4247">
        <v>-0.1623366</v>
      </c>
      <c r="N4247">
        <v>0</v>
      </c>
      <c r="O4247">
        <v>-0.98663999999999996</v>
      </c>
      <c r="P4247">
        <v>-1.6441850000000001E-2</v>
      </c>
      <c r="Q4247">
        <v>5.4468929999999999E-2</v>
      </c>
      <c r="R4247">
        <v>-0.99838009999999999</v>
      </c>
      <c r="S4247">
        <v>-0.68194580000000005</v>
      </c>
      <c r="T4247">
        <v>-0.1411152</v>
      </c>
      <c r="U4247">
        <v>-2.9992070000000002</v>
      </c>
      <c r="V4247">
        <v>-0.1460513</v>
      </c>
      <c r="W4247">
        <v>6.7628530000000006E-2</v>
      </c>
      <c r="X4247">
        <v>0.98696269999999997</v>
      </c>
      <c r="Y4247">
        <v>6.0231649999999998E-2</v>
      </c>
      <c r="Z4247">
        <v>4.5448570000000001E-2</v>
      </c>
      <c r="AA4247">
        <v>0.99714919999999996</v>
      </c>
      <c r="AB4247">
        <v>32</v>
      </c>
      <c r="AC4247">
        <v>-5.2952999999999903</v>
      </c>
      <c r="AD4247">
        <v>-1.1061262582939999</v>
      </c>
      <c r="AE4247">
        <v>-23.198429999999998</v>
      </c>
      <c r="AF4247">
        <v>1.45559253102972</v>
      </c>
      <c r="AG4247">
        <v>-1.1061262582939999</v>
      </c>
      <c r="AH4247">
        <v>23.699145242335899</v>
      </c>
      <c r="AI4247">
        <v>92.667246496672703</v>
      </c>
      <c r="AJ4247">
        <v>86.485330015808401</v>
      </c>
      <c r="AK4247">
        <v>23.769555110119502</v>
      </c>
    </row>
    <row r="4248" spans="1:37" x14ac:dyDescent="0.2">
      <c r="A4248" t="str">
        <f>"20200111153519504"</f>
        <v>20200111153519504</v>
      </c>
      <c r="B4248" t="str">
        <f>"1578728119499881"</f>
        <v>1578728119499881</v>
      </c>
      <c r="C4248" t="s">
        <v>37</v>
      </c>
      <c r="D4248">
        <v>4.7023640000000002</v>
      </c>
      <c r="E4248">
        <v>0.57685109999999995</v>
      </c>
      <c r="F4248" t="s">
        <v>39</v>
      </c>
      <c r="G4248">
        <v>-425.43520000000001</v>
      </c>
      <c r="H4248" s="1">
        <v>-4.1429249999999998E-6</v>
      </c>
      <c r="I4248">
        <v>66.327879999999993</v>
      </c>
      <c r="J4248">
        <v>-420.26679999999999</v>
      </c>
      <c r="K4248">
        <v>1.1061159999999901</v>
      </c>
      <c r="L4248">
        <v>89.504149999999996</v>
      </c>
      <c r="M4248">
        <v>-0.161013299999999</v>
      </c>
      <c r="N4248">
        <v>0</v>
      </c>
      <c r="O4248">
        <v>-0.98685689999999904</v>
      </c>
      <c r="P4248">
        <v>-1.389347E-2</v>
      </c>
      <c r="Q4248">
        <v>5.4934230000000001E-2</v>
      </c>
      <c r="R4248">
        <v>-0.99839369999999905</v>
      </c>
      <c r="S4248">
        <v>-0.6667786</v>
      </c>
      <c r="T4248">
        <v>-0.141295</v>
      </c>
      <c r="U4248">
        <v>-3.001617</v>
      </c>
      <c r="V4248">
        <v>-0.14724479999999901</v>
      </c>
      <c r="W4248">
        <v>6.8086649999999999E-2</v>
      </c>
      <c r="X4248">
        <v>0.98675389999999996</v>
      </c>
      <c r="Y4248">
        <v>5.659952E-2</v>
      </c>
      <c r="Z4248">
        <v>4.5515390000000003E-2</v>
      </c>
      <c r="AA4248">
        <v>0.99735890000000005</v>
      </c>
      <c r="AB4248">
        <v>32</v>
      </c>
      <c r="AC4248">
        <v>-5.1684000000000196</v>
      </c>
      <c r="AD4248">
        <v>-1.1061201429249901</v>
      </c>
      <c r="AE4248">
        <v>-23.176269999999899</v>
      </c>
      <c r="AF4248">
        <v>1.3659483215524699</v>
      </c>
      <c r="AG4248">
        <v>-1.1061201429249901</v>
      </c>
      <c r="AH4248">
        <v>23.654745252502899</v>
      </c>
      <c r="AI4248">
        <v>92.6728130979089</v>
      </c>
      <c r="AJ4248">
        <v>86.695113095039503</v>
      </c>
      <c r="AK4248">
        <v>23.719955513207601</v>
      </c>
    </row>
    <row r="4249" spans="1:37" x14ac:dyDescent="0.2">
      <c r="A4249" t="str">
        <f>"20200111153519528"</f>
        <v>20200111153519528</v>
      </c>
      <c r="B4249" t="str">
        <f>"1578728119520377"</f>
        <v>1578728119520377</v>
      </c>
      <c r="C4249" t="s">
        <v>37</v>
      </c>
      <c r="D4249">
        <v>4.6082039999999997</v>
      </c>
      <c r="E4249">
        <v>0.57716540000000005</v>
      </c>
      <c r="F4249" t="s">
        <v>39</v>
      </c>
      <c r="G4249">
        <v>-425.57569999999998</v>
      </c>
      <c r="H4249" s="1">
        <v>-3.8978829999999997E-6</v>
      </c>
      <c r="I4249">
        <v>65.534580000000005</v>
      </c>
      <c r="J4249">
        <v>-420.31799999999998</v>
      </c>
      <c r="K4249">
        <v>1.106117</v>
      </c>
      <c r="L4249">
        <v>89.181179999999998</v>
      </c>
      <c r="M4249">
        <v>-0.15968540000000001</v>
      </c>
      <c r="N4249">
        <v>0</v>
      </c>
      <c r="O4249">
        <v>-0.98707259999999997</v>
      </c>
      <c r="P4249">
        <v>-1.280471E-2</v>
      </c>
      <c r="Q4249">
        <v>5.5645130000000001E-2</v>
      </c>
      <c r="R4249">
        <v>-0.9983687</v>
      </c>
      <c r="S4249">
        <v>-0.66516109999999995</v>
      </c>
      <c r="T4249">
        <v>-0.1385884</v>
      </c>
      <c r="U4249">
        <v>-3.0032040000000002</v>
      </c>
      <c r="V4249">
        <v>-0.1469877</v>
      </c>
      <c r="W4249">
        <v>6.879739E-2</v>
      </c>
      <c r="X4249">
        <v>0.98674289999999998</v>
      </c>
      <c r="Y4249">
        <v>5.7327999999999997E-2</v>
      </c>
      <c r="Z4249">
        <v>4.4638560000000001E-2</v>
      </c>
      <c r="AA4249">
        <v>0.99735699999999905</v>
      </c>
      <c r="AB4249">
        <v>32</v>
      </c>
      <c r="AC4249">
        <v>-5.2576999999999403</v>
      </c>
      <c r="AD4249">
        <v>-1.1061208978829999</v>
      </c>
      <c r="AE4249">
        <v>-23.6465999999999</v>
      </c>
      <c r="AF4249">
        <v>1.4109061429593801</v>
      </c>
      <c r="AG4249">
        <v>-1.1061208978829999</v>
      </c>
      <c r="AH4249">
        <v>24.132448481460401</v>
      </c>
      <c r="AI4249">
        <v>92.619871788710995</v>
      </c>
      <c r="AJ4249">
        <v>86.654005136963605</v>
      </c>
      <c r="AK4249">
        <v>24.198950995762399</v>
      </c>
    </row>
    <row r="4250" spans="1:37" x14ac:dyDescent="0.2">
      <c r="A4250" t="str">
        <f>"20200111153519549"</f>
        <v>20200111153519549</v>
      </c>
      <c r="B4250" t="str">
        <f>"1578728119539898"</f>
        <v>1578728119539898</v>
      </c>
      <c r="C4250" t="s">
        <v>37</v>
      </c>
      <c r="D4250">
        <v>4.69848</v>
      </c>
      <c r="E4250">
        <v>0.57742510000000002</v>
      </c>
      <c r="F4250" t="s">
        <v>39</v>
      </c>
      <c r="G4250">
        <v>-425.81950000000001</v>
      </c>
      <c r="H4250" s="1">
        <v>-3.5230840000000002E-6</v>
      </c>
      <c r="I4250">
        <v>64.306129999999996</v>
      </c>
      <c r="J4250">
        <v>-420.36579999999998</v>
      </c>
      <c r="K4250">
        <v>1.1061209999999999</v>
      </c>
      <c r="L4250">
        <v>88.877009999999999</v>
      </c>
      <c r="M4250">
        <v>-0.1584351</v>
      </c>
      <c r="N4250">
        <v>0</v>
      </c>
      <c r="O4250">
        <v>-0.98727389999999904</v>
      </c>
      <c r="P4250">
        <v>-1.2017109999999999E-2</v>
      </c>
      <c r="Q4250">
        <v>5.6184089999999999E-2</v>
      </c>
      <c r="R4250">
        <v>-0.99834789999999995</v>
      </c>
      <c r="S4250">
        <v>-0.66433719999999996</v>
      </c>
      <c r="T4250">
        <v>-0.13357079999999999</v>
      </c>
      <c r="U4250">
        <v>-3.0038149999999999</v>
      </c>
      <c r="V4250">
        <v>-0.14651259999999999</v>
      </c>
      <c r="W4250">
        <v>6.9337319999999994E-2</v>
      </c>
      <c r="X4250">
        <v>0.98677579999999998</v>
      </c>
      <c r="Y4250">
        <v>5.8304259999999997E-2</v>
      </c>
      <c r="Z4250">
        <v>4.3030159999999998E-2</v>
      </c>
      <c r="AA4250">
        <v>0.99737109999999995</v>
      </c>
      <c r="AB4250">
        <v>32</v>
      </c>
      <c r="AC4250">
        <v>-5.45370000000002</v>
      </c>
      <c r="AD4250">
        <v>-1.106124523084</v>
      </c>
      <c r="AE4250">
        <v>-24.570879999999899</v>
      </c>
      <c r="AF4250">
        <v>1.48867119256026</v>
      </c>
      <c r="AG4250">
        <v>-1.106124523084</v>
      </c>
      <c r="AH4250">
        <v>25.076181807225701</v>
      </c>
      <c r="AI4250">
        <v>92.521278632476196</v>
      </c>
      <c r="AJ4250">
        <v>86.602569451522101</v>
      </c>
      <c r="AK4250">
        <v>25.144672346426901</v>
      </c>
    </row>
    <row r="4251" spans="1:37" x14ac:dyDescent="0.2">
      <c r="A4251" t="str">
        <f>"20200111153519572"</f>
        <v>20200111153519572</v>
      </c>
      <c r="B4251" t="str">
        <f>"1578728119560394"</f>
        <v>1578728119560394</v>
      </c>
      <c r="C4251" t="s">
        <v>37</v>
      </c>
      <c r="D4251">
        <v>4.6990259999999999</v>
      </c>
      <c r="E4251">
        <v>0.57742919999999998</v>
      </c>
      <c r="F4251" t="s">
        <v>39</v>
      </c>
      <c r="G4251">
        <v>-426.02109999999999</v>
      </c>
      <c r="H4251" s="1">
        <v>-3.1861249999999999E-6</v>
      </c>
      <c r="I4251">
        <v>63.281610000000001</v>
      </c>
      <c r="J4251">
        <v>-420.4153</v>
      </c>
      <c r="K4251">
        <v>1.106131</v>
      </c>
      <c r="L4251">
        <v>88.559809999999999</v>
      </c>
      <c r="M4251">
        <v>-0.1571311</v>
      </c>
      <c r="N4251">
        <v>0</v>
      </c>
      <c r="O4251">
        <v>-0.98748219999999998</v>
      </c>
      <c r="P4251">
        <v>-1.101545E-2</v>
      </c>
      <c r="Q4251">
        <v>5.773503E-2</v>
      </c>
      <c r="R4251">
        <v>-0.99827119999999903</v>
      </c>
      <c r="S4251">
        <v>-0.66378780000000004</v>
      </c>
      <c r="T4251">
        <v>-0.1298319</v>
      </c>
      <c r="U4251">
        <v>-3.0042719999999998</v>
      </c>
      <c r="V4251">
        <v>-0.14618889999999901</v>
      </c>
      <c r="W4251">
        <v>7.0887489999999997E-2</v>
      </c>
      <c r="X4251">
        <v>0.98671359999999997</v>
      </c>
      <c r="Y4251">
        <v>5.9427769999999998E-2</v>
      </c>
      <c r="Z4251">
        <v>4.1834240000000002E-2</v>
      </c>
      <c r="AA4251">
        <v>0.99735560000000001</v>
      </c>
      <c r="AB4251">
        <v>32</v>
      </c>
      <c r="AC4251">
        <v>-5.6057999999999799</v>
      </c>
      <c r="AD4251">
        <v>-1.106134186125</v>
      </c>
      <c r="AE4251">
        <v>-25.278199999999998</v>
      </c>
      <c r="AF4251">
        <v>1.5609351349895</v>
      </c>
      <c r="AG4251">
        <v>-1.106134186125</v>
      </c>
      <c r="AH4251">
        <v>25.7979744835229</v>
      </c>
      <c r="AI4251">
        <v>92.450678602633204</v>
      </c>
      <c r="AJ4251">
        <v>86.537476447952997</v>
      </c>
      <c r="AK4251">
        <v>25.868814019700601</v>
      </c>
    </row>
    <row r="4252" spans="1:37" x14ac:dyDescent="0.2">
      <c r="A4252" t="str">
        <f>"20200111153519605"</f>
        <v>20200111153519605</v>
      </c>
      <c r="B4252" t="str">
        <f>"1578728119600409"</f>
        <v>1578728119600409</v>
      </c>
      <c r="C4252" t="s">
        <v>37</v>
      </c>
      <c r="D4252">
        <v>4.6885399999999997</v>
      </c>
      <c r="E4252">
        <v>0.57768299999999995</v>
      </c>
      <c r="F4252" t="s">
        <v>39</v>
      </c>
      <c r="G4252">
        <v>-426.24759999999998</v>
      </c>
      <c r="H4252" s="1">
        <v>-2.7292410000000001E-6</v>
      </c>
      <c r="I4252">
        <v>62.076099999999997</v>
      </c>
      <c r="J4252">
        <v>-420.48759999999999</v>
      </c>
      <c r="K4252">
        <v>1.106141</v>
      </c>
      <c r="L4252">
        <v>88.090909999999994</v>
      </c>
      <c r="M4252">
        <v>-0.15520239999999999</v>
      </c>
      <c r="N4252">
        <v>0</v>
      </c>
      <c r="O4252">
        <v>-0.98778759999999999</v>
      </c>
      <c r="P4252">
        <v>-8.8966749999999997E-3</v>
      </c>
      <c r="Q4252">
        <v>5.8992429999999998E-2</v>
      </c>
      <c r="R4252">
        <v>-0.99821909999999903</v>
      </c>
      <c r="S4252">
        <v>-0.66180419999999995</v>
      </c>
      <c r="T4252">
        <v>-0.12551499999999999</v>
      </c>
      <c r="U4252">
        <v>-3.0051570000000001</v>
      </c>
      <c r="V4252">
        <v>-0.14634839999999999</v>
      </c>
      <c r="W4252">
        <v>7.2141689999999994E-2</v>
      </c>
      <c r="X4252">
        <v>0.98659909999999995</v>
      </c>
      <c r="Y4252">
        <v>6.0699980000000001E-2</v>
      </c>
      <c r="Z4252">
        <v>4.0453990000000002E-2</v>
      </c>
      <c r="AA4252">
        <v>0.997336</v>
      </c>
      <c r="AB4252">
        <v>32</v>
      </c>
      <c r="AC4252">
        <v>-5.75999999999999</v>
      </c>
      <c r="AD4252">
        <v>-1.1061437292409999</v>
      </c>
      <c r="AE4252">
        <v>-26.014810000000001</v>
      </c>
      <c r="AF4252">
        <v>1.6494081828496601</v>
      </c>
      <c r="AG4252">
        <v>-1.1061437292409999</v>
      </c>
      <c r="AH4252">
        <v>26.5478171560151</v>
      </c>
      <c r="AI4252">
        <v>92.381324677457997</v>
      </c>
      <c r="AJ4252">
        <v>86.444799608804701</v>
      </c>
      <c r="AK4252">
        <v>26.621996488854801</v>
      </c>
    </row>
    <row r="4253" spans="1:37" x14ac:dyDescent="0.2">
      <c r="A4253" t="str">
        <f>"20200111153519618"</f>
        <v>20200111153519618</v>
      </c>
      <c r="B4253" t="str">
        <f>"1578728119610170"</f>
        <v>1578728119610170</v>
      </c>
      <c r="C4253" t="s">
        <v>37</v>
      </c>
      <c r="D4253">
        <v>4.6600239999999999</v>
      </c>
      <c r="E4253">
        <v>0.57776830000000001</v>
      </c>
      <c r="F4253" t="s">
        <v>39</v>
      </c>
      <c r="G4253">
        <v>-426.44380000000001</v>
      </c>
      <c r="H4253" s="1">
        <v>-2.2607159999999998E-6</v>
      </c>
      <c r="I4253">
        <v>60.86224</v>
      </c>
      <c r="J4253">
        <v>-420.51729999999998</v>
      </c>
      <c r="K4253">
        <v>1.1061459999999901</v>
      </c>
      <c r="L4253">
        <v>87.897189999999995</v>
      </c>
      <c r="M4253">
        <v>-0.15440390000000001</v>
      </c>
      <c r="N4253">
        <v>0</v>
      </c>
      <c r="O4253">
        <v>-0.98791260000000003</v>
      </c>
      <c r="P4253">
        <v>-7.0415690000000001E-3</v>
      </c>
      <c r="Q4253">
        <v>6.0879460000000003E-2</v>
      </c>
      <c r="R4253">
        <v>-0.99812040000000002</v>
      </c>
      <c r="S4253">
        <v>-0.65771480000000004</v>
      </c>
      <c r="T4253">
        <v>-0.1221454</v>
      </c>
      <c r="U4253">
        <v>-3.0067140000000001</v>
      </c>
      <c r="V4253">
        <v>-0.14737239999999999</v>
      </c>
      <c r="W4253">
        <v>7.4021119999999996E-2</v>
      </c>
      <c r="X4253">
        <v>0.98630739999999995</v>
      </c>
      <c r="Y4253">
        <v>6.011362E-2</v>
      </c>
      <c r="Z4253">
        <v>3.9363629999999997E-2</v>
      </c>
      <c r="AA4253">
        <v>0.9974151</v>
      </c>
      <c r="AB4253">
        <v>32</v>
      </c>
      <c r="AC4253">
        <v>-5.9265000000000301</v>
      </c>
      <c r="AD4253">
        <v>-1.10614826071599</v>
      </c>
      <c r="AE4253">
        <v>-27.034949999999998</v>
      </c>
      <c r="AF4253">
        <v>1.6780400502224799</v>
      </c>
      <c r="AG4253">
        <v>-1.10614826071599</v>
      </c>
      <c r="AH4253">
        <v>27.5817843547091</v>
      </c>
      <c r="AI4253">
        <v>92.292342715407401</v>
      </c>
      <c r="AJ4253">
        <v>86.518490149899094</v>
      </c>
      <c r="AK4253">
        <v>27.654912955467999</v>
      </c>
    </row>
    <row r="4254" spans="1:37" x14ac:dyDescent="0.2">
      <c r="A4254" t="str">
        <f>"20200111153519638"</f>
        <v>20200111153519638</v>
      </c>
      <c r="B4254" t="str">
        <f>"1578728119630670"</f>
        <v>1578728119630670</v>
      </c>
      <c r="C4254" t="s">
        <v>37</v>
      </c>
      <c r="D4254">
        <v>4.7021519999999999</v>
      </c>
      <c r="E4254">
        <v>0.57802549999999997</v>
      </c>
      <c r="F4254" t="s">
        <v>39</v>
      </c>
      <c r="G4254">
        <v>-426.71019999999999</v>
      </c>
      <c r="H4254" s="1">
        <v>-5.3891260000000001E-6</v>
      </c>
      <c r="I4254">
        <v>59.325299999999999</v>
      </c>
      <c r="J4254">
        <v>-420.55959999999999</v>
      </c>
      <c r="K4254">
        <v>1.1061510000000001</v>
      </c>
      <c r="L4254">
        <v>87.618840000000006</v>
      </c>
      <c r="M4254">
        <v>-0.1532539</v>
      </c>
      <c r="N4254">
        <v>0</v>
      </c>
      <c r="O4254">
        <v>-0.98809179999999996</v>
      </c>
      <c r="P4254">
        <v>-5.6233659999999899E-3</v>
      </c>
      <c r="Q4254">
        <v>6.1583110000000003E-2</v>
      </c>
      <c r="R4254">
        <v>-0.99808660000000005</v>
      </c>
      <c r="S4254">
        <v>-0.65200809999999998</v>
      </c>
      <c r="T4254">
        <v>-0.11645949999999999</v>
      </c>
      <c r="U4254">
        <v>-3.0081479999999998</v>
      </c>
      <c r="V4254">
        <v>-0.14762139999999899</v>
      </c>
      <c r="W4254">
        <v>7.4721070000000001E-2</v>
      </c>
      <c r="X4254">
        <v>0.98621740000000002</v>
      </c>
      <c r="Y4254">
        <v>5.9384670000000001E-2</v>
      </c>
      <c r="Z4254">
        <v>3.7534949999999997E-2</v>
      </c>
      <c r="AA4254">
        <v>0.99752929999999995</v>
      </c>
      <c r="AB4254">
        <v>32</v>
      </c>
      <c r="AC4254">
        <v>-6.1505999999999901</v>
      </c>
      <c r="AD4254">
        <v>-1.106156389126</v>
      </c>
      <c r="AE4254">
        <v>-28.29354</v>
      </c>
      <c r="AF4254">
        <v>1.73888772028939</v>
      </c>
      <c r="AG4254">
        <v>-1.106156389126</v>
      </c>
      <c r="AH4254">
        <v>28.859811827822199</v>
      </c>
      <c r="AI4254">
        <v>92.191023294507701</v>
      </c>
      <c r="AJ4254">
        <v>86.551931010309303</v>
      </c>
      <c r="AK4254">
        <v>28.9333034961147</v>
      </c>
    </row>
    <row r="4255" spans="1:37" x14ac:dyDescent="0.2">
      <c r="A4255" t="str">
        <f>"20200111153519661"</f>
        <v>20200111153519661</v>
      </c>
      <c r="B4255" t="str">
        <f>"1578728119650186"</f>
        <v>1578728119650186</v>
      </c>
      <c r="C4255" t="s">
        <v>37</v>
      </c>
      <c r="D4255">
        <v>4.6954919999999998</v>
      </c>
      <c r="E4255">
        <v>0.57823899999999995</v>
      </c>
      <c r="F4255" t="s">
        <v>39</v>
      </c>
      <c r="G4255">
        <v>-426.74950000000001</v>
      </c>
      <c r="H4255" s="1">
        <v>-5.2759239999999902E-6</v>
      </c>
      <c r="I4255">
        <v>58.972169999999998</v>
      </c>
      <c r="J4255">
        <v>-420.60680000000002</v>
      </c>
      <c r="K4255">
        <v>1.10616</v>
      </c>
      <c r="L4255">
        <v>87.305509999999998</v>
      </c>
      <c r="M4255">
        <v>-0.15194569999999999</v>
      </c>
      <c r="N4255">
        <v>0</v>
      </c>
      <c r="O4255">
        <v>-0.9882938</v>
      </c>
      <c r="P4255">
        <v>-4.0420909999999899E-3</v>
      </c>
      <c r="Q4255">
        <v>6.158044E-2</v>
      </c>
      <c r="R4255">
        <v>-0.99809419999999904</v>
      </c>
      <c r="S4255">
        <v>-0.65023799999999998</v>
      </c>
      <c r="T4255">
        <v>-0.1161996</v>
      </c>
      <c r="U4255">
        <v>-3.009277</v>
      </c>
      <c r="V4255">
        <v>-0.1478797</v>
      </c>
      <c r="W4255">
        <v>7.4713479999999999E-2</v>
      </c>
      <c r="X4255">
        <v>0.98617919999999903</v>
      </c>
      <c r="Y4255">
        <v>6.0068879999999998E-2</v>
      </c>
      <c r="Z4255">
        <v>3.7450530000000003E-2</v>
      </c>
      <c r="AA4255">
        <v>0.99749140000000003</v>
      </c>
      <c r="AB4255">
        <v>32</v>
      </c>
      <c r="AC4255">
        <v>-6.1426999999999898</v>
      </c>
      <c r="AD4255">
        <v>-1.1061652759239999</v>
      </c>
      <c r="AE4255">
        <v>-28.33334</v>
      </c>
      <c r="AF4255">
        <v>1.76326209857754</v>
      </c>
      <c r="AG4255">
        <v>-1.1061652759239999</v>
      </c>
      <c r="AH4255">
        <v>28.895673654093699</v>
      </c>
      <c r="AI4255">
        <v>92.188222735562107</v>
      </c>
      <c r="AJ4255">
        <v>86.5080461428512</v>
      </c>
      <c r="AK4255">
        <v>28.9705479887735</v>
      </c>
    </row>
    <row r="4256" spans="1:37" x14ac:dyDescent="0.2">
      <c r="A4256" t="str">
        <f>"20200111153519683"</f>
        <v>20200111153519683</v>
      </c>
      <c r="B4256" t="str">
        <f>"1578728119680097"</f>
        <v>1578728119680097</v>
      </c>
      <c r="C4256" t="s">
        <v>37</v>
      </c>
      <c r="D4256">
        <v>4.8479320000000001</v>
      </c>
      <c r="E4256">
        <v>0.57847090000000001</v>
      </c>
      <c r="F4256" t="s">
        <v>39</v>
      </c>
      <c r="G4256">
        <v>-426.6354</v>
      </c>
      <c r="H4256" s="1">
        <v>-5.3450849999999997E-6</v>
      </c>
      <c r="I4256">
        <v>59.234850000000002</v>
      </c>
      <c r="J4256">
        <v>-420.65359999999998</v>
      </c>
      <c r="K4256">
        <v>1.106171</v>
      </c>
      <c r="L4256">
        <v>86.991759999999999</v>
      </c>
      <c r="M4256">
        <v>-0.150611299999999</v>
      </c>
      <c r="N4256">
        <v>0</v>
      </c>
      <c r="O4256">
        <v>-0.98849789999999904</v>
      </c>
      <c r="P4256">
        <v>-2.0643770000000001E-3</v>
      </c>
      <c r="Q4256">
        <v>6.158599E-2</v>
      </c>
      <c r="R4256">
        <v>-0.99809979999999998</v>
      </c>
      <c r="S4256">
        <v>-0.64654540000000005</v>
      </c>
      <c r="T4256">
        <v>-0.11863070000000001</v>
      </c>
      <c r="U4256">
        <v>-3.010437</v>
      </c>
      <c r="V4256">
        <v>-0.1485051</v>
      </c>
      <c r="W4256">
        <v>7.4709670000000006E-2</v>
      </c>
      <c r="X4256">
        <v>0.98608549999999995</v>
      </c>
      <c r="Y4256">
        <v>6.0161599999999898E-2</v>
      </c>
      <c r="Z4256">
        <v>3.8235110000000003E-2</v>
      </c>
      <c r="AA4256">
        <v>0.99745609999999996</v>
      </c>
      <c r="AB4256">
        <v>32</v>
      </c>
      <c r="AC4256">
        <v>-5.9818000000000202</v>
      </c>
      <c r="AD4256">
        <v>-1.106176345085</v>
      </c>
      <c r="AE4256">
        <v>-27.756909999999898</v>
      </c>
      <c r="AF4256">
        <v>1.73002974002187</v>
      </c>
      <c r="AG4256">
        <v>-1.106176345085</v>
      </c>
      <c r="AH4256">
        <v>28.298291273082299</v>
      </c>
      <c r="AI4256">
        <v>92.234377079241597</v>
      </c>
      <c r="AJ4256">
        <v>86.501548981430503</v>
      </c>
      <c r="AK4256">
        <v>28.372696699185799</v>
      </c>
    </row>
    <row r="4257" spans="1:37" x14ac:dyDescent="0.2">
      <c r="A4257" t="str">
        <f>"20200111153519705"</f>
        <v>20200111153519705</v>
      </c>
      <c r="B4257" t="str">
        <f>"1578728119700589"</f>
        <v>1578728119700589</v>
      </c>
      <c r="C4257" t="s">
        <v>37</v>
      </c>
      <c r="D4257">
        <v>4.654191</v>
      </c>
      <c r="E4257">
        <v>0.53640880000000002</v>
      </c>
      <c r="F4257" t="s">
        <v>39</v>
      </c>
      <c r="G4257">
        <v>-426.47750000000002</v>
      </c>
      <c r="H4257" s="1">
        <v>-1.76835E-6</v>
      </c>
      <c r="I4257">
        <v>59.693640000000002</v>
      </c>
      <c r="J4257">
        <v>-420.69959999999998</v>
      </c>
      <c r="K4257">
        <v>1.1061859999999999</v>
      </c>
      <c r="L4257">
        <v>86.679599999999994</v>
      </c>
      <c r="M4257">
        <v>-0.14925769999999999</v>
      </c>
      <c r="N4257">
        <v>0</v>
      </c>
      <c r="O4257">
        <v>-0.98870319999999901</v>
      </c>
      <c r="P4257">
        <v>1.602583E-4</v>
      </c>
      <c r="Q4257">
        <v>6.0773099999999997E-2</v>
      </c>
      <c r="R4257">
        <v>-0.99815149999999997</v>
      </c>
      <c r="S4257">
        <v>-0.64257810000000004</v>
      </c>
      <c r="T4257">
        <v>-0.12204809999999899</v>
      </c>
      <c r="U4257">
        <v>-3.0119020000000001</v>
      </c>
      <c r="V4257">
        <v>-0.14936199999999999</v>
      </c>
      <c r="W4257">
        <v>7.3885599999999996E-2</v>
      </c>
      <c r="X4257">
        <v>0.98601819999999896</v>
      </c>
      <c r="Y4257">
        <v>6.016341E-2</v>
      </c>
      <c r="Z4257">
        <v>3.9333699999999999E-2</v>
      </c>
      <c r="AA4257">
        <v>0.99741329999999995</v>
      </c>
      <c r="AB4257">
        <v>32</v>
      </c>
      <c r="AC4257">
        <v>-5.7779000000000398</v>
      </c>
      <c r="AD4257">
        <v>-1.1061877683500001</v>
      </c>
      <c r="AE4257">
        <v>-26.985959999999899</v>
      </c>
      <c r="AF4257">
        <v>1.6822216822537499</v>
      </c>
      <c r="AG4257">
        <v>-1.1061877683500001</v>
      </c>
      <c r="AH4257">
        <v>27.501906811009601</v>
      </c>
      <c r="AI4257">
        <v>92.299029682558199</v>
      </c>
      <c r="AJ4257">
        <v>86.499723943431206</v>
      </c>
      <c r="AK4257">
        <v>27.575503611150001</v>
      </c>
    </row>
    <row r="4258" spans="1:37" x14ac:dyDescent="0.2">
      <c r="A4258" t="str">
        <f>"20200111153519727"</f>
        <v>20200111153519727</v>
      </c>
      <c r="B4258" t="str">
        <f>"1578728119720113"</f>
        <v>1578728119720113</v>
      </c>
      <c r="C4258" t="s">
        <v>37</v>
      </c>
      <c r="D4258">
        <v>4.7366989999999998</v>
      </c>
      <c r="E4258">
        <v>0.51581980000000005</v>
      </c>
      <c r="F4258" t="s">
        <v>39</v>
      </c>
      <c r="G4258">
        <v>-422.71510000000001</v>
      </c>
      <c r="H4258" s="1">
        <v>-3.6886359999999999E-6</v>
      </c>
      <c r="I4258">
        <v>66.503460000000004</v>
      </c>
      <c r="J4258">
        <v>-420.74520000000001</v>
      </c>
      <c r="K4258">
        <v>1.1062099999999999</v>
      </c>
      <c r="L4258">
        <v>86.367310000000003</v>
      </c>
      <c r="M4258">
        <v>-0.1478575</v>
      </c>
      <c r="N4258">
        <v>0</v>
      </c>
      <c r="O4258">
        <v>-0.98891359999999995</v>
      </c>
      <c r="P4258">
        <v>1.787943E-3</v>
      </c>
      <c r="Q4258">
        <v>6.0024019999999997E-2</v>
      </c>
      <c r="R4258">
        <v>-0.99819539999999995</v>
      </c>
      <c r="S4258">
        <v>-0.30123899999999998</v>
      </c>
      <c r="T4258">
        <v>-0.16533819999999999</v>
      </c>
      <c r="U4258">
        <v>-3.0156559999999999</v>
      </c>
      <c r="V4258">
        <v>-0.14958389999999999</v>
      </c>
      <c r="W4258">
        <v>7.3124239999999993E-2</v>
      </c>
      <c r="X4258">
        <v>0.98604130000000001</v>
      </c>
      <c r="Y4258">
        <v>-4.8979590000000003E-2</v>
      </c>
      <c r="Z4258">
        <v>5.3678599999999903E-2</v>
      </c>
      <c r="AA4258">
        <v>0.99735629999999997</v>
      </c>
      <c r="AB4258">
        <v>32</v>
      </c>
      <c r="AC4258">
        <v>-1.96989999999999</v>
      </c>
      <c r="AD4258">
        <v>-1.1062136886359999</v>
      </c>
      <c r="AE4258">
        <v>-19.863849999999999</v>
      </c>
      <c r="AF4258">
        <v>-0.98602307742374695</v>
      </c>
      <c r="AG4258">
        <v>-1.1062136886359999</v>
      </c>
      <c r="AH4258">
        <v>19.8757292308531</v>
      </c>
      <c r="AI4258">
        <v>93.181691695835895</v>
      </c>
      <c r="AJ4258">
        <v>92.840081088398804</v>
      </c>
      <c r="AK4258">
        <v>19.9308946786722</v>
      </c>
    </row>
    <row r="4259" spans="1:37" x14ac:dyDescent="0.2">
      <c r="A4259" t="str">
        <f>"20200111153519749"</f>
        <v>20200111153519749</v>
      </c>
      <c r="B4259" t="str">
        <f>"1578728119740606"</f>
        <v>1578728119740606</v>
      </c>
      <c r="C4259" t="s">
        <v>37</v>
      </c>
      <c r="D4259">
        <v>4.8404099999999897</v>
      </c>
      <c r="E4259">
        <v>0.50257419999999997</v>
      </c>
      <c r="F4259" t="s">
        <v>39</v>
      </c>
      <c r="G4259">
        <v>-421.827</v>
      </c>
      <c r="H4259" s="1">
        <v>-1.2586309999999999E-6</v>
      </c>
      <c r="I4259">
        <v>61.38984</v>
      </c>
      <c r="J4259">
        <v>-420.78930000000003</v>
      </c>
      <c r="K4259">
        <v>1.106255</v>
      </c>
      <c r="L4259">
        <v>86.062159999999906</v>
      </c>
      <c r="M4259">
        <v>-0.14642069999999999</v>
      </c>
      <c r="N4259">
        <v>0</v>
      </c>
      <c r="O4259">
        <v>-0.98912749999999905</v>
      </c>
      <c r="P4259">
        <v>2.51395E-3</v>
      </c>
      <c r="Q4259">
        <v>6.0194129999999998E-2</v>
      </c>
      <c r="R4259">
        <v>-0.99818359999999995</v>
      </c>
      <c r="S4259">
        <v>-0.13052369999999999</v>
      </c>
      <c r="T4259">
        <v>-0.13347049999999999</v>
      </c>
      <c r="U4259">
        <v>-3.0136720000000001</v>
      </c>
      <c r="V4259">
        <v>-0.14887449999999999</v>
      </c>
      <c r="W4259">
        <v>7.3281180000000001E-2</v>
      </c>
      <c r="X4259">
        <v>0.98613700000000004</v>
      </c>
      <c r="Y4259">
        <v>-0.10353469999999999</v>
      </c>
      <c r="Z4259">
        <v>4.3391430000000002E-2</v>
      </c>
      <c r="AA4259">
        <v>0.99367890000000003</v>
      </c>
      <c r="AB4259">
        <v>32</v>
      </c>
      <c r="AC4259">
        <v>-1.0376999999999701</v>
      </c>
      <c r="AD4259">
        <v>-1.1062562586310001</v>
      </c>
      <c r="AE4259">
        <v>-24.6723199999999</v>
      </c>
      <c r="AF4259">
        <v>-2.5811834315679798</v>
      </c>
      <c r="AG4259">
        <v>-1.1062562586310001</v>
      </c>
      <c r="AH4259">
        <v>24.509129527550598</v>
      </c>
      <c r="AI4259">
        <v>92.570181905947905</v>
      </c>
      <c r="AJ4259">
        <v>96.011954025082403</v>
      </c>
      <c r="AK4259">
        <v>24.669490084219699</v>
      </c>
    </row>
    <row r="4260" spans="1:37" x14ac:dyDescent="0.2">
      <c r="A4260" t="str">
        <f>"20200111153519772"</f>
        <v>20200111153519772</v>
      </c>
      <c r="B4260" t="str">
        <f>"1578728119760126"</f>
        <v>1578728119760126</v>
      </c>
      <c r="C4260" t="s">
        <v>37</v>
      </c>
      <c r="D4260">
        <v>4.7502899999999997</v>
      </c>
      <c r="E4260">
        <v>0.49592720000000001</v>
      </c>
      <c r="F4260" t="s">
        <v>39</v>
      </c>
      <c r="G4260">
        <v>-420.98899999999998</v>
      </c>
      <c r="H4260" s="1">
        <v>-4.15523E-6</v>
      </c>
      <c r="I4260">
        <v>58.68159</v>
      </c>
      <c r="J4260">
        <v>-420.83449999999999</v>
      </c>
      <c r="K4260">
        <v>1.1063129999999901</v>
      </c>
      <c r="L4260">
        <v>85.745639999999995</v>
      </c>
      <c r="M4260">
        <v>-0.14483889999999999</v>
      </c>
      <c r="N4260">
        <v>0</v>
      </c>
      <c r="O4260">
        <v>-0.98936019999999902</v>
      </c>
      <c r="P4260">
        <v>3.7381879999999999E-3</v>
      </c>
      <c r="Q4260">
        <v>6.0815769999999998E-2</v>
      </c>
      <c r="R4260">
        <v>-0.99814210000000003</v>
      </c>
      <c r="S4260">
        <v>-2.1972660000000001E-2</v>
      </c>
      <c r="T4260">
        <v>-0.1217283</v>
      </c>
      <c r="U4260">
        <v>-3.012848</v>
      </c>
      <c r="V4260">
        <v>-0.1485148</v>
      </c>
      <c r="W4260">
        <v>7.3880360000000006E-2</v>
      </c>
      <c r="X4260">
        <v>0.98614659999999998</v>
      </c>
      <c r="Y4260">
        <v>-0.13763800000000001</v>
      </c>
      <c r="Z4260">
        <v>3.953914E-2</v>
      </c>
      <c r="AA4260">
        <v>0.98969309999999999</v>
      </c>
      <c r="AB4260">
        <v>32</v>
      </c>
      <c r="AC4260">
        <v>-0.15450000000004099</v>
      </c>
      <c r="AD4260">
        <v>-1.10631715523</v>
      </c>
      <c r="AE4260">
        <v>-27.064050000000002</v>
      </c>
      <c r="AF4260">
        <v>-3.76114077858219</v>
      </c>
      <c r="AG4260">
        <v>-1.10631715523</v>
      </c>
      <c r="AH4260">
        <v>26.756284105245701</v>
      </c>
      <c r="AI4260">
        <v>92.344687469012698</v>
      </c>
      <c r="AJ4260">
        <v>98.001659510108894</v>
      </c>
      <c r="AK4260">
        <v>27.0419832246988</v>
      </c>
    </row>
    <row r="4261" spans="1:37" x14ac:dyDescent="0.2">
      <c r="A4261" t="str">
        <f>"20200111153519795"</f>
        <v>20200111153519795</v>
      </c>
      <c r="B4261" t="str">
        <f>"1578728119790381"</f>
        <v>1578728119790381</v>
      </c>
      <c r="C4261" t="s">
        <v>37</v>
      </c>
      <c r="D4261">
        <v>4.7128199999999998</v>
      </c>
      <c r="E4261">
        <v>0.49207299999999998</v>
      </c>
      <c r="F4261" t="s">
        <v>39</v>
      </c>
      <c r="G4261">
        <v>-420.48750000000001</v>
      </c>
      <c r="H4261" s="1">
        <v>-2.895047E-6</v>
      </c>
      <c r="I4261">
        <v>56.035179999999997</v>
      </c>
      <c r="J4261">
        <v>-420.87869999999998</v>
      </c>
      <c r="K4261">
        <v>1.1064020000000001</v>
      </c>
      <c r="L4261">
        <v>85.431880000000007</v>
      </c>
      <c r="M4261">
        <v>-0.14315929999999999</v>
      </c>
      <c r="N4261">
        <v>0</v>
      </c>
      <c r="O4261">
        <v>-0.989604699999999</v>
      </c>
      <c r="P4261">
        <v>4.7863050000000002E-3</v>
      </c>
      <c r="Q4261">
        <v>6.0971030000000002E-2</v>
      </c>
      <c r="R4261">
        <v>-0.99812809999999896</v>
      </c>
      <c r="S4261">
        <v>3.5186769999999999E-2</v>
      </c>
      <c r="T4261">
        <v>-0.1121677</v>
      </c>
      <c r="U4261">
        <v>-3.0122990000000001</v>
      </c>
      <c r="V4261">
        <v>-0.147889299999999</v>
      </c>
      <c r="W4261">
        <v>7.4009690000000003E-2</v>
      </c>
      <c r="X4261">
        <v>0.98623090000000002</v>
      </c>
      <c r="Y4261">
        <v>-0.1547145</v>
      </c>
      <c r="Z4261">
        <v>3.641047E-2</v>
      </c>
      <c r="AA4261">
        <v>0.987288099999999</v>
      </c>
      <c r="AB4261">
        <v>32</v>
      </c>
      <c r="AC4261">
        <v>0.39119999999996902</v>
      </c>
      <c r="AD4261">
        <v>-1.106404895047</v>
      </c>
      <c r="AE4261">
        <v>-29.396699999999999</v>
      </c>
      <c r="AF4261">
        <v>-4.5894762279190999</v>
      </c>
      <c r="AG4261">
        <v>-1.106404895047</v>
      </c>
      <c r="AH4261">
        <v>28.996769545849801</v>
      </c>
      <c r="AI4261">
        <v>92.158285329487498</v>
      </c>
      <c r="AJ4261">
        <v>98.993907026831295</v>
      </c>
      <c r="AK4261">
        <v>29.378564769803599</v>
      </c>
    </row>
    <row r="4262" spans="1:37" x14ac:dyDescent="0.2">
      <c r="A4262" t="str">
        <f>"20200111153519817"</f>
        <v>20200111153519817</v>
      </c>
      <c r="B4262" t="str">
        <f>"1578728119809901"</f>
        <v>1578728119809901</v>
      </c>
      <c r="C4262" t="s">
        <v>37</v>
      </c>
      <c r="D4262">
        <v>4.723471</v>
      </c>
      <c r="E4262">
        <v>0.49092349999999901</v>
      </c>
      <c r="F4262" t="s">
        <v>39</v>
      </c>
      <c r="G4262">
        <v>-420.1361</v>
      </c>
      <c r="H4262" s="1">
        <v>-1.7189740000000001E-6</v>
      </c>
      <c r="I4262">
        <v>53.511669999999903</v>
      </c>
      <c r="J4262">
        <v>-420.92239999999998</v>
      </c>
      <c r="K4262">
        <v>1.106501</v>
      </c>
      <c r="L4262">
        <v>85.116699999999994</v>
      </c>
      <c r="M4262">
        <v>-0.141345</v>
      </c>
      <c r="N4262">
        <v>0</v>
      </c>
      <c r="O4262">
        <v>-0.98986549999999995</v>
      </c>
      <c r="P4262">
        <v>6.4072399999999998E-3</v>
      </c>
      <c r="Q4262">
        <v>6.1884130000000002E-2</v>
      </c>
      <c r="R4262">
        <v>-0.99806309999999998</v>
      </c>
      <c r="S4262">
        <v>7.0068359999999996E-2</v>
      </c>
      <c r="T4262">
        <v>-0.1043887</v>
      </c>
      <c r="U4262">
        <v>-3.0116580000000002</v>
      </c>
      <c r="V4262">
        <v>-0.1476953</v>
      </c>
      <c r="W4262">
        <v>7.4889410000000003E-2</v>
      </c>
      <c r="X4262">
        <v>0.98619349999999995</v>
      </c>
      <c r="Y4262">
        <v>-0.1643319</v>
      </c>
      <c r="Z4262">
        <v>3.3878730000000003E-2</v>
      </c>
      <c r="AA4262">
        <v>0.98582320000000001</v>
      </c>
      <c r="AB4262">
        <v>32</v>
      </c>
      <c r="AC4262">
        <v>0.78629999999998201</v>
      </c>
      <c r="AD4262">
        <v>-1.106502718974</v>
      </c>
      <c r="AE4262">
        <v>-31.605029999999999</v>
      </c>
      <c r="AF4262">
        <v>-5.2396186997261296</v>
      </c>
      <c r="AG4262">
        <v>-1.106502718974</v>
      </c>
      <c r="AH4262">
        <v>31.1383747224152</v>
      </c>
      <c r="AI4262">
        <v>92.006959204374695</v>
      </c>
      <c r="AJ4262">
        <v>99.551616590329004</v>
      </c>
      <c r="AK4262">
        <v>31.595511275166299</v>
      </c>
    </row>
    <row r="4263" spans="1:37" x14ac:dyDescent="0.2">
      <c r="A4263" t="str">
        <f>"20200111153519840"</f>
        <v>20200111153519840</v>
      </c>
      <c r="B4263" t="str">
        <f>"1578728119830397"</f>
        <v>1578728119830397</v>
      </c>
      <c r="C4263" t="s">
        <v>37</v>
      </c>
      <c r="D4263">
        <v>4.7170680000000003</v>
      </c>
      <c r="E4263">
        <v>0.49022539999999998</v>
      </c>
      <c r="F4263" t="s">
        <v>39</v>
      </c>
      <c r="G4263">
        <v>-419.97550000000001</v>
      </c>
      <c r="H4263" s="1">
        <v>-7.6328309999999996E-7</v>
      </c>
      <c r="I4263">
        <v>51.38353</v>
      </c>
      <c r="J4263">
        <v>-420.96409999999997</v>
      </c>
      <c r="K4263">
        <v>1.1066049999999901</v>
      </c>
      <c r="L4263">
        <v>84.810819999999893</v>
      </c>
      <c r="M4263">
        <v>-0.13944699999999999</v>
      </c>
      <c r="N4263">
        <v>0</v>
      </c>
      <c r="O4263">
        <v>-0.99013449999999903</v>
      </c>
      <c r="P4263">
        <v>8.5417269999999903E-3</v>
      </c>
      <c r="Q4263">
        <v>6.2174970000000003E-2</v>
      </c>
      <c r="R4263">
        <v>-0.99802860000000004</v>
      </c>
      <c r="S4263">
        <v>8.4533689999999995E-2</v>
      </c>
      <c r="T4263">
        <v>-9.8779199999999998E-2</v>
      </c>
      <c r="U4263">
        <v>-3.0114139999999998</v>
      </c>
      <c r="V4263">
        <v>-0.1479308</v>
      </c>
      <c r="W4263">
        <v>7.514332E-2</v>
      </c>
      <c r="X4263">
        <v>0.98613890000000004</v>
      </c>
      <c r="Y4263">
        <v>-0.16717589999999999</v>
      </c>
      <c r="Z4263">
        <v>3.2066169999999998E-2</v>
      </c>
      <c r="AA4263">
        <v>0.98540550000000005</v>
      </c>
      <c r="AB4263">
        <v>32</v>
      </c>
      <c r="AC4263">
        <v>0.98859999999996195</v>
      </c>
      <c r="AD4263">
        <v>-1.1066057632830999</v>
      </c>
      <c r="AE4263">
        <v>-33.4272899999999</v>
      </c>
      <c r="AF4263">
        <v>-5.6345434298252597</v>
      </c>
      <c r="AG4263">
        <v>-1.1066057632830999</v>
      </c>
      <c r="AH4263">
        <v>32.926703922254298</v>
      </c>
      <c r="AI4263">
        <v>91.897321987466199</v>
      </c>
      <c r="AJ4263">
        <v>99.710615335758007</v>
      </c>
      <c r="AK4263">
        <v>33.423651613217103</v>
      </c>
    </row>
    <row r="4264" spans="1:37" x14ac:dyDescent="0.2">
      <c r="A4264" t="str">
        <f>"20200111153519861"</f>
        <v>20200111153519861</v>
      </c>
      <c r="B4264" t="str">
        <f>"1578728119849917"</f>
        <v>1578728119849917</v>
      </c>
      <c r="C4264" t="s">
        <v>37</v>
      </c>
      <c r="D4264">
        <v>4.6929030000000003</v>
      </c>
      <c r="E4264">
        <v>0.48952669999999998</v>
      </c>
      <c r="F4264" t="s">
        <v>39</v>
      </c>
      <c r="G4264">
        <v>-419.84219999999999</v>
      </c>
      <c r="H4264" s="1">
        <v>-1.8979589999999899E-7</v>
      </c>
      <c r="I4264">
        <v>50.009920000000001</v>
      </c>
      <c r="J4264">
        <v>-421.00540000000001</v>
      </c>
      <c r="K4264">
        <v>1.1067089999999999</v>
      </c>
      <c r="L4264">
        <v>84.502319999999997</v>
      </c>
      <c r="M4264">
        <v>-0.13739319999999999</v>
      </c>
      <c r="N4264">
        <v>0</v>
      </c>
      <c r="O4264">
        <v>-0.99042149999999995</v>
      </c>
      <c r="P4264">
        <v>1.060521E-2</v>
      </c>
      <c r="Q4264">
        <v>6.2487769999999998E-2</v>
      </c>
      <c r="R4264">
        <v>-0.99798940000000003</v>
      </c>
      <c r="S4264">
        <v>9.7076419999999997E-2</v>
      </c>
      <c r="T4264">
        <v>-9.5745800000000006E-2</v>
      </c>
      <c r="U4264">
        <v>-3.011047</v>
      </c>
      <c r="V4264">
        <v>-0.147942299999999</v>
      </c>
      <c r="W4264">
        <v>7.5420039999999994E-2</v>
      </c>
      <c r="X4264">
        <v>0.98611610000000005</v>
      </c>
      <c r="Y4264">
        <v>-0.16923629999999901</v>
      </c>
      <c r="Z4264">
        <v>3.1092359999999999E-2</v>
      </c>
      <c r="AA4264">
        <v>0.98508499999999999</v>
      </c>
      <c r="AB4264">
        <v>32</v>
      </c>
      <c r="AC4264">
        <v>1.16320000000001</v>
      </c>
      <c r="AD4264">
        <v>-1.1067091897958901</v>
      </c>
      <c r="AE4264">
        <v>-34.492400000000004</v>
      </c>
      <c r="AF4264">
        <v>-5.8855821653985902</v>
      </c>
      <c r="AG4264">
        <v>-1.1067091897958901</v>
      </c>
      <c r="AH4264">
        <v>33.970469196040497</v>
      </c>
      <c r="AI4264">
        <v>91.838582743925997</v>
      </c>
      <c r="AJ4264">
        <v>99.829253357686099</v>
      </c>
      <c r="AK4264">
        <v>34.494313445198102</v>
      </c>
    </row>
    <row r="4265" spans="1:37" x14ac:dyDescent="0.2">
      <c r="A4265" t="str">
        <f>"20200111153519884"</f>
        <v>20200111153519884</v>
      </c>
      <c r="B4265" t="str">
        <f>"1578728119880174"</f>
        <v>1578728119880174</v>
      </c>
      <c r="C4265" t="s">
        <v>37</v>
      </c>
      <c r="D4265">
        <v>4.7177040000000003</v>
      </c>
      <c r="E4265">
        <v>0.48870920000000001</v>
      </c>
      <c r="F4265" t="s">
        <v>39</v>
      </c>
      <c r="G4265">
        <v>-419.74720000000002</v>
      </c>
      <c r="H4265" s="1">
        <v>-1.04866899999999E-7</v>
      </c>
      <c r="I4265">
        <v>49.75853</v>
      </c>
      <c r="J4265">
        <v>-421.0462</v>
      </c>
      <c r="K4265">
        <v>1.1067959999999999</v>
      </c>
      <c r="L4265">
        <v>84.191410000000005</v>
      </c>
      <c r="M4265">
        <v>-0.135215</v>
      </c>
      <c r="N4265">
        <v>0</v>
      </c>
      <c r="O4265">
        <v>-0.99072130000000003</v>
      </c>
      <c r="P4265">
        <v>1.211024E-2</v>
      </c>
      <c r="Q4265">
        <v>6.2391750000000003E-2</v>
      </c>
      <c r="R4265">
        <v>-0.99797809999999898</v>
      </c>
      <c r="S4265">
        <v>0.10903930000000001</v>
      </c>
      <c r="T4265">
        <v>-9.5907329999999999E-2</v>
      </c>
      <c r="U4265">
        <v>-3.0108950000000001</v>
      </c>
      <c r="V4265">
        <v>-0.147277399999999</v>
      </c>
      <c r="W4265">
        <v>7.52969E-2</v>
      </c>
      <c r="X4265">
        <v>0.98622500000000002</v>
      </c>
      <c r="Y4265">
        <v>-0.17097970000000001</v>
      </c>
      <c r="Z4265">
        <v>3.1153719999999999E-2</v>
      </c>
      <c r="AA4265">
        <v>0.98478189999999999</v>
      </c>
      <c r="AB4265">
        <v>32</v>
      </c>
      <c r="AC4265">
        <v>1.29899999999997</v>
      </c>
      <c r="AD4265">
        <v>-1.1067961048668999</v>
      </c>
      <c r="AE4265">
        <v>-34.432879999999997</v>
      </c>
      <c r="AF4265">
        <v>-5.9372224828281803</v>
      </c>
      <c r="AG4265">
        <v>-1.1067961048668999</v>
      </c>
      <c r="AH4265">
        <v>33.905955324715102</v>
      </c>
      <c r="AI4265">
        <v>91.841646722966203</v>
      </c>
      <c r="AJ4265">
        <v>99.932279728987595</v>
      </c>
      <c r="AK4265">
        <v>34.439648879016197</v>
      </c>
    </row>
    <row r="4266" spans="1:37" x14ac:dyDescent="0.2">
      <c r="A4266" t="str">
        <f>"20200111153519899"</f>
        <v>20200111153519899</v>
      </c>
      <c r="B4266" t="str">
        <f>"1578728119889934"</f>
        <v>1578728119889934</v>
      </c>
      <c r="C4266" t="s">
        <v>37</v>
      </c>
      <c r="D4266">
        <v>4.6802720000000004</v>
      </c>
      <c r="E4266">
        <v>0.48861559999999998</v>
      </c>
      <c r="F4266" t="s">
        <v>39</v>
      </c>
      <c r="G4266">
        <v>-419.695999999999</v>
      </c>
      <c r="H4266" s="1">
        <v>-3.7123900000000001E-7</v>
      </c>
      <c r="I4266">
        <v>50.372409999999903</v>
      </c>
      <c r="J4266">
        <v>-421.07369999999997</v>
      </c>
      <c r="K4266">
        <v>1.1068480000000001</v>
      </c>
      <c r="L4266">
        <v>83.978939999999994</v>
      </c>
      <c r="M4266">
        <v>-0.1336793</v>
      </c>
      <c r="N4266">
        <v>0</v>
      </c>
      <c r="O4266">
        <v>-0.99092979999999997</v>
      </c>
      <c r="P4266">
        <v>1.324678E-2</v>
      </c>
      <c r="Q4266">
        <v>6.2186169999999999E-2</v>
      </c>
      <c r="R4266">
        <v>-0.9979768</v>
      </c>
      <c r="S4266">
        <v>0.1202087</v>
      </c>
      <c r="T4266">
        <v>-9.8533750000000003E-2</v>
      </c>
      <c r="U4266">
        <v>-3.0107729999999999</v>
      </c>
      <c r="V4266">
        <v>-0.14688289999999901</v>
      </c>
      <c r="W4266">
        <v>7.5074379999999996E-2</v>
      </c>
      <c r="X4266">
        <v>0.98630079999999998</v>
      </c>
      <c r="Y4266">
        <v>-0.17310049999999999</v>
      </c>
      <c r="Z4266">
        <v>3.2009139999999998E-2</v>
      </c>
      <c r="AA4266">
        <v>0.98438389999999998</v>
      </c>
      <c r="AB4266">
        <v>31</v>
      </c>
      <c r="AC4266">
        <v>1.3776999999999999</v>
      </c>
      <c r="AD4266">
        <v>-1.106848371239</v>
      </c>
      <c r="AE4266">
        <v>-33.606529999999999</v>
      </c>
      <c r="AF4266">
        <v>-5.8519148197124604</v>
      </c>
      <c r="AG4266">
        <v>-1.106848371239</v>
      </c>
      <c r="AH4266">
        <v>33.084826682785703</v>
      </c>
      <c r="AI4266">
        <v>91.886841764450097</v>
      </c>
      <c r="AJ4266">
        <v>100.030510155705</v>
      </c>
      <c r="AK4266">
        <v>33.6165997240062</v>
      </c>
    </row>
    <row r="4267" spans="1:37" x14ac:dyDescent="0.2">
      <c r="A4267" t="str">
        <f>"20200111153519917"</f>
        <v>20200111153519917</v>
      </c>
      <c r="B4267" t="str">
        <f>"1578728119910429"</f>
        <v>1578728119910429</v>
      </c>
      <c r="C4267" t="s">
        <v>37</v>
      </c>
      <c r="D4267">
        <v>4.6583800000000002</v>
      </c>
      <c r="E4267">
        <v>0.48842999999999998</v>
      </c>
      <c r="F4267" t="s">
        <v>39</v>
      </c>
      <c r="G4267">
        <v>-419.69349999999997</v>
      </c>
      <c r="H4267" s="1">
        <v>-4.6429549999999998E-7</v>
      </c>
      <c r="I4267">
        <v>50.588290000000001</v>
      </c>
      <c r="J4267">
        <v>-421.10730000000001</v>
      </c>
      <c r="K4267">
        <v>1.106894</v>
      </c>
      <c r="L4267">
        <v>83.714939999999999</v>
      </c>
      <c r="M4267">
        <v>-0.13170599999999999</v>
      </c>
      <c r="N4267">
        <v>0</v>
      </c>
      <c r="O4267">
        <v>-0.99119389999999996</v>
      </c>
      <c r="P4267">
        <v>1.5451400000000001E-2</v>
      </c>
      <c r="Q4267">
        <v>6.082394E-2</v>
      </c>
      <c r="R4267">
        <v>-0.998029099999999</v>
      </c>
      <c r="S4267">
        <v>0.1244507</v>
      </c>
      <c r="T4267">
        <v>-9.9798440000000002E-2</v>
      </c>
      <c r="U4267">
        <v>-3.01065099999999</v>
      </c>
      <c r="V4267">
        <v>-0.14711350000000001</v>
      </c>
      <c r="W4267">
        <v>7.3691580000000007E-2</v>
      </c>
      <c r="X4267">
        <v>0.98637070000000004</v>
      </c>
      <c r="Y4267">
        <v>-0.17252519999999999</v>
      </c>
      <c r="Z4267">
        <v>3.243472E-2</v>
      </c>
      <c r="AA4267">
        <v>0.98447099999999899</v>
      </c>
      <c r="AB4267">
        <v>31</v>
      </c>
      <c r="AC4267">
        <v>1.4138000000000299</v>
      </c>
      <c r="AD4267">
        <v>-1.1068944642955001</v>
      </c>
      <c r="AE4267">
        <v>-33.126649999999998</v>
      </c>
      <c r="AF4267">
        <v>-5.7584533452378803</v>
      </c>
      <c r="AG4267">
        <v>-1.1068944642955001</v>
      </c>
      <c r="AH4267">
        <v>32.615451021398698</v>
      </c>
      <c r="AI4267">
        <v>91.914160201726403</v>
      </c>
      <c r="AJ4267">
        <v>100.012725284556</v>
      </c>
      <c r="AK4267">
        <v>33.1383862855998</v>
      </c>
    </row>
    <row r="4268" spans="1:37" x14ac:dyDescent="0.2">
      <c r="A4268" t="str">
        <f>"20200111153519940"</f>
        <v>20200111153519940</v>
      </c>
      <c r="B4268" t="str">
        <f>"1578728119929949"</f>
        <v>1578728119929949</v>
      </c>
      <c r="C4268" t="s">
        <v>37</v>
      </c>
      <c r="D4268">
        <v>4.7190529999999997</v>
      </c>
      <c r="E4268">
        <v>0.48809129999999901</v>
      </c>
      <c r="F4268" t="s">
        <v>39</v>
      </c>
      <c r="G4268">
        <v>-419.70319999999998</v>
      </c>
      <c r="H4268" s="1">
        <v>-1.0273319999999999E-6</v>
      </c>
      <c r="I4268">
        <v>51.904780000000002</v>
      </c>
      <c r="J4268">
        <v>-421.14499999999998</v>
      </c>
      <c r="K4268">
        <v>1.10694</v>
      </c>
      <c r="L4268">
        <v>83.412719999999993</v>
      </c>
      <c r="M4268">
        <v>-0.12938559999999999</v>
      </c>
      <c r="N4268">
        <v>0</v>
      </c>
      <c r="O4268">
        <v>-0.99149949999999998</v>
      </c>
      <c r="P4268">
        <v>1.901806E-2</v>
      </c>
      <c r="Q4268">
        <v>5.9140619999999998E-2</v>
      </c>
      <c r="R4268">
        <v>-0.99806890000000004</v>
      </c>
      <c r="S4268">
        <v>0.13287349999999901</v>
      </c>
      <c r="T4268">
        <v>-0.10474749999999999</v>
      </c>
      <c r="U4268">
        <v>-3.0102540000000002</v>
      </c>
      <c r="V4268">
        <v>-0.14834639999999999</v>
      </c>
      <c r="W4268">
        <v>7.1980950000000002E-2</v>
      </c>
      <c r="X4268">
        <v>0.98631239999999998</v>
      </c>
      <c r="Y4268">
        <v>-0.17297209999999999</v>
      </c>
      <c r="Z4268">
        <v>3.40583E-2</v>
      </c>
      <c r="AA4268">
        <v>0.98433769999999998</v>
      </c>
      <c r="AB4268">
        <v>31</v>
      </c>
      <c r="AC4268">
        <v>1.4418</v>
      </c>
      <c r="AD4268">
        <v>-1.1069410273319999</v>
      </c>
      <c r="AE4268">
        <v>-31.507939999999898</v>
      </c>
      <c r="AF4268">
        <v>-5.4999614224494398</v>
      </c>
      <c r="AG4268">
        <v>-1.1069410273319999</v>
      </c>
      <c r="AH4268">
        <v>31.018274903079099</v>
      </c>
      <c r="AI4268">
        <v>92.012467242288395</v>
      </c>
      <c r="AJ4268">
        <v>100.054814280196</v>
      </c>
      <c r="AK4268">
        <v>31.521552500620999</v>
      </c>
    </row>
    <row r="4269" spans="1:37" x14ac:dyDescent="0.2">
      <c r="A4269" t="str">
        <f>"20200111153519955"</f>
        <v>20200111153519955</v>
      </c>
      <c r="B4269" t="str">
        <f>"1578728119950445"</f>
        <v>1578728119950445</v>
      </c>
      <c r="C4269" t="s">
        <v>37</v>
      </c>
      <c r="D4269">
        <v>4.7192629999999998</v>
      </c>
      <c r="E4269">
        <v>0.48792380000000002</v>
      </c>
      <c r="F4269" t="s">
        <v>39</v>
      </c>
      <c r="G4269">
        <v>-419.67880000000002</v>
      </c>
      <c r="H4269" s="1">
        <v>-1.627871E-6</v>
      </c>
      <c r="I4269">
        <v>53.294559999999997</v>
      </c>
      <c r="J4269">
        <v>-421.17230000000001</v>
      </c>
      <c r="K4269">
        <v>1.1069709999999999</v>
      </c>
      <c r="L4269">
        <v>83.190340000000006</v>
      </c>
      <c r="M4269">
        <v>-0.12764439999999999</v>
      </c>
      <c r="N4269">
        <v>0</v>
      </c>
      <c r="O4269">
        <v>-0.99172530000000003</v>
      </c>
      <c r="P4269">
        <v>2.128882E-2</v>
      </c>
      <c r="Q4269">
        <v>5.8505590000000003E-2</v>
      </c>
      <c r="R4269">
        <v>-0.99806019999999895</v>
      </c>
      <c r="S4269">
        <v>0.146514899999999</v>
      </c>
      <c r="T4269">
        <v>-0.110611999999999</v>
      </c>
      <c r="U4269">
        <v>-3.0095830000000001</v>
      </c>
      <c r="V4269">
        <v>-0.14886740000000001</v>
      </c>
      <c r="W4269">
        <v>7.1330299999999999E-2</v>
      </c>
      <c r="X4269">
        <v>0.98628119999999997</v>
      </c>
      <c r="Y4269">
        <v>-0.17570039999999901</v>
      </c>
      <c r="Z4269">
        <v>3.5970380000000003E-2</v>
      </c>
      <c r="AA4269">
        <v>0.9837863</v>
      </c>
      <c r="AB4269">
        <v>31</v>
      </c>
      <c r="AC4269">
        <v>1.4934999999999801</v>
      </c>
      <c r="AD4269">
        <v>-1.1069726278709999</v>
      </c>
      <c r="AE4269">
        <v>-29.895779999999998</v>
      </c>
      <c r="AF4269">
        <v>-5.2904328050883596</v>
      </c>
      <c r="AG4269">
        <v>-1.1069726278709999</v>
      </c>
      <c r="AH4269">
        <v>29.420295146547701</v>
      </c>
      <c r="AI4269">
        <v>92.120818537467997</v>
      </c>
      <c r="AJ4269">
        <v>100.194125943139</v>
      </c>
      <c r="AK4269">
        <v>29.912670127790101</v>
      </c>
    </row>
    <row r="4270" spans="1:37" x14ac:dyDescent="0.2">
      <c r="A4270" t="str">
        <f>"20200111153519972"</f>
        <v>20200111153519972</v>
      </c>
      <c r="B4270" t="str">
        <f>"1578728119970051"</f>
        <v>1578728119970051</v>
      </c>
      <c r="C4270" t="s">
        <v>37</v>
      </c>
      <c r="D4270">
        <v>4.6953440000000004</v>
      </c>
      <c r="E4270">
        <v>0.48770049999999998</v>
      </c>
      <c r="F4270" t="s">
        <v>39</v>
      </c>
      <c r="G4270">
        <v>-419.63920000000002</v>
      </c>
      <c r="H4270" s="1">
        <v>-1.6569369999999999E-6</v>
      </c>
      <c r="I4270">
        <v>53.345950000000002</v>
      </c>
      <c r="J4270">
        <v>-421.20119999999997</v>
      </c>
      <c r="K4270">
        <v>1.106995</v>
      </c>
      <c r="L4270">
        <v>82.950289999999995</v>
      </c>
      <c r="M4270">
        <v>-0.12574479999999999</v>
      </c>
      <c r="N4270">
        <v>0</v>
      </c>
      <c r="O4270">
        <v>-0.99196819999999897</v>
      </c>
      <c r="P4270">
        <v>2.449869E-2</v>
      </c>
      <c r="Q4270">
        <v>5.756228E-2</v>
      </c>
      <c r="R4270">
        <v>-0.99804169999999903</v>
      </c>
      <c r="S4270">
        <v>0.1545715</v>
      </c>
      <c r="T4270">
        <v>-0.11161169999999999</v>
      </c>
      <c r="U4270">
        <v>-3.0090939999999899</v>
      </c>
      <c r="V4270">
        <v>-0.1501596</v>
      </c>
      <c r="W4270">
        <v>7.0366659999999998E-2</v>
      </c>
      <c r="X4270">
        <v>0.98615439999999999</v>
      </c>
      <c r="Y4270">
        <v>-0.17644949999999901</v>
      </c>
      <c r="Z4270">
        <v>3.6309479999999998E-2</v>
      </c>
      <c r="AA4270">
        <v>0.98363979999999995</v>
      </c>
      <c r="AB4270">
        <v>31</v>
      </c>
      <c r="AC4270">
        <v>1.5619999999999501</v>
      </c>
      <c r="AD4270">
        <v>-1.106996656937</v>
      </c>
      <c r="AE4270">
        <v>-29.604340000000001</v>
      </c>
      <c r="AF4270">
        <v>-5.2651984556337199</v>
      </c>
      <c r="AG4270">
        <v>-1.106996656937</v>
      </c>
      <c r="AH4270">
        <v>29.132262347151201</v>
      </c>
      <c r="AI4270">
        <v>92.141473630390706</v>
      </c>
      <c r="AJ4270">
        <v>100.24471930849801</v>
      </c>
      <c r="AK4270">
        <v>29.624929803105399</v>
      </c>
    </row>
    <row r="4271" spans="1:37" x14ac:dyDescent="0.2">
      <c r="A4271" t="str">
        <f>"20200111153519990"</f>
        <v>20200111153519990</v>
      </c>
      <c r="B4271" t="str">
        <f>"1578728119980786"</f>
        <v>1578728119980786</v>
      </c>
      <c r="C4271" t="s">
        <v>37</v>
      </c>
      <c r="D4271">
        <v>4.7007029999999999</v>
      </c>
      <c r="E4271">
        <v>0.487647099999999</v>
      </c>
      <c r="F4271" t="s">
        <v>39</v>
      </c>
      <c r="G4271">
        <v>-419.58609999999999</v>
      </c>
      <c r="H4271" s="1">
        <v>-1.764693E-6</v>
      </c>
      <c r="I4271">
        <v>53.575159999999997</v>
      </c>
      <c r="J4271">
        <v>-421.22899999999998</v>
      </c>
      <c r="K4271">
        <v>1.107019</v>
      </c>
      <c r="L4271">
        <v>82.715360000000004</v>
      </c>
      <c r="M4271">
        <v>-0.1238725</v>
      </c>
      <c r="N4271">
        <v>0</v>
      </c>
      <c r="O4271">
        <v>-0.99220330000000001</v>
      </c>
      <c r="P4271">
        <v>2.7137959999999999E-2</v>
      </c>
      <c r="Q4271">
        <v>5.7309430000000001E-2</v>
      </c>
      <c r="R4271">
        <v>-0.99798729999999902</v>
      </c>
      <c r="S4271">
        <v>0.16540529999999901</v>
      </c>
      <c r="T4271">
        <v>-0.1133696</v>
      </c>
      <c r="U4271">
        <v>-3.008362</v>
      </c>
      <c r="V4271">
        <v>-0.15091199999999999</v>
      </c>
      <c r="W4271">
        <v>7.0099350000000005E-2</v>
      </c>
      <c r="X4271">
        <v>0.98605869999999995</v>
      </c>
      <c r="Y4271">
        <v>-0.17813499999999999</v>
      </c>
      <c r="Z4271">
        <v>3.6893540000000002E-2</v>
      </c>
      <c r="AA4271">
        <v>0.98331420000000003</v>
      </c>
      <c r="AB4271">
        <v>31</v>
      </c>
      <c r="AC4271">
        <v>1.64290000000005</v>
      </c>
      <c r="AD4271">
        <v>-1.1070207646929999</v>
      </c>
      <c r="AE4271">
        <v>-29.1402</v>
      </c>
      <c r="AF4271">
        <v>-5.2327254567205896</v>
      </c>
      <c r="AG4271">
        <v>-1.1070207646929999</v>
      </c>
      <c r="AH4271">
        <v>28.670947835065899</v>
      </c>
      <c r="AI4271">
        <v>92.175265874596406</v>
      </c>
      <c r="AJ4271">
        <v>100.34319377362</v>
      </c>
      <c r="AK4271">
        <v>29.165564634341401</v>
      </c>
    </row>
    <row r="4272" spans="1:37" x14ac:dyDescent="0.2">
      <c r="A4272" t="str">
        <f>"20200111153520007"</f>
        <v>20200111153520007</v>
      </c>
      <c r="B4272" t="str">
        <f>"1578728120000309"</f>
        <v>1578728120000309</v>
      </c>
      <c r="C4272" t="s">
        <v>37</v>
      </c>
      <c r="D4272">
        <v>4.6496110000000002</v>
      </c>
      <c r="E4272">
        <v>0.48770219999999997</v>
      </c>
      <c r="F4272" t="s">
        <v>39</v>
      </c>
      <c r="G4272">
        <v>-419.54910000000001</v>
      </c>
      <c r="H4272" s="1">
        <v>-1.781913E-6</v>
      </c>
      <c r="I4272">
        <v>53.6</v>
      </c>
      <c r="J4272">
        <v>-421.25670000000002</v>
      </c>
      <c r="K4272">
        <v>1.107043</v>
      </c>
      <c r="L4272">
        <v>82.478359999999995</v>
      </c>
      <c r="M4272">
        <v>-0.121974499999999</v>
      </c>
      <c r="N4272">
        <v>0</v>
      </c>
      <c r="O4272">
        <v>-0.99243859999999995</v>
      </c>
      <c r="P4272">
        <v>3.03288E-2</v>
      </c>
      <c r="Q4272">
        <v>5.7397860000000002E-2</v>
      </c>
      <c r="R4272">
        <v>-0.99789059999999896</v>
      </c>
      <c r="S4272">
        <v>0.1735535</v>
      </c>
      <c r="T4272">
        <v>-0.1143662</v>
      </c>
      <c r="U4272">
        <v>-3.0079039999999999</v>
      </c>
      <c r="V4272">
        <v>-0.1521834</v>
      </c>
      <c r="W4272">
        <v>7.0171159999999996E-2</v>
      </c>
      <c r="X4272">
        <v>0.98585809999999996</v>
      </c>
      <c r="Y4272">
        <v>-0.17891560000000001</v>
      </c>
      <c r="Z4272">
        <v>3.7230920000000001E-2</v>
      </c>
      <c r="AA4272">
        <v>0.98315969999999997</v>
      </c>
      <c r="AB4272">
        <v>31</v>
      </c>
      <c r="AC4272">
        <v>1.70760000000001</v>
      </c>
      <c r="AD4272">
        <v>-1.107044781913</v>
      </c>
      <c r="AE4272">
        <v>-28.878359999999901</v>
      </c>
      <c r="AF4272">
        <v>-5.2099720978121598</v>
      </c>
      <c r="AG4272">
        <v>-1.107044781913</v>
      </c>
      <c r="AH4272">
        <v>28.412779557738499</v>
      </c>
      <c r="AI4272">
        <v>92.194726567363205</v>
      </c>
      <c r="AJ4272">
        <v>100.39073564163699</v>
      </c>
      <c r="AK4272">
        <v>28.907704848461801</v>
      </c>
    </row>
    <row r="4273" spans="1:37" x14ac:dyDescent="0.2">
      <c r="A4273" t="str">
        <f>"20200111153520028"</f>
        <v>20200111153520028</v>
      </c>
      <c r="B4273" t="str">
        <f>"1578728120020805"</f>
        <v>1578728120020805</v>
      </c>
      <c r="C4273" t="s">
        <v>37</v>
      </c>
      <c r="D4273">
        <v>4.6465180000000004</v>
      </c>
      <c r="E4273">
        <v>0.48776999999999998</v>
      </c>
      <c r="F4273" t="s">
        <v>39</v>
      </c>
      <c r="G4273">
        <v>-419.4683</v>
      </c>
      <c r="H4273" s="1">
        <v>-1.5741389999999999E-6</v>
      </c>
      <c r="I4273">
        <v>53.082279999999997</v>
      </c>
      <c r="J4273">
        <v>-421.29129999999998</v>
      </c>
      <c r="K4273">
        <v>1.107056</v>
      </c>
      <c r="L4273">
        <v>82.175539999999998</v>
      </c>
      <c r="M4273">
        <v>-0.1195416</v>
      </c>
      <c r="N4273">
        <v>0</v>
      </c>
      <c r="O4273">
        <v>-0.99273459999999902</v>
      </c>
      <c r="P4273">
        <v>3.4394439999999998E-2</v>
      </c>
      <c r="Q4273">
        <v>5.789818E-2</v>
      </c>
      <c r="R4273">
        <v>-0.99773009999999995</v>
      </c>
      <c r="S4273">
        <v>0.1829529</v>
      </c>
      <c r="T4273">
        <v>-0.113253399999999</v>
      </c>
      <c r="U4273">
        <v>-3.0072939999999999</v>
      </c>
      <c r="V4273">
        <v>-0.1537866</v>
      </c>
      <c r="W4273">
        <v>7.0653010000000002E-2</v>
      </c>
      <c r="X4273">
        <v>0.98557490000000003</v>
      </c>
      <c r="Y4273">
        <v>-0.1795785</v>
      </c>
      <c r="Z4273">
        <v>3.6887650000000001E-2</v>
      </c>
      <c r="AA4273">
        <v>0.98305180000000003</v>
      </c>
      <c r="AB4273">
        <v>31</v>
      </c>
      <c r="AC4273">
        <v>1.82299999999997</v>
      </c>
      <c r="AD4273">
        <v>-1.1070575741390001</v>
      </c>
      <c r="AE4273">
        <v>-29.093259999999901</v>
      </c>
      <c r="AF4273">
        <v>-5.2804906345965197</v>
      </c>
      <c r="AG4273">
        <v>-1.1070575741390001</v>
      </c>
      <c r="AH4273">
        <v>28.625367506563101</v>
      </c>
      <c r="AI4273">
        <v>92.178041698637301</v>
      </c>
      <c r="AJ4273">
        <v>100.451793677761</v>
      </c>
      <c r="AK4273">
        <v>29.1293807469421</v>
      </c>
    </row>
    <row r="4274" spans="1:37" x14ac:dyDescent="0.2">
      <c r="A4274" t="str">
        <f>"20200111153520052"</f>
        <v>20200111153520052</v>
      </c>
      <c r="B4274" t="str">
        <f>"1578728120040322"</f>
        <v>1578728120040322</v>
      </c>
      <c r="C4274" t="s">
        <v>37</v>
      </c>
      <c r="D4274">
        <v>4.6552030000000002</v>
      </c>
      <c r="E4274">
        <v>0.48782239999999999</v>
      </c>
      <c r="F4274" t="s">
        <v>39</v>
      </c>
      <c r="G4274">
        <v>-419.351</v>
      </c>
      <c r="H4274" s="1">
        <v>-1.23061E-6</v>
      </c>
      <c r="I4274">
        <v>52.23301</v>
      </c>
      <c r="J4274">
        <v>-421.32580000000002</v>
      </c>
      <c r="K4274">
        <v>1.1070679999999999</v>
      </c>
      <c r="L4274">
        <v>81.866519999999994</v>
      </c>
      <c r="M4274">
        <v>-0.11705499999999899</v>
      </c>
      <c r="N4274">
        <v>0</v>
      </c>
      <c r="O4274">
        <v>-0.99303079999999999</v>
      </c>
      <c r="P4274">
        <v>3.9034399999999997E-2</v>
      </c>
      <c r="Q4274">
        <v>5.8278690000000001E-2</v>
      </c>
      <c r="R4274">
        <v>-0.99753709999999995</v>
      </c>
      <c r="S4274">
        <v>0.1948242</v>
      </c>
      <c r="T4274">
        <v>-0.111160799999999</v>
      </c>
      <c r="U4274">
        <v>-3.006561</v>
      </c>
      <c r="V4274">
        <v>-0.1559046</v>
      </c>
      <c r="W4274">
        <v>7.1013060000000003E-2</v>
      </c>
      <c r="X4274">
        <v>0.98521619999999999</v>
      </c>
      <c r="Y4274">
        <v>-0.18099709999999999</v>
      </c>
      <c r="Z4274">
        <v>3.622293E-2</v>
      </c>
      <c r="AA4274">
        <v>0.98281629999999998</v>
      </c>
      <c r="AB4274">
        <v>31</v>
      </c>
      <c r="AC4274">
        <v>1.9748000000000101</v>
      </c>
      <c r="AD4274">
        <v>-1.1070692306099901</v>
      </c>
      <c r="AE4274">
        <v>-29.633509999999902</v>
      </c>
      <c r="AF4274">
        <v>-5.4227631565795598</v>
      </c>
      <c r="AG4274">
        <v>-1.1070692306099901</v>
      </c>
      <c r="AH4274">
        <v>29.158056941846699</v>
      </c>
      <c r="AI4274">
        <v>92.137733427677503</v>
      </c>
      <c r="AJ4274">
        <v>100.53540105801299</v>
      </c>
      <c r="AK4274">
        <v>29.678683379787898</v>
      </c>
    </row>
    <row r="4275" spans="1:37" x14ac:dyDescent="0.2">
      <c r="A4275" t="str">
        <f>"20200111153520074"</f>
        <v>20200111153520074</v>
      </c>
      <c r="B4275" t="str">
        <f>"1578728120070275"</f>
        <v>1578728120070275</v>
      </c>
      <c r="C4275" t="s">
        <v>37</v>
      </c>
      <c r="D4275">
        <v>4.6150979999999997</v>
      </c>
      <c r="E4275">
        <v>0.48762739999999999</v>
      </c>
      <c r="F4275" t="s">
        <v>39</v>
      </c>
      <c r="G4275">
        <v>-419.2192</v>
      </c>
      <c r="H4275" s="1">
        <v>-9.3096199999999997E-7</v>
      </c>
      <c r="I4275">
        <v>51.480020000000003</v>
      </c>
      <c r="J4275">
        <v>-421.35969999999998</v>
      </c>
      <c r="K4275">
        <v>1.1070819999999999</v>
      </c>
      <c r="L4275">
        <v>81.556269999999998</v>
      </c>
      <c r="M4275">
        <v>-0.11455899999999999</v>
      </c>
      <c r="N4275">
        <v>0</v>
      </c>
      <c r="O4275">
        <v>-0.99332169999999897</v>
      </c>
      <c r="P4275">
        <v>4.3721969999999999E-2</v>
      </c>
      <c r="Q4275">
        <v>5.8180229999999999E-2</v>
      </c>
      <c r="R4275">
        <v>-0.99734820000000002</v>
      </c>
      <c r="S4275">
        <v>0.208373999999999</v>
      </c>
      <c r="T4275">
        <v>-0.1095045</v>
      </c>
      <c r="U4275">
        <v>-3.005646</v>
      </c>
      <c r="V4275">
        <v>-0.15806139999999999</v>
      </c>
      <c r="W4275">
        <v>7.0896070000000005E-2</v>
      </c>
      <c r="X4275">
        <v>0.98488089999999995</v>
      </c>
      <c r="Y4275">
        <v>-0.1829566</v>
      </c>
      <c r="Z4275">
        <v>3.5698649999999998E-2</v>
      </c>
      <c r="AA4275">
        <v>0.98247269999999898</v>
      </c>
      <c r="AB4275">
        <v>31</v>
      </c>
      <c r="AC4275">
        <v>2.1404999999999701</v>
      </c>
      <c r="AD4275">
        <v>-1.1070829309619901</v>
      </c>
      <c r="AE4275">
        <v>-30.076249999999899</v>
      </c>
      <c r="AF4275">
        <v>-5.5647329355960897</v>
      </c>
      <c r="AG4275">
        <v>-1.1070829309619901</v>
      </c>
      <c r="AH4275">
        <v>29.593073249144101</v>
      </c>
      <c r="AI4275">
        <v>92.105578914305298</v>
      </c>
      <c r="AJ4275">
        <v>100.649637484396</v>
      </c>
      <c r="AK4275">
        <v>30.132073768490301</v>
      </c>
    </row>
    <row r="4276" spans="1:37" x14ac:dyDescent="0.2">
      <c r="A4276" t="str">
        <f>"20200111153520090"</f>
        <v>20200111153520090</v>
      </c>
      <c r="B4276" t="str">
        <f>"1578728120080036"</f>
        <v>1578728120080036</v>
      </c>
      <c r="C4276" t="s">
        <v>37</v>
      </c>
      <c r="D4276">
        <v>4.4594569999999996</v>
      </c>
      <c r="E4276">
        <v>0.45989570000000002</v>
      </c>
      <c r="F4276" t="s">
        <v>39</v>
      </c>
      <c r="G4276">
        <v>-419.09289999999999</v>
      </c>
      <c r="H4276" s="1">
        <v>-8.0519069999999997E-7</v>
      </c>
      <c r="I4276">
        <v>51.134619999999998</v>
      </c>
      <c r="J4276">
        <v>-421.3843</v>
      </c>
      <c r="K4276">
        <v>1.107089</v>
      </c>
      <c r="L4276">
        <v>81.326719999999995</v>
      </c>
      <c r="M4276">
        <v>-0.1127141</v>
      </c>
      <c r="N4276">
        <v>0</v>
      </c>
      <c r="O4276">
        <v>-0.99353279999999999</v>
      </c>
      <c r="P4276">
        <v>4.6347239999999998E-2</v>
      </c>
      <c r="Q4276">
        <v>5.850321E-2</v>
      </c>
      <c r="R4276">
        <v>-0.99721070000000001</v>
      </c>
      <c r="S4276">
        <v>0.22387699999999999</v>
      </c>
      <c r="T4276">
        <v>-0.1093382</v>
      </c>
      <c r="U4276">
        <v>-3.0045169999999999</v>
      </c>
      <c r="V4276">
        <v>-0.15882560000000001</v>
      </c>
      <c r="W4276">
        <v>7.1212349999999994E-2</v>
      </c>
      <c r="X4276">
        <v>0.98473509999999997</v>
      </c>
      <c r="Y4276">
        <v>-0.18619869999999999</v>
      </c>
      <c r="Z4276">
        <v>3.565169E-2</v>
      </c>
      <c r="AA4276">
        <v>0.98186499999999999</v>
      </c>
      <c r="AB4276">
        <v>31</v>
      </c>
      <c r="AC4276">
        <v>2.2913999999999999</v>
      </c>
      <c r="AD4276">
        <v>-1.1070898051907001</v>
      </c>
      <c r="AE4276">
        <v>-30.1921</v>
      </c>
      <c r="AF4276">
        <v>-5.6726072424218703</v>
      </c>
      <c r="AG4276">
        <v>-1.1070898051907001</v>
      </c>
      <c r="AH4276">
        <v>29.701659121466001</v>
      </c>
      <c r="AI4276">
        <v>92.096772299853697</v>
      </c>
      <c r="AJ4276">
        <v>100.812493980745</v>
      </c>
      <c r="AK4276">
        <v>30.258761959658901</v>
      </c>
    </row>
    <row r="4277" spans="1:37" x14ac:dyDescent="0.2">
      <c r="A4277" t="str">
        <f>"20200111153520108"</f>
        <v>20200111153520108</v>
      </c>
      <c r="B4277" t="str">
        <f>"1578728120100531"</f>
        <v>1578728120100531</v>
      </c>
      <c r="C4277" t="s">
        <v>37</v>
      </c>
      <c r="D4277">
        <v>4.4968849999999998</v>
      </c>
      <c r="E4277">
        <v>0.44872269999999997</v>
      </c>
      <c r="F4277" t="s">
        <v>39</v>
      </c>
      <c r="G4277">
        <v>-416.88060000000002</v>
      </c>
      <c r="H4277" s="1">
        <v>-1.4667460000000001E-6</v>
      </c>
      <c r="I4277">
        <v>51.51914</v>
      </c>
      <c r="J4277">
        <v>-421.40980000000002</v>
      </c>
      <c r="K4277">
        <v>1.1071</v>
      </c>
      <c r="L4277">
        <v>81.084409999999906</v>
      </c>
      <c r="M4277">
        <v>-0.11076859999999999</v>
      </c>
      <c r="N4277">
        <v>0</v>
      </c>
      <c r="O4277">
        <v>-0.99375170000000002</v>
      </c>
      <c r="P4277">
        <v>4.9773600000000001E-2</v>
      </c>
      <c r="Q4277">
        <v>5.9775689999999999E-2</v>
      </c>
      <c r="R4277">
        <v>-0.99697049999999998</v>
      </c>
      <c r="S4277">
        <v>0.45236209999999999</v>
      </c>
      <c r="T4277">
        <v>-0.111197</v>
      </c>
      <c r="U4277">
        <v>-2.9938959999999999</v>
      </c>
      <c r="V4277">
        <v>-0.1602806</v>
      </c>
      <c r="W4277">
        <v>7.2471759999999996E-2</v>
      </c>
      <c r="X4277">
        <v>0.98440740000000004</v>
      </c>
      <c r="Y4277">
        <v>-0.2579169</v>
      </c>
      <c r="Z4277">
        <v>3.5940430000000002E-2</v>
      </c>
      <c r="AA4277">
        <v>0.96549839999999998</v>
      </c>
      <c r="AB4277">
        <v>31</v>
      </c>
      <c r="AC4277">
        <v>4.5292000000000003</v>
      </c>
      <c r="AD4277">
        <v>-1.107101466746</v>
      </c>
      <c r="AE4277">
        <v>-29.565269999999899</v>
      </c>
      <c r="AF4277">
        <v>-7.7658946389577004</v>
      </c>
      <c r="AG4277">
        <v>-1.107101466746</v>
      </c>
      <c r="AH4277">
        <v>28.842042307619199</v>
      </c>
      <c r="AI4277">
        <v>92.122691474626293</v>
      </c>
      <c r="AJ4277">
        <v>105.06983920406699</v>
      </c>
      <c r="AK4277">
        <v>29.889767440974801</v>
      </c>
    </row>
    <row r="4278" spans="1:37" x14ac:dyDescent="0.2">
      <c r="A4278" t="str">
        <f>"20200111153520129"</f>
        <v>20200111153520129</v>
      </c>
      <c r="B4278" t="str">
        <f>"1578728120120052"</f>
        <v>1578728120120052</v>
      </c>
      <c r="C4278" t="s">
        <v>37</v>
      </c>
      <c r="D4278">
        <v>4.461411</v>
      </c>
      <c r="E4278">
        <v>0.39512969999999997</v>
      </c>
      <c r="F4278" t="s">
        <v>39</v>
      </c>
      <c r="G4278">
        <v>-414.88830000000002</v>
      </c>
      <c r="H4278" s="1">
        <v>-3.5604100000000001E-6</v>
      </c>
      <c r="I4278">
        <v>45.818550000000002</v>
      </c>
      <c r="J4278">
        <v>-421.44119999999998</v>
      </c>
      <c r="K4278">
        <v>1.107111</v>
      </c>
      <c r="L4278">
        <v>80.778469999999999</v>
      </c>
      <c r="M4278">
        <v>-0.108315699999999</v>
      </c>
      <c r="N4278">
        <v>0</v>
      </c>
      <c r="O4278">
        <v>-0.99402209999999902</v>
      </c>
      <c r="P4278">
        <v>5.3017969999999998E-2</v>
      </c>
      <c r="Q4278">
        <v>6.0838240000000002E-2</v>
      </c>
      <c r="R4278">
        <v>-0.99673880000000004</v>
      </c>
      <c r="S4278">
        <v>0.55239869999999902</v>
      </c>
      <c r="T4278">
        <v>-9.3775869999999997E-2</v>
      </c>
      <c r="U4278">
        <v>-2.987152</v>
      </c>
      <c r="V4278">
        <v>-0.16105339999999899</v>
      </c>
      <c r="W4278">
        <v>7.3527029999999993E-2</v>
      </c>
      <c r="X4278">
        <v>0.98420300000000005</v>
      </c>
      <c r="Y4278">
        <v>-0.28720709999999999</v>
      </c>
      <c r="Z4278">
        <v>3.0183069999999999E-2</v>
      </c>
      <c r="AA4278">
        <v>0.95739280000000004</v>
      </c>
      <c r="AB4278">
        <v>31</v>
      </c>
      <c r="AC4278">
        <v>6.5528999999999602</v>
      </c>
      <c r="AD4278">
        <v>-1.1071145604099999</v>
      </c>
      <c r="AE4278">
        <v>-34.959919999999997</v>
      </c>
      <c r="AF4278">
        <v>-10.2914321863458</v>
      </c>
      <c r="AG4278">
        <v>-1.1071145604099999</v>
      </c>
      <c r="AH4278">
        <v>34.011396339579001</v>
      </c>
      <c r="AI4278">
        <v>91.784541244647002</v>
      </c>
      <c r="AJ4278">
        <v>106.835172532135</v>
      </c>
      <c r="AK4278">
        <v>35.551573243162601</v>
      </c>
    </row>
    <row r="4279" spans="1:37" x14ac:dyDescent="0.2">
      <c r="A4279" t="str">
        <f>"20200111153520152"</f>
        <v>20200111153520152</v>
      </c>
      <c r="B4279" t="str">
        <f>"1578728120140547"</f>
        <v>1578728120140547</v>
      </c>
      <c r="C4279" t="s">
        <v>37</v>
      </c>
      <c r="D4279">
        <v>4.1641360000000001</v>
      </c>
      <c r="E4279">
        <v>0.39386329999999897</v>
      </c>
      <c r="F4279" t="s">
        <v>39</v>
      </c>
      <c r="G4279">
        <v>-409.08569999999997</v>
      </c>
      <c r="H4279">
        <v>7.9986619999999994E-2</v>
      </c>
      <c r="I4279">
        <v>43.792949999999998</v>
      </c>
      <c r="J4279">
        <v>-421.47179999999997</v>
      </c>
      <c r="K4279">
        <v>1.10711</v>
      </c>
      <c r="L4279">
        <v>80.473879999999994</v>
      </c>
      <c r="M4279">
        <v>-0.10587489999999999</v>
      </c>
      <c r="N4279">
        <v>0</v>
      </c>
      <c r="O4279">
        <v>-0.99428490000000003</v>
      </c>
      <c r="P4279">
        <v>5.5825350000000003E-2</v>
      </c>
      <c r="Q4279">
        <v>6.1047509999999999E-2</v>
      </c>
      <c r="R4279">
        <v>-0.99657280000000004</v>
      </c>
      <c r="S4279">
        <v>0.98956299999999997</v>
      </c>
      <c r="T4279">
        <v>-8.2262870000000002E-2</v>
      </c>
      <c r="U4279">
        <v>-2.962189</v>
      </c>
      <c r="V4279">
        <v>-0.16140940000000001</v>
      </c>
      <c r="W4279">
        <v>7.3732469999999994E-2</v>
      </c>
      <c r="X4279">
        <v>0.98412929999999998</v>
      </c>
      <c r="Y4279">
        <v>-0.41539419999999999</v>
      </c>
      <c r="Z4279">
        <v>2.5576390000000001E-2</v>
      </c>
      <c r="AA4279">
        <v>0.90928180000000003</v>
      </c>
      <c r="AB4279">
        <v>31</v>
      </c>
      <c r="AC4279">
        <v>12.386100000000001</v>
      </c>
      <c r="AD4279">
        <v>-1.0271233799999999</v>
      </c>
      <c r="AE4279">
        <v>-36.680929999999996</v>
      </c>
      <c r="AF4279">
        <v>-16.189030851860601</v>
      </c>
      <c r="AG4279">
        <v>-1.0271233799999999</v>
      </c>
      <c r="AH4279">
        <v>35.138492278250602</v>
      </c>
      <c r="AI4279">
        <v>91.520763201853697</v>
      </c>
      <c r="AJ4279">
        <v>114.736502461583</v>
      </c>
      <c r="AK4279">
        <v>38.702110303559799</v>
      </c>
    </row>
    <row r="4280" spans="1:37" x14ac:dyDescent="0.2">
      <c r="A4280" t="str">
        <f>"20200111153520174"</f>
        <v>20200111153520174</v>
      </c>
      <c r="B4280" t="str">
        <f>"1578728120169832"</f>
        <v>1578728120169832</v>
      </c>
      <c r="C4280" t="s">
        <v>37</v>
      </c>
      <c r="D4280">
        <v>4.3625049999999996</v>
      </c>
      <c r="E4280">
        <v>0.39602529999999903</v>
      </c>
      <c r="F4280" t="s">
        <v>39</v>
      </c>
      <c r="G4280">
        <v>-410.98779999999999</v>
      </c>
      <c r="H4280" s="1">
        <v>-2.4054630000000001E-6</v>
      </c>
      <c r="I4280">
        <v>49.670200000000001</v>
      </c>
      <c r="J4280">
        <v>-421.50229999999999</v>
      </c>
      <c r="K4280">
        <v>1.107102</v>
      </c>
      <c r="L4280">
        <v>80.161959999999993</v>
      </c>
      <c r="M4280">
        <v>-0.103376199999999</v>
      </c>
      <c r="N4280">
        <v>0</v>
      </c>
      <c r="O4280">
        <v>-0.99454789999999904</v>
      </c>
      <c r="P4280">
        <v>5.8885960000000001E-2</v>
      </c>
      <c r="Q4280">
        <v>6.0312339999999999E-2</v>
      </c>
      <c r="R4280">
        <v>-0.99644120000000003</v>
      </c>
      <c r="S4280">
        <v>1.007568</v>
      </c>
      <c r="T4280">
        <v>-0.1063991</v>
      </c>
      <c r="U4280">
        <v>-2.960388</v>
      </c>
      <c r="V4280">
        <v>-0.1619602</v>
      </c>
      <c r="W4280">
        <v>7.2993459999999996E-2</v>
      </c>
      <c r="X4280">
        <v>0.98409389999999997</v>
      </c>
      <c r="Y4280">
        <v>-0.41816609999999999</v>
      </c>
      <c r="Z4280">
        <v>3.3051869999999997E-2</v>
      </c>
      <c r="AA4280">
        <v>0.907769099999999</v>
      </c>
      <c r="AB4280">
        <v>31</v>
      </c>
      <c r="AC4280">
        <v>10.5144999999999</v>
      </c>
      <c r="AD4280">
        <v>-1.1071044054629999</v>
      </c>
      <c r="AE4280">
        <v>-30.4917599999999</v>
      </c>
      <c r="AF4280">
        <v>-13.5945574540648</v>
      </c>
      <c r="AG4280">
        <v>-1.1071044054629999</v>
      </c>
      <c r="AH4280">
        <v>29.206901768699801</v>
      </c>
      <c r="AI4280">
        <v>91.968212441124194</v>
      </c>
      <c r="AJ4280">
        <v>114.959953876586</v>
      </c>
      <c r="AK4280">
        <v>32.234775995234401</v>
      </c>
    </row>
    <row r="4281" spans="1:37" x14ac:dyDescent="0.2">
      <c r="A4281" t="str">
        <f>"20200111153520197"</f>
        <v>20200111153520197</v>
      </c>
      <c r="B4281" t="str">
        <f>"1578728120190327"</f>
        <v>1578728120190327</v>
      </c>
      <c r="C4281" t="s">
        <v>37</v>
      </c>
      <c r="D4281">
        <v>4.3539440000000003</v>
      </c>
      <c r="E4281">
        <v>0.3981114</v>
      </c>
      <c r="F4281" t="s">
        <v>39</v>
      </c>
      <c r="G4281">
        <v>-412.36130000000003</v>
      </c>
      <c r="H4281" s="1">
        <v>-3.20396799999999E-6</v>
      </c>
      <c r="I4281">
        <v>53.090539999999997</v>
      </c>
      <c r="J4281">
        <v>-421.53230000000002</v>
      </c>
      <c r="K4281">
        <v>1.1070789999999999</v>
      </c>
      <c r="L4281">
        <v>79.847530000000006</v>
      </c>
      <c r="M4281">
        <v>-0.1008565</v>
      </c>
      <c r="N4281">
        <v>0</v>
      </c>
      <c r="O4281">
        <v>-0.99480659999999899</v>
      </c>
      <c r="P4281">
        <v>6.130907E-2</v>
      </c>
      <c r="Q4281">
        <v>5.8399470000000002E-2</v>
      </c>
      <c r="R4281">
        <v>-0.99640910000000005</v>
      </c>
      <c r="S4281">
        <v>0.99914550000000002</v>
      </c>
      <c r="T4281">
        <v>-0.1210098</v>
      </c>
      <c r="U4281">
        <v>-2.9589840000000001</v>
      </c>
      <c r="V4281">
        <v>-0.16186159999999999</v>
      </c>
      <c r="W4281">
        <v>7.1082989999999999E-2</v>
      </c>
      <c r="X4281">
        <v>0.98424999999999996</v>
      </c>
      <c r="Y4281">
        <v>-0.41362089999999901</v>
      </c>
      <c r="Z4281">
        <v>3.7674249999999999E-2</v>
      </c>
      <c r="AA4281">
        <v>0.90966939999999996</v>
      </c>
      <c r="AB4281">
        <v>31</v>
      </c>
      <c r="AC4281">
        <v>9.1709999999999905</v>
      </c>
      <c r="AD4281">
        <v>-1.1070822039679999</v>
      </c>
      <c r="AE4281">
        <v>-26.756989999999998</v>
      </c>
      <c r="AF4281">
        <v>-11.8050131534511</v>
      </c>
      <c r="AG4281">
        <v>-1.1070822039679999</v>
      </c>
      <c r="AH4281">
        <v>25.6561840234498</v>
      </c>
      <c r="AI4281">
        <v>92.244854190421293</v>
      </c>
      <c r="AJ4281">
        <v>114.708270122496</v>
      </c>
      <c r="AK4281">
        <v>28.263470155036099</v>
      </c>
    </row>
    <row r="4282" spans="1:37" x14ac:dyDescent="0.2">
      <c r="A4282" t="str">
        <f>"20200111153520219"</f>
        <v>20200111153520219</v>
      </c>
      <c r="B4282" t="str">
        <f>"1578728120209843"</f>
        <v>1578728120209843</v>
      </c>
      <c r="C4282" t="s">
        <v>37</v>
      </c>
      <c r="D4282">
        <v>4.3363899999999997</v>
      </c>
      <c r="E4282">
        <v>0.39993719999999999</v>
      </c>
      <c r="F4282" t="s">
        <v>39</v>
      </c>
      <c r="G4282">
        <v>-413.07330000000002</v>
      </c>
      <c r="H4282" s="1">
        <v>-3.5147719999999999E-6</v>
      </c>
      <c r="I4282">
        <v>54.560619999999901</v>
      </c>
      <c r="J4282">
        <v>-421.56009999999998</v>
      </c>
      <c r="K4282">
        <v>1.107064</v>
      </c>
      <c r="L4282">
        <v>79.548609999999996</v>
      </c>
      <c r="M4282">
        <v>-9.8461720000000003E-2</v>
      </c>
      <c r="N4282">
        <v>0</v>
      </c>
      <c r="O4282">
        <v>-0.9950466</v>
      </c>
      <c r="P4282">
        <v>6.4063439999999999E-2</v>
      </c>
      <c r="Q4282">
        <v>5.6189099999999999E-2</v>
      </c>
      <c r="R4282">
        <v>-0.99636279999999999</v>
      </c>
      <c r="S4282">
        <v>0.98934940000000005</v>
      </c>
      <c r="T4282">
        <v>-0.12948270000000001</v>
      </c>
      <c r="U4282">
        <v>-2.9575200000000001</v>
      </c>
      <c r="V4282">
        <v>-0.16221529999999901</v>
      </c>
      <c r="W4282">
        <v>6.8872539999999996E-2</v>
      </c>
      <c r="X4282">
        <v>0.98434889999999997</v>
      </c>
      <c r="Y4282">
        <v>-0.40881919999999999</v>
      </c>
      <c r="Z4282">
        <v>4.0408640000000003E-2</v>
      </c>
      <c r="AA4282">
        <v>0.91172030000000004</v>
      </c>
      <c r="AB4282">
        <v>31</v>
      </c>
      <c r="AC4282">
        <v>8.4867999999999597</v>
      </c>
      <c r="AD4282">
        <v>-1.1070675147719999</v>
      </c>
      <c r="AE4282">
        <v>-24.98799</v>
      </c>
      <c r="AF4282">
        <v>-10.886985379817</v>
      </c>
      <c r="AG4282">
        <v>-1.1070675147719999</v>
      </c>
      <c r="AH4282">
        <v>23.9886270195591</v>
      </c>
      <c r="AI4282">
        <v>92.4063987057242</v>
      </c>
      <c r="AJ4282">
        <v>114.410421512141</v>
      </c>
      <c r="AK4282">
        <v>26.366764599133798</v>
      </c>
    </row>
    <row r="4283" spans="1:37" x14ac:dyDescent="0.2">
      <c r="A4283" t="str">
        <f>"20200111153520242"</f>
        <v>20200111153520242</v>
      </c>
      <c r="B4283" t="str">
        <f>"1578728120230340"</f>
        <v>1578728120230340</v>
      </c>
      <c r="C4283" t="s">
        <v>37</v>
      </c>
      <c r="D4283">
        <v>4.3324889999999998</v>
      </c>
      <c r="E4283">
        <v>0.40090710000000002</v>
      </c>
      <c r="F4283" t="s">
        <v>40</v>
      </c>
      <c r="G4283">
        <v>-421.21699999999998</v>
      </c>
      <c r="H4283">
        <v>1.0592489999999899</v>
      </c>
      <c r="I4283">
        <v>78.516450000000006</v>
      </c>
      <c r="J4283">
        <v>-421.58780000000002</v>
      </c>
      <c r="K4283">
        <v>1.1070450000000001</v>
      </c>
      <c r="L4283">
        <v>79.241699999999994</v>
      </c>
      <c r="M4283">
        <v>-9.6009070000000002E-2</v>
      </c>
      <c r="N4283">
        <v>0</v>
      </c>
      <c r="O4283">
        <v>-0.995286</v>
      </c>
      <c r="P4283">
        <v>6.7371410000000007E-2</v>
      </c>
      <c r="Q4283">
        <v>5.4531839999999998E-2</v>
      </c>
      <c r="R4283">
        <v>-0.99623689999999998</v>
      </c>
      <c r="S4283">
        <v>0.98242189999999996</v>
      </c>
      <c r="T4283">
        <v>-0.13691199999999901</v>
      </c>
      <c r="U4283">
        <v>-2.955505</v>
      </c>
      <c r="V4283">
        <v>-0.16305700000000001</v>
      </c>
      <c r="W4283">
        <v>6.7211779999999999E-2</v>
      </c>
      <c r="X4283">
        <v>0.98432459999999899</v>
      </c>
      <c r="Y4283">
        <v>-0.4047982</v>
      </c>
      <c r="Z4283">
        <v>4.2822190000000003E-2</v>
      </c>
      <c r="AA4283">
        <v>0.91340279999999996</v>
      </c>
      <c r="AB4283">
        <v>31</v>
      </c>
      <c r="AC4283">
        <v>0.37080000000003099</v>
      </c>
      <c r="AD4283">
        <v>-4.7796000000000102E-2</v>
      </c>
      <c r="AE4283">
        <v>-0.72524999999998796</v>
      </c>
      <c r="AF4283">
        <v>-0.43721847086598598</v>
      </c>
      <c r="AG4283">
        <v>-4.7796000000000102E-2</v>
      </c>
      <c r="AH4283">
        <v>0.68394062993923899</v>
      </c>
      <c r="AI4283">
        <v>93.3697046589743</v>
      </c>
      <c r="AJ4283">
        <v>122.589307963671</v>
      </c>
      <c r="AK4283">
        <v>0.81315388098690999</v>
      </c>
    </row>
    <row r="4284" spans="1:37" x14ac:dyDescent="0.2">
      <c r="A4284" t="str">
        <f>"20200111153520263"</f>
        <v>20200111153520263</v>
      </c>
      <c r="B4284" t="str">
        <f>"1578728120260596"</f>
        <v>1578728120260596</v>
      </c>
      <c r="C4284" t="s">
        <v>37</v>
      </c>
      <c r="D4284">
        <v>4.3177449999999897</v>
      </c>
      <c r="E4284">
        <v>0.40182319999999999</v>
      </c>
      <c r="F4284" t="s">
        <v>40</v>
      </c>
      <c r="G4284">
        <v>-421.25369999999998</v>
      </c>
      <c r="H4284">
        <v>1.0580989999999999</v>
      </c>
      <c r="I4284">
        <v>78.239319999999907</v>
      </c>
      <c r="J4284">
        <v>-421.6146</v>
      </c>
      <c r="K4284">
        <v>1.1070340000000001</v>
      </c>
      <c r="L4284">
        <v>78.936040000000006</v>
      </c>
      <c r="M4284">
        <v>-9.3575220000000001E-2</v>
      </c>
      <c r="N4284">
        <v>0</v>
      </c>
      <c r="O4284">
        <v>-0.99551780000000001</v>
      </c>
      <c r="P4284">
        <v>7.1362800000000004E-2</v>
      </c>
      <c r="Q4284">
        <v>5.4206120000000003E-2</v>
      </c>
      <c r="R4284">
        <v>-0.99597639999999998</v>
      </c>
      <c r="S4284">
        <v>0.98431399999999902</v>
      </c>
      <c r="T4284">
        <v>-0.14417659999999999</v>
      </c>
      <c r="U4284">
        <v>-2.9526669999999999</v>
      </c>
      <c r="V4284">
        <v>-0.1645944</v>
      </c>
      <c r="W4284">
        <v>6.6877309999999995E-2</v>
      </c>
      <c r="X4284">
        <v>0.98409150000000001</v>
      </c>
      <c r="Y4284">
        <v>-0.40331889999999998</v>
      </c>
      <c r="Z4284">
        <v>4.5158080000000003E-2</v>
      </c>
      <c r="AA4284">
        <v>0.91394449999999905</v>
      </c>
      <c r="AB4284">
        <v>31</v>
      </c>
      <c r="AC4284">
        <v>0.36090000000001499</v>
      </c>
      <c r="AD4284">
        <v>-4.8935000000000103E-2</v>
      </c>
      <c r="AE4284">
        <v>-0.696720000000013</v>
      </c>
      <c r="AF4284">
        <v>-0.42287324314286301</v>
      </c>
      <c r="AG4284">
        <v>-4.8935000000000103E-2</v>
      </c>
      <c r="AH4284">
        <v>0.65733120853433902</v>
      </c>
      <c r="AI4284">
        <v>93.582519033627307</v>
      </c>
      <c r="AJ4284">
        <v>122.753921245256</v>
      </c>
      <c r="AK4284">
        <v>0.78313519375927498</v>
      </c>
    </row>
    <row r="4285" spans="1:37" x14ac:dyDescent="0.2">
      <c r="A4285" t="str">
        <f>"20200111153520280"</f>
        <v>20200111153520280</v>
      </c>
      <c r="B4285" t="str">
        <f>"1578728120270356"</f>
        <v>1578728120270356</v>
      </c>
      <c r="C4285" t="s">
        <v>37</v>
      </c>
      <c r="D4285">
        <v>4.4457230000000001</v>
      </c>
      <c r="E4285">
        <v>0.40243869999999998</v>
      </c>
      <c r="F4285" t="s">
        <v>40</v>
      </c>
      <c r="G4285">
        <v>-421.27589999999998</v>
      </c>
      <c r="H4285">
        <v>1.058378</v>
      </c>
      <c r="I4285">
        <v>77.925929999999994</v>
      </c>
      <c r="J4285">
        <v>-421.63350000000003</v>
      </c>
      <c r="K4285">
        <v>1.107024</v>
      </c>
      <c r="L4285">
        <v>78.716430000000003</v>
      </c>
      <c r="M4285">
        <v>-9.1834769999999996E-2</v>
      </c>
      <c r="N4285">
        <v>0</v>
      </c>
      <c r="O4285">
        <v>-0.99568009999999996</v>
      </c>
      <c r="P4285">
        <v>7.4115840000000002E-2</v>
      </c>
      <c r="Q4285">
        <v>5.4549309999999997E-2</v>
      </c>
      <c r="R4285">
        <v>-0.99575669999999905</v>
      </c>
      <c r="S4285">
        <v>0.98840329999999998</v>
      </c>
      <c r="T4285">
        <v>-0.1420545</v>
      </c>
      <c r="U4285">
        <v>-2.9490050000000001</v>
      </c>
      <c r="V4285">
        <v>-0.16559379999999899</v>
      </c>
      <c r="W4285">
        <v>6.7216049999999999E-2</v>
      </c>
      <c r="X4285">
        <v>0.98390069999999996</v>
      </c>
      <c r="Y4285">
        <v>-0.40320889999999998</v>
      </c>
      <c r="Z4285">
        <v>4.4550279999999998E-2</v>
      </c>
      <c r="AA4285">
        <v>0.91402289999999997</v>
      </c>
      <c r="AB4285">
        <v>31</v>
      </c>
      <c r="AC4285">
        <v>0.35760000000004699</v>
      </c>
      <c r="AD4285">
        <v>-4.8645999999999898E-2</v>
      </c>
      <c r="AE4285">
        <v>-0.79049999999999399</v>
      </c>
      <c r="AF4285">
        <v>-0.42734735677688401</v>
      </c>
      <c r="AG4285">
        <v>-4.8645999999999898E-2</v>
      </c>
      <c r="AH4285">
        <v>0.751951863156332</v>
      </c>
      <c r="AI4285">
        <v>93.219177973186206</v>
      </c>
      <c r="AJ4285">
        <v>119.610324530458</v>
      </c>
      <c r="AK4285">
        <v>0.86627005094512499</v>
      </c>
    </row>
    <row r="4286" spans="1:37" x14ac:dyDescent="0.2">
      <c r="A4286" t="str">
        <f>"20200111153520297"</f>
        <v>20200111153520297</v>
      </c>
      <c r="B4286" t="str">
        <f>"1578728120289878"</f>
        <v>1578728120289878</v>
      </c>
      <c r="C4286" t="s">
        <v>37</v>
      </c>
      <c r="D4286">
        <v>4.3482649999999996</v>
      </c>
      <c r="E4286">
        <v>0.40297870000000002</v>
      </c>
      <c r="F4286" t="s">
        <v>40</v>
      </c>
      <c r="G4286">
        <v>-421.28919999999999</v>
      </c>
      <c r="H4286">
        <v>1.0583469999999999</v>
      </c>
      <c r="I4286">
        <v>77.692719999999994</v>
      </c>
      <c r="J4286">
        <v>-421.65429999999998</v>
      </c>
      <c r="K4286">
        <v>1.1070070000000001</v>
      </c>
      <c r="L4286">
        <v>78.468379999999996</v>
      </c>
      <c r="M4286">
        <v>-8.9889419999999998E-2</v>
      </c>
      <c r="N4286">
        <v>0</v>
      </c>
      <c r="O4286">
        <v>-0.9958574</v>
      </c>
      <c r="P4286">
        <v>7.8525129999999999E-2</v>
      </c>
      <c r="Q4286">
        <v>5.4951979999999997E-2</v>
      </c>
      <c r="R4286">
        <v>-0.99539639999999996</v>
      </c>
      <c r="S4286">
        <v>0.99172969999999905</v>
      </c>
      <c r="T4286">
        <v>-0.14010349999999999</v>
      </c>
      <c r="U4286">
        <v>-2.946625</v>
      </c>
      <c r="V4286">
        <v>-0.1680276</v>
      </c>
      <c r="W4286">
        <v>6.7606169999999993E-2</v>
      </c>
      <c r="X4286">
        <v>0.98346129999999998</v>
      </c>
      <c r="Y4286">
        <v>-0.40257919999999903</v>
      </c>
      <c r="Z4286">
        <v>4.3984450000000001E-2</v>
      </c>
      <c r="AA4286">
        <v>0.91432789999999997</v>
      </c>
      <c r="AB4286">
        <v>31</v>
      </c>
      <c r="AC4286">
        <v>0.36509999999998399</v>
      </c>
      <c r="AD4286">
        <v>-4.8660000000000099E-2</v>
      </c>
      <c r="AE4286">
        <v>-0.775660000000016</v>
      </c>
      <c r="AF4286">
        <v>-0.431960229081914</v>
      </c>
      <c r="AG4286">
        <v>-4.8660000000000099E-2</v>
      </c>
      <c r="AH4286">
        <v>0.73732218340491096</v>
      </c>
      <c r="AI4286">
        <v>93.259080398716193</v>
      </c>
      <c r="AJ4286">
        <v>120.36390638317</v>
      </c>
      <c r="AK4286">
        <v>0.85592139665362099</v>
      </c>
    </row>
    <row r="4287" spans="1:37" x14ac:dyDescent="0.2">
      <c r="A4287" t="str">
        <f>"20200111153520321"</f>
        <v>20200111153520321</v>
      </c>
      <c r="B4287" t="str">
        <f>"1578728120310371"</f>
        <v>1578728120310371</v>
      </c>
      <c r="C4287" t="s">
        <v>37</v>
      </c>
      <c r="D4287">
        <v>4.4811819999999898</v>
      </c>
      <c r="E4287">
        <v>0.4040049</v>
      </c>
      <c r="F4287" t="s">
        <v>39</v>
      </c>
      <c r="G4287">
        <v>-413.70429999999999</v>
      </c>
      <c r="H4287" s="1">
        <v>-3.5174590000000001E-6</v>
      </c>
      <c r="I4287">
        <v>55.061889999999998</v>
      </c>
      <c r="J4287">
        <v>-421.67970000000003</v>
      </c>
      <c r="K4287">
        <v>1.106973</v>
      </c>
      <c r="L4287">
        <v>78.157960000000003</v>
      </c>
      <c r="M4287">
        <v>-8.7497950000000005E-2</v>
      </c>
      <c r="N4287">
        <v>0</v>
      </c>
      <c r="O4287">
        <v>-0.99607049999999997</v>
      </c>
      <c r="P4287">
        <v>8.4616960000000005E-2</v>
      </c>
      <c r="Q4287">
        <v>5.5829690000000001E-2</v>
      </c>
      <c r="R4287">
        <v>-0.99484839999999997</v>
      </c>
      <c r="S4287">
        <v>0.99948119999999996</v>
      </c>
      <c r="T4287">
        <v>-0.13917589999999999</v>
      </c>
      <c r="U4287">
        <v>-2.9427189999999999</v>
      </c>
      <c r="V4287">
        <v>-0.17168249999999999</v>
      </c>
      <c r="W4287">
        <v>6.8468189999999998E-2</v>
      </c>
      <c r="X4287">
        <v>0.98277019999999904</v>
      </c>
      <c r="Y4287">
        <v>-0.40291300000000002</v>
      </c>
      <c r="Z4287">
        <v>4.3742169999999997E-2</v>
      </c>
      <c r="AA4287">
        <v>0.91419240000000002</v>
      </c>
      <c r="AB4287">
        <v>31</v>
      </c>
      <c r="AC4287">
        <v>7.9754000000000298</v>
      </c>
      <c r="AD4287">
        <v>-1.1069765174590001</v>
      </c>
      <c r="AE4287">
        <v>-23.096070000000001</v>
      </c>
      <c r="AF4287">
        <v>-9.9454419071860691</v>
      </c>
      <c r="AG4287">
        <v>-1.1069765174590001</v>
      </c>
      <c r="AH4287">
        <v>22.263880401430299</v>
      </c>
      <c r="AI4287">
        <v>92.599281776116399</v>
      </c>
      <c r="AJ4287">
        <v>114.070672755404</v>
      </c>
      <c r="AK4287">
        <v>24.409374884839099</v>
      </c>
    </row>
    <row r="4288" spans="1:37" x14ac:dyDescent="0.2">
      <c r="A4288" t="str">
        <f>"20200111153520353"</f>
        <v>20200111153520353</v>
      </c>
      <c r="B4288" t="str">
        <f>"1578728120350387"</f>
        <v>1578728120350387</v>
      </c>
      <c r="C4288" t="s">
        <v>37</v>
      </c>
      <c r="D4288">
        <v>4.5608930000000001</v>
      </c>
      <c r="E4288">
        <v>0.40629690000000002</v>
      </c>
      <c r="F4288" t="s">
        <v>40</v>
      </c>
      <c r="G4288">
        <v>-421.33170000000001</v>
      </c>
      <c r="H4288">
        <v>1.0605469999999999</v>
      </c>
      <c r="I4288">
        <v>77.144589999999994</v>
      </c>
      <c r="J4288">
        <v>-421.71530000000001</v>
      </c>
      <c r="K4288">
        <v>1.1069020000000001</v>
      </c>
      <c r="L4288">
        <v>77.706599999999995</v>
      </c>
      <c r="M4288">
        <v>-8.4154919999999994E-2</v>
      </c>
      <c r="N4288">
        <v>0</v>
      </c>
      <c r="O4288">
        <v>-0.99635859999999998</v>
      </c>
      <c r="P4288">
        <v>9.2001730000000004E-2</v>
      </c>
      <c r="Q4288">
        <v>5.6180470000000003E-2</v>
      </c>
      <c r="R4288">
        <v>-0.99417279999999997</v>
      </c>
      <c r="S4288">
        <v>1.009064</v>
      </c>
      <c r="T4288">
        <v>-0.13455929999999999</v>
      </c>
      <c r="U4288">
        <v>-2.9372560000000001</v>
      </c>
      <c r="V4288">
        <v>-0.17567089999999999</v>
      </c>
      <c r="W4288">
        <v>6.8819270000000002E-2</v>
      </c>
      <c r="X4288">
        <v>0.98204049999999998</v>
      </c>
      <c r="Y4288">
        <v>-0.40304990000000002</v>
      </c>
      <c r="Z4288">
        <v>4.2364770000000003E-2</v>
      </c>
      <c r="AA4288">
        <v>0.91419689999999998</v>
      </c>
      <c r="AB4288">
        <v>31</v>
      </c>
      <c r="AC4288">
        <v>0.383600000000001</v>
      </c>
      <c r="AD4288">
        <v>-4.6355000000000098E-2</v>
      </c>
      <c r="AE4288">
        <v>-0.56200999999998602</v>
      </c>
      <c r="AF4288">
        <v>-0.42755506666808202</v>
      </c>
      <c r="AG4288">
        <v>-4.6355000000000098E-2</v>
      </c>
      <c r="AH4288">
        <v>0.52529327644283397</v>
      </c>
      <c r="AI4288">
        <v>93.915262715001901</v>
      </c>
      <c r="AJ4288">
        <v>129.14338097558601</v>
      </c>
      <c r="AK4288">
        <v>0.67888522397721696</v>
      </c>
    </row>
    <row r="4289" spans="1:37" x14ac:dyDescent="0.2">
      <c r="A4289" t="str">
        <f>"20200111153520375"</f>
        <v>20200111153520375</v>
      </c>
      <c r="B4289" t="str">
        <f>"1578728120369907"</f>
        <v>1578728120369907</v>
      </c>
      <c r="C4289" t="s">
        <v>37</v>
      </c>
      <c r="D4289">
        <v>4.5663210000000003</v>
      </c>
      <c r="E4289">
        <v>0.4245295</v>
      </c>
      <c r="F4289" t="s">
        <v>39</v>
      </c>
      <c r="G4289">
        <v>-413.37189999999998</v>
      </c>
      <c r="H4289" s="1">
        <v>-3.0914799999999998E-6</v>
      </c>
      <c r="I4289">
        <v>53.550190000000001</v>
      </c>
      <c r="J4289">
        <v>-421.73919999999998</v>
      </c>
      <c r="K4289">
        <v>1.106838</v>
      </c>
      <c r="L4289">
        <v>77.396270000000001</v>
      </c>
      <c r="M4289">
        <v>-8.1942180000000003E-2</v>
      </c>
      <c r="N4289">
        <v>0</v>
      </c>
      <c r="O4289">
        <v>-0.99654299999999996</v>
      </c>
      <c r="P4289">
        <v>9.7232600000000002E-2</v>
      </c>
      <c r="Q4289">
        <v>5.6096170000000001E-2</v>
      </c>
      <c r="R4289">
        <v>-0.99367939999999999</v>
      </c>
      <c r="S4289">
        <v>1.0125120000000001</v>
      </c>
      <c r="T4289">
        <v>-0.134327799999999</v>
      </c>
      <c r="U4289">
        <v>-2.9314879999999999</v>
      </c>
      <c r="V4289">
        <v>-0.178649799999999</v>
      </c>
      <c r="W4289">
        <v>6.8737930000000003E-2</v>
      </c>
      <c r="X4289">
        <v>0.98150869999999901</v>
      </c>
      <c r="Y4289">
        <v>-0.40253159999999999</v>
      </c>
      <c r="Z4289">
        <v>4.2380139999999997E-2</v>
      </c>
      <c r="AA4289">
        <v>0.91442449999999997</v>
      </c>
      <c r="AB4289">
        <v>31</v>
      </c>
      <c r="AC4289">
        <v>8.3673000000000002</v>
      </c>
      <c r="AD4289">
        <v>-1.10684109147999</v>
      </c>
      <c r="AE4289">
        <v>-23.846080000000001</v>
      </c>
      <c r="AF4289">
        <v>-10.273631625911399</v>
      </c>
      <c r="AG4289">
        <v>-1.10684109147999</v>
      </c>
      <c r="AH4289">
        <v>23.035984278444399</v>
      </c>
      <c r="AI4289">
        <v>92.512645095433697</v>
      </c>
      <c r="AJ4289">
        <v>114.036005584752</v>
      </c>
      <c r="AK4289">
        <v>25.247359776092502</v>
      </c>
    </row>
    <row r="4290" spans="1:37" x14ac:dyDescent="0.2">
      <c r="A4290" t="str">
        <f>"20200111153520398"</f>
        <v>20200111153520398</v>
      </c>
      <c r="B4290" t="str">
        <f>"1578728120390403"</f>
        <v>1578728120390403</v>
      </c>
      <c r="C4290" t="s">
        <v>37</v>
      </c>
      <c r="D4290">
        <v>4.6352349999999998</v>
      </c>
      <c r="E4290">
        <v>0.42488949999999998</v>
      </c>
      <c r="F4290" t="s">
        <v>39</v>
      </c>
      <c r="G4290">
        <v>-414.5018</v>
      </c>
      <c r="H4290" s="1">
        <v>-2.7021069999999999E-6</v>
      </c>
      <c r="I4290">
        <v>53.289450000000002</v>
      </c>
      <c r="J4290">
        <v>-421.76220000000001</v>
      </c>
      <c r="K4290">
        <v>1.106773</v>
      </c>
      <c r="L4290">
        <v>77.08896</v>
      </c>
      <c r="M4290">
        <v>-7.9847310000000005E-2</v>
      </c>
      <c r="N4290">
        <v>0</v>
      </c>
      <c r="O4290">
        <v>-0.99671330000000002</v>
      </c>
      <c r="P4290">
        <v>0.1020047</v>
      </c>
      <c r="Q4290">
        <v>5.5858720000000001E-2</v>
      </c>
      <c r="R4290">
        <v>-0.99321479999999995</v>
      </c>
      <c r="S4290">
        <v>0.88275149999999902</v>
      </c>
      <c r="T4290">
        <v>-0.1350027</v>
      </c>
      <c r="U4290">
        <v>-2.9403380000000001</v>
      </c>
      <c r="V4290">
        <v>-0.18129110000000001</v>
      </c>
      <c r="W4290">
        <v>6.8510059999999998E-2</v>
      </c>
      <c r="X4290">
        <v>0.98104020000000003</v>
      </c>
      <c r="Y4290">
        <v>-0.36283520000000002</v>
      </c>
      <c r="Z4290">
        <v>4.3133119999999997E-2</v>
      </c>
      <c r="AA4290">
        <v>0.93085450000000003</v>
      </c>
      <c r="AB4290">
        <v>31</v>
      </c>
      <c r="AC4290">
        <v>7.2603999999999997</v>
      </c>
      <c r="AD4290">
        <v>-1.1067757021069999</v>
      </c>
      <c r="AE4290">
        <v>-23.799510000000001</v>
      </c>
      <c r="AF4290">
        <v>-9.1196752040266897</v>
      </c>
      <c r="AG4290">
        <v>-1.1067757021069999</v>
      </c>
      <c r="AH4290">
        <v>23.098029250506599</v>
      </c>
      <c r="AI4290">
        <v>92.551892613043094</v>
      </c>
      <c r="AJ4290">
        <v>111.54533691830299</v>
      </c>
      <c r="AK4290">
        <v>24.857843501377499</v>
      </c>
    </row>
    <row r="4291" spans="1:37" x14ac:dyDescent="0.2">
      <c r="A4291" t="str">
        <f>"20200111153520420"</f>
        <v>20200111153520420</v>
      </c>
      <c r="B4291" t="str">
        <f>"1578728120409923"</f>
        <v>1578728120409923</v>
      </c>
      <c r="C4291" t="s">
        <v>37</v>
      </c>
      <c r="D4291">
        <v>4.9061839999999997</v>
      </c>
      <c r="E4291">
        <v>0.43099340000000003</v>
      </c>
      <c r="F4291" t="s">
        <v>39</v>
      </c>
      <c r="G4291">
        <v>-414.4033</v>
      </c>
      <c r="H4291" s="1">
        <v>-2.60308E-6</v>
      </c>
      <c r="I4291">
        <v>52.921399999999998</v>
      </c>
      <c r="J4291">
        <v>-421.78390000000002</v>
      </c>
      <c r="K4291">
        <v>1.106697</v>
      </c>
      <c r="L4291">
        <v>76.790559999999999</v>
      </c>
      <c r="M4291">
        <v>-7.7920699999999996E-2</v>
      </c>
      <c r="N4291">
        <v>0</v>
      </c>
      <c r="O4291">
        <v>-0.99686569999999997</v>
      </c>
      <c r="P4291">
        <v>0.1052968</v>
      </c>
      <c r="Q4291">
        <v>5.5018549999999999E-2</v>
      </c>
      <c r="R4291">
        <v>-0.99291770000000001</v>
      </c>
      <c r="S4291">
        <v>0.89407349999999997</v>
      </c>
      <c r="T4291">
        <v>-0.13446810000000001</v>
      </c>
      <c r="U4291">
        <v>-2.9362490000000001</v>
      </c>
      <c r="V4291">
        <v>-0.18263579999999999</v>
      </c>
      <c r="W4291">
        <v>6.769182E-2</v>
      </c>
      <c r="X4291">
        <v>0.98084760000000004</v>
      </c>
      <c r="Y4291">
        <v>-0.36468079999999897</v>
      </c>
      <c r="Z4291">
        <v>4.2990569999999999E-2</v>
      </c>
      <c r="AA4291">
        <v>0.93013969999999901</v>
      </c>
      <c r="AB4291">
        <v>31</v>
      </c>
      <c r="AC4291">
        <v>7.38060000000001</v>
      </c>
      <c r="AD4291">
        <v>-1.10669960308</v>
      </c>
      <c r="AE4291">
        <v>-23.869160000000001</v>
      </c>
      <c r="AF4291">
        <v>-9.2001792463778802</v>
      </c>
      <c r="AG4291">
        <v>-1.10669960308</v>
      </c>
      <c r="AH4291">
        <v>23.1759439944585</v>
      </c>
      <c r="AI4291">
        <v>92.541285127791397</v>
      </c>
      <c r="AJ4291">
        <v>111.65164564385699</v>
      </c>
      <c r="AK4291">
        <v>24.9598169506753</v>
      </c>
    </row>
    <row r="4292" spans="1:37" x14ac:dyDescent="0.2">
      <c r="A4292" t="str">
        <f>"20200111153520443"</f>
        <v>20200111153520443</v>
      </c>
      <c r="B4292" t="str">
        <f>"1578728120440179"</f>
        <v>1578728120440179</v>
      </c>
      <c r="C4292" t="s">
        <v>37</v>
      </c>
      <c r="D4292">
        <v>4.770359</v>
      </c>
      <c r="E4292">
        <v>0.51215500000000003</v>
      </c>
      <c r="F4292" t="s">
        <v>39</v>
      </c>
      <c r="G4292">
        <v>-414.76679999999999</v>
      </c>
      <c r="H4292" s="1">
        <v>-2.4278420000000002E-6</v>
      </c>
      <c r="I4292">
        <v>52.690660000000001</v>
      </c>
      <c r="J4292">
        <v>-421.80599999999998</v>
      </c>
      <c r="K4292">
        <v>1.106616</v>
      </c>
      <c r="L4292">
        <v>76.479309999999998</v>
      </c>
      <c r="M4292">
        <v>-7.6015840000000001E-2</v>
      </c>
      <c r="N4292">
        <v>0</v>
      </c>
      <c r="O4292">
        <v>-0.99701269999999997</v>
      </c>
      <c r="P4292">
        <v>0.1079702</v>
      </c>
      <c r="Q4292">
        <v>5.4753459999999997E-2</v>
      </c>
      <c r="R4292">
        <v>-0.99264519999999901</v>
      </c>
      <c r="S4292">
        <v>0.85549929999999996</v>
      </c>
      <c r="T4292">
        <v>-0.1349233</v>
      </c>
      <c r="U4292">
        <v>-2.9381409999999999</v>
      </c>
      <c r="V4292">
        <v>-0.18338989999999999</v>
      </c>
      <c r="W4292">
        <v>6.7454399999999998E-2</v>
      </c>
      <c r="X4292">
        <v>0.98072329999999996</v>
      </c>
      <c r="Y4292">
        <v>-0.35147810000000002</v>
      </c>
      <c r="Z4292">
        <v>4.3312040000000003E-2</v>
      </c>
      <c r="AA4292">
        <v>0.93519370000000002</v>
      </c>
      <c r="AB4292">
        <v>31</v>
      </c>
      <c r="AC4292">
        <v>7.0391999999999904</v>
      </c>
      <c r="AD4292">
        <v>-1.1066184278419999</v>
      </c>
      <c r="AE4292">
        <v>-23.788650000000001</v>
      </c>
      <c r="AF4292">
        <v>-8.8097831437621892</v>
      </c>
      <c r="AG4292">
        <v>-1.1066184278419999</v>
      </c>
      <c r="AH4292">
        <v>23.138625897619399</v>
      </c>
      <c r="AI4292">
        <v>92.559165729244697</v>
      </c>
      <c r="AJ4292">
        <v>110.84379353494</v>
      </c>
      <c r="AK4292">
        <v>24.7837223155631</v>
      </c>
    </row>
    <row r="4293" spans="1:37" x14ac:dyDescent="0.2">
      <c r="A4293" t="str">
        <f>"20200111153520465"</f>
        <v>20200111153520465</v>
      </c>
      <c r="B4293" t="str">
        <f>"1578728120460675"</f>
        <v>1578728120460675</v>
      </c>
      <c r="C4293" t="s">
        <v>37</v>
      </c>
      <c r="D4293">
        <v>4.8405509999999996</v>
      </c>
      <c r="E4293">
        <v>0.52451800000000004</v>
      </c>
      <c r="F4293" t="s">
        <v>39</v>
      </c>
      <c r="G4293">
        <v>-420.68630000000002</v>
      </c>
      <c r="H4293" s="1">
        <v>-7.7322839999999996E-7</v>
      </c>
      <c r="I4293">
        <v>60.965850000000003</v>
      </c>
      <c r="J4293">
        <v>-421.82769999999999</v>
      </c>
      <c r="K4293">
        <v>1.1065419999999999</v>
      </c>
      <c r="L4293">
        <v>76.1691</v>
      </c>
      <c r="M4293">
        <v>-7.4196579999999998E-2</v>
      </c>
      <c r="N4293">
        <v>0</v>
      </c>
      <c r="O4293">
        <v>-0.99714990000000003</v>
      </c>
      <c r="P4293">
        <v>0.110529399999999</v>
      </c>
      <c r="Q4293">
        <v>5.4553119999999997E-2</v>
      </c>
      <c r="R4293">
        <v>-0.99237469999999905</v>
      </c>
      <c r="S4293">
        <v>0.21728520000000001</v>
      </c>
      <c r="T4293">
        <v>-0.21474270000000001</v>
      </c>
      <c r="U4293">
        <v>-3.010437</v>
      </c>
      <c r="V4293">
        <v>-0.18411830000000001</v>
      </c>
      <c r="W4293">
        <v>6.7278850000000001E-2</v>
      </c>
      <c r="X4293">
        <v>0.98059879999999999</v>
      </c>
      <c r="Y4293">
        <v>-0.14562249999999999</v>
      </c>
      <c r="Z4293">
        <v>7.0387119999999997E-2</v>
      </c>
      <c r="AA4293">
        <v>0.98683319999999997</v>
      </c>
      <c r="AB4293">
        <v>31</v>
      </c>
      <c r="AC4293">
        <v>1.14139999999997</v>
      </c>
      <c r="AD4293">
        <v>-1.1065427732283999</v>
      </c>
      <c r="AE4293">
        <v>-15.203249999999899</v>
      </c>
      <c r="AF4293">
        <v>-2.2545117718972398</v>
      </c>
      <c r="AG4293">
        <v>-1.1065427732283999</v>
      </c>
      <c r="AH4293">
        <v>14.9976372246986</v>
      </c>
      <c r="AI4293">
        <v>94.172984571727</v>
      </c>
      <c r="AJ4293">
        <v>98.548946062355796</v>
      </c>
      <c r="AK4293">
        <v>15.206458580559501</v>
      </c>
    </row>
    <row r="4294" spans="1:37" x14ac:dyDescent="0.2">
      <c r="A4294" t="str">
        <f>"20200111153520488"</f>
        <v>20200111153520488</v>
      </c>
      <c r="B4294" t="str">
        <f>"1578728120480198"</f>
        <v>1578728120480198</v>
      </c>
      <c r="C4294" t="s">
        <v>37</v>
      </c>
      <c r="D4294">
        <v>4.7059360000000003</v>
      </c>
      <c r="E4294">
        <v>0.52887390000000001</v>
      </c>
      <c r="F4294" t="s">
        <v>39</v>
      </c>
      <c r="G4294">
        <v>-421.18759999999997</v>
      </c>
      <c r="H4294" s="1">
        <v>-9.104209E-7</v>
      </c>
      <c r="I4294">
        <v>60.974719999999998</v>
      </c>
      <c r="J4294">
        <v>-421.8485</v>
      </c>
      <c r="K4294">
        <v>1.1064750000000001</v>
      </c>
      <c r="L4294">
        <v>75.863529999999997</v>
      </c>
      <c r="M4294">
        <v>-7.2474960000000005E-2</v>
      </c>
      <c r="N4294">
        <v>0</v>
      </c>
      <c r="O4294">
        <v>-0.99727670000000002</v>
      </c>
      <c r="P4294">
        <v>0.11295379999999999</v>
      </c>
      <c r="Q4294">
        <v>5.4375270000000003E-2</v>
      </c>
      <c r="R4294">
        <v>-0.99211170000000004</v>
      </c>
      <c r="S4294">
        <v>0.12725829999999999</v>
      </c>
      <c r="T4294">
        <v>-0.22000429999999899</v>
      </c>
      <c r="U4294">
        <v>-3.020966</v>
      </c>
      <c r="V4294">
        <v>-0.1848118</v>
      </c>
      <c r="W4294">
        <v>6.7120429999999995E-2</v>
      </c>
      <c r="X4294">
        <v>0.9804792</v>
      </c>
      <c r="Y4294">
        <v>-0.1142841</v>
      </c>
      <c r="Z4294">
        <v>7.2077130000000003E-2</v>
      </c>
      <c r="AA4294">
        <v>0.99082990000000004</v>
      </c>
      <c r="AB4294">
        <v>31</v>
      </c>
      <c r="AC4294">
        <v>0.66090000000002602</v>
      </c>
      <c r="AD4294">
        <v>-1.1064759104209001</v>
      </c>
      <c r="AE4294">
        <v>-14.888809999999999</v>
      </c>
      <c r="AF4294">
        <v>-1.72879910486502</v>
      </c>
      <c r="AG4294">
        <v>-1.1064759104209001</v>
      </c>
      <c r="AH4294">
        <v>14.720605451815601</v>
      </c>
      <c r="AI4294">
        <v>94.269328762151105</v>
      </c>
      <c r="AJ4294">
        <v>96.698177892496204</v>
      </c>
      <c r="AK4294">
        <v>14.863016522676199</v>
      </c>
    </row>
    <row r="4295" spans="1:37" x14ac:dyDescent="0.2">
      <c r="A4295" t="str">
        <f>"20200111153520509"</f>
        <v>20200111153520509</v>
      </c>
      <c r="B4295" t="str">
        <f>"1578728120500691"</f>
        <v>1578728120500691</v>
      </c>
      <c r="C4295" t="s">
        <v>37</v>
      </c>
      <c r="D4295">
        <v>4.7438760000000002</v>
      </c>
      <c r="E4295">
        <v>0.53099039999999997</v>
      </c>
      <c r="F4295" t="s">
        <v>39</v>
      </c>
      <c r="G4295">
        <v>-421.33800000000002</v>
      </c>
      <c r="H4295" s="1">
        <v>-7.3885129999999998E-7</v>
      </c>
      <c r="I4295">
        <v>60.48151</v>
      </c>
      <c r="J4295">
        <v>-421.86849999999998</v>
      </c>
      <c r="K4295">
        <v>1.106417</v>
      </c>
      <c r="L4295">
        <v>75.563050000000004</v>
      </c>
      <c r="M4295">
        <v>-7.0841929999999997E-2</v>
      </c>
      <c r="N4295">
        <v>0</v>
      </c>
      <c r="O4295">
        <v>-0.9973938</v>
      </c>
      <c r="P4295">
        <v>0.11480460000000001</v>
      </c>
      <c r="Q4295">
        <v>5.333864E-2</v>
      </c>
      <c r="R4295">
        <v>-0.99195519999999904</v>
      </c>
      <c r="S4295">
        <v>0.1003723</v>
      </c>
      <c r="T4295">
        <v>-0.2175511</v>
      </c>
      <c r="U4295">
        <v>-3.0243530000000001</v>
      </c>
      <c r="V4295">
        <v>-0.1850272</v>
      </c>
      <c r="W4295">
        <v>6.6103209999999996E-2</v>
      </c>
      <c r="X4295">
        <v>0.98050769999999998</v>
      </c>
      <c r="Y4295">
        <v>-0.1038109</v>
      </c>
      <c r="Z4295">
        <v>7.1263950000000006E-2</v>
      </c>
      <c r="AA4295">
        <v>0.992040699999999</v>
      </c>
      <c r="AB4295">
        <v>31</v>
      </c>
      <c r="AC4295">
        <v>0.53049999999996</v>
      </c>
      <c r="AD4295">
        <v>-1.1064177388512999</v>
      </c>
      <c r="AE4295">
        <v>-15.08154</v>
      </c>
      <c r="AF4295">
        <v>-1.58913003289606</v>
      </c>
      <c r="AG4295">
        <v>-1.1064177388512999</v>
      </c>
      <c r="AH4295">
        <v>14.925824091204801</v>
      </c>
      <c r="AI4295">
        <v>94.215713601192306</v>
      </c>
      <c r="AJ4295">
        <v>96.077301274084306</v>
      </c>
      <c r="AK4295">
        <v>15.0509042677139</v>
      </c>
    </row>
    <row r="4296" spans="1:37" x14ac:dyDescent="0.2">
      <c r="A4296" t="str">
        <f>"20200111153520532"</f>
        <v>20200111153520532</v>
      </c>
      <c r="B4296" t="str">
        <f>"1578728120520211"</f>
        <v>1578728120520211</v>
      </c>
      <c r="C4296" t="s">
        <v>37</v>
      </c>
      <c r="D4296">
        <v>4.733638</v>
      </c>
      <c r="E4296">
        <v>0.53243989999999997</v>
      </c>
      <c r="F4296" t="s">
        <v>39</v>
      </c>
      <c r="G4296">
        <v>-421.41539999999998</v>
      </c>
      <c r="H4296" s="1">
        <v>-6.3581189999999998E-7</v>
      </c>
      <c r="I4296">
        <v>60.1933199999999</v>
      </c>
      <c r="J4296">
        <v>-421.88850000000002</v>
      </c>
      <c r="K4296">
        <v>1.1063620000000001</v>
      </c>
      <c r="L4296">
        <v>75.256559999999993</v>
      </c>
      <c r="M4296">
        <v>-6.9221790000000005E-2</v>
      </c>
      <c r="N4296">
        <v>0</v>
      </c>
      <c r="O4296">
        <v>-0.99750779999999994</v>
      </c>
      <c r="P4296">
        <v>0.1166963</v>
      </c>
      <c r="Q4296">
        <v>5.2513360000000002E-2</v>
      </c>
      <c r="R4296">
        <v>-0.99177870000000001</v>
      </c>
      <c r="S4296">
        <v>8.9202879999999998E-2</v>
      </c>
      <c r="T4296">
        <v>-0.21781239999999999</v>
      </c>
      <c r="U4296">
        <v>-3.0257259999999899</v>
      </c>
      <c r="V4296">
        <v>-0.18529799999999999</v>
      </c>
      <c r="W4296">
        <v>6.5293870000000004E-2</v>
      </c>
      <c r="X4296">
        <v>0.98051080000000002</v>
      </c>
      <c r="Y4296">
        <v>-9.8520440000000001E-2</v>
      </c>
      <c r="Z4296">
        <v>7.1352570000000004E-2</v>
      </c>
      <c r="AA4296">
        <v>0.992573699999999</v>
      </c>
      <c r="AB4296">
        <v>31</v>
      </c>
      <c r="AC4296">
        <v>0.47310000000004399</v>
      </c>
      <c r="AD4296">
        <v>-1.1063626358119001</v>
      </c>
      <c r="AE4296">
        <v>-15.06324</v>
      </c>
      <c r="AF4296">
        <v>-1.5066469310500901</v>
      </c>
      <c r="AG4296">
        <v>-1.1063626358119001</v>
      </c>
      <c r="AH4296">
        <v>14.913973653505201</v>
      </c>
      <c r="AI4296">
        <v>94.221192265063493</v>
      </c>
      <c r="AJ4296">
        <v>95.768592236810903</v>
      </c>
      <c r="AK4296">
        <v>15.0306564525377</v>
      </c>
    </row>
    <row r="4297" spans="1:37" x14ac:dyDescent="0.2">
      <c r="A4297" t="str">
        <f>"20200111153520554"</f>
        <v>20200111153520554</v>
      </c>
      <c r="B4297" t="str">
        <f>"1578728120550467"</f>
        <v>1578728120550467</v>
      </c>
      <c r="C4297" t="s">
        <v>37</v>
      </c>
      <c r="D4297">
        <v>4.7215850000000001</v>
      </c>
      <c r="E4297">
        <v>0.53432489999999999</v>
      </c>
      <c r="F4297" t="s">
        <v>39</v>
      </c>
      <c r="G4297">
        <v>-421.46749999999997</v>
      </c>
      <c r="H4297" s="1">
        <v>-5.7976159999999998E-7</v>
      </c>
      <c r="I4297">
        <v>60.030349999999999</v>
      </c>
      <c r="J4297">
        <v>-421.9076</v>
      </c>
      <c r="K4297">
        <v>1.1063259999999999</v>
      </c>
      <c r="L4297">
        <v>74.956850000000003</v>
      </c>
      <c r="M4297">
        <v>-6.7665610000000001E-2</v>
      </c>
      <c r="N4297">
        <v>0</v>
      </c>
      <c r="O4297">
        <v>-0.99761460000000002</v>
      </c>
      <c r="P4297">
        <v>0.1185461</v>
      </c>
      <c r="Q4297">
        <v>5.2383329999999999E-2</v>
      </c>
      <c r="R4297">
        <v>-0.9915659</v>
      </c>
      <c r="S4297">
        <v>8.3679199999999995E-2</v>
      </c>
      <c r="T4297">
        <v>-0.21992100000000001</v>
      </c>
      <c r="U4297">
        <v>-3.0266419999999998</v>
      </c>
      <c r="V4297">
        <v>-0.18559210000000001</v>
      </c>
      <c r="W4297">
        <v>6.5175380000000005E-2</v>
      </c>
      <c r="X4297">
        <v>0.98046299999999997</v>
      </c>
      <c r="Y4297">
        <v>-9.5147300000000004E-2</v>
      </c>
      <c r="Z4297">
        <v>7.2043430000000006E-2</v>
      </c>
      <c r="AA4297">
        <v>0.99285279999999998</v>
      </c>
      <c r="AB4297">
        <v>31</v>
      </c>
      <c r="AC4297">
        <v>0.44010000000002902</v>
      </c>
      <c r="AD4297">
        <v>-1.1063265797616</v>
      </c>
      <c r="AE4297">
        <v>-14.926500000000001</v>
      </c>
      <c r="AF4297">
        <v>-1.4412851868518399</v>
      </c>
      <c r="AG4297">
        <v>-1.1063265797616</v>
      </c>
      <c r="AH4297">
        <v>14.7813692796431</v>
      </c>
      <c r="AI4297">
        <v>94.260250326070505</v>
      </c>
      <c r="AJ4297">
        <v>95.569127507917202</v>
      </c>
      <c r="AK4297">
        <v>14.892620295706999</v>
      </c>
    </row>
    <row r="4298" spans="1:37" x14ac:dyDescent="0.2">
      <c r="A4298" t="str">
        <f>"20200111153520576"</f>
        <v>20200111153520576</v>
      </c>
      <c r="B4298" t="str">
        <f>"1578728120569987"</f>
        <v>1578728120569987</v>
      </c>
      <c r="C4298" t="s">
        <v>37</v>
      </c>
      <c r="D4298">
        <v>4.733473</v>
      </c>
      <c r="E4298">
        <v>0.53508679999999997</v>
      </c>
      <c r="F4298" t="s">
        <v>39</v>
      </c>
      <c r="G4298">
        <v>-421.53339999999997</v>
      </c>
      <c r="H4298" s="1">
        <v>-4.5096649999999998E-7</v>
      </c>
      <c r="I4298">
        <v>59.689279999999997</v>
      </c>
      <c r="J4298">
        <v>-421.92680000000001</v>
      </c>
      <c r="K4298">
        <v>1.1062969999999901</v>
      </c>
      <c r="L4298">
        <v>74.646209999999996</v>
      </c>
      <c r="M4298">
        <v>-6.6068569999999993E-2</v>
      </c>
      <c r="N4298">
        <v>0</v>
      </c>
      <c r="O4298">
        <v>-0.99772169999999905</v>
      </c>
      <c r="P4298">
        <v>0.120043899999999</v>
      </c>
      <c r="Q4298">
        <v>5.2265449999999998E-2</v>
      </c>
      <c r="R4298">
        <v>-0.9913921</v>
      </c>
      <c r="S4298">
        <v>7.421875E-2</v>
      </c>
      <c r="T4298">
        <v>-0.21943309999999999</v>
      </c>
      <c r="U4298">
        <v>-3.0282290000000001</v>
      </c>
      <c r="V4298">
        <v>-0.185499</v>
      </c>
      <c r="W4298">
        <v>6.5067369999999999E-2</v>
      </c>
      <c r="X4298">
        <v>0.98048780000000002</v>
      </c>
      <c r="Y4298">
        <v>-9.0439080000000005E-2</v>
      </c>
      <c r="Z4298">
        <v>7.1877350000000007E-2</v>
      </c>
      <c r="AA4298">
        <v>0.99330479999999999</v>
      </c>
      <c r="AB4298">
        <v>31</v>
      </c>
      <c r="AC4298">
        <v>0.39340000000004199</v>
      </c>
      <c r="AD4298">
        <v>-1.10629745096649</v>
      </c>
      <c r="AE4298">
        <v>-14.9569299999999</v>
      </c>
      <c r="AF4298">
        <v>-1.37330732418942</v>
      </c>
      <c r="AG4298">
        <v>-1.10629745096649</v>
      </c>
      <c r="AH4298">
        <v>14.8172428498192</v>
      </c>
      <c r="AI4298">
        <v>94.251787688828301</v>
      </c>
      <c r="AJ4298">
        <v>95.295220180107805</v>
      </c>
      <c r="AK4298">
        <v>14.9218146593236</v>
      </c>
    </row>
    <row r="4299" spans="1:37" x14ac:dyDescent="0.2">
      <c r="A4299" t="str">
        <f>"20200111153520598"</f>
        <v>20200111153520598</v>
      </c>
      <c r="B4299" t="str">
        <f>"1578728120590483"</f>
        <v>1578728120590483</v>
      </c>
      <c r="C4299" t="s">
        <v>37</v>
      </c>
      <c r="D4299">
        <v>4.7317089999999897</v>
      </c>
      <c r="E4299">
        <v>0.53572469999999905</v>
      </c>
      <c r="F4299" t="s">
        <v>39</v>
      </c>
      <c r="G4299">
        <v>-421.55610000000001</v>
      </c>
      <c r="H4299" s="1">
        <v>-4.4760209999999999E-6</v>
      </c>
      <c r="I4299">
        <v>59.328659999999999</v>
      </c>
      <c r="J4299">
        <v>-421.94479999999999</v>
      </c>
      <c r="K4299">
        <v>1.1062829999999999</v>
      </c>
      <c r="L4299">
        <v>74.350219999999993</v>
      </c>
      <c r="M4299">
        <v>-6.4554689999999998E-2</v>
      </c>
      <c r="N4299">
        <v>0</v>
      </c>
      <c r="O4299">
        <v>-0.99782090000000001</v>
      </c>
      <c r="P4299">
        <v>0.1213153</v>
      </c>
      <c r="Q4299">
        <v>5.2386500000000003E-2</v>
      </c>
      <c r="R4299">
        <v>-0.99123099999999997</v>
      </c>
      <c r="S4299">
        <v>7.3303220000000002E-2</v>
      </c>
      <c r="T4299">
        <v>-0.21874749999999901</v>
      </c>
      <c r="U4299">
        <v>-3.0287169999999999</v>
      </c>
      <c r="V4299">
        <v>-0.1852656</v>
      </c>
      <c r="W4299">
        <v>6.5195370000000002E-2</v>
      </c>
      <c r="X4299">
        <v>0.98052349999999999</v>
      </c>
      <c r="Y4299">
        <v>-8.8624309999999998E-2</v>
      </c>
      <c r="Z4299">
        <v>7.1659299999999995E-2</v>
      </c>
      <c r="AA4299">
        <v>0.99348409999999998</v>
      </c>
      <c r="AB4299">
        <v>31</v>
      </c>
      <c r="AC4299">
        <v>0.38869999999997101</v>
      </c>
      <c r="AD4299">
        <v>-1.106287476021</v>
      </c>
      <c r="AE4299">
        <v>-15.0215599999999</v>
      </c>
      <c r="AF4299">
        <v>-1.35037221558307</v>
      </c>
      <c r="AG4299">
        <v>-1.106287476021</v>
      </c>
      <c r="AH4299">
        <v>14.884450325026499</v>
      </c>
      <c r="AI4299">
        <v>94.233373077871406</v>
      </c>
      <c r="AJ4299">
        <v>95.183892954809295</v>
      </c>
      <c r="AK4299">
        <v>14.9864685159113</v>
      </c>
    </row>
    <row r="4300" spans="1:37" x14ac:dyDescent="0.2">
      <c r="A4300" t="str">
        <f>"20200111153520621"</f>
        <v>20200111153520621</v>
      </c>
      <c r="B4300" t="str">
        <f>"1578728120610003"</f>
        <v>1578728120610003</v>
      </c>
      <c r="C4300" t="s">
        <v>37</v>
      </c>
      <c r="D4300">
        <v>4.7316739999999999</v>
      </c>
      <c r="E4300">
        <v>0.53629839999999995</v>
      </c>
      <c r="F4300" t="s">
        <v>39</v>
      </c>
      <c r="G4300">
        <v>-421.57990000000001</v>
      </c>
      <c r="H4300" s="1">
        <v>-4.3714280000000001E-6</v>
      </c>
      <c r="I4300">
        <v>59.008919999999897</v>
      </c>
      <c r="J4300">
        <v>-421.96280000000002</v>
      </c>
      <c r="K4300">
        <v>1.1062719999999999</v>
      </c>
      <c r="L4300">
        <v>74.044650000000004</v>
      </c>
      <c r="M4300">
        <v>-6.2994019999999998E-2</v>
      </c>
      <c r="N4300">
        <v>0</v>
      </c>
      <c r="O4300">
        <v>-0.99792060000000005</v>
      </c>
      <c r="P4300">
        <v>0.12348089999999901</v>
      </c>
      <c r="Q4300">
        <v>5.2176979999999998E-2</v>
      </c>
      <c r="R4300">
        <v>-0.99097449999999998</v>
      </c>
      <c r="S4300">
        <v>7.2052000000000005E-2</v>
      </c>
      <c r="T4300">
        <v>-0.21844559999999999</v>
      </c>
      <c r="U4300">
        <v>-3.0292659999999998</v>
      </c>
      <c r="V4300">
        <v>-0.1858735</v>
      </c>
      <c r="W4300">
        <v>6.4985539999999994E-2</v>
      </c>
      <c r="X4300">
        <v>0.98042229999999997</v>
      </c>
      <c r="Y4300">
        <v>-8.6652019999999996E-2</v>
      </c>
      <c r="Z4300">
        <v>7.1565370000000003E-2</v>
      </c>
      <c r="AA4300">
        <v>0.99366489999999996</v>
      </c>
      <c r="AB4300">
        <v>31</v>
      </c>
      <c r="AC4300">
        <v>0.38290000000000601</v>
      </c>
      <c r="AD4300">
        <v>-1.1062763714279999</v>
      </c>
      <c r="AE4300">
        <v>-15.035729999999999</v>
      </c>
      <c r="AF4300">
        <v>-1.32223538177936</v>
      </c>
      <c r="AG4300">
        <v>-1.1062763714279999</v>
      </c>
      <c r="AH4300">
        <v>14.9011244045245</v>
      </c>
      <c r="AI4300">
        <v>94.229357200138793</v>
      </c>
      <c r="AJ4300">
        <v>95.070799048646606</v>
      </c>
      <c r="AK4300">
        <v>15.0005220687123</v>
      </c>
    </row>
    <row r="4301" spans="1:37" x14ac:dyDescent="0.2">
      <c r="A4301" t="str">
        <f>"20200111153520644"</f>
        <v>20200111153520644</v>
      </c>
      <c r="B4301" t="str">
        <f>"1578728120640259"</f>
        <v>1578728120640259</v>
      </c>
      <c r="C4301" t="s">
        <v>37</v>
      </c>
      <c r="D4301">
        <v>4.7204610000000002</v>
      </c>
      <c r="E4301">
        <v>0.53693559999999996</v>
      </c>
      <c r="F4301" t="s">
        <v>39</v>
      </c>
      <c r="G4301">
        <v>-421.58659999999998</v>
      </c>
      <c r="H4301" s="1">
        <v>-4.2573480000000004E-6</v>
      </c>
      <c r="I4301">
        <v>58.67015</v>
      </c>
      <c r="J4301">
        <v>-421.98050000000001</v>
      </c>
      <c r="K4301">
        <v>1.106266</v>
      </c>
      <c r="L4301">
        <v>73.737210000000005</v>
      </c>
      <c r="M4301">
        <v>-6.1422360000000002E-2</v>
      </c>
      <c r="N4301">
        <v>0</v>
      </c>
      <c r="O4301">
        <v>-0.99801859999999998</v>
      </c>
      <c r="P4301">
        <v>0.1256639</v>
      </c>
      <c r="Q4301">
        <v>5.1934260000000003E-2</v>
      </c>
      <c r="R4301">
        <v>-0.99071299999999995</v>
      </c>
      <c r="S4301">
        <v>7.4127199999999893E-2</v>
      </c>
      <c r="T4301">
        <v>-0.21799369999999901</v>
      </c>
      <c r="U4301">
        <v>-3.0295719999999999</v>
      </c>
      <c r="V4301">
        <v>-0.1864884</v>
      </c>
      <c r="W4301">
        <v>6.4740480000000003E-2</v>
      </c>
      <c r="X4301">
        <v>0.98032180000000002</v>
      </c>
      <c r="Y4301">
        <v>-8.5761180000000006E-2</v>
      </c>
      <c r="Z4301">
        <v>7.142366E-2</v>
      </c>
      <c r="AA4301">
        <v>0.99375230000000003</v>
      </c>
      <c r="AB4301">
        <v>31</v>
      </c>
      <c r="AC4301">
        <v>0.39390000000003</v>
      </c>
      <c r="AD4301">
        <v>-1.1062702573479899</v>
      </c>
      <c r="AE4301">
        <v>-15.06706</v>
      </c>
      <c r="AF4301">
        <v>-1.31163055760475</v>
      </c>
      <c r="AG4301">
        <v>-1.1062702573479899</v>
      </c>
      <c r="AH4301">
        <v>14.9339562746668</v>
      </c>
      <c r="AI4301">
        <v>94.2204028995111</v>
      </c>
      <c r="AJ4301">
        <v>95.019336345087098</v>
      </c>
      <c r="AK4301">
        <v>15.0322073766828</v>
      </c>
    </row>
    <row r="4302" spans="1:37" x14ac:dyDescent="0.2">
      <c r="A4302" t="str">
        <f>"20200111153520666"</f>
        <v>20200111153520666</v>
      </c>
      <c r="B4302" t="str">
        <f>"1578728120660755"</f>
        <v>1578728120660755</v>
      </c>
      <c r="C4302" t="s">
        <v>37</v>
      </c>
      <c r="D4302">
        <v>4.7402699999999998</v>
      </c>
      <c r="E4302">
        <v>0.53726850000000004</v>
      </c>
      <c r="F4302" t="s">
        <v>39</v>
      </c>
      <c r="G4302">
        <v>-421.5992</v>
      </c>
      <c r="H4302" s="1">
        <v>-4.1583359999999998E-6</v>
      </c>
      <c r="I4302">
        <v>58.372680000000003</v>
      </c>
      <c r="J4302">
        <v>-421.99770000000001</v>
      </c>
      <c r="K4302">
        <v>1.1062609999999999</v>
      </c>
      <c r="L4302">
        <v>73.428960000000004</v>
      </c>
      <c r="M4302">
        <v>-5.9843220000000003E-2</v>
      </c>
      <c r="N4302">
        <v>0</v>
      </c>
      <c r="O4302">
        <v>-0.99811439999999996</v>
      </c>
      <c r="P4302">
        <v>0.12802469999999999</v>
      </c>
      <c r="Q4302">
        <v>5.2196609999999997E-2</v>
      </c>
      <c r="R4302">
        <v>-0.99039650000000001</v>
      </c>
      <c r="S4302">
        <v>7.5195310000000001E-2</v>
      </c>
      <c r="T4302">
        <v>-0.21816679999999899</v>
      </c>
      <c r="U4302">
        <v>-3.0300289999999999</v>
      </c>
      <c r="V4302">
        <v>-0.18727379999999999</v>
      </c>
      <c r="W4302">
        <v>6.4998390000000003E-2</v>
      </c>
      <c r="X4302">
        <v>0.98015490000000005</v>
      </c>
      <c r="Y4302">
        <v>-8.4531099999999998E-2</v>
      </c>
      <c r="Z4302">
        <v>7.1483099999999994E-2</v>
      </c>
      <c r="AA4302">
        <v>0.9938534</v>
      </c>
      <c r="AB4302">
        <v>31</v>
      </c>
      <c r="AC4302">
        <v>0.39850000000001201</v>
      </c>
      <c r="AD4302">
        <v>-1.1062651583359999</v>
      </c>
      <c r="AE4302">
        <v>-15.056279999999999</v>
      </c>
      <c r="AF4302">
        <v>-1.29191626033399</v>
      </c>
      <c r="AG4302">
        <v>-1.1062651583359999</v>
      </c>
      <c r="AH4302">
        <v>14.924923528913901</v>
      </c>
      <c r="AI4302">
        <v>94.223390139237097</v>
      </c>
      <c r="AJ4302">
        <v>94.947248131939304</v>
      </c>
      <c r="AK4302">
        <v>15.021524974788401</v>
      </c>
    </row>
    <row r="4303" spans="1:37" x14ac:dyDescent="0.2">
      <c r="A4303" t="str">
        <f>"20200111153520689"</f>
        <v>20200111153520689</v>
      </c>
      <c r="B4303" t="str">
        <f>"1578728120680275"</f>
        <v>1578728120680275</v>
      </c>
      <c r="C4303" t="s">
        <v>37</v>
      </c>
      <c r="D4303">
        <v>4.7739279999999997</v>
      </c>
      <c r="E4303">
        <v>0.53736139999999999</v>
      </c>
      <c r="F4303" t="s">
        <v>39</v>
      </c>
      <c r="G4303">
        <v>-421.59190000000001</v>
      </c>
      <c r="H4303" s="1">
        <v>-4.0111719999999999E-6</v>
      </c>
      <c r="I4303">
        <v>57.951880000000003</v>
      </c>
      <c r="J4303">
        <v>-422.01420000000002</v>
      </c>
      <c r="K4303">
        <v>1.1062559999999999</v>
      </c>
      <c r="L4303">
        <v>73.124790000000004</v>
      </c>
      <c r="M4303">
        <v>-5.8281090000000001E-2</v>
      </c>
      <c r="N4303">
        <v>0</v>
      </c>
      <c r="O4303">
        <v>-0.99820719999999996</v>
      </c>
      <c r="P4303">
        <v>0.12948280000000001</v>
      </c>
      <c r="Q4303">
        <v>5.2358969999999998E-2</v>
      </c>
      <c r="R4303">
        <v>-0.99019889999999999</v>
      </c>
      <c r="S4303">
        <v>7.9437259999999996E-2</v>
      </c>
      <c r="T4303">
        <v>-0.2165947</v>
      </c>
      <c r="U4303">
        <v>-3.030243</v>
      </c>
      <c r="V4303">
        <v>-0.1871816</v>
      </c>
      <c r="W4303">
        <v>6.5160629999999997E-2</v>
      </c>
      <c r="X4303">
        <v>0.98016179999999997</v>
      </c>
      <c r="Y4303">
        <v>-8.4361279999999997E-2</v>
      </c>
      <c r="Z4303">
        <v>7.0974789999999996E-2</v>
      </c>
      <c r="AA4303">
        <v>0.99390429999999996</v>
      </c>
      <c r="AB4303">
        <v>31</v>
      </c>
      <c r="AC4303">
        <v>0.422300000000007</v>
      </c>
      <c r="AD4303">
        <v>-1.106260011172</v>
      </c>
      <c r="AE4303">
        <v>-15.17291</v>
      </c>
      <c r="AF4303">
        <v>-1.29905758522051</v>
      </c>
      <c r="AG4303">
        <v>-1.106260011172</v>
      </c>
      <c r="AH4303">
        <v>15.0425970755131</v>
      </c>
      <c r="AI4303">
        <v>94.190523126869095</v>
      </c>
      <c r="AJ4303">
        <v>94.935737538061005</v>
      </c>
      <c r="AK4303">
        <v>15.1390583788515</v>
      </c>
    </row>
    <row r="4304" spans="1:37" x14ac:dyDescent="0.2">
      <c r="A4304" t="str">
        <f>"20200111153520710"</f>
        <v>20200111153520710</v>
      </c>
      <c r="B4304" t="str">
        <f>"1578728120700771"</f>
        <v>1578728120700771</v>
      </c>
      <c r="C4304" t="s">
        <v>37</v>
      </c>
      <c r="D4304">
        <v>4.7169049999999997</v>
      </c>
      <c r="E4304">
        <v>0.53725100000000003</v>
      </c>
      <c r="F4304" t="s">
        <v>39</v>
      </c>
      <c r="G4304">
        <v>-421.58330000000001</v>
      </c>
      <c r="H4304" s="1">
        <v>-3.7696839999999899E-6</v>
      </c>
      <c r="I4304">
        <v>57.394329999999997</v>
      </c>
      <c r="J4304">
        <v>-422.02980000000002</v>
      </c>
      <c r="K4304">
        <v>1.10625</v>
      </c>
      <c r="L4304">
        <v>72.829189999999997</v>
      </c>
      <c r="M4304">
        <v>-5.6760100000000001E-2</v>
      </c>
      <c r="N4304">
        <v>0</v>
      </c>
      <c r="O4304">
        <v>-0.99829460000000003</v>
      </c>
      <c r="P4304">
        <v>0.1310125</v>
      </c>
      <c r="Q4304">
        <v>5.2169229999999997E-2</v>
      </c>
      <c r="R4304">
        <v>-0.99000710000000003</v>
      </c>
      <c r="S4304">
        <v>8.3007810000000001E-2</v>
      </c>
      <c r="T4304">
        <v>-0.21309629999999899</v>
      </c>
      <c r="U4304">
        <v>-3.0301209999999998</v>
      </c>
      <c r="V4304">
        <v>-0.1872026</v>
      </c>
      <c r="W4304">
        <v>6.4970299999999995E-2</v>
      </c>
      <c r="X4304">
        <v>0.9801704</v>
      </c>
      <c r="Y4304">
        <v>-8.4016670000000002E-2</v>
      </c>
      <c r="Z4304">
        <v>6.9846019999999995E-2</v>
      </c>
      <c r="AA4304">
        <v>0.99401340000000005</v>
      </c>
      <c r="AB4304">
        <v>30</v>
      </c>
      <c r="AC4304">
        <v>0.446500000000014</v>
      </c>
      <c r="AD4304">
        <v>-1.106253769684</v>
      </c>
      <c r="AE4304">
        <v>-15.434859999999899</v>
      </c>
      <c r="AF4304">
        <v>-1.31519537814821</v>
      </c>
      <c r="AG4304">
        <v>-1.106253769684</v>
      </c>
      <c r="AH4304">
        <v>15.306065712041599</v>
      </c>
      <c r="AI4304">
        <v>94.118769111313895</v>
      </c>
      <c r="AJ4304">
        <v>94.911157792639401</v>
      </c>
      <c r="AK4304">
        <v>15.402246065654801</v>
      </c>
    </row>
    <row r="4305" spans="1:37" x14ac:dyDescent="0.2">
      <c r="A4305" t="str">
        <f>"20200111153520732"</f>
        <v>20200111153520732</v>
      </c>
      <c r="B4305" t="str">
        <f>"1578728120720291"</f>
        <v>1578728120720291</v>
      </c>
      <c r="C4305" t="s">
        <v>37</v>
      </c>
      <c r="D4305">
        <v>4.7681459999999998</v>
      </c>
      <c r="E4305">
        <v>0.53711229999999999</v>
      </c>
      <c r="F4305" t="s">
        <v>39</v>
      </c>
      <c r="G4305">
        <v>-421.5523</v>
      </c>
      <c r="H4305" s="1">
        <v>-3.3807239999999999E-6</v>
      </c>
      <c r="I4305">
        <v>56.5068699999999</v>
      </c>
      <c r="J4305">
        <v>-422.04520000000002</v>
      </c>
      <c r="K4305">
        <v>1.106249</v>
      </c>
      <c r="L4305">
        <v>72.528530000000003</v>
      </c>
      <c r="M4305">
        <v>-5.5211759999999999E-2</v>
      </c>
      <c r="N4305">
        <v>0</v>
      </c>
      <c r="O4305">
        <v>-0.99838159999999898</v>
      </c>
      <c r="P4305">
        <v>0.13293629999999901</v>
      </c>
      <c r="Q4305">
        <v>5.1721719999999999E-2</v>
      </c>
      <c r="R4305">
        <v>-0.9897743</v>
      </c>
      <c r="S4305">
        <v>8.8623049999999995E-2</v>
      </c>
      <c r="T4305">
        <v>-0.20531630000000001</v>
      </c>
      <c r="U4305">
        <v>-3.0293580000000002</v>
      </c>
      <c r="V4305">
        <v>-0.1875867</v>
      </c>
      <c r="W4305">
        <v>6.4520159999999993E-2</v>
      </c>
      <c r="X4305">
        <v>0.98012670000000002</v>
      </c>
      <c r="Y4305">
        <v>-8.4324200000000002E-2</v>
      </c>
      <c r="Z4305">
        <v>6.7330899999999999E-2</v>
      </c>
      <c r="AA4305">
        <v>0.99416099999999996</v>
      </c>
      <c r="AB4305">
        <v>30</v>
      </c>
      <c r="AC4305">
        <v>0.49290000000001999</v>
      </c>
      <c r="AD4305">
        <v>-1.1062523807239999</v>
      </c>
      <c r="AE4305">
        <v>-16.021660000000001</v>
      </c>
      <c r="AF4305">
        <v>-1.3702875689854599</v>
      </c>
      <c r="AG4305">
        <v>-1.1062523807239999</v>
      </c>
      <c r="AH4305">
        <v>15.894295812172601</v>
      </c>
      <c r="AI4305">
        <v>93.966732394640701</v>
      </c>
      <c r="AJ4305">
        <v>94.927430748796397</v>
      </c>
      <c r="AK4305">
        <v>15.9915640797397</v>
      </c>
    </row>
    <row r="4306" spans="1:37" x14ac:dyDescent="0.2">
      <c r="A4306" t="str">
        <f>"20200111153520756"</f>
        <v>20200111153520756</v>
      </c>
      <c r="B4306" t="str">
        <f>"1578728120750547"</f>
        <v>1578728120750547</v>
      </c>
      <c r="C4306" t="s">
        <v>37</v>
      </c>
      <c r="D4306">
        <v>4.7592549999999996</v>
      </c>
      <c r="E4306">
        <v>0.5370587</v>
      </c>
      <c r="F4306" t="s">
        <v>39</v>
      </c>
      <c r="G4306">
        <v>-421.51549999999997</v>
      </c>
      <c r="H4306" s="1">
        <v>-3.0342859999999999E-6</v>
      </c>
      <c r="I4306">
        <v>55.722149999999999</v>
      </c>
      <c r="J4306">
        <v>-422.0609</v>
      </c>
      <c r="K4306">
        <v>1.1062529999999999</v>
      </c>
      <c r="L4306">
        <v>72.214079999999996</v>
      </c>
      <c r="M4306">
        <v>-5.3590909999999999E-2</v>
      </c>
      <c r="N4306">
        <v>0</v>
      </c>
      <c r="O4306">
        <v>-0.99846959999999996</v>
      </c>
      <c r="P4306">
        <v>0.1352283</v>
      </c>
      <c r="Q4306">
        <v>5.1575990000000002E-2</v>
      </c>
      <c r="R4306">
        <v>-0.98947090000000004</v>
      </c>
      <c r="S4306">
        <v>9.5458979999999999E-2</v>
      </c>
      <c r="T4306">
        <v>-0.1993521</v>
      </c>
      <c r="U4306">
        <v>-3.0285950000000001</v>
      </c>
      <c r="V4306">
        <v>-0.18826570000000001</v>
      </c>
      <c r="W4306">
        <v>6.4369800000000005E-2</v>
      </c>
      <c r="X4306">
        <v>0.98000640000000006</v>
      </c>
      <c r="Y4306">
        <v>-8.4959859999999998E-2</v>
      </c>
      <c r="Z4306">
        <v>6.5404669999999998E-2</v>
      </c>
      <c r="AA4306">
        <v>0.99423539999999999</v>
      </c>
      <c r="AB4306">
        <v>30</v>
      </c>
      <c r="AC4306">
        <v>0.54540000000002897</v>
      </c>
      <c r="AD4306">
        <v>-1.1062560342859999</v>
      </c>
      <c r="AE4306">
        <v>-16.49193</v>
      </c>
      <c r="AF4306">
        <v>-1.4221241346531299</v>
      </c>
      <c r="AG4306">
        <v>-1.1062560342859999</v>
      </c>
      <c r="AH4306">
        <v>16.3654385113818</v>
      </c>
      <c r="AI4306">
        <v>93.852670102157902</v>
      </c>
      <c r="AJ4306">
        <v>94.966413725826797</v>
      </c>
      <c r="AK4306">
        <v>16.464319516383799</v>
      </c>
    </row>
    <row r="4307" spans="1:37" x14ac:dyDescent="0.2">
      <c r="A4307" t="str">
        <f>"20200111153520777"</f>
        <v>20200111153520777</v>
      </c>
      <c r="B4307" t="str">
        <f>"1578728120770067"</f>
        <v>1578728120770067</v>
      </c>
      <c r="C4307" t="s">
        <v>37</v>
      </c>
      <c r="D4307">
        <v>4.7508989999999898</v>
      </c>
      <c r="E4307">
        <v>0.53703639999999997</v>
      </c>
      <c r="F4307" t="s">
        <v>39</v>
      </c>
      <c r="G4307">
        <v>-421.4674</v>
      </c>
      <c r="H4307" s="1">
        <v>-2.613988E-6</v>
      </c>
      <c r="I4307">
        <v>54.772269999999899</v>
      </c>
      <c r="J4307">
        <v>-422.07510000000002</v>
      </c>
      <c r="K4307">
        <v>1.106249</v>
      </c>
      <c r="L4307">
        <v>71.919039999999995</v>
      </c>
      <c r="M4307">
        <v>-5.2069850000000001E-2</v>
      </c>
      <c r="N4307">
        <v>0</v>
      </c>
      <c r="O4307">
        <v>-0.99855039999999995</v>
      </c>
      <c r="P4307">
        <v>0.13691539999999999</v>
      </c>
      <c r="Q4307">
        <v>5.2675649999999997E-2</v>
      </c>
      <c r="R4307">
        <v>-0.98918130000000004</v>
      </c>
      <c r="S4307">
        <v>0.1030273</v>
      </c>
      <c r="T4307">
        <v>-0.19204379999999999</v>
      </c>
      <c r="U4307">
        <v>-3.027863</v>
      </c>
      <c r="V4307">
        <v>-0.18844430000000001</v>
      </c>
      <c r="W4307">
        <v>6.5466579999999996E-2</v>
      </c>
      <c r="X4307">
        <v>0.97989939999999998</v>
      </c>
      <c r="Y4307">
        <v>-8.5937269999999996E-2</v>
      </c>
      <c r="Z4307">
        <v>6.3034259999999995E-2</v>
      </c>
      <c r="AA4307">
        <v>0.99430450000000004</v>
      </c>
      <c r="AB4307">
        <v>30</v>
      </c>
      <c r="AC4307">
        <v>0.607700000000022</v>
      </c>
      <c r="AD4307">
        <v>-1.1062516139880001</v>
      </c>
      <c r="AE4307">
        <v>-17.14677</v>
      </c>
      <c r="AF4307">
        <v>-1.4935791130339</v>
      </c>
      <c r="AG4307">
        <v>-1.1062516139880001</v>
      </c>
      <c r="AH4307">
        <v>17.021099708256699</v>
      </c>
      <c r="AI4307">
        <v>93.704397769065906</v>
      </c>
      <c r="AJ4307">
        <v>95.014784618790202</v>
      </c>
      <c r="AK4307">
        <v>17.122278075033101</v>
      </c>
    </row>
    <row r="4308" spans="1:37" x14ac:dyDescent="0.2">
      <c r="A4308" t="str">
        <f>"20200111153520801"</f>
        <v>20200111153520801</v>
      </c>
      <c r="B4308" t="str">
        <f>"1578728120790563"</f>
        <v>1578728120790563</v>
      </c>
      <c r="C4308" t="s">
        <v>37</v>
      </c>
      <c r="D4308">
        <v>4.7750709999999996</v>
      </c>
      <c r="E4308">
        <v>0.53710480000000005</v>
      </c>
      <c r="F4308" t="s">
        <v>39</v>
      </c>
      <c r="G4308">
        <v>-421.42790000000002</v>
      </c>
      <c r="H4308" s="1">
        <v>-2.228932E-6</v>
      </c>
      <c r="I4308">
        <v>53.899169999999998</v>
      </c>
      <c r="J4308">
        <v>-422.08920000000001</v>
      </c>
      <c r="K4308">
        <v>1.1062479999999999</v>
      </c>
      <c r="L4308">
        <v>71.613950000000003</v>
      </c>
      <c r="M4308">
        <v>-5.0497019999999997E-2</v>
      </c>
      <c r="N4308">
        <v>0</v>
      </c>
      <c r="O4308">
        <v>-0.99863119999999905</v>
      </c>
      <c r="P4308">
        <v>0.13907739999999999</v>
      </c>
      <c r="Q4308">
        <v>5.2845240000000002E-2</v>
      </c>
      <c r="R4308">
        <v>-0.98887039999999904</v>
      </c>
      <c r="S4308">
        <v>0.1087341</v>
      </c>
      <c r="T4308">
        <v>-0.18587119999999999</v>
      </c>
      <c r="U4308">
        <v>-3.027679</v>
      </c>
      <c r="V4308">
        <v>-0.18904309999999999</v>
      </c>
      <c r="W4308">
        <v>6.5631229999999999E-2</v>
      </c>
      <c r="X4308">
        <v>0.97977300000000001</v>
      </c>
      <c r="Y4308">
        <v>-8.6246450000000002E-2</v>
      </c>
      <c r="Z4308">
        <v>6.1024250000000002E-2</v>
      </c>
      <c r="AA4308">
        <v>0.99440309999999899</v>
      </c>
      <c r="AB4308">
        <v>30</v>
      </c>
      <c r="AC4308">
        <v>0.66129999999998201</v>
      </c>
      <c r="AD4308">
        <v>-1.106250228932</v>
      </c>
      <c r="AE4308">
        <v>-17.714780000000001</v>
      </c>
      <c r="AF4308">
        <v>-1.5490503876942801</v>
      </c>
      <c r="AG4308">
        <v>-1.106250228932</v>
      </c>
      <c r="AH4308">
        <v>17.5902767307124</v>
      </c>
      <c r="AI4308">
        <v>93.584748103681704</v>
      </c>
      <c r="AJ4308">
        <v>95.0326485022035</v>
      </c>
      <c r="AK4308">
        <v>17.692969850640399</v>
      </c>
    </row>
    <row r="4309" spans="1:37" x14ac:dyDescent="0.2">
      <c r="A4309" t="str">
        <f>"20200111153520822"</f>
        <v>20200111153520822</v>
      </c>
      <c r="B4309" t="str">
        <f>"1578728120810083"</f>
        <v>1578728120810083</v>
      </c>
      <c r="C4309" t="s">
        <v>37</v>
      </c>
      <c r="D4309">
        <v>4.7297169999999999</v>
      </c>
      <c r="E4309">
        <v>0.53724550000000004</v>
      </c>
      <c r="F4309" t="s">
        <v>39</v>
      </c>
      <c r="G4309">
        <v>-421.39120000000003</v>
      </c>
      <c r="H4309" s="1">
        <v>-1.9253079999999998E-6</v>
      </c>
      <c r="I4309">
        <v>53.21416</v>
      </c>
      <c r="J4309">
        <v>-422.10250000000002</v>
      </c>
      <c r="K4309">
        <v>1.1062459999999901</v>
      </c>
      <c r="L4309">
        <v>71.318359999999998</v>
      </c>
      <c r="M4309">
        <v>-4.8972979999999999E-2</v>
      </c>
      <c r="N4309">
        <v>0</v>
      </c>
      <c r="O4309">
        <v>-0.99870720000000002</v>
      </c>
      <c r="P4309">
        <v>0.14152290000000001</v>
      </c>
      <c r="Q4309">
        <v>5.276132E-2</v>
      </c>
      <c r="R4309">
        <v>-0.98852809999999902</v>
      </c>
      <c r="S4309">
        <v>0.1148376</v>
      </c>
      <c r="T4309">
        <v>-0.18201289999999901</v>
      </c>
      <c r="U4309">
        <v>-3.0273439999999998</v>
      </c>
      <c r="V4309">
        <v>-0.18997149999999999</v>
      </c>
      <c r="W4309">
        <v>6.554082E-2</v>
      </c>
      <c r="X4309">
        <v>0.97959949999999996</v>
      </c>
      <c r="Y4309">
        <v>-8.6735010000000001E-2</v>
      </c>
      <c r="Z4309">
        <v>5.977205E-2</v>
      </c>
      <c r="AA4309">
        <v>0.99443669999999995</v>
      </c>
      <c r="AB4309">
        <v>30</v>
      </c>
      <c r="AC4309">
        <v>0.71129999999999405</v>
      </c>
      <c r="AD4309">
        <v>-1.10624792530799</v>
      </c>
      <c r="AE4309">
        <v>-18.104199999999999</v>
      </c>
      <c r="AF4309">
        <v>-1.59121320920498</v>
      </c>
      <c r="AG4309">
        <v>-1.10624792530799</v>
      </c>
      <c r="AH4309">
        <v>17.980603327249401</v>
      </c>
      <c r="AI4309">
        <v>93.506986001129107</v>
      </c>
      <c r="AJ4309">
        <v>95.057278173958906</v>
      </c>
      <c r="AK4309">
        <v>18.0847405278951</v>
      </c>
    </row>
    <row r="4310" spans="1:37" x14ac:dyDescent="0.2">
      <c r="A4310" t="str">
        <f>"20200111153520845"</f>
        <v>20200111153520845</v>
      </c>
      <c r="B4310" t="str">
        <f>"1578728120840339"</f>
        <v>1578728120840339</v>
      </c>
      <c r="C4310" t="s">
        <v>37</v>
      </c>
      <c r="D4310">
        <v>4.7438409999999998</v>
      </c>
      <c r="E4310">
        <v>0.53723069999999995</v>
      </c>
      <c r="F4310" t="s">
        <v>39</v>
      </c>
      <c r="G4310">
        <v>-421.35509999999999</v>
      </c>
      <c r="H4310" s="1">
        <v>-1.6758750000000001E-6</v>
      </c>
      <c r="I4310">
        <v>52.65513</v>
      </c>
      <c r="J4310">
        <v>-422.11590000000001</v>
      </c>
      <c r="K4310">
        <v>1.106241</v>
      </c>
      <c r="L4310">
        <v>71.009519999999995</v>
      </c>
      <c r="M4310">
        <v>-4.7380499999999999E-2</v>
      </c>
      <c r="N4310">
        <v>0</v>
      </c>
      <c r="O4310">
        <v>-0.99878389999999995</v>
      </c>
      <c r="P4310">
        <v>0.1437435</v>
      </c>
      <c r="Q4310">
        <v>5.2405859999999999E-2</v>
      </c>
      <c r="R4310">
        <v>-0.9882263</v>
      </c>
      <c r="S4310">
        <v>0.1212158</v>
      </c>
      <c r="T4310">
        <v>-0.17942529999999901</v>
      </c>
      <c r="U4310">
        <v>-3.0270389999999998</v>
      </c>
      <c r="V4310">
        <v>-0.19061029999999901</v>
      </c>
      <c r="W4310">
        <v>6.5181100000000006E-2</v>
      </c>
      <c r="X4310">
        <v>0.97949949999999997</v>
      </c>
      <c r="Y4310">
        <v>-8.7244509999999997E-2</v>
      </c>
      <c r="Z4310">
        <v>5.8934279999999999E-2</v>
      </c>
      <c r="AA4310">
        <v>0.9944421</v>
      </c>
      <c r="AB4310">
        <v>30</v>
      </c>
      <c r="AC4310">
        <v>0.76080000000001702</v>
      </c>
      <c r="AD4310">
        <v>-1.1062426758749999</v>
      </c>
      <c r="AE4310">
        <v>-18.354389999999899</v>
      </c>
      <c r="AF4310">
        <v>-1.6237779135760599</v>
      </c>
      <c r="AG4310">
        <v>-1.1062426758749999</v>
      </c>
      <c r="AH4310">
        <v>18.2316071167402</v>
      </c>
      <c r="AI4310">
        <v>93.458632636899395</v>
      </c>
      <c r="AJ4310">
        <v>95.089556124050802</v>
      </c>
      <c r="AK4310">
        <v>18.337173327143901</v>
      </c>
    </row>
    <row r="4311" spans="1:37" x14ac:dyDescent="0.2">
      <c r="A4311" t="str">
        <f>"20200111153520867"</f>
        <v>20200111153520867</v>
      </c>
      <c r="B4311" t="str">
        <f>"1578728120859862"</f>
        <v>1578728120859862</v>
      </c>
      <c r="C4311" t="s">
        <v>37</v>
      </c>
      <c r="D4311">
        <v>4.7105239999999897</v>
      </c>
      <c r="E4311">
        <v>0.53731569999999995</v>
      </c>
      <c r="F4311" t="s">
        <v>39</v>
      </c>
      <c r="G4311">
        <v>-421.3082</v>
      </c>
      <c r="H4311" s="1">
        <v>-1.354197E-6</v>
      </c>
      <c r="I4311">
        <v>51.93439</v>
      </c>
      <c r="J4311">
        <v>-422.12830000000002</v>
      </c>
      <c r="K4311">
        <v>1.106244</v>
      </c>
      <c r="L4311">
        <v>70.712549999999993</v>
      </c>
      <c r="M4311">
        <v>-4.5849130000000002E-2</v>
      </c>
      <c r="N4311">
        <v>0</v>
      </c>
      <c r="O4311">
        <v>-0.99885550000000001</v>
      </c>
      <c r="P4311">
        <v>0.145388299999999</v>
      </c>
      <c r="Q4311">
        <v>5.2126550000000001E-2</v>
      </c>
      <c r="R4311">
        <v>-0.98800059999999901</v>
      </c>
      <c r="S4311">
        <v>0.12814329999999999</v>
      </c>
      <c r="T4311">
        <v>-0.17551449999999999</v>
      </c>
      <c r="U4311">
        <v>-3.0264279999999899</v>
      </c>
      <c r="V4311">
        <v>-0.19073850000000001</v>
      </c>
      <c r="W4311">
        <v>6.4899879999999993E-2</v>
      </c>
      <c r="X4311">
        <v>0.97949310000000001</v>
      </c>
      <c r="Y4311">
        <v>-8.8000739999999994E-2</v>
      </c>
      <c r="Z4311">
        <v>5.7667219999999998E-2</v>
      </c>
      <c r="AA4311">
        <v>0.99444979999999905</v>
      </c>
      <c r="AB4311">
        <v>30</v>
      </c>
      <c r="AC4311">
        <v>0.82010000000002403</v>
      </c>
      <c r="AD4311">
        <v>-1.1062453541970001</v>
      </c>
      <c r="AE4311">
        <v>-18.77816</v>
      </c>
      <c r="AF4311">
        <v>-1.6744793059612899</v>
      </c>
      <c r="AG4311">
        <v>-1.1062453541970001</v>
      </c>
      <c r="AH4311">
        <v>18.656180671759699</v>
      </c>
      <c r="AI4311">
        <v>93.379907940134999</v>
      </c>
      <c r="AJ4311">
        <v>95.128820718320597</v>
      </c>
      <c r="AK4311">
        <v>18.7638145638651</v>
      </c>
    </row>
    <row r="4312" spans="1:37" x14ac:dyDescent="0.2">
      <c r="A4312" t="str">
        <f>"20200111153520883"</f>
        <v>20200111153520883</v>
      </c>
      <c r="B4312" t="str">
        <f>"1578728120880356"</f>
        <v>1578728120880356</v>
      </c>
      <c r="C4312" t="s">
        <v>37</v>
      </c>
      <c r="D4312">
        <v>4.728923</v>
      </c>
      <c r="E4312">
        <v>0.53735279999999996</v>
      </c>
      <c r="F4312" t="s">
        <v>39</v>
      </c>
      <c r="G4312">
        <v>-421.28649999999999</v>
      </c>
      <c r="H4312" s="1">
        <v>-1.1646630000000001E-6</v>
      </c>
      <c r="I4312">
        <v>51.506039999999999</v>
      </c>
      <c r="J4312">
        <v>-422.13670000000002</v>
      </c>
      <c r="K4312">
        <v>1.1062419999999999</v>
      </c>
      <c r="L4312">
        <v>70.503389999999996</v>
      </c>
      <c r="M4312">
        <v>-4.477043E-2</v>
      </c>
      <c r="N4312">
        <v>0</v>
      </c>
      <c r="O4312">
        <v>-0.99890449999999997</v>
      </c>
      <c r="P4312">
        <v>0.14664659999999999</v>
      </c>
      <c r="Q4312">
        <v>5.1663720000000003E-2</v>
      </c>
      <c r="R4312">
        <v>-0.98783889999999996</v>
      </c>
      <c r="S4312">
        <v>0.13262939999999901</v>
      </c>
      <c r="T4312">
        <v>-0.17429510000000001</v>
      </c>
      <c r="U4312">
        <v>-3.0260929999999999</v>
      </c>
      <c r="V4312">
        <v>-0.19092779999999901</v>
      </c>
      <c r="W4312">
        <v>6.4435939999999997E-2</v>
      </c>
      <c r="X4312">
        <v>0.97948690000000005</v>
      </c>
      <c r="Y4312">
        <v>-8.8402190000000005E-2</v>
      </c>
      <c r="Z4312">
        <v>5.7275599999999899E-2</v>
      </c>
      <c r="AA4312">
        <v>0.99443680000000001</v>
      </c>
      <c r="AB4312">
        <v>30</v>
      </c>
      <c r="AC4312">
        <v>0.85020000000002904</v>
      </c>
      <c r="AD4312">
        <v>-1.106243164663</v>
      </c>
      <c r="AE4312">
        <v>-18.997349999999901</v>
      </c>
      <c r="AF4312">
        <v>-1.69421231035967</v>
      </c>
      <c r="AG4312">
        <v>-1.106243164663</v>
      </c>
      <c r="AH4312">
        <v>18.876350606329702</v>
      </c>
      <c r="AI4312">
        <v>93.340569030551094</v>
      </c>
      <c r="AJ4312">
        <v>95.128735580399606</v>
      </c>
      <c r="AK4312">
        <v>18.984486864411799</v>
      </c>
    </row>
    <row r="4313" spans="1:37" x14ac:dyDescent="0.2">
      <c r="A4313" t="str">
        <f>"20200111153520900"</f>
        <v>20200111153520900</v>
      </c>
      <c r="B4313" t="str">
        <f>"1578728120890116"</f>
        <v>1578728120890116</v>
      </c>
      <c r="C4313" t="s">
        <v>37</v>
      </c>
      <c r="D4313">
        <v>4.716818</v>
      </c>
      <c r="E4313">
        <v>0.53738219999999903</v>
      </c>
      <c r="F4313" t="s">
        <v>39</v>
      </c>
      <c r="G4313">
        <v>-421.2663</v>
      </c>
      <c r="H4313" s="1">
        <v>-1.0508609999999999E-6</v>
      </c>
      <c r="I4313">
        <v>51.25329</v>
      </c>
      <c r="J4313">
        <v>-422.1463</v>
      </c>
      <c r="K4313">
        <v>1.106236</v>
      </c>
      <c r="L4313">
        <v>70.261780000000002</v>
      </c>
      <c r="M4313">
        <v>-4.3524640000000003E-2</v>
      </c>
      <c r="N4313">
        <v>0</v>
      </c>
      <c r="O4313">
        <v>-0.99895959999999995</v>
      </c>
      <c r="P4313">
        <v>0.14829729999999999</v>
      </c>
      <c r="Q4313">
        <v>5.1036230000000002E-2</v>
      </c>
      <c r="R4313">
        <v>-0.98762510000000003</v>
      </c>
      <c r="S4313">
        <v>0.1368103</v>
      </c>
      <c r="T4313">
        <v>-0.17387900000000001</v>
      </c>
      <c r="U4313">
        <v>-3.0257259999999899</v>
      </c>
      <c r="V4313">
        <v>-0.19134329999999999</v>
      </c>
      <c r="W4313">
        <v>6.3805429999999996E-2</v>
      </c>
      <c r="X4313">
        <v>0.97944709999999902</v>
      </c>
      <c r="Y4313">
        <v>-8.8536939999999995E-2</v>
      </c>
      <c r="Z4313">
        <v>5.7148869999999997E-2</v>
      </c>
      <c r="AA4313">
        <v>0.99443210000000004</v>
      </c>
      <c r="AB4313">
        <v>30</v>
      </c>
      <c r="AC4313">
        <v>0.87999999999999501</v>
      </c>
      <c r="AD4313">
        <v>-1.106237050861</v>
      </c>
      <c r="AE4313">
        <v>-19.008489999999998</v>
      </c>
      <c r="AF4313">
        <v>-1.70083206178325</v>
      </c>
      <c r="AG4313">
        <v>-1.106237050861</v>
      </c>
      <c r="AH4313">
        <v>18.888332205665201</v>
      </c>
      <c r="AI4313">
        <v>93.338349172402502</v>
      </c>
      <c r="AJ4313">
        <v>95.145418995769404</v>
      </c>
      <c r="AK4313">
        <v>18.9969914361895</v>
      </c>
    </row>
    <row r="4314" spans="1:37" x14ac:dyDescent="0.2">
      <c r="A4314" t="str">
        <f>"20200111153520923"</f>
        <v>20200111153520923</v>
      </c>
      <c r="B4314" t="str">
        <f>"1578728120920371"</f>
        <v>1578728120920371</v>
      </c>
      <c r="C4314" t="s">
        <v>37</v>
      </c>
      <c r="D4314">
        <v>4.7138679999999997</v>
      </c>
      <c r="E4314">
        <v>0.53751150000000003</v>
      </c>
      <c r="F4314" t="s">
        <v>39</v>
      </c>
      <c r="G4314">
        <v>-421.25080000000003</v>
      </c>
      <c r="H4314" s="1">
        <v>-9.7218959999999995E-7</v>
      </c>
      <c r="I4314">
        <v>51.079520000000002</v>
      </c>
      <c r="J4314">
        <v>-422.15769999999998</v>
      </c>
      <c r="K4314">
        <v>1.1062339999999999</v>
      </c>
      <c r="L4314">
        <v>69.961819999999904</v>
      </c>
      <c r="M4314">
        <v>-4.1981789999999998E-2</v>
      </c>
      <c r="N4314">
        <v>0</v>
      </c>
      <c r="O4314">
        <v>-0.99902579999999996</v>
      </c>
      <c r="P4314">
        <v>0.15048499999999901</v>
      </c>
      <c r="Q4314">
        <v>5.0994089999999999E-2</v>
      </c>
      <c r="R4314">
        <v>-0.98729659999999997</v>
      </c>
      <c r="S4314">
        <v>0.14123540000000001</v>
      </c>
      <c r="T4314">
        <v>-0.17447360000000001</v>
      </c>
      <c r="U4314">
        <v>-3.0253909999999999</v>
      </c>
      <c r="V4314">
        <v>-0.192</v>
      </c>
      <c r="W4314">
        <v>6.3759739999999995E-2</v>
      </c>
      <c r="X4314">
        <v>0.97932149999999996</v>
      </c>
      <c r="Y4314">
        <v>-8.8454469999999993E-2</v>
      </c>
      <c r="Z4314">
        <v>5.7353969999999997E-2</v>
      </c>
      <c r="AA4314">
        <v>0.99442759999999997</v>
      </c>
      <c r="AB4314">
        <v>30</v>
      </c>
      <c r="AC4314">
        <v>0.90689999999994997</v>
      </c>
      <c r="AD4314">
        <v>-1.1062349721896001</v>
      </c>
      <c r="AE4314">
        <v>-18.882299999999901</v>
      </c>
      <c r="AF4314">
        <v>-1.6930885787099299</v>
      </c>
      <c r="AG4314">
        <v>-1.1062349721896001</v>
      </c>
      <c r="AH4314">
        <v>18.763319937137901</v>
      </c>
      <c r="AI4314">
        <v>93.360477974546995</v>
      </c>
      <c r="AJ4314">
        <v>95.156061244790706</v>
      </c>
      <c r="AK4314">
        <v>18.8720025384814</v>
      </c>
    </row>
    <row r="4315" spans="1:37" x14ac:dyDescent="0.2">
      <c r="A4315" t="str">
        <f>"20200111153520946"</f>
        <v>20200111153520946</v>
      </c>
      <c r="B4315" t="str">
        <f>"1578728120939891"</f>
        <v>1578728120939891</v>
      </c>
      <c r="C4315" t="s">
        <v>37</v>
      </c>
      <c r="D4315">
        <v>4.7231509999999997</v>
      </c>
      <c r="E4315">
        <v>0.53757719999999998</v>
      </c>
      <c r="F4315" t="s">
        <v>39</v>
      </c>
      <c r="G4315">
        <v>-421.2122</v>
      </c>
      <c r="H4315" s="1">
        <v>-6.9848989999999996E-7</v>
      </c>
      <c r="I4315">
        <v>50.46546</v>
      </c>
      <c r="J4315">
        <v>-422.16919999999999</v>
      </c>
      <c r="K4315">
        <v>1.106231</v>
      </c>
      <c r="L4315">
        <v>69.642790000000005</v>
      </c>
      <c r="M4315">
        <v>-4.0348729999999999E-2</v>
      </c>
      <c r="N4315">
        <v>0</v>
      </c>
      <c r="O4315">
        <v>-0.99909289999999995</v>
      </c>
      <c r="P4315">
        <v>0.15322239999999901</v>
      </c>
      <c r="Q4315">
        <v>5.1085369999999998E-2</v>
      </c>
      <c r="R4315">
        <v>-0.98687060000000004</v>
      </c>
      <c r="S4315">
        <v>0.146698</v>
      </c>
      <c r="T4315">
        <v>-0.17164679999999999</v>
      </c>
      <c r="U4315">
        <v>-3.0251160000000001</v>
      </c>
      <c r="V4315">
        <v>-0.19311489999999901</v>
      </c>
      <c r="W4315">
        <v>6.3846360000000005E-2</v>
      </c>
      <c r="X4315">
        <v>0.97909669999999904</v>
      </c>
      <c r="Y4315">
        <v>-8.8624690000000006E-2</v>
      </c>
      <c r="Z4315">
        <v>5.6435720000000002E-2</v>
      </c>
      <c r="AA4315">
        <v>0.99446499999999904</v>
      </c>
      <c r="AB4315">
        <v>30</v>
      </c>
      <c r="AC4315">
        <v>0.95699999999999297</v>
      </c>
      <c r="AD4315">
        <v>-1.1062316984898899</v>
      </c>
      <c r="AE4315">
        <v>-19.177330000000001</v>
      </c>
      <c r="AF4315">
        <v>-1.7243496716903499</v>
      </c>
      <c r="AG4315">
        <v>-1.1062316984898899</v>
      </c>
      <c r="AH4315">
        <v>19.059829169088101</v>
      </c>
      <c r="AI4315">
        <v>93.308237146743807</v>
      </c>
      <c r="AJ4315">
        <v>95.169496732591298</v>
      </c>
      <c r="AK4315">
        <v>19.169617062315599</v>
      </c>
    </row>
    <row r="4316" spans="1:37" x14ac:dyDescent="0.2">
      <c r="A4316" t="str">
        <f>"20200111153520968"</f>
        <v>20200111153520968</v>
      </c>
      <c r="B4316" t="str">
        <f>"1578728120960387"</f>
        <v>1578728120960387</v>
      </c>
      <c r="C4316" t="s">
        <v>37</v>
      </c>
      <c r="D4316">
        <v>4.7411830000000004</v>
      </c>
      <c r="E4316">
        <v>0.53769800000000001</v>
      </c>
      <c r="F4316" t="s">
        <v>39</v>
      </c>
      <c r="G4316">
        <v>-421.1619</v>
      </c>
      <c r="H4316" s="1">
        <v>-4.3400089999999998E-7</v>
      </c>
      <c r="I4316">
        <v>49.880130000000001</v>
      </c>
      <c r="J4316">
        <v>-422.17930000000001</v>
      </c>
      <c r="K4316">
        <v>1.106222</v>
      </c>
      <c r="L4316">
        <v>69.355009999999993</v>
      </c>
      <c r="M4316">
        <v>-3.8887599999999897E-2</v>
      </c>
      <c r="N4316">
        <v>0</v>
      </c>
      <c r="O4316">
        <v>-0.99915100000000001</v>
      </c>
      <c r="P4316">
        <v>0.15524309999999999</v>
      </c>
      <c r="Q4316">
        <v>5.0963799999999997E-2</v>
      </c>
      <c r="R4316">
        <v>-0.98656119999999903</v>
      </c>
      <c r="S4316">
        <v>0.154174799999999</v>
      </c>
      <c r="T4316">
        <v>-0.16931289999999999</v>
      </c>
      <c r="U4316">
        <v>-3.02475</v>
      </c>
      <c r="V4316">
        <v>-0.1936869</v>
      </c>
      <c r="W4316">
        <v>6.3724530000000001E-2</v>
      </c>
      <c r="X4316">
        <v>0.97899159999999996</v>
      </c>
      <c r="Y4316">
        <v>-8.9628139999999995E-2</v>
      </c>
      <c r="Z4316">
        <v>5.5676400000000001E-2</v>
      </c>
      <c r="AA4316">
        <v>0.99441789999999997</v>
      </c>
      <c r="AB4316">
        <v>30</v>
      </c>
      <c r="AC4316">
        <v>1.0174000000000001</v>
      </c>
      <c r="AD4316">
        <v>-1.1062224340008999</v>
      </c>
      <c r="AE4316">
        <v>-19.474879999999899</v>
      </c>
      <c r="AF4316">
        <v>-1.7683416331231601</v>
      </c>
      <c r="AG4316">
        <v>-1.1062224340008999</v>
      </c>
      <c r="AH4316">
        <v>19.3582883528995</v>
      </c>
      <c r="AI4316">
        <v>93.257058192432496</v>
      </c>
      <c r="AJ4316">
        <v>95.219371509593103</v>
      </c>
      <c r="AK4316">
        <v>19.470338676020202</v>
      </c>
    </row>
    <row r="4317" spans="1:37" x14ac:dyDescent="0.2">
      <c r="A4317" t="str">
        <f>"20200111153520989"</f>
        <v>20200111153520989</v>
      </c>
      <c r="B4317" t="str">
        <f>"1578728120979908"</f>
        <v>1578728120979908</v>
      </c>
      <c r="C4317" t="s">
        <v>37</v>
      </c>
      <c r="D4317">
        <v>4.6972300000000002</v>
      </c>
      <c r="E4317">
        <v>0.53782280000000005</v>
      </c>
      <c r="F4317" t="s">
        <v>39</v>
      </c>
      <c r="G4317">
        <v>-421.12779999999998</v>
      </c>
      <c r="H4317" s="1">
        <v>-4.4336530000000002E-6</v>
      </c>
      <c r="I4317">
        <v>49.427399999999999</v>
      </c>
      <c r="J4317">
        <v>-422.18889999999999</v>
      </c>
      <c r="K4317">
        <v>1.1062019999999999</v>
      </c>
      <c r="L4317">
        <v>69.065370000000001</v>
      </c>
      <c r="M4317">
        <v>-3.7437650000000003E-2</v>
      </c>
      <c r="N4317">
        <v>0</v>
      </c>
      <c r="O4317">
        <v>-0.99920640000000005</v>
      </c>
      <c r="P4317">
        <v>0.1578106</v>
      </c>
      <c r="Q4317">
        <v>5.0897089999999999E-2</v>
      </c>
      <c r="R4317">
        <v>-0.98615699999999995</v>
      </c>
      <c r="S4317">
        <v>0.15957639999999901</v>
      </c>
      <c r="T4317">
        <v>-0.16789200000000001</v>
      </c>
      <c r="U4317">
        <v>-3.0244140000000002</v>
      </c>
      <c r="V4317">
        <v>-0.19481270000000001</v>
      </c>
      <c r="W4317">
        <v>6.3656959999999999E-2</v>
      </c>
      <c r="X4317">
        <v>0.97877259999999999</v>
      </c>
      <c r="Y4317">
        <v>-8.9961070000000004E-2</v>
      </c>
      <c r="Z4317">
        <v>5.5217910000000002E-2</v>
      </c>
      <c r="AA4317">
        <v>0.9944134</v>
      </c>
      <c r="AB4317">
        <v>30</v>
      </c>
      <c r="AC4317">
        <v>1.0611000000000099</v>
      </c>
      <c r="AD4317">
        <v>-1.106206433653</v>
      </c>
      <c r="AE4317">
        <v>-19.637969999999999</v>
      </c>
      <c r="AF4317">
        <v>-1.7899603255421399</v>
      </c>
      <c r="AG4317">
        <v>-1.106206433653</v>
      </c>
      <c r="AH4317">
        <v>19.522705280731699</v>
      </c>
      <c r="AI4317">
        <v>93.229540623803402</v>
      </c>
      <c r="AJ4317">
        <v>95.238579119796796</v>
      </c>
      <c r="AK4317">
        <v>19.635775312403101</v>
      </c>
    </row>
    <row r="4318" spans="1:37" x14ac:dyDescent="0.2">
      <c r="A4318" t="str">
        <f>"20200111153521012"</f>
        <v>20200111153521012</v>
      </c>
      <c r="B4318" t="str">
        <f>"1578728121000403"</f>
        <v>1578728121000403</v>
      </c>
      <c r="C4318" t="s">
        <v>37</v>
      </c>
      <c r="D4318">
        <v>4.6939349999999997</v>
      </c>
      <c r="E4318">
        <v>0.53796919999999904</v>
      </c>
      <c r="F4318" t="s">
        <v>39</v>
      </c>
      <c r="G4318">
        <v>-421.08879999999999</v>
      </c>
      <c r="H4318" s="1">
        <v>-4.2976070000000001E-6</v>
      </c>
      <c r="I4318">
        <v>49.04795</v>
      </c>
      <c r="J4318">
        <v>-422.19850000000002</v>
      </c>
      <c r="K4318">
        <v>1.1061829999999999</v>
      </c>
      <c r="L4318">
        <v>68.766359999999906</v>
      </c>
      <c r="M4318">
        <v>-3.5971200000000002E-2</v>
      </c>
      <c r="N4318">
        <v>0</v>
      </c>
      <c r="O4318">
        <v>-0.99926029999999999</v>
      </c>
      <c r="P4318">
        <v>0.16009909999999999</v>
      </c>
      <c r="Q4318">
        <v>5.0879029999999999E-2</v>
      </c>
      <c r="R4318">
        <v>-0.98578880000000002</v>
      </c>
      <c r="S4318">
        <v>0.1661987</v>
      </c>
      <c r="T4318">
        <v>-0.16712050000000001</v>
      </c>
      <c r="U4318">
        <v>-3.0241389999999999</v>
      </c>
      <c r="V4318">
        <v>-0.1956454</v>
      </c>
      <c r="W4318">
        <v>6.3643630000000007E-2</v>
      </c>
      <c r="X4318">
        <v>0.97860740000000002</v>
      </c>
      <c r="Y4318">
        <v>-9.0676229999999997E-2</v>
      </c>
      <c r="Z4318">
        <v>5.4969360000000002E-2</v>
      </c>
      <c r="AA4318">
        <v>0.99436219999999997</v>
      </c>
      <c r="AB4318">
        <v>30</v>
      </c>
      <c r="AC4318">
        <v>1.1097000000000301</v>
      </c>
      <c r="AD4318">
        <v>-1.106187297607</v>
      </c>
      <c r="AE4318">
        <v>-19.718409999999899</v>
      </c>
      <c r="AF4318">
        <v>-1.81265552418999</v>
      </c>
      <c r="AG4318">
        <v>-1.106187297607</v>
      </c>
      <c r="AH4318">
        <v>19.604223391031301</v>
      </c>
      <c r="AI4318">
        <v>93.2158568136432</v>
      </c>
      <c r="AJ4318">
        <v>95.282690776136505</v>
      </c>
      <c r="AK4318">
        <v>19.7188981728752</v>
      </c>
    </row>
    <row r="4319" spans="1:37" x14ac:dyDescent="0.2">
      <c r="A4319" t="str">
        <f>"20200111153521035"</f>
        <v>20200111153521035</v>
      </c>
      <c r="B4319" t="str">
        <f>"1578728121030660"</f>
        <v>1578728121030660</v>
      </c>
      <c r="C4319" t="s">
        <v>37</v>
      </c>
      <c r="D4319">
        <v>4.694496</v>
      </c>
      <c r="E4319">
        <v>0.53707209999999905</v>
      </c>
      <c r="F4319" t="s">
        <v>39</v>
      </c>
      <c r="G4319">
        <v>-421.05610000000001</v>
      </c>
      <c r="H4319" s="1">
        <v>-4.1574990000000002E-6</v>
      </c>
      <c r="I4319">
        <v>48.653289999999998</v>
      </c>
      <c r="J4319">
        <v>-422.20780000000002</v>
      </c>
      <c r="K4319">
        <v>1.106155</v>
      </c>
      <c r="L4319">
        <v>68.463619999999906</v>
      </c>
      <c r="M4319">
        <v>-3.452409E-2</v>
      </c>
      <c r="N4319">
        <v>0</v>
      </c>
      <c r="O4319">
        <v>-0.99931130000000001</v>
      </c>
      <c r="P4319">
        <v>0.16266849999999999</v>
      </c>
      <c r="Q4319">
        <v>5.0792619999999997E-2</v>
      </c>
      <c r="R4319">
        <v>-0.98537249999999998</v>
      </c>
      <c r="S4319">
        <v>0.17175289999999999</v>
      </c>
      <c r="T4319">
        <v>-0.16631109999999999</v>
      </c>
      <c r="U4319">
        <v>-3.0239259999999999</v>
      </c>
      <c r="V4319">
        <v>-0.19677500000000001</v>
      </c>
      <c r="W4319">
        <v>6.3563690000000006E-2</v>
      </c>
      <c r="X4319">
        <v>0.97838599999999998</v>
      </c>
      <c r="Y4319">
        <v>-9.1059429999999997E-2</v>
      </c>
      <c r="Z4319">
        <v>5.470825E-2</v>
      </c>
      <c r="AA4319">
        <v>0.99434159999999905</v>
      </c>
      <c r="AB4319">
        <v>30</v>
      </c>
      <c r="AC4319">
        <v>1.1516999999999999</v>
      </c>
      <c r="AD4319">
        <v>-1.106159157499</v>
      </c>
      <c r="AE4319">
        <v>-19.810329999999901</v>
      </c>
      <c r="AF4319">
        <v>-1.8293258911194099</v>
      </c>
      <c r="AG4319">
        <v>-1.106159157499</v>
      </c>
      <c r="AH4319">
        <v>19.697546481648001</v>
      </c>
      <c r="AI4319">
        <v>93.200451420827704</v>
      </c>
      <c r="AJ4319">
        <v>95.305882503619301</v>
      </c>
      <c r="AK4319">
        <v>19.813211720827098</v>
      </c>
    </row>
    <row r="4320" spans="1:37" x14ac:dyDescent="0.2">
      <c r="A4320" t="str">
        <f>"20200111153521050"</f>
        <v>20200111153521050</v>
      </c>
      <c r="B4320" t="str">
        <f>"1578728121040419"</f>
        <v>1578728121040419</v>
      </c>
      <c r="C4320" t="s">
        <v>37</v>
      </c>
      <c r="D4320">
        <v>4.6125860000000003</v>
      </c>
      <c r="E4320">
        <v>0.45757749999999903</v>
      </c>
      <c r="F4320" t="s">
        <v>39</v>
      </c>
      <c r="G4320">
        <v>-420.95729999999998</v>
      </c>
      <c r="H4320" s="1">
        <v>-3.9465799999999999E-6</v>
      </c>
      <c r="I4320">
        <v>48.194959999999902</v>
      </c>
      <c r="J4320">
        <v>-422.214</v>
      </c>
      <c r="K4320">
        <v>1.106136</v>
      </c>
      <c r="L4320">
        <v>68.251459999999994</v>
      </c>
      <c r="M4320">
        <v>-3.3539329999999999E-2</v>
      </c>
      <c r="N4320">
        <v>0</v>
      </c>
      <c r="O4320">
        <v>-0.99934480000000003</v>
      </c>
      <c r="P4320">
        <v>0.16403380000000001</v>
      </c>
      <c r="Q4320">
        <v>5.0692630000000002E-2</v>
      </c>
      <c r="R4320">
        <v>-0.98515160000000002</v>
      </c>
      <c r="S4320">
        <v>0.1864624</v>
      </c>
      <c r="T4320">
        <v>-0.16494029999999901</v>
      </c>
      <c r="U4320">
        <v>-3.022278</v>
      </c>
      <c r="V4320">
        <v>-0.19716339999999999</v>
      </c>
      <c r="W4320">
        <v>6.3470899999999997E-2</v>
      </c>
      <c r="X4320">
        <v>0.97831389999999996</v>
      </c>
      <c r="Y4320">
        <v>-9.4932100000000005E-2</v>
      </c>
      <c r="Z4320">
        <v>5.4273210000000002E-2</v>
      </c>
      <c r="AA4320">
        <v>0.99400319999999998</v>
      </c>
      <c r="AB4320">
        <v>30</v>
      </c>
      <c r="AC4320">
        <v>1.2567000000000199</v>
      </c>
      <c r="AD4320">
        <v>-1.1061399465799999</v>
      </c>
      <c r="AE4320">
        <v>-20.0565</v>
      </c>
      <c r="AF4320">
        <v>-1.9229107228834901</v>
      </c>
      <c r="AG4320">
        <v>-1.1061399465799999</v>
      </c>
      <c r="AH4320">
        <v>19.942639913484602</v>
      </c>
      <c r="AI4320">
        <v>93.160092832718902</v>
      </c>
      <c r="AJ4320">
        <v>95.507551764928095</v>
      </c>
      <c r="AK4320">
        <v>20.065642724530701</v>
      </c>
    </row>
    <row r="4321" spans="1:37" x14ac:dyDescent="0.2">
      <c r="A4321" t="str">
        <f>"20200111153521068"</f>
        <v>20200111153521068</v>
      </c>
      <c r="B4321" t="str">
        <f>"1578728121059939"</f>
        <v>1578728121059939</v>
      </c>
      <c r="C4321" t="s">
        <v>37</v>
      </c>
      <c r="D4321">
        <v>4.6393820000000003</v>
      </c>
      <c r="E4321">
        <v>0.394341099999999</v>
      </c>
      <c r="F4321" t="s">
        <v>39</v>
      </c>
      <c r="G4321">
        <v>-416.34690000000001</v>
      </c>
      <c r="H4321" s="1">
        <v>-3.9361100000000002E-6</v>
      </c>
      <c r="I4321">
        <v>47.297429999999999</v>
      </c>
      <c r="J4321">
        <v>-422.22089999999997</v>
      </c>
      <c r="K4321">
        <v>1.106115</v>
      </c>
      <c r="L4321">
        <v>68.010469999999998</v>
      </c>
      <c r="M4321">
        <v>-3.2448039999999997E-2</v>
      </c>
      <c r="N4321">
        <v>0</v>
      </c>
      <c r="O4321">
        <v>-0.99938079999999996</v>
      </c>
      <c r="P4321">
        <v>0.16609119999999999</v>
      </c>
      <c r="Q4321">
        <v>5.080879E-2</v>
      </c>
      <c r="R4321">
        <v>-0.98480089999999998</v>
      </c>
      <c r="S4321">
        <v>0.81680299999999995</v>
      </c>
      <c r="T4321">
        <v>-0.15399279999999901</v>
      </c>
      <c r="U4321">
        <v>-2.9171450000000001</v>
      </c>
      <c r="V4321">
        <v>-0.19813439999999999</v>
      </c>
      <c r="W4321">
        <v>6.3594620000000004E-2</v>
      </c>
      <c r="X4321">
        <v>0.97810969999999997</v>
      </c>
      <c r="Y4321">
        <v>-0.30039290000000002</v>
      </c>
      <c r="Z4321">
        <v>5.048805E-2</v>
      </c>
      <c r="AA4321">
        <v>0.95247839999999995</v>
      </c>
      <c r="AB4321">
        <v>30</v>
      </c>
      <c r="AC4321">
        <v>5.8739999999999597</v>
      </c>
      <c r="AD4321">
        <v>-1.1061189361099999</v>
      </c>
      <c r="AE4321">
        <v>-20.713039999999999</v>
      </c>
      <c r="AF4321">
        <v>-6.5258411166685102</v>
      </c>
      <c r="AG4321">
        <v>-1.1061189361099999</v>
      </c>
      <c r="AH4321">
        <v>20.4575158771585</v>
      </c>
      <c r="AI4321">
        <v>92.948796710577</v>
      </c>
      <c r="AJ4321">
        <v>107.692412277245</v>
      </c>
      <c r="AK4321">
        <v>21.501629176530201</v>
      </c>
    </row>
    <row r="4322" spans="1:37" x14ac:dyDescent="0.2">
      <c r="A4322" t="str">
        <f>"20200111153521085"</f>
        <v>20200111153521085</v>
      </c>
      <c r="B4322" t="str">
        <f>"1578728121080438"</f>
        <v>1578728121080438</v>
      </c>
      <c r="C4322" t="s">
        <v>37</v>
      </c>
      <c r="D4322">
        <v>4.5202499999999999</v>
      </c>
      <c r="E4322">
        <v>0.39474359999999997</v>
      </c>
      <c r="F4322" t="s">
        <v>40</v>
      </c>
      <c r="G4322">
        <v>-421.7971</v>
      </c>
      <c r="H4322">
        <v>1.0659160000000001</v>
      </c>
      <c r="I4322">
        <v>67.103309999999993</v>
      </c>
      <c r="J4322">
        <v>-422.22710000000001</v>
      </c>
      <c r="K4322">
        <v>1.1060909999999999</v>
      </c>
      <c r="L4322">
        <v>67.788449999999997</v>
      </c>
      <c r="M4322">
        <v>-3.1469190000000001E-2</v>
      </c>
      <c r="N4322">
        <v>0</v>
      </c>
      <c r="O4322">
        <v>-0.99941229999999903</v>
      </c>
      <c r="P4322">
        <v>0.1673084</v>
      </c>
      <c r="Q4322">
        <v>5.144696E-2</v>
      </c>
      <c r="R4322">
        <v>-0.98456180000000004</v>
      </c>
      <c r="S4322">
        <v>1.321625</v>
      </c>
      <c r="T4322">
        <v>-0.1254045</v>
      </c>
      <c r="U4322">
        <v>-2.8298649999999999</v>
      </c>
      <c r="V4322">
        <v>-0.19838220000000001</v>
      </c>
      <c r="W4322">
        <v>6.4242270000000004E-2</v>
      </c>
      <c r="X4322">
        <v>0.97801709999999997</v>
      </c>
      <c r="Y4322">
        <v>-0.4511231</v>
      </c>
      <c r="Z4322">
        <v>3.979833E-2</v>
      </c>
      <c r="AA4322">
        <v>0.89157389999999903</v>
      </c>
      <c r="AB4322">
        <v>30</v>
      </c>
      <c r="AC4322">
        <v>0.43000000000000599</v>
      </c>
      <c r="AD4322">
        <v>-4.0174999999999801E-2</v>
      </c>
      <c r="AE4322">
        <v>-0.68514000000000397</v>
      </c>
      <c r="AF4322">
        <v>-0.45023916026037403</v>
      </c>
      <c r="AG4322">
        <v>-4.0174999999999801E-2</v>
      </c>
      <c r="AH4322">
        <v>0.66961583161149496</v>
      </c>
      <c r="AI4322">
        <v>92.8503354385726</v>
      </c>
      <c r="AJ4322">
        <v>123.916266134561</v>
      </c>
      <c r="AK4322">
        <v>0.80790760239133796</v>
      </c>
    </row>
    <row r="4323" spans="1:37" x14ac:dyDescent="0.2">
      <c r="A4323" t="str">
        <f>"20200111153521101"</f>
        <v>20200111153521101</v>
      </c>
      <c r="B4323" t="str">
        <f>"1578728121090195"</f>
        <v>1578728121090195</v>
      </c>
      <c r="C4323" t="s">
        <v>37</v>
      </c>
      <c r="D4323">
        <v>4.5070779999999999</v>
      </c>
      <c r="E4323">
        <v>0.39659650000000002</v>
      </c>
      <c r="F4323" t="s">
        <v>40</v>
      </c>
      <c r="G4323">
        <v>-421.79899999999998</v>
      </c>
      <c r="H4323">
        <v>1.062241</v>
      </c>
      <c r="I4323">
        <v>66.871830000000003</v>
      </c>
      <c r="J4323">
        <v>-422.233</v>
      </c>
      <c r="K4323">
        <v>1.106063</v>
      </c>
      <c r="L4323">
        <v>67.568240000000003</v>
      </c>
      <c r="M4323">
        <v>-3.0521699999999999E-2</v>
      </c>
      <c r="N4323">
        <v>0</v>
      </c>
      <c r="O4323">
        <v>-0.99944169999999999</v>
      </c>
      <c r="P4323">
        <v>0.16842960000000001</v>
      </c>
      <c r="Q4323">
        <v>5.2162149999999997E-2</v>
      </c>
      <c r="R4323">
        <v>-0.98433289999999996</v>
      </c>
      <c r="S4323">
        <v>1.3217159999999999</v>
      </c>
      <c r="T4323">
        <v>-0.13535949999999999</v>
      </c>
      <c r="U4323">
        <v>-2.829529</v>
      </c>
      <c r="V4323">
        <v>-0.19856499999999999</v>
      </c>
      <c r="W4323">
        <v>6.4967449999999996E-2</v>
      </c>
      <c r="X4323">
        <v>0.97793209999999997</v>
      </c>
      <c r="Y4323">
        <v>-0.45028559999999901</v>
      </c>
      <c r="Z4323">
        <v>4.2967289999999998E-2</v>
      </c>
      <c r="AA4323">
        <v>0.89185020000000004</v>
      </c>
      <c r="AB4323">
        <v>30</v>
      </c>
      <c r="AC4323">
        <v>0.43399999999996902</v>
      </c>
      <c r="AD4323">
        <v>-4.3822E-2</v>
      </c>
      <c r="AE4323">
        <v>-0.69640999999999997</v>
      </c>
      <c r="AF4323">
        <v>-0.45376122161024302</v>
      </c>
      <c r="AG4323">
        <v>-4.3822E-2</v>
      </c>
      <c r="AH4323">
        <v>0.68089593540376603</v>
      </c>
      <c r="AI4323">
        <v>93.065623510549599</v>
      </c>
      <c r="AJ4323">
        <v>123.68019770151101</v>
      </c>
      <c r="AK4323">
        <v>0.819413746998785</v>
      </c>
    </row>
    <row r="4324" spans="1:37" x14ac:dyDescent="0.2">
      <c r="A4324" t="str">
        <f>"20200111153521117"</f>
        <v>20200111153521117</v>
      </c>
      <c r="B4324" t="str">
        <f>"1578728121110691"</f>
        <v>1578728121110691</v>
      </c>
      <c r="C4324" t="s">
        <v>37</v>
      </c>
      <c r="D4324">
        <v>4.4834319999999996</v>
      </c>
      <c r="E4324">
        <v>0.39891909999999903</v>
      </c>
      <c r="F4324" t="s">
        <v>40</v>
      </c>
      <c r="G4324">
        <v>-421.78859999999997</v>
      </c>
      <c r="H4324">
        <v>1.061618</v>
      </c>
      <c r="I4324">
        <v>66.608239999999995</v>
      </c>
      <c r="J4324">
        <v>-422.23860000000002</v>
      </c>
      <c r="K4324">
        <v>1.106039</v>
      </c>
      <c r="L4324">
        <v>67.353579999999994</v>
      </c>
      <c r="M4324">
        <v>-2.9621080000000001E-2</v>
      </c>
      <c r="N4324">
        <v>0</v>
      </c>
      <c r="O4324">
        <v>-0.99946869999999999</v>
      </c>
      <c r="P4324">
        <v>0.1694338</v>
      </c>
      <c r="Q4324">
        <v>5.221162E-2</v>
      </c>
      <c r="R4324">
        <v>-0.98415789999999903</v>
      </c>
      <c r="S4324">
        <v>1.310333</v>
      </c>
      <c r="T4324">
        <v>-0.1310433</v>
      </c>
      <c r="U4324">
        <v>-2.8304749999999999</v>
      </c>
      <c r="V4324">
        <v>-0.19867839999999901</v>
      </c>
      <c r="W4324">
        <v>6.502645E-2</v>
      </c>
      <c r="X4324">
        <v>0.97790519999999903</v>
      </c>
      <c r="Y4324">
        <v>-0.44643679999999902</v>
      </c>
      <c r="Z4324">
        <v>4.1665099999999997E-2</v>
      </c>
      <c r="AA4324">
        <v>0.89384459999999999</v>
      </c>
      <c r="AB4324">
        <v>30</v>
      </c>
      <c r="AC4324">
        <v>0.45000000000004498</v>
      </c>
      <c r="AD4324">
        <v>-4.4421000000000002E-2</v>
      </c>
      <c r="AE4324">
        <v>-0.745339999999998</v>
      </c>
      <c r="AF4324">
        <v>-0.470657157281759</v>
      </c>
      <c r="AG4324">
        <v>-4.4421000000000002E-2</v>
      </c>
      <c r="AH4324">
        <v>0.72978247550919595</v>
      </c>
      <c r="AI4324">
        <v>92.928316015003304</v>
      </c>
      <c r="AJ4324">
        <v>122.81910296001701</v>
      </c>
      <c r="AK4324">
        <v>0.86952506950741604</v>
      </c>
    </row>
    <row r="4325" spans="1:37" x14ac:dyDescent="0.2">
      <c r="A4325" t="str">
        <f>"20200111153521137"</f>
        <v>20200111153521137</v>
      </c>
      <c r="B4325" t="str">
        <f>"1578728121130214"</f>
        <v>1578728121130214</v>
      </c>
      <c r="C4325" t="s">
        <v>37</v>
      </c>
      <c r="D4325">
        <v>4.4514500000000004</v>
      </c>
      <c r="E4325">
        <v>0.40060479999999998</v>
      </c>
      <c r="F4325" t="s">
        <v>39</v>
      </c>
      <c r="G4325">
        <v>-411.53699999999998</v>
      </c>
      <c r="H4325" s="1">
        <v>-3.7134969999999998E-6</v>
      </c>
      <c r="I4325">
        <v>43.943329999999897</v>
      </c>
      <c r="J4325">
        <v>-422.24489999999997</v>
      </c>
      <c r="K4325">
        <v>1.1060129999999999</v>
      </c>
      <c r="L4325">
        <v>67.101780000000005</v>
      </c>
      <c r="M4325">
        <v>-2.8588289999999999E-2</v>
      </c>
      <c r="N4325">
        <v>0</v>
      </c>
      <c r="O4325">
        <v>-0.99949900000000003</v>
      </c>
      <c r="P4325">
        <v>0.17056679999999999</v>
      </c>
      <c r="Q4325">
        <v>5.218383E-2</v>
      </c>
      <c r="R4325">
        <v>-0.98396380000000006</v>
      </c>
      <c r="S4325">
        <v>1.2948299999999999</v>
      </c>
      <c r="T4325">
        <v>-0.1338241</v>
      </c>
      <c r="U4325">
        <v>-2.8324889999999998</v>
      </c>
      <c r="V4325">
        <v>-0.19878970000000001</v>
      </c>
      <c r="W4325">
        <v>6.5008850000000007E-2</v>
      </c>
      <c r="X4325">
        <v>0.97788369999999902</v>
      </c>
      <c r="Y4325">
        <v>-0.44120749999999997</v>
      </c>
      <c r="Z4325">
        <v>4.2626560000000001E-2</v>
      </c>
      <c r="AA4325">
        <v>0.89639219999999897</v>
      </c>
      <c r="AB4325">
        <v>30</v>
      </c>
      <c r="AC4325">
        <v>10.707899999999899</v>
      </c>
      <c r="AD4325">
        <v>-1.10601671349699</v>
      </c>
      <c r="AE4325">
        <v>-23.158449999999998</v>
      </c>
      <c r="AF4325">
        <v>-11.3443264786586</v>
      </c>
      <c r="AG4325">
        <v>-1.10601671349699</v>
      </c>
      <c r="AH4325">
        <v>22.7999894408632</v>
      </c>
      <c r="AI4325">
        <v>92.486825775777305</v>
      </c>
      <c r="AJ4325">
        <v>116.453027640324</v>
      </c>
      <c r="AK4325">
        <v>25.490322373959899</v>
      </c>
    </row>
    <row r="4326" spans="1:37" x14ac:dyDescent="0.2">
      <c r="A4326" t="str">
        <f>"20200111153521157"</f>
        <v>20200111153521157</v>
      </c>
      <c r="B4326" t="str">
        <f>"1578728121150710"</f>
        <v>1578728121150710</v>
      </c>
      <c r="C4326" t="s">
        <v>37</v>
      </c>
      <c r="D4326">
        <v>4.4940579999999999</v>
      </c>
      <c r="E4326">
        <v>0.40147840000000001</v>
      </c>
      <c r="F4326" t="s">
        <v>39</v>
      </c>
      <c r="G4326">
        <v>-411.86590000000001</v>
      </c>
      <c r="H4326" s="1">
        <v>-3.719236E-6</v>
      </c>
      <c r="I4326">
        <v>44.217399999999998</v>
      </c>
      <c r="J4326">
        <v>-422.25170000000003</v>
      </c>
      <c r="K4326">
        <v>1.10598</v>
      </c>
      <c r="L4326">
        <v>66.820430000000002</v>
      </c>
      <c r="M4326">
        <v>-2.7457680000000002E-2</v>
      </c>
      <c r="N4326">
        <v>0</v>
      </c>
      <c r="O4326">
        <v>-0.99953080000000005</v>
      </c>
      <c r="P4326">
        <v>0.1714512</v>
      </c>
      <c r="Q4326">
        <v>5.1650599999999998E-2</v>
      </c>
      <c r="R4326">
        <v>-0.98383799999999899</v>
      </c>
      <c r="S4326">
        <v>1.2850649999999999</v>
      </c>
      <c r="T4326">
        <v>-0.13694029999999999</v>
      </c>
      <c r="U4326">
        <v>-2.833405</v>
      </c>
      <c r="V4326">
        <v>-0.1985577</v>
      </c>
      <c r="W4326">
        <v>6.4486849999999998E-2</v>
      </c>
      <c r="X4326">
        <v>0.97796539999999998</v>
      </c>
      <c r="Y4326">
        <v>-0.43750149999999999</v>
      </c>
      <c r="Z4326">
        <v>4.3677800000000003E-2</v>
      </c>
      <c r="AA4326">
        <v>0.89815630000000002</v>
      </c>
      <c r="AB4326">
        <v>30</v>
      </c>
      <c r="AC4326">
        <v>10.3858</v>
      </c>
      <c r="AD4326">
        <v>-1.105983719236</v>
      </c>
      <c r="AE4326">
        <v>-22.60303</v>
      </c>
      <c r="AF4326">
        <v>-10.980859911266499</v>
      </c>
      <c r="AG4326">
        <v>-1.105983719236</v>
      </c>
      <c r="AH4326">
        <v>22.265294914616899</v>
      </c>
      <c r="AI4326">
        <v>92.550822508917094</v>
      </c>
      <c r="AJ4326">
        <v>116.251721256279</v>
      </c>
      <c r="AK4326">
        <v>24.850469653769899</v>
      </c>
    </row>
    <row r="4327" spans="1:37" x14ac:dyDescent="0.2">
      <c r="A4327" t="str">
        <f>"20200111153521174"</f>
        <v>20200111153521174</v>
      </c>
      <c r="B4327" t="str">
        <f>"1578728121170229"</f>
        <v>1578728121170229</v>
      </c>
      <c r="C4327" t="s">
        <v>37</v>
      </c>
      <c r="D4327">
        <v>4.4748650000000003</v>
      </c>
      <c r="E4327">
        <v>0.40260970000000001</v>
      </c>
      <c r="F4327" t="s">
        <v>39</v>
      </c>
      <c r="G4327">
        <v>-412.05110000000002</v>
      </c>
      <c r="H4327" s="1">
        <v>-3.6810789999999998E-6</v>
      </c>
      <c r="I4327">
        <v>44.250050000000002</v>
      </c>
      <c r="J4327">
        <v>-422.2568</v>
      </c>
      <c r="K4327">
        <v>1.105958</v>
      </c>
      <c r="L4327">
        <v>66.602689999999996</v>
      </c>
      <c r="M4327">
        <v>-2.659628E-2</v>
      </c>
      <c r="N4327">
        <v>0</v>
      </c>
      <c r="O4327">
        <v>-0.99955400000000005</v>
      </c>
      <c r="P4327">
        <v>0.17233470000000001</v>
      </c>
      <c r="Q4327">
        <v>5.1114140000000002E-2</v>
      </c>
      <c r="R4327">
        <v>-0.98371169999999997</v>
      </c>
      <c r="S4327">
        <v>1.280548</v>
      </c>
      <c r="T4327">
        <v>-0.1388412</v>
      </c>
      <c r="U4327">
        <v>-2.833405</v>
      </c>
      <c r="V4327">
        <v>-0.19859060000000001</v>
      </c>
      <c r="W4327">
        <v>6.3956289999999999E-2</v>
      </c>
      <c r="X4327">
        <v>0.97799349999999996</v>
      </c>
      <c r="Y4327">
        <v>-0.43552600000000002</v>
      </c>
      <c r="Z4327">
        <v>4.4320659999999998E-2</v>
      </c>
      <c r="AA4327">
        <v>0.89908440000000001</v>
      </c>
      <c r="AB4327">
        <v>30</v>
      </c>
      <c r="AC4327">
        <v>10.205699999999901</v>
      </c>
      <c r="AD4327">
        <v>-1.1059616810789901</v>
      </c>
      <c r="AE4327">
        <v>-22.352639999999901</v>
      </c>
      <c r="AF4327">
        <v>-10.7748137823904</v>
      </c>
      <c r="AG4327">
        <v>-1.1059616810789901</v>
      </c>
      <c r="AH4327">
        <v>22.028647855978399</v>
      </c>
      <c r="AI4327">
        <v>92.582272072483306</v>
      </c>
      <c r="AJ4327">
        <v>116.064520684081</v>
      </c>
      <c r="AK4327">
        <v>24.547527159530901</v>
      </c>
    </row>
    <row r="4328" spans="1:37" x14ac:dyDescent="0.2">
      <c r="A4328" t="str">
        <f>"20200111153521190"</f>
        <v>20200111153521190</v>
      </c>
      <c r="B4328" t="str">
        <f>"1578728121179987"</f>
        <v>1578728121179987</v>
      </c>
      <c r="C4328" t="s">
        <v>37</v>
      </c>
      <c r="D4328">
        <v>4.5316330000000002</v>
      </c>
      <c r="E4328">
        <v>0.40347169999999999</v>
      </c>
      <c r="F4328" t="s">
        <v>39</v>
      </c>
      <c r="G4328">
        <v>-412.21850000000001</v>
      </c>
      <c r="H4328" s="1">
        <v>-3.6470429999999899E-6</v>
      </c>
      <c r="I4328">
        <v>44.280940000000001</v>
      </c>
      <c r="J4328">
        <v>-422.26170000000002</v>
      </c>
      <c r="K4328">
        <v>1.105942</v>
      </c>
      <c r="L4328">
        <v>66.3797</v>
      </c>
      <c r="M4328">
        <v>-2.5720010000000001E-2</v>
      </c>
      <c r="N4328">
        <v>0</v>
      </c>
      <c r="O4328">
        <v>-0.99957680000000004</v>
      </c>
      <c r="P4328">
        <v>0.17358229999999999</v>
      </c>
      <c r="Q4328">
        <v>5.0538819999999998E-2</v>
      </c>
      <c r="R4328">
        <v>-0.98352199999999901</v>
      </c>
      <c r="S4328">
        <v>1.2743530000000001</v>
      </c>
      <c r="T4328">
        <v>-0.14040150000000001</v>
      </c>
      <c r="U4328">
        <v>-2.8337400000000001</v>
      </c>
      <c r="V4328">
        <v>-0.19897139999999999</v>
      </c>
      <c r="W4328">
        <v>6.3383809999999999E-2</v>
      </c>
      <c r="X4328">
        <v>0.97795339999999997</v>
      </c>
      <c r="Y4328">
        <v>-0.43305189999999999</v>
      </c>
      <c r="Z4328">
        <v>4.4861760000000001E-2</v>
      </c>
      <c r="AA4328">
        <v>0.90025189999999999</v>
      </c>
      <c r="AB4328">
        <v>30</v>
      </c>
      <c r="AC4328">
        <v>10.043200000000001</v>
      </c>
      <c r="AD4328">
        <v>-1.105945647043</v>
      </c>
      <c r="AE4328">
        <v>-22.098759999999999</v>
      </c>
      <c r="AF4328">
        <v>-10.586334473824699</v>
      </c>
      <c r="AG4328">
        <v>-1.105945647043</v>
      </c>
      <c r="AH4328">
        <v>21.787885315195599</v>
      </c>
      <c r="AI4328">
        <v>92.614065018583105</v>
      </c>
      <c r="AJ4328">
        <v>115.91426802498999</v>
      </c>
      <c r="AK4328">
        <v>24.248825535972301</v>
      </c>
    </row>
    <row r="4329" spans="1:37" x14ac:dyDescent="0.2">
      <c r="A4329" t="str">
        <f>"20200111153521214"</f>
        <v>20200111153521214</v>
      </c>
      <c r="B4329" t="str">
        <f>"1578728121210243"</f>
        <v>1578728121210243</v>
      </c>
      <c r="C4329" t="s">
        <v>37</v>
      </c>
      <c r="D4329">
        <v>4.5413169999999896</v>
      </c>
      <c r="E4329">
        <v>0.40471459999999998</v>
      </c>
      <c r="F4329" t="s">
        <v>40</v>
      </c>
      <c r="G4329">
        <v>-421.84809999999999</v>
      </c>
      <c r="H4329">
        <v>1.0593600000000001</v>
      </c>
      <c r="I4329">
        <v>65.457350000000005</v>
      </c>
      <c r="J4329">
        <v>-422.26819999999998</v>
      </c>
      <c r="K4329">
        <v>1.105926</v>
      </c>
      <c r="L4329">
        <v>66.077419999999904</v>
      </c>
      <c r="M4329">
        <v>-2.4538669999999999E-2</v>
      </c>
      <c r="N4329">
        <v>0</v>
      </c>
      <c r="O4329">
        <v>-0.99960649999999995</v>
      </c>
      <c r="P4329">
        <v>0.17538909999999999</v>
      </c>
      <c r="Q4329">
        <v>5.0196440000000002E-2</v>
      </c>
      <c r="R4329">
        <v>-0.98321899999999995</v>
      </c>
      <c r="S4329">
        <v>1.2710269999999999</v>
      </c>
      <c r="T4329">
        <v>-0.14308999999999999</v>
      </c>
      <c r="U4329">
        <v>-2.833313</v>
      </c>
      <c r="V4329">
        <v>-0.19961029999999999</v>
      </c>
      <c r="W4329">
        <v>6.3042599999999893E-2</v>
      </c>
      <c r="X4329">
        <v>0.97784530000000003</v>
      </c>
      <c r="Y4329">
        <v>-0.43114059999999998</v>
      </c>
      <c r="Z4329">
        <v>4.575974E-2</v>
      </c>
      <c r="AA4329">
        <v>0.90112359999999903</v>
      </c>
      <c r="AB4329">
        <v>30</v>
      </c>
      <c r="AC4329">
        <v>0.42009999999998998</v>
      </c>
      <c r="AD4329">
        <v>-4.6565999999999802E-2</v>
      </c>
      <c r="AE4329">
        <v>-0.62006999999998402</v>
      </c>
      <c r="AF4329">
        <v>-0.43351485470350398</v>
      </c>
      <c r="AG4329">
        <v>-4.6565999999999802E-2</v>
      </c>
      <c r="AH4329">
        <v>0.60722641350695195</v>
      </c>
      <c r="AI4329">
        <v>93.571362776395105</v>
      </c>
      <c r="AJ4329">
        <v>125.52403637315599</v>
      </c>
      <c r="AK4329">
        <v>0.74754761645337098</v>
      </c>
    </row>
    <row r="4330" spans="1:37" x14ac:dyDescent="0.2">
      <c r="A4330" t="str">
        <f>"20200111153521236"</f>
        <v>20200111153521236</v>
      </c>
      <c r="B4330" t="str">
        <f>"1578728121230742"</f>
        <v>1578728121230742</v>
      </c>
      <c r="C4330" t="s">
        <v>37</v>
      </c>
      <c r="D4330">
        <v>4.4033110000000004</v>
      </c>
      <c r="E4330">
        <v>0.40557259999999901</v>
      </c>
      <c r="F4330" t="s">
        <v>39</v>
      </c>
      <c r="G4330">
        <v>-412.63010000000003</v>
      </c>
      <c r="H4330" s="1">
        <v>-3.617199E-6</v>
      </c>
      <c r="I4330">
        <v>44.515059999999998</v>
      </c>
      <c r="J4330">
        <v>-422.27429999999998</v>
      </c>
      <c r="K4330">
        <v>1.1059190000000001</v>
      </c>
      <c r="L4330">
        <v>65.77252</v>
      </c>
      <c r="M4330">
        <v>-2.334955E-2</v>
      </c>
      <c r="N4330">
        <v>0</v>
      </c>
      <c r="O4330">
        <v>-0.9996351</v>
      </c>
      <c r="P4330">
        <v>0.17732110000000001</v>
      </c>
      <c r="Q4330">
        <v>5.0191510000000002E-2</v>
      </c>
      <c r="R4330">
        <v>-0.98287279999999999</v>
      </c>
      <c r="S4330">
        <v>1.266205</v>
      </c>
      <c r="T4330">
        <v>-0.145292</v>
      </c>
      <c r="U4330">
        <v>-2.8327640000000001</v>
      </c>
      <c r="V4330">
        <v>-0.2003685</v>
      </c>
      <c r="W4330">
        <v>6.3036410000000001E-2</v>
      </c>
      <c r="X4330">
        <v>0.97769059999999897</v>
      </c>
      <c r="Y4330">
        <v>-0.42883959999999999</v>
      </c>
      <c r="Z4330">
        <v>4.6514750000000001E-2</v>
      </c>
      <c r="AA4330">
        <v>0.90218229999999999</v>
      </c>
      <c r="AB4330">
        <v>30</v>
      </c>
      <c r="AC4330">
        <v>9.6441999999999499</v>
      </c>
      <c r="AD4330">
        <v>-1.105922617199</v>
      </c>
      <c r="AE4330">
        <v>-21.257459999999998</v>
      </c>
      <c r="AF4330">
        <v>-10.1152632520584</v>
      </c>
      <c r="AG4330">
        <v>-1.105922617199</v>
      </c>
      <c r="AH4330">
        <v>20.979364391851</v>
      </c>
      <c r="AI4330">
        <v>92.7185700014589</v>
      </c>
      <c r="AJ4330">
        <v>115.741179380277</v>
      </c>
      <c r="AK4330">
        <v>23.316846823268001</v>
      </c>
    </row>
    <row r="4331" spans="1:37" x14ac:dyDescent="0.2">
      <c r="A4331" t="str">
        <f>"20200111153521258"</f>
        <v>20200111153521258</v>
      </c>
      <c r="B4331" t="str">
        <f>"1578728121250262"</f>
        <v>1578728121250262</v>
      </c>
      <c r="C4331" t="s">
        <v>37</v>
      </c>
      <c r="D4331">
        <v>4.512804</v>
      </c>
      <c r="E4331">
        <v>0.40624729999999998</v>
      </c>
      <c r="F4331" t="s">
        <v>39</v>
      </c>
      <c r="G4331">
        <v>-412.61669999999998</v>
      </c>
      <c r="H4331" s="1">
        <v>-3.4978230000000002E-6</v>
      </c>
      <c r="I4331">
        <v>44.153770000000002</v>
      </c>
      <c r="J4331">
        <v>-422.27980000000002</v>
      </c>
      <c r="K4331">
        <v>1.10592</v>
      </c>
      <c r="L4331">
        <v>65.485780000000005</v>
      </c>
      <c r="M4331">
        <v>-2.223046E-2</v>
      </c>
      <c r="N4331">
        <v>0</v>
      </c>
      <c r="O4331">
        <v>-0.99966060000000001</v>
      </c>
      <c r="P4331">
        <v>0.178833399999999</v>
      </c>
      <c r="Q4331">
        <v>5.0431139999999999E-2</v>
      </c>
      <c r="R4331">
        <v>-0.98258609999999902</v>
      </c>
      <c r="S4331">
        <v>1.264893</v>
      </c>
      <c r="T4331">
        <v>-0.14484639999999999</v>
      </c>
      <c r="U4331">
        <v>-2.8314819999999998</v>
      </c>
      <c r="V4331">
        <v>-0.20077799999999901</v>
      </c>
      <c r="W4331">
        <v>6.3274349999999993E-2</v>
      </c>
      <c r="X4331">
        <v>0.97759119999999999</v>
      </c>
      <c r="Y4331">
        <v>-0.42763379999999901</v>
      </c>
      <c r="Z4331">
        <v>4.6411559999999998E-2</v>
      </c>
      <c r="AA4331">
        <v>0.90275989999999995</v>
      </c>
      <c r="AB4331">
        <v>30</v>
      </c>
      <c r="AC4331">
        <v>9.6631000000000409</v>
      </c>
      <c r="AD4331">
        <v>-1.1059234978229999</v>
      </c>
      <c r="AE4331">
        <v>-21.33201</v>
      </c>
      <c r="AF4331">
        <v>-10.112423739854201</v>
      </c>
      <c r="AG4331">
        <v>-1.1059234978229999</v>
      </c>
      <c r="AH4331">
        <v>21.0649249534512</v>
      </c>
      <c r="AI4331">
        <v>92.709758188675096</v>
      </c>
      <c r="AJ4331">
        <v>115.643790629582</v>
      </c>
      <c r="AK4331">
        <v>23.3926322582974</v>
      </c>
    </row>
    <row r="4332" spans="1:37" x14ac:dyDescent="0.2">
      <c r="A4332" t="str">
        <f>"20200111153521274"</f>
        <v>20200111153521274</v>
      </c>
      <c r="B4332" t="str">
        <f>"1578728121270755"</f>
        <v>1578728121270755</v>
      </c>
      <c r="C4332" t="s">
        <v>37</v>
      </c>
      <c r="D4332">
        <v>4.5254289999999999</v>
      </c>
      <c r="E4332">
        <v>0.40652490000000002</v>
      </c>
      <c r="F4332" t="s">
        <v>39</v>
      </c>
      <c r="G4332">
        <v>-412.46559999999999</v>
      </c>
      <c r="H4332" s="1">
        <v>-3.3179839999999998E-6</v>
      </c>
      <c r="I4332">
        <v>43.507159999999999</v>
      </c>
      <c r="J4332">
        <v>-422.2835</v>
      </c>
      <c r="K4332">
        <v>1.1059190000000001</v>
      </c>
      <c r="L4332">
        <v>65.276089999999996</v>
      </c>
      <c r="M4332">
        <v>-2.1410709999999999E-2</v>
      </c>
      <c r="N4332">
        <v>0</v>
      </c>
      <c r="O4332">
        <v>-0.99967839999999997</v>
      </c>
      <c r="P4332">
        <v>0.1801769</v>
      </c>
      <c r="Q4332">
        <v>5.069299E-2</v>
      </c>
      <c r="R4332">
        <v>-0.98232699999999995</v>
      </c>
      <c r="S4332">
        <v>1.2638849999999999</v>
      </c>
      <c r="T4332">
        <v>-0.14242270000000001</v>
      </c>
      <c r="U4332">
        <v>-2.830444</v>
      </c>
      <c r="V4332">
        <v>-0.20131399999999999</v>
      </c>
      <c r="W4332">
        <v>6.3533220000000001E-2</v>
      </c>
      <c r="X4332">
        <v>0.97746409999999995</v>
      </c>
      <c r="Y4332">
        <v>-0.42676199999999997</v>
      </c>
      <c r="Z4332">
        <v>4.566634E-2</v>
      </c>
      <c r="AA4332">
        <v>0.90321030000000002</v>
      </c>
      <c r="AB4332">
        <v>30</v>
      </c>
      <c r="AC4332">
        <v>9.8178999999999998</v>
      </c>
      <c r="AD4332">
        <v>-1.1059223179840001</v>
      </c>
      <c r="AE4332">
        <v>-21.768929999999902</v>
      </c>
      <c r="AF4332">
        <v>-10.259776300428999</v>
      </c>
      <c r="AG4332">
        <v>-1.1059223179840001</v>
      </c>
      <c r="AH4332">
        <v>21.5075843014505</v>
      </c>
      <c r="AI4332">
        <v>92.657192730146704</v>
      </c>
      <c r="AJ4332">
        <v>115.50257128971801</v>
      </c>
      <c r="AK4332">
        <v>23.855025809926602</v>
      </c>
    </row>
    <row r="4333" spans="1:37" x14ac:dyDescent="0.2">
      <c r="A4333" t="str">
        <f>"20200111153521289"</f>
        <v>20200111153521289</v>
      </c>
      <c r="B4333" t="str">
        <f>"1578728121280515"</f>
        <v>1578728121280515</v>
      </c>
      <c r="C4333" t="s">
        <v>37</v>
      </c>
      <c r="D4333">
        <v>4.5258010000000004</v>
      </c>
      <c r="E4333">
        <v>0.40668850000000001</v>
      </c>
      <c r="F4333" t="s">
        <v>39</v>
      </c>
      <c r="G4333">
        <v>-412.34399999999999</v>
      </c>
      <c r="H4333" s="1">
        <v>-3.1980419999999899E-6</v>
      </c>
      <c r="I4333">
        <v>43.059609999999999</v>
      </c>
      <c r="J4333">
        <v>-422.28710000000001</v>
      </c>
      <c r="K4333">
        <v>1.105917</v>
      </c>
      <c r="L4333">
        <v>65.071200000000005</v>
      </c>
      <c r="M4333">
        <v>-2.06083E-2</v>
      </c>
      <c r="N4333">
        <v>0</v>
      </c>
      <c r="O4333">
        <v>-0.99969529999999995</v>
      </c>
      <c r="P4333">
        <v>0.18110009999999899</v>
      </c>
      <c r="Q4333">
        <v>5.0737079999999997E-2</v>
      </c>
      <c r="R4333">
        <v>-0.98215520000000001</v>
      </c>
      <c r="S4333">
        <v>1.265717</v>
      </c>
      <c r="T4333">
        <v>-0.14082929999999999</v>
      </c>
      <c r="U4333">
        <v>-2.8290709999999999</v>
      </c>
      <c r="V4333">
        <v>-0.20144770000000001</v>
      </c>
      <c r="W4333">
        <v>6.3575590000000001E-2</v>
      </c>
      <c r="X4333">
        <v>0.97743389999999997</v>
      </c>
      <c r="Y4333">
        <v>-0.42669600000000002</v>
      </c>
      <c r="Z4333">
        <v>4.5172799999999999E-2</v>
      </c>
      <c r="AA4333">
        <v>0.90326629999999997</v>
      </c>
      <c r="AB4333">
        <v>30</v>
      </c>
      <c r="AC4333">
        <v>9.94310000000001</v>
      </c>
      <c r="AD4333">
        <v>-1.1059201980419999</v>
      </c>
      <c r="AE4333">
        <v>-22.011590000000002</v>
      </c>
      <c r="AF4333">
        <v>-10.3729042581573</v>
      </c>
      <c r="AG4333">
        <v>-1.1059201980419999</v>
      </c>
      <c r="AH4333">
        <v>21.756372429432901</v>
      </c>
      <c r="AI4333">
        <v>92.627105102066693</v>
      </c>
      <c r="AJ4333">
        <v>115.490660101573</v>
      </c>
      <c r="AK4333">
        <v>24.1279908720458</v>
      </c>
    </row>
    <row r="4334" spans="1:37" x14ac:dyDescent="0.2">
      <c r="A4334" t="str">
        <f>"20200111153521302"</f>
        <v>20200111153521302</v>
      </c>
      <c r="B4334" t="str">
        <f>"1578728121290275"</f>
        <v>1578728121290275</v>
      </c>
      <c r="C4334" t="s">
        <v>37</v>
      </c>
      <c r="D4334">
        <v>4.5361339999999997</v>
      </c>
      <c r="E4334">
        <v>0.40680060000000001</v>
      </c>
      <c r="F4334" t="s">
        <v>40</v>
      </c>
      <c r="G4334">
        <v>-421.87090000000001</v>
      </c>
      <c r="H4334">
        <v>1.0596350000000001</v>
      </c>
      <c r="I4334">
        <v>64.141300000000001</v>
      </c>
      <c r="J4334">
        <v>-422.29</v>
      </c>
      <c r="K4334">
        <v>1.10592</v>
      </c>
      <c r="L4334">
        <v>64.894619999999904</v>
      </c>
      <c r="M4334">
        <v>-1.9915970000000002E-2</v>
      </c>
      <c r="N4334">
        <v>0</v>
      </c>
      <c r="O4334">
        <v>-0.99970959999999998</v>
      </c>
      <c r="P4334">
        <v>0.18215039999999999</v>
      </c>
      <c r="Q4334">
        <v>5.0714759999999998E-2</v>
      </c>
      <c r="R4334">
        <v>-0.98196229999999995</v>
      </c>
      <c r="S4334">
        <v>1.267242</v>
      </c>
      <c r="T4334">
        <v>-0.14075199999999999</v>
      </c>
      <c r="U4334">
        <v>-2.8280939999999899</v>
      </c>
      <c r="V4334">
        <v>-0.20181579999999999</v>
      </c>
      <c r="W4334">
        <v>6.355131E-2</v>
      </c>
      <c r="X4334">
        <v>0.97735949999999905</v>
      </c>
      <c r="Y4334">
        <v>-0.42659219999999998</v>
      </c>
      <c r="Z4334">
        <v>4.5159699999999997E-2</v>
      </c>
      <c r="AA4334">
        <v>0.90331600000000001</v>
      </c>
      <c r="AB4334">
        <v>30</v>
      </c>
      <c r="AC4334">
        <v>0.41910000000001402</v>
      </c>
      <c r="AD4334">
        <v>-4.6284999999999903E-2</v>
      </c>
      <c r="AE4334">
        <v>-0.753319999999987</v>
      </c>
      <c r="AF4334">
        <v>-0.43277374494075899</v>
      </c>
      <c r="AG4334">
        <v>-4.6284999999999903E-2</v>
      </c>
      <c r="AH4334">
        <v>0.74268201275285395</v>
      </c>
      <c r="AI4334">
        <v>93.082192553081995</v>
      </c>
      <c r="AJ4334">
        <v>120.230100232532</v>
      </c>
      <c r="AK4334">
        <v>0.86082053158697303</v>
      </c>
    </row>
    <row r="4335" spans="1:37" x14ac:dyDescent="0.2">
      <c r="A4335" t="str">
        <f>"20200111153521337"</f>
        <v>20200111153521337</v>
      </c>
      <c r="B4335" t="str">
        <f>"1578728121330291"</f>
        <v>1578728121330291</v>
      </c>
      <c r="C4335" t="s">
        <v>37</v>
      </c>
      <c r="D4335">
        <v>4.463076</v>
      </c>
      <c r="E4335">
        <v>0.40625470000000002</v>
      </c>
      <c r="F4335" t="s">
        <v>40</v>
      </c>
      <c r="G4335">
        <v>-421.8648</v>
      </c>
      <c r="H4335">
        <v>1.058862</v>
      </c>
      <c r="I4335">
        <v>63.947899999999997</v>
      </c>
      <c r="J4335">
        <v>-422.29689999999999</v>
      </c>
      <c r="K4335">
        <v>1.10592</v>
      </c>
      <c r="L4335">
        <v>64.441220000000001</v>
      </c>
      <c r="M4335">
        <v>-1.8134270000000001E-2</v>
      </c>
      <c r="N4335">
        <v>0</v>
      </c>
      <c r="O4335">
        <v>-0.99974319999999905</v>
      </c>
      <c r="P4335">
        <v>0.18376689999999901</v>
      </c>
      <c r="Q4335">
        <v>5.1280489999999998E-2</v>
      </c>
      <c r="R4335">
        <v>-0.98163120000000004</v>
      </c>
      <c r="S4335">
        <v>1.269226</v>
      </c>
      <c r="T4335">
        <v>-0.14051449999999999</v>
      </c>
      <c r="U4335">
        <v>-2.82693499999999</v>
      </c>
      <c r="V4335">
        <v>-0.20168359999999999</v>
      </c>
      <c r="W4335">
        <v>6.4115690000000003E-2</v>
      </c>
      <c r="X4335">
        <v>0.97734989999999999</v>
      </c>
      <c r="Y4335">
        <v>-0.42564740000000001</v>
      </c>
      <c r="Z4335">
        <v>4.5107290000000001E-2</v>
      </c>
      <c r="AA4335">
        <v>0.90376409999999996</v>
      </c>
      <c r="AB4335">
        <v>30</v>
      </c>
      <c r="AC4335">
        <v>0.43209999999999099</v>
      </c>
      <c r="AD4335">
        <v>-4.7058000000000003E-2</v>
      </c>
      <c r="AE4335">
        <v>-0.49332000000000398</v>
      </c>
      <c r="AF4335">
        <v>-0.438716805054577</v>
      </c>
      <c r="AG4335">
        <v>-4.7058000000000003E-2</v>
      </c>
      <c r="AH4335">
        <v>0.48291578973323401</v>
      </c>
      <c r="AI4335">
        <v>94.125371168592096</v>
      </c>
      <c r="AJ4335">
        <v>132.25435435340901</v>
      </c>
      <c r="AK4335">
        <v>0.65413649215967895</v>
      </c>
    </row>
    <row r="4336" spans="1:37" x14ac:dyDescent="0.2">
      <c r="A4336" t="str">
        <f>"20200111153521358"</f>
        <v>20200111153521358</v>
      </c>
      <c r="B4336" t="str">
        <f>"1578728121350787"</f>
        <v>1578728121350787</v>
      </c>
      <c r="C4336" t="s">
        <v>37</v>
      </c>
      <c r="D4336">
        <v>4.4538900000000003</v>
      </c>
      <c r="E4336">
        <v>0.40597109999999997</v>
      </c>
      <c r="F4336" t="s">
        <v>39</v>
      </c>
      <c r="G4336">
        <v>-411.86649999999997</v>
      </c>
      <c r="H4336" s="1">
        <v>-2.759238E-6</v>
      </c>
      <c r="I4336">
        <v>41.396879999999904</v>
      </c>
      <c r="J4336">
        <v>-422.30090000000001</v>
      </c>
      <c r="K4336">
        <v>1.1059190000000001</v>
      </c>
      <c r="L4336">
        <v>64.153719999999893</v>
      </c>
      <c r="M4336">
        <v>-1.7003310000000001E-2</v>
      </c>
      <c r="N4336">
        <v>0</v>
      </c>
      <c r="O4336">
        <v>-0.99976309999999902</v>
      </c>
      <c r="P4336">
        <v>0.18425169999999999</v>
      </c>
      <c r="Q4336">
        <v>5.1134079999999998E-2</v>
      </c>
      <c r="R4336">
        <v>-0.98154809999999904</v>
      </c>
      <c r="S4336">
        <v>1.278168</v>
      </c>
      <c r="T4336">
        <v>-0.13552259999999999</v>
      </c>
      <c r="U4336">
        <v>-2.8239139999999998</v>
      </c>
      <c r="V4336">
        <v>-0.20105999999999999</v>
      </c>
      <c r="W4336">
        <v>6.3971520000000004E-2</v>
      </c>
      <c r="X4336">
        <v>0.97748789999999997</v>
      </c>
      <c r="Y4336">
        <v>-0.42739179999999999</v>
      </c>
      <c r="Z4336">
        <v>4.3506209999999997E-2</v>
      </c>
      <c r="AA4336">
        <v>0.90301909999999896</v>
      </c>
      <c r="AB4336">
        <v>30</v>
      </c>
      <c r="AC4336">
        <v>10.4344</v>
      </c>
      <c r="AD4336">
        <v>-1.105921759238</v>
      </c>
      <c r="AE4336">
        <v>-22.75684</v>
      </c>
      <c r="AF4336">
        <v>-10.7987954355619</v>
      </c>
      <c r="AG4336">
        <v>-1.105921759238</v>
      </c>
      <c r="AH4336">
        <v>22.532143773080801</v>
      </c>
      <c r="AI4336">
        <v>92.534329101250194</v>
      </c>
      <c r="AJ4336">
        <v>115.60661960338901</v>
      </c>
      <c r="AK4336">
        <v>25.010688691186701</v>
      </c>
    </row>
    <row r="4337" spans="1:37" x14ac:dyDescent="0.2">
      <c r="A4337" t="str">
        <f>"20200111153521382"</f>
        <v>20200111153521382</v>
      </c>
      <c r="B4337" t="str">
        <f>"1578728121370309"</f>
        <v>1578728121370309</v>
      </c>
      <c r="C4337" t="s">
        <v>37</v>
      </c>
      <c r="D4337">
        <v>4.4880089999999999</v>
      </c>
      <c r="E4337">
        <v>0.40566390000000002</v>
      </c>
      <c r="F4337" t="s">
        <v>39</v>
      </c>
      <c r="G4337">
        <v>-411.88229999999999</v>
      </c>
      <c r="H4337" s="1">
        <v>-2.6937959999999998E-6</v>
      </c>
      <c r="I4337">
        <v>41.216889999999999</v>
      </c>
      <c r="J4337">
        <v>-422.30459999999999</v>
      </c>
      <c r="K4337">
        <v>1.1059139999999901</v>
      </c>
      <c r="L4337">
        <v>63.85736</v>
      </c>
      <c r="M4337">
        <v>-1.583644E-2</v>
      </c>
      <c r="N4337">
        <v>0</v>
      </c>
      <c r="O4337">
        <v>-0.99978239999999996</v>
      </c>
      <c r="P4337">
        <v>0.1851729</v>
      </c>
      <c r="Q4337">
        <v>5.0782340000000002E-2</v>
      </c>
      <c r="R4337">
        <v>-0.98139290000000001</v>
      </c>
      <c r="S4337">
        <v>1.2821959999999999</v>
      </c>
      <c r="T4337">
        <v>-0.13610329999999901</v>
      </c>
      <c r="U4337">
        <v>-2.822784</v>
      </c>
      <c r="V4337">
        <v>-0.2008356</v>
      </c>
      <c r="W4337">
        <v>6.3619839999999997E-2</v>
      </c>
      <c r="X4337">
        <v>0.97755689999999995</v>
      </c>
      <c r="Y4337">
        <v>-0.42753799999999997</v>
      </c>
      <c r="Z4337">
        <v>4.3695610000000003E-2</v>
      </c>
      <c r="AA4337">
        <v>0.90294079999999999</v>
      </c>
      <c r="AB4337">
        <v>30</v>
      </c>
      <c r="AC4337">
        <v>10.4223</v>
      </c>
      <c r="AD4337">
        <v>-1.1059166937960001</v>
      </c>
      <c r="AE4337">
        <v>-22.640470000000001</v>
      </c>
      <c r="AF4337">
        <v>-10.758389085828201</v>
      </c>
      <c r="AG4337">
        <v>-1.1059166937960001</v>
      </c>
      <c r="AH4337">
        <v>22.428405758250701</v>
      </c>
      <c r="AI4337">
        <v>92.545612594555095</v>
      </c>
      <c r="AJ4337">
        <v>115.625960149486</v>
      </c>
      <c r="AK4337">
        <v>24.899786591704299</v>
      </c>
    </row>
    <row r="4338" spans="1:37" x14ac:dyDescent="0.2">
      <c r="A4338" t="str">
        <f>"20200111153521403"</f>
        <v>20200111153521403</v>
      </c>
      <c r="B4338" t="str">
        <f>"1578728121400563"</f>
        <v>1578728121400563</v>
      </c>
      <c r="C4338" t="s">
        <v>37</v>
      </c>
      <c r="D4338">
        <v>4.4243119999999996</v>
      </c>
      <c r="E4338">
        <v>0.4051805</v>
      </c>
      <c r="F4338" t="s">
        <v>40</v>
      </c>
      <c r="G4338">
        <v>-421.86509999999998</v>
      </c>
      <c r="H4338">
        <v>1.058921</v>
      </c>
      <c r="I4338">
        <v>62.894039999999997</v>
      </c>
      <c r="J4338">
        <v>-422.30799999999999</v>
      </c>
      <c r="K4338">
        <v>1.1059139999999901</v>
      </c>
      <c r="L4338">
        <v>63.558839999999996</v>
      </c>
      <c r="M4338">
        <v>-1.46608E-2</v>
      </c>
      <c r="N4338">
        <v>0</v>
      </c>
      <c r="O4338">
        <v>-0.99980029999999998</v>
      </c>
      <c r="P4338">
        <v>0.18611729999999899</v>
      </c>
      <c r="Q4338">
        <v>5.0037249999999998E-2</v>
      </c>
      <c r="R4338">
        <v>-0.98125280000000004</v>
      </c>
      <c r="S4338">
        <v>1.286835</v>
      </c>
      <c r="T4338">
        <v>-0.13762629999999901</v>
      </c>
      <c r="U4338">
        <v>-2.8211979999999999</v>
      </c>
      <c r="V4338">
        <v>-0.20062559999999999</v>
      </c>
      <c r="W4338">
        <v>6.287508E-2</v>
      </c>
      <c r="X4338">
        <v>0.97764830000000003</v>
      </c>
      <c r="Y4338">
        <v>-0.42788710000000002</v>
      </c>
      <c r="Z4338">
        <v>4.4189199999999998E-2</v>
      </c>
      <c r="AA4338">
        <v>0.90275130000000003</v>
      </c>
      <c r="AB4338">
        <v>30</v>
      </c>
      <c r="AC4338">
        <v>0.44290000000006502</v>
      </c>
      <c r="AD4338">
        <v>-4.6992999999999799E-2</v>
      </c>
      <c r="AE4338">
        <v>-0.66479999999999895</v>
      </c>
      <c r="AF4338">
        <v>-0.45103887739659898</v>
      </c>
      <c r="AG4338">
        <v>-4.6992999999999799E-2</v>
      </c>
      <c r="AH4338">
        <v>0.65596457136917397</v>
      </c>
      <c r="AI4338">
        <v>93.378325415141404</v>
      </c>
      <c r="AJ4338">
        <v>124.512273373585</v>
      </c>
      <c r="AK4338">
        <v>0.79745465693274897</v>
      </c>
    </row>
    <row r="4339" spans="1:37" x14ac:dyDescent="0.2">
      <c r="A4339" t="str">
        <f>"20200111153521425"</f>
        <v>20200111153521425</v>
      </c>
      <c r="B4339" t="str">
        <f>"1578728121420083"</f>
        <v>1578728121420083</v>
      </c>
      <c r="C4339" t="s">
        <v>37</v>
      </c>
      <c r="D4339">
        <v>4.6077490000000001</v>
      </c>
      <c r="E4339">
        <v>0.405335099999999</v>
      </c>
      <c r="F4339" t="s">
        <v>40</v>
      </c>
      <c r="G4339">
        <v>-421.8811</v>
      </c>
      <c r="H4339">
        <v>1.0592760000000001</v>
      </c>
      <c r="I4339">
        <v>62.6278199999999</v>
      </c>
      <c r="J4339">
        <v>-422.31110000000001</v>
      </c>
      <c r="K4339">
        <v>1.1059110000000001</v>
      </c>
      <c r="L4339">
        <v>63.264159999999997</v>
      </c>
      <c r="M4339">
        <v>-1.35002E-2</v>
      </c>
      <c r="N4339">
        <v>0</v>
      </c>
      <c r="O4339">
        <v>-0.999816699999999</v>
      </c>
      <c r="P4339">
        <v>0.18694520000000001</v>
      </c>
      <c r="Q4339">
        <v>4.9814160000000003E-2</v>
      </c>
      <c r="R4339">
        <v>-0.98110649999999999</v>
      </c>
      <c r="S4339">
        <v>1.2934570000000001</v>
      </c>
      <c r="T4339">
        <v>-0.14122179999999901</v>
      </c>
      <c r="U4339">
        <v>-2.8191830000000002</v>
      </c>
      <c r="V4339">
        <v>-0.2003151</v>
      </c>
      <c r="W4339">
        <v>6.2652360000000004E-2</v>
      </c>
      <c r="X4339">
        <v>0.97772619999999899</v>
      </c>
      <c r="Y4339">
        <v>-0.42881330000000001</v>
      </c>
      <c r="Z4339">
        <v>4.5340079999999998E-2</v>
      </c>
      <c r="AA4339">
        <v>0.90225460000000002</v>
      </c>
      <c r="AB4339">
        <v>30</v>
      </c>
      <c r="AC4339">
        <v>0.43000000000000599</v>
      </c>
      <c r="AD4339">
        <v>-4.6634999999999899E-2</v>
      </c>
      <c r="AE4339">
        <v>-0.63634000000000401</v>
      </c>
      <c r="AF4339">
        <v>-0.43694122011776498</v>
      </c>
      <c r="AG4339">
        <v>-4.6634999999999899E-2</v>
      </c>
      <c r="AH4339">
        <v>0.62816021737111005</v>
      </c>
      <c r="AI4339">
        <v>93.487652719570306</v>
      </c>
      <c r="AJ4339">
        <v>124.822042678383</v>
      </c>
      <c r="AK4339">
        <v>0.76660140343644101</v>
      </c>
    </row>
    <row r="4340" spans="1:37" x14ac:dyDescent="0.2">
      <c r="A4340" t="str">
        <f>"20200111153521448"</f>
        <v>20200111153521448</v>
      </c>
      <c r="B4340" t="str">
        <f>"1578728121440579"</f>
        <v>1578728121440579</v>
      </c>
      <c r="C4340" t="s">
        <v>37</v>
      </c>
      <c r="D4340">
        <v>4.6805820000000002</v>
      </c>
      <c r="E4340">
        <v>0.4483008</v>
      </c>
      <c r="F4340" t="s">
        <v>40</v>
      </c>
      <c r="G4340">
        <v>-421.8965</v>
      </c>
      <c r="H4340">
        <v>1.060422</v>
      </c>
      <c r="I4340">
        <v>62.361559999999997</v>
      </c>
      <c r="J4340">
        <v>-422.31380000000001</v>
      </c>
      <c r="K4340">
        <v>1.105907</v>
      </c>
      <c r="L4340">
        <v>62.968899999999998</v>
      </c>
      <c r="M4340">
        <v>-1.2337020000000001E-2</v>
      </c>
      <c r="N4340">
        <v>0</v>
      </c>
      <c r="O4340">
        <v>-0.99983169999999899</v>
      </c>
      <c r="P4340">
        <v>0.18821079999999901</v>
      </c>
      <c r="Q4340">
        <v>4.9572140000000001E-2</v>
      </c>
      <c r="R4340">
        <v>-0.98087659999999999</v>
      </c>
      <c r="S4340">
        <v>1.294495</v>
      </c>
      <c r="T4340">
        <v>-0.14203499999999999</v>
      </c>
      <c r="U4340">
        <v>-2.8183289999999999</v>
      </c>
      <c r="V4340">
        <v>-0.20043839999999999</v>
      </c>
      <c r="W4340">
        <v>6.240917E-2</v>
      </c>
      <c r="X4340">
        <v>0.97771649999999999</v>
      </c>
      <c r="Y4340">
        <v>-0.4281353</v>
      </c>
      <c r="Z4340">
        <v>4.5618590000000001E-2</v>
      </c>
      <c r="AA4340">
        <v>0.90256259999999999</v>
      </c>
      <c r="AB4340">
        <v>30</v>
      </c>
      <c r="AC4340">
        <v>0.417300000000011</v>
      </c>
      <c r="AD4340">
        <v>-4.5484999999999998E-2</v>
      </c>
      <c r="AE4340">
        <v>-0.60733999999999999</v>
      </c>
      <c r="AF4340">
        <v>-0.42314945352326999</v>
      </c>
      <c r="AG4340">
        <v>-4.5484999999999998E-2</v>
      </c>
      <c r="AH4340">
        <v>0.59985953648053203</v>
      </c>
      <c r="AI4340">
        <v>93.545578887657499</v>
      </c>
      <c r="AJ4340">
        <v>125.199687423916</v>
      </c>
      <c r="AK4340">
        <v>0.73549698078828396</v>
      </c>
    </row>
    <row r="4341" spans="1:37" x14ac:dyDescent="0.2">
      <c r="A4341" t="str">
        <f>"20200111153521469"</f>
        <v>20200111153521469</v>
      </c>
      <c r="B4341" t="str">
        <f>"1578728121460099"</f>
        <v>1578728121460099</v>
      </c>
      <c r="C4341" t="s">
        <v>37</v>
      </c>
      <c r="D4341">
        <v>4.6487579999999999</v>
      </c>
      <c r="E4341">
        <v>0.4518954</v>
      </c>
      <c r="F4341" t="s">
        <v>39</v>
      </c>
      <c r="G4341">
        <v>-416.33479999999997</v>
      </c>
      <c r="H4341" s="1">
        <v>-2.956847E-6</v>
      </c>
      <c r="I4341">
        <v>45.009749999999997</v>
      </c>
      <c r="J4341">
        <v>-422.31599999999997</v>
      </c>
      <c r="K4341">
        <v>1.1059049999999999</v>
      </c>
      <c r="L4341">
        <v>62.684269999999998</v>
      </c>
      <c r="M4341">
        <v>-1.121569E-2</v>
      </c>
      <c r="N4341">
        <v>0</v>
      </c>
      <c r="O4341">
        <v>-0.99984499999999998</v>
      </c>
      <c r="P4341">
        <v>0.1901331</v>
      </c>
      <c r="Q4341">
        <v>4.8971670000000002E-2</v>
      </c>
      <c r="R4341">
        <v>-0.98053630000000003</v>
      </c>
      <c r="S4341">
        <v>0.95989990000000003</v>
      </c>
      <c r="T4341">
        <v>-0.1775495</v>
      </c>
      <c r="U4341">
        <v>-2.88327</v>
      </c>
      <c r="V4341">
        <v>-0.20125709999999999</v>
      </c>
      <c r="W4341">
        <v>6.1803810000000001E-2</v>
      </c>
      <c r="X4341">
        <v>0.97758670000000003</v>
      </c>
      <c r="Y4341">
        <v>-0.32596160000000002</v>
      </c>
      <c r="Z4341">
        <v>5.8213540000000001E-2</v>
      </c>
      <c r="AA4341">
        <v>0.94358899999999901</v>
      </c>
      <c r="AB4341">
        <v>30</v>
      </c>
      <c r="AC4341">
        <v>5.9812000000000003</v>
      </c>
      <c r="AD4341">
        <v>-1.1059079568469901</v>
      </c>
      <c r="AE4341">
        <v>-17.674520000000001</v>
      </c>
      <c r="AF4341">
        <v>-6.1574439819336497</v>
      </c>
      <c r="AG4341">
        <v>-1.1059079568469901</v>
      </c>
      <c r="AH4341">
        <v>17.544687463851901</v>
      </c>
      <c r="AI4341">
        <v>93.403781278029797</v>
      </c>
      <c r="AJ4341">
        <v>109.33891789678999</v>
      </c>
      <c r="AK4341">
        <v>18.626679978029099</v>
      </c>
    </row>
    <row r="4342" spans="1:37" x14ac:dyDescent="0.2">
      <c r="A4342" t="str">
        <f>"20200111153521493"</f>
        <v>20200111153521493</v>
      </c>
      <c r="B4342" t="str">
        <f>"1578728121490355"</f>
        <v>1578728121490355</v>
      </c>
      <c r="C4342" t="s">
        <v>37</v>
      </c>
      <c r="D4342">
        <v>4.6618339999999998</v>
      </c>
      <c r="E4342">
        <v>0.45048500000000002</v>
      </c>
      <c r="F4342" t="s">
        <v>39</v>
      </c>
      <c r="G4342">
        <v>-416.07249999999999</v>
      </c>
      <c r="H4342" s="1">
        <v>-2.34457799999999E-6</v>
      </c>
      <c r="I4342">
        <v>43.466889999999999</v>
      </c>
      <c r="J4342">
        <v>-422.31810000000002</v>
      </c>
      <c r="K4342">
        <v>1.105904</v>
      </c>
      <c r="L4342">
        <v>62.386019999999903</v>
      </c>
      <c r="M4342">
        <v>-1.004061E-2</v>
      </c>
      <c r="N4342">
        <v>0</v>
      </c>
      <c r="O4342">
        <v>-0.99985769999999996</v>
      </c>
      <c r="P4342">
        <v>0.19204079999999901</v>
      </c>
      <c r="Q4342">
        <v>4.8674259999999997E-2</v>
      </c>
      <c r="R4342">
        <v>-0.98017969999999899</v>
      </c>
      <c r="S4342">
        <v>0.93765259999999995</v>
      </c>
      <c r="T4342">
        <v>-0.16608419999999999</v>
      </c>
      <c r="U4342">
        <v>-2.886047</v>
      </c>
      <c r="V4342">
        <v>-0.20201040000000001</v>
      </c>
      <c r="W4342">
        <v>6.1502080000000001E-2</v>
      </c>
      <c r="X4342">
        <v>0.97745040000000005</v>
      </c>
      <c r="Y4342">
        <v>-0.31806679999999998</v>
      </c>
      <c r="Z4342">
        <v>5.455695E-2</v>
      </c>
      <c r="AA4342">
        <v>0.94649729999999999</v>
      </c>
      <c r="AB4342">
        <v>30</v>
      </c>
      <c r="AC4342">
        <v>6.24560000000002</v>
      </c>
      <c r="AD4342">
        <v>-1.105906344578</v>
      </c>
      <c r="AE4342">
        <v>-18.919129999999999</v>
      </c>
      <c r="AF4342">
        <v>-6.4154951677318</v>
      </c>
      <c r="AG4342">
        <v>-1.105906344578</v>
      </c>
      <c r="AH4342">
        <v>18.797542979614501</v>
      </c>
      <c r="AI4342">
        <v>93.186881200693307</v>
      </c>
      <c r="AJ4342">
        <v>108.844483005896</v>
      </c>
      <c r="AK4342">
        <v>19.892944205436802</v>
      </c>
    </row>
    <row r="4343" spans="1:37" x14ac:dyDescent="0.2">
      <c r="A4343" t="str">
        <f>"20200111153521515"</f>
        <v>20200111153521515</v>
      </c>
      <c r="B4343" t="str">
        <f>"1578728121509875"</f>
        <v>1578728121509875</v>
      </c>
      <c r="C4343" t="s">
        <v>37</v>
      </c>
      <c r="D4343">
        <v>4.6687180000000001</v>
      </c>
      <c r="E4343">
        <v>0.4495635</v>
      </c>
      <c r="F4343" t="s">
        <v>39</v>
      </c>
      <c r="G4343">
        <v>-415.98079999999999</v>
      </c>
      <c r="H4343" s="1">
        <v>-2.2942469999999998E-6</v>
      </c>
      <c r="I4343">
        <v>43.247320000000002</v>
      </c>
      <c r="J4343">
        <v>-422.31979999999999</v>
      </c>
      <c r="K4343">
        <v>1.105904</v>
      </c>
      <c r="L4343">
        <v>62.088900000000002</v>
      </c>
      <c r="M4343">
        <v>-8.8700210000000005E-3</v>
      </c>
      <c r="N4343">
        <v>0</v>
      </c>
      <c r="O4343">
        <v>-0.9998686</v>
      </c>
      <c r="P4343">
        <v>0.19390479999999999</v>
      </c>
      <c r="Q4343">
        <v>4.8787329999999997E-2</v>
      </c>
      <c r="R4343">
        <v>-0.97980630000000002</v>
      </c>
      <c r="S4343">
        <v>0.95428469999999999</v>
      </c>
      <c r="T4343">
        <v>-0.1665304</v>
      </c>
      <c r="U4343">
        <v>-2.881958</v>
      </c>
      <c r="V4343">
        <v>-0.2027254</v>
      </c>
      <c r="W4343">
        <v>6.1610579999999998E-2</v>
      </c>
      <c r="X4343">
        <v>0.97729549999999998</v>
      </c>
      <c r="Y4343">
        <v>-0.32227729999999999</v>
      </c>
      <c r="Z4343">
        <v>5.4689740000000001E-2</v>
      </c>
      <c r="AA4343">
        <v>0.94506420000000002</v>
      </c>
      <c r="AB4343">
        <v>29</v>
      </c>
      <c r="AC4343">
        <v>6.3389999999999898</v>
      </c>
      <c r="AD4343">
        <v>-1.1059062942469999</v>
      </c>
      <c r="AE4343">
        <v>-18.84158</v>
      </c>
      <c r="AF4343">
        <v>-6.4858188541174</v>
      </c>
      <c r="AG4343">
        <v>-1.1059062942469999</v>
      </c>
      <c r="AH4343">
        <v>18.7266511326584</v>
      </c>
      <c r="AI4343">
        <v>93.193970108078901</v>
      </c>
      <c r="AJ4343">
        <v>109.103099349114</v>
      </c>
      <c r="AK4343">
        <v>19.848837184691099</v>
      </c>
    </row>
    <row r="4344" spans="1:37" x14ac:dyDescent="0.2">
      <c r="A4344" t="str">
        <f>"20200111153521538"</f>
        <v>20200111153521538</v>
      </c>
      <c r="B4344" t="str">
        <f>"1578728121530371"</f>
        <v>1578728121530371</v>
      </c>
      <c r="C4344" t="s">
        <v>37</v>
      </c>
      <c r="D4344">
        <v>4.6612830000000001</v>
      </c>
      <c r="E4344">
        <v>0.44921109999999997</v>
      </c>
      <c r="F4344" t="s">
        <v>39</v>
      </c>
      <c r="G4344">
        <v>-415.9554</v>
      </c>
      <c r="H4344" s="1">
        <v>-2.2634260000000001E-6</v>
      </c>
      <c r="I4344">
        <v>43.136899999999997</v>
      </c>
      <c r="J4344">
        <v>-422.3211</v>
      </c>
      <c r="K4344">
        <v>1.105896</v>
      </c>
      <c r="L4344">
        <v>61.793209999999902</v>
      </c>
      <c r="M4344">
        <v>-7.7048250000000002E-3</v>
      </c>
      <c r="N4344">
        <v>0</v>
      </c>
      <c r="O4344">
        <v>-0.9998783</v>
      </c>
      <c r="P4344">
        <v>0.19584760000000001</v>
      </c>
      <c r="Q4344">
        <v>4.9036169999999997E-2</v>
      </c>
      <c r="R4344">
        <v>-0.97940769999999899</v>
      </c>
      <c r="S4344">
        <v>0.96676640000000003</v>
      </c>
      <c r="T4344">
        <v>-0.16799120000000001</v>
      </c>
      <c r="U4344">
        <v>-2.878876</v>
      </c>
      <c r="V4344">
        <v>-0.2035257</v>
      </c>
      <c r="W4344">
        <v>6.1854729999999997E-2</v>
      </c>
      <c r="X4344">
        <v>0.97711380000000003</v>
      </c>
      <c r="Y4344">
        <v>-0.32515349999999998</v>
      </c>
      <c r="Z4344">
        <v>5.5160000000000001E-2</v>
      </c>
      <c r="AA4344">
        <v>0.94405110000000003</v>
      </c>
      <c r="AB4344">
        <v>29</v>
      </c>
      <c r="AC4344">
        <v>6.3657000000000004</v>
      </c>
      <c r="AD4344">
        <v>-1.105898263426</v>
      </c>
      <c r="AE4344">
        <v>-18.656310000000001</v>
      </c>
      <c r="AF4344">
        <v>-6.4888449531251204</v>
      </c>
      <c r="AG4344">
        <v>-1.105898263426</v>
      </c>
      <c r="AH4344">
        <v>18.5483262891956</v>
      </c>
      <c r="AI4344">
        <v>93.221101682977704</v>
      </c>
      <c r="AJ4344">
        <v>109.281599540863</v>
      </c>
      <c r="AK4344">
        <v>19.681680007692702</v>
      </c>
    </row>
    <row r="4345" spans="1:37" x14ac:dyDescent="0.2">
      <c r="A4345" t="str">
        <f>"20200111153521559"</f>
        <v>20200111153521559</v>
      </c>
      <c r="B4345" t="str">
        <f>"1578728121549892"</f>
        <v>1578728121549892</v>
      </c>
      <c r="C4345" t="s">
        <v>37</v>
      </c>
      <c r="D4345">
        <v>4.8669570000000002</v>
      </c>
      <c r="E4345">
        <v>0.44944259999999903</v>
      </c>
      <c r="F4345" t="s">
        <v>39</v>
      </c>
      <c r="G4345">
        <v>-415.90519999999998</v>
      </c>
      <c r="H4345" s="1">
        <v>-2.18756499999999E-6</v>
      </c>
      <c r="I4345">
        <v>42.87473</v>
      </c>
      <c r="J4345">
        <v>-422.32209999999998</v>
      </c>
      <c r="K4345">
        <v>1.1059019999999999</v>
      </c>
      <c r="L4345">
        <v>61.508879999999998</v>
      </c>
      <c r="M4345">
        <v>-6.5843550000000001E-3</v>
      </c>
      <c r="N4345">
        <v>0</v>
      </c>
      <c r="O4345">
        <v>-0.99988639999999995</v>
      </c>
      <c r="P4345">
        <v>0.19754929999999901</v>
      </c>
      <c r="Q4345">
        <v>4.9059419999999999E-2</v>
      </c>
      <c r="R4345">
        <v>-0.97906459999999995</v>
      </c>
      <c r="S4345">
        <v>0.97549439999999998</v>
      </c>
      <c r="T4345">
        <v>-0.16814479999999901</v>
      </c>
      <c r="U4345">
        <v>-2.8764340000000002</v>
      </c>
      <c r="V4345">
        <v>-0.20412920000000001</v>
      </c>
      <c r="W4345">
        <v>6.1873770000000002E-2</v>
      </c>
      <c r="X4345">
        <v>0.97698660000000004</v>
      </c>
      <c r="Y4345">
        <v>-0.32690580000000002</v>
      </c>
      <c r="Z4345">
        <v>5.5212070000000002E-2</v>
      </c>
      <c r="AA4345">
        <v>0.94344280000000003</v>
      </c>
      <c r="AB4345">
        <v>29</v>
      </c>
      <c r="AC4345">
        <v>6.4168999999999903</v>
      </c>
      <c r="AD4345">
        <v>-1.105904187565</v>
      </c>
      <c r="AE4345">
        <v>-18.634150000000002</v>
      </c>
      <c r="AF4345">
        <v>-6.5189391018343903</v>
      </c>
      <c r="AG4345">
        <v>-1.105904187565</v>
      </c>
      <c r="AH4345">
        <v>18.5331336146068</v>
      </c>
      <c r="AI4345">
        <v>93.221834636265598</v>
      </c>
      <c r="AJ4345">
        <v>109.379073318115</v>
      </c>
      <c r="AK4345">
        <v>19.677312638222901</v>
      </c>
    </row>
    <row r="4346" spans="1:37" x14ac:dyDescent="0.2">
      <c r="A4346" t="str">
        <f>"20200111153521581"</f>
        <v>20200111153521581</v>
      </c>
      <c r="B4346" t="str">
        <f>"1578728121570173"</f>
        <v>1578728121570173</v>
      </c>
      <c r="C4346" t="s">
        <v>37</v>
      </c>
      <c r="D4346">
        <v>4.87418</v>
      </c>
      <c r="E4346">
        <v>0.49201800000000001</v>
      </c>
      <c r="F4346" t="s">
        <v>39</v>
      </c>
      <c r="G4346">
        <v>-415.81380000000001</v>
      </c>
      <c r="H4346" s="1">
        <v>-2.0468640000000001E-6</v>
      </c>
      <c r="I4346">
        <v>42.38982</v>
      </c>
      <c r="J4346">
        <v>-422.3227</v>
      </c>
      <c r="K4346">
        <v>1.105899</v>
      </c>
      <c r="L4346">
        <v>61.216919999999902</v>
      </c>
      <c r="M4346">
        <v>-5.4334980000000001E-3</v>
      </c>
      <c r="N4346">
        <v>0</v>
      </c>
      <c r="O4346">
        <v>-0.99989309999999998</v>
      </c>
      <c r="P4346">
        <v>0.1987775</v>
      </c>
      <c r="Q4346">
        <v>4.9386859999999998E-2</v>
      </c>
      <c r="R4346">
        <v>-0.97879959999999899</v>
      </c>
      <c r="S4346">
        <v>0.97866819999999899</v>
      </c>
      <c r="T4346">
        <v>-0.16629869999999999</v>
      </c>
      <c r="U4346">
        <v>-2.875</v>
      </c>
      <c r="V4346">
        <v>-0.20423129999999901</v>
      </c>
      <c r="W4346">
        <v>6.2199770000000001E-2</v>
      </c>
      <c r="X4346">
        <v>0.97694459999999905</v>
      </c>
      <c r="Y4346">
        <v>-0.32690559999999902</v>
      </c>
      <c r="Z4346">
        <v>5.4624730000000003E-2</v>
      </c>
      <c r="AA4346">
        <v>0.94347700000000001</v>
      </c>
      <c r="AB4346">
        <v>29</v>
      </c>
      <c r="AC4346">
        <v>6.5088999999999801</v>
      </c>
      <c r="AD4346">
        <v>-1.105901046864</v>
      </c>
      <c r="AE4346">
        <v>-18.827099999999898</v>
      </c>
      <c r="AF4346">
        <v>-6.5907974824799602</v>
      </c>
      <c r="AG4346">
        <v>-1.105901046864</v>
      </c>
      <c r="AH4346">
        <v>18.733715318901201</v>
      </c>
      <c r="AI4346">
        <v>93.187331614138998</v>
      </c>
      <c r="AJ4346">
        <v>109.382624359484</v>
      </c>
      <c r="AK4346">
        <v>19.890040679449399</v>
      </c>
    </row>
    <row r="4347" spans="1:37" x14ac:dyDescent="0.2">
      <c r="A4347" t="str">
        <f>"20200111153521604"</f>
        <v>20200111153521604</v>
      </c>
      <c r="B4347" t="str">
        <f>"1578728121600429"</f>
        <v>1578728121600429</v>
      </c>
      <c r="C4347" t="s">
        <v>37</v>
      </c>
      <c r="D4347">
        <v>4.8084739999999897</v>
      </c>
      <c r="E4347">
        <v>0.55312640000000002</v>
      </c>
      <c r="F4347" t="s">
        <v>39</v>
      </c>
      <c r="G4347">
        <v>-418.16250000000002</v>
      </c>
      <c r="H4347" s="1">
        <v>-1.4963570000000001E-6</v>
      </c>
      <c r="I4347">
        <v>42.361020000000003</v>
      </c>
      <c r="J4347">
        <v>-422.32299999999998</v>
      </c>
      <c r="K4347">
        <v>1.1058969999999999</v>
      </c>
      <c r="L4347">
        <v>60.918669999999999</v>
      </c>
      <c r="M4347">
        <v>-4.2583270000000001E-3</v>
      </c>
      <c r="N4347">
        <v>0</v>
      </c>
      <c r="O4347">
        <v>-0.99989899999999998</v>
      </c>
      <c r="P4347">
        <v>0.19956179999999901</v>
      </c>
      <c r="Q4347">
        <v>4.9421050000000001E-2</v>
      </c>
      <c r="R4347">
        <v>-0.97863840000000002</v>
      </c>
      <c r="S4347">
        <v>0.64907840000000006</v>
      </c>
      <c r="T4347">
        <v>-0.17254249999999999</v>
      </c>
      <c r="U4347">
        <v>-2.9418950000000001</v>
      </c>
      <c r="V4347">
        <v>-0.2038652</v>
      </c>
      <c r="W4347">
        <v>6.2234520000000002E-2</v>
      </c>
      <c r="X4347">
        <v>0.97701890000000002</v>
      </c>
      <c r="Y4347">
        <v>-0.21925559999999999</v>
      </c>
      <c r="Z4347">
        <v>5.7151449999999999E-2</v>
      </c>
      <c r="AA4347">
        <v>0.97399210000000003</v>
      </c>
      <c r="AB4347">
        <v>29</v>
      </c>
      <c r="AC4347">
        <v>4.1605000000000096</v>
      </c>
      <c r="AD4347">
        <v>-1.105898496357</v>
      </c>
      <c r="AE4347">
        <v>-18.557649999999899</v>
      </c>
      <c r="AF4347">
        <v>-4.2252072877225499</v>
      </c>
      <c r="AG4347">
        <v>-1.105898496357</v>
      </c>
      <c r="AH4347">
        <v>18.477285641393699</v>
      </c>
      <c r="AI4347">
        <v>93.339180476132199</v>
      </c>
      <c r="AJ4347">
        <v>102.880387557657</v>
      </c>
      <c r="AK4347">
        <v>18.986454981963298</v>
      </c>
    </row>
    <row r="4348" spans="1:37" x14ac:dyDescent="0.2">
      <c r="A4348" t="str">
        <f>"20200111153521626"</f>
        <v>20200111153521626</v>
      </c>
      <c r="B4348" t="str">
        <f>"1578728121619949"</f>
        <v>1578728121619949</v>
      </c>
      <c r="C4348" t="s">
        <v>37</v>
      </c>
      <c r="D4348">
        <v>4.8071859999999997</v>
      </c>
      <c r="E4348">
        <v>0.55358359999999995</v>
      </c>
      <c r="F4348" t="s">
        <v>39</v>
      </c>
      <c r="G4348">
        <v>-421.3587</v>
      </c>
      <c r="H4348" s="1">
        <v>-2.232071E-6</v>
      </c>
      <c r="I4348">
        <v>43.949390000000001</v>
      </c>
      <c r="J4348">
        <v>-422.3229</v>
      </c>
      <c r="K4348">
        <v>1.105896</v>
      </c>
      <c r="L4348">
        <v>60.621519999999997</v>
      </c>
      <c r="M4348">
        <v>-3.0867550000000001E-3</v>
      </c>
      <c r="N4348">
        <v>0</v>
      </c>
      <c r="O4348">
        <v>-0.99990330000000005</v>
      </c>
      <c r="P4348">
        <v>0.20050190000000001</v>
      </c>
      <c r="Q4348">
        <v>4.9488089999999998E-2</v>
      </c>
      <c r="R4348">
        <v>-0.97844259999999905</v>
      </c>
      <c r="S4348">
        <v>0.17276</v>
      </c>
      <c r="T4348">
        <v>-0.19813539999999999</v>
      </c>
      <c r="U4348">
        <v>-3.0402529999999999</v>
      </c>
      <c r="V4348">
        <v>-0.2036588</v>
      </c>
      <c r="W4348">
        <v>6.2301629999999997E-2</v>
      </c>
      <c r="X4348">
        <v>0.97705759999999897</v>
      </c>
      <c r="Y4348">
        <v>-5.9694810000000001E-2</v>
      </c>
      <c r="Z4348">
        <v>6.4922140000000003E-2</v>
      </c>
      <c r="AA4348">
        <v>0.99610319999999997</v>
      </c>
      <c r="AB4348">
        <v>29</v>
      </c>
      <c r="AC4348">
        <v>0.96420000000000505</v>
      </c>
      <c r="AD4348">
        <v>-1.105898232071</v>
      </c>
      <c r="AE4348">
        <v>-16.6721299999999</v>
      </c>
      <c r="AF4348">
        <v>-1.0112283914225599</v>
      </c>
      <c r="AG4348">
        <v>-1.105898232071</v>
      </c>
      <c r="AH4348">
        <v>16.596294523601902</v>
      </c>
      <c r="AI4348">
        <v>93.805246431262105</v>
      </c>
      <c r="AJ4348">
        <v>93.486776936355398</v>
      </c>
      <c r="AK4348">
        <v>16.663810658833601</v>
      </c>
    </row>
    <row r="4349" spans="1:37" x14ac:dyDescent="0.2">
      <c r="A4349" t="str">
        <f>"20200111153521648"</f>
        <v>20200111153521648</v>
      </c>
      <c r="B4349" t="str">
        <f>"1578728121640445"</f>
        <v>1578728121640445</v>
      </c>
      <c r="C4349" t="s">
        <v>37</v>
      </c>
      <c r="D4349">
        <v>4.7848129999999998</v>
      </c>
      <c r="E4349">
        <v>0.55282769999999903</v>
      </c>
      <c r="F4349" t="s">
        <v>39</v>
      </c>
      <c r="G4349">
        <v>-421.35890000000001</v>
      </c>
      <c r="H4349" s="1">
        <v>-2.0698219999999998E-6</v>
      </c>
      <c r="I4349">
        <v>43.571109999999997</v>
      </c>
      <c r="J4349">
        <v>-422.32260000000002</v>
      </c>
      <c r="K4349">
        <v>1.105896</v>
      </c>
      <c r="L4349">
        <v>60.340580000000003</v>
      </c>
      <c r="M4349">
        <v>-1.9786980000000001E-3</v>
      </c>
      <c r="N4349">
        <v>0</v>
      </c>
      <c r="O4349">
        <v>-0.99990610000000002</v>
      </c>
      <c r="P4349">
        <v>0.20105880000000001</v>
      </c>
      <c r="Q4349">
        <v>4.9427190000000003E-2</v>
      </c>
      <c r="R4349">
        <v>-0.97833130000000001</v>
      </c>
      <c r="S4349">
        <v>0.17193599999999901</v>
      </c>
      <c r="T4349">
        <v>-0.19722989999999899</v>
      </c>
      <c r="U4349">
        <v>-3.0408330000000001</v>
      </c>
      <c r="V4349">
        <v>-0.20313120000000001</v>
      </c>
      <c r="W4349">
        <v>6.2242599999999898E-2</v>
      </c>
      <c r="X4349">
        <v>0.97717119999999902</v>
      </c>
      <c r="Y4349">
        <v>-5.8309890000000003E-2</v>
      </c>
      <c r="Z4349">
        <v>6.4617850000000004E-2</v>
      </c>
      <c r="AA4349">
        <v>0.99620499999999901</v>
      </c>
      <c r="AB4349">
        <v>29</v>
      </c>
      <c r="AC4349">
        <v>0.96370000000001699</v>
      </c>
      <c r="AD4349">
        <v>-1.105898069822</v>
      </c>
      <c r="AE4349">
        <v>-16.769469999999998</v>
      </c>
      <c r="AF4349">
        <v>-0.99258033719882199</v>
      </c>
      <c r="AG4349">
        <v>-1.105898069822</v>
      </c>
      <c r="AH4349">
        <v>16.695161506005402</v>
      </c>
      <c r="AI4349">
        <v>93.783111541972502</v>
      </c>
      <c r="AJ4349">
        <v>93.402410893025404</v>
      </c>
      <c r="AK4349">
        <v>16.761164756013599</v>
      </c>
    </row>
    <row r="4350" spans="1:37" x14ac:dyDescent="0.2">
      <c r="A4350" t="str">
        <f>"20200111153521670"</f>
        <v>20200111153521670</v>
      </c>
      <c r="B4350" t="str">
        <f>"1578728121659965"</f>
        <v>1578728121659965</v>
      </c>
      <c r="C4350" t="s">
        <v>37</v>
      </c>
      <c r="D4350">
        <v>4.7768839999999999</v>
      </c>
      <c r="E4350">
        <v>0.55203630000000004</v>
      </c>
      <c r="F4350" t="s">
        <v>39</v>
      </c>
      <c r="G4350">
        <v>-421.25909999999999</v>
      </c>
      <c r="H4350" s="1">
        <v>-1.5413509999999899E-6</v>
      </c>
      <c r="I4350">
        <v>42.4011</v>
      </c>
      <c r="J4350">
        <v>-422.32190000000003</v>
      </c>
      <c r="K4350">
        <v>1.105904</v>
      </c>
      <c r="L4350">
        <v>60.047419999999903</v>
      </c>
      <c r="M4350">
        <v>-8.2242539999999905E-4</v>
      </c>
      <c r="N4350">
        <v>0</v>
      </c>
      <c r="O4350">
        <v>-0.99990769999999995</v>
      </c>
      <c r="P4350">
        <v>0.20177899999999999</v>
      </c>
      <c r="Q4350">
        <v>4.9866300000000002E-2</v>
      </c>
      <c r="R4350">
        <v>-0.97816069999999999</v>
      </c>
      <c r="S4350">
        <v>0.18014530000000001</v>
      </c>
      <c r="T4350">
        <v>-0.1873349</v>
      </c>
      <c r="U4350">
        <v>-3.0388790000000001</v>
      </c>
      <c r="V4350">
        <v>-0.2027207</v>
      </c>
      <c r="W4350">
        <v>6.268282E-2</v>
      </c>
      <c r="X4350">
        <v>0.97722830000000005</v>
      </c>
      <c r="Y4350">
        <v>-5.9885590000000002E-2</v>
      </c>
      <c r="Z4350">
        <v>6.1420280000000001E-2</v>
      </c>
      <c r="AA4350">
        <v>0.99631380000000003</v>
      </c>
      <c r="AB4350">
        <v>29</v>
      </c>
      <c r="AC4350">
        <v>1.0628000000000299</v>
      </c>
      <c r="AD4350">
        <v>-1.1059055413509999</v>
      </c>
      <c r="AE4350">
        <v>-17.6463199999999</v>
      </c>
      <c r="AF4350">
        <v>-1.07311422197644</v>
      </c>
      <c r="AG4350">
        <v>-1.1059055413509999</v>
      </c>
      <c r="AH4350">
        <v>17.576655232880601</v>
      </c>
      <c r="AI4350">
        <v>93.593573437115793</v>
      </c>
      <c r="AJ4350">
        <v>93.4937643212034</v>
      </c>
      <c r="AK4350">
        <v>17.644075786941801</v>
      </c>
    </row>
    <row r="4351" spans="1:37" x14ac:dyDescent="0.2">
      <c r="A4351" t="str">
        <f>"20200111153521694"</f>
        <v>20200111153521694</v>
      </c>
      <c r="B4351" t="str">
        <f>"1578728121690222"</f>
        <v>1578728121690222</v>
      </c>
      <c r="C4351" t="s">
        <v>37</v>
      </c>
      <c r="D4351">
        <v>4.8122629999999997</v>
      </c>
      <c r="E4351">
        <v>0.55141409999999902</v>
      </c>
      <c r="F4351" t="s">
        <v>39</v>
      </c>
      <c r="G4351">
        <v>-421.17579999999998</v>
      </c>
      <c r="H4351" s="1">
        <v>-1.167106E-6</v>
      </c>
      <c r="I4351">
        <v>41.580410000000001</v>
      </c>
      <c r="J4351">
        <v>-422.32080000000002</v>
      </c>
      <c r="K4351">
        <v>1.1059030000000001</v>
      </c>
      <c r="L4351">
        <v>59.751950000000001</v>
      </c>
      <c r="M4351">
        <v>3.4309910000000001E-4</v>
      </c>
      <c r="N4351">
        <v>0</v>
      </c>
      <c r="O4351">
        <v>-0.99990820000000002</v>
      </c>
      <c r="P4351">
        <v>0.2024802</v>
      </c>
      <c r="Q4351">
        <v>4.9704159999999997E-2</v>
      </c>
      <c r="R4351">
        <v>-0.97802440000000002</v>
      </c>
      <c r="S4351">
        <v>0.18850710000000001</v>
      </c>
      <c r="T4351">
        <v>-0.1818932</v>
      </c>
      <c r="U4351">
        <v>-3.0373540000000001</v>
      </c>
      <c r="V4351">
        <v>-0.202281399999999</v>
      </c>
      <c r="W4351">
        <v>6.2522439999999999E-2</v>
      </c>
      <c r="X4351">
        <v>0.97732960000000002</v>
      </c>
      <c r="Y4351">
        <v>-6.1490940000000001E-2</v>
      </c>
      <c r="Z4351">
        <v>5.9664590000000003E-2</v>
      </c>
      <c r="AA4351">
        <v>0.99632279999999995</v>
      </c>
      <c r="AB4351">
        <v>29</v>
      </c>
      <c r="AC4351">
        <v>1.14500000000003</v>
      </c>
      <c r="AD4351">
        <v>-1.1059041671059999</v>
      </c>
      <c r="AE4351">
        <v>-18.17154</v>
      </c>
      <c r="AF4351">
        <v>-1.13457904757961</v>
      </c>
      <c r="AG4351">
        <v>-1.1059041671059999</v>
      </c>
      <c r="AH4351">
        <v>18.105138577723299</v>
      </c>
      <c r="AI4351">
        <v>93.488590943418401</v>
      </c>
      <c r="AJ4351">
        <v>93.585816039094794</v>
      </c>
      <c r="AK4351">
        <v>18.174331805064899</v>
      </c>
    </row>
    <row r="4352" spans="1:37" x14ac:dyDescent="0.2">
      <c r="A4352" t="str">
        <f>"20200111153521716"</f>
        <v>20200111153521716</v>
      </c>
      <c r="B4352" t="str">
        <f>"1578728121710719"</f>
        <v>1578728121710719</v>
      </c>
      <c r="C4352" t="s">
        <v>37</v>
      </c>
      <c r="D4352">
        <v>4.79183</v>
      </c>
      <c r="E4352">
        <v>0.55089399999999999</v>
      </c>
      <c r="F4352" t="s">
        <v>39</v>
      </c>
      <c r="G4352">
        <v>-421.1037</v>
      </c>
      <c r="H4352" s="1">
        <v>-8.3220930000000001E-7</v>
      </c>
      <c r="I4352">
        <v>40.844470000000001</v>
      </c>
      <c r="J4352">
        <v>-422.31950000000001</v>
      </c>
      <c r="K4352">
        <v>1.105899</v>
      </c>
      <c r="L4352">
        <v>59.458739999999999</v>
      </c>
      <c r="M4352">
        <v>1.5000229999999901E-3</v>
      </c>
      <c r="N4352">
        <v>0</v>
      </c>
      <c r="O4352">
        <v>-0.99990699999999999</v>
      </c>
      <c r="P4352">
        <v>0.2040563</v>
      </c>
      <c r="Q4352">
        <v>4.9948859999999998E-2</v>
      </c>
      <c r="R4352">
        <v>-0.977684</v>
      </c>
      <c r="S4352">
        <v>0.19543460000000001</v>
      </c>
      <c r="T4352">
        <v>-0.17757539999999999</v>
      </c>
      <c r="U4352">
        <v>-3.0359799999999999</v>
      </c>
      <c r="V4352">
        <v>-0.20272660000000001</v>
      </c>
      <c r="W4352">
        <v>6.2763719999999995E-2</v>
      </c>
      <c r="X4352">
        <v>0.97722189999999998</v>
      </c>
      <c r="Y4352">
        <v>-6.2633560000000005E-2</v>
      </c>
      <c r="Z4352">
        <v>5.8272999999999998E-2</v>
      </c>
      <c r="AA4352">
        <v>0.99633400000000005</v>
      </c>
      <c r="AB4352">
        <v>29</v>
      </c>
      <c r="AC4352">
        <v>1.2158</v>
      </c>
      <c r="AD4352">
        <v>-1.1058998322093001</v>
      </c>
      <c r="AE4352">
        <v>-18.614270000000001</v>
      </c>
      <c r="AF4352">
        <v>-1.18371381040534</v>
      </c>
      <c r="AG4352">
        <v>-1.1058998322093001</v>
      </c>
      <c r="AH4352">
        <v>18.550871825938799</v>
      </c>
      <c r="AI4352">
        <v>93.404710203363905</v>
      </c>
      <c r="AJ4352">
        <v>93.651040374517606</v>
      </c>
      <c r="AK4352">
        <v>18.6214671367816</v>
      </c>
    </row>
    <row r="4353" spans="1:37" x14ac:dyDescent="0.2">
      <c r="A4353" t="str">
        <f>"20200111153521738"</f>
        <v>20200111153521738</v>
      </c>
      <c r="B4353" t="str">
        <f>"1578728121730240"</f>
        <v>1578728121730240</v>
      </c>
      <c r="C4353" t="s">
        <v>37</v>
      </c>
      <c r="D4353">
        <v>4.7667900000000003</v>
      </c>
      <c r="E4353">
        <v>0.55035109999999998</v>
      </c>
      <c r="F4353" t="s">
        <v>39</v>
      </c>
      <c r="G4353">
        <v>-421.03160000000003</v>
      </c>
      <c r="H4353" s="1">
        <v>-6.0328759999999897E-7</v>
      </c>
      <c r="I4353">
        <v>40.355550000000001</v>
      </c>
      <c r="J4353">
        <v>-422.3177</v>
      </c>
      <c r="K4353">
        <v>1.1058969999999999</v>
      </c>
      <c r="L4353">
        <v>59.171779999999998</v>
      </c>
      <c r="M4353">
        <v>2.6322099999999998E-3</v>
      </c>
      <c r="N4353">
        <v>0</v>
      </c>
      <c r="O4353">
        <v>-0.99990480000000004</v>
      </c>
      <c r="P4353">
        <v>0.205627</v>
      </c>
      <c r="Q4353">
        <v>4.9828079999999997E-2</v>
      </c>
      <c r="R4353">
        <v>-0.97736109999999898</v>
      </c>
      <c r="S4353">
        <v>0.20458979999999999</v>
      </c>
      <c r="T4353">
        <v>-0.1756848</v>
      </c>
      <c r="U4353">
        <v>-3.0347599999999999</v>
      </c>
      <c r="V4353">
        <v>-0.20319039999999999</v>
      </c>
      <c r="W4353">
        <v>6.2640470000000004E-2</v>
      </c>
      <c r="X4353">
        <v>0.97713349999999899</v>
      </c>
      <c r="Y4353">
        <v>-6.452418E-2</v>
      </c>
      <c r="Z4353">
        <v>5.7668329999999997E-2</v>
      </c>
      <c r="AA4353">
        <v>0.99624849999999998</v>
      </c>
      <c r="AB4353">
        <v>29</v>
      </c>
      <c r="AC4353">
        <v>1.28609999999997</v>
      </c>
      <c r="AD4353">
        <v>-1.1058976032876</v>
      </c>
      <c r="AE4353">
        <v>-18.816230000000001</v>
      </c>
      <c r="AF4353">
        <v>-1.2323256586874201</v>
      </c>
      <c r="AG4353">
        <v>-1.1058976032876</v>
      </c>
      <c r="AH4353">
        <v>18.7550653588297</v>
      </c>
      <c r="AI4353">
        <v>93.367309787019707</v>
      </c>
      <c r="AJ4353">
        <v>93.759288986282698</v>
      </c>
      <c r="AK4353">
        <v>18.828014038979099</v>
      </c>
    </row>
    <row r="4354" spans="1:37" x14ac:dyDescent="0.2">
      <c r="A4354" t="str">
        <f>"20200111153521761"</f>
        <v>20200111153521761</v>
      </c>
      <c r="B4354" t="str">
        <f>"1578728121750733"</f>
        <v>1578728121750733</v>
      </c>
      <c r="C4354" t="s">
        <v>37</v>
      </c>
      <c r="D4354">
        <v>4.8226180000000003</v>
      </c>
      <c r="E4354">
        <v>0.55004509999999995</v>
      </c>
      <c r="F4354" t="s">
        <v>39</v>
      </c>
      <c r="G4354">
        <v>-420.964</v>
      </c>
      <c r="H4354" s="1">
        <v>-4.2597809999999899E-7</v>
      </c>
      <c r="I4354">
        <v>39.984200000000001</v>
      </c>
      <c r="J4354">
        <v>-422.31569999999999</v>
      </c>
      <c r="K4354">
        <v>1.1059000000000001</v>
      </c>
      <c r="L4354">
        <v>58.882509999999897</v>
      </c>
      <c r="M4354">
        <v>3.773799E-3</v>
      </c>
      <c r="N4354">
        <v>0</v>
      </c>
      <c r="O4354">
        <v>-0.99990119999999905</v>
      </c>
      <c r="P4354">
        <v>0.20734459999999999</v>
      </c>
      <c r="Q4354">
        <v>4.9153389999999998E-2</v>
      </c>
      <c r="R4354">
        <v>-0.97703269999999998</v>
      </c>
      <c r="S4354">
        <v>0.21401979999999901</v>
      </c>
      <c r="T4354">
        <v>-0.17483070000000001</v>
      </c>
      <c r="U4354">
        <v>-3.0333559999999999</v>
      </c>
      <c r="V4354">
        <v>-0.20379079999999999</v>
      </c>
      <c r="W4354">
        <v>6.1961820000000001E-2</v>
      </c>
      <c r="X4354">
        <v>0.97705169999999997</v>
      </c>
      <c r="Y4354">
        <v>-6.6499139999999998E-2</v>
      </c>
      <c r="Z4354">
        <v>5.740518E-2</v>
      </c>
      <c r="AA4354">
        <v>0.99613379999999996</v>
      </c>
      <c r="AB4354">
        <v>29</v>
      </c>
      <c r="AC4354">
        <v>1.3516999999999899</v>
      </c>
      <c r="AD4354">
        <v>-1.1059004259781</v>
      </c>
      <c r="AE4354">
        <v>-18.898309999999899</v>
      </c>
      <c r="AF4354">
        <v>-1.2760180385193201</v>
      </c>
      <c r="AG4354">
        <v>-1.1059004259781</v>
      </c>
      <c r="AH4354">
        <v>18.8390924422058</v>
      </c>
      <c r="AI4354">
        <v>93.351883488907006</v>
      </c>
      <c r="AJ4354">
        <v>93.874865658616997</v>
      </c>
      <c r="AK4354">
        <v>18.914614503943302</v>
      </c>
    </row>
    <row r="4355" spans="1:37" x14ac:dyDescent="0.2">
      <c r="A4355" t="str">
        <f>"20200111153521782"</f>
        <v>20200111153521782</v>
      </c>
      <c r="B4355" t="str">
        <f>"1578728121780012"</f>
        <v>1578728121780012</v>
      </c>
      <c r="C4355" t="s">
        <v>37</v>
      </c>
      <c r="D4355">
        <v>4.8053569999999999</v>
      </c>
      <c r="E4355">
        <v>0.54971049999999999</v>
      </c>
      <c r="F4355" t="s">
        <v>39</v>
      </c>
      <c r="G4355">
        <v>-420.92750000000001</v>
      </c>
      <c r="H4355" s="1">
        <v>-3.70561299999999E-7</v>
      </c>
      <c r="I4355">
        <v>39.877609999999997</v>
      </c>
      <c r="J4355">
        <v>-422.3134</v>
      </c>
      <c r="K4355">
        <v>1.105899</v>
      </c>
      <c r="L4355">
        <v>58.594180000000001</v>
      </c>
      <c r="M4355">
        <v>4.9118340000000003E-3</v>
      </c>
      <c r="N4355">
        <v>0</v>
      </c>
      <c r="O4355">
        <v>-0.99989640000000002</v>
      </c>
      <c r="P4355">
        <v>0.20900779999999999</v>
      </c>
      <c r="Q4355">
        <v>4.8563999999999899E-2</v>
      </c>
      <c r="R4355">
        <v>-0.97670759999999901</v>
      </c>
      <c r="S4355">
        <v>0.22149659999999999</v>
      </c>
      <c r="T4355">
        <v>-0.1764569</v>
      </c>
      <c r="U4355">
        <v>-3.03241</v>
      </c>
      <c r="V4355">
        <v>-0.20434099999999999</v>
      </c>
      <c r="W4355">
        <v>6.1369760000000002E-2</v>
      </c>
      <c r="X4355">
        <v>0.97697409999999996</v>
      </c>
      <c r="Y4355">
        <v>-6.7826499999999998E-2</v>
      </c>
      <c r="Z4355">
        <v>5.7947190000000003E-2</v>
      </c>
      <c r="AA4355">
        <v>0.99601289999999998</v>
      </c>
      <c r="AB4355">
        <v>29</v>
      </c>
      <c r="AC4355">
        <v>1.3858999999999899</v>
      </c>
      <c r="AD4355">
        <v>-1.1058993705613001</v>
      </c>
      <c r="AE4355">
        <v>-18.716570000000001</v>
      </c>
      <c r="AF4355">
        <v>-1.2894649053499201</v>
      </c>
      <c r="AG4355">
        <v>-1.1058993705613001</v>
      </c>
      <c r="AH4355">
        <v>18.6583666405438</v>
      </c>
      <c r="AI4355">
        <v>93.383955109241597</v>
      </c>
      <c r="AJ4355">
        <v>93.953379940743105</v>
      </c>
      <c r="AK4355">
        <v>18.7355378586497</v>
      </c>
    </row>
    <row r="4356" spans="1:37" x14ac:dyDescent="0.2">
      <c r="A4356" t="str">
        <f>"20200111153521805"</f>
        <v>20200111153521805</v>
      </c>
      <c r="B4356" t="str">
        <f>"1578728121800509"</f>
        <v>1578728121800509</v>
      </c>
      <c r="C4356" t="s">
        <v>37</v>
      </c>
      <c r="D4356">
        <v>4.8360699999999897</v>
      </c>
      <c r="E4356">
        <v>0.54955949999999998</v>
      </c>
      <c r="F4356" t="s">
        <v>39</v>
      </c>
      <c r="G4356">
        <v>-420.88290000000001</v>
      </c>
      <c r="H4356" s="1">
        <v>-2.6190079999999902E-7</v>
      </c>
      <c r="I4356">
        <v>39.651980000000002</v>
      </c>
      <c r="J4356">
        <v>-422.31049999999999</v>
      </c>
      <c r="K4356">
        <v>1.1059019999999999</v>
      </c>
      <c r="L4356">
        <v>58.295169999999999</v>
      </c>
      <c r="M4356">
        <v>6.092175E-3</v>
      </c>
      <c r="N4356">
        <v>0</v>
      </c>
      <c r="O4356">
        <v>-0.99988999999999995</v>
      </c>
      <c r="P4356">
        <v>0.21080749999999901</v>
      </c>
      <c r="Q4356">
        <v>4.9246020000000001E-2</v>
      </c>
      <c r="R4356">
        <v>-0.97628669999999995</v>
      </c>
      <c r="S4356">
        <v>0.22891239999999999</v>
      </c>
      <c r="T4356">
        <v>-0.17698</v>
      </c>
      <c r="U4356">
        <v>-3.0313720000000002</v>
      </c>
      <c r="V4356">
        <v>-0.20499020000000001</v>
      </c>
      <c r="W4356">
        <v>6.2047489999999997E-2</v>
      </c>
      <c r="X4356">
        <v>0.97679530000000003</v>
      </c>
      <c r="Y4356">
        <v>-6.9095889999999993E-2</v>
      </c>
      <c r="Z4356">
        <v>5.812983E-2</v>
      </c>
      <c r="AA4356">
        <v>0.99591499999999999</v>
      </c>
      <c r="AB4356">
        <v>29</v>
      </c>
      <c r="AC4356">
        <v>1.42759999999998</v>
      </c>
      <c r="AD4356">
        <v>-1.1059022619008001</v>
      </c>
      <c r="AE4356">
        <v>-18.643190000000001</v>
      </c>
      <c r="AF4356">
        <v>-1.30940488201214</v>
      </c>
      <c r="AG4356">
        <v>-1.1059022619008001</v>
      </c>
      <c r="AH4356">
        <v>18.586521195066702</v>
      </c>
      <c r="AI4356">
        <v>93.396698607199895</v>
      </c>
      <c r="AJ4356">
        <v>94.029781858258403</v>
      </c>
      <c r="AK4356">
        <v>18.6653778716794</v>
      </c>
    </row>
    <row r="4357" spans="1:37" x14ac:dyDescent="0.2">
      <c r="A4357" t="str">
        <f>"20200111153521827"</f>
        <v>20200111153521827</v>
      </c>
      <c r="B4357" t="str">
        <f>"1578728121820029"</f>
        <v>1578728121820029</v>
      </c>
      <c r="C4357" t="s">
        <v>37</v>
      </c>
      <c r="D4357">
        <v>4.8485430000000003</v>
      </c>
      <c r="E4357">
        <v>0.54954530000000001</v>
      </c>
      <c r="F4357" t="s">
        <v>65</v>
      </c>
      <c r="G4357">
        <v>-420.82029999999997</v>
      </c>
      <c r="H4357" s="1">
        <v>-4.2698090000000001E-7</v>
      </c>
      <c r="I4357">
        <v>39.131029999999903</v>
      </c>
      <c r="J4357">
        <v>-422.30759999999998</v>
      </c>
      <c r="K4357">
        <v>1.1058939999999999</v>
      </c>
      <c r="L4357">
        <v>58.007840000000002</v>
      </c>
      <c r="M4357">
        <v>7.2266839999999997E-3</v>
      </c>
      <c r="N4357">
        <v>0</v>
      </c>
      <c r="O4357">
        <v>-0.9998823</v>
      </c>
      <c r="P4357">
        <v>0.2117655</v>
      </c>
      <c r="Q4357">
        <v>5.0183730000000003E-2</v>
      </c>
      <c r="R4357">
        <v>-0.97603150000000005</v>
      </c>
      <c r="S4357">
        <v>0.23568729999999999</v>
      </c>
      <c r="T4357">
        <v>-0.17489930000000001</v>
      </c>
      <c r="U4357">
        <v>-3.0308229999999998</v>
      </c>
      <c r="V4357">
        <v>-0.2048421</v>
      </c>
      <c r="W4357">
        <v>6.2984059999999994E-2</v>
      </c>
      <c r="X4357">
        <v>0.97676649999999998</v>
      </c>
      <c r="Y4357">
        <v>-7.0193749999999999E-2</v>
      </c>
      <c r="Z4357">
        <v>5.7451299999999997E-2</v>
      </c>
      <c r="AA4357">
        <v>0.99587760000000003</v>
      </c>
      <c r="AB4357">
        <v>29</v>
      </c>
      <c r="AC4357">
        <v>1.4873000000000001</v>
      </c>
      <c r="AD4357">
        <v>-1.1058944269808999</v>
      </c>
      <c r="AE4357">
        <v>-18.876809999999999</v>
      </c>
      <c r="AF4357">
        <v>-1.34623988780517</v>
      </c>
      <c r="AG4357">
        <v>-1.1058944269808999</v>
      </c>
      <c r="AH4357">
        <v>18.8228613284953</v>
      </c>
      <c r="AI4357">
        <v>93.353870434605298</v>
      </c>
      <c r="AJ4357">
        <v>94.090915983719697</v>
      </c>
      <c r="AK4357">
        <v>18.903319097738098</v>
      </c>
    </row>
    <row r="4358" spans="1:37" x14ac:dyDescent="0.2">
      <c r="A4358" t="str">
        <f>"20200111153521849"</f>
        <v>20200111153521849</v>
      </c>
      <c r="B4358" t="str">
        <f>"1578728121840525"</f>
        <v>1578728121840525</v>
      </c>
      <c r="C4358" t="s">
        <v>37</v>
      </c>
      <c r="D4358">
        <v>4.8004059999999997</v>
      </c>
      <c r="E4358">
        <v>0.54940169999999999</v>
      </c>
      <c r="F4358" t="s">
        <v>65</v>
      </c>
      <c r="G4358">
        <v>-420.77069999999998</v>
      </c>
      <c r="H4358" s="1">
        <v>-8.0149540000000001E-7</v>
      </c>
      <c r="I4358">
        <v>38.53096</v>
      </c>
      <c r="J4358">
        <v>-422.30430000000001</v>
      </c>
      <c r="K4358">
        <v>1.1058920000000001</v>
      </c>
      <c r="L4358">
        <v>57.724490000000003</v>
      </c>
      <c r="M4358">
        <v>8.3455049999999996E-3</v>
      </c>
      <c r="N4358">
        <v>0</v>
      </c>
      <c r="O4358">
        <v>-0.99987349999999997</v>
      </c>
      <c r="P4358">
        <v>0.21283539999999901</v>
      </c>
      <c r="Q4358">
        <v>5.0993919999999998E-2</v>
      </c>
      <c r="R4358">
        <v>-0.97575659999999897</v>
      </c>
      <c r="S4358">
        <v>0.23913570000000001</v>
      </c>
      <c r="T4358">
        <v>-0.1720777</v>
      </c>
      <c r="U4358">
        <v>-3.0306090000000001</v>
      </c>
      <c r="V4358">
        <v>-0.20482220000000001</v>
      </c>
      <c r="W4358">
        <v>6.3793059999999999E-2</v>
      </c>
      <c r="X4358">
        <v>0.97671810000000003</v>
      </c>
      <c r="Y4358">
        <v>-7.0213410000000004E-2</v>
      </c>
      <c r="Z4358">
        <v>5.6528120000000001E-2</v>
      </c>
      <c r="AA4358">
        <v>0.99592909999999901</v>
      </c>
      <c r="AB4358">
        <v>29</v>
      </c>
      <c r="AC4358">
        <v>1.5336000000000301</v>
      </c>
      <c r="AD4358">
        <v>-1.1058928014953999</v>
      </c>
      <c r="AE4358">
        <v>-19.193529999999999</v>
      </c>
      <c r="AF4358">
        <v>-1.3688367154020999</v>
      </c>
      <c r="AG4358">
        <v>-1.1058928014953999</v>
      </c>
      <c r="AH4358">
        <v>19.142514496895298</v>
      </c>
      <c r="AI4358">
        <v>93.297988574941201</v>
      </c>
      <c r="AJ4358">
        <v>94.090126078803806</v>
      </c>
      <c r="AK4358">
        <v>19.223230064317502</v>
      </c>
    </row>
    <row r="4359" spans="1:37" x14ac:dyDescent="0.2">
      <c r="A4359" t="str">
        <f>"20200111153521867"</f>
        <v>20200111153521867</v>
      </c>
      <c r="B4359" t="str">
        <f>"1578728121860047"</f>
        <v>1578728121860047</v>
      </c>
      <c r="C4359" t="s">
        <v>37</v>
      </c>
      <c r="D4359">
        <v>4.8443370000000003</v>
      </c>
      <c r="E4359">
        <v>0.54923650000000002</v>
      </c>
      <c r="F4359" t="s">
        <v>65</v>
      </c>
      <c r="G4359">
        <v>-420.7099</v>
      </c>
      <c r="H4359" s="1">
        <v>-1.226784E-6</v>
      </c>
      <c r="I4359">
        <v>37.848570000000002</v>
      </c>
      <c r="J4359">
        <v>-422.3014</v>
      </c>
      <c r="K4359">
        <v>1.105891</v>
      </c>
      <c r="L4359">
        <v>57.499789999999997</v>
      </c>
      <c r="M4359">
        <v>9.2331050000000001E-3</v>
      </c>
      <c r="N4359">
        <v>0</v>
      </c>
      <c r="O4359">
        <v>-0.99986580000000003</v>
      </c>
      <c r="P4359">
        <v>0.21369869999999999</v>
      </c>
      <c r="Q4359">
        <v>5.0577869999999997E-2</v>
      </c>
      <c r="R4359">
        <v>-0.97558959999999995</v>
      </c>
      <c r="S4359">
        <v>0.2430725</v>
      </c>
      <c r="T4359">
        <v>-0.1686057</v>
      </c>
      <c r="U4359">
        <v>-3.0303040000000001</v>
      </c>
      <c r="V4359">
        <v>-0.2048179</v>
      </c>
      <c r="W4359">
        <v>6.3377139999999998E-2</v>
      </c>
      <c r="X4359">
        <v>0.97674609999999995</v>
      </c>
      <c r="Y4359">
        <v>-7.0626549999999996E-2</v>
      </c>
      <c r="Z4359">
        <v>5.5392379999999998E-2</v>
      </c>
      <c r="AA4359">
        <v>0.99596359999999995</v>
      </c>
      <c r="AB4359">
        <v>29</v>
      </c>
      <c r="AC4359">
        <v>1.5914999999999899</v>
      </c>
      <c r="AD4359">
        <v>-1.1058922267839999</v>
      </c>
      <c r="AE4359">
        <v>-19.651219999999999</v>
      </c>
      <c r="AF4359">
        <v>-1.4055513944797899</v>
      </c>
      <c r="AG4359">
        <v>-1.1058922267839999</v>
      </c>
      <c r="AH4359">
        <v>19.6033988248745</v>
      </c>
      <c r="AI4359">
        <v>93.2205710676145</v>
      </c>
      <c r="AJ4359">
        <v>94.101053480430295</v>
      </c>
      <c r="AK4359">
        <v>19.684811856527201</v>
      </c>
    </row>
    <row r="4360" spans="1:37" x14ac:dyDescent="0.2">
      <c r="A4360" t="str">
        <f>"20200111153521880"</f>
        <v>20200111153521880</v>
      </c>
      <c r="B4360" t="str">
        <f>"1578728121870781"</f>
        <v>1578728121870781</v>
      </c>
      <c r="C4360" t="s">
        <v>37</v>
      </c>
      <c r="D4360">
        <v>4.8571470000000003</v>
      </c>
      <c r="E4360">
        <v>0.54920449999999998</v>
      </c>
      <c r="F4360" t="s">
        <v>65</v>
      </c>
      <c r="G4360">
        <v>-420.6977</v>
      </c>
      <c r="H4360" s="1">
        <v>-1.240546E-6</v>
      </c>
      <c r="I4360">
        <v>37.824240000000003</v>
      </c>
      <c r="J4360">
        <v>-422.29899999999998</v>
      </c>
      <c r="K4360">
        <v>1.105888</v>
      </c>
      <c r="L4360">
        <v>57.31738</v>
      </c>
      <c r="M4360">
        <v>9.9538279999999996E-3</v>
      </c>
      <c r="N4360">
        <v>0</v>
      </c>
      <c r="O4360">
        <v>-0.99985889999999999</v>
      </c>
      <c r="P4360">
        <v>0.2143245</v>
      </c>
      <c r="Q4360">
        <v>5.0498849999999998E-2</v>
      </c>
      <c r="R4360">
        <v>-0.9754564</v>
      </c>
      <c r="S4360">
        <v>0.24694820000000001</v>
      </c>
      <c r="T4360">
        <v>-0.17029349999999999</v>
      </c>
      <c r="U4360">
        <v>-3.029785</v>
      </c>
      <c r="V4360">
        <v>-0.2047398</v>
      </c>
      <c r="W4360">
        <v>6.329767E-2</v>
      </c>
      <c r="X4360">
        <v>0.97676770000000002</v>
      </c>
      <c r="Y4360">
        <v>-7.1184349999999993E-2</v>
      </c>
      <c r="Z4360">
        <v>5.5950079999999999E-2</v>
      </c>
      <c r="AA4360">
        <v>0.99589280000000002</v>
      </c>
      <c r="AB4360">
        <v>29</v>
      </c>
      <c r="AC4360">
        <v>1.6013000000000299</v>
      </c>
      <c r="AD4360">
        <v>-1.1058892405459999</v>
      </c>
      <c r="AE4360">
        <v>-19.49314</v>
      </c>
      <c r="AF4360">
        <v>-1.4026871755535799</v>
      </c>
      <c r="AG4360">
        <v>-1.1058892405459999</v>
      </c>
      <c r="AH4360">
        <v>19.445946498352999</v>
      </c>
      <c r="AI4360">
        <v>93.246483056977596</v>
      </c>
      <c r="AJ4360">
        <v>94.125749322025797</v>
      </c>
      <c r="AK4360">
        <v>19.527809850099</v>
      </c>
    </row>
    <row r="4361" spans="1:37" x14ac:dyDescent="0.2">
      <c r="A4361" t="str">
        <f>"20200111153521895"</f>
        <v>20200111153521895</v>
      </c>
      <c r="B4361" t="str">
        <f>"1578728121890301"</f>
        <v>1578728121890301</v>
      </c>
      <c r="C4361" t="s">
        <v>37</v>
      </c>
      <c r="D4361">
        <v>4.8425630000000002</v>
      </c>
      <c r="E4361">
        <v>0.54919899999999999</v>
      </c>
      <c r="F4361" t="s">
        <v>65</v>
      </c>
      <c r="G4361">
        <v>-420.68770000000001</v>
      </c>
      <c r="H4361" s="1">
        <v>-1.3235069999999899E-6</v>
      </c>
      <c r="I4361">
        <v>37.691519999999997</v>
      </c>
      <c r="J4361">
        <v>-422.29649999999998</v>
      </c>
      <c r="K4361">
        <v>1.105893</v>
      </c>
      <c r="L4361">
        <v>57.140659999999997</v>
      </c>
      <c r="M4361">
        <v>1.0651580000000001E-2</v>
      </c>
      <c r="N4361">
        <v>0</v>
      </c>
      <c r="O4361">
        <v>-0.999851499999999</v>
      </c>
      <c r="P4361">
        <v>0.21627689999999899</v>
      </c>
      <c r="Q4361">
        <v>4.8918919999999998E-2</v>
      </c>
      <c r="R4361">
        <v>-0.97510569999999896</v>
      </c>
      <c r="S4361">
        <v>0.24874879999999999</v>
      </c>
      <c r="T4361">
        <v>-0.17071710000000001</v>
      </c>
      <c r="U4361">
        <v>-3.0296630000000002</v>
      </c>
      <c r="V4361">
        <v>-0.2060102</v>
      </c>
      <c r="W4361">
        <v>6.1712419999999997E-2</v>
      </c>
      <c r="X4361">
        <v>0.97660199999999997</v>
      </c>
      <c r="Y4361">
        <v>-7.1078810000000006E-2</v>
      </c>
      <c r="Z4361">
        <v>5.6089319999999998E-2</v>
      </c>
      <c r="AA4361">
        <v>0.99589249999999996</v>
      </c>
      <c r="AB4361">
        <v>29</v>
      </c>
      <c r="AC4361">
        <v>1.60879999999997</v>
      </c>
      <c r="AD4361">
        <v>-1.105894323507</v>
      </c>
      <c r="AE4361">
        <v>-19.44914</v>
      </c>
      <c r="AF4361">
        <v>-1.39703948492904</v>
      </c>
      <c r="AG4361">
        <v>-1.105894323507</v>
      </c>
      <c r="AH4361">
        <v>19.4028681373354</v>
      </c>
      <c r="AI4361">
        <v>93.253720847285507</v>
      </c>
      <c r="AJ4361">
        <v>94.118286587328498</v>
      </c>
      <c r="AK4361">
        <v>19.484507012804901</v>
      </c>
    </row>
    <row r="4362" spans="1:37" x14ac:dyDescent="0.2">
      <c r="A4362" t="str">
        <f>"20200111153521918"</f>
        <v>20200111153521918</v>
      </c>
      <c r="B4362" t="str">
        <f>"1578728121909824"</f>
        <v>1578728121909824</v>
      </c>
      <c r="C4362" t="s">
        <v>37</v>
      </c>
      <c r="D4362">
        <v>4.864846</v>
      </c>
      <c r="E4362">
        <v>0.54925139999999995</v>
      </c>
      <c r="F4362" t="s">
        <v>65</v>
      </c>
      <c r="G4362">
        <v>-420.68970000000002</v>
      </c>
      <c r="H4362" s="1">
        <v>-1.1118000000000001E-6</v>
      </c>
      <c r="I4362">
        <v>38.025019999999998</v>
      </c>
      <c r="J4362">
        <v>-422.2919</v>
      </c>
      <c r="K4362">
        <v>1.105898</v>
      </c>
      <c r="L4362">
        <v>56.8399</v>
      </c>
      <c r="M4362">
        <v>1.183964E-2</v>
      </c>
      <c r="N4362">
        <v>0</v>
      </c>
      <c r="O4362">
        <v>-0.99983840000000002</v>
      </c>
      <c r="P4362">
        <v>0.22033259999999999</v>
      </c>
      <c r="Q4362">
        <v>4.8900279999999997E-2</v>
      </c>
      <c r="R4362">
        <v>-0.97419849999999997</v>
      </c>
      <c r="S4362">
        <v>0.25460820000000001</v>
      </c>
      <c r="T4362">
        <v>-0.17523059999999999</v>
      </c>
      <c r="U4362">
        <v>-3.0289000000000001</v>
      </c>
      <c r="V4362">
        <v>-0.20891460000000001</v>
      </c>
      <c r="W4362">
        <v>6.1678650000000002E-2</v>
      </c>
      <c r="X4362">
        <v>0.97598689999999999</v>
      </c>
      <c r="Y4362">
        <v>-7.1820270000000005E-2</v>
      </c>
      <c r="Z4362">
        <v>5.7574500000000001E-2</v>
      </c>
      <c r="AA4362">
        <v>0.99575449999999999</v>
      </c>
      <c r="AB4362">
        <v>29</v>
      </c>
      <c r="AC4362">
        <v>1.6021999999999801</v>
      </c>
      <c r="AD4362">
        <v>-1.1058991117999999</v>
      </c>
      <c r="AE4362">
        <v>-18.814879999999999</v>
      </c>
      <c r="AF4362">
        <v>-1.3745910841559299</v>
      </c>
      <c r="AG4362">
        <v>-1.1058991117999999</v>
      </c>
      <c r="AH4362">
        <v>18.768158015501498</v>
      </c>
      <c r="AI4362">
        <v>93.363222355807196</v>
      </c>
      <c r="AJ4362">
        <v>94.188897732629897</v>
      </c>
      <c r="AK4362">
        <v>18.850895702564301</v>
      </c>
    </row>
    <row r="4363" spans="1:37" x14ac:dyDescent="0.2">
      <c r="A4363" t="str">
        <f>"20200111153521940"</f>
        <v>20200111153521940</v>
      </c>
      <c r="B4363" t="str">
        <f>"1578728121930317"</f>
        <v>1578728121930317</v>
      </c>
      <c r="C4363" t="s">
        <v>37</v>
      </c>
      <c r="D4363">
        <v>4.8216739999999998</v>
      </c>
      <c r="E4363">
        <v>0.54926379999999997</v>
      </c>
      <c r="F4363" t="s">
        <v>65</v>
      </c>
      <c r="G4363">
        <v>-420.6103</v>
      </c>
      <c r="H4363" s="1">
        <v>-1.2452419999999901E-6</v>
      </c>
      <c r="I4363">
        <v>37.797699999999999</v>
      </c>
      <c r="J4363">
        <v>-422.28739999999999</v>
      </c>
      <c r="K4363">
        <v>1.105909</v>
      </c>
      <c r="L4363">
        <v>56.562530000000002</v>
      </c>
      <c r="M4363">
        <v>1.293128E-2</v>
      </c>
      <c r="N4363">
        <v>0</v>
      </c>
      <c r="O4363">
        <v>-0.99982469999999901</v>
      </c>
      <c r="P4363">
        <v>0.224299899999999</v>
      </c>
      <c r="Q4363">
        <v>5.021494E-2</v>
      </c>
      <c r="R4363">
        <v>-0.97322569999999997</v>
      </c>
      <c r="S4363">
        <v>0.26739499999999999</v>
      </c>
      <c r="T4363">
        <v>-0.175845</v>
      </c>
      <c r="U4363">
        <v>-3.0278320000000001</v>
      </c>
      <c r="V4363">
        <v>-0.21182979999999901</v>
      </c>
      <c r="W4363">
        <v>6.2977400000000003E-2</v>
      </c>
      <c r="X4363">
        <v>0.97527529999999996</v>
      </c>
      <c r="Y4363">
        <v>-7.4933379999999994E-2</v>
      </c>
      <c r="Z4363">
        <v>5.7777729999999999E-2</v>
      </c>
      <c r="AA4363">
        <v>0.99551329999999905</v>
      </c>
      <c r="AB4363">
        <v>29</v>
      </c>
      <c r="AC4363">
        <v>1.67709999999999</v>
      </c>
      <c r="AD4363">
        <v>-1.105910245242</v>
      </c>
      <c r="AE4363">
        <v>-18.76483</v>
      </c>
      <c r="AF4363">
        <v>-1.42935888528851</v>
      </c>
      <c r="AG4363">
        <v>-1.105910245242</v>
      </c>
      <c r="AH4363">
        <v>18.720442113175299</v>
      </c>
      <c r="AI4363">
        <v>93.371030224007001</v>
      </c>
      <c r="AJ4363">
        <v>94.366223852422905</v>
      </c>
      <c r="AK4363">
        <v>18.807473440263902</v>
      </c>
    </row>
    <row r="4364" spans="1:37" x14ac:dyDescent="0.2">
      <c r="A4364" t="str">
        <f>"20200111153521962"</f>
        <v>20200111153521962</v>
      </c>
      <c r="B4364" t="str">
        <f>"1578728121949837"</f>
        <v>1578728121949837</v>
      </c>
      <c r="C4364" t="s">
        <v>37</v>
      </c>
      <c r="D4364">
        <v>4.8355350000000001</v>
      </c>
      <c r="E4364">
        <v>0.54933009999999904</v>
      </c>
      <c r="F4364" t="s">
        <v>65</v>
      </c>
      <c r="G4364">
        <v>-420.50069999999999</v>
      </c>
      <c r="H4364" s="1">
        <v>-1.608641E-6</v>
      </c>
      <c r="I4364">
        <v>37.201979999999999</v>
      </c>
      <c r="J4364">
        <v>-422.28230000000002</v>
      </c>
      <c r="K4364">
        <v>1.105912</v>
      </c>
      <c r="L4364">
        <v>56.27075</v>
      </c>
      <c r="M4364">
        <v>1.406634E-2</v>
      </c>
      <c r="N4364">
        <v>0</v>
      </c>
      <c r="O4364">
        <v>-0.99980959999999997</v>
      </c>
      <c r="P4364">
        <v>0.2273549</v>
      </c>
      <c r="Q4364">
        <v>5.1963999999999899E-2</v>
      </c>
      <c r="R4364">
        <v>-0.97242479999999998</v>
      </c>
      <c r="S4364">
        <v>0.27935789999999999</v>
      </c>
      <c r="T4364">
        <v>-0.17291189999999901</v>
      </c>
      <c r="U4364">
        <v>-3.027069</v>
      </c>
      <c r="V4364">
        <v>-0.21378989999999901</v>
      </c>
      <c r="W4364">
        <v>6.4718109999999995E-2</v>
      </c>
      <c r="X4364">
        <v>0.97473349999999903</v>
      </c>
      <c r="Y4364">
        <v>-7.7730499999999994E-2</v>
      </c>
      <c r="Z4364">
        <v>5.6813900000000001E-2</v>
      </c>
      <c r="AA4364">
        <v>0.99535429999999903</v>
      </c>
      <c r="AB4364">
        <v>29</v>
      </c>
      <c r="AC4364">
        <v>1.7816000000000201</v>
      </c>
      <c r="AD4364">
        <v>-1.105913608641</v>
      </c>
      <c r="AE4364">
        <v>-19.068770000000001</v>
      </c>
      <c r="AF4364">
        <v>-1.5081425628469001</v>
      </c>
      <c r="AG4364">
        <v>-1.105913608641</v>
      </c>
      <c r="AH4364">
        <v>19.028496640364299</v>
      </c>
      <c r="AI4364">
        <v>93.315845948183394</v>
      </c>
      <c r="AJ4364">
        <v>94.531621731301001</v>
      </c>
      <c r="AK4364">
        <v>19.120178432535699</v>
      </c>
    </row>
    <row r="4365" spans="1:37" x14ac:dyDescent="0.2">
      <c r="A4365" t="str">
        <f>"20200111153521984"</f>
        <v>20200111153521984</v>
      </c>
      <c r="B4365" t="str">
        <f>"1578728121979944"</f>
        <v>1578728121979944</v>
      </c>
      <c r="C4365" t="s">
        <v>37</v>
      </c>
      <c r="D4365">
        <v>4.8304479999999996</v>
      </c>
      <c r="E4365">
        <v>0.54948589999999997</v>
      </c>
      <c r="F4365" t="s">
        <v>65</v>
      </c>
      <c r="G4365">
        <v>-420.38459999999998</v>
      </c>
      <c r="H4365" s="1">
        <v>-2.1273119999999999E-6</v>
      </c>
      <c r="I4365">
        <v>36.360550000000003</v>
      </c>
      <c r="J4365">
        <v>-422.27719999999999</v>
      </c>
      <c r="K4365">
        <v>1.105904</v>
      </c>
      <c r="L4365">
        <v>55.991300000000003</v>
      </c>
      <c r="M4365">
        <v>1.5140010000000001E-2</v>
      </c>
      <c r="N4365">
        <v>0</v>
      </c>
      <c r="O4365">
        <v>-0.99979379999999995</v>
      </c>
      <c r="P4365">
        <v>0.23031119999999999</v>
      </c>
      <c r="Q4365">
        <v>5.3013739999999997E-2</v>
      </c>
      <c r="R4365">
        <v>-0.97167190000000003</v>
      </c>
      <c r="S4365">
        <v>0.28848269999999998</v>
      </c>
      <c r="T4365">
        <v>-0.1681135</v>
      </c>
      <c r="U4365">
        <v>-3.0266109999999999</v>
      </c>
      <c r="V4365">
        <v>-0.21571009999999999</v>
      </c>
      <c r="W4365">
        <v>6.5762070000000006E-2</v>
      </c>
      <c r="X4365">
        <v>0.97424049999999995</v>
      </c>
      <c r="Y4365">
        <v>-7.9656560000000001E-2</v>
      </c>
      <c r="Z4365">
        <v>5.5237219999999997E-2</v>
      </c>
      <c r="AA4365">
        <v>0.99529080000000003</v>
      </c>
      <c r="AB4365">
        <v>29</v>
      </c>
      <c r="AC4365">
        <v>1.8926000000000101</v>
      </c>
      <c r="AD4365">
        <v>-1.1059061273120001</v>
      </c>
      <c r="AE4365">
        <v>-19.630749999999999</v>
      </c>
      <c r="AF4365">
        <v>-1.5901459327123799</v>
      </c>
      <c r="AG4365">
        <v>-1.1059061273120001</v>
      </c>
      <c r="AH4365">
        <v>19.595538996993799</v>
      </c>
      <c r="AI4365">
        <v>93.219593170064996</v>
      </c>
      <c r="AJ4365">
        <v>94.639293259545795</v>
      </c>
      <c r="AK4365">
        <v>19.691031995110201</v>
      </c>
    </row>
    <row r="4366" spans="1:37" x14ac:dyDescent="0.2">
      <c r="A4366" t="str">
        <f>"20200111153521999"</f>
        <v>20200111153521999</v>
      </c>
      <c r="B4366" t="str">
        <f>"1578728121990679"</f>
        <v>1578728121990679</v>
      </c>
      <c r="C4366" t="s">
        <v>37</v>
      </c>
      <c r="D4366">
        <v>4.8176009999999998</v>
      </c>
      <c r="E4366">
        <v>0.54959859999999905</v>
      </c>
      <c r="F4366" t="s">
        <v>65</v>
      </c>
      <c r="G4366">
        <v>-420.29919999999998</v>
      </c>
      <c r="H4366" s="1">
        <v>-2.4887430000000001E-6</v>
      </c>
      <c r="I4366">
        <v>35.773220000000002</v>
      </c>
      <c r="J4366">
        <v>-422.27330000000001</v>
      </c>
      <c r="K4366">
        <v>1.1058939999999999</v>
      </c>
      <c r="L4366">
        <v>55.786009999999997</v>
      </c>
      <c r="M4366">
        <v>1.591687E-2</v>
      </c>
      <c r="N4366">
        <v>0</v>
      </c>
      <c r="O4366">
        <v>-0.99978180000000005</v>
      </c>
      <c r="P4366">
        <v>0.23198949999999999</v>
      </c>
      <c r="Q4366">
        <v>5.3101580000000002E-2</v>
      </c>
      <c r="R4366">
        <v>-0.97126789999999996</v>
      </c>
      <c r="S4366">
        <v>0.2960815</v>
      </c>
      <c r="T4366">
        <v>-0.1655372</v>
      </c>
      <c r="U4366">
        <v>-3.0263369999999998</v>
      </c>
      <c r="V4366">
        <v>-0.21663499999999999</v>
      </c>
      <c r="W4366">
        <v>6.584959E-2</v>
      </c>
      <c r="X4366">
        <v>0.97402929999999999</v>
      </c>
      <c r="Y4366">
        <v>-8.1370970000000001E-2</v>
      </c>
      <c r="Z4366">
        <v>5.4386900000000002E-2</v>
      </c>
      <c r="AA4366">
        <v>0.9951989</v>
      </c>
      <c r="AB4366">
        <v>29</v>
      </c>
      <c r="AC4366">
        <v>1.9741000000000199</v>
      </c>
      <c r="AD4366">
        <v>-1.1058964887430001</v>
      </c>
      <c r="AE4366">
        <v>-20.012789999999899</v>
      </c>
      <c r="AF4366">
        <v>-1.6502889655258901</v>
      </c>
      <c r="AG4366">
        <v>-1.1058964887430001</v>
      </c>
      <c r="AH4366">
        <v>19.9812516590464</v>
      </c>
      <c r="AI4366">
        <v>93.157172645405296</v>
      </c>
      <c r="AJ4366">
        <v>94.721449448170304</v>
      </c>
      <c r="AK4366">
        <v>20.0797629113417</v>
      </c>
    </row>
    <row r="4367" spans="1:37" x14ac:dyDescent="0.2">
      <c r="A4367" t="str">
        <f>"20200111153522018"</f>
        <v>20200111153522018</v>
      </c>
      <c r="B4367" t="str">
        <f>"1578728122010202"</f>
        <v>1578728122010202</v>
      </c>
      <c r="C4367" t="s">
        <v>37</v>
      </c>
      <c r="D4367">
        <v>4.8475099999999998</v>
      </c>
      <c r="E4367">
        <v>0.54991199999999996</v>
      </c>
      <c r="F4367" t="s">
        <v>65</v>
      </c>
      <c r="G4367">
        <v>-420.26240000000001</v>
      </c>
      <c r="H4367" s="1">
        <v>-2.6285449999999899E-6</v>
      </c>
      <c r="I4367">
        <v>35.545209999999997</v>
      </c>
      <c r="J4367">
        <v>-422.26859999999999</v>
      </c>
      <c r="K4367">
        <v>1.1058709999999901</v>
      </c>
      <c r="L4367">
        <v>55.552190000000003</v>
      </c>
      <c r="M4367">
        <v>1.6780710000000001E-2</v>
      </c>
      <c r="N4367">
        <v>0</v>
      </c>
      <c r="O4367">
        <v>-0.99976769999999904</v>
      </c>
      <c r="P4367">
        <v>0.23452719999999999</v>
      </c>
      <c r="Q4367">
        <v>5.2565050000000002E-2</v>
      </c>
      <c r="R4367">
        <v>-0.97068739999999998</v>
      </c>
      <c r="S4367">
        <v>0.30062870000000003</v>
      </c>
      <c r="T4367">
        <v>-0.1653299</v>
      </c>
      <c r="U4367">
        <v>-3.02597</v>
      </c>
      <c r="V4367">
        <v>-0.218335799999999</v>
      </c>
      <c r="W4367">
        <v>6.5312899999999993E-2</v>
      </c>
      <c r="X4367">
        <v>0.97368559999999904</v>
      </c>
      <c r="Y4367">
        <v>-8.2002909999999998E-2</v>
      </c>
      <c r="Z4367">
        <v>5.4318959999999999E-2</v>
      </c>
      <c r="AA4367">
        <v>0.99515069999999906</v>
      </c>
      <c r="AB4367">
        <v>29</v>
      </c>
      <c r="AC4367">
        <v>2.00619999999997</v>
      </c>
      <c r="AD4367">
        <v>-1.1058736285449999</v>
      </c>
      <c r="AE4367">
        <v>-20.006979999999999</v>
      </c>
      <c r="AF4367">
        <v>-1.66511869500261</v>
      </c>
      <c r="AG4367">
        <v>-1.1058736285449999</v>
      </c>
      <c r="AH4367">
        <v>19.9774024110305</v>
      </c>
      <c r="AI4367">
        <v>93.157517701814598</v>
      </c>
      <c r="AJ4367">
        <v>94.764596311003402</v>
      </c>
      <c r="AK4367">
        <v>20.077155770751101</v>
      </c>
    </row>
    <row r="4368" spans="1:37" x14ac:dyDescent="0.2">
      <c r="A4368" t="str">
        <f>"20200111153522040"</f>
        <v>20200111153522040</v>
      </c>
      <c r="B4368" t="str">
        <f>"1578728122030695"</f>
        <v>1578728122030695</v>
      </c>
      <c r="C4368" t="s">
        <v>37</v>
      </c>
      <c r="D4368">
        <v>5.0279989999999897</v>
      </c>
      <c r="E4368">
        <v>0.52556119999999995</v>
      </c>
      <c r="F4368" t="s">
        <v>65</v>
      </c>
      <c r="G4368">
        <v>-420.24220000000003</v>
      </c>
      <c r="H4368" s="1">
        <v>-2.6722259999999999E-6</v>
      </c>
      <c r="I4368">
        <v>35.472070000000002</v>
      </c>
      <c r="J4368">
        <v>-422.26280000000003</v>
      </c>
      <c r="K4368">
        <v>1.105842</v>
      </c>
      <c r="L4368">
        <v>55.27225</v>
      </c>
      <c r="M4368">
        <v>1.7783940000000002E-2</v>
      </c>
      <c r="N4368">
        <v>0</v>
      </c>
      <c r="O4368">
        <v>-0.99975059999999905</v>
      </c>
      <c r="P4368">
        <v>0.23740749999999999</v>
      </c>
      <c r="Q4368">
        <v>5.1944320000000002E-2</v>
      </c>
      <c r="R4368">
        <v>-0.97002080000000002</v>
      </c>
      <c r="S4368">
        <v>0.30535889999999999</v>
      </c>
      <c r="T4368">
        <v>-0.16664109999999999</v>
      </c>
      <c r="U4368">
        <v>-3.0258180000000001</v>
      </c>
      <c r="V4368">
        <v>-0.2202442</v>
      </c>
      <c r="W4368">
        <v>6.4695269999999999E-2</v>
      </c>
      <c r="X4368">
        <v>0.97329699999999997</v>
      </c>
      <c r="Y4368">
        <v>-8.25457E-2</v>
      </c>
      <c r="Z4368">
        <v>5.4744309999999997E-2</v>
      </c>
      <c r="AA4368">
        <v>0.99508259999999904</v>
      </c>
      <c r="AB4368">
        <v>29</v>
      </c>
      <c r="AC4368">
        <v>2.0206</v>
      </c>
      <c r="AD4368">
        <v>-1.105844672226</v>
      </c>
      <c r="AE4368">
        <v>-19.800179999999902</v>
      </c>
      <c r="AF4368">
        <v>-1.6629892341474699</v>
      </c>
      <c r="AG4368">
        <v>-1.105844672226</v>
      </c>
      <c r="AH4368">
        <v>19.771947639360999</v>
      </c>
      <c r="AI4368">
        <v>93.189976646050795</v>
      </c>
      <c r="AJ4368">
        <v>94.807747411407505</v>
      </c>
      <c r="AK4368">
        <v>19.872552404903001</v>
      </c>
    </row>
    <row r="4369" spans="1:37" x14ac:dyDescent="0.2">
      <c r="A4369" t="str">
        <f>"20200111153522056"</f>
        <v>20200111153522056</v>
      </c>
      <c r="B4369" t="str">
        <f>"1578728122050215"</f>
        <v>1578728122050215</v>
      </c>
      <c r="C4369" t="s">
        <v>37</v>
      </c>
      <c r="D4369">
        <v>4.8170359999999999</v>
      </c>
      <c r="E4369">
        <v>0.46613260000000001</v>
      </c>
      <c r="F4369" t="s">
        <v>65</v>
      </c>
      <c r="G4369">
        <v>-419.36919999999998</v>
      </c>
      <c r="H4369" s="1">
        <v>-1.1152200000000001E-6</v>
      </c>
      <c r="I4369">
        <v>38.105699999999999</v>
      </c>
      <c r="J4369">
        <v>-422.25819999999999</v>
      </c>
      <c r="K4369">
        <v>1.105817</v>
      </c>
      <c r="L4369">
        <v>55.0608199999999</v>
      </c>
      <c r="M4369">
        <v>1.851386E-2</v>
      </c>
      <c r="N4369">
        <v>0</v>
      </c>
      <c r="O4369">
        <v>-0.99973690000000004</v>
      </c>
      <c r="P4369">
        <v>0.2395224</v>
      </c>
      <c r="Q4369">
        <v>5.1519839999999997E-2</v>
      </c>
      <c r="R4369">
        <v>-0.96952289999999997</v>
      </c>
      <c r="S4369">
        <v>0.50231930000000002</v>
      </c>
      <c r="T4369">
        <v>-0.19197159999999999</v>
      </c>
      <c r="U4369">
        <v>-2.9800719999999998</v>
      </c>
      <c r="V4369">
        <v>-0.22165199999999999</v>
      </c>
      <c r="W4369">
        <v>6.4274629999999999E-2</v>
      </c>
      <c r="X4369">
        <v>0.97300520000000001</v>
      </c>
      <c r="Y4369">
        <v>-0.14759320000000001</v>
      </c>
      <c r="Z4369">
        <v>6.347092E-2</v>
      </c>
      <c r="AA4369">
        <v>0.98700949999999998</v>
      </c>
      <c r="AB4369">
        <v>29</v>
      </c>
      <c r="AC4369">
        <v>2.8889999999999998</v>
      </c>
      <c r="AD4369">
        <v>-1.10581811522</v>
      </c>
      <c r="AE4369">
        <v>-16.955119999999901</v>
      </c>
      <c r="AF4369">
        <v>-2.5639726143095198</v>
      </c>
      <c r="AG4369">
        <v>-1.10581811522</v>
      </c>
      <c r="AH4369">
        <v>16.935698198800601</v>
      </c>
      <c r="AI4369">
        <v>93.693856705575499</v>
      </c>
      <c r="AJ4369">
        <v>98.6088938597603</v>
      </c>
      <c r="AK4369">
        <v>17.164342770748199</v>
      </c>
    </row>
    <row r="4370" spans="1:37" x14ac:dyDescent="0.2">
      <c r="A4370" t="str">
        <f>"20200111153522069"</f>
        <v>20200111153522069</v>
      </c>
      <c r="B4370" t="str">
        <f>"1578728122059976"</f>
        <v>1578728122059976</v>
      </c>
      <c r="C4370" t="s">
        <v>37</v>
      </c>
      <c r="D4370">
        <v>4.8375309999999896</v>
      </c>
      <c r="E4370">
        <v>0.459175</v>
      </c>
      <c r="F4370" t="s">
        <v>65</v>
      </c>
      <c r="G4370">
        <v>-416.09629999999999</v>
      </c>
      <c r="H4370" s="1">
        <v>-2.77512E-6</v>
      </c>
      <c r="I4370">
        <v>36.8643</v>
      </c>
      <c r="J4370">
        <v>-422.25439999999998</v>
      </c>
      <c r="K4370">
        <v>1.105796</v>
      </c>
      <c r="L4370">
        <v>54.889679999999998</v>
      </c>
      <c r="M4370">
        <v>1.9088709999999998E-2</v>
      </c>
      <c r="N4370">
        <v>0</v>
      </c>
      <c r="O4370">
        <v>-0.99972609999999995</v>
      </c>
      <c r="P4370">
        <v>0.24160090000000001</v>
      </c>
      <c r="Q4370">
        <v>5.1334100000000001E-2</v>
      </c>
      <c r="R4370">
        <v>-0.96901700000000002</v>
      </c>
      <c r="S4370">
        <v>0.96981810000000002</v>
      </c>
      <c r="T4370">
        <v>-0.17404510000000001</v>
      </c>
      <c r="U4370">
        <v>-2.863953</v>
      </c>
      <c r="V4370">
        <v>-0.22317709999999999</v>
      </c>
      <c r="W4370">
        <v>6.4090469999999997E-2</v>
      </c>
      <c r="X4370">
        <v>0.97266869999999905</v>
      </c>
      <c r="Y4370">
        <v>-0.302066099999999</v>
      </c>
      <c r="Z4370">
        <v>5.7624509999999997E-2</v>
      </c>
      <c r="AA4370">
        <v>0.95154369999999999</v>
      </c>
      <c r="AB4370">
        <v>29</v>
      </c>
      <c r="AC4370">
        <v>6.1580999999999904</v>
      </c>
      <c r="AD4370">
        <v>-1.10579877512</v>
      </c>
      <c r="AE4370">
        <v>-18.025379999999998</v>
      </c>
      <c r="AF4370">
        <v>-5.7933408850457502</v>
      </c>
      <c r="AG4370">
        <v>-1.10579877512</v>
      </c>
      <c r="AH4370">
        <v>18.07872912298</v>
      </c>
      <c r="AI4370">
        <v>93.333603527645195</v>
      </c>
      <c r="AJ4370">
        <v>107.76809160757099</v>
      </c>
      <c r="AK4370">
        <v>19.016467501707101</v>
      </c>
    </row>
    <row r="4371" spans="1:37" x14ac:dyDescent="0.2">
      <c r="A4371" t="str">
        <f>"20200111153522083"</f>
        <v>20200111153522083</v>
      </c>
      <c r="B4371" t="str">
        <f>"1578728122080086"</f>
        <v>1578728122080086</v>
      </c>
      <c r="C4371" t="s">
        <v>37</v>
      </c>
      <c r="D4371">
        <v>4.7626660000000003</v>
      </c>
      <c r="E4371">
        <v>0.4543027</v>
      </c>
      <c r="F4371" t="s">
        <v>65</v>
      </c>
      <c r="G4371">
        <v>-415.46839999999997</v>
      </c>
      <c r="H4371" s="1">
        <v>-3.3505259999999998E-6</v>
      </c>
      <c r="I4371">
        <v>36.118229999999997</v>
      </c>
      <c r="J4371">
        <v>-422.25040000000001</v>
      </c>
      <c r="K4371">
        <v>1.1057760000000001</v>
      </c>
      <c r="L4371">
        <v>54.716769999999997</v>
      </c>
      <c r="M4371">
        <v>1.965799E-2</v>
      </c>
      <c r="N4371">
        <v>0</v>
      </c>
      <c r="O4371">
        <v>-0.99971529999999997</v>
      </c>
      <c r="P4371">
        <v>0.24400839999999999</v>
      </c>
      <c r="Q4371">
        <v>5.1381660000000003E-2</v>
      </c>
      <c r="R4371">
        <v>-0.96841139999999903</v>
      </c>
      <c r="S4371">
        <v>1.0296019999999999</v>
      </c>
      <c r="T4371">
        <v>-0.16777829999999999</v>
      </c>
      <c r="U4371">
        <v>-2.8481139999999998</v>
      </c>
      <c r="V4371">
        <v>-0.22503870000000001</v>
      </c>
      <c r="W4371">
        <v>6.413758E-2</v>
      </c>
      <c r="X4371">
        <v>0.97223660000000001</v>
      </c>
      <c r="Y4371">
        <v>-0.32089309999999899</v>
      </c>
      <c r="Z4371">
        <v>5.5483619999999997E-2</v>
      </c>
      <c r="AA4371">
        <v>0.94548889999999997</v>
      </c>
      <c r="AB4371">
        <v>29</v>
      </c>
      <c r="AC4371">
        <v>6.7820000000000302</v>
      </c>
      <c r="AD4371">
        <v>-1.1057793505260001</v>
      </c>
      <c r="AE4371">
        <v>-18.59854</v>
      </c>
      <c r="AF4371">
        <v>-6.3950929234875398</v>
      </c>
      <c r="AG4371">
        <v>-1.1057793505260001</v>
      </c>
      <c r="AH4371">
        <v>18.670026843387902</v>
      </c>
      <c r="AI4371">
        <v>93.207021214624604</v>
      </c>
      <c r="AJ4371">
        <v>108.908003993845</v>
      </c>
      <c r="AK4371">
        <v>19.765876246827901</v>
      </c>
    </row>
    <row r="4372" spans="1:37" x14ac:dyDescent="0.2">
      <c r="A4372" t="str">
        <f>"20200111153522095"</f>
        <v>20200111153522095</v>
      </c>
      <c r="B4372" t="str">
        <f>"1578728122089846"</f>
        <v>1578728122089846</v>
      </c>
      <c r="C4372" t="s">
        <v>37</v>
      </c>
      <c r="D4372">
        <v>4.7369959999999898</v>
      </c>
      <c r="E4372">
        <v>0.45391099999999901</v>
      </c>
      <c r="F4372" t="s">
        <v>65</v>
      </c>
      <c r="G4372">
        <v>-414.77300000000002</v>
      </c>
      <c r="H4372" s="1">
        <v>-4.121308E-6</v>
      </c>
      <c r="I4372">
        <v>34.990900000000003</v>
      </c>
      <c r="J4372">
        <v>-422.24669999999998</v>
      </c>
      <c r="K4372">
        <v>1.1057589999999999</v>
      </c>
      <c r="L4372">
        <v>54.553890000000003</v>
      </c>
      <c r="M4372">
        <v>2.017795E-2</v>
      </c>
      <c r="N4372">
        <v>0</v>
      </c>
      <c r="O4372">
        <v>-0.99970499999999995</v>
      </c>
      <c r="P4372">
        <v>0.24793870000000001</v>
      </c>
      <c r="Q4372">
        <v>5.166863E-2</v>
      </c>
      <c r="R4372">
        <v>-0.96739699999999995</v>
      </c>
      <c r="S4372">
        <v>1.074829</v>
      </c>
      <c r="T4372">
        <v>-0.158947799999999</v>
      </c>
      <c r="U4372">
        <v>-2.8354490000000001</v>
      </c>
      <c r="V4372">
        <v>-0.22847999999999999</v>
      </c>
      <c r="W4372">
        <v>6.4416909999999994E-2</v>
      </c>
      <c r="X4372">
        <v>0.97141520000000003</v>
      </c>
      <c r="Y4372">
        <v>-0.3350263</v>
      </c>
      <c r="Z4372">
        <v>5.2517559999999998E-2</v>
      </c>
      <c r="AA4372">
        <v>0.94074400000000002</v>
      </c>
      <c r="AB4372">
        <v>29</v>
      </c>
      <c r="AC4372">
        <v>7.4736999999999503</v>
      </c>
      <c r="AD4372">
        <v>-1.1057631213079999</v>
      </c>
      <c r="AE4372">
        <v>-19.562989999999999</v>
      </c>
      <c r="AF4372">
        <v>-7.0577242576470098</v>
      </c>
      <c r="AG4372">
        <v>-1.1057631213079999</v>
      </c>
      <c r="AH4372">
        <v>19.6550263889824</v>
      </c>
      <c r="AI4372">
        <v>93.030893160619101</v>
      </c>
      <c r="AJ4372">
        <v>109.752191508813</v>
      </c>
      <c r="AK4372">
        <v>20.913016189182699</v>
      </c>
    </row>
    <row r="4373" spans="1:37" x14ac:dyDescent="0.2">
      <c r="A4373" t="str">
        <f>"20200111153522120"</f>
        <v>20200111153522120</v>
      </c>
      <c r="B4373" t="str">
        <f>"1578728122110342"</f>
        <v>1578728122110342</v>
      </c>
      <c r="C4373" t="s">
        <v>37</v>
      </c>
      <c r="D4373">
        <v>4.7057609999999999</v>
      </c>
      <c r="E4373">
        <v>0.45435399999999998</v>
      </c>
      <c r="F4373" t="s">
        <v>65</v>
      </c>
      <c r="G4373">
        <v>-414.67140000000001</v>
      </c>
      <c r="H4373" s="1">
        <v>-4.2096520000000001E-6</v>
      </c>
      <c r="I4373">
        <v>34.870539999999998</v>
      </c>
      <c r="J4373">
        <v>-422.23939999999999</v>
      </c>
      <c r="K4373">
        <v>1.1057299999999901</v>
      </c>
      <c r="L4373">
        <v>54.248350000000002</v>
      </c>
      <c r="M4373">
        <v>2.1113900000000001E-2</v>
      </c>
      <c r="N4373">
        <v>0</v>
      </c>
      <c r="O4373">
        <v>-0.9996855</v>
      </c>
      <c r="P4373">
        <v>0.25280439999999998</v>
      </c>
      <c r="Q4373">
        <v>5.2254469999999997E-2</v>
      </c>
      <c r="R4373">
        <v>-0.96610529999999994</v>
      </c>
      <c r="S4373">
        <v>1.089294</v>
      </c>
      <c r="T4373">
        <v>-0.15900420000000001</v>
      </c>
      <c r="U4373">
        <v>-2.8303829999999999</v>
      </c>
      <c r="V4373">
        <v>-0.232457</v>
      </c>
      <c r="W4373">
        <v>6.499982E-2</v>
      </c>
      <c r="X4373">
        <v>0.97043230000000003</v>
      </c>
      <c r="Y4373">
        <v>-0.33889380000000002</v>
      </c>
      <c r="Z4373">
        <v>5.2538500000000002E-2</v>
      </c>
      <c r="AA4373">
        <v>0.93935650000000004</v>
      </c>
      <c r="AB4373">
        <v>29</v>
      </c>
      <c r="AC4373">
        <v>7.5679999999999801</v>
      </c>
      <c r="AD4373">
        <v>-1.105734209652</v>
      </c>
      <c r="AE4373">
        <v>-19.37781</v>
      </c>
      <c r="AF4373">
        <v>-7.13697105028018</v>
      </c>
      <c r="AG4373">
        <v>-1.105734209652</v>
      </c>
      <c r="AH4373">
        <v>19.478265218027801</v>
      </c>
      <c r="AI4373">
        <v>93.051104968016602</v>
      </c>
      <c r="AJ4373">
        <v>110.123183371105</v>
      </c>
      <c r="AK4373">
        <v>20.774066039626501</v>
      </c>
    </row>
    <row r="4374" spans="1:37" x14ac:dyDescent="0.2">
      <c r="A4374" t="str">
        <f>"20200111153522140"</f>
        <v>20200111153522140</v>
      </c>
      <c r="B4374" t="str">
        <f>"1578728122129863"</f>
        <v>1578728122129863</v>
      </c>
      <c r="C4374" t="s">
        <v>37</v>
      </c>
      <c r="D4374">
        <v>4.7200179999999996</v>
      </c>
      <c r="E4374">
        <v>0.4552467</v>
      </c>
      <c r="F4374" t="s">
        <v>65</v>
      </c>
      <c r="G4374">
        <v>-414.63830000000002</v>
      </c>
      <c r="H4374" s="1">
        <v>-4.3021629999999997E-6</v>
      </c>
      <c r="I4374">
        <v>34.71481</v>
      </c>
      <c r="J4374">
        <v>-422.23289999999997</v>
      </c>
      <c r="K4374">
        <v>1.1057030000000001</v>
      </c>
      <c r="L4374">
        <v>53.981990000000003</v>
      </c>
      <c r="M4374">
        <v>2.188439E-2</v>
      </c>
      <c r="N4374">
        <v>0</v>
      </c>
      <c r="O4374">
        <v>-0.99966909999999898</v>
      </c>
      <c r="P4374">
        <v>0.25787450000000001</v>
      </c>
      <c r="Q4374">
        <v>5.2714230000000001E-2</v>
      </c>
      <c r="R4374">
        <v>-0.96473929999999997</v>
      </c>
      <c r="S4374">
        <v>1.099731</v>
      </c>
      <c r="T4374">
        <v>-0.15997910000000001</v>
      </c>
      <c r="U4374">
        <v>-2.8261409999999998</v>
      </c>
      <c r="V4374">
        <v>-0.2368024</v>
      </c>
      <c r="W4374">
        <v>6.5455159999999998E-2</v>
      </c>
      <c r="X4374">
        <v>0.969350499999999</v>
      </c>
      <c r="Y4374">
        <v>-0.34165020000000001</v>
      </c>
      <c r="Z4374">
        <v>5.2871010000000003E-2</v>
      </c>
      <c r="AA4374">
        <v>0.93833889999999998</v>
      </c>
      <c r="AB4374">
        <v>29</v>
      </c>
      <c r="AC4374">
        <v>7.5945999999999501</v>
      </c>
      <c r="AD4374">
        <v>-1.1057073021629999</v>
      </c>
      <c r="AE4374">
        <v>-19.26718</v>
      </c>
      <c r="AF4374">
        <v>-7.1507086592362201</v>
      </c>
      <c r="AG4374">
        <v>-1.1057073021629999</v>
      </c>
      <c r="AH4374">
        <v>19.3735587361843</v>
      </c>
      <c r="AI4374">
        <v>93.064822943633402</v>
      </c>
      <c r="AJ4374">
        <v>110.258916515424</v>
      </c>
      <c r="AK4374">
        <v>20.680667326556801</v>
      </c>
    </row>
    <row r="4375" spans="1:37" x14ac:dyDescent="0.2">
      <c r="A4375" t="str">
        <f>"20200111153522163"</f>
        <v>20200111153522163</v>
      </c>
      <c r="B4375" t="str">
        <f>"1578728122160119"</f>
        <v>1578728122160119</v>
      </c>
      <c r="C4375" t="s">
        <v>37</v>
      </c>
      <c r="D4375">
        <v>4.7093109999999996</v>
      </c>
      <c r="E4375">
        <v>0.45594790000000002</v>
      </c>
      <c r="F4375" t="s">
        <v>65</v>
      </c>
      <c r="G4375">
        <v>-414.55970000000002</v>
      </c>
      <c r="H4375" s="1">
        <v>-4.4717919999999999E-6</v>
      </c>
      <c r="I4375">
        <v>34.423349999999999</v>
      </c>
      <c r="J4375">
        <v>-422.22559999999999</v>
      </c>
      <c r="K4375">
        <v>1.105675</v>
      </c>
      <c r="L4375">
        <v>53.691769999999998</v>
      </c>
      <c r="M4375">
        <v>2.268537E-2</v>
      </c>
      <c r="N4375">
        <v>0</v>
      </c>
      <c r="O4375">
        <v>-0.99965110000000001</v>
      </c>
      <c r="P4375">
        <v>0.2626539</v>
      </c>
      <c r="Q4375">
        <v>5.3381369999999997E-2</v>
      </c>
      <c r="R4375">
        <v>-0.9634123</v>
      </c>
      <c r="S4375">
        <v>1.1072690000000001</v>
      </c>
      <c r="T4375">
        <v>-0.1595578</v>
      </c>
      <c r="U4375">
        <v>-2.8223880000000001</v>
      </c>
      <c r="V4375">
        <v>-0.2408286</v>
      </c>
      <c r="W4375">
        <v>6.6119399999999995E-2</v>
      </c>
      <c r="X4375">
        <v>0.96831290000000003</v>
      </c>
      <c r="Y4375">
        <v>-0.34349439999999998</v>
      </c>
      <c r="Z4375">
        <v>5.2752920000000002E-2</v>
      </c>
      <c r="AA4375">
        <v>0.93767199999999995</v>
      </c>
      <c r="AB4375">
        <v>29</v>
      </c>
      <c r="AC4375">
        <v>7.6658999999999597</v>
      </c>
      <c r="AD4375">
        <v>-1.105679471792</v>
      </c>
      <c r="AE4375">
        <v>-19.268419999999999</v>
      </c>
      <c r="AF4375">
        <v>-7.2062893093205203</v>
      </c>
      <c r="AG4375">
        <v>-1.105679471792</v>
      </c>
      <c r="AH4375">
        <v>19.3822795164916</v>
      </c>
      <c r="AI4375">
        <v>93.060680157715595</v>
      </c>
      <c r="AJ4375">
        <v>110.395024587203</v>
      </c>
      <c r="AK4375">
        <v>20.708111742971099</v>
      </c>
    </row>
    <row r="4376" spans="1:37" x14ac:dyDescent="0.2">
      <c r="A4376" t="str">
        <f>"20200111153522186"</f>
        <v>20200111153522186</v>
      </c>
      <c r="B4376" t="str">
        <f>"1578728122180301"</f>
        <v>1578728122180301</v>
      </c>
      <c r="C4376" t="s">
        <v>37</v>
      </c>
      <c r="D4376">
        <v>4.7290919999999996</v>
      </c>
      <c r="E4376">
        <v>0.45649609999999902</v>
      </c>
      <c r="F4376" t="s">
        <v>65</v>
      </c>
      <c r="G4376">
        <v>-414.39190000000002</v>
      </c>
      <c r="H4376" s="1">
        <v>-4.7785539999999901E-6</v>
      </c>
      <c r="I4376">
        <v>33.89432</v>
      </c>
      <c r="J4376">
        <v>-422.21820000000002</v>
      </c>
      <c r="K4376">
        <v>1.1056539999999999</v>
      </c>
      <c r="L4376">
        <v>53.406950000000002</v>
      </c>
      <c r="M4376">
        <v>2.343369E-2</v>
      </c>
      <c r="N4376">
        <v>0</v>
      </c>
      <c r="O4376">
        <v>-0.99963389999999996</v>
      </c>
      <c r="P4376">
        <v>0.26714559999999998</v>
      </c>
      <c r="Q4376">
        <v>5.4846190000000003E-2</v>
      </c>
      <c r="R4376">
        <v>-0.96209389999999995</v>
      </c>
      <c r="S4376">
        <v>1.1152949999999999</v>
      </c>
      <c r="T4376">
        <v>-0.1574178</v>
      </c>
      <c r="U4376">
        <v>-2.8186040000000001</v>
      </c>
      <c r="V4376">
        <v>-0.2446217</v>
      </c>
      <c r="W4376">
        <v>6.7581429999999998E-2</v>
      </c>
      <c r="X4376">
        <v>0.96726049999999997</v>
      </c>
      <c r="Y4376">
        <v>-0.34554269999999998</v>
      </c>
      <c r="Z4376">
        <v>5.2064550000000001E-2</v>
      </c>
      <c r="AA4376">
        <v>0.93695759999999995</v>
      </c>
      <c r="AB4376">
        <v>29</v>
      </c>
      <c r="AC4376">
        <v>7.8262999999999998</v>
      </c>
      <c r="AD4376">
        <v>-1.105658778554</v>
      </c>
      <c r="AE4376">
        <v>-19.512630000000001</v>
      </c>
      <c r="AF4376">
        <v>-7.3465364002163902</v>
      </c>
      <c r="AG4376">
        <v>-1.105658778554</v>
      </c>
      <c r="AH4376">
        <v>19.6363756259179</v>
      </c>
      <c r="AI4376">
        <v>93.018791441770205</v>
      </c>
      <c r="AJ4376">
        <v>110.51227768586099</v>
      </c>
      <c r="AK4376">
        <v>20.9947928338539</v>
      </c>
    </row>
    <row r="4377" spans="1:37" x14ac:dyDescent="0.2">
      <c r="A4377" t="str">
        <f>"20200111153522207"</f>
        <v>20200111153522207</v>
      </c>
      <c r="B4377" t="str">
        <f>"1578728122200800"</f>
        <v>1578728122200800</v>
      </c>
      <c r="C4377" t="s">
        <v>37</v>
      </c>
      <c r="D4377">
        <v>4.7092799999999997</v>
      </c>
      <c r="E4377">
        <v>0.45690049999999999</v>
      </c>
      <c r="F4377" t="s">
        <v>65</v>
      </c>
      <c r="G4377">
        <v>-414.24639999999999</v>
      </c>
      <c r="H4377" s="1">
        <v>-5.0429079999999998E-6</v>
      </c>
      <c r="I4377">
        <v>33.438829999999903</v>
      </c>
      <c r="J4377">
        <v>-422.21069999999997</v>
      </c>
      <c r="K4377">
        <v>1.1056319999999999</v>
      </c>
      <c r="L4377">
        <v>53.1209699999999</v>
      </c>
      <c r="M4377">
        <v>2.4143789999999998E-2</v>
      </c>
      <c r="N4377">
        <v>0</v>
      </c>
      <c r="O4377">
        <v>-0.99961710000000004</v>
      </c>
      <c r="P4377">
        <v>0.27002859999999901</v>
      </c>
      <c r="Q4377">
        <v>5.5984369999999999E-2</v>
      </c>
      <c r="R4377">
        <v>-0.96122350000000001</v>
      </c>
      <c r="S4377">
        <v>1.12384</v>
      </c>
      <c r="T4377">
        <v>-0.1558717</v>
      </c>
      <c r="U4377">
        <v>-2.8150330000000001</v>
      </c>
      <c r="V4377">
        <v>-0.24683359999999999</v>
      </c>
      <c r="W4377">
        <v>6.8724599999999997E-2</v>
      </c>
      <c r="X4377">
        <v>0.96661790000000003</v>
      </c>
      <c r="Y4377">
        <v>-0.34774709999999998</v>
      </c>
      <c r="Z4377">
        <v>5.1564459999999999E-2</v>
      </c>
      <c r="AA4377">
        <v>0.93616929999999998</v>
      </c>
      <c r="AB4377">
        <v>29</v>
      </c>
      <c r="AC4377">
        <v>7.9642999999999802</v>
      </c>
      <c r="AD4377">
        <v>-1.105637042908</v>
      </c>
      <c r="AE4377">
        <v>-19.68214</v>
      </c>
      <c r="AF4377">
        <v>-7.4664869699761498</v>
      </c>
      <c r="AG4377">
        <v>-1.105637042908</v>
      </c>
      <c r="AH4377">
        <v>19.814977256190701</v>
      </c>
      <c r="AI4377">
        <v>92.988938908851793</v>
      </c>
      <c r="AJ4377">
        <v>110.64692448837199</v>
      </c>
      <c r="AK4377">
        <v>21.203871924882701</v>
      </c>
    </row>
    <row r="4378" spans="1:37" x14ac:dyDescent="0.2">
      <c r="A4378" t="str">
        <f>"20200111153522224"</f>
        <v>20200111153522224</v>
      </c>
      <c r="B4378" t="str">
        <f>"1578728122220317"</f>
        <v>1578728122220317</v>
      </c>
      <c r="C4378" t="s">
        <v>37</v>
      </c>
      <c r="D4378">
        <v>4.8102419999999997</v>
      </c>
      <c r="E4378">
        <v>0.45743529999999999</v>
      </c>
      <c r="F4378" t="s">
        <v>65</v>
      </c>
      <c r="G4378">
        <v>-414.08159999999998</v>
      </c>
      <c r="H4378" s="1">
        <v>-5.3671900000000002E-6</v>
      </c>
      <c r="I4378">
        <v>32.874130000000001</v>
      </c>
      <c r="J4378">
        <v>-422.20499999999998</v>
      </c>
      <c r="K4378">
        <v>1.105607</v>
      </c>
      <c r="L4378">
        <v>52.910219999999903</v>
      </c>
      <c r="M4378">
        <v>2.4639729999999999E-2</v>
      </c>
      <c r="N4378">
        <v>0</v>
      </c>
      <c r="O4378">
        <v>-0.99960509999999902</v>
      </c>
      <c r="P4378">
        <v>0.2708583</v>
      </c>
      <c r="Q4378">
        <v>5.6594070000000003E-2</v>
      </c>
      <c r="R4378">
        <v>-0.96095450000000004</v>
      </c>
      <c r="S4378">
        <v>1.1293029999999999</v>
      </c>
      <c r="T4378">
        <v>-0.15359629999999999</v>
      </c>
      <c r="U4378">
        <v>-2.8127140000000002</v>
      </c>
      <c r="V4378">
        <v>-0.24718619999999999</v>
      </c>
      <c r="W4378">
        <v>6.9345879999999999E-2</v>
      </c>
      <c r="X4378">
        <v>0.96648339999999999</v>
      </c>
      <c r="Y4378">
        <v>-0.34912850000000001</v>
      </c>
      <c r="Z4378">
        <v>5.0820539999999997E-2</v>
      </c>
      <c r="AA4378">
        <v>0.93569579999999997</v>
      </c>
      <c r="AB4378">
        <v>29</v>
      </c>
      <c r="AC4378">
        <v>8.1234000000000002</v>
      </c>
      <c r="AD4378">
        <v>-1.10561236719</v>
      </c>
      <c r="AE4378">
        <v>-20.036089999999898</v>
      </c>
      <c r="AF4378">
        <v>-7.6073106154122003</v>
      </c>
      <c r="AG4378">
        <v>-1.10561236719</v>
      </c>
      <c r="AH4378">
        <v>20.1774169397751</v>
      </c>
      <c r="AI4378">
        <v>92.935075220296298</v>
      </c>
      <c r="AJ4378">
        <v>110.657498156936</v>
      </c>
      <c r="AK4378">
        <v>21.592167743590998</v>
      </c>
    </row>
    <row r="4379" spans="1:37" x14ac:dyDescent="0.2">
      <c r="A4379" t="str">
        <f>"20200111153522240"</f>
        <v>20200111153522240</v>
      </c>
      <c r="B4379" t="str">
        <f>"1578728122230077"</f>
        <v>1578728122230077</v>
      </c>
      <c r="C4379" t="s">
        <v>37</v>
      </c>
      <c r="D4379">
        <v>4.6752649999999996</v>
      </c>
      <c r="E4379">
        <v>0.45751549999999902</v>
      </c>
      <c r="F4379" t="s">
        <v>65</v>
      </c>
      <c r="G4379">
        <v>-413.93430000000001</v>
      </c>
      <c r="H4379" s="1">
        <v>-5.6575039999999997E-6</v>
      </c>
      <c r="I4379">
        <v>32.278529999999897</v>
      </c>
      <c r="J4379">
        <v>-422.19920000000002</v>
      </c>
      <c r="K4379">
        <v>1.105575</v>
      </c>
      <c r="L4379">
        <v>52.697940000000003</v>
      </c>
      <c r="M4379">
        <v>2.511383E-2</v>
      </c>
      <c r="N4379">
        <v>0</v>
      </c>
      <c r="O4379">
        <v>-0.99959330000000002</v>
      </c>
      <c r="P4379">
        <v>0.27137449999999902</v>
      </c>
      <c r="Q4379">
        <v>5.6871810000000002E-2</v>
      </c>
      <c r="R4379">
        <v>-0.96079230000000004</v>
      </c>
      <c r="S4379">
        <v>1.1276250000000001</v>
      </c>
      <c r="T4379">
        <v>-0.1507394</v>
      </c>
      <c r="U4379">
        <v>-2.8129270000000002</v>
      </c>
      <c r="V4379">
        <v>-0.24724289999999999</v>
      </c>
      <c r="W4379">
        <v>6.9637950000000004E-2</v>
      </c>
      <c r="X4379">
        <v>0.96644789999999903</v>
      </c>
      <c r="Y4379">
        <v>-0.34819600000000001</v>
      </c>
      <c r="Z4379">
        <v>4.988766E-2</v>
      </c>
      <c r="AA4379">
        <v>0.93609339999999996</v>
      </c>
      <c r="AB4379">
        <v>29</v>
      </c>
      <c r="AC4379">
        <v>8.2649000000000097</v>
      </c>
      <c r="AD4379">
        <v>-1.1055806575039999</v>
      </c>
      <c r="AE4379">
        <v>-20.419409999999999</v>
      </c>
      <c r="AF4379">
        <v>-7.7299655879860101</v>
      </c>
      <c r="AG4379">
        <v>-1.1055806575039999</v>
      </c>
      <c r="AH4379">
        <v>20.568740777416</v>
      </c>
      <c r="AI4379">
        <v>92.880394009855195</v>
      </c>
      <c r="AJ4379">
        <v>110.596788419609</v>
      </c>
      <c r="AK4379">
        <v>22.001085740259001</v>
      </c>
    </row>
    <row r="4380" spans="1:37" x14ac:dyDescent="0.2">
      <c r="A4380" t="str">
        <f>"20200111153522257"</f>
        <v>20200111153522257</v>
      </c>
      <c r="B4380" t="str">
        <f>"1578728122250574"</f>
        <v>1578728122250574</v>
      </c>
      <c r="C4380" t="s">
        <v>37</v>
      </c>
      <c r="D4380">
        <v>4.7251300000000001</v>
      </c>
      <c r="E4380">
        <v>0.45773520000000001</v>
      </c>
      <c r="F4380" t="s">
        <v>65</v>
      </c>
      <c r="G4380">
        <v>-413.88420000000002</v>
      </c>
      <c r="H4380" s="1">
        <v>-5.7841780000000003E-6</v>
      </c>
      <c r="I4380">
        <v>31.964500000000001</v>
      </c>
      <c r="J4380">
        <v>-422.19349999999997</v>
      </c>
      <c r="K4380">
        <v>1.105542</v>
      </c>
      <c r="L4380">
        <v>52.487919999999903</v>
      </c>
      <c r="M4380">
        <v>2.5552350000000001E-2</v>
      </c>
      <c r="N4380">
        <v>0</v>
      </c>
      <c r="O4380">
        <v>-0.99958210000000003</v>
      </c>
      <c r="P4380">
        <v>0.27146359999999897</v>
      </c>
      <c r="Q4380">
        <v>5.6693689999999998E-2</v>
      </c>
      <c r="R4380">
        <v>-0.960777199999999</v>
      </c>
      <c r="S4380">
        <v>1.1280209999999999</v>
      </c>
      <c r="T4380">
        <v>-0.1499839</v>
      </c>
      <c r="U4380">
        <v>-2.8127140000000002</v>
      </c>
      <c r="V4380">
        <v>-0.2469027</v>
      </c>
      <c r="W4380">
        <v>6.9478590000000007E-2</v>
      </c>
      <c r="X4380">
        <v>0.96654629999999997</v>
      </c>
      <c r="Y4380">
        <v>-0.3479276</v>
      </c>
      <c r="Z4380">
        <v>4.9642209999999999E-2</v>
      </c>
      <c r="AA4380">
        <v>0.93620619999999999</v>
      </c>
      <c r="AB4380">
        <v>29</v>
      </c>
      <c r="AC4380">
        <v>8.3092999999999506</v>
      </c>
      <c r="AD4380">
        <v>-1.1055477841779999</v>
      </c>
      <c r="AE4380">
        <v>-20.523419999999899</v>
      </c>
      <c r="AF4380">
        <v>-7.7627638331556303</v>
      </c>
      <c r="AG4380">
        <v>-1.1055477841779999</v>
      </c>
      <c r="AH4380">
        <v>20.677508841310701</v>
      </c>
      <c r="AI4380">
        <v>92.865550654513996</v>
      </c>
      <c r="AJ4380">
        <v>110.577172409658</v>
      </c>
      <c r="AK4380">
        <v>22.114296509609598</v>
      </c>
    </row>
    <row r="4381" spans="1:37" x14ac:dyDescent="0.2">
      <c r="A4381" t="str">
        <f>"20200111153522274"</f>
        <v>20200111153522274</v>
      </c>
      <c r="B4381" t="str">
        <f>"1578728122270093"</f>
        <v>1578728122270093</v>
      </c>
      <c r="C4381" t="s">
        <v>37</v>
      </c>
      <c r="D4381">
        <v>4.7271269999999896</v>
      </c>
      <c r="E4381">
        <v>0.45783019999999902</v>
      </c>
      <c r="F4381" t="s">
        <v>65</v>
      </c>
      <c r="G4381">
        <v>-413.89800000000002</v>
      </c>
      <c r="H4381" s="1">
        <v>-5.854622E-6</v>
      </c>
      <c r="I4381">
        <v>31.772679999999902</v>
      </c>
      <c r="J4381">
        <v>-422.18729999999999</v>
      </c>
      <c r="K4381">
        <v>1.105499</v>
      </c>
      <c r="L4381">
        <v>52.267670000000003</v>
      </c>
      <c r="M4381">
        <v>2.5976039999999999E-2</v>
      </c>
      <c r="N4381">
        <v>0</v>
      </c>
      <c r="O4381">
        <v>-0.99957149999999995</v>
      </c>
      <c r="P4381">
        <v>0.27156950000000002</v>
      </c>
      <c r="Q4381">
        <v>5.5383679999999998E-2</v>
      </c>
      <c r="R4381">
        <v>-0.96082459999999903</v>
      </c>
      <c r="S4381">
        <v>1.126495</v>
      </c>
      <c r="T4381">
        <v>-0.15012909999999999</v>
      </c>
      <c r="U4381">
        <v>-2.8130489999999999</v>
      </c>
      <c r="V4381">
        <v>-0.24659009999999901</v>
      </c>
      <c r="W4381">
        <v>6.8190390000000004E-2</v>
      </c>
      <c r="X4381">
        <v>0.96671779999999996</v>
      </c>
      <c r="Y4381">
        <v>-0.347053</v>
      </c>
      <c r="Z4381">
        <v>4.9696940000000002E-2</v>
      </c>
      <c r="AA4381">
        <v>0.93652780000000002</v>
      </c>
      <c r="AB4381">
        <v>29</v>
      </c>
      <c r="AC4381">
        <v>8.2892999999999599</v>
      </c>
      <c r="AD4381">
        <v>-1.1055048546220001</v>
      </c>
      <c r="AE4381">
        <v>-20.494990000000001</v>
      </c>
      <c r="AF4381">
        <v>-7.7347344830294897</v>
      </c>
      <c r="AG4381">
        <v>-1.1055048546220001</v>
      </c>
      <c r="AH4381">
        <v>20.6517758933363</v>
      </c>
      <c r="AI4381">
        <v>92.869841696520197</v>
      </c>
      <c r="AJ4381">
        <v>110.53249305238501</v>
      </c>
      <c r="AK4381">
        <v>22.080400948695299</v>
      </c>
    </row>
    <row r="4382" spans="1:37" x14ac:dyDescent="0.2">
      <c r="A4382" t="str">
        <f>"20200111153522297"</f>
        <v>20200111153522297</v>
      </c>
      <c r="B4382" t="str">
        <f>"1578728122290590"</f>
        <v>1578728122290590</v>
      </c>
      <c r="C4382" t="s">
        <v>37</v>
      </c>
      <c r="D4382">
        <v>4.7122549999999999</v>
      </c>
      <c r="E4382">
        <v>0.45804440000000002</v>
      </c>
      <c r="F4382" t="s">
        <v>65</v>
      </c>
      <c r="G4382">
        <v>-414.16250000000002</v>
      </c>
      <c r="H4382" s="1">
        <v>-5.6467639999999997E-6</v>
      </c>
      <c r="I4382">
        <v>32.212719999999997</v>
      </c>
      <c r="J4382">
        <v>-422.17919999999998</v>
      </c>
      <c r="K4382">
        <v>1.105437</v>
      </c>
      <c r="L4382">
        <v>51.976900000000001</v>
      </c>
      <c r="M4382">
        <v>2.6472909999999999E-2</v>
      </c>
      <c r="N4382">
        <v>0</v>
      </c>
      <c r="O4382">
        <v>-0.99955849999999902</v>
      </c>
      <c r="P4382">
        <v>0.2725978</v>
      </c>
      <c r="Q4382">
        <v>5.3305350000000001E-2</v>
      </c>
      <c r="R4382">
        <v>-0.96065069999999997</v>
      </c>
      <c r="S4382">
        <v>1.1256409999999999</v>
      </c>
      <c r="T4382">
        <v>-0.15506929999999999</v>
      </c>
      <c r="U4382">
        <v>-2.81311</v>
      </c>
      <c r="V4382">
        <v>-0.2471304</v>
      </c>
      <c r="W4382">
        <v>6.6141279999999997E-2</v>
      </c>
      <c r="X4382">
        <v>0.96672219999999998</v>
      </c>
      <c r="Y4382">
        <v>-0.3463039</v>
      </c>
      <c r="Z4382">
        <v>5.1335850000000002E-2</v>
      </c>
      <c r="AA4382">
        <v>0.93671669999999996</v>
      </c>
      <c r="AB4382">
        <v>29</v>
      </c>
      <c r="AC4382">
        <v>8.0166999999999504</v>
      </c>
      <c r="AD4382">
        <v>-1.1054426467639999</v>
      </c>
      <c r="AE4382">
        <v>-19.76418</v>
      </c>
      <c r="AF4382">
        <v>-7.4705582291174997</v>
      </c>
      <c r="AG4382">
        <v>-1.1054426467639999</v>
      </c>
      <c r="AH4382">
        <v>19.915994976882899</v>
      </c>
      <c r="AI4382">
        <v>92.974952927711499</v>
      </c>
      <c r="AJ4382">
        <v>110.561241038007</v>
      </c>
      <c r="AK4382">
        <v>21.299720646504799</v>
      </c>
    </row>
    <row r="4383" spans="1:37" x14ac:dyDescent="0.2">
      <c r="A4383" t="str">
        <f>"20200111153522318"</f>
        <v>20200111153522318</v>
      </c>
      <c r="B4383" t="str">
        <f>"1578728122310109"</f>
        <v>1578728122310109</v>
      </c>
      <c r="C4383" t="s">
        <v>37</v>
      </c>
      <c r="D4383">
        <v>4.7386549999999996</v>
      </c>
      <c r="E4383">
        <v>0.45820519999999998</v>
      </c>
      <c r="F4383" t="s">
        <v>65</v>
      </c>
      <c r="G4383">
        <v>-414.44839999999999</v>
      </c>
      <c r="H4383" s="1">
        <v>-5.3817129999999901E-6</v>
      </c>
      <c r="I4383">
        <v>32.686</v>
      </c>
      <c r="J4383">
        <v>-422.17149999999998</v>
      </c>
      <c r="K4383">
        <v>1.1053729999999999</v>
      </c>
      <c r="L4383">
        <v>51.705410000000001</v>
      </c>
      <c r="M4383">
        <v>2.6865590000000002E-2</v>
      </c>
      <c r="N4383">
        <v>0</v>
      </c>
      <c r="O4383">
        <v>-0.99954769999999904</v>
      </c>
      <c r="P4383">
        <v>0.27385279999999901</v>
      </c>
      <c r="Q4383">
        <v>5.2140140000000001E-2</v>
      </c>
      <c r="R4383">
        <v>-0.96035720000000002</v>
      </c>
      <c r="S4383">
        <v>1.1269229999999999</v>
      </c>
      <c r="T4383">
        <v>-0.1611408</v>
      </c>
      <c r="U4383">
        <v>-2.8120419999999999</v>
      </c>
      <c r="V4383">
        <v>-0.24800340000000001</v>
      </c>
      <c r="W4383">
        <v>6.5005030000000005E-2</v>
      </c>
      <c r="X4383">
        <v>0.96657569999999904</v>
      </c>
      <c r="Y4383">
        <v>-0.34638679999999999</v>
      </c>
      <c r="Z4383">
        <v>5.335256E-2</v>
      </c>
      <c r="AA4383">
        <v>0.9365734</v>
      </c>
      <c r="AB4383">
        <v>29</v>
      </c>
      <c r="AC4383">
        <v>7.7230999999999801</v>
      </c>
      <c r="AD4383">
        <v>-1.1053783817129901</v>
      </c>
      <c r="AE4383">
        <v>-19.019410000000001</v>
      </c>
      <c r="AF4383">
        <v>-7.1884536304914404</v>
      </c>
      <c r="AG4383">
        <v>-1.1053783817129901</v>
      </c>
      <c r="AH4383">
        <v>19.164478337433799</v>
      </c>
      <c r="AI4383">
        <v>93.091222481013403</v>
      </c>
      <c r="AJ4383">
        <v>110.560695566004</v>
      </c>
      <c r="AK4383">
        <v>20.4981208141247</v>
      </c>
    </row>
    <row r="4384" spans="1:37" x14ac:dyDescent="0.2">
      <c r="A4384" t="str">
        <f>"20200111153522341"</f>
        <v>20200111153522341</v>
      </c>
      <c r="B4384" t="str">
        <f>"1578728122330606"</f>
        <v>1578728122330606</v>
      </c>
      <c r="C4384" t="s">
        <v>37</v>
      </c>
      <c r="D4384">
        <v>4.6929610000000004</v>
      </c>
      <c r="E4384">
        <v>0.458101599999999</v>
      </c>
      <c r="F4384" t="s">
        <v>65</v>
      </c>
      <c r="G4384">
        <v>-414.58460000000002</v>
      </c>
      <c r="H4384" s="1">
        <v>-5.280144E-6</v>
      </c>
      <c r="I4384">
        <v>32.826070000000001</v>
      </c>
      <c r="J4384">
        <v>-422.16340000000002</v>
      </c>
      <c r="K4384">
        <v>1.1053170000000001</v>
      </c>
      <c r="L4384">
        <v>51.420140000000004</v>
      </c>
      <c r="M4384">
        <v>2.721618E-2</v>
      </c>
      <c r="N4384">
        <v>0</v>
      </c>
      <c r="O4384">
        <v>-0.9995385</v>
      </c>
      <c r="P4384">
        <v>0.27471499999999999</v>
      </c>
      <c r="Q4384">
        <v>5.2064109999999997E-2</v>
      </c>
      <c r="R4384">
        <v>-0.9601153</v>
      </c>
      <c r="S4384">
        <v>1.1295170000000001</v>
      </c>
      <c r="T4384">
        <v>-0.164565299999999</v>
      </c>
      <c r="U4384">
        <v>-2.8106990000000001</v>
      </c>
      <c r="V4384">
        <v>-0.2485241</v>
      </c>
      <c r="W4384">
        <v>6.4956029999999998E-2</v>
      </c>
      <c r="X4384">
        <v>0.96644529999999995</v>
      </c>
      <c r="Y4384">
        <v>-0.34693379999999902</v>
      </c>
      <c r="Z4384">
        <v>5.4491459999999999E-2</v>
      </c>
      <c r="AA4384">
        <v>0.93630530000000001</v>
      </c>
      <c r="AB4384">
        <v>28</v>
      </c>
      <c r="AC4384">
        <v>7.5788000000000002</v>
      </c>
      <c r="AD4384">
        <v>-1.1053222801439999</v>
      </c>
      <c r="AE4384">
        <v>-18.594069999999999</v>
      </c>
      <c r="AF4384">
        <v>-7.0485275068961197</v>
      </c>
      <c r="AG4384">
        <v>-1.1053222801439999</v>
      </c>
      <c r="AH4384">
        <v>18.736688495627501</v>
      </c>
      <c r="AI4384">
        <v>93.160360429290094</v>
      </c>
      <c r="AJ4384">
        <v>110.615724566236</v>
      </c>
      <c r="AK4384">
        <v>20.049114023832399</v>
      </c>
    </row>
    <row r="4385" spans="1:37" x14ac:dyDescent="0.2">
      <c r="A4385" t="str">
        <f>"20200111153522363"</f>
        <v>20200111153522363</v>
      </c>
      <c r="B4385" t="str">
        <f>"1578728122360862"</f>
        <v>1578728122360862</v>
      </c>
      <c r="C4385" t="s">
        <v>37</v>
      </c>
      <c r="D4385">
        <v>4.7093809999999996</v>
      </c>
      <c r="E4385">
        <v>0.45787729999999999</v>
      </c>
      <c r="F4385" t="s">
        <v>65</v>
      </c>
      <c r="G4385">
        <v>-414.57319999999999</v>
      </c>
      <c r="H4385" s="1">
        <v>-5.3961689999999901E-6</v>
      </c>
      <c r="I4385">
        <v>32.603319999999997</v>
      </c>
      <c r="J4385">
        <v>-422.15519999999998</v>
      </c>
      <c r="K4385">
        <v>1.10527999999999</v>
      </c>
      <c r="L4385">
        <v>51.133789999999998</v>
      </c>
      <c r="M4385">
        <v>2.7530659999999998E-2</v>
      </c>
      <c r="N4385">
        <v>0</v>
      </c>
      <c r="O4385">
        <v>-0.99952989999999997</v>
      </c>
      <c r="P4385">
        <v>0.2754568</v>
      </c>
      <c r="Q4385">
        <v>5.135497E-2</v>
      </c>
      <c r="R4385">
        <v>-0.95994099999999905</v>
      </c>
      <c r="S4385">
        <v>1.1332089999999999</v>
      </c>
      <c r="T4385">
        <v>-0.16502320000000001</v>
      </c>
      <c r="U4385">
        <v>-2.809326</v>
      </c>
      <c r="V4385">
        <v>-0.2489596</v>
      </c>
      <c r="W4385">
        <v>6.426606E-2</v>
      </c>
      <c r="X4385">
        <v>0.96637929999999905</v>
      </c>
      <c r="Y4385">
        <v>-0.34785290000000002</v>
      </c>
      <c r="Z4385">
        <v>5.4644089999999999E-2</v>
      </c>
      <c r="AA4385">
        <v>0.93595529999999905</v>
      </c>
      <c r="AB4385">
        <v>28</v>
      </c>
      <c r="AC4385">
        <v>7.5819999999999901</v>
      </c>
      <c r="AD4385">
        <v>-1.1052853961689999</v>
      </c>
      <c r="AE4385">
        <v>-18.530470000000001</v>
      </c>
      <c r="AF4385">
        <v>-7.0474456464802202</v>
      </c>
      <c r="AG4385">
        <v>-1.1052853961689999</v>
      </c>
      <c r="AH4385">
        <v>18.675287537857098</v>
      </c>
      <c r="AI4385">
        <v>93.169393846070903</v>
      </c>
      <c r="AJ4385">
        <v>110.674874137709</v>
      </c>
      <c r="AK4385">
        <v>19.991360898366</v>
      </c>
    </row>
    <row r="4386" spans="1:37" x14ac:dyDescent="0.2">
      <c r="A4386" t="str">
        <f>"20200111153522387"</f>
        <v>20200111153522387</v>
      </c>
      <c r="B4386" t="str">
        <f>"1578728122380381"</f>
        <v>1578728122380381</v>
      </c>
      <c r="C4386" t="s">
        <v>37</v>
      </c>
      <c r="D4386">
        <v>4.7143969999999999</v>
      </c>
      <c r="E4386">
        <v>0.45767419999999998</v>
      </c>
      <c r="F4386" t="s">
        <v>65</v>
      </c>
      <c r="G4386">
        <v>-414.6232</v>
      </c>
      <c r="H4386" s="1">
        <v>-5.4139869999999996E-6</v>
      </c>
      <c r="I4386">
        <v>32.546579999999999</v>
      </c>
      <c r="J4386">
        <v>-422.14679999999998</v>
      </c>
      <c r="K4386">
        <v>1.1052599999999999</v>
      </c>
      <c r="L4386">
        <v>50.840150000000001</v>
      </c>
      <c r="M4386">
        <v>2.7835260000000001E-2</v>
      </c>
      <c r="N4386">
        <v>0</v>
      </c>
      <c r="O4386">
        <v>-0.99952160000000001</v>
      </c>
      <c r="P4386">
        <v>0.27591789999999999</v>
      </c>
      <c r="Q4386">
        <v>5.1486999999999998E-2</v>
      </c>
      <c r="R4386">
        <v>-0.95980140000000003</v>
      </c>
      <c r="S4386">
        <v>1.137726</v>
      </c>
      <c r="T4386">
        <v>-0.166956299999999</v>
      </c>
      <c r="U4386">
        <v>-2.8076479999999999</v>
      </c>
      <c r="V4386">
        <v>-0.2491274</v>
      </c>
      <c r="W4386">
        <v>6.4406420000000006E-2</v>
      </c>
      <c r="X4386">
        <v>0.96632669999999998</v>
      </c>
      <c r="Y4386">
        <v>-0.34904179999999901</v>
      </c>
      <c r="Z4386">
        <v>5.5283350000000002E-2</v>
      </c>
      <c r="AA4386">
        <v>0.9354751</v>
      </c>
      <c r="AB4386">
        <v>28</v>
      </c>
      <c r="AC4386">
        <v>7.5235999999999796</v>
      </c>
      <c r="AD4386">
        <v>-1.105265413987</v>
      </c>
      <c r="AE4386">
        <v>-18.293569999999999</v>
      </c>
      <c r="AF4386">
        <v>-6.9896083457192999</v>
      </c>
      <c r="AG4386">
        <v>-1.105265413987</v>
      </c>
      <c r="AH4386">
        <v>18.438351534526401</v>
      </c>
      <c r="AI4386">
        <v>93.208164008925905</v>
      </c>
      <c r="AJ4386">
        <v>110.760710718072</v>
      </c>
      <c r="AK4386">
        <v>19.749659333078998</v>
      </c>
    </row>
    <row r="4387" spans="1:37" x14ac:dyDescent="0.2">
      <c r="A4387" t="str">
        <f>"20200111153522408"</f>
        <v>20200111153522408</v>
      </c>
      <c r="B4387" t="str">
        <f>"1578728122399901"</f>
        <v>1578728122399901</v>
      </c>
      <c r="C4387" t="s">
        <v>37</v>
      </c>
      <c r="D4387">
        <v>4.722639</v>
      </c>
      <c r="E4387">
        <v>0.457509</v>
      </c>
      <c r="F4387" t="s">
        <v>65</v>
      </c>
      <c r="G4387">
        <v>-414.59089999999998</v>
      </c>
      <c r="H4387" s="1">
        <v>-5.5638589999999997E-6</v>
      </c>
      <c r="I4387">
        <v>32.254979999999897</v>
      </c>
      <c r="J4387">
        <v>-422.1388</v>
      </c>
      <c r="K4387">
        <v>1.105264</v>
      </c>
      <c r="L4387">
        <v>50.566890000000001</v>
      </c>
      <c r="M4387">
        <v>2.8138960000000001E-2</v>
      </c>
      <c r="N4387">
        <v>0</v>
      </c>
      <c r="O4387">
        <v>-0.99951299999999899</v>
      </c>
      <c r="P4387">
        <v>0.27568140000000002</v>
      </c>
      <c r="Q4387">
        <v>5.1438989999999997E-2</v>
      </c>
      <c r="R4387">
        <v>-0.95987219999999995</v>
      </c>
      <c r="S4387">
        <v>1.141022</v>
      </c>
      <c r="T4387">
        <v>-0.1669081</v>
      </c>
      <c r="U4387">
        <v>-2.8065799999999999</v>
      </c>
      <c r="V4387">
        <v>-0.24859600000000001</v>
      </c>
      <c r="W4387">
        <v>6.4355049999999997E-2</v>
      </c>
      <c r="X4387">
        <v>0.96646699999999996</v>
      </c>
      <c r="Y4387">
        <v>-0.34982439999999998</v>
      </c>
      <c r="Z4387">
        <v>5.526611E-2</v>
      </c>
      <c r="AA4387">
        <v>0.93518369999999995</v>
      </c>
      <c r="AB4387">
        <v>28</v>
      </c>
      <c r="AC4387">
        <v>7.5479000000000198</v>
      </c>
      <c r="AD4387">
        <v>-1.105269563859</v>
      </c>
      <c r="AE4387">
        <v>-18.311910000000001</v>
      </c>
      <c r="AF4387">
        <v>-7.0077633308605396</v>
      </c>
      <c r="AG4387">
        <v>-1.105269563859</v>
      </c>
      <c r="AH4387">
        <v>18.459583391791799</v>
      </c>
      <c r="AI4387">
        <v>93.203913188218493</v>
      </c>
      <c r="AJ4387">
        <v>110.788133171718</v>
      </c>
      <c r="AK4387">
        <v>19.775909251123299</v>
      </c>
    </row>
    <row r="4388" spans="1:37" x14ac:dyDescent="0.2">
      <c r="A4388" t="str">
        <f>"20200111153522430"</f>
        <v>20200111153522430</v>
      </c>
      <c r="B4388" t="str">
        <f>"1578728122420397"</f>
        <v>1578728122420397</v>
      </c>
      <c r="C4388" t="s">
        <v>37</v>
      </c>
      <c r="D4388">
        <v>4.7113480000000001</v>
      </c>
      <c r="E4388">
        <v>0.45728580000000002</v>
      </c>
      <c r="F4388" t="s">
        <v>65</v>
      </c>
      <c r="G4388">
        <v>-414.62670000000003</v>
      </c>
      <c r="H4388" s="1">
        <v>-5.6174769999999996E-6</v>
      </c>
      <c r="I4388">
        <v>32.09854</v>
      </c>
      <c r="J4388">
        <v>-422.13060000000002</v>
      </c>
      <c r="K4388">
        <v>1.1052979999999999</v>
      </c>
      <c r="L4388">
        <v>50.289949999999997</v>
      </c>
      <c r="M4388">
        <v>2.851194E-2</v>
      </c>
      <c r="N4388">
        <v>0</v>
      </c>
      <c r="O4388">
        <v>-0.99950249999999996</v>
      </c>
      <c r="P4388">
        <v>0.27515499999999998</v>
      </c>
      <c r="Q4388">
        <v>5.0623580000000001E-2</v>
      </c>
      <c r="R4388">
        <v>-0.96006639999999999</v>
      </c>
      <c r="S4388">
        <v>1.1415709999999999</v>
      </c>
      <c r="T4388">
        <v>-0.16796269999999999</v>
      </c>
      <c r="U4388">
        <v>-2.806549</v>
      </c>
      <c r="V4388">
        <v>-0.24770819999999999</v>
      </c>
      <c r="W4388">
        <v>6.3520389999999996E-2</v>
      </c>
      <c r="X4388">
        <v>0.96675009999999995</v>
      </c>
      <c r="Y4388">
        <v>-0.3496282</v>
      </c>
      <c r="Z4388">
        <v>5.5613919999999997E-2</v>
      </c>
      <c r="AA4388">
        <v>0.93523650000000003</v>
      </c>
      <c r="AB4388">
        <v>28</v>
      </c>
      <c r="AC4388">
        <v>7.5038999999999803</v>
      </c>
      <c r="AD4388">
        <v>-1.1053036174769999</v>
      </c>
      <c r="AE4388">
        <v>-18.191410000000001</v>
      </c>
      <c r="AF4388">
        <v>-6.9601704589931304</v>
      </c>
      <c r="AG4388">
        <v>-1.1053036174769999</v>
      </c>
      <c r="AH4388">
        <v>18.340121662515401</v>
      </c>
      <c r="AI4388">
        <v>93.224968217820106</v>
      </c>
      <c r="AJ4388">
        <v>110.78201122816</v>
      </c>
      <c r="AK4388">
        <v>19.647537542931801</v>
      </c>
    </row>
    <row r="4389" spans="1:37" x14ac:dyDescent="0.2">
      <c r="A4389" t="str">
        <f>"20200111153522453"</f>
        <v>20200111153522453</v>
      </c>
      <c r="B4389" t="str">
        <f>"1578728122450653"</f>
        <v>1578728122450653</v>
      </c>
      <c r="C4389" t="s">
        <v>37</v>
      </c>
      <c r="D4389">
        <v>4.7395959999999997</v>
      </c>
      <c r="E4389">
        <v>0.45699269999999997</v>
      </c>
      <c r="F4389" t="s">
        <v>65</v>
      </c>
      <c r="G4389">
        <v>-414.72300000000001</v>
      </c>
      <c r="H4389" s="1">
        <v>-5.6046300000000001E-6</v>
      </c>
      <c r="I4389">
        <v>32.092750000000002</v>
      </c>
      <c r="J4389">
        <v>-422.12180000000001</v>
      </c>
      <c r="K4389">
        <v>1.1053660000000001</v>
      </c>
      <c r="L4389">
        <v>50.002499999999998</v>
      </c>
      <c r="M4389">
        <v>2.900981E-2</v>
      </c>
      <c r="N4389">
        <v>0</v>
      </c>
      <c r="O4389">
        <v>-0.99948809999999999</v>
      </c>
      <c r="P4389">
        <v>0.27671780000000001</v>
      </c>
      <c r="Q4389">
        <v>4.9059609999999997E-2</v>
      </c>
      <c r="R4389">
        <v>-0.9596983</v>
      </c>
      <c r="S4389">
        <v>1.142395</v>
      </c>
      <c r="T4389">
        <v>-0.17045940000000001</v>
      </c>
      <c r="U4389">
        <v>-2.8063660000000001</v>
      </c>
      <c r="V4389">
        <v>-0.24880920000000001</v>
      </c>
      <c r="W4389">
        <v>6.1908989999999997E-2</v>
      </c>
      <c r="X4389">
        <v>0.96657190000000004</v>
      </c>
      <c r="Y4389">
        <v>-0.34940120000000002</v>
      </c>
      <c r="Z4389">
        <v>5.6439490000000002E-2</v>
      </c>
      <c r="AA4389">
        <v>0.93527179999999999</v>
      </c>
      <c r="AB4389">
        <v>28</v>
      </c>
      <c r="AC4389">
        <v>7.3987999999999898</v>
      </c>
      <c r="AD4389">
        <v>-1.1053716046299999</v>
      </c>
      <c r="AE4389">
        <v>-17.909749999999899</v>
      </c>
      <c r="AF4389">
        <v>-6.85377820125849</v>
      </c>
      <c r="AG4389">
        <v>-1.1053716046299999</v>
      </c>
      <c r="AH4389">
        <v>18.058108812546799</v>
      </c>
      <c r="AI4389">
        <v>93.275386639882001</v>
      </c>
      <c r="AJ4389">
        <v>110.783766971181</v>
      </c>
      <c r="AK4389">
        <v>19.3466125174964</v>
      </c>
    </row>
    <row r="4390" spans="1:37" x14ac:dyDescent="0.2">
      <c r="A4390" t="str">
        <f>"20200111153522476"</f>
        <v>20200111153522476</v>
      </c>
      <c r="B4390" t="str">
        <f>"1578728122470173"</f>
        <v>1578728122470173</v>
      </c>
      <c r="C4390" t="s">
        <v>37</v>
      </c>
      <c r="D4390">
        <v>4.728612</v>
      </c>
      <c r="E4390">
        <v>0.45669870000000001</v>
      </c>
      <c r="F4390" t="s">
        <v>65</v>
      </c>
      <c r="G4390">
        <v>-414.88170000000002</v>
      </c>
      <c r="H4390" s="1">
        <v>-5.4598870000000003E-6</v>
      </c>
      <c r="I4390">
        <v>32.344029999999997</v>
      </c>
      <c r="J4390">
        <v>-422.11270000000002</v>
      </c>
      <c r="K4390">
        <v>1.105461</v>
      </c>
      <c r="L4390">
        <v>49.712800000000001</v>
      </c>
      <c r="M4390">
        <v>2.96567999999999E-2</v>
      </c>
      <c r="N4390">
        <v>0</v>
      </c>
      <c r="O4390">
        <v>-0.99946889999999999</v>
      </c>
      <c r="P4390">
        <v>0.281221</v>
      </c>
      <c r="Q4390">
        <v>4.8378949999999997E-2</v>
      </c>
      <c r="R4390">
        <v>-0.95842280000000002</v>
      </c>
      <c r="S4390">
        <v>1.149475</v>
      </c>
      <c r="T4390">
        <v>-0.17549300000000001</v>
      </c>
      <c r="U4390">
        <v>-2.803528</v>
      </c>
      <c r="V4390">
        <v>-0.25273669999999998</v>
      </c>
      <c r="W4390">
        <v>6.1147970000000003E-2</v>
      </c>
      <c r="X4390">
        <v>0.96560089999999998</v>
      </c>
      <c r="Y4390">
        <v>-0.35111239999999999</v>
      </c>
      <c r="Z4390">
        <v>5.8106949999999997E-2</v>
      </c>
      <c r="AA4390">
        <v>0.93452860000000004</v>
      </c>
      <c r="AB4390">
        <v>28</v>
      </c>
      <c r="AC4390">
        <v>7.2309999999999901</v>
      </c>
      <c r="AD4390">
        <v>-1.1054664598870001</v>
      </c>
      <c r="AE4390">
        <v>-17.368770000000001</v>
      </c>
      <c r="AF4390">
        <v>-6.6895738473127198</v>
      </c>
      <c r="AG4390">
        <v>-1.1054664598870001</v>
      </c>
      <c r="AH4390">
        <v>17.515125501588901</v>
      </c>
      <c r="AI4390">
        <v>93.374306208409095</v>
      </c>
      <c r="AJ4390">
        <v>110.903419540117</v>
      </c>
      <c r="AK4390">
        <v>18.781695229371401</v>
      </c>
    </row>
    <row r="4391" spans="1:37" x14ac:dyDescent="0.2">
      <c r="A4391" t="str">
        <f>"20200111153522498"</f>
        <v>20200111153522498</v>
      </c>
      <c r="B4391" t="str">
        <f>"1578728122490669"</f>
        <v>1578728122490669</v>
      </c>
      <c r="C4391" t="s">
        <v>37</v>
      </c>
      <c r="D4391">
        <v>4.8026369999999998</v>
      </c>
      <c r="E4391">
        <v>0.45661419999999903</v>
      </c>
      <c r="F4391" t="s">
        <v>65</v>
      </c>
      <c r="G4391">
        <v>-414.87720000000002</v>
      </c>
      <c r="H4391" s="1">
        <v>-5.4607829999999996E-6</v>
      </c>
      <c r="I4391">
        <v>32.34422</v>
      </c>
      <c r="J4391">
        <v>-422.10359999999997</v>
      </c>
      <c r="K4391">
        <v>1.1055709999999901</v>
      </c>
      <c r="L4391">
        <v>49.432189999999999</v>
      </c>
      <c r="M4391">
        <v>3.0449609999999998E-2</v>
      </c>
      <c r="N4391">
        <v>0</v>
      </c>
      <c r="O4391">
        <v>-0.99944539999999904</v>
      </c>
      <c r="P4391">
        <v>0.28753879999999998</v>
      </c>
      <c r="Q4391">
        <v>4.6994830000000001E-2</v>
      </c>
      <c r="R4391">
        <v>-0.95661569999999996</v>
      </c>
      <c r="S4391">
        <v>1.1652830000000001</v>
      </c>
      <c r="T4391">
        <v>-0.17803540000000001</v>
      </c>
      <c r="U4391">
        <v>-2.7972109999999999</v>
      </c>
      <c r="V4391">
        <v>-0.25835549999999902</v>
      </c>
      <c r="W4391">
        <v>5.9663910000000001E-2</v>
      </c>
      <c r="X4391">
        <v>0.96420569999999906</v>
      </c>
      <c r="Y4391">
        <v>-0.35559659999999998</v>
      </c>
      <c r="Z4391">
        <v>5.8953480000000003E-2</v>
      </c>
      <c r="AA4391">
        <v>0.93277840000000001</v>
      </c>
      <c r="AB4391">
        <v>28</v>
      </c>
      <c r="AC4391">
        <v>7.2263999999999502</v>
      </c>
      <c r="AD4391">
        <v>-1.1055764607830001</v>
      </c>
      <c r="AE4391">
        <v>-17.087969999999999</v>
      </c>
      <c r="AF4391">
        <v>-6.6789627051782601</v>
      </c>
      <c r="AG4391">
        <v>-1.1055764607830001</v>
      </c>
      <c r="AH4391">
        <v>17.238891894816501</v>
      </c>
      <c r="AI4391">
        <v>93.422284768808396</v>
      </c>
      <c r="AJ4391">
        <v>111.17814789341401</v>
      </c>
      <c r="AK4391">
        <v>18.520535518417699</v>
      </c>
    </row>
    <row r="4392" spans="1:37" x14ac:dyDescent="0.2">
      <c r="A4392" t="str">
        <f>"20200111153522520"</f>
        <v>20200111153522520</v>
      </c>
      <c r="B4392" t="str">
        <f>"1578728122510190"</f>
        <v>1578728122510190</v>
      </c>
      <c r="C4392" t="s">
        <v>37</v>
      </c>
      <c r="D4392">
        <v>4.5106650000000004</v>
      </c>
      <c r="E4392">
        <v>0.45459079999999902</v>
      </c>
      <c r="F4392" t="s">
        <v>65</v>
      </c>
      <c r="G4392">
        <v>-414.92410000000001</v>
      </c>
      <c r="H4392" s="1">
        <v>-5.3541059999999999E-6</v>
      </c>
      <c r="I4392">
        <v>32.533169999999998</v>
      </c>
      <c r="J4392">
        <v>-422.0942</v>
      </c>
      <c r="K4392">
        <v>1.1056839999999999</v>
      </c>
      <c r="L4392">
        <v>49.157069999999997</v>
      </c>
      <c r="M4392">
        <v>3.141642E-2</v>
      </c>
      <c r="N4392">
        <v>0</v>
      </c>
      <c r="O4392">
        <v>-0.99941550000000001</v>
      </c>
      <c r="P4392">
        <v>0.29190329999999998</v>
      </c>
      <c r="Q4392">
        <v>4.584394E-2</v>
      </c>
      <c r="R4392">
        <v>-0.95534869999999905</v>
      </c>
      <c r="S4392">
        <v>1.1848449999999999</v>
      </c>
      <c r="T4392">
        <v>-0.18245549999999999</v>
      </c>
      <c r="U4392">
        <v>-2.7888790000000001</v>
      </c>
      <c r="V4392">
        <v>-0.26184029999999903</v>
      </c>
      <c r="W4392">
        <v>5.841677E-2</v>
      </c>
      <c r="X4392">
        <v>0.96334169999999997</v>
      </c>
      <c r="Y4392">
        <v>-0.36119689999999999</v>
      </c>
      <c r="Z4392">
        <v>6.0428530000000001E-2</v>
      </c>
      <c r="AA4392">
        <v>0.93052950000000001</v>
      </c>
      <c r="AB4392">
        <v>28</v>
      </c>
      <c r="AC4392">
        <v>7.1700999999999899</v>
      </c>
      <c r="AD4392">
        <v>-1.105689354106</v>
      </c>
      <c r="AE4392">
        <v>-16.623899999999999</v>
      </c>
      <c r="AF4392">
        <v>-6.6195584930455498</v>
      </c>
      <c r="AG4392">
        <v>-1.105689354106</v>
      </c>
      <c r="AH4392">
        <v>16.778389229840901</v>
      </c>
      <c r="AI4392">
        <v>93.507911669882503</v>
      </c>
      <c r="AJ4392">
        <v>111.530664332846</v>
      </c>
      <c r="AK4392">
        <v>18.070845269070102</v>
      </c>
    </row>
    <row r="4393" spans="1:37" x14ac:dyDescent="0.2">
      <c r="A4393" t="str">
        <f>"20200111153522542"</f>
        <v>20200111153522542</v>
      </c>
      <c r="B4393" t="str">
        <f>"1578728122540447"</f>
        <v>1578728122540447</v>
      </c>
      <c r="C4393" t="s">
        <v>37</v>
      </c>
      <c r="D4393">
        <v>4.6398080000000004</v>
      </c>
      <c r="E4393">
        <v>0.3824051</v>
      </c>
      <c r="F4393" t="s">
        <v>65</v>
      </c>
      <c r="G4393">
        <v>-414.92180000000002</v>
      </c>
      <c r="H4393" s="1">
        <v>-5.2566389999999998E-6</v>
      </c>
      <c r="I4393">
        <v>32.725439999999999</v>
      </c>
      <c r="J4393">
        <v>-422.08390000000003</v>
      </c>
      <c r="K4393">
        <v>1.105804</v>
      </c>
      <c r="L4393">
        <v>48.871769999999998</v>
      </c>
      <c r="M4393">
        <v>3.2617930000000003E-2</v>
      </c>
      <c r="N4393">
        <v>0</v>
      </c>
      <c r="O4393">
        <v>-0.99937690000000001</v>
      </c>
      <c r="P4393">
        <v>0.295529299999999</v>
      </c>
      <c r="Q4393">
        <v>4.4864040000000001E-2</v>
      </c>
      <c r="R4393">
        <v>-0.95427980000000001</v>
      </c>
      <c r="S4393">
        <v>1.21286</v>
      </c>
      <c r="T4393">
        <v>-0.18697449999999999</v>
      </c>
      <c r="U4393">
        <v>-2.7786249999999999</v>
      </c>
      <c r="V4393">
        <v>-0.26435710000000001</v>
      </c>
      <c r="W4393">
        <v>5.7338550000000002E-2</v>
      </c>
      <c r="X4393">
        <v>0.96271879999999999</v>
      </c>
      <c r="Y4393">
        <v>-0.36917129999999998</v>
      </c>
      <c r="Z4393">
        <v>6.1906179999999998E-2</v>
      </c>
      <c r="AA4393">
        <v>0.92729719999999904</v>
      </c>
      <c r="AB4393">
        <v>28</v>
      </c>
      <c r="AC4393">
        <v>7.1620999999999997</v>
      </c>
      <c r="AD4393">
        <v>-1.1058092566390001</v>
      </c>
      <c r="AE4393">
        <v>-16.146329999999999</v>
      </c>
      <c r="AF4393">
        <v>-6.6056909897771598</v>
      </c>
      <c r="AG4393">
        <v>-1.1058092566390001</v>
      </c>
      <c r="AH4393">
        <v>16.307457499238701</v>
      </c>
      <c r="AI4393">
        <v>93.596282024061196</v>
      </c>
      <c r="AJ4393">
        <v>112.051481001824</v>
      </c>
      <c r="AK4393">
        <v>17.629269345437098</v>
      </c>
    </row>
    <row r="4394" spans="1:37" x14ac:dyDescent="0.2">
      <c r="A4394" t="str">
        <f>"20200111153522564"</f>
        <v>20200111153522564</v>
      </c>
      <c r="B4394" t="str">
        <f>"1578728122559968"</f>
        <v>1578728122559968</v>
      </c>
      <c r="C4394" t="s">
        <v>37</v>
      </c>
      <c r="D4394">
        <v>4.6079160000000003</v>
      </c>
      <c r="E4394">
        <v>0.38050440000000002</v>
      </c>
      <c r="F4394" t="s">
        <v>40</v>
      </c>
      <c r="G4394">
        <v>-421.48790000000002</v>
      </c>
      <c r="H4394">
        <v>1.0199719999999901</v>
      </c>
      <c r="I4394">
        <v>47.994609999999902</v>
      </c>
      <c r="J4394">
        <v>-422.07350000000002</v>
      </c>
      <c r="K4394">
        <v>1.105909</v>
      </c>
      <c r="L4394">
        <v>48.595209999999902</v>
      </c>
      <c r="M4394">
        <v>3.3935670000000001E-2</v>
      </c>
      <c r="N4394">
        <v>0</v>
      </c>
      <c r="O4394">
        <v>-0.99933280000000002</v>
      </c>
      <c r="P4394">
        <v>0.29939559999999998</v>
      </c>
      <c r="Q4394">
        <v>4.4096919999999998E-2</v>
      </c>
      <c r="R4394">
        <v>-0.95310949999999905</v>
      </c>
      <c r="S4394">
        <v>1.7719419999999999</v>
      </c>
      <c r="T4394">
        <v>-0.25510050000000001</v>
      </c>
      <c r="U4394">
        <v>-2.606995</v>
      </c>
      <c r="V4394">
        <v>-0.2670051</v>
      </c>
      <c r="W4394">
        <v>5.6481160000000002E-2</v>
      </c>
      <c r="X4394">
        <v>0.96203850000000002</v>
      </c>
      <c r="Y4394">
        <v>-0.53188159999999995</v>
      </c>
      <c r="Z4394">
        <v>8.1408560000000005E-2</v>
      </c>
      <c r="AA4394">
        <v>0.8428966</v>
      </c>
      <c r="AB4394">
        <v>28</v>
      </c>
      <c r="AC4394">
        <v>0.58559999999999901</v>
      </c>
      <c r="AD4394">
        <v>-8.5937000000000097E-2</v>
      </c>
      <c r="AE4394">
        <v>-0.60060000000000002</v>
      </c>
      <c r="AF4394">
        <v>-0.559011886719466</v>
      </c>
      <c r="AG4394">
        <v>-8.5937000000000097E-2</v>
      </c>
      <c r="AH4394">
        <v>0.61368755631195404</v>
      </c>
      <c r="AI4394">
        <v>95.910378498899405</v>
      </c>
      <c r="AJ4394">
        <v>132.33058784520099</v>
      </c>
      <c r="AK4394">
        <v>0.83456088707463105</v>
      </c>
    </row>
    <row r="4395" spans="1:37" x14ac:dyDescent="0.2">
      <c r="A4395" t="str">
        <f>"20200111153522588"</f>
        <v>20200111153522588</v>
      </c>
      <c r="B4395" t="str">
        <f>"1578728122580461"</f>
        <v>1578728122580461</v>
      </c>
      <c r="C4395" t="s">
        <v>37</v>
      </c>
      <c r="D4395">
        <v>4.5349209999999998</v>
      </c>
      <c r="E4395">
        <v>0.3808762</v>
      </c>
      <c r="F4395" t="s">
        <v>40</v>
      </c>
      <c r="G4395">
        <v>-421.48289999999997</v>
      </c>
      <c r="H4395">
        <v>1.0332709999999901</v>
      </c>
      <c r="I4395">
        <v>47.74268</v>
      </c>
      <c r="J4395">
        <v>-422.06209999999999</v>
      </c>
      <c r="K4395">
        <v>1.1060179999999999</v>
      </c>
      <c r="L4395">
        <v>48.307859999999998</v>
      </c>
      <c r="M4395">
        <v>3.5461670000000001E-2</v>
      </c>
      <c r="N4395">
        <v>0</v>
      </c>
      <c r="O4395">
        <v>-0.99928019999999995</v>
      </c>
      <c r="P4395">
        <v>0.30254639999999999</v>
      </c>
      <c r="Q4395">
        <v>4.3425949999999998E-2</v>
      </c>
      <c r="R4395">
        <v>-0.95214519999999903</v>
      </c>
      <c r="S4395">
        <v>1.7974239999999999</v>
      </c>
      <c r="T4395">
        <v>-0.22094699999999901</v>
      </c>
      <c r="U4395">
        <v>-2.5932009999999899</v>
      </c>
      <c r="V4395">
        <v>-0.26873179999999902</v>
      </c>
      <c r="W4395">
        <v>5.5726570000000003E-2</v>
      </c>
      <c r="X4395">
        <v>0.9616017</v>
      </c>
      <c r="Y4395">
        <v>-0.53874699999999998</v>
      </c>
      <c r="Z4395">
        <v>7.0536520000000005E-2</v>
      </c>
      <c r="AA4395">
        <v>0.83950959999999997</v>
      </c>
      <c r="AB4395">
        <v>28</v>
      </c>
      <c r="AC4395">
        <v>0.57920000000001404</v>
      </c>
      <c r="AD4395">
        <v>-7.2747000000000103E-2</v>
      </c>
      <c r="AE4395">
        <v>-0.56517999999999702</v>
      </c>
      <c r="AF4395">
        <v>-0.55431230424256395</v>
      </c>
      <c r="AG4395">
        <v>-7.2747000000000103E-2</v>
      </c>
      <c r="AH4395">
        <v>0.580673415230896</v>
      </c>
      <c r="AI4395">
        <v>95.177983053576298</v>
      </c>
      <c r="AJ4395">
        <v>133.669490834855</v>
      </c>
      <c r="AK4395">
        <v>0.80606195282968995</v>
      </c>
    </row>
    <row r="4396" spans="1:37" x14ac:dyDescent="0.2">
      <c r="A4396" t="str">
        <f>"20200111153522609"</f>
        <v>20200111153522609</v>
      </c>
      <c r="B4396" t="str">
        <f>"1578728122599981"</f>
        <v>1578728122599981</v>
      </c>
      <c r="C4396" t="s">
        <v>37</v>
      </c>
      <c r="D4396">
        <v>4.5646839999999997</v>
      </c>
      <c r="E4396">
        <v>0.38189840000000003</v>
      </c>
      <c r="F4396" t="s">
        <v>40</v>
      </c>
      <c r="G4396">
        <v>-421.49099999999999</v>
      </c>
      <c r="H4396">
        <v>1.0366850000000001</v>
      </c>
      <c r="I4396">
        <v>47.4878</v>
      </c>
      <c r="J4396">
        <v>-422.05079999999998</v>
      </c>
      <c r="K4396">
        <v>1.1061299999999901</v>
      </c>
      <c r="L4396">
        <v>48.03622</v>
      </c>
      <c r="M4396">
        <v>3.705489E-2</v>
      </c>
      <c r="N4396">
        <v>0</v>
      </c>
      <c r="O4396">
        <v>-0.9992221</v>
      </c>
      <c r="P4396">
        <v>0.30527399999999999</v>
      </c>
      <c r="Q4396">
        <v>4.3418599999999898E-2</v>
      </c>
      <c r="R4396">
        <v>-0.95127430000000002</v>
      </c>
      <c r="S4396">
        <v>1.8024290000000001</v>
      </c>
      <c r="T4396">
        <v>-0.218807</v>
      </c>
      <c r="U4396">
        <v>-2.5880429999999999</v>
      </c>
      <c r="V4396">
        <v>-0.26996949999999997</v>
      </c>
      <c r="W4396">
        <v>5.5640870000000002E-2</v>
      </c>
      <c r="X4396">
        <v>0.96125989999999994</v>
      </c>
      <c r="Y4396">
        <v>-0.53930710000000004</v>
      </c>
      <c r="Z4396">
        <v>6.9916229999999996E-2</v>
      </c>
      <c r="AA4396">
        <v>0.83920169999999905</v>
      </c>
      <c r="AB4396">
        <v>28</v>
      </c>
      <c r="AC4396">
        <v>0.55979999999999497</v>
      </c>
      <c r="AD4396">
        <v>-6.9444999999999701E-2</v>
      </c>
      <c r="AE4396">
        <v>-0.54842000000000002</v>
      </c>
      <c r="AF4396">
        <v>-0.53489168598917902</v>
      </c>
      <c r="AG4396">
        <v>-6.9444999999999701E-2</v>
      </c>
      <c r="AH4396">
        <v>0.56435683471133002</v>
      </c>
      <c r="AI4396">
        <v>95.103592903871998</v>
      </c>
      <c r="AJ4396">
        <v>133.46456513030401</v>
      </c>
      <c r="AK4396">
        <v>0.78066020818966997</v>
      </c>
    </row>
    <row r="4397" spans="1:37" x14ac:dyDescent="0.2">
      <c r="A4397" t="str">
        <f>"20200111153522632"</f>
        <v>20200111153522632</v>
      </c>
      <c r="B4397" t="str">
        <f>"1578728122620478"</f>
        <v>1578728122620478</v>
      </c>
      <c r="C4397" t="s">
        <v>37</v>
      </c>
      <c r="D4397">
        <v>4.5570959999999996</v>
      </c>
      <c r="E4397">
        <v>0.38252059999999999</v>
      </c>
      <c r="F4397" t="s">
        <v>40</v>
      </c>
      <c r="G4397">
        <v>-421.49270000000001</v>
      </c>
      <c r="H4397">
        <v>1.0383709999999999</v>
      </c>
      <c r="I4397">
        <v>47.234740000000002</v>
      </c>
      <c r="J4397">
        <v>-422.03870000000001</v>
      </c>
      <c r="K4397">
        <v>1.1062609999999999</v>
      </c>
      <c r="L4397">
        <v>47.75732</v>
      </c>
      <c r="M4397">
        <v>3.8849000000000002E-2</v>
      </c>
      <c r="N4397">
        <v>0</v>
      </c>
      <c r="O4397">
        <v>-0.99915399999999999</v>
      </c>
      <c r="P4397">
        <v>0.30843920000000002</v>
      </c>
      <c r="Q4397">
        <v>4.523137E-2</v>
      </c>
      <c r="R4397">
        <v>-0.95016809999999996</v>
      </c>
      <c r="S4397">
        <v>1.8012999999999999</v>
      </c>
      <c r="T4397">
        <v>-0.2185917</v>
      </c>
      <c r="U4397">
        <v>-2.5856020000000002</v>
      </c>
      <c r="V4397">
        <v>-0.27146940000000003</v>
      </c>
      <c r="W4397">
        <v>5.736521E-2</v>
      </c>
      <c r="X4397">
        <v>0.96073600000000003</v>
      </c>
      <c r="Y4397">
        <v>-0.53792019999999996</v>
      </c>
      <c r="Z4397">
        <v>6.9935499999999998E-2</v>
      </c>
      <c r="AA4397">
        <v>0.8400898</v>
      </c>
      <c r="AB4397">
        <v>28</v>
      </c>
      <c r="AC4397">
        <v>0.54599999999999205</v>
      </c>
      <c r="AD4397">
        <v>-6.78900000000002E-2</v>
      </c>
      <c r="AE4397">
        <v>-0.52257999999999705</v>
      </c>
      <c r="AF4397">
        <v>-0.52107960292813305</v>
      </c>
      <c r="AG4397">
        <v>-6.78900000000002E-2</v>
      </c>
      <c r="AH4397">
        <v>0.53904933204692396</v>
      </c>
      <c r="AI4397">
        <v>95.174156177066706</v>
      </c>
      <c r="AJ4397">
        <v>134.02890015229301</v>
      </c>
      <c r="AK4397">
        <v>0.75279956633088996</v>
      </c>
    </row>
    <row r="4398" spans="1:37" x14ac:dyDescent="0.2">
      <c r="A4398" t="str">
        <f>"20200111153522654"</f>
        <v>20200111153522654</v>
      </c>
      <c r="B4398" t="str">
        <f>"1578728122650733"</f>
        <v>1578728122650733</v>
      </c>
      <c r="C4398" t="s">
        <v>37</v>
      </c>
      <c r="D4398">
        <v>4.6002489999999998</v>
      </c>
      <c r="E4398">
        <v>0.38305850000000002</v>
      </c>
      <c r="F4398" t="s">
        <v>40</v>
      </c>
      <c r="G4398">
        <v>-421.49610000000001</v>
      </c>
      <c r="H4398">
        <v>1.042424</v>
      </c>
      <c r="I4398">
        <v>46.981380000000001</v>
      </c>
      <c r="J4398">
        <v>-422.02550000000002</v>
      </c>
      <c r="K4398">
        <v>1.1064099999999999</v>
      </c>
      <c r="L4398">
        <v>47.47296</v>
      </c>
      <c r="M4398">
        <v>4.0850730000000002E-2</v>
      </c>
      <c r="N4398">
        <v>0</v>
      </c>
      <c r="O4398">
        <v>-0.99907409999999996</v>
      </c>
      <c r="P4398">
        <v>0.3122356</v>
      </c>
      <c r="Q4398">
        <v>4.7857240000000002E-2</v>
      </c>
      <c r="R4398">
        <v>-0.94879849999999999</v>
      </c>
      <c r="S4398">
        <v>1.805023</v>
      </c>
      <c r="T4398">
        <v>-0.21238029999999999</v>
      </c>
      <c r="U4398">
        <v>-2.581512</v>
      </c>
      <c r="V4398">
        <v>-0.27341959999999998</v>
      </c>
      <c r="W4398">
        <v>5.9888570000000002E-2</v>
      </c>
      <c r="X4398">
        <v>0.96002860000000001</v>
      </c>
      <c r="Y4398">
        <v>-0.53774699999999998</v>
      </c>
      <c r="Z4398">
        <v>6.8017270000000005E-2</v>
      </c>
      <c r="AA4398">
        <v>0.8403581</v>
      </c>
      <c r="AB4398">
        <v>28</v>
      </c>
      <c r="AC4398">
        <v>0.52940000000000897</v>
      </c>
      <c r="AD4398">
        <v>-6.3986000000000098E-2</v>
      </c>
      <c r="AE4398">
        <v>-0.49157999999999902</v>
      </c>
      <c r="AF4398">
        <v>-0.50491393734025203</v>
      </c>
      <c r="AG4398">
        <v>-6.3986000000000098E-2</v>
      </c>
      <c r="AH4398">
        <v>0.50880655456805601</v>
      </c>
      <c r="AI4398">
        <v>95.100956515571497</v>
      </c>
      <c r="AJ4398">
        <v>134.77998921398699</v>
      </c>
      <c r="AK4398">
        <v>0.71966408989739905</v>
      </c>
    </row>
    <row r="4399" spans="1:37" x14ac:dyDescent="0.2">
      <c r="A4399" t="str">
        <f>"20200111153522677"</f>
        <v>20200111153522677</v>
      </c>
      <c r="B4399" t="str">
        <f>"1578728122670253"</f>
        <v>1578728122670253</v>
      </c>
      <c r="C4399" t="s">
        <v>37</v>
      </c>
      <c r="D4399">
        <v>4.6487099999999897</v>
      </c>
      <c r="E4399">
        <v>0.38337480000000002</v>
      </c>
      <c r="F4399" t="s">
        <v>40</v>
      </c>
      <c r="G4399">
        <v>-421.5016</v>
      </c>
      <c r="H4399">
        <v>1.0479689999999999</v>
      </c>
      <c r="I4399">
        <v>46.727600000000002</v>
      </c>
      <c r="J4399">
        <v>-422.01179999999999</v>
      </c>
      <c r="K4399">
        <v>1.1065639999999899</v>
      </c>
      <c r="L4399">
        <v>47.192169999999997</v>
      </c>
      <c r="M4399">
        <v>4.301224E-2</v>
      </c>
      <c r="N4399">
        <v>0</v>
      </c>
      <c r="O4399">
        <v>-0.99898339999999997</v>
      </c>
      <c r="P4399">
        <v>0.31619120000000001</v>
      </c>
      <c r="Q4399">
        <v>4.9444189999999999E-2</v>
      </c>
      <c r="R4399">
        <v>-0.94740619999999998</v>
      </c>
      <c r="S4399">
        <v>1.8116759999999901</v>
      </c>
      <c r="T4399">
        <v>-0.2019639</v>
      </c>
      <c r="U4399">
        <v>-2.5758969999999999</v>
      </c>
      <c r="V4399">
        <v>-0.27537929999999999</v>
      </c>
      <c r="W4399">
        <v>6.1366440000000001E-2</v>
      </c>
      <c r="X4399">
        <v>0.95937499999999998</v>
      </c>
      <c r="Y4399">
        <v>-0.53836319999999904</v>
      </c>
      <c r="Z4399">
        <v>6.4746799999999993E-2</v>
      </c>
      <c r="AA4399">
        <v>0.84022199999999903</v>
      </c>
      <c r="AB4399">
        <v>28</v>
      </c>
      <c r="AC4399">
        <v>0.51019999999999699</v>
      </c>
      <c r="AD4399">
        <v>-5.8594999999999703E-2</v>
      </c>
      <c r="AE4399">
        <v>-0.46457000000000098</v>
      </c>
      <c r="AF4399">
        <v>-0.486237466950316</v>
      </c>
      <c r="AG4399">
        <v>-5.8594999999999703E-2</v>
      </c>
      <c r="AH4399">
        <v>0.48260674377815699</v>
      </c>
      <c r="AI4399">
        <v>94.888611472584302</v>
      </c>
      <c r="AJ4399">
        <v>135.21471371582999</v>
      </c>
      <c r="AK4399">
        <v>0.68758237137917899</v>
      </c>
    </row>
    <row r="4400" spans="1:37" x14ac:dyDescent="0.2">
      <c r="A4400" t="str">
        <f>"20200111153522699"</f>
        <v>20200111153522699</v>
      </c>
      <c r="B4400" t="str">
        <f>"1578728122690752"</f>
        <v>1578728122690752</v>
      </c>
      <c r="C4400" t="s">
        <v>37</v>
      </c>
      <c r="D4400">
        <v>4.6238869999999999</v>
      </c>
      <c r="E4400">
        <v>0.3835133</v>
      </c>
      <c r="F4400" t="s">
        <v>40</v>
      </c>
      <c r="G4400">
        <v>-421.50360000000001</v>
      </c>
      <c r="H4400">
        <v>1.051277</v>
      </c>
      <c r="I4400">
        <v>46.474890000000002</v>
      </c>
      <c r="J4400">
        <v>-421.9975</v>
      </c>
      <c r="K4400">
        <v>1.1067149999999999</v>
      </c>
      <c r="L4400">
        <v>46.917110000000001</v>
      </c>
      <c r="M4400">
        <v>4.5326699999999998E-2</v>
      </c>
      <c r="N4400">
        <v>0</v>
      </c>
      <c r="O4400">
        <v>-0.99888099999999902</v>
      </c>
      <c r="P4400">
        <v>0.3206695</v>
      </c>
      <c r="Q4400">
        <v>5.0051529999999997E-2</v>
      </c>
      <c r="R4400">
        <v>-0.94586809999999999</v>
      </c>
      <c r="S4400">
        <v>1.820343</v>
      </c>
      <c r="T4400">
        <v>-0.1980451</v>
      </c>
      <c r="U4400">
        <v>-2.569366</v>
      </c>
      <c r="V4400">
        <v>-0.27772179999999902</v>
      </c>
      <c r="W4400">
        <v>6.1858070000000001E-2</v>
      </c>
      <c r="X4400">
        <v>0.95866790000000002</v>
      </c>
      <c r="Y4400">
        <v>-0.53935100000000002</v>
      </c>
      <c r="Z4400">
        <v>6.354013E-2</v>
      </c>
      <c r="AA4400">
        <v>0.83968039999999999</v>
      </c>
      <c r="AB4400">
        <v>28</v>
      </c>
      <c r="AC4400">
        <v>0.49389999999999601</v>
      </c>
      <c r="AD4400">
        <v>-5.54379999999998E-2</v>
      </c>
      <c r="AE4400">
        <v>-0.442219999999998</v>
      </c>
      <c r="AF4400">
        <v>-0.47005898632136101</v>
      </c>
      <c r="AG4400">
        <v>-5.54379999999998E-2</v>
      </c>
      <c r="AH4400">
        <v>0.46093104033355298</v>
      </c>
      <c r="AI4400">
        <v>94.813443541156303</v>
      </c>
      <c r="AJ4400">
        <v>135.56174181075701</v>
      </c>
      <c r="AK4400">
        <v>0.66067105764399603</v>
      </c>
    </row>
    <row r="4401" spans="1:37" x14ac:dyDescent="0.2">
      <c r="A4401" t="str">
        <f>"20200111153522721"</f>
        <v>20200111153522721</v>
      </c>
      <c r="B4401" t="str">
        <f>"1578728122710272"</f>
        <v>1578728122710272</v>
      </c>
      <c r="C4401" t="s">
        <v>37</v>
      </c>
      <c r="D4401">
        <v>4.6503459999999999</v>
      </c>
      <c r="E4401">
        <v>0.38371739999999999</v>
      </c>
      <c r="F4401" t="s">
        <v>40</v>
      </c>
      <c r="G4401">
        <v>-421.34910000000002</v>
      </c>
      <c r="H4401">
        <v>1.0374540000000001</v>
      </c>
      <c r="I4401">
        <v>46.010860000000001</v>
      </c>
      <c r="J4401">
        <v>-421.98230000000001</v>
      </c>
      <c r="K4401">
        <v>1.10687</v>
      </c>
      <c r="L4401">
        <v>46.642330000000001</v>
      </c>
      <c r="M4401">
        <v>4.7862149999999999E-2</v>
      </c>
      <c r="N4401">
        <v>0</v>
      </c>
      <c r="O4401">
        <v>-0.99876279999999995</v>
      </c>
      <c r="P4401">
        <v>0.32581139999999997</v>
      </c>
      <c r="Q4401">
        <v>5.0435189999999998E-2</v>
      </c>
      <c r="R4401">
        <v>-0.944088699999999</v>
      </c>
      <c r="S4401">
        <v>1.8317570000000001</v>
      </c>
      <c r="T4401">
        <v>-0.1957256</v>
      </c>
      <c r="U4401">
        <v>-2.561035</v>
      </c>
      <c r="V4401">
        <v>-0.28053149999999999</v>
      </c>
      <c r="W4401">
        <v>6.211887E-2</v>
      </c>
      <c r="X4401">
        <v>0.95783259999999903</v>
      </c>
      <c r="Y4401">
        <v>-0.54100819999999905</v>
      </c>
      <c r="Z4401">
        <v>6.2844109999999995E-2</v>
      </c>
      <c r="AA4401">
        <v>0.83866609999999997</v>
      </c>
      <c r="AB4401">
        <v>28</v>
      </c>
      <c r="AC4401">
        <v>0.633199999999987</v>
      </c>
      <c r="AD4401">
        <v>-6.9415999999999894E-2</v>
      </c>
      <c r="AE4401">
        <v>-0.63146999999999998</v>
      </c>
      <c r="AF4401">
        <v>-0.59864080836298805</v>
      </c>
      <c r="AG4401">
        <v>-6.9415999999999894E-2</v>
      </c>
      <c r="AH4401">
        <v>0.65709590627327397</v>
      </c>
      <c r="AI4401">
        <v>94.465273701992103</v>
      </c>
      <c r="AJ4401">
        <v>132.334780209082</v>
      </c>
      <c r="AK4401">
        <v>0.89160777729592899</v>
      </c>
    </row>
    <row r="4402" spans="1:37" x14ac:dyDescent="0.2">
      <c r="A4402" t="str">
        <f>"20200111153522743"</f>
        <v>20200111153522743</v>
      </c>
      <c r="B4402" t="str">
        <f>"1578728122740527"</f>
        <v>1578728122740527</v>
      </c>
      <c r="C4402" t="s">
        <v>37</v>
      </c>
      <c r="D4402">
        <v>4.623367</v>
      </c>
      <c r="E4402">
        <v>0.38372489999999998</v>
      </c>
      <c r="F4402" t="s">
        <v>40</v>
      </c>
      <c r="G4402">
        <v>-421.346</v>
      </c>
      <c r="H4402">
        <v>1.0393600000000001</v>
      </c>
      <c r="I4402">
        <v>45.761309999999902</v>
      </c>
      <c r="J4402">
        <v>-421.96609999999998</v>
      </c>
      <c r="K4402">
        <v>1.107011</v>
      </c>
      <c r="L4402">
        <v>46.36459</v>
      </c>
      <c r="M4402">
        <v>5.0603710000000003E-2</v>
      </c>
      <c r="N4402">
        <v>0</v>
      </c>
      <c r="O4402">
        <v>-0.99862770000000001</v>
      </c>
      <c r="P4402">
        <v>0.33079829999999999</v>
      </c>
      <c r="Q4402">
        <v>5.0747390000000003E-2</v>
      </c>
      <c r="R4402">
        <v>-0.94233650000000002</v>
      </c>
      <c r="S4402">
        <v>1.844055</v>
      </c>
      <c r="T4402">
        <v>-0.19553389999999901</v>
      </c>
      <c r="U4402">
        <v>-2.5517270000000001</v>
      </c>
      <c r="V4402">
        <v>-0.28299069999999998</v>
      </c>
      <c r="W4402">
        <v>6.231685E-2</v>
      </c>
      <c r="X4402">
        <v>0.95709609999999901</v>
      </c>
      <c r="Y4402">
        <v>-0.54280810000000002</v>
      </c>
      <c r="Z4402">
        <v>6.2835600000000005E-2</v>
      </c>
      <c r="AA4402">
        <v>0.83750290000000005</v>
      </c>
      <c r="AB4402">
        <v>28</v>
      </c>
      <c r="AC4402">
        <v>0.620099999999979</v>
      </c>
      <c r="AD4402">
        <v>-6.7650999999999906E-2</v>
      </c>
      <c r="AE4402">
        <v>-0.60328000000000503</v>
      </c>
      <c r="AF4402">
        <v>-0.58519612012437805</v>
      </c>
      <c r="AG4402">
        <v>-6.7650999999999906E-2</v>
      </c>
      <c r="AH4402">
        <v>0.63003668851773498</v>
      </c>
      <c r="AI4402">
        <v>94.4984537706694</v>
      </c>
      <c r="AJ4402">
        <v>132.886816204437</v>
      </c>
      <c r="AK4402">
        <v>0.86254123709421504</v>
      </c>
    </row>
    <row r="4403" spans="1:37" x14ac:dyDescent="0.2">
      <c r="A4403" t="str">
        <f>"20200111153522765"</f>
        <v>20200111153522765</v>
      </c>
      <c r="B4403" t="str">
        <f>"1578728122760045"</f>
        <v>1578728122760045</v>
      </c>
      <c r="C4403" t="s">
        <v>37</v>
      </c>
      <c r="D4403">
        <v>4.6818349999999898</v>
      </c>
      <c r="E4403">
        <v>0.3834861</v>
      </c>
      <c r="F4403" t="s">
        <v>40</v>
      </c>
      <c r="G4403">
        <v>-421.34219999999999</v>
      </c>
      <c r="H4403">
        <v>1.041703</v>
      </c>
      <c r="I4403">
        <v>45.511029999999998</v>
      </c>
      <c r="J4403">
        <v>-421.94839999999999</v>
      </c>
      <c r="K4403">
        <v>1.107145</v>
      </c>
      <c r="L4403">
        <v>46.080840000000002</v>
      </c>
      <c r="M4403">
        <v>5.3595660000000003E-2</v>
      </c>
      <c r="N4403">
        <v>0</v>
      </c>
      <c r="O4403">
        <v>-0.99847129999999995</v>
      </c>
      <c r="P4403">
        <v>0.33579540000000002</v>
      </c>
      <c r="Q4403">
        <v>5.0381370000000002E-2</v>
      </c>
      <c r="R4403">
        <v>-0.9405869</v>
      </c>
      <c r="S4403">
        <v>1.8575740000000001</v>
      </c>
      <c r="T4403">
        <v>-0.1944911</v>
      </c>
      <c r="U4403">
        <v>-2.5419619999999998</v>
      </c>
      <c r="V4403">
        <v>-0.28522179999999903</v>
      </c>
      <c r="W4403">
        <v>6.1842830000000001E-2</v>
      </c>
      <c r="X4403">
        <v>0.95646430000000005</v>
      </c>
      <c r="Y4403">
        <v>-0.54473970000000005</v>
      </c>
      <c r="Z4403">
        <v>6.2549889999999997E-2</v>
      </c>
      <c r="AA4403">
        <v>0.83626929999999999</v>
      </c>
      <c r="AB4403">
        <v>28</v>
      </c>
      <c r="AC4403">
        <v>0.60620000000000096</v>
      </c>
      <c r="AD4403">
        <v>-6.5442E-2</v>
      </c>
      <c r="AE4403">
        <v>-0.56981000000000304</v>
      </c>
      <c r="AF4403">
        <v>-0.57125188869337895</v>
      </c>
      <c r="AG4403">
        <v>-6.5442E-2</v>
      </c>
      <c r="AH4403">
        <v>0.59778481852231202</v>
      </c>
      <c r="AI4403">
        <v>94.525325654104705</v>
      </c>
      <c r="AJ4403">
        <v>133.699815042246</v>
      </c>
      <c r="AK4403">
        <v>0.82943237515514601</v>
      </c>
    </row>
    <row r="4404" spans="1:37" x14ac:dyDescent="0.2">
      <c r="A4404" t="str">
        <f>"20200111153522788"</f>
        <v>20200111153522788</v>
      </c>
      <c r="B4404" t="str">
        <f>"1578728122780541"</f>
        <v>1578728122780541</v>
      </c>
      <c r="C4404" t="s">
        <v>37</v>
      </c>
      <c r="D4404">
        <v>4.6443300000000001</v>
      </c>
      <c r="E4404">
        <v>0.38316919999999999</v>
      </c>
      <c r="F4404" t="s">
        <v>40</v>
      </c>
      <c r="G4404">
        <v>-421.3415</v>
      </c>
      <c r="H4404">
        <v>1.0440830000000001</v>
      </c>
      <c r="I4404">
        <v>45.260039999999996</v>
      </c>
      <c r="J4404">
        <v>-421.93040000000002</v>
      </c>
      <c r="K4404">
        <v>1.1072759999999999</v>
      </c>
      <c r="L4404">
        <v>45.805390000000003</v>
      </c>
      <c r="M4404">
        <v>5.6697039999999997E-2</v>
      </c>
      <c r="N4404">
        <v>0</v>
      </c>
      <c r="O4404">
        <v>-0.99829979999999996</v>
      </c>
      <c r="P4404">
        <v>0.3415842</v>
      </c>
      <c r="Q4404">
        <v>5.0415460000000002E-2</v>
      </c>
      <c r="R4404">
        <v>-0.938497899999999</v>
      </c>
      <c r="S4404">
        <v>1.872925</v>
      </c>
      <c r="T4404">
        <v>-0.1944775</v>
      </c>
      <c r="U4404">
        <v>-2.53125</v>
      </c>
      <c r="V4404">
        <v>-0.2881649</v>
      </c>
      <c r="W4404">
        <v>6.1761450000000002E-2</v>
      </c>
      <c r="X4404">
        <v>0.95558699999999996</v>
      </c>
      <c r="Y4404">
        <v>-0.54710369999999997</v>
      </c>
      <c r="Z4404">
        <v>6.2587900000000002E-2</v>
      </c>
      <c r="AA4404">
        <v>0.83472169999999901</v>
      </c>
      <c r="AB4404">
        <v>28</v>
      </c>
      <c r="AC4404">
        <v>0.58890000000002296</v>
      </c>
      <c r="AD4404">
        <v>-6.3192999999999805E-2</v>
      </c>
      <c r="AE4404">
        <v>-0.545349999999999</v>
      </c>
      <c r="AF4404">
        <v>-0.55359831078713795</v>
      </c>
      <c r="AG4404">
        <v>-6.3192999999999805E-2</v>
      </c>
      <c r="AH4404">
        <v>0.57430452354776795</v>
      </c>
      <c r="AI4404">
        <v>94.5295564008958</v>
      </c>
      <c r="AJ4404">
        <v>133.948273456506</v>
      </c>
      <c r="AK4404">
        <v>0.80018131115566704</v>
      </c>
    </row>
    <row r="4405" spans="1:37" x14ac:dyDescent="0.2">
      <c r="A4405" t="str">
        <f>"20200111153522810"</f>
        <v>20200111153522810</v>
      </c>
      <c r="B4405" t="str">
        <f>"1578728122800062"</f>
        <v>1578728122800062</v>
      </c>
      <c r="C4405" t="s">
        <v>37</v>
      </c>
      <c r="D4405">
        <v>4.5689120000000001</v>
      </c>
      <c r="E4405">
        <v>0.38302839999999999</v>
      </c>
      <c r="F4405" t="s">
        <v>40</v>
      </c>
      <c r="G4405">
        <v>-421.33390000000003</v>
      </c>
      <c r="H4405">
        <v>1.0460860000000001</v>
      </c>
      <c r="I4405">
        <v>45.011020000000002</v>
      </c>
      <c r="J4405">
        <v>-421.91140000000001</v>
      </c>
      <c r="K4405">
        <v>1.1074200000000001</v>
      </c>
      <c r="L4405">
        <v>45.533329999999999</v>
      </c>
      <c r="M4405">
        <v>5.9962639999999998E-2</v>
      </c>
      <c r="N4405">
        <v>0</v>
      </c>
      <c r="O4405">
        <v>-0.99810900000000002</v>
      </c>
      <c r="P4405">
        <v>0.3472981</v>
      </c>
      <c r="Q4405">
        <v>5.0786629999999999E-2</v>
      </c>
      <c r="R4405">
        <v>-0.93637879999999996</v>
      </c>
      <c r="S4405">
        <v>1.891418</v>
      </c>
      <c r="T4405">
        <v>-0.19400989999999901</v>
      </c>
      <c r="U4405">
        <v>-2.5186160000000002</v>
      </c>
      <c r="V4405">
        <v>-0.2908887</v>
      </c>
      <c r="W4405">
        <v>6.201131E-2</v>
      </c>
      <c r="X4405">
        <v>0.95474519999999996</v>
      </c>
      <c r="Y4405">
        <v>-0.55029969999999995</v>
      </c>
      <c r="Z4405">
        <v>6.2475599999999999E-2</v>
      </c>
      <c r="AA4405">
        <v>0.83262659999999999</v>
      </c>
      <c r="AB4405">
        <v>28</v>
      </c>
      <c r="AC4405">
        <v>0.57749999999998602</v>
      </c>
      <c r="AD4405">
        <v>-6.1334E-2</v>
      </c>
      <c r="AE4405">
        <v>-0.52230999999999705</v>
      </c>
      <c r="AF4405">
        <v>-0.54177727464456105</v>
      </c>
      <c r="AG4405">
        <v>-6.1334E-2</v>
      </c>
      <c r="AH4405">
        <v>0.55257316072201401</v>
      </c>
      <c r="AI4405">
        <v>94.531630261780506</v>
      </c>
      <c r="AJ4405">
        <v>134.43478923806899</v>
      </c>
      <c r="AK4405">
        <v>0.77628704280543404</v>
      </c>
    </row>
    <row r="4406" spans="1:37" x14ac:dyDescent="0.2">
      <c r="A4406" t="str">
        <f>"20200111153522833"</f>
        <v>20200111153522833</v>
      </c>
      <c r="B4406" t="str">
        <f>"1578728122830318"</f>
        <v>1578728122830318</v>
      </c>
      <c r="C4406" t="s">
        <v>37</v>
      </c>
      <c r="D4406">
        <v>4.5422449999999897</v>
      </c>
      <c r="E4406">
        <v>0.38311709999999999</v>
      </c>
      <c r="F4406" t="s">
        <v>40</v>
      </c>
      <c r="G4406">
        <v>-421.32499999999999</v>
      </c>
      <c r="H4406">
        <v>1.048028</v>
      </c>
      <c r="I4406">
        <v>44.76249</v>
      </c>
      <c r="J4406">
        <v>-421.89080000000001</v>
      </c>
      <c r="K4406">
        <v>1.1075839999999999</v>
      </c>
      <c r="L4406">
        <v>45.253479999999897</v>
      </c>
      <c r="M4406">
        <v>6.353876E-2</v>
      </c>
      <c r="N4406">
        <v>0</v>
      </c>
      <c r="O4406">
        <v>-0.99788759999999999</v>
      </c>
      <c r="P4406">
        <v>0.35431950000000001</v>
      </c>
      <c r="Q4406">
        <v>5.1748000000000002E-2</v>
      </c>
      <c r="R4406">
        <v>-0.93369179999999996</v>
      </c>
      <c r="S4406">
        <v>1.9079900000000001</v>
      </c>
      <c r="T4406">
        <v>-0.1931408</v>
      </c>
      <c r="U4406">
        <v>-2.506653</v>
      </c>
      <c r="V4406">
        <v>-0.29467179999999998</v>
      </c>
      <c r="W4406">
        <v>6.2825580000000006E-2</v>
      </c>
      <c r="X4406">
        <v>0.95353109999999996</v>
      </c>
      <c r="Y4406">
        <v>-0.55271819999999905</v>
      </c>
      <c r="Z4406">
        <v>6.2246259999999998E-2</v>
      </c>
      <c r="AA4406">
        <v>0.83104029999999995</v>
      </c>
      <c r="AB4406">
        <v>28</v>
      </c>
      <c r="AC4406">
        <v>0.56580000000002395</v>
      </c>
      <c r="AD4406">
        <v>-5.9556000000000102E-2</v>
      </c>
      <c r="AE4406">
        <v>-0.49098999999999599</v>
      </c>
      <c r="AF4406">
        <v>-0.53010637237723102</v>
      </c>
      <c r="AG4406">
        <v>-5.9556000000000102E-2</v>
      </c>
      <c r="AH4406">
        <v>0.52264797854890099</v>
      </c>
      <c r="AI4406">
        <v>94.574053276847394</v>
      </c>
      <c r="AJ4406">
        <v>135.40591362887699</v>
      </c>
      <c r="AK4406">
        <v>0.746806931309693</v>
      </c>
    </row>
    <row r="4407" spans="1:37" x14ac:dyDescent="0.2">
      <c r="A4407" t="str">
        <f>"20200111153522847"</f>
        <v>20200111153522847</v>
      </c>
      <c r="B4407" t="str">
        <f>"1578728122840078"</f>
        <v>1578728122840078</v>
      </c>
      <c r="C4407" t="s">
        <v>37</v>
      </c>
      <c r="D4407">
        <v>4.6544169999999996</v>
      </c>
      <c r="E4407">
        <v>0.38298389999999999</v>
      </c>
      <c r="F4407" t="s">
        <v>40</v>
      </c>
      <c r="G4407">
        <v>-421.3186</v>
      </c>
      <c r="H4407">
        <v>1.0495410000000001</v>
      </c>
      <c r="I4407">
        <v>44.513370000000002</v>
      </c>
      <c r="J4407">
        <v>-421.8766</v>
      </c>
      <c r="K4407">
        <v>1.1076999999999999</v>
      </c>
      <c r="L4407">
        <v>45.069459999999999</v>
      </c>
      <c r="M4407">
        <v>6.6025260000000002E-2</v>
      </c>
      <c r="N4407">
        <v>0</v>
      </c>
      <c r="O4407">
        <v>-0.99772609999999995</v>
      </c>
      <c r="P4407">
        <v>0.35839779999999999</v>
      </c>
      <c r="Q4407">
        <v>5.2456450000000002E-2</v>
      </c>
      <c r="R4407">
        <v>-0.93209399999999998</v>
      </c>
      <c r="S4407">
        <v>1.926758</v>
      </c>
      <c r="T4407">
        <v>-0.19548299999999999</v>
      </c>
      <c r="U4407">
        <v>-2.4927060000000001</v>
      </c>
      <c r="V4407">
        <v>-0.29648940000000001</v>
      </c>
      <c r="W4407">
        <v>6.3438530000000007E-2</v>
      </c>
      <c r="X4407">
        <v>0.95292690000000002</v>
      </c>
      <c r="Y4407">
        <v>-0.55677430000000006</v>
      </c>
      <c r="Z4407">
        <v>6.3038590000000005E-2</v>
      </c>
      <c r="AA4407">
        <v>0.82826840000000002</v>
      </c>
      <c r="AB4407">
        <v>28</v>
      </c>
      <c r="AC4407">
        <v>0.55799999999999195</v>
      </c>
      <c r="AD4407">
        <v>-5.8158999999999801E-2</v>
      </c>
      <c r="AE4407">
        <v>-0.55608999999999698</v>
      </c>
      <c r="AF4407">
        <v>-0.51724369761544797</v>
      </c>
      <c r="AG4407">
        <v>-5.8158999999999801E-2</v>
      </c>
      <c r="AH4407">
        <v>0.58851424302257305</v>
      </c>
      <c r="AI4407">
        <v>94.245203586750094</v>
      </c>
      <c r="AJ4407">
        <v>131.31215781160699</v>
      </c>
      <c r="AK4407">
        <v>0.78566693085832096</v>
      </c>
    </row>
    <row r="4408" spans="1:37" x14ac:dyDescent="0.2">
      <c r="A4408" t="str">
        <f>"20200111153522863"</f>
        <v>20200111153522863</v>
      </c>
      <c r="B4408" t="str">
        <f>"1578728122860575"</f>
        <v>1578728122860575</v>
      </c>
      <c r="C4408" t="s">
        <v>37</v>
      </c>
      <c r="D4408">
        <v>4.675808</v>
      </c>
      <c r="E4408">
        <v>0.3830344</v>
      </c>
      <c r="F4408" t="s">
        <v>40</v>
      </c>
      <c r="G4408">
        <v>-421.25990000000002</v>
      </c>
      <c r="H4408">
        <v>1.0465329999999999</v>
      </c>
      <c r="I4408">
        <v>44.279269999999997</v>
      </c>
      <c r="J4408">
        <v>-421.86130000000003</v>
      </c>
      <c r="K4408">
        <v>1.1078250000000001</v>
      </c>
      <c r="L4408">
        <v>44.8797</v>
      </c>
      <c r="M4408">
        <v>6.869024E-2</v>
      </c>
      <c r="N4408">
        <v>0</v>
      </c>
      <c r="O4408">
        <v>-0.99754599999999904</v>
      </c>
      <c r="P4408">
        <v>0.36230059999999997</v>
      </c>
      <c r="Q4408">
        <v>5.3124999999999999E-2</v>
      </c>
      <c r="R4408">
        <v>-0.93054619999999999</v>
      </c>
      <c r="S4408">
        <v>1.93911699999999</v>
      </c>
      <c r="T4408">
        <v>-0.19226260000000001</v>
      </c>
      <c r="U4408">
        <v>-2.483765</v>
      </c>
      <c r="V4408">
        <v>-0.29796400000000001</v>
      </c>
      <c r="W4408">
        <v>6.4009090000000005E-2</v>
      </c>
      <c r="X4408">
        <v>0.95242859999999996</v>
      </c>
      <c r="Y4408">
        <v>-0.55860259999999995</v>
      </c>
      <c r="Z4408">
        <v>6.203724E-2</v>
      </c>
      <c r="AA4408">
        <v>0.82711209999999902</v>
      </c>
      <c r="AB4408">
        <v>28</v>
      </c>
      <c r="AC4408">
        <v>0.60140000000001204</v>
      </c>
      <c r="AD4408">
        <v>-6.1292000000000103E-2</v>
      </c>
      <c r="AE4408">
        <v>-0.60042999999999502</v>
      </c>
      <c r="AF4408">
        <v>-0.55584043102334801</v>
      </c>
      <c r="AG4408">
        <v>-6.1292000000000103E-2</v>
      </c>
      <c r="AH4408">
        <v>0.63701205817397799</v>
      </c>
      <c r="AI4408">
        <v>94.146601738802602</v>
      </c>
      <c r="AJ4408">
        <v>131.10711889515099</v>
      </c>
      <c r="AK4408">
        <v>0.84764359036287695</v>
      </c>
    </row>
    <row r="4409" spans="1:37" x14ac:dyDescent="0.2">
      <c r="A4409" t="str">
        <f>"20200111153522877"</f>
        <v>20200111153522877</v>
      </c>
      <c r="B4409" t="str">
        <f>"1578728122870333"</f>
        <v>1578728122870333</v>
      </c>
      <c r="C4409" t="s">
        <v>37</v>
      </c>
      <c r="D4409">
        <v>4.6988539999999999</v>
      </c>
      <c r="E4409">
        <v>0.38300830000000002</v>
      </c>
      <c r="F4409" t="s">
        <v>40</v>
      </c>
      <c r="G4409">
        <v>-421.20389999999998</v>
      </c>
      <c r="H4409">
        <v>1.0439149999999999</v>
      </c>
      <c r="I4409">
        <v>44.044879999999999</v>
      </c>
      <c r="J4409">
        <v>-421.84620000000001</v>
      </c>
      <c r="K4409">
        <v>1.107952</v>
      </c>
      <c r="L4409">
        <v>44.698459999999997</v>
      </c>
      <c r="M4409">
        <v>7.134037E-2</v>
      </c>
      <c r="N4409">
        <v>0</v>
      </c>
      <c r="O4409">
        <v>-0.99735989999999997</v>
      </c>
      <c r="P4409">
        <v>0.36634309999999998</v>
      </c>
      <c r="Q4409">
        <v>5.3802080000000002E-2</v>
      </c>
      <c r="R4409">
        <v>-0.92892339999999995</v>
      </c>
      <c r="S4409">
        <v>1.94995099999999</v>
      </c>
      <c r="T4409">
        <v>-0.18952179999999999</v>
      </c>
      <c r="U4409">
        <v>-2.4755859999999998</v>
      </c>
      <c r="V4409">
        <v>-0.29960140000000002</v>
      </c>
      <c r="W4409">
        <v>6.4586299999999999E-2</v>
      </c>
      <c r="X4409">
        <v>0.95187579999999905</v>
      </c>
      <c r="Y4409">
        <v>-0.55999480000000001</v>
      </c>
      <c r="Z4409">
        <v>6.119264E-2</v>
      </c>
      <c r="AA4409">
        <v>0.8262332</v>
      </c>
      <c r="AB4409">
        <v>28</v>
      </c>
      <c r="AC4409">
        <v>0.64230000000003395</v>
      </c>
      <c r="AD4409">
        <v>-6.4037000000000094E-2</v>
      </c>
      <c r="AE4409">
        <v>-0.65357999999999705</v>
      </c>
      <c r="AF4409">
        <v>-0.59114536634710901</v>
      </c>
      <c r="AG4409">
        <v>-6.4037000000000094E-2</v>
      </c>
      <c r="AH4409">
        <v>0.69434967870195896</v>
      </c>
      <c r="AI4409">
        <v>94.016897209911306</v>
      </c>
      <c r="AJ4409">
        <v>130.40992704991501</v>
      </c>
      <c r="AK4409">
        <v>0.914152644713219</v>
      </c>
    </row>
    <row r="4410" spans="1:37" x14ac:dyDescent="0.2">
      <c r="A4410" t="str">
        <f>"20200111153522890"</f>
        <v>20200111153522890</v>
      </c>
      <c r="B4410" t="str">
        <f>"1578728122880093"</f>
        <v>1578728122880093</v>
      </c>
      <c r="C4410" t="s">
        <v>37</v>
      </c>
      <c r="D4410">
        <v>4.6973640000000003</v>
      </c>
      <c r="E4410">
        <v>0.38308170000000002</v>
      </c>
      <c r="F4410" t="s">
        <v>40</v>
      </c>
      <c r="G4410">
        <v>-421.30369999999999</v>
      </c>
      <c r="H4410">
        <v>1.056311</v>
      </c>
      <c r="I4410">
        <v>44.01587</v>
      </c>
      <c r="J4410">
        <v>-421.8329</v>
      </c>
      <c r="K4410">
        <v>1.1080570000000001</v>
      </c>
      <c r="L4410">
        <v>44.547609999999999</v>
      </c>
      <c r="M4410">
        <v>7.3661770000000001E-2</v>
      </c>
      <c r="N4410">
        <v>0</v>
      </c>
      <c r="O4410">
        <v>-0.99719089999999999</v>
      </c>
      <c r="P4410">
        <v>0.37149529999999997</v>
      </c>
      <c r="Q4410">
        <v>5.4717080000000001E-2</v>
      </c>
      <c r="R4410">
        <v>-0.9268208</v>
      </c>
      <c r="S4410">
        <v>1.9611209999999999</v>
      </c>
      <c r="T4410">
        <v>-0.1866391</v>
      </c>
      <c r="U4410">
        <v>-2.4669490000000001</v>
      </c>
      <c r="V4410">
        <v>-0.30269839999999998</v>
      </c>
      <c r="W4410">
        <v>6.5398070000000003E-2</v>
      </c>
      <c r="X4410">
        <v>0.95084009999999997</v>
      </c>
      <c r="Y4410">
        <v>-0.56180209999999997</v>
      </c>
      <c r="Z4410">
        <v>6.0299440000000003E-2</v>
      </c>
      <c r="AA4410">
        <v>0.8250712</v>
      </c>
      <c r="AB4410">
        <v>28</v>
      </c>
      <c r="AC4410">
        <v>0.529200000000003</v>
      </c>
      <c r="AD4410">
        <v>-5.1746E-2</v>
      </c>
      <c r="AE4410">
        <v>-0.53173999999999899</v>
      </c>
      <c r="AF4410">
        <v>-0.48627596093483499</v>
      </c>
      <c r="AG4410">
        <v>-5.1746E-2</v>
      </c>
      <c r="AH4410">
        <v>0.56658489031030701</v>
      </c>
      <c r="AI4410">
        <v>93.964512784488903</v>
      </c>
      <c r="AJ4410">
        <v>130.63810364342601</v>
      </c>
      <c r="AK4410">
        <v>0.74843863918630005</v>
      </c>
    </row>
    <row r="4411" spans="1:37" x14ac:dyDescent="0.2">
      <c r="A4411" t="str">
        <f>"20200111153522905"</f>
        <v>20200111153522905</v>
      </c>
      <c r="B4411" t="str">
        <f>"1578728122900590"</f>
        <v>1578728122900590</v>
      </c>
      <c r="C4411" t="s">
        <v>37</v>
      </c>
      <c r="D4411">
        <v>4.7248380000000001</v>
      </c>
      <c r="E4411">
        <v>0.38317109999999999</v>
      </c>
      <c r="F4411" t="s">
        <v>40</v>
      </c>
      <c r="G4411">
        <v>-421.22309999999999</v>
      </c>
      <c r="H4411">
        <v>1.0515760000000001</v>
      </c>
      <c r="I4411">
        <v>43.788730000000001</v>
      </c>
      <c r="J4411">
        <v>-421.8168</v>
      </c>
      <c r="K4411">
        <v>1.1081809999999901</v>
      </c>
      <c r="L4411">
        <v>44.368290000000002</v>
      </c>
      <c r="M4411">
        <v>7.6500509999999994E-2</v>
      </c>
      <c r="N4411">
        <v>0</v>
      </c>
      <c r="O4411">
        <v>-0.99697709999999995</v>
      </c>
      <c r="P4411">
        <v>0.37527939999999999</v>
      </c>
      <c r="Q4411">
        <v>5.5190169999999997E-2</v>
      </c>
      <c r="R4411">
        <v>-0.92526719999999896</v>
      </c>
      <c r="S4411">
        <v>1.9747619999999999</v>
      </c>
      <c r="T4411">
        <v>-0.18280850000000001</v>
      </c>
      <c r="U4411">
        <v>-2.4561160000000002</v>
      </c>
      <c r="V4411">
        <v>-0.30390259999999902</v>
      </c>
      <c r="W4411">
        <v>6.5773479999999995E-2</v>
      </c>
      <c r="X4411">
        <v>0.950429999999999</v>
      </c>
      <c r="Y4411">
        <v>-0.5640522</v>
      </c>
      <c r="Z4411">
        <v>5.9109750000000003E-2</v>
      </c>
      <c r="AA4411">
        <v>0.82362069999999998</v>
      </c>
      <c r="AB4411">
        <v>28</v>
      </c>
      <c r="AC4411">
        <v>0.593700000000012</v>
      </c>
      <c r="AD4411">
        <v>-5.6604999999999697E-2</v>
      </c>
      <c r="AE4411">
        <v>-0.57955999999999996</v>
      </c>
      <c r="AF4411">
        <v>-0.54508197209578502</v>
      </c>
      <c r="AG4411">
        <v>-5.6604999999999697E-2</v>
      </c>
      <c r="AH4411">
        <v>0.62039611662687899</v>
      </c>
      <c r="AI4411">
        <v>93.921070832297801</v>
      </c>
      <c r="AJ4411">
        <v>131.30264082400001</v>
      </c>
      <c r="AK4411">
        <v>0.82777401738309198</v>
      </c>
    </row>
    <row r="4412" spans="1:37" x14ac:dyDescent="0.2">
      <c r="A4412" t="str">
        <f>"20200111153522922"</f>
        <v>20200111153522922</v>
      </c>
      <c r="B4412" t="str">
        <f>"1578728122910349"</f>
        <v>1578728122910349</v>
      </c>
      <c r="C4412" t="s">
        <v>37</v>
      </c>
      <c r="D4412">
        <v>4.7144890000000004</v>
      </c>
      <c r="E4412">
        <v>0.38323109999999999</v>
      </c>
      <c r="F4412" t="s">
        <v>40</v>
      </c>
      <c r="G4412">
        <v>-421.1592</v>
      </c>
      <c r="H4412">
        <v>1.048225</v>
      </c>
      <c r="I4412">
        <v>43.557270000000003</v>
      </c>
      <c r="J4412">
        <v>-421.79730000000001</v>
      </c>
      <c r="K4412">
        <v>1.10833</v>
      </c>
      <c r="L4412">
        <v>44.160159999999998</v>
      </c>
      <c r="M4412">
        <v>7.9943689999999998E-2</v>
      </c>
      <c r="N4412">
        <v>0</v>
      </c>
      <c r="O4412">
        <v>-0.99670700000000001</v>
      </c>
      <c r="P4412">
        <v>0.38022659999999903</v>
      </c>
      <c r="Q4412">
        <v>5.5977409999999998E-2</v>
      </c>
      <c r="R4412">
        <v>-0.92319799999999996</v>
      </c>
      <c r="S4412">
        <v>1.9845889999999999</v>
      </c>
      <c r="T4412">
        <v>-0.18098880000000001</v>
      </c>
      <c r="U4412">
        <v>-2.44815099999999</v>
      </c>
      <c r="V4412">
        <v>-0.305741599999999</v>
      </c>
      <c r="W4412">
        <v>6.6438650000000002E-2</v>
      </c>
      <c r="X4412">
        <v>0.94979360000000002</v>
      </c>
      <c r="Y4412">
        <v>-0.56452849999999999</v>
      </c>
      <c r="Z4412">
        <v>5.8570810000000001E-2</v>
      </c>
      <c r="AA4412">
        <v>0.82333289999999903</v>
      </c>
      <c r="AB4412">
        <v>28</v>
      </c>
      <c r="AC4412">
        <v>0.63810000000000799</v>
      </c>
      <c r="AD4412">
        <v>-6.0104999999999999E-2</v>
      </c>
      <c r="AE4412">
        <v>-0.60288999999999504</v>
      </c>
      <c r="AF4412">
        <v>-0.58511275154465903</v>
      </c>
      <c r="AG4412">
        <v>-6.0104999999999999E-2</v>
      </c>
      <c r="AH4412">
        <v>0.64893474053062705</v>
      </c>
      <c r="AI4412">
        <v>93.935072405812093</v>
      </c>
      <c r="AJ4412">
        <v>132.03943679505099</v>
      </c>
      <c r="AK4412">
        <v>0.87583436819567395</v>
      </c>
    </row>
    <row r="4413" spans="1:37" x14ac:dyDescent="0.2">
      <c r="A4413" t="str">
        <f>"20200111153522937"</f>
        <v>20200111153522937</v>
      </c>
      <c r="B4413" t="str">
        <f>"1578728122930846"</f>
        <v>1578728122930846</v>
      </c>
      <c r="C4413" t="s">
        <v>37</v>
      </c>
      <c r="D4413">
        <v>4.715687</v>
      </c>
      <c r="E4413">
        <v>0.383407</v>
      </c>
      <c r="F4413" t="s">
        <v>65</v>
      </c>
      <c r="G4413">
        <v>-409.33640000000003</v>
      </c>
      <c r="H4413" s="1">
        <v>-3.2917799999999998E-6</v>
      </c>
      <c r="I4413">
        <v>28.954989999999999</v>
      </c>
      <c r="J4413">
        <v>-421.77789999999999</v>
      </c>
      <c r="K4413">
        <v>1.108473</v>
      </c>
      <c r="L4413">
        <v>43.961880000000001</v>
      </c>
      <c r="M4413">
        <v>8.3370280000000005E-2</v>
      </c>
      <c r="N4413">
        <v>0</v>
      </c>
      <c r="O4413">
        <v>-0.99642600000000003</v>
      </c>
      <c r="P4413">
        <v>0.38389329999999999</v>
      </c>
      <c r="Q4413">
        <v>5.6356209999999997E-2</v>
      </c>
      <c r="R4413">
        <v>-0.92165609999999998</v>
      </c>
      <c r="S4413">
        <v>1.9976499999999999</v>
      </c>
      <c r="T4413">
        <v>-0.17768049999999999</v>
      </c>
      <c r="U4413">
        <v>-2.437592</v>
      </c>
      <c r="V4413">
        <v>-0.30627979999999999</v>
      </c>
      <c r="W4413">
        <v>6.6715060000000007E-2</v>
      </c>
      <c r="X4413">
        <v>0.94960089999999997</v>
      </c>
      <c r="Y4413">
        <v>-0.56611709999999904</v>
      </c>
      <c r="Z4413">
        <v>5.755122E-2</v>
      </c>
      <c r="AA4413">
        <v>0.82231339999999997</v>
      </c>
      <c r="AB4413">
        <v>28</v>
      </c>
      <c r="AC4413">
        <v>12.4414999999999</v>
      </c>
      <c r="AD4413">
        <v>-1.10847629178</v>
      </c>
      <c r="AE4413">
        <v>-15.00689</v>
      </c>
      <c r="AF4413">
        <v>-11.111007134747499</v>
      </c>
      <c r="AG4413">
        <v>-1.10847629178</v>
      </c>
      <c r="AH4413">
        <v>15.940439729905099</v>
      </c>
      <c r="AI4413">
        <v>93.265052223563004</v>
      </c>
      <c r="AJ4413">
        <v>124.877756391156</v>
      </c>
      <c r="AK4413">
        <v>19.462292208796701</v>
      </c>
    </row>
    <row r="4414" spans="1:37" x14ac:dyDescent="0.2">
      <c r="A4414" t="str">
        <f>"20200111153522952"</f>
        <v>20200111153522952</v>
      </c>
      <c r="B4414" t="str">
        <f>"1578728122940606"</f>
        <v>1578728122940606</v>
      </c>
      <c r="C4414" t="s">
        <v>37</v>
      </c>
      <c r="D4414">
        <v>4.7018050000000002</v>
      </c>
      <c r="E4414">
        <v>0.38345240000000003</v>
      </c>
      <c r="F4414" t="s">
        <v>40</v>
      </c>
      <c r="G4414">
        <v>-421.2217</v>
      </c>
      <c r="H4414">
        <v>1.059315</v>
      </c>
      <c r="I4414">
        <v>43.287990000000001</v>
      </c>
      <c r="J4414">
        <v>-421.76069999999999</v>
      </c>
      <c r="K4414">
        <v>1.1085929999999999</v>
      </c>
      <c r="L4414">
        <v>43.794490000000003</v>
      </c>
      <c r="M4414">
        <v>8.6400480000000002E-2</v>
      </c>
      <c r="N4414">
        <v>0</v>
      </c>
      <c r="O4414">
        <v>-0.99616769999999999</v>
      </c>
      <c r="P4414">
        <v>0.38749499999999998</v>
      </c>
      <c r="Q4414">
        <v>5.6775230000000003E-2</v>
      </c>
      <c r="R4414">
        <v>-0.92012209999999905</v>
      </c>
      <c r="S4414">
        <v>2.006348</v>
      </c>
      <c r="T4414">
        <v>-0.1772735</v>
      </c>
      <c r="U4414">
        <v>-2.430145</v>
      </c>
      <c r="V4414">
        <v>-0.3071315</v>
      </c>
      <c r="W4414">
        <v>6.7043359999999996E-2</v>
      </c>
      <c r="X4414">
        <v>0.9493026</v>
      </c>
      <c r="Y4414">
        <v>-0.56660239999999995</v>
      </c>
      <c r="Z4414">
        <v>5.7463880000000002E-2</v>
      </c>
      <c r="AA4414">
        <v>0.82198519999999897</v>
      </c>
      <c r="AB4414">
        <v>28</v>
      </c>
      <c r="AC4414">
        <v>0.53899999999998705</v>
      </c>
      <c r="AD4414">
        <v>-4.9277999999999898E-2</v>
      </c>
      <c r="AE4414">
        <v>-0.50650000000000195</v>
      </c>
      <c r="AF4414">
        <v>-0.49103850313354902</v>
      </c>
      <c r="AG4414">
        <v>-4.9277999999999898E-2</v>
      </c>
      <c r="AH4414">
        <v>0.54874396786535895</v>
      </c>
      <c r="AI4414">
        <v>93.828541681670899</v>
      </c>
      <c r="AJ4414">
        <v>131.82347846558901</v>
      </c>
      <c r="AK4414">
        <v>0.73801563337930398</v>
      </c>
    </row>
    <row r="4415" spans="1:37" x14ac:dyDescent="0.2">
      <c r="A4415" t="str">
        <f>"20200111153522965"</f>
        <v>20200111153522965</v>
      </c>
      <c r="B4415" t="str">
        <f>"1578728122960127"</f>
        <v>1578728122960127</v>
      </c>
      <c r="C4415" t="s">
        <v>37</v>
      </c>
      <c r="D4415">
        <v>4.6703989999999997</v>
      </c>
      <c r="E4415">
        <v>0.38352389999999997</v>
      </c>
      <c r="F4415" t="s">
        <v>40</v>
      </c>
      <c r="G4415">
        <v>-421.14920000000001</v>
      </c>
      <c r="H4415">
        <v>1.0553410000000001</v>
      </c>
      <c r="I4415">
        <v>43.059640000000002</v>
      </c>
      <c r="J4415">
        <v>-421.74259999999998</v>
      </c>
      <c r="K4415">
        <v>1.108719</v>
      </c>
      <c r="L4415">
        <v>43.62283</v>
      </c>
      <c r="M4415">
        <v>8.9604059999999999E-2</v>
      </c>
      <c r="N4415">
        <v>0</v>
      </c>
      <c r="O4415">
        <v>-0.9958844</v>
      </c>
      <c r="P4415">
        <v>0.39128039999999997</v>
      </c>
      <c r="Q4415">
        <v>5.6988039999999997E-2</v>
      </c>
      <c r="R4415">
        <v>-0.91850529999999997</v>
      </c>
      <c r="S4415">
        <v>2.015533</v>
      </c>
      <c r="T4415">
        <v>-0.1755475</v>
      </c>
      <c r="U4415">
        <v>-2.4224549999999998</v>
      </c>
      <c r="V4415">
        <v>-0.30801109999999998</v>
      </c>
      <c r="W4415">
        <v>6.7159440000000001E-2</v>
      </c>
      <c r="X4415">
        <v>0.9490094</v>
      </c>
      <c r="Y4415">
        <v>-0.56709799999999999</v>
      </c>
      <c r="Z4415">
        <v>5.6948489999999997E-2</v>
      </c>
      <c r="AA4415">
        <v>0.82167919999999905</v>
      </c>
      <c r="AB4415">
        <v>28</v>
      </c>
      <c r="AC4415">
        <v>0.59339999999997395</v>
      </c>
      <c r="AD4415">
        <v>-5.3377999999999898E-2</v>
      </c>
      <c r="AE4415">
        <v>-0.56318999999999797</v>
      </c>
      <c r="AF4415">
        <v>-0.53825247713636803</v>
      </c>
      <c r="AG4415">
        <v>-5.3377999999999898E-2</v>
      </c>
      <c r="AH4415">
        <v>0.61149698828250099</v>
      </c>
      <c r="AI4415">
        <v>93.748839817964395</v>
      </c>
      <c r="AJ4415">
        <v>131.35491187112501</v>
      </c>
      <c r="AK4415">
        <v>0.81639053565435504</v>
      </c>
    </row>
    <row r="4416" spans="1:37" x14ac:dyDescent="0.2">
      <c r="A4416" t="str">
        <f>"20200111153522978"</f>
        <v>20200111153522978</v>
      </c>
      <c r="B4416" t="str">
        <f>"1578728122969886"</f>
        <v>1578728122969886</v>
      </c>
      <c r="C4416" t="s">
        <v>37</v>
      </c>
      <c r="D4416">
        <v>4.7173860000000003</v>
      </c>
      <c r="E4416">
        <v>0.38355129999999998</v>
      </c>
      <c r="F4416" t="s">
        <v>40</v>
      </c>
      <c r="G4416">
        <v>-421.07889999999998</v>
      </c>
      <c r="H4416">
        <v>1.051226</v>
      </c>
      <c r="I4416">
        <v>42.831229999999998</v>
      </c>
      <c r="J4416">
        <v>-421.72559999999999</v>
      </c>
      <c r="K4416">
        <v>1.1088340000000001</v>
      </c>
      <c r="L4416">
        <v>43.466059999999999</v>
      </c>
      <c r="M4416">
        <v>9.2610109999999995E-2</v>
      </c>
      <c r="N4416">
        <v>0</v>
      </c>
      <c r="O4416">
        <v>-0.99560930000000003</v>
      </c>
      <c r="P4416">
        <v>0.39552619999999999</v>
      </c>
      <c r="Q4416">
        <v>5.7503579999999999E-2</v>
      </c>
      <c r="R4416">
        <v>-0.91665269999999999</v>
      </c>
      <c r="S4416">
        <v>2.0251160000000001</v>
      </c>
      <c r="T4416">
        <v>-0.1753565</v>
      </c>
      <c r="U4416">
        <v>-2.4143680000000001</v>
      </c>
      <c r="V4416">
        <v>-0.30956549999999999</v>
      </c>
      <c r="W4416">
        <v>6.7572859999999998E-2</v>
      </c>
      <c r="X4416">
        <v>0.94847409999999999</v>
      </c>
      <c r="Y4416">
        <v>-0.56788380000000005</v>
      </c>
      <c r="Z4416">
        <v>5.69273E-2</v>
      </c>
      <c r="AA4416">
        <v>0.82113780000000003</v>
      </c>
      <c r="AB4416">
        <v>28</v>
      </c>
      <c r="AC4416">
        <v>0.64670000000000905</v>
      </c>
      <c r="AD4416">
        <v>-5.7608000000000097E-2</v>
      </c>
      <c r="AE4416">
        <v>-0.63483000000000001</v>
      </c>
      <c r="AF4416">
        <v>-0.58276809716040301</v>
      </c>
      <c r="AG4416">
        <v>-5.7608000000000097E-2</v>
      </c>
      <c r="AH4416">
        <v>0.68921260746798396</v>
      </c>
      <c r="AI4416">
        <v>93.652042374082995</v>
      </c>
      <c r="AJ4416">
        <v>130.21640228741899</v>
      </c>
      <c r="AK4416">
        <v>0.90440663145776101</v>
      </c>
    </row>
    <row r="4417" spans="1:37" x14ac:dyDescent="0.2">
      <c r="A4417" t="str">
        <f>"20200111153523001"</f>
        <v>20200111153523001</v>
      </c>
      <c r="B4417" t="str">
        <f>"1578728122990381"</f>
        <v>1578728122990381</v>
      </c>
      <c r="C4417" t="s">
        <v>37</v>
      </c>
      <c r="D4417">
        <v>4.6999120000000003</v>
      </c>
      <c r="E4417">
        <v>0.38368259999999899</v>
      </c>
      <c r="F4417" t="s">
        <v>40</v>
      </c>
      <c r="G4417">
        <v>-421.16539999999998</v>
      </c>
      <c r="H4417">
        <v>1.0608359999999999</v>
      </c>
      <c r="I4417">
        <v>42.804099999999998</v>
      </c>
      <c r="J4417">
        <v>-421.69560000000001</v>
      </c>
      <c r="K4417">
        <v>1.1090519999999999</v>
      </c>
      <c r="L4417">
        <v>43.20514</v>
      </c>
      <c r="M4417">
        <v>9.7897369999999997E-2</v>
      </c>
      <c r="N4417">
        <v>0</v>
      </c>
      <c r="O4417">
        <v>-0.99510309999999902</v>
      </c>
      <c r="P4417">
        <v>0.40150140000000001</v>
      </c>
      <c r="Q4417">
        <v>5.7919739999999997E-2</v>
      </c>
      <c r="R4417">
        <v>-0.91402519999999998</v>
      </c>
      <c r="S4417">
        <v>2.0360719999999999</v>
      </c>
      <c r="T4417">
        <v>-0.17439979999999999</v>
      </c>
      <c r="U4417">
        <v>-2.405151</v>
      </c>
      <c r="V4417">
        <v>-0.3107606</v>
      </c>
      <c r="W4417">
        <v>6.7831199999999994E-2</v>
      </c>
      <c r="X4417">
        <v>0.94806469999999898</v>
      </c>
      <c r="Y4417">
        <v>-0.56725499999999995</v>
      </c>
      <c r="Z4417">
        <v>5.667838E-2</v>
      </c>
      <c r="AA4417">
        <v>0.82158949999999997</v>
      </c>
      <c r="AB4417">
        <v>28</v>
      </c>
      <c r="AC4417">
        <v>0.53020000000003598</v>
      </c>
      <c r="AD4417">
        <v>-4.8216000000000002E-2</v>
      </c>
      <c r="AE4417">
        <v>-0.40104000000000101</v>
      </c>
      <c r="AF4417">
        <v>-0.48583266020562499</v>
      </c>
      <c r="AG4417">
        <v>-4.8216000000000002E-2</v>
      </c>
      <c r="AH4417">
        <v>0.44866314132881902</v>
      </c>
      <c r="AI4417">
        <v>94.1700418190851</v>
      </c>
      <c r="AJ4417">
        <v>137.27773580985101</v>
      </c>
      <c r="AK4417">
        <v>0.663066188826967</v>
      </c>
    </row>
    <row r="4418" spans="1:37" x14ac:dyDescent="0.2">
      <c r="A4418" t="str">
        <f>"20200111153523014"</f>
        <v>20200111153523014</v>
      </c>
      <c r="B4418" t="str">
        <f>"1578728123009902"</f>
        <v>1578728123009902</v>
      </c>
      <c r="C4418" t="s">
        <v>37</v>
      </c>
      <c r="D4418">
        <v>4.6693230000000003</v>
      </c>
      <c r="E4418">
        <v>0.38370149999999997</v>
      </c>
      <c r="F4418" t="s">
        <v>65</v>
      </c>
      <c r="G4418">
        <v>-408.60610000000003</v>
      </c>
      <c r="H4418" s="1">
        <v>-3.4775589999999999E-6</v>
      </c>
      <c r="I4418">
        <v>27.9343099999999</v>
      </c>
      <c r="J4418">
        <v>-421.67320000000001</v>
      </c>
      <c r="K4418">
        <v>1.1092150000000001</v>
      </c>
      <c r="L4418">
        <v>43.019009999999902</v>
      </c>
      <c r="M4418">
        <v>0.10185950000000001</v>
      </c>
      <c r="N4418">
        <v>0</v>
      </c>
      <c r="O4418">
        <v>-0.99470499999999995</v>
      </c>
      <c r="P4418">
        <v>0.4056824</v>
      </c>
      <c r="Q4418">
        <v>5.8668449999999997E-2</v>
      </c>
      <c r="R4418">
        <v>-0.91212919999999997</v>
      </c>
      <c r="S4418">
        <v>2.050659</v>
      </c>
      <c r="T4418">
        <v>-0.1737496</v>
      </c>
      <c r="U4418">
        <v>-2.392395</v>
      </c>
      <c r="V4418">
        <v>-0.31136540000000001</v>
      </c>
      <c r="W4418">
        <v>6.8465819999999997E-2</v>
      </c>
      <c r="X4418">
        <v>0.94782069999999996</v>
      </c>
      <c r="Y4418">
        <v>-0.5690347</v>
      </c>
      <c r="Z4418">
        <v>5.6524949999999997E-2</v>
      </c>
      <c r="AA4418">
        <v>0.82036849999999994</v>
      </c>
      <c r="AB4418">
        <v>28</v>
      </c>
      <c r="AC4418">
        <v>13.0670999999999</v>
      </c>
      <c r="AD4418">
        <v>-1.1092184775589999</v>
      </c>
      <c r="AE4418">
        <v>-15.0846999999999</v>
      </c>
      <c r="AF4418">
        <v>-11.4271600088121</v>
      </c>
      <c r="AG4418">
        <v>-1.1092184775589999</v>
      </c>
      <c r="AH4418">
        <v>16.2870474495158</v>
      </c>
      <c r="AI4418">
        <v>93.190995597913798</v>
      </c>
      <c r="AJ4418">
        <v>125.053894543946</v>
      </c>
      <c r="AK4418">
        <v>19.926822780381499</v>
      </c>
    </row>
    <row r="4419" spans="1:37" x14ac:dyDescent="0.2">
      <c r="A4419" t="str">
        <f>"20200111153523028"</f>
        <v>20200111153523028</v>
      </c>
      <c r="B4419" t="str">
        <f>"1578728123020637"</f>
        <v>1578728123020637</v>
      </c>
      <c r="C4419" t="s">
        <v>37</v>
      </c>
      <c r="D4419">
        <v>4.6718950000000001</v>
      </c>
      <c r="E4419">
        <v>0.3837083</v>
      </c>
      <c r="F4419" t="s">
        <v>40</v>
      </c>
      <c r="G4419">
        <v>-421.07799999999997</v>
      </c>
      <c r="H4419">
        <v>1.05942</v>
      </c>
      <c r="I4419">
        <v>42.330919999999999</v>
      </c>
      <c r="J4419">
        <v>-421.65289999999999</v>
      </c>
      <c r="K4419">
        <v>1.1093519999999999</v>
      </c>
      <c r="L4419">
        <v>42.85727</v>
      </c>
      <c r="M4419">
        <v>0.1054127</v>
      </c>
      <c r="N4419">
        <v>0</v>
      </c>
      <c r="O4419">
        <v>-0.99433459999999996</v>
      </c>
      <c r="P4419">
        <v>0.40955970000000003</v>
      </c>
      <c r="Q4419">
        <v>5.9698550000000003E-2</v>
      </c>
      <c r="R4419">
        <v>-0.91032809999999897</v>
      </c>
      <c r="S4419">
        <v>2.061401</v>
      </c>
      <c r="T4419">
        <v>-0.1724687</v>
      </c>
      <c r="U4419">
        <v>-2.38327</v>
      </c>
      <c r="V4419">
        <v>-0.312052</v>
      </c>
      <c r="W4419">
        <v>6.9397719999999996E-2</v>
      </c>
      <c r="X4419">
        <v>0.94752709999999996</v>
      </c>
      <c r="Y4419">
        <v>-0.56978219999999902</v>
      </c>
      <c r="Z4419">
        <v>5.6151159999999999E-2</v>
      </c>
      <c r="AA4419">
        <v>0.81987520000000003</v>
      </c>
      <c r="AB4419">
        <v>28</v>
      </c>
      <c r="AC4419">
        <v>0.574899999999956</v>
      </c>
      <c r="AD4419">
        <v>-4.9931999999999997E-2</v>
      </c>
      <c r="AE4419">
        <v>-0.52634999999999998</v>
      </c>
      <c r="AF4419">
        <v>-0.51409753149248205</v>
      </c>
      <c r="AG4419">
        <v>-4.9931999999999997E-2</v>
      </c>
      <c r="AH4419">
        <v>0.58163749721994495</v>
      </c>
      <c r="AI4419">
        <v>93.680354957817997</v>
      </c>
      <c r="AJ4419">
        <v>131.47281034226901</v>
      </c>
      <c r="AK4419">
        <v>0.77787637493559703</v>
      </c>
    </row>
    <row r="4420" spans="1:37" x14ac:dyDescent="0.2">
      <c r="A4420" t="str">
        <f>"20200111153523046"</f>
        <v>20200111153523046</v>
      </c>
      <c r="B4420" t="str">
        <f>"1578728123040157"</f>
        <v>1578728123040157</v>
      </c>
      <c r="C4420" t="s">
        <v>37</v>
      </c>
      <c r="D4420">
        <v>4.6628369999999997</v>
      </c>
      <c r="E4420">
        <v>0.38372489999999998</v>
      </c>
      <c r="F4420" t="s">
        <v>40</v>
      </c>
      <c r="G4420">
        <v>-420.9982</v>
      </c>
      <c r="H4420">
        <v>1.055636</v>
      </c>
      <c r="I4420">
        <v>42.106670000000001</v>
      </c>
      <c r="J4420">
        <v>-421.62709999999998</v>
      </c>
      <c r="K4420">
        <v>1.1095250000000001</v>
      </c>
      <c r="L4420">
        <v>42.657959999999903</v>
      </c>
      <c r="M4420">
        <v>0.109918499999999</v>
      </c>
      <c r="N4420">
        <v>0</v>
      </c>
      <c r="O4420">
        <v>-0.99384640000000002</v>
      </c>
      <c r="P4420">
        <v>0.41559879999999999</v>
      </c>
      <c r="Q4420">
        <v>6.1549189999999997E-2</v>
      </c>
      <c r="R4420">
        <v>-0.90746329999999997</v>
      </c>
      <c r="S4420">
        <v>2.0715939999999899</v>
      </c>
      <c r="T4420">
        <v>-0.16993420000000001</v>
      </c>
      <c r="U4420">
        <v>-2.3746339999999999</v>
      </c>
      <c r="V4420">
        <v>-0.31411469999999903</v>
      </c>
      <c r="W4420">
        <v>7.1109619999999998E-2</v>
      </c>
      <c r="X4420">
        <v>0.94671819999999896</v>
      </c>
      <c r="Y4420">
        <v>-0.56956450000000003</v>
      </c>
      <c r="Z4420">
        <v>5.5374329999999999E-2</v>
      </c>
      <c r="AA4420">
        <v>0.82007919999999901</v>
      </c>
      <c r="AB4420">
        <v>28</v>
      </c>
      <c r="AC4420">
        <v>0.62889999999998702</v>
      </c>
      <c r="AD4420">
        <v>-5.3888999999999999E-2</v>
      </c>
      <c r="AE4420">
        <v>-0.55128999999999395</v>
      </c>
      <c r="AF4420">
        <v>-0.56215185776689602</v>
      </c>
      <c r="AG4420">
        <v>-5.3888999999999999E-2</v>
      </c>
      <c r="AH4420">
        <v>0.61453159981028205</v>
      </c>
      <c r="AI4420">
        <v>93.702058530067305</v>
      </c>
      <c r="AJ4420">
        <v>132.451176718222</v>
      </c>
      <c r="AK4420">
        <v>0.83460638787224595</v>
      </c>
    </row>
    <row r="4421" spans="1:37" x14ac:dyDescent="0.2">
      <c r="A4421" t="str">
        <f>"20200111153523067"</f>
        <v>20200111153523067</v>
      </c>
      <c r="B4421" t="str">
        <f>"1578728123060656"</f>
        <v>1578728123060656</v>
      </c>
      <c r="C4421" t="s">
        <v>37</v>
      </c>
      <c r="D4421">
        <v>4.6557659999999998</v>
      </c>
      <c r="E4421">
        <v>0.3837913</v>
      </c>
      <c r="F4421" t="s">
        <v>40</v>
      </c>
      <c r="G4421">
        <v>-420.93699999999899</v>
      </c>
      <c r="H4421">
        <v>1.0547530000000001</v>
      </c>
      <c r="I4421">
        <v>41.876869999999997</v>
      </c>
      <c r="J4421">
        <v>-421.59019999999998</v>
      </c>
      <c r="K4421">
        <v>1.1097459999999999</v>
      </c>
      <c r="L4421">
        <v>42.386719999999997</v>
      </c>
      <c r="M4421">
        <v>0.11633159999999999</v>
      </c>
      <c r="N4421">
        <v>0</v>
      </c>
      <c r="O4421">
        <v>-0.99311579999999999</v>
      </c>
      <c r="P4421">
        <v>0.42315909999999901</v>
      </c>
      <c r="Q4421">
        <v>6.2182370000000001E-2</v>
      </c>
      <c r="R4421">
        <v>-0.90391919999999903</v>
      </c>
      <c r="S4421">
        <v>2.0873409999999999</v>
      </c>
      <c r="T4421">
        <v>-0.16557430000000001</v>
      </c>
      <c r="U4421">
        <v>-2.3612060000000001</v>
      </c>
      <c r="V4421">
        <v>-0.31595679999999998</v>
      </c>
      <c r="W4421">
        <v>7.1570010000000003E-2</v>
      </c>
      <c r="X4421">
        <v>0.94607030000000003</v>
      </c>
      <c r="Y4421">
        <v>-0.56969700000000001</v>
      </c>
      <c r="Z4421">
        <v>5.4019919999999999E-2</v>
      </c>
      <c r="AA4421">
        <v>0.82007750000000001</v>
      </c>
      <c r="AB4421">
        <v>28</v>
      </c>
      <c r="AC4421">
        <v>0.65320000000002598</v>
      </c>
      <c r="AD4421">
        <v>-5.4992999999999799E-2</v>
      </c>
      <c r="AE4421">
        <v>-0.50985000000000003</v>
      </c>
      <c r="AF4421">
        <v>-0.58686212009331395</v>
      </c>
      <c r="AG4421">
        <v>-5.4992999999999799E-2</v>
      </c>
      <c r="AH4421">
        <v>0.57982875229891395</v>
      </c>
      <c r="AI4421">
        <v>93.813636845092006</v>
      </c>
      <c r="AJ4421">
        <v>135.34540204112901</v>
      </c>
      <c r="AK4421">
        <v>0.82682087542703797</v>
      </c>
    </row>
    <row r="4422" spans="1:37" x14ac:dyDescent="0.2">
      <c r="A4422" t="str">
        <f>"20200111153523084"</f>
        <v>20200111153523084</v>
      </c>
      <c r="B4422" t="str">
        <f>"1578728123080173"</f>
        <v>1578728123080173</v>
      </c>
      <c r="C4422" t="s">
        <v>37</v>
      </c>
      <c r="D4422">
        <v>4.6862320000000004</v>
      </c>
      <c r="E4422">
        <v>0.38381559999999998</v>
      </c>
      <c r="F4422" t="s">
        <v>40</v>
      </c>
      <c r="G4422">
        <v>-420.91399999999999</v>
      </c>
      <c r="H4422">
        <v>1.0567489999999999</v>
      </c>
      <c r="I4422">
        <v>41.63438</v>
      </c>
      <c r="J4422">
        <v>-421.5625</v>
      </c>
      <c r="K4422">
        <v>1.109899</v>
      </c>
      <c r="L4422">
        <v>42.192409999999903</v>
      </c>
      <c r="M4422">
        <v>0.12110219999999999</v>
      </c>
      <c r="N4422">
        <v>0</v>
      </c>
      <c r="O4422">
        <v>-0.99254529999999996</v>
      </c>
      <c r="P4422">
        <v>0.42840400000000001</v>
      </c>
      <c r="Q4422">
        <v>6.2358360000000002E-2</v>
      </c>
      <c r="R4422">
        <v>-0.90143329999999999</v>
      </c>
      <c r="S4422">
        <v>2.1064150000000001</v>
      </c>
      <c r="T4422">
        <v>-0.16512550000000001</v>
      </c>
      <c r="U4422">
        <v>-2.3441160000000001</v>
      </c>
      <c r="V4422">
        <v>-0.31693870000000002</v>
      </c>
      <c r="W4422">
        <v>7.1630429999999995E-2</v>
      </c>
      <c r="X4422">
        <v>0.94573719999999994</v>
      </c>
      <c r="Y4422">
        <v>-0.57241529999999996</v>
      </c>
      <c r="Z4422">
        <v>5.3934889999999999E-2</v>
      </c>
      <c r="AA4422">
        <v>0.81818809999999997</v>
      </c>
      <c r="AB4422">
        <v>28</v>
      </c>
      <c r="AC4422">
        <v>0.64850000000001196</v>
      </c>
      <c r="AD4422">
        <v>-5.3150000000000003E-2</v>
      </c>
      <c r="AE4422">
        <v>-0.55802999999999503</v>
      </c>
      <c r="AF4422">
        <v>-0.573926112135273</v>
      </c>
      <c r="AG4422">
        <v>-5.3150000000000003E-2</v>
      </c>
      <c r="AH4422">
        <v>0.63003273259085901</v>
      </c>
      <c r="AI4422">
        <v>93.568585429437704</v>
      </c>
      <c r="AJ4422">
        <v>132.331845297093</v>
      </c>
      <c r="AK4422">
        <v>0.85390710784406498</v>
      </c>
    </row>
    <row r="4423" spans="1:37" x14ac:dyDescent="0.2">
      <c r="A4423" t="str">
        <f>"20200111153523100"</f>
        <v>20200111153523100</v>
      </c>
      <c r="B4423" t="str">
        <f>"1578728123089933"</f>
        <v>1578728123089933</v>
      </c>
      <c r="C4423" t="s">
        <v>37</v>
      </c>
      <c r="D4423">
        <v>4.6338429999999997</v>
      </c>
      <c r="E4423">
        <v>0.38383640000000002</v>
      </c>
      <c r="F4423" t="s">
        <v>40</v>
      </c>
      <c r="G4423">
        <v>-420.84769999999997</v>
      </c>
      <c r="H4423">
        <v>1.0542689999999999</v>
      </c>
      <c r="I4423">
        <v>41.405970000000003</v>
      </c>
      <c r="J4423">
        <v>-421.53230000000002</v>
      </c>
      <c r="K4423">
        <v>1.110053</v>
      </c>
      <c r="L4423">
        <v>41.988889999999998</v>
      </c>
      <c r="M4423">
        <v>0.12625339999999999</v>
      </c>
      <c r="N4423">
        <v>0</v>
      </c>
      <c r="O4423">
        <v>-0.99190279999999997</v>
      </c>
      <c r="P4423">
        <v>0.43488159999999998</v>
      </c>
      <c r="Q4423">
        <v>6.3055769999999997E-2</v>
      </c>
      <c r="R4423">
        <v>-0.898277199999999</v>
      </c>
      <c r="S4423">
        <v>2.1200559999999999</v>
      </c>
      <c r="T4423">
        <v>-0.16495079999999901</v>
      </c>
      <c r="U4423">
        <v>-2.3318789999999998</v>
      </c>
      <c r="V4423">
        <v>-0.31887859999999901</v>
      </c>
      <c r="W4423">
        <v>7.219544E-2</v>
      </c>
      <c r="X4423">
        <v>0.94504200000000005</v>
      </c>
      <c r="Y4423">
        <v>-0.57291950000000003</v>
      </c>
      <c r="Z4423">
        <v>5.3930319999999997E-2</v>
      </c>
      <c r="AA4423">
        <v>0.81783539999999999</v>
      </c>
      <c r="AB4423">
        <v>28</v>
      </c>
      <c r="AC4423">
        <v>0.68460000000004495</v>
      </c>
      <c r="AD4423">
        <v>-5.5783999999999799E-2</v>
      </c>
      <c r="AE4423">
        <v>-0.58292000000000099</v>
      </c>
      <c r="AF4423">
        <v>-0.60319648818735805</v>
      </c>
      <c r="AG4423">
        <v>-5.5783999999999799E-2</v>
      </c>
      <c r="AH4423">
        <v>0.66214720665065696</v>
      </c>
      <c r="AI4423">
        <v>93.563751430473005</v>
      </c>
      <c r="AJ4423">
        <v>132.33259284633601</v>
      </c>
      <c r="AK4423">
        <v>0.89743901257569003</v>
      </c>
    </row>
    <row r="4424" spans="1:37" x14ac:dyDescent="0.2">
      <c r="A4424" t="str">
        <f>"20200111153523116"</f>
        <v>20200111153523116</v>
      </c>
      <c r="B4424" t="str">
        <f>"1578728123110429"</f>
        <v>1578728123110429</v>
      </c>
      <c r="C4424" t="s">
        <v>37</v>
      </c>
      <c r="D4424">
        <v>4.5937269999999897</v>
      </c>
      <c r="E4424">
        <v>0.38382080000000002</v>
      </c>
      <c r="F4424" t="s">
        <v>65</v>
      </c>
      <c r="G4424">
        <v>-407.00080000000003</v>
      </c>
      <c r="H4424" s="1">
        <v>-3.9820530000000001E-6</v>
      </c>
      <c r="I4424">
        <v>26.230139999999999</v>
      </c>
      <c r="J4424">
        <v>-421.50330000000002</v>
      </c>
      <c r="K4424">
        <v>1.110193</v>
      </c>
      <c r="L4424">
        <v>41.800509999999903</v>
      </c>
      <c r="M4424">
        <v>0.13117609999999999</v>
      </c>
      <c r="N4424">
        <v>0</v>
      </c>
      <c r="O4424">
        <v>-0.99126369999999897</v>
      </c>
      <c r="P4424">
        <v>0.44022119999999998</v>
      </c>
      <c r="Q4424">
        <v>6.360644E-2</v>
      </c>
      <c r="R4424">
        <v>-0.89563359999999903</v>
      </c>
      <c r="S4424">
        <v>2.136444</v>
      </c>
      <c r="T4424">
        <v>-0.1632016</v>
      </c>
      <c r="U4424">
        <v>-2.3168639999999998</v>
      </c>
      <c r="V4424">
        <v>-0.31985000000000002</v>
      </c>
      <c r="W4424">
        <v>7.2639640000000005E-2</v>
      </c>
      <c r="X4424">
        <v>0.94467959999999995</v>
      </c>
      <c r="Y4424">
        <v>-0.57463940000000002</v>
      </c>
      <c r="Z4424">
        <v>5.3415120000000003E-2</v>
      </c>
      <c r="AA4424">
        <v>0.81666179999999999</v>
      </c>
      <c r="AB4424">
        <v>27</v>
      </c>
      <c r="AC4424">
        <v>14.5024999999999</v>
      </c>
      <c r="AD4424">
        <v>-1.110196982053</v>
      </c>
      <c r="AE4424">
        <v>-15.570369999999899</v>
      </c>
      <c r="AF4424">
        <v>-12.3010208844728</v>
      </c>
      <c r="AG4424">
        <v>-1.110196982053</v>
      </c>
      <c r="AH4424">
        <v>17.291291687948199</v>
      </c>
      <c r="AI4424">
        <v>92.994842991118801</v>
      </c>
      <c r="AJ4424">
        <v>125.428038049748</v>
      </c>
      <c r="AK4424">
        <v>21.249386352949202</v>
      </c>
    </row>
    <row r="4425" spans="1:37" x14ac:dyDescent="0.2">
      <c r="A4425" t="str">
        <f>"20200111153523130"</f>
        <v>20200111153523130</v>
      </c>
      <c r="B4425" t="str">
        <f>"1578728123120190"</f>
        <v>1578728123120190</v>
      </c>
      <c r="C4425" t="s">
        <v>37</v>
      </c>
      <c r="D4425">
        <v>4.617108</v>
      </c>
      <c r="E4425">
        <v>0.38380219999999998</v>
      </c>
      <c r="F4425" t="s">
        <v>40</v>
      </c>
      <c r="G4425">
        <v>-420.88850000000002</v>
      </c>
      <c r="H4425">
        <v>1.063912</v>
      </c>
      <c r="I4425">
        <v>41.141909999999903</v>
      </c>
      <c r="J4425">
        <v>-421.4751</v>
      </c>
      <c r="K4425">
        <v>1.11032</v>
      </c>
      <c r="L4425">
        <v>41.625209999999903</v>
      </c>
      <c r="M4425">
        <v>0.13588420000000001</v>
      </c>
      <c r="N4425">
        <v>0</v>
      </c>
      <c r="O4425">
        <v>-0.99062879999999998</v>
      </c>
      <c r="P4425">
        <v>0.44543389999999999</v>
      </c>
      <c r="Q4425">
        <v>6.4482490000000003E-2</v>
      </c>
      <c r="R4425">
        <v>-0.89298949999999999</v>
      </c>
      <c r="S4425">
        <v>2.1504209999999899</v>
      </c>
      <c r="T4425">
        <v>-0.16191349999999999</v>
      </c>
      <c r="U4425">
        <v>-2.3040769999999999</v>
      </c>
      <c r="V4425">
        <v>-0.32090990000000003</v>
      </c>
      <c r="W4425">
        <v>7.3417659999999996E-2</v>
      </c>
      <c r="X4425">
        <v>0.94425990000000004</v>
      </c>
      <c r="Y4425">
        <v>-0.57567579999999996</v>
      </c>
      <c r="Z4425">
        <v>5.304118E-2</v>
      </c>
      <c r="AA4425">
        <v>0.81595580000000001</v>
      </c>
      <c r="AB4425">
        <v>27</v>
      </c>
      <c r="AC4425">
        <v>0.58659999999997503</v>
      </c>
      <c r="AD4425">
        <v>-4.6407999999999699E-2</v>
      </c>
      <c r="AE4425">
        <v>-0.48329999999999901</v>
      </c>
      <c r="AF4425">
        <v>-0.513564337709987</v>
      </c>
      <c r="AG4425">
        <v>-4.6407999999999699E-2</v>
      </c>
      <c r="AH4425">
        <v>0.55645905980378396</v>
      </c>
      <c r="AI4425">
        <v>93.507079955797195</v>
      </c>
      <c r="AJ4425">
        <v>132.70437609474999</v>
      </c>
      <c r="AK4425">
        <v>0.75864927118478798</v>
      </c>
    </row>
    <row r="4426" spans="1:37" x14ac:dyDescent="0.2">
      <c r="A4426" t="str">
        <f>"20200111153523146"</f>
        <v>20200111153523146</v>
      </c>
      <c r="B4426" t="str">
        <f>"1578728123140688"</f>
        <v>1578728123140688</v>
      </c>
      <c r="C4426" t="s">
        <v>37</v>
      </c>
      <c r="D4426">
        <v>4.6490929999999997</v>
      </c>
      <c r="E4426">
        <v>0.38383859999999997</v>
      </c>
      <c r="F4426" t="s">
        <v>40</v>
      </c>
      <c r="G4426">
        <v>-420.80889999999999</v>
      </c>
      <c r="H4426">
        <v>1.0612619999999999</v>
      </c>
      <c r="I4426">
        <v>40.919589999999999</v>
      </c>
      <c r="J4426">
        <v>-421.4452</v>
      </c>
      <c r="K4426">
        <v>1.110455</v>
      </c>
      <c r="L4426">
        <v>41.444759999999903</v>
      </c>
      <c r="M4426">
        <v>0.1408375</v>
      </c>
      <c r="N4426">
        <v>0</v>
      </c>
      <c r="O4426">
        <v>-0.98993659999999895</v>
      </c>
      <c r="P4426">
        <v>0.45189190000000001</v>
      </c>
      <c r="Q4426">
        <v>6.5132720000000005E-2</v>
      </c>
      <c r="R4426">
        <v>-0.88969159999999903</v>
      </c>
      <c r="S4426">
        <v>2.1639710000000001</v>
      </c>
      <c r="T4426">
        <v>-0.15931999999999999</v>
      </c>
      <c r="U4426">
        <v>-2.291595</v>
      </c>
      <c r="V4426">
        <v>-0.32306659999999998</v>
      </c>
      <c r="W4426">
        <v>7.3947410000000005E-2</v>
      </c>
      <c r="X4426">
        <v>0.94348279999999995</v>
      </c>
      <c r="Y4426">
        <v>-0.57638699999999998</v>
      </c>
      <c r="Z4426">
        <v>5.2238599999999899E-2</v>
      </c>
      <c r="AA4426">
        <v>0.81550540000000005</v>
      </c>
      <c r="AB4426">
        <v>27</v>
      </c>
      <c r="AC4426">
        <v>0.63630000000000497</v>
      </c>
      <c r="AD4426">
        <v>-4.9192999999999799E-2</v>
      </c>
      <c r="AE4426">
        <v>-0.52516999999999503</v>
      </c>
      <c r="AF4426">
        <v>-0.55401630728526297</v>
      </c>
      <c r="AG4426">
        <v>-4.9192999999999799E-2</v>
      </c>
      <c r="AH4426">
        <v>0.607398498532979</v>
      </c>
      <c r="AI4426">
        <v>93.424347170871798</v>
      </c>
      <c r="AJ4426">
        <v>132.36836217482201</v>
      </c>
      <c r="AK4426">
        <v>0.82358178464990195</v>
      </c>
    </row>
    <row r="4427" spans="1:37" x14ac:dyDescent="0.2">
      <c r="A4427" t="str">
        <f>"20200111153523168"</f>
        <v>20200111153523168</v>
      </c>
      <c r="B4427" t="str">
        <f>"1578728123160205"</f>
        <v>1578728123160205</v>
      </c>
      <c r="C4427" t="s">
        <v>37</v>
      </c>
      <c r="D4427">
        <v>4.5571650000000004</v>
      </c>
      <c r="E4427">
        <v>0.38382549999999999</v>
      </c>
      <c r="F4427" t="s">
        <v>40</v>
      </c>
      <c r="G4427">
        <v>-420.7296</v>
      </c>
      <c r="H4427">
        <v>1.058648</v>
      </c>
      <c r="I4427">
        <v>40.69782</v>
      </c>
      <c r="J4427">
        <v>-421.39879999999999</v>
      </c>
      <c r="K4427">
        <v>1.1106450000000001</v>
      </c>
      <c r="L4427">
        <v>41.177309999999999</v>
      </c>
      <c r="M4427">
        <v>0.14840329999999999</v>
      </c>
      <c r="N4427">
        <v>0</v>
      </c>
      <c r="O4427">
        <v>-0.9888304</v>
      </c>
      <c r="P4427">
        <v>0.4600359</v>
      </c>
      <c r="Q4427">
        <v>6.5769590000000003E-2</v>
      </c>
      <c r="R4427">
        <v>-0.88546130000000001</v>
      </c>
      <c r="S4427">
        <v>2.180542</v>
      </c>
      <c r="T4427">
        <v>-0.1578579</v>
      </c>
      <c r="U4427">
        <v>-2.27597</v>
      </c>
      <c r="V4427">
        <v>-0.32455869999999998</v>
      </c>
      <c r="W4427">
        <v>7.4437199999999995E-2</v>
      </c>
      <c r="X4427">
        <v>0.94293199999999999</v>
      </c>
      <c r="Y4427">
        <v>-0.57605079999999997</v>
      </c>
      <c r="Z4427">
        <v>5.182196E-2</v>
      </c>
      <c r="AA4427">
        <v>0.81576959999999998</v>
      </c>
      <c r="AB4427">
        <v>27</v>
      </c>
      <c r="AC4427">
        <v>0.66919999999998903</v>
      </c>
      <c r="AD4427">
        <v>-5.1997000000000002E-2</v>
      </c>
      <c r="AE4427">
        <v>-0.47948999999999797</v>
      </c>
      <c r="AF4427">
        <v>-0.58827698497704095</v>
      </c>
      <c r="AG4427">
        <v>-5.1997000000000002E-2</v>
      </c>
      <c r="AH4427">
        <v>0.57122175994341395</v>
      </c>
      <c r="AI4427">
        <v>93.628419953855399</v>
      </c>
      <c r="AJ4427">
        <v>135.84271065562601</v>
      </c>
      <c r="AK4427">
        <v>0.82162509582870602</v>
      </c>
    </row>
    <row r="4428" spans="1:37" x14ac:dyDescent="0.2">
      <c r="A4428" t="str">
        <f>"20200111153523190"</f>
        <v>20200111153523190</v>
      </c>
      <c r="B4428" t="str">
        <f>"1578728123180701"</f>
        <v>1578728123180701</v>
      </c>
      <c r="C4428" t="s">
        <v>37</v>
      </c>
      <c r="D4428">
        <v>4.61205</v>
      </c>
      <c r="E4428">
        <v>0.3651664</v>
      </c>
      <c r="F4428" t="s">
        <v>40</v>
      </c>
      <c r="G4428">
        <v>-420.69779999999997</v>
      </c>
      <c r="H4428">
        <v>1.061429</v>
      </c>
      <c r="I4428">
        <v>40.458599999999997</v>
      </c>
      <c r="J4428">
        <v>-421.35129999999998</v>
      </c>
      <c r="K4428">
        <v>1.1108209999999901</v>
      </c>
      <c r="L4428">
        <v>40.915990000000001</v>
      </c>
      <c r="M4428">
        <v>0.15603329999999899</v>
      </c>
      <c r="N4428">
        <v>0</v>
      </c>
      <c r="O4428">
        <v>-0.987654699999999</v>
      </c>
      <c r="P4428">
        <v>0.46840159999999997</v>
      </c>
      <c r="Q4428">
        <v>6.6134299999999993E-2</v>
      </c>
      <c r="R4428">
        <v>-0.88103739999999997</v>
      </c>
      <c r="S4428">
        <v>2.2018430000000002</v>
      </c>
      <c r="T4428">
        <v>-0.15446260000000001</v>
      </c>
      <c r="U4428">
        <v>-2.255585</v>
      </c>
      <c r="V4428">
        <v>-0.32625100000000001</v>
      </c>
      <c r="W4428">
        <v>7.4658790000000003E-2</v>
      </c>
      <c r="X4428">
        <v>0.94233029999999995</v>
      </c>
      <c r="Y4428">
        <v>-0.57741180000000003</v>
      </c>
      <c r="Z4428">
        <v>5.0775529999999999E-2</v>
      </c>
      <c r="AA4428">
        <v>0.81487270000000001</v>
      </c>
      <c r="AB4428">
        <v>27</v>
      </c>
      <c r="AC4428">
        <v>0.65350000000000796</v>
      </c>
      <c r="AD4428">
        <v>-4.9391999999999603E-2</v>
      </c>
      <c r="AE4428">
        <v>-0.45739000000000302</v>
      </c>
      <c r="AF4428">
        <v>-0.57192646412568604</v>
      </c>
      <c r="AG4428">
        <v>-4.9391999999999603E-2</v>
      </c>
      <c r="AH4428">
        <v>0.55164912845774405</v>
      </c>
      <c r="AI4428">
        <v>93.556827859162297</v>
      </c>
      <c r="AJ4428">
        <v>136.03391320765701</v>
      </c>
      <c r="AK4428">
        <v>0.79615087198312995</v>
      </c>
    </row>
    <row r="4429" spans="1:37" x14ac:dyDescent="0.2">
      <c r="A4429" t="str">
        <f>"20200111153523224"</f>
        <v>20200111153523224</v>
      </c>
      <c r="B4429" t="str">
        <f>"1578728123220720"</f>
        <v>1578728123220720</v>
      </c>
      <c r="C4429" t="s">
        <v>37</v>
      </c>
      <c r="D4429">
        <v>5.0625980000000004</v>
      </c>
      <c r="E4429">
        <v>0.3651664</v>
      </c>
      <c r="F4429" t="s">
        <v>65</v>
      </c>
      <c r="G4429">
        <v>-407.80180000000001</v>
      </c>
      <c r="H4429" s="1">
        <v>-3.973602E-6</v>
      </c>
      <c r="I4429">
        <v>28.447109999999999</v>
      </c>
      <c r="J4429">
        <v>-421.27420000000001</v>
      </c>
      <c r="K4429">
        <v>1.111059</v>
      </c>
      <c r="L4429">
        <v>40.517299999999999</v>
      </c>
      <c r="M4429">
        <v>0.16809959999999999</v>
      </c>
      <c r="N4429">
        <v>0</v>
      </c>
      <c r="O4429">
        <v>-0.9856722</v>
      </c>
      <c r="P4429">
        <v>0.48072890000000001</v>
      </c>
      <c r="Q4429">
        <v>6.5679440000000006E-2</v>
      </c>
      <c r="R4429">
        <v>-0.87440620000000002</v>
      </c>
      <c r="S4429">
        <v>2.3552550000000001</v>
      </c>
      <c r="T4429">
        <v>-0.19309079999999901</v>
      </c>
      <c r="U4429">
        <v>-2.16741899999999</v>
      </c>
      <c r="V4429">
        <v>-0.32799620000000002</v>
      </c>
      <c r="W4429">
        <v>7.4014940000000001E-2</v>
      </c>
      <c r="X4429">
        <v>0.94177509999999998</v>
      </c>
      <c r="Y4429">
        <v>-0.61008099999999998</v>
      </c>
      <c r="Z4429">
        <v>6.2812469999999995E-2</v>
      </c>
      <c r="AA4429">
        <v>0.78984540000000003</v>
      </c>
      <c r="AB4429">
        <v>27</v>
      </c>
      <c r="AC4429">
        <v>13.472399999999899</v>
      </c>
      <c r="AD4429">
        <v>-1.1110629736019999</v>
      </c>
      <c r="AE4429">
        <v>-12.07019</v>
      </c>
      <c r="AF4429">
        <v>-11.2091703225903</v>
      </c>
      <c r="AG4429">
        <v>-1.1110629736019999</v>
      </c>
      <c r="AH4429">
        <v>14.1100860946284</v>
      </c>
      <c r="AI4429">
        <v>93.528125236810197</v>
      </c>
      <c r="AJ4429">
        <v>128.463922577559</v>
      </c>
      <c r="AK4429">
        <v>18.054763633179402</v>
      </c>
    </row>
    <row r="4430" spans="1:37" x14ac:dyDescent="0.2">
      <c r="A4430" t="str">
        <f>"20200111153523239"</f>
        <v>20200111153523239</v>
      </c>
      <c r="B4430" t="str">
        <f>"1578728123230477"</f>
        <v>1578728123230477</v>
      </c>
      <c r="C4430" t="s">
        <v>37</v>
      </c>
      <c r="D4430">
        <v>4.7410309999999898</v>
      </c>
      <c r="E4430">
        <v>0.39330670000000001</v>
      </c>
      <c r="F4430" t="s">
        <v>65</v>
      </c>
      <c r="G4430">
        <v>-407.50830000000002</v>
      </c>
      <c r="H4430" s="1">
        <v>-4.0785719999999901E-6</v>
      </c>
      <c r="I4430">
        <v>28.206969999999998</v>
      </c>
      <c r="J4430">
        <v>-421.23809999999997</v>
      </c>
      <c r="K4430">
        <v>1.1111599999999999</v>
      </c>
      <c r="L4430">
        <v>40.33914</v>
      </c>
      <c r="M4430">
        <v>0.17364209999999999</v>
      </c>
      <c r="N4430">
        <v>0</v>
      </c>
      <c r="O4430">
        <v>-0.98471059999999999</v>
      </c>
      <c r="P4430">
        <v>0.485545</v>
      </c>
      <c r="Q4430">
        <v>6.5452819999999995E-2</v>
      </c>
      <c r="R4430">
        <v>-0.87175809999999998</v>
      </c>
      <c r="S4430">
        <v>2.3859249999999999</v>
      </c>
      <c r="T4430">
        <v>-0.1925703</v>
      </c>
      <c r="U4430">
        <v>-2.1336360000000001</v>
      </c>
      <c r="V4430">
        <v>-0.32790530000000001</v>
      </c>
      <c r="W4430">
        <v>7.3724860000000003E-2</v>
      </c>
      <c r="X4430">
        <v>0.94182940000000004</v>
      </c>
      <c r="Y4430">
        <v>-0.61687000000000003</v>
      </c>
      <c r="Z4430">
        <v>6.2749520000000003E-2</v>
      </c>
      <c r="AA4430">
        <v>0.78455969999999997</v>
      </c>
      <c r="AB4430">
        <v>27</v>
      </c>
      <c r="AC4430">
        <v>13.7297999999999</v>
      </c>
      <c r="AD4430">
        <v>-1.1111640785719901</v>
      </c>
      <c r="AE4430">
        <v>-12.13217</v>
      </c>
      <c r="AF4430">
        <v>-11.372500461870599</v>
      </c>
      <c r="AG4430">
        <v>-1.1111640785719901</v>
      </c>
      <c r="AH4430">
        <v>14.2796139971115</v>
      </c>
      <c r="AI4430">
        <v>93.483260956397302</v>
      </c>
      <c r="AJ4430">
        <v>128.534345990117</v>
      </c>
      <c r="AK4430">
        <v>18.288680331594701</v>
      </c>
    </row>
    <row r="4431" spans="1:37" x14ac:dyDescent="0.2">
      <c r="A4431" t="str">
        <f>"20200111153523252"</f>
        <v>20200111153523252</v>
      </c>
      <c r="B4431" t="str">
        <f>"1578728123249997"</f>
        <v>1578728123249997</v>
      </c>
      <c r="C4431" t="s">
        <v>37</v>
      </c>
      <c r="D4431">
        <v>4.5102849999999997</v>
      </c>
      <c r="E4431">
        <v>0.39333049999999897</v>
      </c>
      <c r="F4431" t="s">
        <v>39</v>
      </c>
      <c r="G4431">
        <v>-399.71370000000002</v>
      </c>
      <c r="H4431" s="1">
        <v>-3.655499E-7</v>
      </c>
      <c r="I4431">
        <v>18.596309999999999</v>
      </c>
      <c r="J4431">
        <v>-421.20209999999997</v>
      </c>
      <c r="K4431">
        <v>1.1112489999999999</v>
      </c>
      <c r="L4431">
        <v>40.168520000000001</v>
      </c>
      <c r="M4431">
        <v>0.17906949999999999</v>
      </c>
      <c r="N4431">
        <v>0</v>
      </c>
      <c r="O4431">
        <v>-0.9837378</v>
      </c>
      <c r="P4431">
        <v>0.49031209999999997</v>
      </c>
      <c r="Q4431">
        <v>6.5388979999999999E-2</v>
      </c>
      <c r="R4431">
        <v>-0.86909049999999999</v>
      </c>
      <c r="S4431">
        <v>2.2013849999999899</v>
      </c>
      <c r="T4431">
        <v>-0.113642699999999</v>
      </c>
      <c r="U4431">
        <v>-2.2237239999999998</v>
      </c>
      <c r="V4431">
        <v>-0.32788449999999902</v>
      </c>
      <c r="W4431">
        <v>7.3605030000000002E-2</v>
      </c>
      <c r="X4431">
        <v>0.94184609999999902</v>
      </c>
      <c r="Y4431">
        <v>-0.56438390000000005</v>
      </c>
      <c r="Z4431">
        <v>3.7718679999999997E-2</v>
      </c>
      <c r="AA4431">
        <v>0.82465029999999995</v>
      </c>
      <c r="AB4431">
        <v>27</v>
      </c>
      <c r="AC4431">
        <v>21.488399999999899</v>
      </c>
      <c r="AD4431">
        <v>-1.1112493655498901</v>
      </c>
      <c r="AE4431">
        <v>-21.572209999999998</v>
      </c>
      <c r="AF4431">
        <v>-17.2547203865882</v>
      </c>
      <c r="AG4431">
        <v>-1.1112493655498901</v>
      </c>
      <c r="AH4431">
        <v>25.038398083395499</v>
      </c>
      <c r="AI4431">
        <v>92.092921843052295</v>
      </c>
      <c r="AJ4431">
        <v>124.571906344464</v>
      </c>
      <c r="AK4431">
        <v>30.4283030968597</v>
      </c>
    </row>
    <row r="4432" spans="1:37" x14ac:dyDescent="0.2">
      <c r="A4432" t="str">
        <f>"20200111153523268"</f>
        <v>20200111153523268</v>
      </c>
      <c r="B4432" t="str">
        <f>"1578728123260733"</f>
        <v>1578728123260733</v>
      </c>
      <c r="C4432" t="s">
        <v>37</v>
      </c>
      <c r="D4432">
        <v>4.5281779999999996</v>
      </c>
      <c r="E4432">
        <v>0.38155309999999998</v>
      </c>
      <c r="F4432" t="s">
        <v>40</v>
      </c>
      <c r="G4432">
        <v>-420.54309999999998</v>
      </c>
      <c r="H4432">
        <v>1.0775189999999999</v>
      </c>
      <c r="I4432">
        <v>39.509799999999998</v>
      </c>
      <c r="J4432">
        <v>-421.16460000000001</v>
      </c>
      <c r="K4432">
        <v>1.1113360000000001</v>
      </c>
      <c r="L4432">
        <v>39.994999999999997</v>
      </c>
      <c r="M4432">
        <v>0.1846632</v>
      </c>
      <c r="N4432">
        <v>0</v>
      </c>
      <c r="O4432">
        <v>-0.98270299999999999</v>
      </c>
      <c r="P4432">
        <v>0.49536859999999999</v>
      </c>
      <c r="Q4432">
        <v>6.5238589999999999E-2</v>
      </c>
      <c r="R4432">
        <v>-0.86622949999999999</v>
      </c>
      <c r="S4432">
        <v>2.2135310000000001</v>
      </c>
      <c r="T4432">
        <v>-0.113240699999999</v>
      </c>
      <c r="U4432">
        <v>-2.2116090000000002</v>
      </c>
      <c r="V4432">
        <v>-0.32802690000000001</v>
      </c>
      <c r="W4432">
        <v>7.3396729999999993E-2</v>
      </c>
      <c r="X4432">
        <v>0.94181280000000001</v>
      </c>
      <c r="Y4432">
        <v>-0.56421319999999997</v>
      </c>
      <c r="Z4432">
        <v>3.7610079999999997E-2</v>
      </c>
      <c r="AA4432">
        <v>0.82477210000000001</v>
      </c>
      <c r="AB4432">
        <v>27</v>
      </c>
      <c r="AC4432">
        <v>0.62150000000002503</v>
      </c>
      <c r="AD4432">
        <v>-3.3816999999999903E-2</v>
      </c>
      <c r="AE4432">
        <v>-0.48519999999999802</v>
      </c>
      <c r="AF4432">
        <v>-0.520244975069029</v>
      </c>
      <c r="AG4432">
        <v>-3.3816999999999903E-2</v>
      </c>
      <c r="AH4432">
        <v>0.59054684185941897</v>
      </c>
      <c r="AI4432">
        <v>92.460395383048905</v>
      </c>
      <c r="AJ4432">
        <v>131.378587876859</v>
      </c>
      <c r="AK4432">
        <v>0.78774614946929999</v>
      </c>
    </row>
    <row r="4433" spans="1:37" x14ac:dyDescent="0.2">
      <c r="A4433" t="str">
        <f>"20200111153523281"</f>
        <v>20200111153523281</v>
      </c>
      <c r="B4433" t="str">
        <f>"1578728123270494"</f>
        <v>1578728123270494</v>
      </c>
      <c r="C4433" t="s">
        <v>37</v>
      </c>
      <c r="D4433">
        <v>4.3492030000000002</v>
      </c>
      <c r="E4433">
        <v>0.37807370000000001</v>
      </c>
      <c r="F4433" t="s">
        <v>40</v>
      </c>
      <c r="G4433">
        <v>-420.42669999999998</v>
      </c>
      <c r="H4433">
        <v>1.0681879999999999</v>
      </c>
      <c r="I4433">
        <v>39.306429999999999</v>
      </c>
      <c r="J4433">
        <v>-421.13240000000002</v>
      </c>
      <c r="K4433">
        <v>1.111397</v>
      </c>
      <c r="L4433">
        <v>39.849490000000003</v>
      </c>
      <c r="M4433">
        <v>0.18939990000000001</v>
      </c>
      <c r="N4433">
        <v>0</v>
      </c>
      <c r="O4433">
        <v>-0.98180080000000003</v>
      </c>
      <c r="P4433">
        <v>0.50055289999999997</v>
      </c>
      <c r="Q4433">
        <v>6.5520049999999996E-2</v>
      </c>
      <c r="R4433">
        <v>-0.86322269999999901</v>
      </c>
      <c r="S4433">
        <v>2.3078609999999999</v>
      </c>
      <c r="T4433">
        <v>-0.1349524</v>
      </c>
      <c r="U4433">
        <v>-2.1536249999999999</v>
      </c>
      <c r="V4433">
        <v>-0.329154</v>
      </c>
      <c r="W4433">
        <v>7.3610729999999999E-2</v>
      </c>
      <c r="X4433">
        <v>0.94140270000000004</v>
      </c>
      <c r="Y4433">
        <v>-0.58792290000000003</v>
      </c>
      <c r="Z4433">
        <v>4.4572000000000001E-2</v>
      </c>
      <c r="AA4433">
        <v>0.80768809999999902</v>
      </c>
      <c r="AB4433">
        <v>27</v>
      </c>
      <c r="AC4433">
        <v>0.70570000000003497</v>
      </c>
      <c r="AD4433">
        <v>-4.3208999999999997E-2</v>
      </c>
      <c r="AE4433">
        <v>-0.54306000000000398</v>
      </c>
      <c r="AF4433">
        <v>-0.58867272586840502</v>
      </c>
      <c r="AG4433">
        <v>-4.3208999999999997E-2</v>
      </c>
      <c r="AH4433">
        <v>0.66533464283894195</v>
      </c>
      <c r="AI4433">
        <v>92.784579392938298</v>
      </c>
      <c r="AJ4433">
        <v>131.501659629236</v>
      </c>
      <c r="AK4433">
        <v>0.88942272448142601</v>
      </c>
    </row>
    <row r="4434" spans="1:37" x14ac:dyDescent="0.2">
      <c r="A4434" t="str">
        <f>"20200111153523295"</f>
        <v>20200111153523295</v>
      </c>
      <c r="B4434" t="str">
        <f>"1578728123290013"</f>
        <v>1578728123290013</v>
      </c>
      <c r="C4434" t="s">
        <v>37</v>
      </c>
      <c r="D4434">
        <v>4.5629629999999999</v>
      </c>
      <c r="E4434">
        <v>0.3727104</v>
      </c>
      <c r="F4434" t="s">
        <v>65</v>
      </c>
      <c r="G4434">
        <v>-404.59109999999998</v>
      </c>
      <c r="H4434" s="1">
        <v>-4.9333739999999998E-6</v>
      </c>
      <c r="I4434">
        <v>24.839320000000001</v>
      </c>
      <c r="J4434">
        <v>-421.09199999999998</v>
      </c>
      <c r="K4434">
        <v>1.1114820000000001</v>
      </c>
      <c r="L4434">
        <v>39.673220000000001</v>
      </c>
      <c r="M4434">
        <v>0.19524279999999999</v>
      </c>
      <c r="N4434">
        <v>0</v>
      </c>
      <c r="O4434">
        <v>-0.98065530000000001</v>
      </c>
      <c r="P4434">
        <v>0.50637100000000002</v>
      </c>
      <c r="Q4434">
        <v>6.5420489999999998E-2</v>
      </c>
      <c r="R4434">
        <v>-0.8598306</v>
      </c>
      <c r="S4434">
        <v>2.3447269999999998</v>
      </c>
      <c r="T4434">
        <v>-0.15754070000000001</v>
      </c>
      <c r="U4434">
        <v>-2.1276860000000002</v>
      </c>
      <c r="V4434">
        <v>-0.32991939999999997</v>
      </c>
      <c r="W4434">
        <v>7.3442380000000002E-2</v>
      </c>
      <c r="X4434">
        <v>0.94114789999999904</v>
      </c>
      <c r="Y4434">
        <v>-0.59408179999999999</v>
      </c>
      <c r="Z4434">
        <v>5.1938369999999998E-2</v>
      </c>
      <c r="AA4434">
        <v>0.8027261</v>
      </c>
      <c r="AB4434">
        <v>27</v>
      </c>
      <c r="AC4434">
        <v>16.500900000000001</v>
      </c>
      <c r="AD4434">
        <v>-1.1114869333740001</v>
      </c>
      <c r="AE4434">
        <v>-14.8339</v>
      </c>
      <c r="AF4434">
        <v>-13.2535238204548</v>
      </c>
      <c r="AG4434">
        <v>-1.1114869333740001</v>
      </c>
      <c r="AH4434">
        <v>17.7258810509367</v>
      </c>
      <c r="AI4434">
        <v>92.874915571413297</v>
      </c>
      <c r="AJ4434">
        <v>126.785221619011</v>
      </c>
      <c r="AK4434">
        <v>22.160734552229499</v>
      </c>
    </row>
    <row r="4435" spans="1:37" x14ac:dyDescent="0.2">
      <c r="A4435" t="str">
        <f>"20200111153523309"</f>
        <v>20200111153523309</v>
      </c>
      <c r="B4435" t="str">
        <f>"1578728123300749"</f>
        <v>1578728123300749</v>
      </c>
      <c r="C4435" t="s">
        <v>37</v>
      </c>
      <c r="D4435">
        <v>4.5814159999999999</v>
      </c>
      <c r="E4435">
        <v>0.37096599999999902</v>
      </c>
      <c r="F4435" t="s">
        <v>40</v>
      </c>
      <c r="G4435">
        <v>-420.3963</v>
      </c>
      <c r="H4435">
        <v>1.0637350000000001</v>
      </c>
      <c r="I4435">
        <v>39.065930000000002</v>
      </c>
      <c r="J4435">
        <v>-421.0532</v>
      </c>
      <c r="K4435">
        <v>1.1115539999999999</v>
      </c>
      <c r="L4435">
        <v>39.508359999999897</v>
      </c>
      <c r="M4435">
        <v>0.2007872</v>
      </c>
      <c r="N4435">
        <v>0</v>
      </c>
      <c r="O4435">
        <v>-0.97953489999999999</v>
      </c>
      <c r="P4435">
        <v>0.51210080000000002</v>
      </c>
      <c r="Q4435">
        <v>6.5300929999999993E-2</v>
      </c>
      <c r="R4435">
        <v>-0.85643969999999903</v>
      </c>
      <c r="S4435">
        <v>2.395813</v>
      </c>
      <c r="T4435">
        <v>-0.1643714</v>
      </c>
      <c r="U4435">
        <v>-2.0906370000000001</v>
      </c>
      <c r="V4435">
        <v>-0.33089039999999997</v>
      </c>
      <c r="W4435">
        <v>7.3255959999999995E-2</v>
      </c>
      <c r="X4435">
        <v>0.94082149999999998</v>
      </c>
      <c r="Y4435">
        <v>-0.60498819999999998</v>
      </c>
      <c r="Z4435">
        <v>5.4069979999999997E-2</v>
      </c>
      <c r="AA4435">
        <v>0.79439649999999995</v>
      </c>
      <c r="AB4435">
        <v>27</v>
      </c>
      <c r="AC4435">
        <v>0.65690000000000703</v>
      </c>
      <c r="AD4435">
        <v>-4.7819E-2</v>
      </c>
      <c r="AE4435">
        <v>-0.44242999999999399</v>
      </c>
      <c r="AF4435">
        <v>-0.55266181732980901</v>
      </c>
      <c r="AG4435">
        <v>-4.7819E-2</v>
      </c>
      <c r="AH4435">
        <v>0.56327471430348497</v>
      </c>
      <c r="AI4435">
        <v>93.467753678761198</v>
      </c>
      <c r="AJ4435">
        <v>134.455116078603</v>
      </c>
      <c r="AK4435">
        <v>0.79056950666526504</v>
      </c>
    </row>
    <row r="4436" spans="1:37" x14ac:dyDescent="0.2">
      <c r="A4436" t="str">
        <f>"20200111153523324"</f>
        <v>20200111153523324</v>
      </c>
      <c r="B4436" t="str">
        <f>"1578728123320270"</f>
        <v>1578728123320270</v>
      </c>
      <c r="C4436" t="s">
        <v>37</v>
      </c>
      <c r="D4436">
        <v>4.5497160000000001</v>
      </c>
      <c r="E4436">
        <v>0.36801070000000002</v>
      </c>
      <c r="F4436" t="s">
        <v>65</v>
      </c>
      <c r="G4436">
        <v>-404.79520000000002</v>
      </c>
      <c r="H4436" s="1">
        <v>-4.9783609999999996E-6</v>
      </c>
      <c r="I4436">
        <v>25.626169999999998</v>
      </c>
      <c r="J4436">
        <v>-421.01420000000002</v>
      </c>
      <c r="K4436">
        <v>1.1116239999999999</v>
      </c>
      <c r="L4436">
        <v>39.34628</v>
      </c>
      <c r="M4436">
        <v>0.2062957</v>
      </c>
      <c r="N4436">
        <v>0</v>
      </c>
      <c r="O4436">
        <v>-0.97838969999999903</v>
      </c>
      <c r="P4436">
        <v>0.51796030000000004</v>
      </c>
      <c r="Q4436">
        <v>6.4482890000000001E-2</v>
      </c>
      <c r="R4436">
        <v>-0.85297149999999999</v>
      </c>
      <c r="S4436">
        <v>2.4214479999999998</v>
      </c>
      <c r="T4436">
        <v>-0.16555420000000001</v>
      </c>
      <c r="U4436">
        <v>-2.067596</v>
      </c>
      <c r="V4436">
        <v>-0.33203509999999897</v>
      </c>
      <c r="W4436">
        <v>7.2369020000000006E-2</v>
      </c>
      <c r="X4436">
        <v>0.94048679999999996</v>
      </c>
      <c r="Y4436">
        <v>-0.60902539999999905</v>
      </c>
      <c r="Z4436">
        <v>5.4451329999999999E-2</v>
      </c>
      <c r="AA4436">
        <v>0.79127939999999997</v>
      </c>
      <c r="AB4436">
        <v>27</v>
      </c>
      <c r="AC4436">
        <v>16.218999999999902</v>
      </c>
      <c r="AD4436">
        <v>-1.1116289783610001</v>
      </c>
      <c r="AE4436">
        <v>-13.720109999999901</v>
      </c>
      <c r="AF4436">
        <v>-13.0037724245469</v>
      </c>
      <c r="AG4436">
        <v>-1.1116289783610001</v>
      </c>
      <c r="AH4436">
        <v>16.7253686949859</v>
      </c>
      <c r="AI4436">
        <v>93.003589221025507</v>
      </c>
      <c r="AJ4436">
        <v>127.864635022833</v>
      </c>
      <c r="AK4436">
        <v>21.214895103161702</v>
      </c>
    </row>
    <row r="4437" spans="1:37" x14ac:dyDescent="0.2">
      <c r="A4437" t="str">
        <f>"20200111153523336"</f>
        <v>20200111153523336</v>
      </c>
      <c r="B4437" t="str">
        <f>"1578728123330029"</f>
        <v>1578728123330029</v>
      </c>
      <c r="C4437" t="s">
        <v>37</v>
      </c>
      <c r="D4437">
        <v>4.5301049999999998</v>
      </c>
      <c r="E4437">
        <v>0.3665928</v>
      </c>
      <c r="F4437" t="s">
        <v>65</v>
      </c>
      <c r="G4437">
        <v>-404.87729999999999</v>
      </c>
      <c r="H4437" s="1">
        <v>-4.9972229999999998E-6</v>
      </c>
      <c r="I4437">
        <v>25.947099999999999</v>
      </c>
      <c r="J4437">
        <v>-420.9776</v>
      </c>
      <c r="K4437">
        <v>1.1116820000000001</v>
      </c>
      <c r="L4437">
        <v>39.198300000000003</v>
      </c>
      <c r="M4437">
        <v>0.21138099999999899</v>
      </c>
      <c r="N4437">
        <v>0</v>
      </c>
      <c r="O4437">
        <v>-0.97730300000000003</v>
      </c>
      <c r="P4437">
        <v>0.52367280000000005</v>
      </c>
      <c r="Q4437">
        <v>6.2716209999999994E-2</v>
      </c>
      <c r="R4437">
        <v>-0.84960809999999998</v>
      </c>
      <c r="S4437">
        <v>2.45541399999999</v>
      </c>
      <c r="T4437">
        <v>-0.16914779999999999</v>
      </c>
      <c r="U4437">
        <v>-2.0388489999999999</v>
      </c>
      <c r="V4437">
        <v>-0.3334124</v>
      </c>
      <c r="W4437">
        <v>7.0533620000000005E-2</v>
      </c>
      <c r="X4437">
        <v>0.9401389</v>
      </c>
      <c r="Y4437">
        <v>-0.61572360000000004</v>
      </c>
      <c r="Z4437">
        <v>5.5587659999999997E-2</v>
      </c>
      <c r="AA4437">
        <v>0.78599909999999995</v>
      </c>
      <c r="AB4437">
        <v>27</v>
      </c>
      <c r="AC4437">
        <v>16.100300000000001</v>
      </c>
      <c r="AD4437">
        <v>-1.1116869972229999</v>
      </c>
      <c r="AE4437">
        <v>-13.251200000000001</v>
      </c>
      <c r="AF4437">
        <v>-12.898432718414901</v>
      </c>
      <c r="AG4437">
        <v>-1.1116869972229999</v>
      </c>
      <c r="AH4437">
        <v>16.308991291171999</v>
      </c>
      <c r="AI4437">
        <v>93.060361649447302</v>
      </c>
      <c r="AJ4437">
        <v>128.339719116955</v>
      </c>
      <c r="AK4437">
        <v>20.822790675286399</v>
      </c>
    </row>
    <row r="4438" spans="1:37" x14ac:dyDescent="0.2">
      <c r="A4438" t="str">
        <f>"20200111153523359"</f>
        <v>20200111153523359</v>
      </c>
      <c r="B4438" t="str">
        <f>"1578728123350525"</f>
        <v>1578728123350525</v>
      </c>
      <c r="C4438" t="s">
        <v>37</v>
      </c>
      <c r="D4438">
        <v>4.5038819999999999</v>
      </c>
      <c r="E4438">
        <v>0.36525619999999998</v>
      </c>
      <c r="F4438" t="s">
        <v>40</v>
      </c>
      <c r="G4438">
        <v>-420.26240000000001</v>
      </c>
      <c r="H4438">
        <v>1.0619149999999999</v>
      </c>
      <c r="I4438">
        <v>38.616289999999999</v>
      </c>
      <c r="J4438">
        <v>-420.9126</v>
      </c>
      <c r="K4438">
        <v>1.1117840000000001</v>
      </c>
      <c r="L4438">
        <v>38.943570000000001</v>
      </c>
      <c r="M4438">
        <v>0.22026699999999999</v>
      </c>
      <c r="N4438">
        <v>0</v>
      </c>
      <c r="O4438">
        <v>-0.9753385</v>
      </c>
      <c r="P4438">
        <v>0.53263780000000005</v>
      </c>
      <c r="Q4438">
        <v>6.0960090000000001E-2</v>
      </c>
      <c r="R4438">
        <v>-0.84414549999999999</v>
      </c>
      <c r="S4438">
        <v>2.4786990000000002</v>
      </c>
      <c r="T4438">
        <v>-0.17238899999999999</v>
      </c>
      <c r="U4438">
        <v>-2.0159609999999999</v>
      </c>
      <c r="V4438">
        <v>-0.33477119999999999</v>
      </c>
      <c r="W4438">
        <v>6.8684179999999997E-2</v>
      </c>
      <c r="X4438">
        <v>0.93979290000000004</v>
      </c>
      <c r="Y4438">
        <v>-0.61650419999999995</v>
      </c>
      <c r="Z4438">
        <v>5.6654929999999999E-2</v>
      </c>
      <c r="AA4438">
        <v>0.78531070000000003</v>
      </c>
      <c r="AB4438">
        <v>27</v>
      </c>
      <c r="AC4438">
        <v>0.65019999999998301</v>
      </c>
      <c r="AD4438">
        <v>-4.9869000000000101E-2</v>
      </c>
      <c r="AE4438">
        <v>-0.32728000000000101</v>
      </c>
      <c r="AF4438">
        <v>-0.55950555546587899</v>
      </c>
      <c r="AG4438">
        <v>-4.9869000000000101E-2</v>
      </c>
      <c r="AH4438">
        <v>0.46031156419175101</v>
      </c>
      <c r="AI4438">
        <v>93.937466194773805</v>
      </c>
      <c r="AJ4438">
        <v>140.55548138126699</v>
      </c>
      <c r="AK4438">
        <v>0.72623695849690795</v>
      </c>
    </row>
    <row r="4439" spans="1:37" x14ac:dyDescent="0.2">
      <c r="A4439" t="str">
        <f>"20200111153523376"</f>
        <v>20200111153523376</v>
      </c>
      <c r="B4439" t="str">
        <f>"1578728123370046"</f>
        <v>1578728123370046</v>
      </c>
      <c r="C4439" t="s">
        <v>37</v>
      </c>
      <c r="D4439">
        <v>4.4698139999999897</v>
      </c>
      <c r="E4439">
        <v>0.36402399999999902</v>
      </c>
      <c r="F4439" t="s">
        <v>40</v>
      </c>
      <c r="G4439">
        <v>-420.20749999999998</v>
      </c>
      <c r="H4439">
        <v>1.0621929999999999</v>
      </c>
      <c r="I4439">
        <v>38.386060000000001</v>
      </c>
      <c r="J4439">
        <v>-420.858</v>
      </c>
      <c r="K4439">
        <v>1.1118619999999999</v>
      </c>
      <c r="L4439">
        <v>38.737520000000004</v>
      </c>
      <c r="M4439">
        <v>0.22757669999999999</v>
      </c>
      <c r="N4439">
        <v>0</v>
      </c>
      <c r="O4439">
        <v>-0.97365849999999898</v>
      </c>
      <c r="P4439">
        <v>0.539498699999999</v>
      </c>
      <c r="Q4439">
        <v>6.0244010000000001E-2</v>
      </c>
      <c r="R4439">
        <v>-0.83982849999999998</v>
      </c>
      <c r="S4439">
        <v>2.508667</v>
      </c>
      <c r="T4439">
        <v>-0.17645060000000001</v>
      </c>
      <c r="U4439">
        <v>-1.9837039999999999</v>
      </c>
      <c r="V4439">
        <v>-0.33537109999999998</v>
      </c>
      <c r="W4439">
        <v>6.7906839999999996E-2</v>
      </c>
      <c r="X4439">
        <v>0.93963549999999996</v>
      </c>
      <c r="Y4439">
        <v>-0.62131990000000004</v>
      </c>
      <c r="Z4439">
        <v>5.8018149999999998E-2</v>
      </c>
      <c r="AA4439">
        <v>0.78140600000000004</v>
      </c>
      <c r="AB4439">
        <v>27</v>
      </c>
      <c r="AC4439">
        <v>0.65050000000002195</v>
      </c>
      <c r="AD4439">
        <v>-4.9669000000000102E-2</v>
      </c>
      <c r="AE4439">
        <v>-0.35146000000000299</v>
      </c>
      <c r="AF4439">
        <v>-0.55094923114564798</v>
      </c>
      <c r="AG4439">
        <v>-4.9669000000000102E-2</v>
      </c>
      <c r="AH4439">
        <v>0.48808657674585498</v>
      </c>
      <c r="AI4439">
        <v>93.860479437951795</v>
      </c>
      <c r="AJ4439">
        <v>138.46222891816799</v>
      </c>
      <c r="AK4439">
        <v>0.73772662366249697</v>
      </c>
    </row>
    <row r="4440" spans="1:37" x14ac:dyDescent="0.2">
      <c r="A4440" t="str">
        <f>"20200111153523390"</f>
        <v>20200111153523390</v>
      </c>
      <c r="B4440" t="str">
        <f>"1578728123380781"</f>
        <v>1578728123380781</v>
      </c>
      <c r="C4440" t="s">
        <v>37</v>
      </c>
      <c r="D4440">
        <v>4.4701009999999997</v>
      </c>
      <c r="E4440">
        <v>0.36350719999999997</v>
      </c>
      <c r="F4440" t="s">
        <v>40</v>
      </c>
      <c r="G4440">
        <v>-420.12310000000002</v>
      </c>
      <c r="H4440">
        <v>1.0608919999999999</v>
      </c>
      <c r="I4440">
        <v>38.169539999999998</v>
      </c>
      <c r="J4440">
        <v>-420.8125</v>
      </c>
      <c r="K4440">
        <v>1.1119219999999901</v>
      </c>
      <c r="L4440">
        <v>38.57159</v>
      </c>
      <c r="M4440">
        <v>0.2335362</v>
      </c>
      <c r="N4440">
        <v>0</v>
      </c>
      <c r="O4440">
        <v>-0.97224630000000001</v>
      </c>
      <c r="P4440">
        <v>0.54519510000000004</v>
      </c>
      <c r="Q4440">
        <v>5.9631950000000003E-2</v>
      </c>
      <c r="R4440">
        <v>-0.8361864</v>
      </c>
      <c r="S4440">
        <v>2.53302</v>
      </c>
      <c r="T4440">
        <v>-0.17568399999999901</v>
      </c>
      <c r="U4440">
        <v>-1.957581</v>
      </c>
      <c r="V4440">
        <v>-0.33599319999999999</v>
      </c>
      <c r="W4440">
        <v>6.7245070000000004E-2</v>
      </c>
      <c r="X4440">
        <v>0.93946090000000004</v>
      </c>
      <c r="Y4440">
        <v>-0.62521850000000001</v>
      </c>
      <c r="Z4440">
        <v>5.7783599999999997E-2</v>
      </c>
      <c r="AA4440">
        <v>0.77830769999999905</v>
      </c>
      <c r="AB4440">
        <v>27</v>
      </c>
      <c r="AC4440">
        <v>0.68939999999997703</v>
      </c>
      <c r="AD4440">
        <v>-5.1029999999999902E-2</v>
      </c>
      <c r="AE4440">
        <v>-0.40204999999999502</v>
      </c>
      <c r="AF4440">
        <v>-0.57408326810496901</v>
      </c>
      <c r="AG4440">
        <v>-5.1029999999999902E-2</v>
      </c>
      <c r="AH4440">
        <v>0.54969865307661003</v>
      </c>
      <c r="AI4440">
        <v>93.673527348953101</v>
      </c>
      <c r="AJ4440">
        <v>136.24304928638401</v>
      </c>
      <c r="AK4440">
        <v>0.79645732391153301</v>
      </c>
    </row>
    <row r="4441" spans="1:37" x14ac:dyDescent="0.2">
      <c r="A4441" t="str">
        <f>"20200111153523406"</f>
        <v>20200111153523406</v>
      </c>
      <c r="B4441" t="str">
        <f>"1578728123400302"</f>
        <v>1578728123400302</v>
      </c>
      <c r="C4441" t="s">
        <v>37</v>
      </c>
      <c r="D4441">
        <v>4.4458409999999997</v>
      </c>
      <c r="E4441">
        <v>0.362977299999999</v>
      </c>
      <c r="F4441" t="s">
        <v>65</v>
      </c>
      <c r="G4441">
        <v>-404.63229999999999</v>
      </c>
      <c r="H4441" s="1">
        <v>-5.1693690000000002E-6</v>
      </c>
      <c r="I4441">
        <v>26.27298</v>
      </c>
      <c r="J4441">
        <v>-420.76589999999999</v>
      </c>
      <c r="K4441">
        <v>1.1119840000000001</v>
      </c>
      <c r="L4441">
        <v>38.404910000000001</v>
      </c>
      <c r="M4441">
        <v>0.23957329999999899</v>
      </c>
      <c r="N4441">
        <v>0</v>
      </c>
      <c r="O4441">
        <v>-0.97077579999999997</v>
      </c>
      <c r="P4441">
        <v>0.5515118</v>
      </c>
      <c r="Q4441">
        <v>5.9232380000000001E-2</v>
      </c>
      <c r="R4441">
        <v>-0.83206170000000002</v>
      </c>
      <c r="S4441">
        <v>2.5495610000000002</v>
      </c>
      <c r="T4441">
        <v>-0.17520949999999999</v>
      </c>
      <c r="U4441">
        <v>-1.937927</v>
      </c>
      <c r="V4441">
        <v>-0.33726709999999999</v>
      </c>
      <c r="W4441">
        <v>6.6783579999999995E-2</v>
      </c>
      <c r="X4441">
        <v>0.93903719999999902</v>
      </c>
      <c r="Y4441">
        <v>-0.62661679999999997</v>
      </c>
      <c r="Z4441">
        <v>5.7655940000000003E-2</v>
      </c>
      <c r="AA4441">
        <v>0.77719189999999905</v>
      </c>
      <c r="AB4441">
        <v>27</v>
      </c>
      <c r="AC4441">
        <v>16.133600000000001</v>
      </c>
      <c r="AD4441">
        <v>-1.1119891693690001</v>
      </c>
      <c r="AE4441">
        <v>-12.131930000000001</v>
      </c>
      <c r="AF4441">
        <v>-12.718296529652701</v>
      </c>
      <c r="AG4441">
        <v>-1.1119891693690001</v>
      </c>
      <c r="AH4441">
        <v>15.5967906832007</v>
      </c>
      <c r="AI4441">
        <v>93.162614646436893</v>
      </c>
      <c r="AJ4441">
        <v>129.19528839554599</v>
      </c>
      <c r="AK4441">
        <v>20.155680741283501</v>
      </c>
    </row>
    <row r="4442" spans="1:37" x14ac:dyDescent="0.2">
      <c r="A4442" t="str">
        <f>"20200111153523426"</f>
        <v>20200111153523426</v>
      </c>
      <c r="B4442" t="str">
        <f>"1578728123420797"</f>
        <v>1578728123420797</v>
      </c>
      <c r="C4442" t="s">
        <v>37</v>
      </c>
      <c r="D4442">
        <v>4.4842430000000002</v>
      </c>
      <c r="E4442">
        <v>0.36281190000000002</v>
      </c>
      <c r="F4442" t="s">
        <v>65</v>
      </c>
      <c r="G4442">
        <v>-404.62439999999998</v>
      </c>
      <c r="H4442" s="1">
        <v>-5.1877850000000003E-6</v>
      </c>
      <c r="I4442">
        <v>26.355659999999901</v>
      </c>
      <c r="J4442">
        <v>-420.69900000000001</v>
      </c>
      <c r="K4442">
        <v>1.112066</v>
      </c>
      <c r="L4442">
        <v>38.172730000000001</v>
      </c>
      <c r="M4442">
        <v>0.2480762</v>
      </c>
      <c r="N4442">
        <v>0</v>
      </c>
      <c r="O4442">
        <v>-0.96863770000000005</v>
      </c>
      <c r="P4442">
        <v>0.55972330000000003</v>
      </c>
      <c r="Q4442">
        <v>6.0227330000000003E-2</v>
      </c>
      <c r="R4442">
        <v>-0.82648840000000001</v>
      </c>
      <c r="S4442">
        <v>2.5673219999999999</v>
      </c>
      <c r="T4442">
        <v>-0.17686289999999999</v>
      </c>
      <c r="U4442">
        <v>-1.9164429999999999</v>
      </c>
      <c r="V4442">
        <v>-0.33837899999999999</v>
      </c>
      <c r="W4442">
        <v>6.7710350000000002E-2</v>
      </c>
      <c r="X4442">
        <v>0.93857069999999998</v>
      </c>
      <c r="Y4442">
        <v>-0.62652159999999901</v>
      </c>
      <c r="Z4442">
        <v>5.8222429999999999E-2</v>
      </c>
      <c r="AA4442">
        <v>0.77722639999999998</v>
      </c>
      <c r="AB4442">
        <v>27</v>
      </c>
      <c r="AC4442">
        <v>16.0746</v>
      </c>
      <c r="AD4442">
        <v>-1.112071187785</v>
      </c>
      <c r="AE4442">
        <v>-11.817069999999999</v>
      </c>
      <c r="AF4442">
        <v>-12.601037236284601</v>
      </c>
      <c r="AG4442">
        <v>-1.112071187785</v>
      </c>
      <c r="AH4442">
        <v>15.387912276805</v>
      </c>
      <c r="AI4442">
        <v>93.200290390480305</v>
      </c>
      <c r="AJ4442">
        <v>129.31377006330001</v>
      </c>
      <c r="AK4442">
        <v>19.9201075799199</v>
      </c>
    </row>
    <row r="4443" spans="1:37" x14ac:dyDescent="0.2">
      <c r="A4443" t="str">
        <f>"20200111153523449"</f>
        <v>20200111153523449</v>
      </c>
      <c r="B4443" t="str">
        <f>"1578728123440317"</f>
        <v>1578728123440317</v>
      </c>
      <c r="C4443" t="s">
        <v>37</v>
      </c>
      <c r="D4443">
        <v>4.4527219999999996</v>
      </c>
      <c r="E4443">
        <v>0.36254789999999998</v>
      </c>
      <c r="F4443" t="s">
        <v>65</v>
      </c>
      <c r="G4443">
        <v>-404.37110000000001</v>
      </c>
      <c r="H4443" s="1">
        <v>-5.2859100000000004E-6</v>
      </c>
      <c r="I4443">
        <v>26.244019999999999</v>
      </c>
      <c r="J4443">
        <v>-420.62049999999999</v>
      </c>
      <c r="K4443">
        <v>1.1121459999999901</v>
      </c>
      <c r="L4443">
        <v>37.910220000000002</v>
      </c>
      <c r="M4443">
        <v>0.2578049</v>
      </c>
      <c r="N4443">
        <v>0</v>
      </c>
      <c r="O4443">
        <v>-0.96609339999999999</v>
      </c>
      <c r="P4443">
        <v>0.56846869999999905</v>
      </c>
      <c r="Q4443">
        <v>6.1823759999999998E-2</v>
      </c>
      <c r="R4443">
        <v>-0.82037899999999997</v>
      </c>
      <c r="S4443">
        <v>2.587494</v>
      </c>
      <c r="T4443">
        <v>-0.17623059999999999</v>
      </c>
      <c r="U4443">
        <v>-1.89035</v>
      </c>
      <c r="V4443">
        <v>-0.33897849999999902</v>
      </c>
      <c r="W4443">
        <v>6.9251209999999994E-2</v>
      </c>
      <c r="X4443">
        <v>0.93824189999999996</v>
      </c>
      <c r="Y4443">
        <v>-0.62669869999999905</v>
      </c>
      <c r="Z4443">
        <v>5.8052479999999997E-2</v>
      </c>
      <c r="AA4443">
        <v>0.77709629999999996</v>
      </c>
      <c r="AB4443">
        <v>27</v>
      </c>
      <c r="AC4443">
        <v>16.249399999999898</v>
      </c>
      <c r="AD4443">
        <v>-1.11215128590999</v>
      </c>
      <c r="AE4443">
        <v>-11.6662</v>
      </c>
      <c r="AF4443">
        <v>-12.652993363470699</v>
      </c>
      <c r="AG4443">
        <v>-1.11215128590999</v>
      </c>
      <c r="AH4443">
        <v>15.4137160876477</v>
      </c>
      <c r="AI4443">
        <v>93.192048606162103</v>
      </c>
      <c r="AJ4443">
        <v>129.382292481669</v>
      </c>
      <c r="AK4443">
        <v>19.972925803932601</v>
      </c>
    </row>
    <row r="4444" spans="1:37" x14ac:dyDescent="0.2">
      <c r="A4444" t="str">
        <f>"20200111153523462"</f>
        <v>20200111153523462</v>
      </c>
      <c r="B4444" t="str">
        <f>"1578728123460814"</f>
        <v>1578728123460814</v>
      </c>
      <c r="C4444" t="s">
        <v>37</v>
      </c>
      <c r="D4444">
        <v>4.447864</v>
      </c>
      <c r="E4444">
        <v>0.362448299999999</v>
      </c>
      <c r="F4444" t="s">
        <v>65</v>
      </c>
      <c r="G4444">
        <v>-403.68689999999998</v>
      </c>
      <c r="H4444" s="1">
        <v>-5.5308020000000001E-6</v>
      </c>
      <c r="I4444">
        <v>25.829429999999999</v>
      </c>
      <c r="J4444">
        <v>-420.57159999999999</v>
      </c>
      <c r="K4444">
        <v>1.1121799999999999</v>
      </c>
      <c r="L4444">
        <v>37.751370000000001</v>
      </c>
      <c r="M4444">
        <v>0.26374120000000001</v>
      </c>
      <c r="N4444">
        <v>0</v>
      </c>
      <c r="O4444">
        <v>-0.96448969999999901</v>
      </c>
      <c r="P4444">
        <v>0.57359989999999905</v>
      </c>
      <c r="Q4444">
        <v>6.2702140000000003E-2</v>
      </c>
      <c r="R4444">
        <v>-0.81673260000000003</v>
      </c>
      <c r="S4444">
        <v>2.6094360000000001</v>
      </c>
      <c r="T4444">
        <v>-0.17138110000000001</v>
      </c>
      <c r="U4444">
        <v>-1.8616330000000001</v>
      </c>
      <c r="V4444">
        <v>-0.33912999999999999</v>
      </c>
      <c r="W4444">
        <v>7.0104100000000003E-2</v>
      </c>
      <c r="X4444">
        <v>0.93812379999999995</v>
      </c>
      <c r="Y4444">
        <v>-0.63073679999999999</v>
      </c>
      <c r="Z4444">
        <v>5.6509419999999998E-2</v>
      </c>
      <c r="AA4444">
        <v>0.77393659999999997</v>
      </c>
      <c r="AB4444">
        <v>27</v>
      </c>
      <c r="AC4444">
        <v>16.884699999999999</v>
      </c>
      <c r="AD4444">
        <v>-1.1121855308020001</v>
      </c>
      <c r="AE4444">
        <v>-11.921939999999999</v>
      </c>
      <c r="AF4444">
        <v>-13.104187197159501</v>
      </c>
      <c r="AG4444">
        <v>-1.1121855308020001</v>
      </c>
      <c r="AH4444">
        <v>15.907319538069199</v>
      </c>
      <c r="AI4444">
        <v>93.088913377759894</v>
      </c>
      <c r="AJ4444">
        <v>129.48113328365699</v>
      </c>
      <c r="AK4444">
        <v>20.6397551739202</v>
      </c>
    </row>
    <row r="4445" spans="1:37" x14ac:dyDescent="0.2">
      <c r="A4445" t="str">
        <f>"20200111153523478"</f>
        <v>20200111153523478</v>
      </c>
      <c r="B4445" t="str">
        <f>"1578728123470574"</f>
        <v>1578728123470574</v>
      </c>
      <c r="C4445" t="s">
        <v>37</v>
      </c>
      <c r="D4445">
        <v>4.4826699999999997</v>
      </c>
      <c r="E4445">
        <v>0.3623268</v>
      </c>
      <c r="F4445" t="s">
        <v>65</v>
      </c>
      <c r="G4445">
        <v>-403.26679999999999</v>
      </c>
      <c r="H4445" s="1">
        <v>-5.6812349999999998E-6</v>
      </c>
      <c r="I4445">
        <v>25.575289999999999</v>
      </c>
      <c r="J4445">
        <v>-420.5136</v>
      </c>
      <c r="K4445">
        <v>1.112223</v>
      </c>
      <c r="L4445">
        <v>37.567320000000002</v>
      </c>
      <c r="M4445">
        <v>0.27066409999999902</v>
      </c>
      <c r="N4445">
        <v>0</v>
      </c>
      <c r="O4445">
        <v>-0.96256969999999997</v>
      </c>
      <c r="P4445">
        <v>0.57969780000000004</v>
      </c>
      <c r="Q4445">
        <v>6.3416910000000007E-2</v>
      </c>
      <c r="R4445">
        <v>-0.81236019999999998</v>
      </c>
      <c r="S4445">
        <v>2.621826</v>
      </c>
      <c r="T4445">
        <v>-0.16850619999999999</v>
      </c>
      <c r="U4445">
        <v>-1.8447880000000001</v>
      </c>
      <c r="V4445">
        <v>-0.33944730000000001</v>
      </c>
      <c r="W4445">
        <v>7.0789519999999995E-2</v>
      </c>
      <c r="X4445">
        <v>0.93795759999999995</v>
      </c>
      <c r="Y4445">
        <v>-0.63025819999999999</v>
      </c>
      <c r="Z4445">
        <v>5.5581079999999998E-2</v>
      </c>
      <c r="AA4445">
        <v>0.77439360000000002</v>
      </c>
      <c r="AB4445">
        <v>27</v>
      </c>
      <c r="AC4445">
        <v>17.2468</v>
      </c>
      <c r="AD4445">
        <v>-1.112228681235</v>
      </c>
      <c r="AE4445">
        <v>-11.99203</v>
      </c>
      <c r="AF4445">
        <v>-13.3194339355942</v>
      </c>
      <c r="AG4445">
        <v>-1.112228681235</v>
      </c>
      <c r="AH4445">
        <v>16.1675549607105</v>
      </c>
      <c r="AI4445">
        <v>93.039325401205701</v>
      </c>
      <c r="AJ4445">
        <v>129.482968052384</v>
      </c>
      <c r="AK4445">
        <v>20.976992310901402</v>
      </c>
    </row>
    <row r="4446" spans="1:37" x14ac:dyDescent="0.2">
      <c r="A4446" t="str">
        <f>"20200111153523493"</f>
        <v>20200111153523493</v>
      </c>
      <c r="B4446" t="str">
        <f>"1578728123490093"</f>
        <v>1578728123490093</v>
      </c>
      <c r="C4446" t="s">
        <v>37</v>
      </c>
      <c r="D4446">
        <v>4.4956519999999998</v>
      </c>
      <c r="E4446">
        <v>0.36207240000000002</v>
      </c>
      <c r="F4446" t="s">
        <v>40</v>
      </c>
      <c r="G4446">
        <v>-419.7722</v>
      </c>
      <c r="H4446">
        <v>1.0656299999999901</v>
      </c>
      <c r="I4446">
        <v>37.05433</v>
      </c>
      <c r="J4446">
        <v>-420.4631</v>
      </c>
      <c r="K4446">
        <v>1.112258</v>
      </c>
      <c r="L4446">
        <v>37.411769999999997</v>
      </c>
      <c r="M4446">
        <v>0.27657159999999997</v>
      </c>
      <c r="N4446">
        <v>0</v>
      </c>
      <c r="O4446">
        <v>-0.96088879999999999</v>
      </c>
      <c r="P4446">
        <v>0.5852773</v>
      </c>
      <c r="Q4446">
        <v>6.3666210000000001E-2</v>
      </c>
      <c r="R4446">
        <v>-0.8083302</v>
      </c>
      <c r="S4446">
        <v>2.6367799999999999</v>
      </c>
      <c r="T4446">
        <v>-0.16569249999999999</v>
      </c>
      <c r="U4446">
        <v>-1.8242799999999999</v>
      </c>
      <c r="V4446">
        <v>-0.34015970000000001</v>
      </c>
      <c r="W4446">
        <v>7.1006390000000003E-2</v>
      </c>
      <c r="X4446">
        <v>0.93768300000000004</v>
      </c>
      <c r="Y4446">
        <v>-0.63166369999999905</v>
      </c>
      <c r="Z4446">
        <v>5.468249E-2</v>
      </c>
      <c r="AA4446">
        <v>0.77331159999999999</v>
      </c>
      <c r="AB4446">
        <v>27</v>
      </c>
      <c r="AC4446">
        <v>0.69089999999999896</v>
      </c>
      <c r="AD4446">
        <v>-4.66280000000001E-2</v>
      </c>
      <c r="AE4446">
        <v>-0.35744000000000298</v>
      </c>
      <c r="AF4446">
        <v>-0.56305399862568795</v>
      </c>
      <c r="AG4446">
        <v>-4.66280000000001E-2</v>
      </c>
      <c r="AH4446">
        <v>0.532683152852366</v>
      </c>
      <c r="AI4446">
        <v>93.442612980437602</v>
      </c>
      <c r="AJ4446">
        <v>136.58767627031</v>
      </c>
      <c r="AK4446">
        <v>0.77650197493960904</v>
      </c>
    </row>
    <row r="4447" spans="1:37" x14ac:dyDescent="0.2">
      <c r="A4447" t="str">
        <f>"20200111153523507"</f>
        <v>20200111153523507</v>
      </c>
      <c r="B4447" t="str">
        <f>"1578728123500830"</f>
        <v>1578728123500830</v>
      </c>
      <c r="C4447" t="s">
        <v>37</v>
      </c>
      <c r="D4447">
        <v>4.5272739999999896</v>
      </c>
      <c r="E4447">
        <v>0.36199759999999997</v>
      </c>
      <c r="F4447" t="s">
        <v>65</v>
      </c>
      <c r="G4447">
        <v>-402.42450000000002</v>
      </c>
      <c r="H4447" s="1">
        <v>-5.9562580000000002E-6</v>
      </c>
      <c r="I4447">
        <v>25.12961</v>
      </c>
      <c r="J4447">
        <v>-420.40710000000001</v>
      </c>
      <c r="K4447">
        <v>1.1122909999999999</v>
      </c>
      <c r="L4447">
        <v>37.242579999999997</v>
      </c>
      <c r="M4447">
        <v>0.28302690000000003</v>
      </c>
      <c r="N4447">
        <v>0</v>
      </c>
      <c r="O4447">
        <v>-0.95900699999999905</v>
      </c>
      <c r="P4447">
        <v>0.59071049999999903</v>
      </c>
      <c r="Q4447">
        <v>6.353781E-2</v>
      </c>
      <c r="R4447">
        <v>-0.80437819999999904</v>
      </c>
      <c r="S4447">
        <v>2.6508180000000001</v>
      </c>
      <c r="T4447">
        <v>-0.1634505</v>
      </c>
      <c r="U4447">
        <v>-1.8049009999999901</v>
      </c>
      <c r="V4447">
        <v>-0.34017309999999901</v>
      </c>
      <c r="W4447">
        <v>7.0859920000000007E-2</v>
      </c>
      <c r="X4447">
        <v>0.9376892</v>
      </c>
      <c r="Y4447">
        <v>-0.63225750000000003</v>
      </c>
      <c r="Z4447">
        <v>5.3961750000000003E-2</v>
      </c>
      <c r="AA4447">
        <v>0.77287680000000003</v>
      </c>
      <c r="AB4447">
        <v>27</v>
      </c>
      <c r="AC4447">
        <v>17.982599999999898</v>
      </c>
      <c r="AD4447">
        <v>-1.1122969562579901</v>
      </c>
      <c r="AE4447">
        <v>-12.112969999999899</v>
      </c>
      <c r="AF4447">
        <v>-13.782261986252299</v>
      </c>
      <c r="AG4447">
        <v>-1.1122969562579901</v>
      </c>
      <c r="AH4447">
        <v>16.663808824841698</v>
      </c>
      <c r="AI4447">
        <v>92.944476675368705</v>
      </c>
      <c r="AJ4447">
        <v>129.593386412786</v>
      </c>
      <c r="AK4447">
        <v>21.653417155901099</v>
      </c>
    </row>
    <row r="4448" spans="1:37" x14ac:dyDescent="0.2">
      <c r="A4448" t="str">
        <f>"20200111153523522"</f>
        <v>20200111153523522</v>
      </c>
      <c r="B4448" t="str">
        <f>"1578728123510591"</f>
        <v>1578728123510591</v>
      </c>
      <c r="C4448" t="s">
        <v>37</v>
      </c>
      <c r="D4448">
        <v>4.5079799999999999</v>
      </c>
      <c r="E4448">
        <v>0.36197040000000003</v>
      </c>
      <c r="F4448" t="s">
        <v>65</v>
      </c>
      <c r="G4448">
        <v>-402.29480000000001</v>
      </c>
      <c r="H4448" s="1">
        <v>-5.9954149999999996E-6</v>
      </c>
      <c r="I4448">
        <v>25.091629999999999</v>
      </c>
      <c r="J4448">
        <v>-420.35120000000001</v>
      </c>
      <c r="K4448">
        <v>1.112322</v>
      </c>
      <c r="L4448">
        <v>37.076999999999998</v>
      </c>
      <c r="M4448">
        <v>0.28937629999999998</v>
      </c>
      <c r="N4448">
        <v>0</v>
      </c>
      <c r="O4448">
        <v>-0.95711019999999902</v>
      </c>
      <c r="P4448">
        <v>0.59587409999999996</v>
      </c>
      <c r="Q4448">
        <v>6.3365560000000001E-2</v>
      </c>
      <c r="R4448">
        <v>-0.80057440000000002</v>
      </c>
      <c r="S4448">
        <v>2.6632389999999999</v>
      </c>
      <c r="T4448">
        <v>-0.16355259999999999</v>
      </c>
      <c r="U4448">
        <v>-1.7866819999999899</v>
      </c>
      <c r="V4448">
        <v>-0.33999119999999999</v>
      </c>
      <c r="W4448">
        <v>7.0675370000000001E-2</v>
      </c>
      <c r="X4448">
        <v>0.93776919999999897</v>
      </c>
      <c r="Y4448">
        <v>-0.63243990000000005</v>
      </c>
      <c r="Z4448">
        <v>5.4014739999999999E-2</v>
      </c>
      <c r="AA4448">
        <v>0.77272399999999997</v>
      </c>
      <c r="AB4448">
        <v>27</v>
      </c>
      <c r="AC4448">
        <v>18.0564</v>
      </c>
      <c r="AD4448">
        <v>-1.112327995415</v>
      </c>
      <c r="AE4448">
        <v>-11.98537</v>
      </c>
      <c r="AF4448">
        <v>-13.7787768963387</v>
      </c>
      <c r="AG4448">
        <v>-1.112327995415</v>
      </c>
      <c r="AH4448">
        <v>16.6542240535668</v>
      </c>
      <c r="AI4448">
        <v>92.945865090138895</v>
      </c>
      <c r="AJ4448">
        <v>129.602460195438</v>
      </c>
      <c r="AK4448">
        <v>21.643824642490099</v>
      </c>
    </row>
    <row r="4449" spans="1:37" x14ac:dyDescent="0.2">
      <c r="A4449" t="str">
        <f>"20200111153523537"</f>
        <v>20200111153523537</v>
      </c>
      <c r="B4449" t="str">
        <f>"1578728123530109"</f>
        <v>1578728123530109</v>
      </c>
      <c r="C4449" t="s">
        <v>37</v>
      </c>
      <c r="D4449">
        <v>4.7997879999999897</v>
      </c>
      <c r="E4449">
        <v>0.36352990000000002</v>
      </c>
      <c r="F4449" t="s">
        <v>65</v>
      </c>
      <c r="G4449">
        <v>-402.12119999999999</v>
      </c>
      <c r="H4449" s="1">
        <v>-6.0454389999999998E-6</v>
      </c>
      <c r="I4449">
        <v>25.019579999999898</v>
      </c>
      <c r="J4449">
        <v>-420.2894</v>
      </c>
      <c r="K4449">
        <v>1.112358</v>
      </c>
      <c r="L4449">
        <v>36.898440000000001</v>
      </c>
      <c r="M4449">
        <v>0.2962632</v>
      </c>
      <c r="N4449">
        <v>0</v>
      </c>
      <c r="O4449">
        <v>-0.95500079999999998</v>
      </c>
      <c r="P4449">
        <v>0.60118110000000002</v>
      </c>
      <c r="Q4449">
        <v>6.3373250000000006E-2</v>
      </c>
      <c r="R4449">
        <v>-0.79659630000000003</v>
      </c>
      <c r="S4449">
        <v>2.674957</v>
      </c>
      <c r="T4449">
        <v>-0.16321569999999999</v>
      </c>
      <c r="U4449">
        <v>-1.76922599999999</v>
      </c>
      <c r="V4449">
        <v>-0.33947359999999999</v>
      </c>
      <c r="W4449">
        <v>7.067822E-2</v>
      </c>
      <c r="X4449">
        <v>0.93795649999999997</v>
      </c>
      <c r="Y4449">
        <v>-0.63193569999999999</v>
      </c>
      <c r="Z4449">
        <v>5.3914759999999999E-2</v>
      </c>
      <c r="AA4449">
        <v>0.77314329999999998</v>
      </c>
      <c r="AB4449">
        <v>27</v>
      </c>
      <c r="AC4449">
        <v>18.168199999999999</v>
      </c>
      <c r="AD4449">
        <v>-1.112364045439</v>
      </c>
      <c r="AE4449">
        <v>-11.87886</v>
      </c>
      <c r="AF4449">
        <v>-13.796540878534801</v>
      </c>
      <c r="AG4449">
        <v>-1.112364045439</v>
      </c>
      <c r="AH4449">
        <v>16.684761679268501</v>
      </c>
      <c r="AI4449">
        <v>92.941226178271705</v>
      </c>
      <c r="AJ4449">
        <v>129.58716498029801</v>
      </c>
      <c r="AK4449">
        <v>21.678633865551902</v>
      </c>
    </row>
    <row r="4450" spans="1:37" x14ac:dyDescent="0.2">
      <c r="A4450" t="str">
        <f>"20200111153523553"</f>
        <v>20200111153523553</v>
      </c>
      <c r="B4450" t="str">
        <f>"1578728123550606"</f>
        <v>1578728123550606</v>
      </c>
      <c r="C4450" t="s">
        <v>37</v>
      </c>
      <c r="D4450">
        <v>4.795973</v>
      </c>
      <c r="E4450">
        <v>0.44478869999999998</v>
      </c>
      <c r="F4450" t="s">
        <v>40</v>
      </c>
      <c r="G4450">
        <v>-419.53179999999998</v>
      </c>
      <c r="H4450">
        <v>1.063693</v>
      </c>
      <c r="I4450">
        <v>36.400170000000003</v>
      </c>
      <c r="J4450">
        <v>-420.2303</v>
      </c>
      <c r="K4450">
        <v>1.1123829999999999</v>
      </c>
      <c r="L4450">
        <v>36.73227</v>
      </c>
      <c r="M4450">
        <v>0.30271559999999997</v>
      </c>
      <c r="N4450">
        <v>0</v>
      </c>
      <c r="O4450">
        <v>-0.95297500000000002</v>
      </c>
      <c r="P4450">
        <v>0.60630980000000001</v>
      </c>
      <c r="Q4450">
        <v>6.3463930000000002E-2</v>
      </c>
      <c r="R4450">
        <v>-0.79269269999999903</v>
      </c>
      <c r="S4450">
        <v>2.6768190000000001</v>
      </c>
      <c r="T4450">
        <v>-0.17186770000000001</v>
      </c>
      <c r="U4450">
        <v>-1.7594909999999999</v>
      </c>
      <c r="V4450">
        <v>-0.33919159999999998</v>
      </c>
      <c r="W4450">
        <v>7.0761920000000006E-2</v>
      </c>
      <c r="X4450">
        <v>0.93805210000000006</v>
      </c>
      <c r="Y4450">
        <v>-0.62876500000000002</v>
      </c>
      <c r="Z4450">
        <v>5.6810649999999997E-2</v>
      </c>
      <c r="AA4450">
        <v>0.77551729999999997</v>
      </c>
      <c r="AB4450">
        <v>27</v>
      </c>
      <c r="AC4450">
        <v>0.69850000000002399</v>
      </c>
      <c r="AD4450">
        <v>-4.86899999999999E-2</v>
      </c>
      <c r="AE4450">
        <v>-0.33209999999999601</v>
      </c>
      <c r="AF4450">
        <v>-0.56294721480272403</v>
      </c>
      <c r="AG4450">
        <v>-4.86899999999999E-2</v>
      </c>
      <c r="AH4450">
        <v>0.52589894401544501</v>
      </c>
      <c r="AI4450">
        <v>93.616449055017696</v>
      </c>
      <c r="AJ4450">
        <v>136.94875184091001</v>
      </c>
      <c r="AK4450">
        <v>0.77191319594285002</v>
      </c>
    </row>
    <row r="4451" spans="1:37" x14ac:dyDescent="0.2">
      <c r="A4451" t="str">
        <f>"20200111153523570"</f>
        <v>20200111153523570</v>
      </c>
      <c r="B4451" t="str">
        <f>"1578728123560365"</f>
        <v>1578728123560365</v>
      </c>
      <c r="C4451" t="s">
        <v>37</v>
      </c>
      <c r="D4451">
        <v>4.8270989999999996</v>
      </c>
      <c r="E4451">
        <v>0.44583030000000001</v>
      </c>
      <c r="F4451" t="s">
        <v>40</v>
      </c>
      <c r="G4451">
        <v>-419.57479999999998</v>
      </c>
      <c r="H4451">
        <v>1.0489930000000001</v>
      </c>
      <c r="I4451">
        <v>36.086979999999997</v>
      </c>
      <c r="J4451">
        <v>-420.16070000000002</v>
      </c>
      <c r="K4451">
        <v>1.112401</v>
      </c>
      <c r="L4451">
        <v>36.540409999999902</v>
      </c>
      <c r="M4451">
        <v>0.31020159999999902</v>
      </c>
      <c r="N4451">
        <v>0</v>
      </c>
      <c r="O4451">
        <v>-0.95056430000000003</v>
      </c>
      <c r="P4451">
        <v>0.61259960000000002</v>
      </c>
      <c r="Q4451">
        <v>6.2292960000000001E-2</v>
      </c>
      <c r="R4451">
        <v>-0.78793539999999995</v>
      </c>
      <c r="S4451">
        <v>2.1734009999999899</v>
      </c>
      <c r="T4451">
        <v>-0.21012800000000001</v>
      </c>
      <c r="U4451">
        <v>-2.139008</v>
      </c>
      <c r="V4451">
        <v>-0.3392347</v>
      </c>
      <c r="W4451">
        <v>6.9576570000000004E-2</v>
      </c>
      <c r="X4451">
        <v>0.93812519999999999</v>
      </c>
      <c r="Y4451">
        <v>-0.45811970000000002</v>
      </c>
      <c r="Z4451">
        <v>7.0541649999999997E-2</v>
      </c>
      <c r="AA4451">
        <v>0.88608709999999902</v>
      </c>
      <c r="AB4451">
        <v>27</v>
      </c>
      <c r="AC4451">
        <v>0.58590000000003695</v>
      </c>
      <c r="AD4451">
        <v>-6.3407999999999895E-2</v>
      </c>
      <c r="AE4451">
        <v>-0.453429999999997</v>
      </c>
      <c r="AF4451">
        <v>-0.413295636988674</v>
      </c>
      <c r="AG4451">
        <v>-6.3407999999999895E-2</v>
      </c>
      <c r="AH4451">
        <v>0.60836719213373502</v>
      </c>
      <c r="AI4451">
        <v>94.927493224031707</v>
      </c>
      <c r="AJ4451">
        <v>124.190317152143</v>
      </c>
      <c r="AK4451">
        <v>0.73820356168374002</v>
      </c>
    </row>
    <row r="4452" spans="1:37" x14ac:dyDescent="0.2">
      <c r="A4452" t="str">
        <f>"20200111153523584"</f>
        <v>20200111153523584</v>
      </c>
      <c r="B4452" t="str">
        <f>"1578728123580861"</f>
        <v>1578728123580861</v>
      </c>
      <c r="C4452" t="s">
        <v>37</v>
      </c>
      <c r="D4452">
        <v>4.8005129999999996</v>
      </c>
      <c r="E4452">
        <v>0.4453337</v>
      </c>
      <c r="F4452" t="s">
        <v>40</v>
      </c>
      <c r="G4452">
        <v>-419.49419999999998</v>
      </c>
      <c r="H4452">
        <v>1.0453440000000001</v>
      </c>
      <c r="I4452">
        <v>35.890879999999903</v>
      </c>
      <c r="J4452">
        <v>-420.10469999999998</v>
      </c>
      <c r="K4452">
        <v>1.1124160000000001</v>
      </c>
      <c r="L4452">
        <v>36.389650000000003</v>
      </c>
      <c r="M4452">
        <v>0.31610840000000001</v>
      </c>
      <c r="N4452">
        <v>0</v>
      </c>
      <c r="O4452">
        <v>-0.94861629999999997</v>
      </c>
      <c r="P4452">
        <v>0.61759699999999995</v>
      </c>
      <c r="Q4452">
        <v>6.1445270000000003E-2</v>
      </c>
      <c r="R4452">
        <v>-0.78409119999999999</v>
      </c>
      <c r="S4452">
        <v>2.1834720000000001</v>
      </c>
      <c r="T4452">
        <v>-0.2196255</v>
      </c>
      <c r="U4452">
        <v>-2.1271969999999998</v>
      </c>
      <c r="V4452">
        <v>-0.33933200000000002</v>
      </c>
      <c r="W4452">
        <v>6.8716520000000003E-2</v>
      </c>
      <c r="X4452">
        <v>0.93815339999999903</v>
      </c>
      <c r="Y4452">
        <v>-0.45692509999999997</v>
      </c>
      <c r="Z4452">
        <v>7.3688539999999997E-2</v>
      </c>
      <c r="AA4452">
        <v>0.88644769999999995</v>
      </c>
      <c r="AB4452">
        <v>27</v>
      </c>
      <c r="AC4452">
        <v>0.61050000000000104</v>
      </c>
      <c r="AD4452">
        <v>-6.7072000000000007E-2</v>
      </c>
      <c r="AE4452">
        <v>-0.49877000000000699</v>
      </c>
      <c r="AF4452">
        <v>-0.41847836990980503</v>
      </c>
      <c r="AG4452">
        <v>-6.7072000000000007E-2</v>
      </c>
      <c r="AH4452">
        <v>0.66140537326998095</v>
      </c>
      <c r="AI4452">
        <v>94.898039700943599</v>
      </c>
      <c r="AJ4452">
        <v>122.321981927854</v>
      </c>
      <c r="AK4452">
        <v>0.78554431259908597</v>
      </c>
    </row>
    <row r="4453" spans="1:37" x14ac:dyDescent="0.2">
      <c r="A4453" t="str">
        <f>"20200111153523597"</f>
        <v>20200111153523597</v>
      </c>
      <c r="B4453" t="str">
        <f>"1578728123590621"</f>
        <v>1578728123590621</v>
      </c>
      <c r="C4453" t="s">
        <v>37</v>
      </c>
      <c r="D4453">
        <v>4.7550499999999998</v>
      </c>
      <c r="E4453">
        <v>0.44462760000000001</v>
      </c>
      <c r="F4453" t="s">
        <v>40</v>
      </c>
      <c r="G4453">
        <v>-419.37860000000001</v>
      </c>
      <c r="H4453">
        <v>1.0407230000000001</v>
      </c>
      <c r="I4453">
        <v>35.693179999999998</v>
      </c>
      <c r="J4453">
        <v>-420.04559999999998</v>
      </c>
      <c r="K4453">
        <v>1.11243799999999</v>
      </c>
      <c r="L4453">
        <v>36.232939999999999</v>
      </c>
      <c r="M4453">
        <v>0.32227410000000001</v>
      </c>
      <c r="N4453">
        <v>0</v>
      </c>
      <c r="O4453">
        <v>-0.94653920000000002</v>
      </c>
      <c r="P4453">
        <v>0.62268040000000002</v>
      </c>
      <c r="Q4453">
        <v>6.0682189999999997E-2</v>
      </c>
      <c r="R4453">
        <v>-0.78012000000000004</v>
      </c>
      <c r="S4453">
        <v>2.2001339999999998</v>
      </c>
      <c r="T4453">
        <v>-0.217213299999999</v>
      </c>
      <c r="U4453">
        <v>-2.1101679999999998</v>
      </c>
      <c r="V4453">
        <v>-0.3392963</v>
      </c>
      <c r="W4453">
        <v>6.7944889999999994E-2</v>
      </c>
      <c r="X4453">
        <v>0.93822249999999996</v>
      </c>
      <c r="Y4453">
        <v>-0.45811409999999902</v>
      </c>
      <c r="Z4453">
        <v>7.2854619999999995E-2</v>
      </c>
      <c r="AA4453">
        <v>0.88590279999999999</v>
      </c>
      <c r="AB4453">
        <v>27</v>
      </c>
      <c r="AC4453">
        <v>0.66699999999997295</v>
      </c>
      <c r="AD4453">
        <v>-7.1714999999999696E-2</v>
      </c>
      <c r="AE4453">
        <v>-0.53976000000000102</v>
      </c>
      <c r="AF4453">
        <v>-0.45426407036292399</v>
      </c>
      <c r="AG4453">
        <v>-7.1714999999999696E-2</v>
      </c>
      <c r="AH4453">
        <v>0.72089854814096699</v>
      </c>
      <c r="AI4453">
        <v>94.810906119908594</v>
      </c>
      <c r="AJ4453">
        <v>122.21650235677799</v>
      </c>
      <c r="AK4453">
        <v>0.85509859288823897</v>
      </c>
    </row>
    <row r="4454" spans="1:37" x14ac:dyDescent="0.2">
      <c r="A4454" t="str">
        <f>"20200111153523610"</f>
        <v>20200111153523610</v>
      </c>
      <c r="B4454" t="str">
        <f>"1578728123600381"</f>
        <v>1578728123600381</v>
      </c>
      <c r="C4454" t="s">
        <v>37</v>
      </c>
      <c r="D4454">
        <v>4.7692889999999997</v>
      </c>
      <c r="E4454">
        <v>0.4442045</v>
      </c>
      <c r="F4454" t="s">
        <v>65</v>
      </c>
      <c r="G4454">
        <v>-408.67169999999999</v>
      </c>
      <c r="H4454" s="1">
        <v>-2.9439010000000001E-6</v>
      </c>
      <c r="I4454">
        <v>25.505189999999999</v>
      </c>
      <c r="J4454">
        <v>-419.99259999999998</v>
      </c>
      <c r="K4454">
        <v>1.1124529999999999</v>
      </c>
      <c r="L4454">
        <v>36.096069999999997</v>
      </c>
      <c r="M4454">
        <v>0.32769299999999901</v>
      </c>
      <c r="N4454">
        <v>0</v>
      </c>
      <c r="O4454">
        <v>-0.94467659999999998</v>
      </c>
      <c r="P4454">
        <v>0.62708160000000002</v>
      </c>
      <c r="Q4454">
        <v>6.0041869999999997E-2</v>
      </c>
      <c r="R4454">
        <v>-0.776636199999999</v>
      </c>
      <c r="S4454">
        <v>2.2180179999999998</v>
      </c>
      <c r="T4454">
        <v>-0.216936299999999</v>
      </c>
      <c r="U4454">
        <v>-2.0920099999999899</v>
      </c>
      <c r="V4454">
        <v>-0.33920020000000001</v>
      </c>
      <c r="W4454">
        <v>6.7299310000000001E-2</v>
      </c>
      <c r="X4454">
        <v>0.93830380000000002</v>
      </c>
      <c r="Y4454">
        <v>-0.46043260000000003</v>
      </c>
      <c r="Z4454">
        <v>7.2745420000000005E-2</v>
      </c>
      <c r="AA4454">
        <v>0.88470899999999997</v>
      </c>
      <c r="AB4454">
        <v>27</v>
      </c>
      <c r="AC4454">
        <v>11.3208999999999</v>
      </c>
      <c r="AD4454">
        <v>-1.112455943901</v>
      </c>
      <c r="AE4454">
        <v>-10.59088</v>
      </c>
      <c r="AF4454">
        <v>-7.1877541631831399</v>
      </c>
      <c r="AG4454">
        <v>-1.112455943901</v>
      </c>
      <c r="AH4454">
        <v>13.6458630114444</v>
      </c>
      <c r="AI4454">
        <v>94.125542495999298</v>
      </c>
      <c r="AJ4454">
        <v>117.777347827002</v>
      </c>
      <c r="AK4454">
        <v>15.4632126501767</v>
      </c>
    </row>
    <row r="4455" spans="1:37" x14ac:dyDescent="0.2">
      <c r="A4455" t="str">
        <f>"20200111153523624"</f>
        <v>20200111153523624</v>
      </c>
      <c r="B4455" t="str">
        <f>"1578728123620877"</f>
        <v>1578728123620877</v>
      </c>
      <c r="C4455" t="s">
        <v>37</v>
      </c>
      <c r="D4455">
        <v>4.7917170000000002</v>
      </c>
      <c r="E4455">
        <v>0.44358940000000002</v>
      </c>
      <c r="F4455" t="s">
        <v>40</v>
      </c>
      <c r="G4455">
        <v>-419.31349999999998</v>
      </c>
      <c r="H4455">
        <v>1.045912</v>
      </c>
      <c r="I4455">
        <v>35.463990000000003</v>
      </c>
      <c r="J4455">
        <v>-419.93439999999998</v>
      </c>
      <c r="K4455">
        <v>1.1124670000000001</v>
      </c>
      <c r="L4455">
        <v>35.948</v>
      </c>
      <c r="M4455">
        <v>0.33357140000000002</v>
      </c>
      <c r="N4455">
        <v>0</v>
      </c>
      <c r="O4455">
        <v>-0.94261709999999999</v>
      </c>
      <c r="P4455">
        <v>0.63183100000000003</v>
      </c>
      <c r="Q4455">
        <v>5.963719E-2</v>
      </c>
      <c r="R4455">
        <v>-0.77280909999999903</v>
      </c>
      <c r="S4455">
        <v>2.2324220000000001</v>
      </c>
      <c r="T4455">
        <v>-0.21868389999999999</v>
      </c>
      <c r="U4455">
        <v>-2.07714799999999</v>
      </c>
      <c r="V4455">
        <v>-0.33909229999999901</v>
      </c>
      <c r="W4455">
        <v>6.6888729999999993E-2</v>
      </c>
      <c r="X4455">
        <v>0.93837209999999904</v>
      </c>
      <c r="Y4455">
        <v>-0.46088050000000003</v>
      </c>
      <c r="Z4455">
        <v>7.3282539999999993E-2</v>
      </c>
      <c r="AA4455">
        <v>0.88443139999999998</v>
      </c>
      <c r="AB4455">
        <v>27</v>
      </c>
      <c r="AC4455">
        <v>0.620900000000006</v>
      </c>
      <c r="AD4455">
        <v>-6.6554999999999906E-2</v>
      </c>
      <c r="AE4455">
        <v>-0.484009999999997</v>
      </c>
      <c r="AF4455">
        <v>-0.42085428081473503</v>
      </c>
      <c r="AG4455">
        <v>-6.6554999999999906E-2</v>
      </c>
      <c r="AH4455">
        <v>0.65871018311960094</v>
      </c>
      <c r="AI4455">
        <v>94.866652429607299</v>
      </c>
      <c r="AJ4455">
        <v>122.574777591081</v>
      </c>
      <c r="AK4455">
        <v>0.784504301486325</v>
      </c>
    </row>
    <row r="4456" spans="1:37" x14ac:dyDescent="0.2">
      <c r="A4456" t="str">
        <f>"20200111153523638"</f>
        <v>20200111153523638</v>
      </c>
      <c r="B4456" t="str">
        <f>"1578728123630637"</f>
        <v>1578728123630637</v>
      </c>
      <c r="C4456" t="s">
        <v>37</v>
      </c>
      <c r="D4456">
        <v>4.8277400000000004</v>
      </c>
      <c r="E4456">
        <v>0.44350319999999999</v>
      </c>
      <c r="F4456" t="s">
        <v>40</v>
      </c>
      <c r="G4456">
        <v>-419.19290000000001</v>
      </c>
      <c r="H4456">
        <v>1.0401129999999901</v>
      </c>
      <c r="I4456">
        <v>35.268729999999998</v>
      </c>
      <c r="J4456">
        <v>-419.87110000000001</v>
      </c>
      <c r="K4456">
        <v>1.1124860000000001</v>
      </c>
      <c r="L4456">
        <v>35.789250000000003</v>
      </c>
      <c r="M4456">
        <v>0.3398989</v>
      </c>
      <c r="N4456">
        <v>0</v>
      </c>
      <c r="O4456">
        <v>-0.94035360000000001</v>
      </c>
      <c r="P4456">
        <v>0.63723929999999995</v>
      </c>
      <c r="Q4456">
        <v>5.9519879999999997E-2</v>
      </c>
      <c r="R4456">
        <v>-0.7683643</v>
      </c>
      <c r="S4456">
        <v>2.2487789999999999</v>
      </c>
      <c r="T4456">
        <v>-0.21945599999999901</v>
      </c>
      <c r="U4456">
        <v>-2.06030299999999</v>
      </c>
      <c r="V4456">
        <v>-0.33937050000000002</v>
      </c>
      <c r="W4456">
        <v>6.6754549999999996E-2</v>
      </c>
      <c r="X4456">
        <v>0.93828109999999998</v>
      </c>
      <c r="Y4456">
        <v>-0.4617155</v>
      </c>
      <c r="Z4456">
        <v>7.3487189999999994E-2</v>
      </c>
      <c r="AA4456">
        <v>0.88397870000000001</v>
      </c>
      <c r="AB4456">
        <v>27</v>
      </c>
      <c r="AC4456">
        <v>0.67820000000000302</v>
      </c>
      <c r="AD4456">
        <v>-7.2373000000000201E-2</v>
      </c>
      <c r="AE4456">
        <v>-0.52052000000000398</v>
      </c>
      <c r="AF4456">
        <v>-0.45759135648117799</v>
      </c>
      <c r="AG4456">
        <v>-7.2373000000000201E-2</v>
      </c>
      <c r="AH4456">
        <v>0.71494216608193395</v>
      </c>
      <c r="AI4456">
        <v>94.873303617279504</v>
      </c>
      <c r="AJ4456">
        <v>122.620855981547</v>
      </c>
      <c r="AK4456">
        <v>0.851921358751623</v>
      </c>
    </row>
    <row r="4457" spans="1:37" x14ac:dyDescent="0.2">
      <c r="A4457" t="str">
        <f>"20200111153523652"</f>
        <v>20200111153523652</v>
      </c>
      <c r="B4457" t="str">
        <f>"1578728123640398"</f>
        <v>1578728123640398</v>
      </c>
      <c r="C4457" t="s">
        <v>37</v>
      </c>
      <c r="D4457">
        <v>4.817253</v>
      </c>
      <c r="E4457">
        <v>0.44341219999999998</v>
      </c>
      <c r="F4457" t="s">
        <v>65</v>
      </c>
      <c r="G4457">
        <v>-408.36590000000001</v>
      </c>
      <c r="H4457" s="1">
        <v>-3.1019240000000001E-6</v>
      </c>
      <c r="I4457">
        <v>25.401889999999899</v>
      </c>
      <c r="J4457">
        <v>-419.81199999999899</v>
      </c>
      <c r="K4457">
        <v>1.112509</v>
      </c>
      <c r="L4457">
        <v>35.645290000000003</v>
      </c>
      <c r="M4457">
        <v>0.34568149999999997</v>
      </c>
      <c r="N4457">
        <v>0</v>
      </c>
      <c r="O4457">
        <v>-0.93824319999999894</v>
      </c>
      <c r="P4457">
        <v>0.64189049999999903</v>
      </c>
      <c r="Q4457">
        <v>5.9147690000000003E-2</v>
      </c>
      <c r="R4457">
        <v>-0.76451190000000002</v>
      </c>
      <c r="S4457">
        <v>2.2638240000000001</v>
      </c>
      <c r="T4457">
        <v>-0.21890079999999901</v>
      </c>
      <c r="U4457">
        <v>-2.0438839999999998</v>
      </c>
      <c r="V4457">
        <v>-0.33927489999999999</v>
      </c>
      <c r="W4457">
        <v>6.6374409999999995E-2</v>
      </c>
      <c r="X4457">
        <v>0.93834269999999997</v>
      </c>
      <c r="Y4457">
        <v>-0.46272459999999999</v>
      </c>
      <c r="Z4457">
        <v>7.3265869999999997E-2</v>
      </c>
      <c r="AA4457">
        <v>0.88346930000000001</v>
      </c>
      <c r="AB4457">
        <v>27</v>
      </c>
      <c r="AC4457">
        <v>11.4460999999999</v>
      </c>
      <c r="AD4457">
        <v>-1.1125121019240001</v>
      </c>
      <c r="AE4457">
        <v>-10.243399999999999</v>
      </c>
      <c r="AF4457">
        <v>-7.1614388695623701</v>
      </c>
      <c r="AG4457">
        <v>-1.1125121019240001</v>
      </c>
      <c r="AH4457">
        <v>13.4980820154199</v>
      </c>
      <c r="AI4457">
        <v>94.164211589488204</v>
      </c>
      <c r="AJ4457">
        <v>117.94829029256</v>
      </c>
      <c r="AK4457">
        <v>15.3206431964982</v>
      </c>
    </row>
    <row r="4458" spans="1:37" x14ac:dyDescent="0.2">
      <c r="A4458" t="str">
        <f>"20200111153523666"</f>
        <v>20200111153523666</v>
      </c>
      <c r="B4458" t="str">
        <f>"1578728123659918"</f>
        <v>1578728123659918</v>
      </c>
      <c r="C4458" t="s">
        <v>37</v>
      </c>
      <c r="D4458">
        <v>4.8341979999999998</v>
      </c>
      <c r="E4458">
        <v>0.4432662</v>
      </c>
      <c r="F4458" t="s">
        <v>40</v>
      </c>
      <c r="G4458">
        <v>-419.12920000000003</v>
      </c>
      <c r="H4458">
        <v>1.0466690000000001</v>
      </c>
      <c r="I4458">
        <v>35.036679999999997</v>
      </c>
      <c r="J4458">
        <v>-419.74430000000001</v>
      </c>
      <c r="K4458">
        <v>1.1125290000000001</v>
      </c>
      <c r="L4458">
        <v>35.482640000000004</v>
      </c>
      <c r="M4458">
        <v>0.35224329999999998</v>
      </c>
      <c r="N4458">
        <v>0</v>
      </c>
      <c r="O4458">
        <v>-0.9357993</v>
      </c>
      <c r="P4458">
        <v>0.64710990000000002</v>
      </c>
      <c r="Q4458">
        <v>5.947289E-2</v>
      </c>
      <c r="R4458">
        <v>-0.76007360000000002</v>
      </c>
      <c r="S4458">
        <v>2.2768549999999999</v>
      </c>
      <c r="T4458">
        <v>-0.21953029999999901</v>
      </c>
      <c r="U4458">
        <v>-2.0293580000000002</v>
      </c>
      <c r="V4458">
        <v>-0.3391479</v>
      </c>
      <c r="W4458">
        <v>6.6687949999999996E-2</v>
      </c>
      <c r="X4458">
        <v>0.93836640000000004</v>
      </c>
      <c r="Y4458">
        <v>-0.46216449999999998</v>
      </c>
      <c r="Z4458">
        <v>7.340787E-2</v>
      </c>
      <c r="AA4458">
        <v>0.8837507</v>
      </c>
      <c r="AB4458">
        <v>27</v>
      </c>
      <c r="AC4458">
        <v>0.61509999999998399</v>
      </c>
      <c r="AD4458">
        <v>-6.5860000000000002E-2</v>
      </c>
      <c r="AE4458">
        <v>-0.44596000000000602</v>
      </c>
      <c r="AF4458">
        <v>-0.415444663721111</v>
      </c>
      <c r="AG4458">
        <v>-6.5860000000000002E-2</v>
      </c>
      <c r="AH4458">
        <v>0.62932963982540102</v>
      </c>
      <c r="AI4458">
        <v>94.991386622290605</v>
      </c>
      <c r="AJ4458">
        <v>123.43033461037</v>
      </c>
      <c r="AK4458">
        <v>0.75695944658687997</v>
      </c>
    </row>
    <row r="4459" spans="1:37" x14ac:dyDescent="0.2">
      <c r="A4459" t="str">
        <f>"20200111153523682"</f>
        <v>20200111153523682</v>
      </c>
      <c r="B4459" t="str">
        <f>"1578728123670653"</f>
        <v>1578728123670653</v>
      </c>
      <c r="C4459" t="s">
        <v>37</v>
      </c>
      <c r="D4459">
        <v>4.8550279999999999</v>
      </c>
      <c r="E4459">
        <v>0.44320559999999998</v>
      </c>
      <c r="F4459" t="s">
        <v>40</v>
      </c>
      <c r="G4459">
        <v>-419.0129</v>
      </c>
      <c r="H4459">
        <v>1.0428329999999999</v>
      </c>
      <c r="I4459">
        <v>34.840359999999997</v>
      </c>
      <c r="J4459">
        <v>-419.67290000000003</v>
      </c>
      <c r="K4459">
        <v>1.1125620000000001</v>
      </c>
      <c r="L4459">
        <v>35.31427</v>
      </c>
      <c r="M4459">
        <v>0.3590758</v>
      </c>
      <c r="N4459">
        <v>0</v>
      </c>
      <c r="O4459">
        <v>-0.933199</v>
      </c>
      <c r="P4459">
        <v>0.6517733</v>
      </c>
      <c r="Q4459">
        <v>5.954197E-2</v>
      </c>
      <c r="R4459">
        <v>-0.75607369999999996</v>
      </c>
      <c r="S4459">
        <v>2.291779</v>
      </c>
      <c r="T4459">
        <v>-0.218423799999999</v>
      </c>
      <c r="U4459">
        <v>-2.01287799999999</v>
      </c>
      <c r="V4459">
        <v>-0.33806770000000003</v>
      </c>
      <c r="W4459">
        <v>6.6763610000000001E-2</v>
      </c>
      <c r="X4459">
        <v>0.93875069999999905</v>
      </c>
      <c r="Y4459">
        <v>-0.46215079999999997</v>
      </c>
      <c r="Z4459">
        <v>7.2967690000000002E-2</v>
      </c>
      <c r="AA4459">
        <v>0.88379430000000003</v>
      </c>
      <c r="AB4459">
        <v>27</v>
      </c>
      <c r="AC4459">
        <v>0.66000000000002501</v>
      </c>
      <c r="AD4459">
        <v>-6.9729000000000096E-2</v>
      </c>
      <c r="AE4459">
        <v>-0.473910000000003</v>
      </c>
      <c r="AF4459">
        <v>-0.44252813885196002</v>
      </c>
      <c r="AG4459">
        <v>-6.9729000000000096E-2</v>
      </c>
      <c r="AH4459">
        <v>0.67434534724579998</v>
      </c>
      <c r="AI4459">
        <v>94.940941236741594</v>
      </c>
      <c r="AJ4459">
        <v>123.274234986512</v>
      </c>
      <c r="AK4459">
        <v>0.80958936163269801</v>
      </c>
    </row>
    <row r="4460" spans="1:37" x14ac:dyDescent="0.2">
      <c r="A4460" t="str">
        <f>"20200111153523697"</f>
        <v>20200111153523697</v>
      </c>
      <c r="B4460" t="str">
        <f>"1578728123690174"</f>
        <v>1578728123690174</v>
      </c>
      <c r="C4460" t="s">
        <v>37</v>
      </c>
      <c r="D4460">
        <v>4.8227310000000001</v>
      </c>
      <c r="E4460">
        <v>0.44323040000000002</v>
      </c>
      <c r="F4460" t="s">
        <v>40</v>
      </c>
      <c r="G4460">
        <v>-418.89830000000001</v>
      </c>
      <c r="H4460">
        <v>1.039641</v>
      </c>
      <c r="I4460">
        <v>34.642209999999999</v>
      </c>
      <c r="J4460">
        <v>-419.59609999999998</v>
      </c>
      <c r="K4460">
        <v>1.1126020000000001</v>
      </c>
      <c r="L4460">
        <v>35.137180000000001</v>
      </c>
      <c r="M4460">
        <v>0.36631160000000001</v>
      </c>
      <c r="N4460">
        <v>0</v>
      </c>
      <c r="O4460">
        <v>-0.9303823</v>
      </c>
      <c r="P4460">
        <v>0.65748850000000003</v>
      </c>
      <c r="Q4460">
        <v>5.9865410000000001E-2</v>
      </c>
      <c r="R4460">
        <v>-0.75108280000000005</v>
      </c>
      <c r="S4460">
        <v>2.3046259999999998</v>
      </c>
      <c r="T4460">
        <v>-0.21685570000000001</v>
      </c>
      <c r="U4460">
        <v>-1.99823</v>
      </c>
      <c r="V4460">
        <v>-0.33791919999999998</v>
      </c>
      <c r="W4460">
        <v>6.7068100000000005E-2</v>
      </c>
      <c r="X4460">
        <v>0.93878249999999996</v>
      </c>
      <c r="Y4460">
        <v>-0.46094809999999897</v>
      </c>
      <c r="Z4460">
        <v>7.2352920000000001E-2</v>
      </c>
      <c r="AA4460">
        <v>0.884472699999999</v>
      </c>
      <c r="AB4460">
        <v>27</v>
      </c>
      <c r="AC4460">
        <v>0.697799999999972</v>
      </c>
      <c r="AD4460">
        <v>-7.2960999999999998E-2</v>
      </c>
      <c r="AE4460">
        <v>-0.49497000000000202</v>
      </c>
      <c r="AF4460">
        <v>-0.46457648963139703</v>
      </c>
      <c r="AG4460">
        <v>-7.2960999999999998E-2</v>
      </c>
      <c r="AH4460">
        <v>0.71102548851631098</v>
      </c>
      <c r="AI4460">
        <v>94.909801443712695</v>
      </c>
      <c r="AJ4460">
        <v>123.16017365290401</v>
      </c>
      <c r="AK4460">
        <v>0.85247396884543702</v>
      </c>
    </row>
    <row r="4461" spans="1:37" x14ac:dyDescent="0.2">
      <c r="A4461" t="str">
        <f>"20200111153523713"</f>
        <v>20200111153523713</v>
      </c>
      <c r="B4461" t="str">
        <f>"1578728123710670"</f>
        <v>1578728123710670</v>
      </c>
      <c r="C4461" t="s">
        <v>37</v>
      </c>
      <c r="D4461">
        <v>4.8686509999999998</v>
      </c>
      <c r="E4461">
        <v>0.44366640000000002</v>
      </c>
      <c r="F4461" t="s">
        <v>65</v>
      </c>
      <c r="G4461">
        <v>-407.55579999999998</v>
      </c>
      <c r="H4461" s="1">
        <v>-3.4584089999999998E-6</v>
      </c>
      <c r="I4461">
        <v>24.857520000000001</v>
      </c>
      <c r="J4461">
        <v>-419.52510000000001</v>
      </c>
      <c r="K4461">
        <v>1.112641</v>
      </c>
      <c r="L4461">
        <v>34.97757</v>
      </c>
      <c r="M4461">
        <v>0.37290079999999998</v>
      </c>
      <c r="N4461">
        <v>0</v>
      </c>
      <c r="O4461">
        <v>-0.92776049999999999</v>
      </c>
      <c r="P4461">
        <v>0.66263050000000001</v>
      </c>
      <c r="Q4461">
        <v>6.000233E-2</v>
      </c>
      <c r="R4461">
        <v>-0.74653939999999996</v>
      </c>
      <c r="S4461">
        <v>2.3198240000000001</v>
      </c>
      <c r="T4461">
        <v>-0.21436669999999999</v>
      </c>
      <c r="U4461">
        <v>-1.980591</v>
      </c>
      <c r="V4461">
        <v>-0.33772049999999998</v>
      </c>
      <c r="W4461">
        <v>6.7186560000000006E-2</v>
      </c>
      <c r="X4461">
        <v>0.9388455</v>
      </c>
      <c r="Y4461">
        <v>-0.46145979999999998</v>
      </c>
      <c r="Z4461">
        <v>7.1463319999999997E-2</v>
      </c>
      <c r="AA4461">
        <v>0.88427809999999996</v>
      </c>
      <c r="AB4461">
        <v>27</v>
      </c>
      <c r="AC4461">
        <v>11.9693</v>
      </c>
      <c r="AD4461">
        <v>-1.1126444584090001</v>
      </c>
      <c r="AE4461">
        <v>-10.120050000000001</v>
      </c>
      <c r="AF4461">
        <v>-7.2948634141472803</v>
      </c>
      <c r="AG4461">
        <v>-1.1126444584090001</v>
      </c>
      <c r="AH4461">
        <v>13.784308340122699</v>
      </c>
      <c r="AI4461">
        <v>94.080771022060702</v>
      </c>
      <c r="AJ4461">
        <v>117.888466767437</v>
      </c>
      <c r="AK4461">
        <v>15.635221979155601</v>
      </c>
    </row>
    <row r="4462" spans="1:37" x14ac:dyDescent="0.2">
      <c r="A4462" t="str">
        <f>"20200111153523728"</f>
        <v>20200111153523728</v>
      </c>
      <c r="B4462" t="str">
        <f>"1578728123720429"</f>
        <v>1578728123720429</v>
      </c>
      <c r="C4462" t="s">
        <v>37</v>
      </c>
      <c r="D4462">
        <v>4.8365549999999997</v>
      </c>
      <c r="E4462">
        <v>0.44391809999999998</v>
      </c>
      <c r="F4462" t="s">
        <v>40</v>
      </c>
      <c r="G4462">
        <v>-418.82310000000001</v>
      </c>
      <c r="H4462">
        <v>1.049264</v>
      </c>
      <c r="I4462">
        <v>34.385100000000001</v>
      </c>
      <c r="J4462">
        <v>-419.45859999999999</v>
      </c>
      <c r="K4462">
        <v>1.112681</v>
      </c>
      <c r="L4462">
        <v>34.830509999999997</v>
      </c>
      <c r="M4462">
        <v>0.37901679999999999</v>
      </c>
      <c r="N4462">
        <v>0</v>
      </c>
      <c r="O4462">
        <v>-0.92527870000000001</v>
      </c>
      <c r="P4462">
        <v>0.66739419999999905</v>
      </c>
      <c r="Q4462">
        <v>5.9423820000000002E-2</v>
      </c>
      <c r="R4462">
        <v>-0.74233009999999999</v>
      </c>
      <c r="S4462">
        <v>2.3310240000000002</v>
      </c>
      <c r="T4462">
        <v>-0.2103747</v>
      </c>
      <c r="U4462">
        <v>-1.966461</v>
      </c>
      <c r="V4462">
        <v>-0.33750930000000001</v>
      </c>
      <c r="W4462">
        <v>6.6589469999999998E-2</v>
      </c>
      <c r="X4462">
        <v>0.93896389999999996</v>
      </c>
      <c r="Y4462">
        <v>-0.46090989999999998</v>
      </c>
      <c r="Z4462">
        <v>7.0075940000000003E-2</v>
      </c>
      <c r="AA4462">
        <v>0.88467589999999996</v>
      </c>
      <c r="AB4462">
        <v>27</v>
      </c>
      <c r="AC4462">
        <v>0.63549999999997897</v>
      </c>
      <c r="AD4462">
        <v>-6.3417000000000001E-2</v>
      </c>
      <c r="AE4462">
        <v>-0.44540999999999498</v>
      </c>
      <c r="AF4462">
        <v>-0.41645880485743603</v>
      </c>
      <c r="AG4462">
        <v>-6.3417000000000001E-2</v>
      </c>
      <c r="AH4462">
        <v>0.64872860856598802</v>
      </c>
      <c r="AI4462">
        <v>94.702767396206994</v>
      </c>
      <c r="AJ4462">
        <v>122.698901735118</v>
      </c>
      <c r="AK4462">
        <v>0.77350401395483903</v>
      </c>
    </row>
    <row r="4463" spans="1:37" x14ac:dyDescent="0.2">
      <c r="A4463" t="str">
        <f>"20200111153523743"</f>
        <v>20200111153523743</v>
      </c>
      <c r="B4463" t="str">
        <f>"1578728123739949"</f>
        <v>1578728123739949</v>
      </c>
      <c r="C4463" t="s">
        <v>37</v>
      </c>
      <c r="D4463">
        <v>4.7214869999999998</v>
      </c>
      <c r="E4463">
        <v>0.44405259999999902</v>
      </c>
      <c r="F4463" t="s">
        <v>40</v>
      </c>
      <c r="G4463">
        <v>-418.7183</v>
      </c>
      <c r="H4463">
        <v>1.0461469999999999</v>
      </c>
      <c r="I4463">
        <v>34.212969999999999</v>
      </c>
      <c r="J4463">
        <v>-419.3802</v>
      </c>
      <c r="K4463">
        <v>1.1127339999999999</v>
      </c>
      <c r="L4463">
        <v>34.660159999999998</v>
      </c>
      <c r="M4463">
        <v>0.38615620000000001</v>
      </c>
      <c r="N4463">
        <v>0</v>
      </c>
      <c r="O4463">
        <v>-0.92232190000000003</v>
      </c>
      <c r="P4463">
        <v>0.6729598</v>
      </c>
      <c r="Q4463">
        <v>5.9067109999999999E-2</v>
      </c>
      <c r="R4463">
        <v>-0.73731740000000001</v>
      </c>
      <c r="S4463">
        <v>2.342041</v>
      </c>
      <c r="T4463">
        <v>-0.21040010000000001</v>
      </c>
      <c r="U4463">
        <v>-1.952545</v>
      </c>
      <c r="V4463">
        <v>-0.33730749999999998</v>
      </c>
      <c r="W4463">
        <v>6.6205029999999998E-2</v>
      </c>
      <c r="X4463">
        <v>0.93906369999999895</v>
      </c>
      <c r="Y4463">
        <v>-0.45920529999999998</v>
      </c>
      <c r="Z4463">
        <v>6.9985829999999999E-2</v>
      </c>
      <c r="AA4463">
        <v>0.88556900000000005</v>
      </c>
      <c r="AB4463">
        <v>27</v>
      </c>
      <c r="AC4463">
        <v>0.66190000000000204</v>
      </c>
      <c r="AD4463">
        <v>-6.6587000000000104E-2</v>
      </c>
      <c r="AE4463">
        <v>-0.44718999999999898</v>
      </c>
      <c r="AF4463">
        <v>-0.43482330127216401</v>
      </c>
      <c r="AG4463">
        <v>-6.6587000000000104E-2</v>
      </c>
      <c r="AH4463">
        <v>0.66350819380917603</v>
      </c>
      <c r="AI4463">
        <v>94.798012760036997</v>
      </c>
      <c r="AJ4463">
        <v>123.238419171876</v>
      </c>
      <c r="AK4463">
        <v>0.79608307050843596</v>
      </c>
    </row>
    <row r="4464" spans="1:37" x14ac:dyDescent="0.2">
      <c r="A4464" t="str">
        <f>"20200111153523758"</f>
        <v>20200111153523758</v>
      </c>
      <c r="B4464" t="str">
        <f>"1578728123750686"</f>
        <v>1578728123750686</v>
      </c>
      <c r="C4464" t="s">
        <v>37</v>
      </c>
      <c r="D4464">
        <v>4.6787539999999996</v>
      </c>
      <c r="E4464">
        <v>0.40521889999999999</v>
      </c>
      <c r="F4464" t="s">
        <v>40</v>
      </c>
      <c r="G4464">
        <v>-418.59899999999999</v>
      </c>
      <c r="H4464">
        <v>1.0432379999999899</v>
      </c>
      <c r="I4464">
        <v>34.018500000000003</v>
      </c>
      <c r="J4464">
        <v>-419.30410000000001</v>
      </c>
      <c r="K4464">
        <v>1.1127899999999999</v>
      </c>
      <c r="L4464">
        <v>34.498170000000002</v>
      </c>
      <c r="M4464">
        <v>0.39300479999999999</v>
      </c>
      <c r="N4464">
        <v>0</v>
      </c>
      <c r="O4464">
        <v>-0.91942440000000003</v>
      </c>
      <c r="P4464">
        <v>0.67854219999999998</v>
      </c>
      <c r="Q4464">
        <v>5.9233679999999997E-2</v>
      </c>
      <c r="R4464">
        <v>-0.73216939999999997</v>
      </c>
      <c r="S4464">
        <v>2.355988</v>
      </c>
      <c r="T4464">
        <v>-0.20960889999999999</v>
      </c>
      <c r="U4464">
        <v>-1.9352419999999999</v>
      </c>
      <c r="V4464">
        <v>-0.3374761</v>
      </c>
      <c r="W4464">
        <v>6.6333970000000006E-2</v>
      </c>
      <c r="X4464">
        <v>0.938994</v>
      </c>
      <c r="Y4464">
        <v>-0.45907529999999902</v>
      </c>
      <c r="Z4464">
        <v>6.9644289999999998E-2</v>
      </c>
      <c r="AA4464">
        <v>0.88566329999999904</v>
      </c>
      <c r="AB4464">
        <v>27</v>
      </c>
      <c r="AC4464">
        <v>0.70510000000001505</v>
      </c>
      <c r="AD4464">
        <v>-6.9552000000000003E-2</v>
      </c>
      <c r="AE4464">
        <v>-0.47966999999999799</v>
      </c>
      <c r="AF4464">
        <v>-0.456782493006469</v>
      </c>
      <c r="AG4464">
        <v>-6.9552000000000003E-2</v>
      </c>
      <c r="AH4464">
        <v>0.71345623245047096</v>
      </c>
      <c r="AI4464">
        <v>94.693500759819202</v>
      </c>
      <c r="AJ4464">
        <v>122.628955938571</v>
      </c>
      <c r="AK4464">
        <v>0.85000442483767402</v>
      </c>
    </row>
    <row r="4465" spans="1:37" x14ac:dyDescent="0.2">
      <c r="A4465" t="str">
        <f>"20200111153523772"</f>
        <v>20200111153523772</v>
      </c>
      <c r="B4465" t="str">
        <f>"1578728123760445"</f>
        <v>1578728123760445</v>
      </c>
      <c r="C4465" t="s">
        <v>37</v>
      </c>
      <c r="D4465">
        <v>4.5706410000000002</v>
      </c>
      <c r="E4465">
        <v>0.40521889999999999</v>
      </c>
      <c r="F4465" t="s">
        <v>40</v>
      </c>
      <c r="G4465">
        <v>-418.58589999999998</v>
      </c>
      <c r="H4465">
        <v>1.0745009999999999</v>
      </c>
      <c r="I4465">
        <v>34.027299999999997</v>
      </c>
      <c r="J4465">
        <v>-419.238</v>
      </c>
      <c r="K4465">
        <v>1.1128400000000001</v>
      </c>
      <c r="L4465">
        <v>34.360779999999998</v>
      </c>
      <c r="M4465">
        <v>0.39889669999999999</v>
      </c>
      <c r="N4465">
        <v>0</v>
      </c>
      <c r="O4465">
        <v>-0.91688340000000002</v>
      </c>
      <c r="P4465">
        <v>0.68330669999999905</v>
      </c>
      <c r="Q4465">
        <v>5.9224970000000002E-2</v>
      </c>
      <c r="R4465">
        <v>-0.72772599999999998</v>
      </c>
      <c r="S4465">
        <v>2.5963750000000001</v>
      </c>
      <c r="T4465">
        <v>-0.13843639999999999</v>
      </c>
      <c r="U4465">
        <v>-1.702332</v>
      </c>
      <c r="V4465">
        <v>-0.33758709999999997</v>
      </c>
      <c r="W4465">
        <v>6.6292580000000004E-2</v>
      </c>
      <c r="X4465">
        <v>0.93895699999999904</v>
      </c>
      <c r="Y4465">
        <v>-0.54716489999999995</v>
      </c>
      <c r="Z4465">
        <v>4.6148069999999999E-2</v>
      </c>
      <c r="AA4465">
        <v>0.83575169999999999</v>
      </c>
      <c r="AB4465">
        <v>27</v>
      </c>
      <c r="AC4465">
        <v>0.65210000000007495</v>
      </c>
      <c r="AD4465">
        <v>-3.8339000000000102E-2</v>
      </c>
      <c r="AE4465">
        <v>-0.333480000000001</v>
      </c>
      <c r="AF4465">
        <v>-0.463653111695977</v>
      </c>
      <c r="AG4465">
        <v>-3.8339000000000102E-2</v>
      </c>
      <c r="AH4465">
        <v>0.56439471399435703</v>
      </c>
      <c r="AI4465">
        <v>93.004633381758595</v>
      </c>
      <c r="AJ4465">
        <v>129.40327726294299</v>
      </c>
      <c r="AK4465">
        <v>0.73142701624368101</v>
      </c>
    </row>
    <row r="4466" spans="1:37" x14ac:dyDescent="0.2">
      <c r="A4466" t="str">
        <f>"20200111153523786"</f>
        <v>20200111153523786</v>
      </c>
      <c r="B4466" t="str">
        <f>"1578728123780608"</f>
        <v>1578728123780608</v>
      </c>
      <c r="C4466" t="s">
        <v>37</v>
      </c>
      <c r="D4466">
        <v>4.7871079999999999</v>
      </c>
      <c r="E4466">
        <v>0.35457859999999902</v>
      </c>
      <c r="F4466" t="s">
        <v>40</v>
      </c>
      <c r="G4466">
        <v>-418.44569999999999</v>
      </c>
      <c r="H4466">
        <v>1.0708530000000001</v>
      </c>
      <c r="I4466">
        <v>33.848509999999997</v>
      </c>
      <c r="J4466">
        <v>-419.16579999999999</v>
      </c>
      <c r="K4466">
        <v>1.1128990000000001</v>
      </c>
      <c r="L4466">
        <v>34.213099999999997</v>
      </c>
      <c r="M4466">
        <v>0.4052713</v>
      </c>
      <c r="N4466">
        <v>0</v>
      </c>
      <c r="O4466">
        <v>-0.91408349999999905</v>
      </c>
      <c r="P4466">
        <v>0.68842490000000001</v>
      </c>
      <c r="Q4466">
        <v>5.9189829999999999E-2</v>
      </c>
      <c r="R4466">
        <v>-0.72288889999999995</v>
      </c>
      <c r="S4466">
        <v>2.607513</v>
      </c>
      <c r="T4466">
        <v>-0.13814749999999901</v>
      </c>
      <c r="U4466">
        <v>-1.68530299999999</v>
      </c>
      <c r="V4466">
        <v>-0.33768280000000001</v>
      </c>
      <c r="W4466">
        <v>6.6220249999999994E-2</v>
      </c>
      <c r="X4466">
        <v>0.93892770000000003</v>
      </c>
      <c r="Y4466">
        <v>-0.54682189999999997</v>
      </c>
      <c r="Z4466">
        <v>4.6007340000000001E-2</v>
      </c>
      <c r="AA4466">
        <v>0.8359839</v>
      </c>
      <c r="AB4466">
        <v>27</v>
      </c>
      <c r="AC4466">
        <v>0.72010000000000196</v>
      </c>
      <c r="AD4466">
        <v>-4.2046E-2</v>
      </c>
      <c r="AE4466">
        <v>-0.36458999999999903</v>
      </c>
      <c r="AF4466">
        <v>-0.50914474246506702</v>
      </c>
      <c r="AG4466">
        <v>-4.2046E-2</v>
      </c>
      <c r="AH4466">
        <v>0.62347423149623704</v>
      </c>
      <c r="AI4466">
        <v>92.990078344965696</v>
      </c>
      <c r="AJ4466">
        <v>129.23594034061099</v>
      </c>
      <c r="AK4466">
        <v>0.80604984475877395</v>
      </c>
    </row>
    <row r="4467" spans="1:37" x14ac:dyDescent="0.2">
      <c r="A4467" t="str">
        <f>"20200111153523806"</f>
        <v>20200111153523806</v>
      </c>
      <c r="B4467" t="str">
        <f>"1578728123800128"</f>
        <v>1578728123800128</v>
      </c>
      <c r="C4467" t="s">
        <v>37</v>
      </c>
      <c r="D4467">
        <v>4.6622529999999998</v>
      </c>
      <c r="E4467">
        <v>0.35388150000000002</v>
      </c>
      <c r="F4467" t="s">
        <v>65</v>
      </c>
      <c r="G4467">
        <v>-402.495</v>
      </c>
      <c r="H4467" s="1">
        <v>-6.0586800000000004E-6</v>
      </c>
      <c r="I4467">
        <v>26.249929999999999</v>
      </c>
      <c r="J4467">
        <v>-419.05849999999998</v>
      </c>
      <c r="K4467">
        <v>1.1129830000000001</v>
      </c>
      <c r="L4467">
        <v>33.998350000000002</v>
      </c>
      <c r="M4467">
        <v>0.4146629</v>
      </c>
      <c r="N4467">
        <v>0</v>
      </c>
      <c r="O4467">
        <v>-0.90986129999999998</v>
      </c>
      <c r="P4467">
        <v>0.695988099999999</v>
      </c>
      <c r="Q4467">
        <v>5.9075490000000001E-2</v>
      </c>
      <c r="R4467">
        <v>-0.71561969999999997</v>
      </c>
      <c r="S4467">
        <v>2.9132389999999999</v>
      </c>
      <c r="T4467">
        <v>-0.19448099999999999</v>
      </c>
      <c r="U4467">
        <v>-1.3915709999999999</v>
      </c>
      <c r="V4467">
        <v>-0.33789530000000001</v>
      </c>
      <c r="W4467">
        <v>6.604612E-2</v>
      </c>
      <c r="X4467">
        <v>0.93886349999999996</v>
      </c>
      <c r="Y4467">
        <v>-0.64040750000000002</v>
      </c>
      <c r="Z4467">
        <v>6.3773350000000006E-2</v>
      </c>
      <c r="AA4467">
        <v>0.76538309999999998</v>
      </c>
      <c r="AB4467">
        <v>27</v>
      </c>
      <c r="AC4467">
        <v>16.563499999999902</v>
      </c>
      <c r="AD4467">
        <v>-1.11298905867999</v>
      </c>
      <c r="AE4467">
        <v>-7.7484200000000003</v>
      </c>
      <c r="AF4467">
        <v>-11.814964587728101</v>
      </c>
      <c r="AG4467">
        <v>-1.11298905867999</v>
      </c>
      <c r="AH4467">
        <v>13.868322408166099</v>
      </c>
      <c r="AI4467">
        <v>93.495867529018895</v>
      </c>
      <c r="AJ4467">
        <v>130.42897181713801</v>
      </c>
      <c r="AK4467">
        <v>18.2527395004381</v>
      </c>
    </row>
    <row r="4468" spans="1:37" x14ac:dyDescent="0.2">
      <c r="A4468" t="str">
        <f>"20200111153523820"</f>
        <v>20200111153523820</v>
      </c>
      <c r="B4468" t="str">
        <f>"1578728123810865"</f>
        <v>1578728123810865</v>
      </c>
      <c r="C4468" t="s">
        <v>37</v>
      </c>
      <c r="D4468">
        <v>4.6009969999999996</v>
      </c>
      <c r="E4468">
        <v>0.35474909999999998</v>
      </c>
      <c r="F4468" t="s">
        <v>65</v>
      </c>
      <c r="G4468">
        <v>-403.34730000000002</v>
      </c>
      <c r="H4468" s="1">
        <v>-5.8268499999999898E-6</v>
      </c>
      <c r="I4468">
        <v>26.72533</v>
      </c>
      <c r="J4468">
        <v>-418.98570000000001</v>
      </c>
      <c r="K4468">
        <v>1.1130450000000001</v>
      </c>
      <c r="L4468">
        <v>33.855319999999999</v>
      </c>
      <c r="M4468">
        <v>0.420979299999999</v>
      </c>
      <c r="N4468">
        <v>0</v>
      </c>
      <c r="O4468">
        <v>-0.90695579999999998</v>
      </c>
      <c r="P4468">
        <v>0.70116449999999997</v>
      </c>
      <c r="Q4468">
        <v>5.8849810000000002E-2</v>
      </c>
      <c r="R4468">
        <v>-0.71056709999999901</v>
      </c>
      <c r="S4468">
        <v>2.9323730000000001</v>
      </c>
      <c r="T4468">
        <v>-0.20773069999999999</v>
      </c>
      <c r="U4468">
        <v>-1.3574520000000001</v>
      </c>
      <c r="V4468">
        <v>-0.3381808</v>
      </c>
      <c r="W4468">
        <v>6.5776349999999997E-2</v>
      </c>
      <c r="X4468">
        <v>0.938779699999999</v>
      </c>
      <c r="Y4468">
        <v>-0.64403999999999995</v>
      </c>
      <c r="Z4468">
        <v>6.8079870000000001E-2</v>
      </c>
      <c r="AA4468">
        <v>0.76195639999999998</v>
      </c>
      <c r="AB4468">
        <v>27</v>
      </c>
      <c r="AC4468">
        <v>15.638399999999899</v>
      </c>
      <c r="AD4468">
        <v>-1.1130508268499999</v>
      </c>
      <c r="AE4468">
        <v>-7.1299899999999896</v>
      </c>
      <c r="AF4468">
        <v>-11.136215352817</v>
      </c>
      <c r="AG4468">
        <v>-1.1130508268499999</v>
      </c>
      <c r="AH4468">
        <v>12.9968748577898</v>
      </c>
      <c r="AI4468">
        <v>93.720845002240495</v>
      </c>
      <c r="AJ4468">
        <v>130.591221595783</v>
      </c>
      <c r="AK4468">
        <v>17.1514702167633</v>
      </c>
    </row>
    <row r="4469" spans="1:37" x14ac:dyDescent="0.2">
      <c r="A4469" t="str">
        <f>"20200111153523839"</f>
        <v>20200111153523839</v>
      </c>
      <c r="B4469" t="str">
        <f>"1578728123830383"</f>
        <v>1578728123830383</v>
      </c>
      <c r="C4469" t="s">
        <v>37</v>
      </c>
      <c r="D4469">
        <v>4.5041769999999897</v>
      </c>
      <c r="E4469">
        <v>0.35582559999999902</v>
      </c>
      <c r="F4469" t="s">
        <v>65</v>
      </c>
      <c r="G4469">
        <v>-403.63549999999998</v>
      </c>
      <c r="H4469" s="1">
        <v>-5.735661E-6</v>
      </c>
      <c r="I4469">
        <v>26.845700000000001</v>
      </c>
      <c r="J4469">
        <v>-418.8854</v>
      </c>
      <c r="K4469">
        <v>1.11313</v>
      </c>
      <c r="L4469">
        <v>33.663020000000003</v>
      </c>
      <c r="M4469">
        <v>0.42958459999999898</v>
      </c>
      <c r="N4469">
        <v>0</v>
      </c>
      <c r="O4469">
        <v>-0.90291139999999903</v>
      </c>
      <c r="P4469">
        <v>0.70793119999999998</v>
      </c>
      <c r="Q4469">
        <v>5.8655110000000003E-2</v>
      </c>
      <c r="R4469">
        <v>-0.70384219999999997</v>
      </c>
      <c r="S4469">
        <v>2.9372250000000002</v>
      </c>
      <c r="T4469">
        <v>-0.21298049999999999</v>
      </c>
      <c r="U4469">
        <v>-1.341278</v>
      </c>
      <c r="V4469">
        <v>-0.3382386</v>
      </c>
      <c r="W4469">
        <v>6.5531300000000001E-2</v>
      </c>
      <c r="X4469">
        <v>0.93877600000000005</v>
      </c>
      <c r="Y4469">
        <v>-0.64060490000000003</v>
      </c>
      <c r="Z4469">
        <v>6.9714799999999993E-2</v>
      </c>
      <c r="AA4469">
        <v>0.76469949999999998</v>
      </c>
      <c r="AB4469">
        <v>27</v>
      </c>
      <c r="AC4469">
        <v>15.2499</v>
      </c>
      <c r="AD4469">
        <v>-1.1131357356610001</v>
      </c>
      <c r="AE4469">
        <v>-6.8173199999999996</v>
      </c>
      <c r="AF4469">
        <v>-10.7938900438503</v>
      </c>
      <c r="AG4469">
        <v>-1.1131357356610001</v>
      </c>
      <c r="AH4469">
        <v>12.651699754412901</v>
      </c>
      <c r="AI4469">
        <v>93.829288775648294</v>
      </c>
      <c r="AJ4469">
        <v>130.46939494116199</v>
      </c>
      <c r="AK4469">
        <v>16.6677125041365</v>
      </c>
    </row>
    <row r="4470" spans="1:37" x14ac:dyDescent="0.2">
      <c r="A4470" t="str">
        <f>"20200111153523852"</f>
        <v>20200111153523852</v>
      </c>
      <c r="B4470" t="str">
        <f>"1578728123850880"</f>
        <v>1578728123850880</v>
      </c>
      <c r="C4470" t="s">
        <v>37</v>
      </c>
      <c r="D4470">
        <v>4.5013589999999999</v>
      </c>
      <c r="E4470">
        <v>0.35634309999999902</v>
      </c>
      <c r="F4470" t="s">
        <v>65</v>
      </c>
      <c r="G4470">
        <v>-403.4855</v>
      </c>
      <c r="H4470" s="1">
        <v>-5.7848209999999899E-6</v>
      </c>
      <c r="I4470">
        <v>26.763059999999999</v>
      </c>
      <c r="J4470">
        <v>-418.80459999999999</v>
      </c>
      <c r="K4470">
        <v>1.1131959999999901</v>
      </c>
      <c r="L4470">
        <v>33.512270000000001</v>
      </c>
      <c r="M4470">
        <v>0.43643159999999998</v>
      </c>
      <c r="N4470">
        <v>0</v>
      </c>
      <c r="O4470">
        <v>-0.89962140000000002</v>
      </c>
      <c r="P4470">
        <v>0.71307030000000005</v>
      </c>
      <c r="Q4470">
        <v>5.867675E-2</v>
      </c>
      <c r="R4470">
        <v>-0.69863310000000001</v>
      </c>
      <c r="S4470">
        <v>2.9439090000000001</v>
      </c>
      <c r="T4470">
        <v>-0.21279239999999999</v>
      </c>
      <c r="U4470">
        <v>-1.3190309999999901</v>
      </c>
      <c r="V4470">
        <v>-0.33799790000000002</v>
      </c>
      <c r="W4470">
        <v>6.5521780000000002E-2</v>
      </c>
      <c r="X4470">
        <v>0.93886329999999996</v>
      </c>
      <c r="Y4470">
        <v>-0.64023890000000006</v>
      </c>
      <c r="Z4470">
        <v>6.9659529999999997E-2</v>
      </c>
      <c r="AA4470">
        <v>0.765011</v>
      </c>
      <c r="AB4470">
        <v>26</v>
      </c>
      <c r="AC4470">
        <v>15.319099999999899</v>
      </c>
      <c r="AD4470">
        <v>-1.1132017848209901</v>
      </c>
      <c r="AE4470">
        <v>-6.7492099999999997</v>
      </c>
      <c r="AF4470">
        <v>-10.789240904218</v>
      </c>
      <c r="AG4470">
        <v>-1.1132017848209901</v>
      </c>
      <c r="AH4470">
        <v>12.702631559060899</v>
      </c>
      <c r="AI4470">
        <v>93.821320774664002</v>
      </c>
      <c r="AJ4470">
        <v>130.34359192356001</v>
      </c>
      <c r="AK4470">
        <v>16.703406419896201</v>
      </c>
    </row>
    <row r="4471" spans="1:37" x14ac:dyDescent="0.2">
      <c r="A4471" t="str">
        <f>"20200111153523866"</f>
        <v>20200111153523866</v>
      </c>
      <c r="B4471" t="str">
        <f>"1578728123860640"</f>
        <v>1578728123860640</v>
      </c>
      <c r="C4471" t="s">
        <v>37</v>
      </c>
      <c r="D4471">
        <v>4.5288870000000001</v>
      </c>
      <c r="E4471">
        <v>0.356734</v>
      </c>
      <c r="F4471" t="s">
        <v>65</v>
      </c>
      <c r="G4471">
        <v>-403.41109999999998</v>
      </c>
      <c r="H4471" s="1">
        <v>-5.8057460000000002E-6</v>
      </c>
      <c r="I4471">
        <v>26.727550000000001</v>
      </c>
      <c r="J4471">
        <v>-418.73239999999998</v>
      </c>
      <c r="K4471">
        <v>1.113256</v>
      </c>
      <c r="L4471">
        <v>33.379459999999902</v>
      </c>
      <c r="M4471">
        <v>0.44250879999999998</v>
      </c>
      <c r="N4471">
        <v>0</v>
      </c>
      <c r="O4471">
        <v>-0.89664769999999905</v>
      </c>
      <c r="P4471">
        <v>0.71753540000000005</v>
      </c>
      <c r="Q4471">
        <v>5.8733510000000003E-2</v>
      </c>
      <c r="R4471">
        <v>-0.69404180000000004</v>
      </c>
      <c r="S4471">
        <v>2.9505919999999999</v>
      </c>
      <c r="T4471">
        <v>-0.2133757</v>
      </c>
      <c r="U4471">
        <v>-1.300476</v>
      </c>
      <c r="V4471">
        <v>-0.33767750000000002</v>
      </c>
      <c r="W4471">
        <v>6.5554139999999997E-2</v>
      </c>
      <c r="X4471">
        <v>0.93897629999999999</v>
      </c>
      <c r="Y4471">
        <v>-0.63970329999999997</v>
      </c>
      <c r="Z4471">
        <v>6.9818790000000006E-2</v>
      </c>
      <c r="AA4471">
        <v>0.76544429999999997</v>
      </c>
      <c r="AB4471">
        <v>26</v>
      </c>
      <c r="AC4471">
        <v>15.321300000000001</v>
      </c>
      <c r="AD4471">
        <v>-1.113261805746</v>
      </c>
      <c r="AE4471">
        <v>-6.6519099999999902</v>
      </c>
      <c r="AF4471">
        <v>-10.747663028755801</v>
      </c>
      <c r="AG4471">
        <v>-1.113261805746</v>
      </c>
      <c r="AH4471">
        <v>12.6891920708655</v>
      </c>
      <c r="AI4471">
        <v>93.8300367691958</v>
      </c>
      <c r="AJ4471">
        <v>130.264381956562</v>
      </c>
      <c r="AK4471">
        <v>16.666349565490702</v>
      </c>
    </row>
    <row r="4472" spans="1:37" x14ac:dyDescent="0.2">
      <c r="A4472" t="str">
        <f>"20200111153523880"</f>
        <v>20200111153523880</v>
      </c>
      <c r="B4472" t="str">
        <f>"1578728123870400"</f>
        <v>1578728123870400</v>
      </c>
      <c r="C4472" t="s">
        <v>37</v>
      </c>
      <c r="D4472">
        <v>4.5405389999999999</v>
      </c>
      <c r="E4472">
        <v>0.35768149999999999</v>
      </c>
      <c r="F4472" t="s">
        <v>65</v>
      </c>
      <c r="G4472">
        <v>-403.34679999999997</v>
      </c>
      <c r="H4472" s="1">
        <v>-5.8241510000000002E-6</v>
      </c>
      <c r="I4472">
        <v>26.699940000000002</v>
      </c>
      <c r="J4472">
        <v>-418.65559999999999</v>
      </c>
      <c r="K4472">
        <v>1.1133150000000001</v>
      </c>
      <c r="L4472">
        <v>33.240049999999997</v>
      </c>
      <c r="M4472">
        <v>0.44892919999999997</v>
      </c>
      <c r="N4472">
        <v>0</v>
      </c>
      <c r="O4472">
        <v>-0.89345010000000002</v>
      </c>
      <c r="P4472">
        <v>0.72205069999999905</v>
      </c>
      <c r="Q4472">
        <v>5.9111490000000003E-2</v>
      </c>
      <c r="R4472">
        <v>-0.68931039999999999</v>
      </c>
      <c r="S4472">
        <v>2.9568479999999999</v>
      </c>
      <c r="T4472">
        <v>-0.21395029999999901</v>
      </c>
      <c r="U4472">
        <v>-1.2836909999999999</v>
      </c>
      <c r="V4472">
        <v>-0.33710209999999902</v>
      </c>
      <c r="W4472">
        <v>6.5913849999999996E-2</v>
      </c>
      <c r="X4472">
        <v>0.93915780000000004</v>
      </c>
      <c r="Y4472">
        <v>-0.63843439999999996</v>
      </c>
      <c r="Z4472">
        <v>6.9942710000000005E-2</v>
      </c>
      <c r="AA4472">
        <v>0.76649179999999995</v>
      </c>
      <c r="AB4472">
        <v>26</v>
      </c>
      <c r="AC4472">
        <v>15.3088</v>
      </c>
      <c r="AD4472">
        <v>-1.113320824151</v>
      </c>
      <c r="AE4472">
        <v>-6.5401099999999897</v>
      </c>
      <c r="AF4472">
        <v>-10.694894609823701</v>
      </c>
      <c r="AG4472">
        <v>-1.113320824151</v>
      </c>
      <c r="AH4472">
        <v>12.6605367690081</v>
      </c>
      <c r="AI4472">
        <v>93.843132742137499</v>
      </c>
      <c r="AJ4472">
        <v>130.189204184175</v>
      </c>
      <c r="AK4472">
        <v>16.610522124609201</v>
      </c>
    </row>
    <row r="4473" spans="1:37" x14ac:dyDescent="0.2">
      <c r="A4473" t="str">
        <f>"20200111153523894"</f>
        <v>20200111153523894</v>
      </c>
      <c r="B4473" t="str">
        <f>"1578728123890896"</f>
        <v>1578728123890896</v>
      </c>
      <c r="C4473" t="s">
        <v>37</v>
      </c>
      <c r="D4473">
        <v>4.4960889999999996</v>
      </c>
      <c r="E4473">
        <v>0.35793809999999998</v>
      </c>
      <c r="F4473" t="s">
        <v>65</v>
      </c>
      <c r="G4473">
        <v>-403.30990000000003</v>
      </c>
      <c r="H4473" s="1">
        <v>-5.8317039999999997E-6</v>
      </c>
      <c r="I4473">
        <v>26.657240000000002</v>
      </c>
      <c r="J4473">
        <v>-418.57420000000002</v>
      </c>
      <c r="K4473">
        <v>1.11338</v>
      </c>
      <c r="L4473">
        <v>33.095729999999897</v>
      </c>
      <c r="M4473">
        <v>0.45566519999999999</v>
      </c>
      <c r="N4473">
        <v>0</v>
      </c>
      <c r="O4473">
        <v>-0.89003330000000003</v>
      </c>
      <c r="P4473">
        <v>0.72567159999999997</v>
      </c>
      <c r="Q4473">
        <v>5.9585480000000003E-2</v>
      </c>
      <c r="R4473">
        <v>-0.68545659999999997</v>
      </c>
      <c r="S4473">
        <v>2.96020499999999</v>
      </c>
      <c r="T4473">
        <v>-0.2147617</v>
      </c>
      <c r="U4473">
        <v>-1.269836</v>
      </c>
      <c r="V4473">
        <v>-0.33499089999999998</v>
      </c>
      <c r="W4473">
        <v>6.6406290000000007E-2</v>
      </c>
      <c r="X4473">
        <v>0.93987830000000006</v>
      </c>
      <c r="Y4473">
        <v>-0.635953199999999</v>
      </c>
      <c r="Z4473">
        <v>7.0139209999999994E-2</v>
      </c>
      <c r="AA4473">
        <v>0.76853359999999904</v>
      </c>
      <c r="AB4473">
        <v>26</v>
      </c>
      <c r="AC4473">
        <v>15.264299999999899</v>
      </c>
      <c r="AD4473">
        <v>-1.113385831704</v>
      </c>
      <c r="AE4473">
        <v>-6.4384899999999901</v>
      </c>
      <c r="AF4473">
        <v>-10.6051572832574</v>
      </c>
      <c r="AG4473">
        <v>-1.113385831704</v>
      </c>
      <c r="AH4473">
        <v>12.6301657757848</v>
      </c>
      <c r="AI4473">
        <v>93.862184469702001</v>
      </c>
      <c r="AJ4473">
        <v>130.01913458075899</v>
      </c>
      <c r="AK4473">
        <v>16.529672608272499</v>
      </c>
    </row>
    <row r="4474" spans="1:37" x14ac:dyDescent="0.2">
      <c r="A4474" t="str">
        <f>"20200111153523908"</f>
        <v>20200111153523908</v>
      </c>
      <c r="B4474" t="str">
        <f>"1578728123900656"</f>
        <v>1578728123900656</v>
      </c>
      <c r="C4474" t="s">
        <v>37</v>
      </c>
      <c r="D4474">
        <v>4.5656249999999998</v>
      </c>
      <c r="E4474">
        <v>0.35759659999999999</v>
      </c>
      <c r="F4474" t="s">
        <v>65</v>
      </c>
      <c r="G4474">
        <v>-402.50490000000002</v>
      </c>
      <c r="H4474" s="1">
        <v>-6.0605879999999997E-6</v>
      </c>
      <c r="I4474">
        <v>26.296389999999999</v>
      </c>
      <c r="J4474">
        <v>-418.49610000000001</v>
      </c>
      <c r="K4474">
        <v>1.1134389999999901</v>
      </c>
      <c r="L4474">
        <v>32.95975</v>
      </c>
      <c r="M4474">
        <v>0.46207280000000001</v>
      </c>
      <c r="N4474">
        <v>0</v>
      </c>
      <c r="O4474">
        <v>-0.88672320000000004</v>
      </c>
      <c r="P4474">
        <v>0.72963650000000002</v>
      </c>
      <c r="Q4474">
        <v>5.9823300000000003E-2</v>
      </c>
      <c r="R4474">
        <v>-0.68121359999999997</v>
      </c>
      <c r="S4474">
        <v>2.965668</v>
      </c>
      <c r="T4474">
        <v>-0.20548079999999999</v>
      </c>
      <c r="U4474">
        <v>-1.2548520000000001</v>
      </c>
      <c r="V4474">
        <v>-0.33368829999999999</v>
      </c>
      <c r="W4474">
        <v>6.664515E-2</v>
      </c>
      <c r="X4474">
        <v>0.94032469999999901</v>
      </c>
      <c r="Y4474">
        <v>-0.63440450000000004</v>
      </c>
      <c r="Z4474">
        <v>6.7038029999999998E-2</v>
      </c>
      <c r="AA4474">
        <v>0.77008889999999997</v>
      </c>
      <c r="AB4474">
        <v>26</v>
      </c>
      <c r="AC4474">
        <v>15.9911999999999</v>
      </c>
      <c r="AD4474">
        <v>-1.11344506058799</v>
      </c>
      <c r="AE4474">
        <v>-6.6633599999999902</v>
      </c>
      <c r="AF4474">
        <v>-11.0563077817198</v>
      </c>
      <c r="AG4474">
        <v>-1.11344506058799</v>
      </c>
      <c r="AH4474">
        <v>13.2443445338607</v>
      </c>
      <c r="AI4474">
        <v>93.692608367109401</v>
      </c>
      <c r="AJ4474">
        <v>129.85494795949899</v>
      </c>
      <c r="AK4474">
        <v>17.288561646321899</v>
      </c>
    </row>
    <row r="4475" spans="1:37" x14ac:dyDescent="0.2">
      <c r="A4475" t="str">
        <f>"20200111153523923"</f>
        <v>20200111153523923</v>
      </c>
      <c r="B4475" t="str">
        <f>"1578728123910417"</f>
        <v>1578728123910417</v>
      </c>
      <c r="C4475" t="s">
        <v>37</v>
      </c>
      <c r="D4475">
        <v>4.547218</v>
      </c>
      <c r="E4475">
        <v>0.35763529999999999</v>
      </c>
      <c r="F4475" t="s">
        <v>65</v>
      </c>
      <c r="G4475">
        <v>-401.75889999999998</v>
      </c>
      <c r="H4475" s="1">
        <v>-6.2782159999999999E-6</v>
      </c>
      <c r="I4475">
        <v>26.010950000000001</v>
      </c>
      <c r="J4475">
        <v>-418.41390000000001</v>
      </c>
      <c r="K4475">
        <v>1.1135010000000001</v>
      </c>
      <c r="L4475">
        <v>32.818629999999999</v>
      </c>
      <c r="M4475">
        <v>0.46876699999999999</v>
      </c>
      <c r="N4475">
        <v>0</v>
      </c>
      <c r="O4475">
        <v>-0.8832025</v>
      </c>
      <c r="P4475">
        <v>0.73398580000000002</v>
      </c>
      <c r="Q4475">
        <v>6.0044779999999999E-2</v>
      </c>
      <c r="R4475">
        <v>-0.67650559999999904</v>
      </c>
      <c r="S4475">
        <v>2.9747919999999999</v>
      </c>
      <c r="T4475">
        <v>-0.1978983</v>
      </c>
      <c r="U4475">
        <v>-1.2350459999999901</v>
      </c>
      <c r="V4475">
        <v>-0.33262239999999998</v>
      </c>
      <c r="W4475">
        <v>6.6861130000000005E-2</v>
      </c>
      <c r="X4475">
        <v>0.94068689999999999</v>
      </c>
      <c r="Y4475">
        <v>-0.63394379999999995</v>
      </c>
      <c r="Z4475">
        <v>6.4477999999999994E-2</v>
      </c>
      <c r="AA4475">
        <v>0.7706866</v>
      </c>
      <c r="AB4475">
        <v>26</v>
      </c>
      <c r="AC4475">
        <v>16.655000000000001</v>
      </c>
      <c r="AD4475">
        <v>-1.113507278216</v>
      </c>
      <c r="AE4475">
        <v>-6.8076799999999897</v>
      </c>
      <c r="AF4475">
        <v>-11.475784183831101</v>
      </c>
      <c r="AG4475">
        <v>-1.113507278216</v>
      </c>
      <c r="AH4475">
        <v>13.768597838866601</v>
      </c>
      <c r="AI4475">
        <v>93.554874287457693</v>
      </c>
      <c r="AJ4475">
        <v>129.81036621821499</v>
      </c>
      <c r="AK4475">
        <v>17.958502374667798</v>
      </c>
    </row>
    <row r="4476" spans="1:37" x14ac:dyDescent="0.2">
      <c r="A4476" t="str">
        <f>"20200111153523940"</f>
        <v>20200111153523940</v>
      </c>
      <c r="B4476" t="str">
        <f>"1578728123930912"</f>
        <v>1578728123930912</v>
      </c>
      <c r="C4476" t="s">
        <v>37</v>
      </c>
      <c r="D4476">
        <v>4.525525</v>
      </c>
      <c r="E4476">
        <v>0.3577244</v>
      </c>
      <c r="F4476" t="s">
        <v>65</v>
      </c>
      <c r="G4476">
        <v>-401.15690000000001</v>
      </c>
      <c r="H4476" s="1">
        <v>-6.4540630000000002E-6</v>
      </c>
      <c r="I4476">
        <v>25.782769999999999</v>
      </c>
      <c r="J4476">
        <v>-418.30930000000001</v>
      </c>
      <c r="K4476">
        <v>1.1135729999999999</v>
      </c>
      <c r="L4476">
        <v>32.642910000000001</v>
      </c>
      <c r="M4476">
        <v>0.47719349999999999</v>
      </c>
      <c r="N4476">
        <v>0</v>
      </c>
      <c r="O4476">
        <v>-0.87867809999999902</v>
      </c>
      <c r="P4476">
        <v>0.73905759999999998</v>
      </c>
      <c r="Q4476">
        <v>6.0235440000000001E-2</v>
      </c>
      <c r="R4476">
        <v>-0.67094480000000001</v>
      </c>
      <c r="S4476">
        <v>2.9823</v>
      </c>
      <c r="T4476">
        <v>-0.1924322</v>
      </c>
      <c r="U4476">
        <v>-1.2159120000000001</v>
      </c>
      <c r="V4476">
        <v>-0.33072849999999998</v>
      </c>
      <c r="W4476">
        <v>6.706049E-2</v>
      </c>
      <c r="X4476">
        <v>0.94134030000000002</v>
      </c>
      <c r="Y4476">
        <v>-0.63159030000000005</v>
      </c>
      <c r="Z4476">
        <v>6.2569929999999996E-2</v>
      </c>
      <c r="AA4476">
        <v>0.7727733</v>
      </c>
      <c r="AB4476">
        <v>26</v>
      </c>
      <c r="AC4476">
        <v>17.1524</v>
      </c>
      <c r="AD4476">
        <v>-1.113579454063</v>
      </c>
      <c r="AE4476">
        <v>-6.8601399999999897</v>
      </c>
      <c r="AF4476">
        <v>-11.7563507969664</v>
      </c>
      <c r="AG4476">
        <v>-1.113579454063</v>
      </c>
      <c r="AH4476">
        <v>14.1629056667564</v>
      </c>
      <c r="AI4476">
        <v>93.462129610495595</v>
      </c>
      <c r="AJ4476">
        <v>129.695401553957</v>
      </c>
      <c r="AK4476">
        <v>18.4401664902269</v>
      </c>
    </row>
    <row r="4477" spans="1:37" x14ac:dyDescent="0.2">
      <c r="A4477" t="str">
        <f>"20200111153523963"</f>
        <v>20200111153523963</v>
      </c>
      <c r="B4477" t="str">
        <f>"1578728123960192"</f>
        <v>1578728123960192</v>
      </c>
      <c r="C4477" t="s">
        <v>37</v>
      </c>
      <c r="D4477">
        <v>4.5715859999999999</v>
      </c>
      <c r="E4477">
        <v>0.3582745</v>
      </c>
      <c r="F4477" t="s">
        <v>65</v>
      </c>
      <c r="G4477">
        <v>-400.1669</v>
      </c>
      <c r="H4477" s="1">
        <v>-6.74275099999999E-6</v>
      </c>
      <c r="I4477">
        <v>25.403089999999999</v>
      </c>
      <c r="J4477">
        <v>-418.1728</v>
      </c>
      <c r="K4477">
        <v>1.1136629999999901</v>
      </c>
      <c r="L4477">
        <v>32.41995</v>
      </c>
      <c r="M4477">
        <v>0.48803199999999902</v>
      </c>
      <c r="N4477">
        <v>0</v>
      </c>
      <c r="O4477">
        <v>-0.87270400000000004</v>
      </c>
      <c r="P4477">
        <v>0.74619899999999995</v>
      </c>
      <c r="Q4477">
        <v>6.0320569999999997E-2</v>
      </c>
      <c r="R4477">
        <v>-0.66298429999999997</v>
      </c>
      <c r="S4477">
        <v>2.9906919999999899</v>
      </c>
      <c r="T4477">
        <v>-0.18356819999999999</v>
      </c>
      <c r="U4477">
        <v>-1.193451</v>
      </c>
      <c r="V4477">
        <v>-0.32917590000000002</v>
      </c>
      <c r="W4477">
        <v>6.7138980000000001E-2</v>
      </c>
      <c r="X4477">
        <v>0.94187869999999996</v>
      </c>
      <c r="Y4477">
        <v>-0.62793679999999996</v>
      </c>
      <c r="Z4477">
        <v>5.951269E-2</v>
      </c>
      <c r="AA4477">
        <v>0.77598559999999905</v>
      </c>
      <c r="AB4477">
        <v>26</v>
      </c>
      <c r="AC4477">
        <v>18.005899999999901</v>
      </c>
      <c r="AD4477">
        <v>-1.1136697427509901</v>
      </c>
      <c r="AE4477">
        <v>-7.0168600000000003</v>
      </c>
      <c r="AF4477">
        <v>-12.249991225661599</v>
      </c>
      <c r="AG4477">
        <v>-1.1136697427509901</v>
      </c>
      <c r="AH4477">
        <v>14.863319146075099</v>
      </c>
      <c r="AI4477">
        <v>93.309178624965099</v>
      </c>
      <c r="AJ4477">
        <v>129.494528841494</v>
      </c>
      <c r="AK4477">
        <v>19.293024681547202</v>
      </c>
    </row>
    <row r="4478" spans="1:37" x14ac:dyDescent="0.2">
      <c r="A4478" t="str">
        <f>"20200111153523977"</f>
        <v>20200111153523977</v>
      </c>
      <c r="B4478" t="str">
        <f>"1578728123970928"</f>
        <v>1578728123970928</v>
      </c>
      <c r="C4478" t="s">
        <v>37</v>
      </c>
      <c r="D4478">
        <v>4.5865970000000003</v>
      </c>
      <c r="E4478">
        <v>0.35864119999999999</v>
      </c>
      <c r="F4478" t="s">
        <v>39</v>
      </c>
      <c r="G4478">
        <v>-399.0779</v>
      </c>
      <c r="H4478" s="1">
        <v>-1.851945E-6</v>
      </c>
      <c r="I4478">
        <v>25.011749999999999</v>
      </c>
      <c r="J4478">
        <v>-418.08199999999999</v>
      </c>
      <c r="K4478">
        <v>1.1137139999999901</v>
      </c>
      <c r="L4478">
        <v>32.274720000000002</v>
      </c>
      <c r="M4478">
        <v>0.49514730000000001</v>
      </c>
      <c r="N4478">
        <v>0</v>
      </c>
      <c r="O4478">
        <v>-0.86868650000000003</v>
      </c>
      <c r="P4478">
        <v>0.75108699999999995</v>
      </c>
      <c r="Q4478">
        <v>6.0543670000000001E-2</v>
      </c>
      <c r="R4478">
        <v>-0.65742109999999998</v>
      </c>
      <c r="S4478">
        <v>3.0003359999999999</v>
      </c>
      <c r="T4478">
        <v>-0.17498739999999999</v>
      </c>
      <c r="U4478">
        <v>-1.164032</v>
      </c>
      <c r="V4478">
        <v>-0.32847529999999903</v>
      </c>
      <c r="W4478">
        <v>6.7354020000000001E-2</v>
      </c>
      <c r="X4478">
        <v>0.94210799999999995</v>
      </c>
      <c r="Y4478">
        <v>-0.62919930000000002</v>
      </c>
      <c r="Z4478">
        <v>5.6711860000000003E-2</v>
      </c>
      <c r="AA4478">
        <v>0.77517230000000004</v>
      </c>
      <c r="AB4478">
        <v>26</v>
      </c>
      <c r="AC4478">
        <v>19.004099999999902</v>
      </c>
      <c r="AD4478">
        <v>-1.1137158519449999</v>
      </c>
      <c r="AE4478">
        <v>-7.2629700000000001</v>
      </c>
      <c r="AF4478">
        <v>-12.875156703886301</v>
      </c>
      <c r="AG4478">
        <v>-1.1137158519449999</v>
      </c>
      <c r="AH4478">
        <v>15.6737765252904</v>
      </c>
      <c r="AI4478">
        <v>93.142747886162098</v>
      </c>
      <c r="AJ4478">
        <v>129.40124747243399</v>
      </c>
      <c r="AK4478">
        <v>20.3144602122047</v>
      </c>
    </row>
    <row r="4479" spans="1:37" x14ac:dyDescent="0.2">
      <c r="A4479" t="str">
        <f>"20200111153523990"</f>
        <v>20200111153523990</v>
      </c>
      <c r="B4479" t="str">
        <f>"1578728123980689"</f>
        <v>1578728123980689</v>
      </c>
      <c r="C4479" t="s">
        <v>37</v>
      </c>
      <c r="D4479">
        <v>4.6393559999999896</v>
      </c>
      <c r="E4479">
        <v>0.35902840000000003</v>
      </c>
      <c r="F4479" t="s">
        <v>40</v>
      </c>
      <c r="G4479">
        <v>-417.22559999999999</v>
      </c>
      <c r="H4479">
        <v>1.064649</v>
      </c>
      <c r="I4479">
        <v>31.94894</v>
      </c>
      <c r="J4479">
        <v>-417.99950000000001</v>
      </c>
      <c r="K4479">
        <v>1.113753</v>
      </c>
      <c r="L4479">
        <v>32.145780000000002</v>
      </c>
      <c r="M4479">
        <v>0.5015252</v>
      </c>
      <c r="N4479">
        <v>0</v>
      </c>
      <c r="O4479">
        <v>-0.86501969999999995</v>
      </c>
      <c r="P4479">
        <v>0.75561899999999904</v>
      </c>
      <c r="Q4479">
        <v>6.0507110000000003E-2</v>
      </c>
      <c r="R4479">
        <v>-0.65221070000000003</v>
      </c>
      <c r="S4479">
        <v>3.00707999999999</v>
      </c>
      <c r="T4479">
        <v>-0.17227879999999901</v>
      </c>
      <c r="U4479">
        <v>-1.143707</v>
      </c>
      <c r="V4479">
        <v>-0.32806790000000002</v>
      </c>
      <c r="W4479">
        <v>6.7310720000000004E-2</v>
      </c>
      <c r="X4479">
        <v>0.94225300000000001</v>
      </c>
      <c r="Y4479">
        <v>-0.6286929</v>
      </c>
      <c r="Z4479">
        <v>5.5768230000000002E-2</v>
      </c>
      <c r="AA4479">
        <v>0.77565150000000005</v>
      </c>
      <c r="AB4479">
        <v>26</v>
      </c>
      <c r="AC4479">
        <v>0.77390000000002501</v>
      </c>
      <c r="AD4479">
        <v>-4.9104000000000002E-2</v>
      </c>
      <c r="AE4479">
        <v>-0.19683999999999799</v>
      </c>
      <c r="AF4479">
        <v>-0.568629278079817</v>
      </c>
      <c r="AG4479">
        <v>-4.9104000000000002E-2</v>
      </c>
      <c r="AH4479">
        <v>0.55635667442361203</v>
      </c>
      <c r="AI4479">
        <v>93.532083194821794</v>
      </c>
      <c r="AJ4479">
        <v>135.625021582844</v>
      </c>
      <c r="AK4479">
        <v>0.79704655314559603</v>
      </c>
    </row>
    <row r="4480" spans="1:37" x14ac:dyDescent="0.2">
      <c r="A4480" t="str">
        <f>"20200111153524005"</f>
        <v>20200111153524005</v>
      </c>
      <c r="B4480" t="str">
        <f>"1578728124000208"</f>
        <v>1578728124000208</v>
      </c>
      <c r="C4480" t="s">
        <v>37</v>
      </c>
      <c r="D4480">
        <v>4.6284979999999996</v>
      </c>
      <c r="E4480">
        <v>0.35997259999999998</v>
      </c>
      <c r="F4480" t="s">
        <v>39</v>
      </c>
      <c r="G4480">
        <v>-398.37180000000001</v>
      </c>
      <c r="H4480" s="1">
        <v>-2.1333220000000002E-6</v>
      </c>
      <c r="I4480">
        <v>24.81484</v>
      </c>
      <c r="J4480">
        <v>-417.9128</v>
      </c>
      <c r="K4480">
        <v>1.113791</v>
      </c>
      <c r="L4480">
        <v>32.012120000000003</v>
      </c>
      <c r="M4480">
        <v>0.50815440000000001</v>
      </c>
      <c r="N4480">
        <v>0</v>
      </c>
      <c r="O4480">
        <v>-0.86114179999999996</v>
      </c>
      <c r="P4480">
        <v>0.76037399999999999</v>
      </c>
      <c r="Q4480">
        <v>6.0284219999999999E-2</v>
      </c>
      <c r="R4480">
        <v>-0.64668159999999997</v>
      </c>
      <c r="S4480">
        <v>3.0126949999999999</v>
      </c>
      <c r="T4480">
        <v>-0.17095289999999999</v>
      </c>
      <c r="U4480">
        <v>-1.1252439999999999</v>
      </c>
      <c r="V4480">
        <v>-0.32771980000000001</v>
      </c>
      <c r="W4480">
        <v>6.7081420000000003E-2</v>
      </c>
      <c r="X4480">
        <v>0.94239050000000002</v>
      </c>
      <c r="Y4480">
        <v>-0.62739619999999996</v>
      </c>
      <c r="Z4480">
        <v>5.5255159999999998E-2</v>
      </c>
      <c r="AA4480">
        <v>0.77673729999999996</v>
      </c>
      <c r="AB4480">
        <v>26</v>
      </c>
      <c r="AC4480">
        <v>19.541</v>
      </c>
      <c r="AD4480">
        <v>-1.1137931333219999</v>
      </c>
      <c r="AE4480">
        <v>-7.1972800000000001</v>
      </c>
      <c r="AF4480">
        <v>-13.134078933666199</v>
      </c>
      <c r="AG4480">
        <v>-1.1137931333219999</v>
      </c>
      <c r="AH4480">
        <v>16.083439511123299</v>
      </c>
      <c r="AI4480">
        <v>93.070303823250001</v>
      </c>
      <c r="AJ4480">
        <v>129.23580700296401</v>
      </c>
      <c r="AK4480">
        <v>20.7947491229775</v>
      </c>
    </row>
    <row r="4481" spans="1:37" x14ac:dyDescent="0.2">
      <c r="A4481" t="str">
        <f>"20200111153524018"</f>
        <v>20200111153524018</v>
      </c>
      <c r="B4481" t="str">
        <f>"1578728124009968"</f>
        <v>1578728124009968</v>
      </c>
      <c r="C4481" t="s">
        <v>37</v>
      </c>
      <c r="D4481">
        <v>4.6568300000000002</v>
      </c>
      <c r="E4481">
        <v>0.36036360000000001</v>
      </c>
      <c r="F4481" t="s">
        <v>39</v>
      </c>
      <c r="G4481">
        <v>-398.2663</v>
      </c>
      <c r="H4481" s="1">
        <v>-2.1762320000000001E-6</v>
      </c>
      <c r="I4481">
        <v>24.788609999999998</v>
      </c>
      <c r="J4481">
        <v>-417.82549999999998</v>
      </c>
      <c r="K4481">
        <v>1.113815</v>
      </c>
      <c r="L4481">
        <v>31.879239999999999</v>
      </c>
      <c r="M4481">
        <v>0.51476820000000001</v>
      </c>
      <c r="N4481">
        <v>0</v>
      </c>
      <c r="O4481">
        <v>-0.85720459999999998</v>
      </c>
      <c r="P4481">
        <v>0.76536630000000005</v>
      </c>
      <c r="Q4481">
        <v>5.9400479999999999E-2</v>
      </c>
      <c r="R4481">
        <v>-0.64084770000000002</v>
      </c>
      <c r="S4481">
        <v>3.0159609999999999</v>
      </c>
      <c r="T4481">
        <v>-0.170979399999999</v>
      </c>
      <c r="U4481">
        <v>-1.108887</v>
      </c>
      <c r="V4481">
        <v>-0.32771739999999999</v>
      </c>
      <c r="W4481">
        <v>6.6186960000000003E-2</v>
      </c>
      <c r="X4481">
        <v>0.94245460000000003</v>
      </c>
      <c r="Y4481">
        <v>-0.62538800000000005</v>
      </c>
      <c r="Z4481">
        <v>5.5184150000000001E-2</v>
      </c>
      <c r="AA4481">
        <v>0.7783601</v>
      </c>
      <c r="AB4481">
        <v>26</v>
      </c>
      <c r="AC4481">
        <v>19.559199999999901</v>
      </c>
      <c r="AD4481">
        <v>-1.1138171762319999</v>
      </c>
      <c r="AE4481">
        <v>-7.09063</v>
      </c>
      <c r="AF4481">
        <v>-13.080119087448599</v>
      </c>
      <c r="AG4481">
        <v>-1.1138171762319999</v>
      </c>
      <c r="AH4481">
        <v>16.102151168857599</v>
      </c>
      <c r="AI4481">
        <v>93.073260532117899</v>
      </c>
      <c r="AJ4481">
        <v>129.08768825212999</v>
      </c>
      <c r="AK4481">
        <v>20.7752106200791</v>
      </c>
    </row>
    <row r="4482" spans="1:37" x14ac:dyDescent="0.2">
      <c r="A4482" t="str">
        <f>"20200111153524032"</f>
        <v>20200111153524032</v>
      </c>
      <c r="B4482" t="str">
        <f>"1578728124020704"</f>
        <v>1578728124020704</v>
      </c>
      <c r="C4482" t="s">
        <v>37</v>
      </c>
      <c r="D4482">
        <v>4.6396819999999996</v>
      </c>
      <c r="E4482">
        <v>0.36077559999999997</v>
      </c>
      <c r="F4482" t="s">
        <v>40</v>
      </c>
      <c r="G4482">
        <v>-416.97699999999998</v>
      </c>
      <c r="H4482">
        <v>1.064935</v>
      </c>
      <c r="I4482">
        <v>31.573459999999901</v>
      </c>
      <c r="J4482">
        <v>-417.74040000000002</v>
      </c>
      <c r="K4482">
        <v>1.113829</v>
      </c>
      <c r="L4482">
        <v>31.753050000000002</v>
      </c>
      <c r="M4482">
        <v>0.52109689999999997</v>
      </c>
      <c r="N4482">
        <v>0</v>
      </c>
      <c r="O4482">
        <v>-0.85337180000000001</v>
      </c>
      <c r="P4482">
        <v>0.77021340000000005</v>
      </c>
      <c r="Q4482">
        <v>5.8765890000000001E-2</v>
      </c>
      <c r="R4482">
        <v>-0.63507349999999996</v>
      </c>
      <c r="S4482">
        <v>3.0222169999999999</v>
      </c>
      <c r="T4482">
        <v>-0.17402719999999999</v>
      </c>
      <c r="U4482">
        <v>-1.087982</v>
      </c>
      <c r="V4482">
        <v>-0.32786300000000002</v>
      </c>
      <c r="W4482">
        <v>6.5544610000000003E-2</v>
      </c>
      <c r="X4482">
        <v>0.94244879999999998</v>
      </c>
      <c r="Y4482">
        <v>-0.62484249999999997</v>
      </c>
      <c r="Z4482">
        <v>5.609024E-2</v>
      </c>
      <c r="AA4482">
        <v>0.77873340000000002</v>
      </c>
      <c r="AB4482">
        <v>26</v>
      </c>
      <c r="AC4482">
        <v>0.76340000000004604</v>
      </c>
      <c r="AD4482">
        <v>-4.8894000000000201E-2</v>
      </c>
      <c r="AE4482">
        <v>-0.179590000000004</v>
      </c>
      <c r="AF4482">
        <v>-0.555779797672176</v>
      </c>
      <c r="AG4482">
        <v>-4.8894000000000201E-2</v>
      </c>
      <c r="AH4482">
        <v>0.54898764223762397</v>
      </c>
      <c r="AI4482">
        <v>93.581360198436997</v>
      </c>
      <c r="AJ4482">
        <v>135.35225235919901</v>
      </c>
      <c r="AK4482">
        <v>0.782731906891594</v>
      </c>
    </row>
    <row r="4483" spans="1:37" x14ac:dyDescent="0.2">
      <c r="A4483" t="str">
        <f>"20200111153524047"</f>
        <v>20200111153524047</v>
      </c>
      <c r="B4483" t="str">
        <f>"1578728124040224"</f>
        <v>1578728124040224</v>
      </c>
      <c r="C4483" t="s">
        <v>37</v>
      </c>
      <c r="D4483">
        <v>4.6212419999999996</v>
      </c>
      <c r="E4483">
        <v>0.361516</v>
      </c>
      <c r="F4483" t="s">
        <v>39</v>
      </c>
      <c r="G4483">
        <v>-398.5752</v>
      </c>
      <c r="H4483" s="1">
        <v>-2.0850559999999998E-6</v>
      </c>
      <c r="I4483">
        <v>24.994759999999999</v>
      </c>
      <c r="J4483">
        <v>-417.64589999999998</v>
      </c>
      <c r="K4483">
        <v>1.113837</v>
      </c>
      <c r="L4483">
        <v>31.61469</v>
      </c>
      <c r="M4483">
        <v>0.52804569999999995</v>
      </c>
      <c r="N4483">
        <v>0</v>
      </c>
      <c r="O4483">
        <v>-0.84908969999999995</v>
      </c>
      <c r="P4483">
        <v>0.77568000000000004</v>
      </c>
      <c r="Q4483">
        <v>5.8252730000000003E-2</v>
      </c>
      <c r="R4483">
        <v>-0.6284324</v>
      </c>
      <c r="S4483">
        <v>3.0280149999999999</v>
      </c>
      <c r="T4483">
        <v>-0.1759802</v>
      </c>
      <c r="U4483">
        <v>-1.06778</v>
      </c>
      <c r="V4483">
        <v>-0.32829130000000001</v>
      </c>
      <c r="W4483">
        <v>6.5019309999999997E-2</v>
      </c>
      <c r="X4483">
        <v>0.94233609999999901</v>
      </c>
      <c r="Y4483">
        <v>-0.62352790000000002</v>
      </c>
      <c r="Z4483">
        <v>5.6613820000000002E-2</v>
      </c>
      <c r="AA4483">
        <v>0.77974860000000001</v>
      </c>
      <c r="AB4483">
        <v>26</v>
      </c>
      <c r="AC4483">
        <v>19.070699999999899</v>
      </c>
      <c r="AD4483">
        <v>-1.113839085056</v>
      </c>
      <c r="AE4483">
        <v>-6.6199300000000001</v>
      </c>
      <c r="AF4483">
        <v>-12.659929002368999</v>
      </c>
      <c r="AG4483">
        <v>-1.113839085056</v>
      </c>
      <c r="AH4483">
        <v>15.6451679279171</v>
      </c>
      <c r="AI4483">
        <v>93.167747687243804</v>
      </c>
      <c r="AJ4483">
        <v>128.97947248129299</v>
      </c>
      <c r="AK4483">
        <v>20.156530439169</v>
      </c>
    </row>
    <row r="4484" spans="1:37" x14ac:dyDescent="0.2">
      <c r="A4484" t="str">
        <f>"20200111153524062"</f>
        <v>20200111153524062</v>
      </c>
      <c r="B4484" t="str">
        <f>"1578728124049984"</f>
        <v>1578728124049984</v>
      </c>
      <c r="C4484" t="s">
        <v>37</v>
      </c>
      <c r="D4484">
        <v>4.6312530000000001</v>
      </c>
      <c r="E4484">
        <v>0.3619597</v>
      </c>
      <c r="F4484" t="s">
        <v>39</v>
      </c>
      <c r="G4484">
        <v>-398.58120000000002</v>
      </c>
      <c r="H4484" s="1">
        <v>-2.0935669999999999E-6</v>
      </c>
      <c r="I4484">
        <v>25.037469999999999</v>
      </c>
      <c r="J4484">
        <v>-417.54160000000002</v>
      </c>
      <c r="K4484">
        <v>1.113836</v>
      </c>
      <c r="L4484">
        <v>31.464509999999901</v>
      </c>
      <c r="M4484">
        <v>0.53560259999999904</v>
      </c>
      <c r="N4484">
        <v>0</v>
      </c>
      <c r="O4484">
        <v>-0.84434279999999995</v>
      </c>
      <c r="P4484">
        <v>0.78150609999999998</v>
      </c>
      <c r="Q4484">
        <v>5.6891730000000001E-2</v>
      </c>
      <c r="R4484">
        <v>-0.62129840000000003</v>
      </c>
      <c r="S4484">
        <v>3.0331419999999998</v>
      </c>
      <c r="T4484">
        <v>-0.1772088</v>
      </c>
      <c r="U4484">
        <v>-1.0464169999999999</v>
      </c>
      <c r="V4484">
        <v>-0.3285728</v>
      </c>
      <c r="W4484">
        <v>6.3655050000000005E-2</v>
      </c>
      <c r="X4484">
        <v>0.94233109999999998</v>
      </c>
      <c r="Y4484">
        <v>-0.62184649999999997</v>
      </c>
      <c r="Z4484">
        <v>5.6896019999999999E-2</v>
      </c>
      <c r="AA4484">
        <v>0.78106960000000003</v>
      </c>
      <c r="AB4484">
        <v>26</v>
      </c>
      <c r="AC4484">
        <v>18.9604</v>
      </c>
      <c r="AD4484">
        <v>-1.113838093567</v>
      </c>
      <c r="AE4484">
        <v>-6.4270399999999901</v>
      </c>
      <c r="AF4484">
        <v>-12.529306769939099</v>
      </c>
      <c r="AG4484">
        <v>-1.113838093567</v>
      </c>
      <c r="AH4484">
        <v>15.535452548891101</v>
      </c>
      <c r="AI4484">
        <v>93.194264245033906</v>
      </c>
      <c r="AJ4484">
        <v>128.88609645228399</v>
      </c>
      <c r="AK4484">
        <v>19.9893584022292</v>
      </c>
    </row>
    <row r="4485" spans="1:37" x14ac:dyDescent="0.2">
      <c r="A4485" t="str">
        <f>"20200111153524076"</f>
        <v>20200111153524076</v>
      </c>
      <c r="B4485" t="str">
        <f>"1578728124070480"</f>
        <v>1578728124070480</v>
      </c>
      <c r="C4485" t="s">
        <v>37</v>
      </c>
      <c r="D4485">
        <v>4.615558</v>
      </c>
      <c r="E4485">
        <v>0.36238140000000002</v>
      </c>
      <c r="F4485" t="s">
        <v>39</v>
      </c>
      <c r="G4485">
        <v>-398.86149999999998</v>
      </c>
      <c r="H4485" s="1">
        <v>-2.0021510000000002E-6</v>
      </c>
      <c r="I4485">
        <v>25.19172</v>
      </c>
      <c r="J4485">
        <v>-417.4477</v>
      </c>
      <c r="K4485">
        <v>1.113834</v>
      </c>
      <c r="L4485">
        <v>31.331879999999899</v>
      </c>
      <c r="M4485">
        <v>0.54229209999999906</v>
      </c>
      <c r="N4485">
        <v>0</v>
      </c>
      <c r="O4485">
        <v>-0.84006229999999904</v>
      </c>
      <c r="P4485">
        <v>0.78645869999999996</v>
      </c>
      <c r="Q4485">
        <v>5.6104130000000002E-2</v>
      </c>
      <c r="R4485">
        <v>-0.61509009999999997</v>
      </c>
      <c r="S4485">
        <v>3.040314</v>
      </c>
      <c r="T4485">
        <v>-0.181284</v>
      </c>
      <c r="U4485">
        <v>-1.0209349999999999</v>
      </c>
      <c r="V4485">
        <v>-0.32858140000000002</v>
      </c>
      <c r="W4485">
        <v>6.287508E-2</v>
      </c>
      <c r="X4485">
        <v>0.94238049999999995</v>
      </c>
      <c r="Y4485">
        <v>-0.62199139999999997</v>
      </c>
      <c r="Z4485">
        <v>5.812113E-2</v>
      </c>
      <c r="AA4485">
        <v>0.78086409999999995</v>
      </c>
      <c r="AB4485">
        <v>26</v>
      </c>
      <c r="AC4485">
        <v>18.586200000000002</v>
      </c>
      <c r="AD4485">
        <v>-1.1138360021510001</v>
      </c>
      <c r="AE4485">
        <v>-6.1401599999999901</v>
      </c>
      <c r="AF4485">
        <v>-12.2454732689782</v>
      </c>
      <c r="AG4485">
        <v>-1.1138360021510001</v>
      </c>
      <c r="AH4485">
        <v>15.1897175099894</v>
      </c>
      <c r="AI4485">
        <v>93.267331689910506</v>
      </c>
      <c r="AJ4485">
        <v>128.87466963161</v>
      </c>
      <c r="AK4485">
        <v>19.5427675689557</v>
      </c>
    </row>
    <row r="4486" spans="1:37" x14ac:dyDescent="0.2">
      <c r="A4486" t="str">
        <f>"20200111153524089"</f>
        <v>20200111153524089</v>
      </c>
      <c r="B4486" t="str">
        <f>"1578728124079978"</f>
        <v>1578728124079978</v>
      </c>
      <c r="C4486" t="s">
        <v>37</v>
      </c>
      <c r="D4486">
        <v>4.6249349999999998</v>
      </c>
      <c r="E4486">
        <v>0.3753879</v>
      </c>
      <c r="F4486" t="s">
        <v>40</v>
      </c>
      <c r="G4486">
        <v>-416.56810000000002</v>
      </c>
      <c r="H4486">
        <v>1.060962</v>
      </c>
      <c r="I4486">
        <v>31.04327</v>
      </c>
      <c r="J4486">
        <v>-417.35930000000002</v>
      </c>
      <c r="K4486">
        <v>1.113826</v>
      </c>
      <c r="L4486">
        <v>31.209320000000002</v>
      </c>
      <c r="M4486">
        <v>0.54848580000000002</v>
      </c>
      <c r="N4486">
        <v>0</v>
      </c>
      <c r="O4486">
        <v>-0.83603119999999997</v>
      </c>
      <c r="P4486">
        <v>0.79121039999999998</v>
      </c>
      <c r="Q4486">
        <v>5.5962459999999999E-2</v>
      </c>
      <c r="R4486">
        <v>-0.60897840000000003</v>
      </c>
      <c r="S4486">
        <v>3.0460210000000001</v>
      </c>
      <c r="T4486">
        <v>-0.18306910000000001</v>
      </c>
      <c r="U4486">
        <v>-0.99929809999999997</v>
      </c>
      <c r="V4486">
        <v>-0.32892270000000001</v>
      </c>
      <c r="W4486">
        <v>6.2733259999999999E-2</v>
      </c>
      <c r="X4486">
        <v>0.94227090000000002</v>
      </c>
      <c r="Y4486">
        <v>-0.62161650000000002</v>
      </c>
      <c r="Z4486">
        <v>5.8603179999999998E-2</v>
      </c>
      <c r="AA4486">
        <v>0.7811266</v>
      </c>
      <c r="AB4486">
        <v>26</v>
      </c>
      <c r="AC4486">
        <v>0.79120000000000301</v>
      </c>
      <c r="AD4486">
        <v>-5.28639999999998E-2</v>
      </c>
      <c r="AE4486">
        <v>-0.166050000000002</v>
      </c>
      <c r="AF4486">
        <v>-0.56802437349361701</v>
      </c>
      <c r="AG4486">
        <v>-5.28639999999998E-2</v>
      </c>
      <c r="AH4486">
        <v>0.57040756804743697</v>
      </c>
      <c r="AI4486">
        <v>93.757218791358994</v>
      </c>
      <c r="AJ4486">
        <v>134.880057133636</v>
      </c>
      <c r="AK4486">
        <v>0.80672863161326303</v>
      </c>
    </row>
    <row r="4487" spans="1:37" x14ac:dyDescent="0.2">
      <c r="A4487" t="str">
        <f>"20200111153524104"</f>
        <v>20200111153524104</v>
      </c>
      <c r="B4487" t="str">
        <f>"1578728124100473"</f>
        <v>1578728124100473</v>
      </c>
      <c r="C4487" t="s">
        <v>37</v>
      </c>
      <c r="D4487">
        <v>4.6270280000000001</v>
      </c>
      <c r="E4487">
        <v>0.37709029999999999</v>
      </c>
      <c r="F4487" t="s">
        <v>40</v>
      </c>
      <c r="G4487">
        <v>-416.42079999999999</v>
      </c>
      <c r="H4487">
        <v>1.0624499999999999</v>
      </c>
      <c r="I4487">
        <v>30.877559999999999</v>
      </c>
      <c r="J4487">
        <v>-417.26139999999998</v>
      </c>
      <c r="K4487">
        <v>1.113815</v>
      </c>
      <c r="L4487">
        <v>31.075469999999999</v>
      </c>
      <c r="M4487">
        <v>0.55524560000000001</v>
      </c>
      <c r="N4487">
        <v>0</v>
      </c>
      <c r="O4487">
        <v>-0.83155689999999904</v>
      </c>
      <c r="P4487">
        <v>0.79619799999999996</v>
      </c>
      <c r="Q4487">
        <v>5.5793870000000002E-2</v>
      </c>
      <c r="R4487">
        <v>-0.6024581</v>
      </c>
      <c r="S4487">
        <v>2.9898380000000002</v>
      </c>
      <c r="T4487">
        <v>-0.16366149999999999</v>
      </c>
      <c r="U4487">
        <v>-1.056702</v>
      </c>
      <c r="V4487">
        <v>-0.32902890000000001</v>
      </c>
      <c r="W4487">
        <v>6.2573840000000006E-2</v>
      </c>
      <c r="X4487">
        <v>0.94224439999999998</v>
      </c>
      <c r="Y4487">
        <v>-0.59759110000000004</v>
      </c>
      <c r="Z4487">
        <v>5.2379759999999997E-2</v>
      </c>
      <c r="AA4487">
        <v>0.80008829999999997</v>
      </c>
      <c r="AB4487">
        <v>26</v>
      </c>
      <c r="AC4487">
        <v>0.84059999999999402</v>
      </c>
      <c r="AD4487">
        <v>-5.1365000000000098E-2</v>
      </c>
      <c r="AE4487">
        <v>-0.197910000000003</v>
      </c>
      <c r="AF4487">
        <v>-0.58710452277404701</v>
      </c>
      <c r="AG4487">
        <v>-5.1365000000000098E-2</v>
      </c>
      <c r="AH4487">
        <v>0.62915510886150205</v>
      </c>
      <c r="AI4487">
        <v>93.415892893323303</v>
      </c>
      <c r="AJ4487">
        <v>133.01986208534601</v>
      </c>
      <c r="AK4487">
        <v>0.86207089899454903</v>
      </c>
    </row>
    <row r="4488" spans="1:37" x14ac:dyDescent="0.2">
      <c r="A4488" t="str">
        <f>"20200111153524119"</f>
        <v>20200111153524119</v>
      </c>
      <c r="B4488" t="str">
        <f>"1578728124110234"</f>
        <v>1578728124110234</v>
      </c>
      <c r="C4488" t="s">
        <v>37</v>
      </c>
      <c r="D4488">
        <v>4.6215710000000003</v>
      </c>
      <c r="E4488">
        <v>0.37758419999999998</v>
      </c>
      <c r="F4488" t="s">
        <v>39</v>
      </c>
      <c r="G4488">
        <v>-397.47129999999999</v>
      </c>
      <c r="H4488" s="1">
        <v>-2.3878510000000002E-6</v>
      </c>
      <c r="I4488">
        <v>24.171489999999999</v>
      </c>
      <c r="J4488">
        <v>-417.15309999999999</v>
      </c>
      <c r="K4488">
        <v>1.1138059999999901</v>
      </c>
      <c r="L4488">
        <v>30.9298099999999</v>
      </c>
      <c r="M4488">
        <v>0.56260219999999905</v>
      </c>
      <c r="N4488">
        <v>0</v>
      </c>
      <c r="O4488">
        <v>-0.82659729999999998</v>
      </c>
      <c r="P4488">
        <v>0.80184390000000005</v>
      </c>
      <c r="Q4488">
        <v>5.6453719999999999E-2</v>
      </c>
      <c r="R4488">
        <v>-0.59486090000000003</v>
      </c>
      <c r="S4488">
        <v>2.9903559999999998</v>
      </c>
      <c r="T4488">
        <v>-0.16830129999999999</v>
      </c>
      <c r="U4488">
        <v>-1.0432129999999999</v>
      </c>
      <c r="V4488">
        <v>-0.32960139999999999</v>
      </c>
      <c r="W4488">
        <v>6.3233429999999993E-2</v>
      </c>
      <c r="X4488">
        <v>0.94200019999999995</v>
      </c>
      <c r="Y4488">
        <v>-0.59365109999999999</v>
      </c>
      <c r="Z4488">
        <v>5.3714770000000002E-2</v>
      </c>
      <c r="AA4488">
        <v>0.80292790000000003</v>
      </c>
      <c r="AB4488">
        <v>26</v>
      </c>
      <c r="AC4488">
        <v>19.681799999999999</v>
      </c>
      <c r="AD4488">
        <v>-1.1138083878509999</v>
      </c>
      <c r="AE4488">
        <v>-6.7583199999999897</v>
      </c>
      <c r="AF4488">
        <v>-12.4324060129399</v>
      </c>
      <c r="AG4488">
        <v>-1.1138083878509999</v>
      </c>
      <c r="AH4488">
        <v>16.6136360883783</v>
      </c>
      <c r="AI4488">
        <v>93.072492387712501</v>
      </c>
      <c r="AJ4488">
        <v>126.80844217597399</v>
      </c>
      <c r="AK4488">
        <v>20.7802356211978</v>
      </c>
    </row>
    <row r="4489" spans="1:37" x14ac:dyDescent="0.2">
      <c r="A4489" t="str">
        <f>"20200111153524134"</f>
        <v>20200111153524134</v>
      </c>
      <c r="B4489" t="str">
        <f>"1578728124130729"</f>
        <v>1578728124130729</v>
      </c>
      <c r="C4489" t="s">
        <v>37</v>
      </c>
      <c r="D4489">
        <v>4.6008190000000004</v>
      </c>
      <c r="E4489">
        <v>0.37867440000000002</v>
      </c>
      <c r="F4489" t="s">
        <v>39</v>
      </c>
      <c r="G4489">
        <v>-397.5179</v>
      </c>
      <c r="H4489" s="1">
        <v>-2.3891640000000002E-6</v>
      </c>
      <c r="I4489">
        <v>24.2592</v>
      </c>
      <c r="J4489">
        <v>-417.0498</v>
      </c>
      <c r="K4489">
        <v>1.113785</v>
      </c>
      <c r="L4489">
        <v>30.793790000000001</v>
      </c>
      <c r="M4489">
        <v>0.56947590000000003</v>
      </c>
      <c r="N4489">
        <v>0</v>
      </c>
      <c r="O4489">
        <v>-0.82187679999999996</v>
      </c>
      <c r="P4489">
        <v>0.80701820000000002</v>
      </c>
      <c r="Q4489">
        <v>5.7187080000000001E-2</v>
      </c>
      <c r="R4489">
        <v>-0.58775180000000005</v>
      </c>
      <c r="S4489">
        <v>2.99780299999999</v>
      </c>
      <c r="T4489">
        <v>-0.17005029999999999</v>
      </c>
      <c r="U4489">
        <v>-1.0184329999999999</v>
      </c>
      <c r="V4489">
        <v>-0.330041799999999</v>
      </c>
      <c r="W4489">
        <v>6.3970570000000004E-2</v>
      </c>
      <c r="X4489">
        <v>0.94179619999999997</v>
      </c>
      <c r="Y4489">
        <v>-0.59347249999999996</v>
      </c>
      <c r="Z4489">
        <v>5.4154149999999998E-2</v>
      </c>
      <c r="AA4489">
        <v>0.80303029999999997</v>
      </c>
      <c r="AB4489">
        <v>26</v>
      </c>
      <c r="AC4489">
        <v>19.5319</v>
      </c>
      <c r="AD4489">
        <v>-1.113787389164</v>
      </c>
      <c r="AE4489">
        <v>-6.5345899999999997</v>
      </c>
      <c r="AF4489">
        <v>-12.2968931334198</v>
      </c>
      <c r="AG4489">
        <v>-1.113787389164</v>
      </c>
      <c r="AH4489">
        <v>16.447255082449601</v>
      </c>
      <c r="AI4489">
        <v>93.104449245463002</v>
      </c>
      <c r="AJ4489">
        <v>126.78385741484099</v>
      </c>
      <c r="AK4489">
        <v>20.566144578655798</v>
      </c>
    </row>
    <row r="4490" spans="1:37" x14ac:dyDescent="0.2">
      <c r="A4490" t="str">
        <f>"20200111153524149"</f>
        <v>20200111153524149</v>
      </c>
      <c r="B4490" t="str">
        <f>"1578728124140491"</f>
        <v>1578728124140491</v>
      </c>
      <c r="C4490" t="s">
        <v>37</v>
      </c>
      <c r="D4490">
        <v>4.6010970000000002</v>
      </c>
      <c r="E4490">
        <v>0.37917410000000001</v>
      </c>
      <c r="F4490" t="s">
        <v>40</v>
      </c>
      <c r="G4490">
        <v>-416.16950000000003</v>
      </c>
      <c r="H4490">
        <v>1.0644389999999999</v>
      </c>
      <c r="I4490">
        <v>30.500769999999999</v>
      </c>
      <c r="J4490">
        <v>-416.95299999999997</v>
      </c>
      <c r="K4490">
        <v>1.1137699999999999</v>
      </c>
      <c r="L4490">
        <v>30.668579999999999</v>
      </c>
      <c r="M4490">
        <v>0.57580019999999998</v>
      </c>
      <c r="N4490">
        <v>0</v>
      </c>
      <c r="O4490">
        <v>-0.81745840000000003</v>
      </c>
      <c r="P4490">
        <v>0.81177829999999995</v>
      </c>
      <c r="Q4490">
        <v>5.7522320000000002E-2</v>
      </c>
      <c r="R4490">
        <v>-0.58112589999999997</v>
      </c>
      <c r="S4490">
        <v>3.001709</v>
      </c>
      <c r="T4490">
        <v>-0.1682553</v>
      </c>
      <c r="U4490">
        <v>-0.99908449999999904</v>
      </c>
      <c r="V4490">
        <v>-0.33046969999999998</v>
      </c>
      <c r="W4490">
        <v>6.4310320000000004E-2</v>
      </c>
      <c r="X4490">
        <v>0.94162299999999999</v>
      </c>
      <c r="Y4490">
        <v>-0.59227319999999894</v>
      </c>
      <c r="Z4490">
        <v>5.3476129999999997E-2</v>
      </c>
      <c r="AA4490">
        <v>0.80396069999999997</v>
      </c>
      <c r="AB4490">
        <v>26</v>
      </c>
      <c r="AC4490">
        <v>0.78350000000000297</v>
      </c>
      <c r="AD4490">
        <v>-4.9331000000000201E-2</v>
      </c>
      <c r="AE4490">
        <v>-0.16780999999999499</v>
      </c>
      <c r="AF4490">
        <v>-0.54185849158823696</v>
      </c>
      <c r="AG4490">
        <v>-4.9331000000000201E-2</v>
      </c>
      <c r="AH4490">
        <v>0.58615890260012304</v>
      </c>
      <c r="AI4490">
        <v>93.536349047865897</v>
      </c>
      <c r="AJ4490">
        <v>132.75098960929299</v>
      </c>
      <c r="AK4490">
        <v>0.799766485647317</v>
      </c>
    </row>
    <row r="4491" spans="1:37" x14ac:dyDescent="0.2">
      <c r="A4491" t="str">
        <f>"20200111153524163"</f>
        <v>20200111153524163</v>
      </c>
      <c r="B4491" t="str">
        <f>"1578728124160009"</f>
        <v>1578728124160009</v>
      </c>
      <c r="C4491" t="s">
        <v>37</v>
      </c>
      <c r="D4491">
        <v>4.6442879999999898</v>
      </c>
      <c r="E4491">
        <v>0.38010749999999999</v>
      </c>
      <c r="F4491" t="s">
        <v>40</v>
      </c>
      <c r="G4491">
        <v>-416.00040000000001</v>
      </c>
      <c r="H4491">
        <v>1.0606949999999999</v>
      </c>
      <c r="I4491">
        <v>30.358619999999998</v>
      </c>
      <c r="J4491">
        <v>-416.85050000000001</v>
      </c>
      <c r="K4491">
        <v>1.1137539999999999</v>
      </c>
      <c r="L4491">
        <v>30.53763</v>
      </c>
      <c r="M4491">
        <v>0.58240380000000003</v>
      </c>
      <c r="N4491">
        <v>0</v>
      </c>
      <c r="O4491">
        <v>-0.81276680000000001</v>
      </c>
      <c r="P4491">
        <v>0.81679769999999996</v>
      </c>
      <c r="Q4491">
        <v>5.8351189999999997E-2</v>
      </c>
      <c r="R4491">
        <v>-0.57396599999999998</v>
      </c>
      <c r="S4491">
        <v>3.007355</v>
      </c>
      <c r="T4491">
        <v>-0.1675141</v>
      </c>
      <c r="U4491">
        <v>-0.97802730000000004</v>
      </c>
      <c r="V4491">
        <v>-0.33108759999999998</v>
      </c>
      <c r="W4491">
        <v>6.5139699999999995E-2</v>
      </c>
      <c r="X4491">
        <v>0.94134899999999999</v>
      </c>
      <c r="Y4491">
        <v>-0.59130150000000004</v>
      </c>
      <c r="Z4491">
        <v>5.3107599999999998E-2</v>
      </c>
      <c r="AA4491">
        <v>0.80470010000000003</v>
      </c>
      <c r="AB4491">
        <v>26</v>
      </c>
      <c r="AC4491">
        <v>0.85009999999999697</v>
      </c>
      <c r="AD4491">
        <v>-5.3058999999999898E-2</v>
      </c>
      <c r="AE4491">
        <v>-0.179009999999998</v>
      </c>
      <c r="AF4491">
        <v>-0.58455976577102797</v>
      </c>
      <c r="AG4491">
        <v>-5.3058999999999898E-2</v>
      </c>
      <c r="AH4491">
        <v>0.63828309085469903</v>
      </c>
      <c r="AI4491">
        <v>93.508037000944697</v>
      </c>
      <c r="AJ4491">
        <v>132.484434176147</v>
      </c>
      <c r="AK4491">
        <v>0.86713936671697001</v>
      </c>
    </row>
    <row r="4492" spans="1:37" x14ac:dyDescent="0.2">
      <c r="A4492" t="str">
        <f>"20200111153524175"</f>
        <v>20200111153524175</v>
      </c>
      <c r="B4492" t="str">
        <f>"1578728124170747"</f>
        <v>1578728124170747</v>
      </c>
      <c r="C4492" t="s">
        <v>37</v>
      </c>
      <c r="D4492">
        <v>4.6209290000000003</v>
      </c>
      <c r="E4492">
        <v>0.38056440000000002</v>
      </c>
      <c r="F4492" t="s">
        <v>39</v>
      </c>
      <c r="G4492">
        <v>-396.96749999999997</v>
      </c>
      <c r="H4492" s="1">
        <v>-2.6360319999999999E-6</v>
      </c>
      <c r="I4492">
        <v>24.209250000000001</v>
      </c>
      <c r="J4492">
        <v>-416.76049999999998</v>
      </c>
      <c r="K4492">
        <v>1.113737</v>
      </c>
      <c r="L4492">
        <v>30.424469999999999</v>
      </c>
      <c r="M4492">
        <v>0.58810509999999905</v>
      </c>
      <c r="N4492">
        <v>0</v>
      </c>
      <c r="O4492">
        <v>-0.80865129999999996</v>
      </c>
      <c r="P4492">
        <v>0.82113999999999998</v>
      </c>
      <c r="Q4492">
        <v>5.8424589999999998E-2</v>
      </c>
      <c r="R4492">
        <v>-0.56772919999999905</v>
      </c>
      <c r="S4492">
        <v>3.0113829999999999</v>
      </c>
      <c r="T4492">
        <v>-0.168684</v>
      </c>
      <c r="U4492">
        <v>-0.95846559999999903</v>
      </c>
      <c r="V4492">
        <v>-0.33163120000000001</v>
      </c>
      <c r="W4492">
        <v>6.5213919999999995E-2</v>
      </c>
      <c r="X4492">
        <v>0.941152399999999</v>
      </c>
      <c r="Y4492">
        <v>-0.59066960000000002</v>
      </c>
      <c r="Z4492">
        <v>5.338101E-2</v>
      </c>
      <c r="AA4492">
        <v>0.80514589999999997</v>
      </c>
      <c r="AB4492">
        <v>26</v>
      </c>
      <c r="AC4492">
        <v>19.792999999999999</v>
      </c>
      <c r="AD4492">
        <v>-1.113739636032</v>
      </c>
      <c r="AE4492">
        <v>-6.2152199999999898</v>
      </c>
      <c r="AF4492">
        <v>-12.316267119416199</v>
      </c>
      <c r="AG4492">
        <v>-1.113739636032</v>
      </c>
      <c r="AH4492">
        <v>16.620205315848001</v>
      </c>
      <c r="AI4492">
        <v>93.081804390900402</v>
      </c>
      <c r="AJ4492">
        <v>126.53999235795</v>
      </c>
      <c r="AK4492">
        <v>20.7162273707021</v>
      </c>
    </row>
    <row r="4493" spans="1:37" x14ac:dyDescent="0.2">
      <c r="A4493" t="str">
        <f>"20200111153524188"</f>
        <v>20200111153524188</v>
      </c>
      <c r="B4493" t="str">
        <f>"1578728124180182"</f>
        <v>1578728124180182</v>
      </c>
      <c r="C4493" t="s">
        <v>37</v>
      </c>
      <c r="D4493">
        <v>4.5656319999999999</v>
      </c>
      <c r="E4493">
        <v>0.38056440000000002</v>
      </c>
      <c r="F4493" t="s">
        <v>40</v>
      </c>
      <c r="G4493">
        <v>-415.88889999999998</v>
      </c>
      <c r="H4493">
        <v>1.064397</v>
      </c>
      <c r="I4493">
        <v>30.152979999999999</v>
      </c>
      <c r="J4493">
        <v>-416.66829999999999</v>
      </c>
      <c r="K4493">
        <v>1.113715</v>
      </c>
      <c r="L4493">
        <v>30.310639999999999</v>
      </c>
      <c r="M4493">
        <v>0.59384150000000002</v>
      </c>
      <c r="N4493">
        <v>0</v>
      </c>
      <c r="O4493">
        <v>-0.80444789999999999</v>
      </c>
      <c r="P4493">
        <v>0.82542000000000004</v>
      </c>
      <c r="Q4493">
        <v>5.8735820000000001E-2</v>
      </c>
      <c r="R4493">
        <v>-0.56145579999999995</v>
      </c>
      <c r="S4493">
        <v>3.0165709999999999</v>
      </c>
      <c r="T4493">
        <v>-0.170713</v>
      </c>
      <c r="U4493">
        <v>-0.93875119999999901</v>
      </c>
      <c r="V4493">
        <v>-0.33209470000000002</v>
      </c>
      <c r="W4493">
        <v>6.5528909999999996E-2</v>
      </c>
      <c r="X4493">
        <v>0.94096709999999995</v>
      </c>
      <c r="Y4493">
        <v>-0.59008939999999999</v>
      </c>
      <c r="Z4493">
        <v>5.3900360000000001E-2</v>
      </c>
      <c r="AA4493">
        <v>0.80553660000000005</v>
      </c>
      <c r="AB4493">
        <v>26</v>
      </c>
      <c r="AC4493">
        <v>0.77940000000000897</v>
      </c>
      <c r="AD4493">
        <v>-4.9317999999999897E-2</v>
      </c>
      <c r="AE4493">
        <v>-0.15766000000000299</v>
      </c>
      <c r="AF4493">
        <v>-0.53137524410540204</v>
      </c>
      <c r="AG4493">
        <v>-4.9317999999999897E-2</v>
      </c>
      <c r="AH4493">
        <v>0.587473216114624</v>
      </c>
      <c r="AI4493">
        <v>93.562594658195493</v>
      </c>
      <c r="AJ4493">
        <v>132.12964909175801</v>
      </c>
      <c r="AK4493">
        <v>0.79367291425633002</v>
      </c>
    </row>
    <row r="4494" spans="1:37" x14ac:dyDescent="0.2">
      <c r="A4494" t="str">
        <f>"20200111153524202"</f>
        <v>20200111153524202</v>
      </c>
      <c r="B4494" t="str">
        <f>"1578728124190918"</f>
        <v>1578728124190918</v>
      </c>
      <c r="C4494" t="s">
        <v>37</v>
      </c>
      <c r="D4494">
        <v>4.6455339999999996</v>
      </c>
      <c r="E4494">
        <v>0.38729530000000001</v>
      </c>
      <c r="F4494" t="s">
        <v>40</v>
      </c>
      <c r="G4494">
        <v>-415.71159999999998</v>
      </c>
      <c r="H4494">
        <v>1.0597859999999999</v>
      </c>
      <c r="I4494">
        <v>30.020879999999998</v>
      </c>
      <c r="J4494">
        <v>-416.5686</v>
      </c>
      <c r="K4494">
        <v>1.1136969999999999</v>
      </c>
      <c r="L4494">
        <v>30.18872</v>
      </c>
      <c r="M4494">
        <v>0.59996930000000004</v>
      </c>
      <c r="N4494">
        <v>0</v>
      </c>
      <c r="O4494">
        <v>-0.79988809999999999</v>
      </c>
      <c r="P4494">
        <v>0.82981890000000003</v>
      </c>
      <c r="Q4494">
        <v>5.896117E-2</v>
      </c>
      <c r="R4494">
        <v>-0.5549094</v>
      </c>
      <c r="S4494">
        <v>3.0235599999999998</v>
      </c>
      <c r="T4494">
        <v>-0.17044999999999999</v>
      </c>
      <c r="U4494">
        <v>-0.91595459999999995</v>
      </c>
      <c r="V4494">
        <v>-0.33233800000000002</v>
      </c>
      <c r="W4494">
        <v>6.5766340000000006E-2</v>
      </c>
      <c r="X4494">
        <v>0.94086460000000005</v>
      </c>
      <c r="Y4494">
        <v>-0.59001700000000001</v>
      </c>
      <c r="Z4494">
        <v>5.367852E-2</v>
      </c>
      <c r="AA4494">
        <v>0.80560449999999995</v>
      </c>
      <c r="AB4494">
        <v>26</v>
      </c>
      <c r="AC4494">
        <v>0.85700000000002696</v>
      </c>
      <c r="AD4494">
        <v>-5.3910999999999799E-2</v>
      </c>
      <c r="AE4494">
        <v>-0.16784000000000099</v>
      </c>
      <c r="AF4494">
        <v>-0.58264787232981996</v>
      </c>
      <c r="AG4494">
        <v>-5.3910999999999799E-2</v>
      </c>
      <c r="AH4494">
        <v>0.646034822603335</v>
      </c>
      <c r="AI4494">
        <v>93.546035798552296</v>
      </c>
      <c r="AJ4494">
        <v>132.04676568867799</v>
      </c>
      <c r="AK4494">
        <v>0.871634058001171</v>
      </c>
    </row>
    <row r="4495" spans="1:37" x14ac:dyDescent="0.2">
      <c r="A4495" t="str">
        <f>"20200111153524220"</f>
        <v>20200111153524220</v>
      </c>
      <c r="B4495" t="str">
        <f>"1578728124210438"</f>
        <v>1578728124210438</v>
      </c>
      <c r="C4495" t="s">
        <v>37</v>
      </c>
      <c r="D4495">
        <v>4.6966779999999897</v>
      </c>
      <c r="E4495">
        <v>0.3901886</v>
      </c>
      <c r="F4495" t="s">
        <v>39</v>
      </c>
      <c r="G4495">
        <v>-397.32130000000001</v>
      </c>
      <c r="H4495" s="1">
        <v>-2.460279E-6</v>
      </c>
      <c r="I4495">
        <v>24.17736</v>
      </c>
      <c r="J4495">
        <v>-416.44279999999998</v>
      </c>
      <c r="K4495">
        <v>1.1136649999999999</v>
      </c>
      <c r="L4495">
        <v>30.037749999999999</v>
      </c>
      <c r="M4495">
        <v>0.60754739999999996</v>
      </c>
      <c r="N4495">
        <v>0</v>
      </c>
      <c r="O4495">
        <v>-0.79414779999999996</v>
      </c>
      <c r="P4495">
        <v>0.83546669999999901</v>
      </c>
      <c r="Q4495">
        <v>5.8567229999999998E-2</v>
      </c>
      <c r="R4495">
        <v>-0.5464116</v>
      </c>
      <c r="S4495">
        <v>3.0008240000000002</v>
      </c>
      <c r="T4495">
        <v>-0.17363589999999901</v>
      </c>
      <c r="U4495">
        <v>-0.93722530000000004</v>
      </c>
      <c r="V4495">
        <v>-0.33300370000000001</v>
      </c>
      <c r="W4495">
        <v>6.5378549999999994E-2</v>
      </c>
      <c r="X4495">
        <v>0.94065619999999905</v>
      </c>
      <c r="Y4495">
        <v>-0.57528970000000001</v>
      </c>
      <c r="Z4495">
        <v>5.4432880000000003E-2</v>
      </c>
      <c r="AA4495">
        <v>0.81613649999999904</v>
      </c>
      <c r="AB4495">
        <v>26</v>
      </c>
      <c r="AC4495">
        <v>19.121499999999902</v>
      </c>
      <c r="AD4495">
        <v>-1.113667460279</v>
      </c>
      <c r="AE4495">
        <v>-5.86038999999999</v>
      </c>
      <c r="AF4495">
        <v>-11.5901458035248</v>
      </c>
      <c r="AG4495">
        <v>-1.113667460279</v>
      </c>
      <c r="AH4495">
        <v>16.222682668288801</v>
      </c>
      <c r="AI4495">
        <v>93.197089182665493</v>
      </c>
      <c r="AJ4495">
        <v>125.543559815821</v>
      </c>
      <c r="AK4495">
        <v>19.968654634577799</v>
      </c>
    </row>
    <row r="4496" spans="1:37" x14ac:dyDescent="0.2">
      <c r="A4496" t="str">
        <f>"20200111153524233"</f>
        <v>20200111153524233</v>
      </c>
      <c r="B4496" t="str">
        <f>"1578728124230933"</f>
        <v>1578728124230933</v>
      </c>
      <c r="C4496" t="s">
        <v>37</v>
      </c>
      <c r="D4496">
        <v>4.650506</v>
      </c>
      <c r="E4496">
        <v>0.39203699999999903</v>
      </c>
      <c r="F4496" t="s">
        <v>39</v>
      </c>
      <c r="G4496">
        <v>-397.98590000000002</v>
      </c>
      <c r="H4496" s="1">
        <v>-2.187984E-6</v>
      </c>
      <c r="I4496">
        <v>24.33464</v>
      </c>
      <c r="J4496">
        <v>-416.33870000000002</v>
      </c>
      <c r="K4496">
        <v>1.1136379999999999</v>
      </c>
      <c r="L4496">
        <v>29.915369999999999</v>
      </c>
      <c r="M4496">
        <v>0.61369050000000003</v>
      </c>
      <c r="N4496">
        <v>0</v>
      </c>
      <c r="O4496">
        <v>-0.78941019999999995</v>
      </c>
      <c r="P4496">
        <v>0.83974669999999896</v>
      </c>
      <c r="Q4496">
        <v>5.8478250000000002E-2</v>
      </c>
      <c r="R4496">
        <v>-0.53982059999999998</v>
      </c>
      <c r="S4496">
        <v>2.997681</v>
      </c>
      <c r="T4496">
        <v>-0.18087600000000001</v>
      </c>
      <c r="U4496">
        <v>-0.92626949999999997</v>
      </c>
      <c r="V4496">
        <v>-0.33310619999999902</v>
      </c>
      <c r="W4496">
        <v>6.5306230000000007E-2</v>
      </c>
      <c r="X4496">
        <v>0.94062500000000004</v>
      </c>
      <c r="Y4496">
        <v>-0.57127830000000002</v>
      </c>
      <c r="Z4496">
        <v>5.6554809999999997E-2</v>
      </c>
      <c r="AA4496">
        <v>0.81880559999999902</v>
      </c>
      <c r="AB4496">
        <v>26</v>
      </c>
      <c r="AC4496">
        <v>18.352799999999998</v>
      </c>
      <c r="AD4496">
        <v>-1.1136401879840001</v>
      </c>
      <c r="AE4496">
        <v>-5.58073</v>
      </c>
      <c r="AF4496">
        <v>-11.0270734866348</v>
      </c>
      <c r="AG4496">
        <v>-1.1136401879840001</v>
      </c>
      <c r="AH4496">
        <v>15.6174761144303</v>
      </c>
      <c r="AI4496">
        <v>93.333743771715305</v>
      </c>
      <c r="AJ4496">
        <v>125.224871333701</v>
      </c>
      <c r="AK4496">
        <v>19.150511855632999</v>
      </c>
    </row>
    <row r="4497" spans="1:37" x14ac:dyDescent="0.2">
      <c r="A4497" t="str">
        <f>"20200111153524247"</f>
        <v>20200111153524247</v>
      </c>
      <c r="B4497" t="str">
        <f>"1578728124240694"</f>
        <v>1578728124240694</v>
      </c>
      <c r="C4497" t="s">
        <v>37</v>
      </c>
      <c r="D4497">
        <v>4.8589580000000003</v>
      </c>
      <c r="E4497">
        <v>0.39203699999999903</v>
      </c>
      <c r="F4497" t="s">
        <v>40</v>
      </c>
      <c r="G4497">
        <v>-415.45359999999999</v>
      </c>
      <c r="H4497">
        <v>1.0610999999999999</v>
      </c>
      <c r="I4497">
        <v>29.645240000000001</v>
      </c>
      <c r="J4497">
        <v>-416.2371</v>
      </c>
      <c r="K4497">
        <v>1.1136109999999999</v>
      </c>
      <c r="L4497">
        <v>29.797609999999999</v>
      </c>
      <c r="M4497">
        <v>0.61959430000000004</v>
      </c>
      <c r="N4497">
        <v>0</v>
      </c>
      <c r="O4497">
        <v>-0.78478490000000001</v>
      </c>
      <c r="P4497">
        <v>0.84369419999999995</v>
      </c>
      <c r="Q4497">
        <v>5.8033689999999999E-2</v>
      </c>
      <c r="R4497">
        <v>-0.53367849999999994</v>
      </c>
      <c r="S4497">
        <v>2.996826</v>
      </c>
      <c r="T4497">
        <v>-0.17790739999999999</v>
      </c>
      <c r="U4497">
        <v>-0.91482540000000001</v>
      </c>
      <c r="V4497">
        <v>-0.33292519999999998</v>
      </c>
      <c r="W4497">
        <v>6.4885609999999996E-2</v>
      </c>
      <c r="X4497">
        <v>0.94071819999999895</v>
      </c>
      <c r="Y4497">
        <v>-0.56797880000000001</v>
      </c>
      <c r="Z4497">
        <v>5.5468080000000003E-2</v>
      </c>
      <c r="AA4497">
        <v>0.82117199999999901</v>
      </c>
      <c r="AB4497">
        <v>26</v>
      </c>
      <c r="AC4497">
        <v>0.78350000000000297</v>
      </c>
      <c r="AD4497">
        <v>-5.2511000000000203E-2</v>
      </c>
      <c r="AE4497">
        <v>-0.15236999999999701</v>
      </c>
      <c r="AF4497">
        <v>-0.51828428906369095</v>
      </c>
      <c r="AG4497">
        <v>-5.2511000000000203E-2</v>
      </c>
      <c r="AH4497">
        <v>0.60248738585152595</v>
      </c>
      <c r="AI4497">
        <v>93.780225758485997</v>
      </c>
      <c r="AJ4497">
        <v>130.70346431229399</v>
      </c>
      <c r="AK4497">
        <v>0.79647163133501597</v>
      </c>
    </row>
    <row r="4498" spans="1:37" x14ac:dyDescent="0.2">
      <c r="A4498" t="str">
        <f>"20200111153524263"</f>
        <v>20200111153524263</v>
      </c>
      <c r="B4498" t="str">
        <f>"1578728124250453"</f>
        <v>1578728124250453</v>
      </c>
      <c r="C4498" t="s">
        <v>37</v>
      </c>
      <c r="D4498">
        <v>4.7845000000000004</v>
      </c>
      <c r="E4498">
        <v>0.4285021</v>
      </c>
      <c r="F4498" t="s">
        <v>40</v>
      </c>
      <c r="G4498">
        <v>-415.27800000000002</v>
      </c>
      <c r="H4498">
        <v>1.0562609999999999</v>
      </c>
      <c r="I4498">
        <v>29.512450000000001</v>
      </c>
      <c r="J4498">
        <v>-416.12709999999998</v>
      </c>
      <c r="K4498">
        <v>1.1135820000000001</v>
      </c>
      <c r="L4498">
        <v>29.67184</v>
      </c>
      <c r="M4498">
        <v>0.62588509999999997</v>
      </c>
      <c r="N4498">
        <v>0</v>
      </c>
      <c r="O4498">
        <v>-0.7797769</v>
      </c>
      <c r="P4498">
        <v>0.84789559999999997</v>
      </c>
      <c r="Q4498">
        <v>5.7540439999999998E-2</v>
      </c>
      <c r="R4498">
        <v>-0.52703149999999999</v>
      </c>
      <c r="S4498">
        <v>3.0032649999999999</v>
      </c>
      <c r="T4498">
        <v>-0.1795881</v>
      </c>
      <c r="U4498">
        <v>-0.89297490000000002</v>
      </c>
      <c r="V4498">
        <v>-0.33276440000000002</v>
      </c>
      <c r="W4498">
        <v>6.4415959999999994E-2</v>
      </c>
      <c r="X4498">
        <v>0.94080730000000001</v>
      </c>
      <c r="Y4498">
        <v>-0.5673087</v>
      </c>
      <c r="Z4498">
        <v>5.580338E-2</v>
      </c>
      <c r="AA4498">
        <v>0.82161240000000002</v>
      </c>
      <c r="AB4498">
        <v>26</v>
      </c>
      <c r="AC4498">
        <v>0.84909999999996399</v>
      </c>
      <c r="AD4498">
        <v>-5.73209999999999E-2</v>
      </c>
      <c r="AE4498">
        <v>-0.159390000000001</v>
      </c>
      <c r="AF4498">
        <v>-0.55994444681505895</v>
      </c>
      <c r="AG4498">
        <v>-5.73209999999999E-2</v>
      </c>
      <c r="AH4498">
        <v>0.65292414880274596</v>
      </c>
      <c r="AI4498">
        <v>93.812620207663002</v>
      </c>
      <c r="AJ4498">
        <v>130.616223334762</v>
      </c>
      <c r="AK4498">
        <v>0.86205186888598095</v>
      </c>
    </row>
    <row r="4499" spans="1:37" x14ac:dyDescent="0.2">
      <c r="A4499" t="str">
        <f>"20200111153524275"</f>
        <v>20200111153524275</v>
      </c>
      <c r="B4499" t="str">
        <f>"1578728124269975"</f>
        <v>1578728124269975</v>
      </c>
      <c r="C4499" t="s">
        <v>37</v>
      </c>
      <c r="D4499">
        <v>4.755681</v>
      </c>
      <c r="E4499">
        <v>0.4324228</v>
      </c>
      <c r="F4499" t="s">
        <v>40</v>
      </c>
      <c r="G4499">
        <v>-415.1694</v>
      </c>
      <c r="H4499">
        <v>1.0457809999999901</v>
      </c>
      <c r="I4499">
        <v>29.2972</v>
      </c>
      <c r="J4499">
        <v>-416.02629999999999</v>
      </c>
      <c r="K4499">
        <v>1.1135569999999999</v>
      </c>
      <c r="L4499">
        <v>29.558440000000001</v>
      </c>
      <c r="M4499">
        <v>0.63155629999999996</v>
      </c>
      <c r="N4499">
        <v>0</v>
      </c>
      <c r="O4499">
        <v>-0.77519090000000002</v>
      </c>
      <c r="P4499">
        <v>0.85120929999999995</v>
      </c>
      <c r="Q4499">
        <v>5.7339719999999997E-2</v>
      </c>
      <c r="R4499">
        <v>-0.5216845</v>
      </c>
      <c r="S4499">
        <v>2.8572690000000001</v>
      </c>
      <c r="T4499">
        <v>-0.20226820000000001</v>
      </c>
      <c r="U4499">
        <v>-1.1175839999999999</v>
      </c>
      <c r="V4499">
        <v>-0.33182509999999998</v>
      </c>
      <c r="W4499">
        <v>6.4257010000000003E-2</v>
      </c>
      <c r="X4499">
        <v>0.94114989999999998</v>
      </c>
      <c r="Y4499">
        <v>-0.489731999999999</v>
      </c>
      <c r="Z4499">
        <v>6.1915129999999999E-2</v>
      </c>
      <c r="AA4499">
        <v>0.86967190000000005</v>
      </c>
      <c r="AB4499">
        <v>26</v>
      </c>
      <c r="AC4499">
        <v>0.856899999999996</v>
      </c>
      <c r="AD4499">
        <v>-6.7776000000000003E-2</v>
      </c>
      <c r="AE4499">
        <v>-0.26124000000000003</v>
      </c>
      <c r="AF4499">
        <v>-0.49648532751843799</v>
      </c>
      <c r="AG4499">
        <v>-6.7776000000000003E-2</v>
      </c>
      <c r="AH4499">
        <v>0.73953862447917296</v>
      </c>
      <c r="AI4499">
        <v>94.351232670831394</v>
      </c>
      <c r="AJ4499">
        <v>123.875226965533</v>
      </c>
      <c r="AK4499">
        <v>0.89331329538613602</v>
      </c>
    </row>
    <row r="4500" spans="1:37" x14ac:dyDescent="0.2">
      <c r="A4500" t="str">
        <f>"20200111153524290"</f>
        <v>20200111153524290</v>
      </c>
      <c r="B4500" t="str">
        <f>"1578728124280351"</f>
        <v>1578728124280351</v>
      </c>
      <c r="C4500" t="s">
        <v>37</v>
      </c>
      <c r="D4500">
        <v>4.6817929999999999</v>
      </c>
      <c r="E4500">
        <v>0.4336738</v>
      </c>
      <c r="F4500" t="s">
        <v>40</v>
      </c>
      <c r="G4500">
        <v>-415.21550000000002</v>
      </c>
      <c r="H4500">
        <v>1.05757099999999</v>
      </c>
      <c r="I4500">
        <v>29.237839999999998</v>
      </c>
      <c r="J4500">
        <v>-415.92099999999999</v>
      </c>
      <c r="K4500">
        <v>1.1135349999999999</v>
      </c>
      <c r="L4500">
        <v>29.441929999999999</v>
      </c>
      <c r="M4500">
        <v>0.63738019999999995</v>
      </c>
      <c r="N4500">
        <v>0</v>
      </c>
      <c r="O4500">
        <v>-0.77040980000000003</v>
      </c>
      <c r="P4500">
        <v>0.85494329999999996</v>
      </c>
      <c r="Q4500">
        <v>5.7519340000000002E-2</v>
      </c>
      <c r="R4500">
        <v>-0.51552299999999995</v>
      </c>
      <c r="S4500">
        <v>2.8475950000000001</v>
      </c>
      <c r="T4500">
        <v>-0.1966456</v>
      </c>
      <c r="U4500">
        <v>-1.1260379999999901</v>
      </c>
      <c r="V4500">
        <v>-0.33152100000000001</v>
      </c>
      <c r="W4500">
        <v>6.4460690000000001E-2</v>
      </c>
      <c r="X4500">
        <v>0.94124319999999895</v>
      </c>
      <c r="Y4500">
        <v>-0.48003199999999902</v>
      </c>
      <c r="Z4500">
        <v>5.9863880000000001E-2</v>
      </c>
      <c r="AA4500">
        <v>0.87520609999999999</v>
      </c>
      <c r="AB4500">
        <v>26</v>
      </c>
      <c r="AC4500">
        <v>0.70549999999997204</v>
      </c>
      <c r="AD4500">
        <v>-5.5964000000000097E-2</v>
      </c>
      <c r="AE4500">
        <v>-0.204089999999997</v>
      </c>
      <c r="AF4500">
        <v>-0.41109861049980201</v>
      </c>
      <c r="AG4500">
        <v>-5.5964000000000097E-2</v>
      </c>
      <c r="AH4500">
        <v>0.60346591508950398</v>
      </c>
      <c r="AI4500">
        <v>94.382773346614101</v>
      </c>
      <c r="AJ4500">
        <v>124.263834296764</v>
      </c>
      <c r="AK4500">
        <v>0.73232857893549497</v>
      </c>
    </row>
    <row r="4501" spans="1:37" x14ac:dyDescent="0.2">
      <c r="A4501" t="str">
        <f>"20200111153524306"</f>
        <v>20200111153524306</v>
      </c>
      <c r="B4501" t="str">
        <f>"1578728124300849"</f>
        <v>1578728124300849</v>
      </c>
      <c r="C4501" t="s">
        <v>37</v>
      </c>
      <c r="D4501">
        <v>4.7352109999999996</v>
      </c>
      <c r="E4501">
        <v>0.43453599999999998</v>
      </c>
      <c r="F4501" t="s">
        <v>40</v>
      </c>
      <c r="G4501">
        <v>-415.04489999999998</v>
      </c>
      <c r="H4501">
        <v>1.0535840000000001</v>
      </c>
      <c r="I4501">
        <v>29.09937</v>
      </c>
      <c r="J4501">
        <v>-415.79640000000001</v>
      </c>
      <c r="K4501">
        <v>1.1135120000000001</v>
      </c>
      <c r="L4501">
        <v>29.306090000000001</v>
      </c>
      <c r="M4501">
        <v>0.6441635</v>
      </c>
      <c r="N4501">
        <v>0</v>
      </c>
      <c r="O4501">
        <v>-0.76474719999999996</v>
      </c>
      <c r="P4501">
        <v>0.85910929999999996</v>
      </c>
      <c r="Q4501">
        <v>5.7522419999999998E-2</v>
      </c>
      <c r="R4501">
        <v>-0.50854999999999995</v>
      </c>
      <c r="S4501">
        <v>2.850311</v>
      </c>
      <c r="T4501">
        <v>-0.19501289999999999</v>
      </c>
      <c r="U4501">
        <v>-1.1140139999999901</v>
      </c>
      <c r="V4501">
        <v>-0.33085629999999999</v>
      </c>
      <c r="W4501">
        <v>6.4499710000000002E-2</v>
      </c>
      <c r="X4501">
        <v>0.94147429999999999</v>
      </c>
      <c r="Y4501">
        <v>-0.47580919999999999</v>
      </c>
      <c r="Z4501">
        <v>5.9049940000000002E-2</v>
      </c>
      <c r="AA4501">
        <v>0.87756409999999996</v>
      </c>
      <c r="AB4501">
        <v>26</v>
      </c>
      <c r="AC4501">
        <v>0.75150000000002104</v>
      </c>
      <c r="AD4501">
        <v>-5.9927999999999898E-2</v>
      </c>
      <c r="AE4501">
        <v>-0.20671999999999999</v>
      </c>
      <c r="AF4501">
        <v>-0.43899824556601202</v>
      </c>
      <c r="AG4501">
        <v>-5.9927999999999898E-2</v>
      </c>
      <c r="AH4501">
        <v>0.63847193745328101</v>
      </c>
      <c r="AI4501">
        <v>94.422630699911593</v>
      </c>
      <c r="AJ4501">
        <v>124.511495899313</v>
      </c>
      <c r="AK4501">
        <v>0.77714685852120902</v>
      </c>
    </row>
    <row r="4502" spans="1:37" x14ac:dyDescent="0.2">
      <c r="A4502" t="str">
        <f>"20200111153524321"</f>
        <v>20200111153524321</v>
      </c>
      <c r="B4502" t="str">
        <f>"1578728124310609"</f>
        <v>1578728124310609</v>
      </c>
      <c r="C4502" t="s">
        <v>37</v>
      </c>
      <c r="D4502">
        <v>4.7081910000000002</v>
      </c>
      <c r="E4502">
        <v>0.43502380000000002</v>
      </c>
      <c r="F4502" t="s">
        <v>40</v>
      </c>
      <c r="G4502">
        <v>-414.87889999999999</v>
      </c>
      <c r="H4502">
        <v>1.050934</v>
      </c>
      <c r="I4502">
        <v>28.953769999999999</v>
      </c>
      <c r="J4502">
        <v>-415.68259999999998</v>
      </c>
      <c r="K4502">
        <v>1.113486</v>
      </c>
      <c r="L4502">
        <v>29.183809999999902</v>
      </c>
      <c r="M4502">
        <v>0.65025769999999905</v>
      </c>
      <c r="N4502">
        <v>0</v>
      </c>
      <c r="O4502">
        <v>-0.75957200000000002</v>
      </c>
      <c r="P4502">
        <v>0.86218459999999997</v>
      </c>
      <c r="Q4502">
        <v>5.7789010000000002E-2</v>
      </c>
      <c r="R4502">
        <v>-0.50328720000000005</v>
      </c>
      <c r="S4502">
        <v>2.8557739999999998</v>
      </c>
      <c r="T4502">
        <v>-0.1947855</v>
      </c>
      <c r="U4502">
        <v>-1.0967709999999999</v>
      </c>
      <c r="V4502">
        <v>-0.3290709</v>
      </c>
      <c r="W4502">
        <v>6.4828510000000006E-2</v>
      </c>
      <c r="X4502">
        <v>0.94207730000000001</v>
      </c>
      <c r="Y4502">
        <v>-0.47397139999999999</v>
      </c>
      <c r="Z4502">
        <v>5.8726680000000003E-2</v>
      </c>
      <c r="AA4502">
        <v>0.87857969999999896</v>
      </c>
      <c r="AB4502">
        <v>26</v>
      </c>
      <c r="AC4502">
        <v>0.80369999999999198</v>
      </c>
      <c r="AD4502">
        <v>-6.2551999999999899E-2</v>
      </c>
      <c r="AE4502">
        <v>-0.230039999999995</v>
      </c>
      <c r="AF4502">
        <v>-0.45836604455059698</v>
      </c>
      <c r="AG4502">
        <v>-6.2551999999999899E-2</v>
      </c>
      <c r="AH4502">
        <v>0.69353614807328101</v>
      </c>
      <c r="AI4502">
        <v>94.303069352759195</v>
      </c>
      <c r="AJ4502">
        <v>123.461176174863</v>
      </c>
      <c r="AK4502">
        <v>0.83366934223664702</v>
      </c>
    </row>
    <row r="4503" spans="1:37" x14ac:dyDescent="0.2">
      <c r="A4503" t="str">
        <f>"20200111153524335"</f>
        <v>20200111153524335</v>
      </c>
      <c r="B4503" t="str">
        <f>"1578728124330129"</f>
        <v>1578728124330129</v>
      </c>
      <c r="C4503" t="s">
        <v>37</v>
      </c>
      <c r="D4503">
        <v>4.7400159999999998</v>
      </c>
      <c r="E4503">
        <v>0.43594640000000001</v>
      </c>
      <c r="F4503" t="s">
        <v>40</v>
      </c>
      <c r="G4503">
        <v>-414.7081</v>
      </c>
      <c r="H4503">
        <v>1.0479099999999999</v>
      </c>
      <c r="I4503">
        <v>28.81503</v>
      </c>
      <c r="J4503">
        <v>-415.57299999999998</v>
      </c>
      <c r="K4503">
        <v>1.113464</v>
      </c>
      <c r="L4503">
        <v>29.06833</v>
      </c>
      <c r="M4503">
        <v>0.65601899999999902</v>
      </c>
      <c r="N4503">
        <v>0</v>
      </c>
      <c r="O4503">
        <v>-0.75460209999999905</v>
      </c>
      <c r="P4503">
        <v>0.86556809999999995</v>
      </c>
      <c r="Q4503">
        <v>5.7397280000000002E-2</v>
      </c>
      <c r="R4503">
        <v>-0.49749110000000002</v>
      </c>
      <c r="S4503">
        <v>2.8606569999999998</v>
      </c>
      <c r="T4503">
        <v>-0.1924807</v>
      </c>
      <c r="U4503">
        <v>-1.082214</v>
      </c>
      <c r="V4503">
        <v>-0.32823020000000003</v>
      </c>
      <c r="W4503">
        <v>6.4472589999999996E-2</v>
      </c>
      <c r="X4503">
        <v>0.94239499999999998</v>
      </c>
      <c r="Y4503">
        <v>-0.47173789999999999</v>
      </c>
      <c r="Z4503">
        <v>5.776912E-2</v>
      </c>
      <c r="AA4503">
        <v>0.87984439999999997</v>
      </c>
      <c r="AB4503">
        <v>26</v>
      </c>
      <c r="AC4503">
        <v>0.86490000000003397</v>
      </c>
      <c r="AD4503">
        <v>-6.5553999999999807E-2</v>
      </c>
      <c r="AE4503">
        <v>-0.25329999999999903</v>
      </c>
      <c r="AF4503">
        <v>-0.483977317101907</v>
      </c>
      <c r="AG4503">
        <v>-6.5553999999999807E-2</v>
      </c>
      <c r="AH4503">
        <v>0.754620391117092</v>
      </c>
      <c r="AI4503">
        <v>94.182215049259895</v>
      </c>
      <c r="AJ4503">
        <v>122.674164940064</v>
      </c>
      <c r="AK4503">
        <v>0.89887891569158196</v>
      </c>
    </row>
    <row r="4504" spans="1:37" x14ac:dyDescent="0.2">
      <c r="A4504" t="str">
        <f>"20200111153524348"</f>
        <v>20200111153524348</v>
      </c>
      <c r="B4504" t="str">
        <f>"1578728124340864"</f>
        <v>1578728124340864</v>
      </c>
      <c r="C4504" t="s">
        <v>37</v>
      </c>
      <c r="D4504">
        <v>4.6995329999999997</v>
      </c>
      <c r="E4504">
        <v>0.43624759999999901</v>
      </c>
      <c r="F4504" t="s">
        <v>40</v>
      </c>
      <c r="G4504">
        <v>-414.73379999999997</v>
      </c>
      <c r="H4504">
        <v>1.056608</v>
      </c>
      <c r="I4504">
        <v>28.754840000000002</v>
      </c>
      <c r="J4504">
        <v>-415.46019999999999</v>
      </c>
      <c r="K4504">
        <v>1.11344</v>
      </c>
      <c r="L4504">
        <v>28.951259999999898</v>
      </c>
      <c r="M4504">
        <v>0.66185719999999904</v>
      </c>
      <c r="N4504">
        <v>0</v>
      </c>
      <c r="O4504">
        <v>-0.7494866</v>
      </c>
      <c r="P4504">
        <v>0.86896640000000003</v>
      </c>
      <c r="Q4504">
        <v>5.7077240000000001E-2</v>
      </c>
      <c r="R4504">
        <v>-0.49156830000000001</v>
      </c>
      <c r="S4504">
        <v>2.8640750000000001</v>
      </c>
      <c r="T4504">
        <v>-0.1940066</v>
      </c>
      <c r="U4504">
        <v>-1.06955</v>
      </c>
      <c r="V4504">
        <v>-0.32735520000000001</v>
      </c>
      <c r="W4504">
        <v>6.4188980000000007E-2</v>
      </c>
      <c r="X4504">
        <v>0.94271859999999996</v>
      </c>
      <c r="Y4504">
        <v>-0.46863080000000001</v>
      </c>
      <c r="Z4504">
        <v>5.7940209999999999E-2</v>
      </c>
      <c r="AA4504">
        <v>0.88149200000000005</v>
      </c>
      <c r="AB4504">
        <v>26</v>
      </c>
      <c r="AC4504">
        <v>0.72640000000001204</v>
      </c>
      <c r="AD4504">
        <v>-5.6832000000000001E-2</v>
      </c>
      <c r="AE4504">
        <v>-0.19641999999999599</v>
      </c>
      <c r="AF4504">
        <v>-0.412118842097424</v>
      </c>
      <c r="AG4504">
        <v>-5.6832000000000001E-2</v>
      </c>
      <c r="AH4504">
        <v>0.62449254371677199</v>
      </c>
      <c r="AI4504">
        <v>94.343634290483294</v>
      </c>
      <c r="AJ4504">
        <v>123.42185613786199</v>
      </c>
      <c r="AK4504">
        <v>0.75037507514146995</v>
      </c>
    </row>
    <row r="4505" spans="1:37" x14ac:dyDescent="0.2">
      <c r="A4505" t="str">
        <f>"20200111153524365"</f>
        <v>20200111153524365</v>
      </c>
      <c r="B4505" t="str">
        <f>"1578728124360385"</f>
        <v>1578728124360385</v>
      </c>
      <c r="C4505" t="s">
        <v>37</v>
      </c>
      <c r="D4505">
        <v>4.7594699999999897</v>
      </c>
      <c r="E4505">
        <v>0.43676130000000002</v>
      </c>
      <c r="F4505" t="s">
        <v>40</v>
      </c>
      <c r="G4505">
        <v>-414.57400000000001</v>
      </c>
      <c r="H4505">
        <v>1.0531549999999901</v>
      </c>
      <c r="I4505">
        <v>28.626609999999999</v>
      </c>
      <c r="J4505">
        <v>-415.33460000000002</v>
      </c>
      <c r="K4505">
        <v>1.1134120000000001</v>
      </c>
      <c r="L4505">
        <v>28.822779999999899</v>
      </c>
      <c r="M4505">
        <v>0.66825709999999905</v>
      </c>
      <c r="N4505">
        <v>0</v>
      </c>
      <c r="O4505">
        <v>-0.74378630000000001</v>
      </c>
      <c r="P4505">
        <v>0.87247339999999995</v>
      </c>
      <c r="Q4505">
        <v>5.6136720000000001E-2</v>
      </c>
      <c r="R4505">
        <v>-0.48542659999999999</v>
      </c>
      <c r="S4505">
        <v>2.870209</v>
      </c>
      <c r="T4505">
        <v>-0.195276799999999</v>
      </c>
      <c r="U4505">
        <v>-1.0518190000000001</v>
      </c>
      <c r="V4505">
        <v>-0.32594529999999999</v>
      </c>
      <c r="W4505">
        <v>6.3300540000000002E-2</v>
      </c>
      <c r="X4505">
        <v>0.94326699999999997</v>
      </c>
      <c r="Y4505">
        <v>-0.466456499999999</v>
      </c>
      <c r="Z4505">
        <v>5.8008860000000002E-2</v>
      </c>
      <c r="AA4505">
        <v>0.88263989999999903</v>
      </c>
      <c r="AB4505">
        <v>26</v>
      </c>
      <c r="AC4505">
        <v>0.76060000000001005</v>
      </c>
      <c r="AD4505">
        <v>-6.0257000000000199E-2</v>
      </c>
      <c r="AE4505">
        <v>-0.19616999999999801</v>
      </c>
      <c r="AF4505">
        <v>-0.43213542181641901</v>
      </c>
      <c r="AG4505">
        <v>-6.0257000000000199E-2</v>
      </c>
      <c r="AH4505">
        <v>0.65042739520071402</v>
      </c>
      <c r="AI4505">
        <v>94.412429762247001</v>
      </c>
      <c r="AJ4505">
        <v>123.599541263437</v>
      </c>
      <c r="AK4505">
        <v>0.78321626979081604</v>
      </c>
    </row>
    <row r="4506" spans="1:37" x14ac:dyDescent="0.2">
      <c r="A4506" t="str">
        <f>"20200111153524377"</f>
        <v>20200111153524377</v>
      </c>
      <c r="B4506" t="str">
        <f>"1578728124370144"</f>
        <v>1578728124370144</v>
      </c>
      <c r="C4506" t="s">
        <v>37</v>
      </c>
      <c r="D4506">
        <v>4.7404419999999998</v>
      </c>
      <c r="E4506">
        <v>0.437110099999999</v>
      </c>
      <c r="F4506" t="s">
        <v>40</v>
      </c>
      <c r="G4506">
        <v>-414.40350000000001</v>
      </c>
      <c r="H4506">
        <v>1.0486799999999901</v>
      </c>
      <c r="I4506">
        <v>28.487369999999999</v>
      </c>
      <c r="J4506">
        <v>-415.23309999999998</v>
      </c>
      <c r="K4506">
        <v>1.1133919999999999</v>
      </c>
      <c r="L4506">
        <v>28.720279999999999</v>
      </c>
      <c r="M4506">
        <v>0.67335639999999997</v>
      </c>
      <c r="N4506">
        <v>0</v>
      </c>
      <c r="O4506">
        <v>-0.73917310000000003</v>
      </c>
      <c r="P4506">
        <v>0.87555969999999905</v>
      </c>
      <c r="Q4506">
        <v>5.603938E-2</v>
      </c>
      <c r="R4506">
        <v>-0.47984899999999903</v>
      </c>
      <c r="S4506">
        <v>2.8755799999999998</v>
      </c>
      <c r="T4506">
        <v>-0.1998412</v>
      </c>
      <c r="U4506">
        <v>-1.0349429999999999</v>
      </c>
      <c r="V4506">
        <v>-0.32547769999999998</v>
      </c>
      <c r="W4506">
        <v>6.3226770000000002E-2</v>
      </c>
      <c r="X4506">
        <v>0.94343349999999904</v>
      </c>
      <c r="Y4506">
        <v>-0.46539979999999997</v>
      </c>
      <c r="Z4506">
        <v>5.912858E-2</v>
      </c>
      <c r="AA4506">
        <v>0.88312330000000006</v>
      </c>
      <c r="AB4506">
        <v>26</v>
      </c>
      <c r="AC4506">
        <v>0.82959999999997003</v>
      </c>
      <c r="AD4506">
        <v>-6.4712000000000103E-2</v>
      </c>
      <c r="AE4506">
        <v>-0.23290999999999601</v>
      </c>
      <c r="AF4506">
        <v>-0.453875590033681</v>
      </c>
      <c r="AG4506">
        <v>-6.4712000000000103E-2</v>
      </c>
      <c r="AH4506">
        <v>0.72675664250836103</v>
      </c>
      <c r="AI4506">
        <v>94.318998060125296</v>
      </c>
      <c r="AJ4506">
        <v>121.98568911128601</v>
      </c>
      <c r="AK4506">
        <v>0.85928220719531301</v>
      </c>
    </row>
    <row r="4507" spans="1:37" x14ac:dyDescent="0.2">
      <c r="A4507" t="str">
        <f>"20200111153524391"</f>
        <v>20200111153524391</v>
      </c>
      <c r="B4507" t="str">
        <f>"1578728124380442"</f>
        <v>1578728124380442</v>
      </c>
      <c r="C4507" t="s">
        <v>37</v>
      </c>
      <c r="D4507">
        <v>4.7693310000000002</v>
      </c>
      <c r="E4507">
        <v>0.43738640000000001</v>
      </c>
      <c r="F4507" t="s">
        <v>40</v>
      </c>
      <c r="G4507">
        <v>-414.35610000000003</v>
      </c>
      <c r="H4507">
        <v>1.051941</v>
      </c>
      <c r="I4507">
        <v>28.40982</v>
      </c>
      <c r="J4507">
        <v>-415.1268</v>
      </c>
      <c r="K4507">
        <v>1.113372</v>
      </c>
      <c r="L4507">
        <v>28.61505</v>
      </c>
      <c r="M4507">
        <v>0.67860209999999999</v>
      </c>
      <c r="N4507">
        <v>0</v>
      </c>
      <c r="O4507">
        <v>-0.73436000000000001</v>
      </c>
      <c r="P4507">
        <v>0.87870590000000004</v>
      </c>
      <c r="Q4507">
        <v>5.5784390000000003E-2</v>
      </c>
      <c r="R4507">
        <v>-0.47409299999999999</v>
      </c>
      <c r="S4507">
        <v>2.88089</v>
      </c>
      <c r="T4507">
        <v>-0.20179929999999999</v>
      </c>
      <c r="U4507">
        <v>-1.018921</v>
      </c>
      <c r="V4507">
        <v>-0.32495459999999998</v>
      </c>
      <c r="W4507">
        <v>6.2996910000000003E-2</v>
      </c>
      <c r="X4507">
        <v>0.943629099999999</v>
      </c>
      <c r="Y4507">
        <v>-0.46394629999999998</v>
      </c>
      <c r="Z4507">
        <v>5.9443250000000003E-2</v>
      </c>
      <c r="AA4507">
        <v>0.88386669999999901</v>
      </c>
      <c r="AB4507">
        <v>26</v>
      </c>
      <c r="AC4507">
        <v>0.77069999999997596</v>
      </c>
      <c r="AD4507">
        <v>-6.1430999999999999E-2</v>
      </c>
      <c r="AE4507">
        <v>-0.20523</v>
      </c>
      <c r="AF4507">
        <v>-0.42423070438525001</v>
      </c>
      <c r="AG4507">
        <v>-6.1430999999999999E-2</v>
      </c>
      <c r="AH4507">
        <v>0.66980986493866201</v>
      </c>
      <c r="AI4507">
        <v>94.430475742632694</v>
      </c>
      <c r="AJ4507">
        <v>122.348529593398</v>
      </c>
      <c r="AK4507">
        <v>0.79522997521053895</v>
      </c>
    </row>
    <row r="4508" spans="1:37" x14ac:dyDescent="0.2">
      <c r="A4508" t="str">
        <f>"20200111153524405"</f>
        <v>20200111153524405</v>
      </c>
      <c r="B4508" t="str">
        <f>"1578728124399962"</f>
        <v>1578728124399962</v>
      </c>
      <c r="C4508" t="s">
        <v>37</v>
      </c>
      <c r="D4508">
        <v>4.738607</v>
      </c>
      <c r="E4508">
        <v>0.43815809999999999</v>
      </c>
      <c r="F4508" t="s">
        <v>40</v>
      </c>
      <c r="G4508">
        <v>-414.25749999999999</v>
      </c>
      <c r="H4508">
        <v>1.0523559999999901</v>
      </c>
      <c r="I4508">
        <v>28.313289999999999</v>
      </c>
      <c r="J4508">
        <v>-415.01260000000002</v>
      </c>
      <c r="K4508">
        <v>1.1133500000000001</v>
      </c>
      <c r="L4508">
        <v>28.503359999999901</v>
      </c>
      <c r="M4508">
        <v>0.6841602</v>
      </c>
      <c r="N4508">
        <v>0</v>
      </c>
      <c r="O4508">
        <v>-0.72918490000000002</v>
      </c>
      <c r="P4508">
        <v>0.88209079999999995</v>
      </c>
      <c r="Q4508">
        <v>5.5844039999999998E-2</v>
      </c>
      <c r="R4508">
        <v>-0.46775800000000001</v>
      </c>
      <c r="S4508">
        <v>2.8864139999999998</v>
      </c>
      <c r="T4508">
        <v>-0.2025844</v>
      </c>
      <c r="U4508">
        <v>-1.001862</v>
      </c>
      <c r="V4508">
        <v>-0.32457179999999902</v>
      </c>
      <c r="W4508">
        <v>6.3079239999999995E-2</v>
      </c>
      <c r="X4508">
        <v>0.94375529999999996</v>
      </c>
      <c r="Y4508">
        <v>-0.46240169999999903</v>
      </c>
      <c r="Z4508">
        <v>5.9388709999999997E-2</v>
      </c>
      <c r="AA4508">
        <v>0.8846794</v>
      </c>
      <c r="AB4508">
        <v>26</v>
      </c>
      <c r="AC4508">
        <v>0.75510000000002697</v>
      </c>
      <c r="AD4508">
        <v>-6.0994000000000201E-2</v>
      </c>
      <c r="AE4508">
        <v>-0.19006999999999499</v>
      </c>
      <c r="AF4508">
        <v>-0.41804909354533698</v>
      </c>
      <c r="AG4508">
        <v>-6.0994000000000201E-2</v>
      </c>
      <c r="AH4508">
        <v>0.65127947979884604</v>
      </c>
      <c r="AI4508">
        <v>94.506349935056605</v>
      </c>
      <c r="AJ4508">
        <v>122.695956580409</v>
      </c>
      <c r="AK4508">
        <v>0.77630552842108103</v>
      </c>
    </row>
    <row r="4509" spans="1:37" x14ac:dyDescent="0.2">
      <c r="A4509" t="str">
        <f>"20200111153524422"</f>
        <v>20200111153524422</v>
      </c>
      <c r="B4509" t="str">
        <f>"1578728124410699"</f>
        <v>1578728124410699</v>
      </c>
      <c r="C4509" t="s">
        <v>37</v>
      </c>
      <c r="D4509">
        <v>4.7394160000000003</v>
      </c>
      <c r="E4509">
        <v>0.43846560000000001</v>
      </c>
      <c r="F4509" t="s">
        <v>40</v>
      </c>
      <c r="G4509">
        <v>-414.0795</v>
      </c>
      <c r="H4509">
        <v>1.0479319999999901</v>
      </c>
      <c r="I4509">
        <v>28.184829999999899</v>
      </c>
      <c r="J4509">
        <v>-414.88049999999998</v>
      </c>
      <c r="K4509">
        <v>1.1133219999999999</v>
      </c>
      <c r="L4509">
        <v>28.37595</v>
      </c>
      <c r="M4509">
        <v>0.69049130000000003</v>
      </c>
      <c r="N4509">
        <v>0</v>
      </c>
      <c r="O4509">
        <v>-0.72319290000000003</v>
      </c>
      <c r="P4509">
        <v>0.88556179999999995</v>
      </c>
      <c r="Q4509">
        <v>5.576797E-2</v>
      </c>
      <c r="R4509">
        <v>-0.46116239999999997</v>
      </c>
      <c r="S4509">
        <v>2.8907780000000001</v>
      </c>
      <c r="T4509">
        <v>-0.20263989999999901</v>
      </c>
      <c r="U4509">
        <v>-0.98648069999999899</v>
      </c>
      <c r="V4509">
        <v>-0.32338420000000001</v>
      </c>
      <c r="W4509">
        <v>6.3049740000000007E-2</v>
      </c>
      <c r="X4509">
        <v>0.94416489999999997</v>
      </c>
      <c r="Y4509">
        <v>-0.45931040000000001</v>
      </c>
      <c r="Z4509">
        <v>5.9043810000000002E-2</v>
      </c>
      <c r="AA4509">
        <v>0.88631139999999997</v>
      </c>
      <c r="AB4509">
        <v>26</v>
      </c>
      <c r="AC4509">
        <v>0.80099999999998694</v>
      </c>
      <c r="AD4509">
        <v>-6.5390000000000004E-2</v>
      </c>
      <c r="AE4509">
        <v>-0.19112000000000101</v>
      </c>
      <c r="AF4509">
        <v>-0.44455554895396299</v>
      </c>
      <c r="AG4509">
        <v>-6.5390000000000004E-2</v>
      </c>
      <c r="AH4509">
        <v>0.68704200890806799</v>
      </c>
      <c r="AI4509">
        <v>94.568631973322397</v>
      </c>
      <c r="AJ4509">
        <v>122.90518149181899</v>
      </c>
      <c r="AK4509">
        <v>0.82093374288683796</v>
      </c>
    </row>
    <row r="4510" spans="1:37" x14ac:dyDescent="0.2">
      <c r="A4510" t="str">
        <f>"20200111153524436"</f>
        <v>20200111153524436</v>
      </c>
      <c r="B4510" t="str">
        <f>"1578728124430219"</f>
        <v>1578728124430219</v>
      </c>
      <c r="C4510" t="s">
        <v>37</v>
      </c>
      <c r="D4510">
        <v>4.73421</v>
      </c>
      <c r="E4510">
        <v>0.43883909999999998</v>
      </c>
      <c r="F4510" t="s">
        <v>40</v>
      </c>
      <c r="G4510">
        <v>-413.90589999999997</v>
      </c>
      <c r="H4510">
        <v>1.045139</v>
      </c>
      <c r="I4510">
        <v>28.05067</v>
      </c>
      <c r="J4510">
        <v>-414.75699999999898</v>
      </c>
      <c r="K4510">
        <v>1.113294</v>
      </c>
      <c r="L4510">
        <v>28.258909999999901</v>
      </c>
      <c r="M4510">
        <v>0.69630389999999998</v>
      </c>
      <c r="N4510">
        <v>0</v>
      </c>
      <c r="O4510">
        <v>-0.71759799999999996</v>
      </c>
      <c r="P4510">
        <v>0.88891830000000005</v>
      </c>
      <c r="Q4510">
        <v>5.5611760000000003E-2</v>
      </c>
      <c r="R4510">
        <v>-0.45467759999999902</v>
      </c>
      <c r="S4510">
        <v>2.896881</v>
      </c>
      <c r="T4510">
        <v>-0.20266149999999999</v>
      </c>
      <c r="U4510">
        <v>-0.96704100000000004</v>
      </c>
      <c r="V4510">
        <v>-0.3226658</v>
      </c>
      <c r="W4510">
        <v>6.2926960000000004E-2</v>
      </c>
      <c r="X4510">
        <v>0.9444188</v>
      </c>
      <c r="Y4510">
        <v>-0.45807009999999998</v>
      </c>
      <c r="Z4510">
        <v>5.8747830000000001E-2</v>
      </c>
      <c r="AA4510">
        <v>0.88697269999999995</v>
      </c>
      <c r="AB4510">
        <v>26</v>
      </c>
      <c r="AC4510">
        <v>0.85109999999997399</v>
      </c>
      <c r="AD4510">
        <v>-6.8154999999999896E-2</v>
      </c>
      <c r="AE4510">
        <v>-0.20823999999999601</v>
      </c>
      <c r="AF4510">
        <v>-0.46299785241351998</v>
      </c>
      <c r="AG4510">
        <v>-6.8154999999999896E-2</v>
      </c>
      <c r="AH4510">
        <v>0.73767304908184295</v>
      </c>
      <c r="AI4510">
        <v>94.4745588016591</v>
      </c>
      <c r="AJ4510">
        <v>122.114290133521</v>
      </c>
      <c r="AK4510">
        <v>0.87359810136368499</v>
      </c>
    </row>
    <row r="4511" spans="1:37" x14ac:dyDescent="0.2">
      <c r="A4511" t="str">
        <f>"20200111153524450"</f>
        <v>20200111153524450</v>
      </c>
      <c r="B4511" t="str">
        <f>"1578728124439980"</f>
        <v>1578728124439980</v>
      </c>
      <c r="C4511" t="s">
        <v>37</v>
      </c>
      <c r="D4511">
        <v>4.7353839999999998</v>
      </c>
      <c r="E4511">
        <v>0.44635550000000002</v>
      </c>
      <c r="F4511" t="s">
        <v>40</v>
      </c>
      <c r="G4511">
        <v>-413.85610000000003</v>
      </c>
      <c r="H4511">
        <v>1.0504830000000001</v>
      </c>
      <c r="I4511">
        <v>27.964609999999901</v>
      </c>
      <c r="J4511">
        <v>-414.64069999999998</v>
      </c>
      <c r="K4511">
        <v>1.113267</v>
      </c>
      <c r="L4511">
        <v>28.150790000000001</v>
      </c>
      <c r="M4511">
        <v>0.7016753</v>
      </c>
      <c r="N4511">
        <v>0</v>
      </c>
      <c r="O4511">
        <v>-0.71234699999999995</v>
      </c>
      <c r="P4511">
        <v>0.89194599999999902</v>
      </c>
      <c r="Q4511">
        <v>5.5211440000000001E-2</v>
      </c>
      <c r="R4511">
        <v>-0.4487585</v>
      </c>
      <c r="S4511">
        <v>2.9024049999999999</v>
      </c>
      <c r="T4511">
        <v>-0.20239119999999999</v>
      </c>
      <c r="U4511">
        <v>-0.9484863</v>
      </c>
      <c r="V4511">
        <v>-0.32185380000000002</v>
      </c>
      <c r="W4511">
        <v>6.2561939999999996E-2</v>
      </c>
      <c r="X4511">
        <v>0.94472009999999995</v>
      </c>
      <c r="Y4511">
        <v>-0.45703329999999998</v>
      </c>
      <c r="Z4511">
        <v>5.8391159999999998E-2</v>
      </c>
      <c r="AA4511">
        <v>0.88753090000000001</v>
      </c>
      <c r="AB4511">
        <v>26</v>
      </c>
      <c r="AC4511">
        <v>0.784599999999954</v>
      </c>
      <c r="AD4511">
        <v>-6.2783999999999895E-2</v>
      </c>
      <c r="AE4511">
        <v>-0.18618000000000301</v>
      </c>
      <c r="AF4511">
        <v>-0.42573450707775101</v>
      </c>
      <c r="AG4511">
        <v>-6.2783999999999895E-2</v>
      </c>
      <c r="AH4511">
        <v>0.67911540316582497</v>
      </c>
      <c r="AI4511">
        <v>94.478853785458398</v>
      </c>
      <c r="AJ4511">
        <v>122.08342112815301</v>
      </c>
      <c r="AK4511">
        <v>0.80398347743583398</v>
      </c>
    </row>
    <row r="4512" spans="1:37" x14ac:dyDescent="0.2">
      <c r="A4512" t="str">
        <f>"20200111153524467"</f>
        <v>20200111153524467</v>
      </c>
      <c r="B4512" t="str">
        <f>"1578728124460475"</f>
        <v>1578728124460475</v>
      </c>
      <c r="C4512" t="s">
        <v>37</v>
      </c>
      <c r="D4512">
        <v>4.7188220000000003</v>
      </c>
      <c r="E4512">
        <v>0.44619319999999901</v>
      </c>
      <c r="F4512" t="s">
        <v>40</v>
      </c>
      <c r="G4512">
        <v>-413.70319999999998</v>
      </c>
      <c r="H4512">
        <v>1.048664</v>
      </c>
      <c r="I4512">
        <v>27.830850000000002</v>
      </c>
      <c r="J4512">
        <v>-414.51049999999998</v>
      </c>
      <c r="K4512">
        <v>1.1132340000000001</v>
      </c>
      <c r="L4512">
        <v>28.031309999999898</v>
      </c>
      <c r="M4512">
        <v>0.70759469999999902</v>
      </c>
      <c r="N4512">
        <v>0</v>
      </c>
      <c r="O4512">
        <v>-0.70646730000000002</v>
      </c>
      <c r="P4512">
        <v>0.89469430000000005</v>
      </c>
      <c r="Q4512">
        <v>5.4872850000000001E-2</v>
      </c>
      <c r="R4512">
        <v>-0.44329609999999903</v>
      </c>
      <c r="S4512">
        <v>2.8815309999999998</v>
      </c>
      <c r="T4512">
        <v>-0.1984937</v>
      </c>
      <c r="U4512">
        <v>-0.98229979999999995</v>
      </c>
      <c r="V4512">
        <v>-0.31974839999999999</v>
      </c>
      <c r="W4512">
        <v>6.2294009999999997E-2</v>
      </c>
      <c r="X4512">
        <v>0.94545249999999903</v>
      </c>
      <c r="Y4512">
        <v>-0.4383649</v>
      </c>
      <c r="Z4512">
        <v>5.6642310000000001E-2</v>
      </c>
      <c r="AA4512">
        <v>0.89701049999999904</v>
      </c>
      <c r="AB4512">
        <v>26</v>
      </c>
      <c r="AC4512">
        <v>0.80729999999999702</v>
      </c>
      <c r="AD4512">
        <v>-6.4570000000000002E-2</v>
      </c>
      <c r="AE4512">
        <v>-0.200459999999996</v>
      </c>
      <c r="AF4512">
        <v>-0.42596566784337297</v>
      </c>
      <c r="AG4512">
        <v>-6.4570000000000002E-2</v>
      </c>
      <c r="AH4512">
        <v>0.70866561166266595</v>
      </c>
      <c r="AI4512">
        <v>94.465342811990396</v>
      </c>
      <c r="AJ4512">
        <v>121.00929038964399</v>
      </c>
      <c r="AK4512">
        <v>0.82935094154071498</v>
      </c>
    </row>
    <row r="4513" spans="1:37" x14ac:dyDescent="0.2">
      <c r="A4513" t="str">
        <f>"20200111153524482"</f>
        <v>20200111153524482</v>
      </c>
      <c r="B4513" t="str">
        <f>"1578728124470234"</f>
        <v>1578728124470234</v>
      </c>
      <c r="C4513" t="s">
        <v>37</v>
      </c>
      <c r="D4513">
        <v>4.7411859999999999</v>
      </c>
      <c r="E4513">
        <v>0.44651030000000003</v>
      </c>
      <c r="F4513" t="s">
        <v>40</v>
      </c>
      <c r="G4513">
        <v>-413.58890000000002</v>
      </c>
      <c r="H4513">
        <v>1.0498769999999999</v>
      </c>
      <c r="I4513">
        <v>27.723959999999899</v>
      </c>
      <c r="J4513">
        <v>-414.37759999999997</v>
      </c>
      <c r="K4513">
        <v>1.1132</v>
      </c>
      <c r="L4513">
        <v>27.911159999999999</v>
      </c>
      <c r="M4513">
        <v>0.71353180000000005</v>
      </c>
      <c r="N4513">
        <v>0</v>
      </c>
      <c r="O4513">
        <v>-0.7004705</v>
      </c>
      <c r="P4513">
        <v>0.89796319999999996</v>
      </c>
      <c r="Q4513">
        <v>5.4475790000000003E-2</v>
      </c>
      <c r="R4513">
        <v>-0.43668609999999902</v>
      </c>
      <c r="S4513">
        <v>2.8879389999999998</v>
      </c>
      <c r="T4513">
        <v>-0.1985461</v>
      </c>
      <c r="U4513">
        <v>-0.96337890000000004</v>
      </c>
      <c r="V4513">
        <v>-0.31874449999999999</v>
      </c>
      <c r="W4513">
        <v>6.1942780000000003E-2</v>
      </c>
      <c r="X4513">
        <v>0.9458145</v>
      </c>
      <c r="Y4513">
        <v>-0.436681499999999</v>
      </c>
      <c r="Z4513">
        <v>5.6310079999999998E-2</v>
      </c>
      <c r="AA4513">
        <v>0.89785210000000004</v>
      </c>
      <c r="AB4513">
        <v>26</v>
      </c>
      <c r="AC4513">
        <v>0.788699999999948</v>
      </c>
      <c r="AD4513">
        <v>-6.3323000000000004E-2</v>
      </c>
      <c r="AE4513">
        <v>-0.18720000000000001</v>
      </c>
      <c r="AF4513">
        <v>-0.41639167552284301</v>
      </c>
      <c r="AG4513">
        <v>-6.3323000000000004E-2</v>
      </c>
      <c r="AH4513">
        <v>0.68975554567531205</v>
      </c>
      <c r="AI4513">
        <v>94.493880373525698</v>
      </c>
      <c r="AJ4513">
        <v>121.118543401853</v>
      </c>
      <c r="AK4513">
        <v>0.80817977119176199</v>
      </c>
    </row>
    <row r="4514" spans="1:37" x14ac:dyDescent="0.2">
      <c r="A4514" t="str">
        <f>"20200111153524501"</f>
        <v>20200111153524501</v>
      </c>
      <c r="B4514" t="str">
        <f>"1578728124490464"</f>
        <v>1578728124490464</v>
      </c>
      <c r="C4514" t="s">
        <v>37</v>
      </c>
      <c r="D4514">
        <v>4.7478280000000002</v>
      </c>
      <c r="E4514">
        <v>0.44695879999999999</v>
      </c>
      <c r="F4514" t="s">
        <v>40</v>
      </c>
      <c r="G4514">
        <v>-413.41730000000001</v>
      </c>
      <c r="H4514">
        <v>1.047391</v>
      </c>
      <c r="I4514">
        <v>27.597470000000001</v>
      </c>
      <c r="J4514">
        <v>-414.22620000000001</v>
      </c>
      <c r="K4514">
        <v>1.113157</v>
      </c>
      <c r="L4514">
        <v>27.776890000000002</v>
      </c>
      <c r="M4514">
        <v>0.72015209999999996</v>
      </c>
      <c r="N4514">
        <v>0</v>
      </c>
      <c r="O4514">
        <v>-0.69366260000000002</v>
      </c>
      <c r="P4514">
        <v>0.90132800000000002</v>
      </c>
      <c r="Q4514">
        <v>5.404656E-2</v>
      </c>
      <c r="R4514">
        <v>-0.42975209999999903</v>
      </c>
      <c r="S4514">
        <v>2.893799</v>
      </c>
      <c r="T4514">
        <v>-0.19823640000000001</v>
      </c>
      <c r="U4514">
        <v>-0.94409179999999904</v>
      </c>
      <c r="V4514">
        <v>-0.31705299999999997</v>
      </c>
      <c r="W4514">
        <v>6.1580599999999999E-2</v>
      </c>
      <c r="X4514">
        <v>0.94640650000000004</v>
      </c>
      <c r="Y4514">
        <v>-0.43410670000000001</v>
      </c>
      <c r="Z4514">
        <v>5.5817480000000003E-2</v>
      </c>
      <c r="AA4514">
        <v>0.8991306</v>
      </c>
      <c r="AB4514">
        <v>26</v>
      </c>
      <c r="AC4514">
        <v>0.80889999999999396</v>
      </c>
      <c r="AD4514">
        <v>-6.5765999999999894E-2</v>
      </c>
      <c r="AE4514">
        <v>-0.17942</v>
      </c>
      <c r="AF4514">
        <v>-0.42923574547711901</v>
      </c>
      <c r="AG4514">
        <v>-6.5765999999999894E-2</v>
      </c>
      <c r="AH4514">
        <v>0.70263657378351296</v>
      </c>
      <c r="AI4514">
        <v>94.566746683959295</v>
      </c>
      <c r="AJ4514">
        <v>121.420464776765</v>
      </c>
      <c r="AK4514">
        <v>0.82599433821881096</v>
      </c>
    </row>
    <row r="4515" spans="1:37" x14ac:dyDescent="0.2">
      <c r="A4515" t="str">
        <f>"20200111153524515"</f>
        <v>20200111153524515</v>
      </c>
      <c r="B4515" t="str">
        <f>"1578728124509984"</f>
        <v>1578728124509984</v>
      </c>
      <c r="C4515" t="s">
        <v>37</v>
      </c>
      <c r="D4515">
        <v>4.72973</v>
      </c>
      <c r="E4515">
        <v>0.44769779999999998</v>
      </c>
      <c r="F4515" t="s">
        <v>40</v>
      </c>
      <c r="G4515">
        <v>-413.24329999999998</v>
      </c>
      <c r="H4515">
        <v>1.045607</v>
      </c>
      <c r="I4515">
        <v>27.4633</v>
      </c>
      <c r="J4515">
        <v>-414.09379999999999</v>
      </c>
      <c r="K4515">
        <v>1.1131149999999901</v>
      </c>
      <c r="L4515">
        <v>27.661559999999898</v>
      </c>
      <c r="M4515">
        <v>0.72582209999999903</v>
      </c>
      <c r="N4515">
        <v>0</v>
      </c>
      <c r="O4515">
        <v>-0.68772789999999995</v>
      </c>
      <c r="P4515">
        <v>0.90443180000000001</v>
      </c>
      <c r="Q4515">
        <v>5.4194359999999997E-2</v>
      </c>
      <c r="R4515">
        <v>-0.4231625</v>
      </c>
      <c r="S4515">
        <v>2.8993229999999999</v>
      </c>
      <c r="T4515">
        <v>-0.1992708</v>
      </c>
      <c r="U4515">
        <v>-0.92510990000000004</v>
      </c>
      <c r="V4515">
        <v>-0.3161813</v>
      </c>
      <c r="W4515">
        <v>6.1773839999999997E-2</v>
      </c>
      <c r="X4515">
        <v>0.94668549999999996</v>
      </c>
      <c r="Y4515">
        <v>-0.43254429999999999</v>
      </c>
      <c r="Z4515">
        <v>5.5772229999999999E-2</v>
      </c>
      <c r="AA4515">
        <v>0.89988609999999902</v>
      </c>
      <c r="AB4515">
        <v>26</v>
      </c>
      <c r="AC4515">
        <v>0.85050000000001003</v>
      </c>
      <c r="AD4515">
        <v>-6.7507999999999901E-2</v>
      </c>
      <c r="AE4515">
        <v>-0.19825999999999699</v>
      </c>
      <c r="AF4515">
        <v>-0.43843805192014201</v>
      </c>
      <c r="AG4515">
        <v>-6.7507999999999901E-2</v>
      </c>
      <c r="AH4515">
        <v>0.74926346785338005</v>
      </c>
      <c r="AI4515">
        <v>94.446593916102103</v>
      </c>
      <c r="AJ4515">
        <v>120.334408964513</v>
      </c>
      <c r="AK4515">
        <v>0.87073589549024699</v>
      </c>
    </row>
    <row r="4516" spans="1:37" x14ac:dyDescent="0.2">
      <c r="A4516" t="str">
        <f>"20200111153524533"</f>
        <v>20200111153524533</v>
      </c>
      <c r="B4516" t="str">
        <f>"1578728124520721"</f>
        <v>1578728124520721</v>
      </c>
      <c r="C4516" t="s">
        <v>37</v>
      </c>
      <c r="D4516">
        <v>4.7485269999999904</v>
      </c>
      <c r="E4516">
        <v>0.44819129999999902</v>
      </c>
      <c r="F4516" t="s">
        <v>39</v>
      </c>
      <c r="G4516">
        <v>-397.71969999999999</v>
      </c>
      <c r="H4516" s="1">
        <v>-1.8346099999999901E-6</v>
      </c>
      <c r="I4516">
        <v>22.533580000000001</v>
      </c>
      <c r="J4516">
        <v>-413.95170000000002</v>
      </c>
      <c r="K4516">
        <v>1.1130629999999999</v>
      </c>
      <c r="L4516">
        <v>27.540009999999999</v>
      </c>
      <c r="M4516">
        <v>0.73177780000000003</v>
      </c>
      <c r="N4516">
        <v>0</v>
      </c>
      <c r="O4516">
        <v>-0.68138710000000002</v>
      </c>
      <c r="P4516">
        <v>0.90732199999999996</v>
      </c>
      <c r="Q4516">
        <v>5.385935E-2</v>
      </c>
      <c r="R4516">
        <v>-0.41697230000000002</v>
      </c>
      <c r="S4516">
        <v>2.903381</v>
      </c>
      <c r="T4516">
        <v>-0.1973732</v>
      </c>
      <c r="U4516">
        <v>-0.90927119999999995</v>
      </c>
      <c r="V4516">
        <v>-0.3144113</v>
      </c>
      <c r="W4516">
        <v>6.1509689999999999E-2</v>
      </c>
      <c r="X4516">
        <v>0.94729200000000002</v>
      </c>
      <c r="Y4516">
        <v>-0.42958409999999903</v>
      </c>
      <c r="Z4516">
        <v>5.4854449999999999E-2</v>
      </c>
      <c r="AA4516">
        <v>0.90135919999999903</v>
      </c>
      <c r="AB4516">
        <v>26</v>
      </c>
      <c r="AC4516">
        <v>16.231999999999999</v>
      </c>
      <c r="AD4516">
        <v>-1.1130648346099901</v>
      </c>
      <c r="AE4516">
        <v>-5.0064299999999902</v>
      </c>
      <c r="AF4516">
        <v>-7.3658417620636696</v>
      </c>
      <c r="AG4516">
        <v>-1.1130648346099901</v>
      </c>
      <c r="AH4516">
        <v>15.2257867290805</v>
      </c>
      <c r="AI4516">
        <v>93.765073311025404</v>
      </c>
      <c r="AJ4516">
        <v>115.816496116401</v>
      </c>
      <c r="AK4516">
        <v>16.950490249820199</v>
      </c>
    </row>
    <row r="4517" spans="1:37" x14ac:dyDescent="0.2">
      <c r="A4517" t="str">
        <f>"20200111153524556"</f>
        <v>20200111153524556</v>
      </c>
      <c r="B4517" t="str">
        <f>"1578728124550977"</f>
        <v>1578728124550977</v>
      </c>
      <c r="C4517" t="s">
        <v>37</v>
      </c>
      <c r="D4517">
        <v>4.7308919999999999</v>
      </c>
      <c r="E4517">
        <v>0.44961879999999999</v>
      </c>
      <c r="F4517" t="s">
        <v>39</v>
      </c>
      <c r="G4517">
        <v>-397.68270000000001</v>
      </c>
      <c r="H4517" s="1">
        <v>-1.8545419999999899E-6</v>
      </c>
      <c r="I4517">
        <v>22.542870000000001</v>
      </c>
      <c r="J4517">
        <v>-413.75310000000002</v>
      </c>
      <c r="K4517">
        <v>1.1129830000000001</v>
      </c>
      <c r="L4517">
        <v>27.373169999999998</v>
      </c>
      <c r="M4517">
        <v>0.7398922</v>
      </c>
      <c r="N4517">
        <v>0</v>
      </c>
      <c r="O4517">
        <v>-0.67256759999999904</v>
      </c>
      <c r="P4517">
        <v>0.91160390000000002</v>
      </c>
      <c r="Q4517">
        <v>5.3131350000000001E-2</v>
      </c>
      <c r="R4517">
        <v>-0.40762169999999998</v>
      </c>
      <c r="S4517">
        <v>2.9078059999999999</v>
      </c>
      <c r="T4517">
        <v>-0.19894220000000001</v>
      </c>
      <c r="U4517">
        <v>-0.89315800000000001</v>
      </c>
      <c r="V4517">
        <v>-0.31279849999999998</v>
      </c>
      <c r="W4517">
        <v>6.0866690000000001E-2</v>
      </c>
      <c r="X4517">
        <v>0.94786729999999997</v>
      </c>
      <c r="Y4517">
        <v>-0.42369889999999999</v>
      </c>
      <c r="Z4517">
        <v>5.4678169999999998E-2</v>
      </c>
      <c r="AA4517">
        <v>0.90415129999999999</v>
      </c>
      <c r="AB4517">
        <v>26</v>
      </c>
      <c r="AC4517">
        <v>16.070399999999999</v>
      </c>
      <c r="AD4517">
        <v>-1.112984854542</v>
      </c>
      <c r="AE4517">
        <v>-4.8303000000000003</v>
      </c>
      <c r="AF4517">
        <v>-7.2036080787190304</v>
      </c>
      <c r="AG4517">
        <v>-1.112984854542</v>
      </c>
      <c r="AH4517">
        <v>15.074361241963199</v>
      </c>
      <c r="AI4517">
        <v>93.811261151610395</v>
      </c>
      <c r="AJ4517">
        <v>115.541807561919</v>
      </c>
      <c r="AK4517">
        <v>16.744165296945301</v>
      </c>
    </row>
    <row r="4518" spans="1:37" x14ac:dyDescent="0.2">
      <c r="A4518" t="str">
        <f>"20200111153524570"</f>
        <v>20200111153524570</v>
      </c>
      <c r="B4518" t="str">
        <f>"1578728124560736"</f>
        <v>1578728124560736</v>
      </c>
      <c r="C4518" t="s">
        <v>37</v>
      </c>
      <c r="D4518">
        <v>4.7524050000000004</v>
      </c>
      <c r="E4518">
        <v>0.45002779999999998</v>
      </c>
      <c r="F4518" t="s">
        <v>39</v>
      </c>
      <c r="G4518">
        <v>-397.53</v>
      </c>
      <c r="H4518" s="1">
        <v>-1.9173790000000001E-6</v>
      </c>
      <c r="I4518">
        <v>22.507729999999999</v>
      </c>
      <c r="J4518">
        <v>-413.62849999999997</v>
      </c>
      <c r="K4518">
        <v>1.112919</v>
      </c>
      <c r="L4518">
        <v>27.270869999999999</v>
      </c>
      <c r="M4518">
        <v>0.74483269999999902</v>
      </c>
      <c r="N4518">
        <v>0</v>
      </c>
      <c r="O4518">
        <v>-0.66709240000000003</v>
      </c>
      <c r="P4518">
        <v>0.91428390000000004</v>
      </c>
      <c r="Q4518">
        <v>5.3003439999999999E-2</v>
      </c>
      <c r="R4518">
        <v>-0.40159119999999998</v>
      </c>
      <c r="S4518">
        <v>2.912048</v>
      </c>
      <c r="T4518">
        <v>-0.19978180000000001</v>
      </c>
      <c r="U4518">
        <v>-0.87335209999999996</v>
      </c>
      <c r="V4518">
        <v>-0.3120618</v>
      </c>
      <c r="W4518">
        <v>6.0789580000000003E-2</v>
      </c>
      <c r="X4518">
        <v>0.94811499999999904</v>
      </c>
      <c r="Y4518">
        <v>-0.42301490000000003</v>
      </c>
      <c r="Z4518">
        <v>5.4632630000000001E-2</v>
      </c>
      <c r="AA4518">
        <v>0.90447429999999995</v>
      </c>
      <c r="AB4518">
        <v>26</v>
      </c>
      <c r="AC4518">
        <v>16.098500000000001</v>
      </c>
      <c r="AD4518">
        <v>-1.112920917379</v>
      </c>
      <c r="AE4518">
        <v>-4.7631399999999999</v>
      </c>
      <c r="AF4518">
        <v>-7.1607388774540803</v>
      </c>
      <c r="AG4518">
        <v>-1.112920917379</v>
      </c>
      <c r="AH4518">
        <v>15.103379476942701</v>
      </c>
      <c r="AI4518">
        <v>93.809274943241505</v>
      </c>
      <c r="AJ4518">
        <v>115.36633211350799</v>
      </c>
      <c r="AK4518">
        <v>16.751920661940702</v>
      </c>
    </row>
    <row r="4519" spans="1:37" x14ac:dyDescent="0.2">
      <c r="A4519" t="str">
        <f>"20200111153524583"</f>
        <v>20200111153524583</v>
      </c>
      <c r="B4519" t="str">
        <f>"1578728124580257"</f>
        <v>1578728124580257</v>
      </c>
      <c r="C4519" t="s">
        <v>37</v>
      </c>
      <c r="D4519">
        <v>4.7390309999999998</v>
      </c>
      <c r="E4519">
        <v>0.45039030000000002</v>
      </c>
      <c r="F4519" t="s">
        <v>39</v>
      </c>
      <c r="G4519">
        <v>-397.36630000000002</v>
      </c>
      <c r="H4519" s="1">
        <v>-1.9902539999999998E-6</v>
      </c>
      <c r="I4519">
        <v>22.490790000000001</v>
      </c>
      <c r="J4519">
        <v>-413.51839999999999</v>
      </c>
      <c r="K4519">
        <v>1.1128629999999999</v>
      </c>
      <c r="L4519">
        <v>27.181270000000001</v>
      </c>
      <c r="M4519">
        <v>0.7491295</v>
      </c>
      <c r="N4519">
        <v>0</v>
      </c>
      <c r="O4519">
        <v>-0.66226390000000002</v>
      </c>
      <c r="P4519">
        <v>0.91656090000000001</v>
      </c>
      <c r="Q4519">
        <v>5.2550949999999999E-2</v>
      </c>
      <c r="R4519">
        <v>-0.39642749999999999</v>
      </c>
      <c r="S4519">
        <v>2.91629</v>
      </c>
      <c r="T4519">
        <v>-0.19957920000000001</v>
      </c>
      <c r="U4519">
        <v>-0.85720830000000003</v>
      </c>
      <c r="V4519">
        <v>-0.31128040000000001</v>
      </c>
      <c r="W4519">
        <v>6.038835E-2</v>
      </c>
      <c r="X4519">
        <v>0.9483975</v>
      </c>
      <c r="Y4519">
        <v>-0.42213850000000003</v>
      </c>
      <c r="Z4519">
        <v>5.4308189999999999E-2</v>
      </c>
      <c r="AA4519">
        <v>0.90490319999999902</v>
      </c>
      <c r="AB4519">
        <v>26</v>
      </c>
      <c r="AC4519">
        <v>16.152099999999901</v>
      </c>
      <c r="AD4519">
        <v>-1.112864990254</v>
      </c>
      <c r="AE4519">
        <v>-4.69048</v>
      </c>
      <c r="AF4519">
        <v>-7.1526221407271802</v>
      </c>
      <c r="AG4519">
        <v>-1.112864990254</v>
      </c>
      <c r="AH4519">
        <v>15.141669915403501</v>
      </c>
      <c r="AI4519">
        <v>93.802022097996399</v>
      </c>
      <c r="AJ4519">
        <v>115.28511381121901</v>
      </c>
      <c r="AK4519">
        <v>16.782986617452501</v>
      </c>
    </row>
    <row r="4520" spans="1:37" x14ac:dyDescent="0.2">
      <c r="A4520" t="str">
        <f>"20200111153524600"</f>
        <v>20200111153524600</v>
      </c>
      <c r="B4520" t="str">
        <f>"1578728124590015"</f>
        <v>1578728124590015</v>
      </c>
      <c r="C4520" t="s">
        <v>37</v>
      </c>
      <c r="D4520">
        <v>4.7167289999999999</v>
      </c>
      <c r="E4520">
        <v>0.45857229999999999</v>
      </c>
      <c r="F4520" t="s">
        <v>40</v>
      </c>
      <c r="G4520">
        <v>-412.52620000000002</v>
      </c>
      <c r="H4520">
        <v>1.044484</v>
      </c>
      <c r="I4520">
        <v>26.894729999999999</v>
      </c>
      <c r="J4520">
        <v>-413.36279999999999</v>
      </c>
      <c r="K4520">
        <v>1.1127819999999999</v>
      </c>
      <c r="L4520">
        <v>27.05667</v>
      </c>
      <c r="M4520">
        <v>0.75506030000000002</v>
      </c>
      <c r="N4520">
        <v>0</v>
      </c>
      <c r="O4520">
        <v>-0.65549419999999903</v>
      </c>
      <c r="P4520">
        <v>0.91953019999999996</v>
      </c>
      <c r="Q4520">
        <v>5.2206089999999997E-2</v>
      </c>
      <c r="R4520">
        <v>-0.38953660000000001</v>
      </c>
      <c r="S4520">
        <v>2.9199220000000001</v>
      </c>
      <c r="T4520">
        <v>-0.20124020000000001</v>
      </c>
      <c r="U4520">
        <v>-0.84329219999999905</v>
      </c>
      <c r="V4520">
        <v>-0.30985449999999998</v>
      </c>
      <c r="W4520">
        <v>6.012609E-2</v>
      </c>
      <c r="X4520">
        <v>0.94888090000000003</v>
      </c>
      <c r="Y4520">
        <v>-0.41824449999999902</v>
      </c>
      <c r="Z4520">
        <v>5.4293429999999997E-2</v>
      </c>
      <c r="AA4520">
        <v>0.90671039999999903</v>
      </c>
      <c r="AB4520">
        <v>25</v>
      </c>
      <c r="AC4520">
        <v>0.83659999999997503</v>
      </c>
      <c r="AD4520">
        <v>-6.82979999999999E-2</v>
      </c>
      <c r="AE4520">
        <v>-0.161940000000001</v>
      </c>
      <c r="AF4520">
        <v>-0.423436852316323</v>
      </c>
      <c r="AG4520">
        <v>-6.82979999999999E-2</v>
      </c>
      <c r="AH4520">
        <v>0.73320205580947195</v>
      </c>
      <c r="AI4520">
        <v>94.611761702758699</v>
      </c>
      <c r="AJ4520">
        <v>120.007175969711</v>
      </c>
      <c r="AK4520">
        <v>0.84944019174206198</v>
      </c>
    </row>
    <row r="4521" spans="1:37" x14ac:dyDescent="0.2">
      <c r="A4521" t="str">
        <f>"20200111153524615"</f>
        <v>20200111153524615</v>
      </c>
      <c r="B4521" t="str">
        <f>"1578728124610511"</f>
        <v>1578728124610511</v>
      </c>
      <c r="C4521" t="s">
        <v>37</v>
      </c>
      <c r="D4521">
        <v>4.764405</v>
      </c>
      <c r="E4521">
        <v>0.458756099999999</v>
      </c>
      <c r="F4521" t="s">
        <v>39</v>
      </c>
      <c r="G4521">
        <v>-397.42579999999998</v>
      </c>
      <c r="H4521" s="1">
        <v>-1.8884030000000001E-6</v>
      </c>
      <c r="I4521">
        <v>22.213660000000001</v>
      </c>
      <c r="J4521">
        <v>-413.23599999999999</v>
      </c>
      <c r="K4521">
        <v>1.1127100000000001</v>
      </c>
      <c r="L4521">
        <v>26.956879999999899</v>
      </c>
      <c r="M4521">
        <v>0.7597718</v>
      </c>
      <c r="N4521">
        <v>0</v>
      </c>
      <c r="O4521">
        <v>-0.65002789999999999</v>
      </c>
      <c r="P4521">
        <v>0.92199379999999997</v>
      </c>
      <c r="Q4521">
        <v>5.207138E-2</v>
      </c>
      <c r="R4521">
        <v>-0.38368759999999902</v>
      </c>
      <c r="S4521">
        <v>2.9005740000000002</v>
      </c>
      <c r="T4521">
        <v>-0.20252909999999999</v>
      </c>
      <c r="U4521">
        <v>-0.88143919999999998</v>
      </c>
      <c r="V4521">
        <v>-0.30902459999999998</v>
      </c>
      <c r="W4521">
        <v>6.0052309999999998E-2</v>
      </c>
      <c r="X4521">
        <v>0.94915620000000001</v>
      </c>
      <c r="Y4521">
        <v>-0.39904029999999902</v>
      </c>
      <c r="Z4521">
        <v>5.392475E-2</v>
      </c>
      <c r="AA4521">
        <v>0.9153464</v>
      </c>
      <c r="AB4521">
        <v>25</v>
      </c>
      <c r="AC4521">
        <v>15.8102</v>
      </c>
      <c r="AD4521">
        <v>-1.1127118884029901</v>
      </c>
      <c r="AE4521">
        <v>-4.7432199999999902</v>
      </c>
      <c r="AF4521">
        <v>-6.6438177802854899</v>
      </c>
      <c r="AG4521">
        <v>-1.1127118884029901</v>
      </c>
      <c r="AH4521">
        <v>15.0286648507269</v>
      </c>
      <c r="AI4521">
        <v>93.874004174998902</v>
      </c>
      <c r="AJ4521">
        <v>113.849089668998</v>
      </c>
      <c r="AK4521">
        <v>16.469341505952901</v>
      </c>
    </row>
    <row r="4522" spans="1:37" x14ac:dyDescent="0.2">
      <c r="A4522" t="str">
        <f>"20200111153524629"</f>
        <v>20200111153524629</v>
      </c>
      <c r="B4522" t="str">
        <f>"1578728124620272"</f>
        <v>1578728124620272</v>
      </c>
      <c r="C4522" t="s">
        <v>37</v>
      </c>
      <c r="D4522">
        <v>4.7480589999999996</v>
      </c>
      <c r="E4522">
        <v>0.458708</v>
      </c>
      <c r="F4522" t="s">
        <v>39</v>
      </c>
      <c r="G4522">
        <v>-396.35199999999998</v>
      </c>
      <c r="H4522" s="1">
        <v>-2.322278E-6</v>
      </c>
      <c r="I4522">
        <v>21.93666</v>
      </c>
      <c r="J4522">
        <v>-413.12049999999999</v>
      </c>
      <c r="K4522">
        <v>1.1126469999999999</v>
      </c>
      <c r="L4522">
        <v>26.867279999999901</v>
      </c>
      <c r="M4522">
        <v>0.76397280000000001</v>
      </c>
      <c r="N4522">
        <v>0</v>
      </c>
      <c r="O4522">
        <v>-0.64508559999999904</v>
      </c>
      <c r="P4522">
        <v>0.92411669999999901</v>
      </c>
      <c r="Q4522">
        <v>5.1996630000000002E-2</v>
      </c>
      <c r="R4522">
        <v>-0.37855620000000001</v>
      </c>
      <c r="S4522">
        <v>2.9051209999999998</v>
      </c>
      <c r="T4522">
        <v>-0.19145799999999999</v>
      </c>
      <c r="U4522">
        <v>-0.86380000000000001</v>
      </c>
      <c r="V4522">
        <v>-0.30813459999999998</v>
      </c>
      <c r="W4522">
        <v>6.0034230000000001E-2</v>
      </c>
      <c r="X4522">
        <v>0.94944669999999898</v>
      </c>
      <c r="Y4522">
        <v>-0.39881679999999903</v>
      </c>
      <c r="Z4522">
        <v>5.0734050000000003E-2</v>
      </c>
      <c r="AA4522">
        <v>0.91562619999999895</v>
      </c>
      <c r="AB4522">
        <v>25</v>
      </c>
      <c r="AC4522">
        <v>16.7685</v>
      </c>
      <c r="AD4522">
        <v>-1.1126493222779901</v>
      </c>
      <c r="AE4522">
        <v>-4.9306199999999896</v>
      </c>
      <c r="AF4522">
        <v>-7.0225408791840502</v>
      </c>
      <c r="AG4522">
        <v>-1.1126493222779901</v>
      </c>
      <c r="AH4522">
        <v>15.9284813476966</v>
      </c>
      <c r="AI4522">
        <v>93.657176305375998</v>
      </c>
      <c r="AJ4522">
        <v>113.791698957851</v>
      </c>
      <c r="AK4522">
        <v>17.4433536614407</v>
      </c>
    </row>
    <row r="4523" spans="1:37" x14ac:dyDescent="0.2">
      <c r="A4523" t="str">
        <f>"20200111153524644"</f>
        <v>20200111153524644</v>
      </c>
      <c r="B4523" t="str">
        <f>"1578728124640767"</f>
        <v>1578728124640767</v>
      </c>
      <c r="C4523" t="s">
        <v>37</v>
      </c>
      <c r="D4523">
        <v>4.7615869999999996</v>
      </c>
      <c r="E4523">
        <v>0.45921409999999901</v>
      </c>
      <c r="F4523" t="s">
        <v>39</v>
      </c>
      <c r="G4523">
        <v>-395.58960000000002</v>
      </c>
      <c r="H4523" s="1">
        <v>-2.6370010000000001E-6</v>
      </c>
      <c r="I4523">
        <v>21.764970000000002</v>
      </c>
      <c r="J4523">
        <v>-412.9769</v>
      </c>
      <c r="K4523">
        <v>1.1125719999999999</v>
      </c>
      <c r="L4523">
        <v>26.757290000000001</v>
      </c>
      <c r="M4523">
        <v>0.76908989999999999</v>
      </c>
      <c r="N4523">
        <v>0</v>
      </c>
      <c r="O4523">
        <v>-0.63897680000000001</v>
      </c>
      <c r="P4523">
        <v>0.92633169999999898</v>
      </c>
      <c r="Q4523">
        <v>5.2563480000000003E-2</v>
      </c>
      <c r="R4523">
        <v>-0.37302410000000003</v>
      </c>
      <c r="S4523">
        <v>2.909821</v>
      </c>
      <c r="T4523">
        <v>-0.18467999999999901</v>
      </c>
      <c r="U4523">
        <v>-0.84689329999999996</v>
      </c>
      <c r="V4523">
        <v>-0.30622080000000002</v>
      </c>
      <c r="W4523">
        <v>6.0689630000000001E-2</v>
      </c>
      <c r="X4523">
        <v>0.95002399999999998</v>
      </c>
      <c r="Y4523">
        <v>-0.3969509</v>
      </c>
      <c r="Z4523">
        <v>4.8589889999999997E-2</v>
      </c>
      <c r="AA4523">
        <v>0.91655279999999995</v>
      </c>
      <c r="AB4523">
        <v>25</v>
      </c>
      <c r="AC4523">
        <v>17.3872999999999</v>
      </c>
      <c r="AD4523">
        <v>-1.1125746370009999</v>
      </c>
      <c r="AE4523">
        <v>-4.9923199999999897</v>
      </c>
      <c r="AF4523">
        <v>-7.24389893331095</v>
      </c>
      <c r="AG4523">
        <v>-1.1125746370009999</v>
      </c>
      <c r="AH4523">
        <v>16.501688395648198</v>
      </c>
      <c r="AI4523">
        <v>93.532697573145001</v>
      </c>
      <c r="AJ4523">
        <v>113.700477913317</v>
      </c>
      <c r="AK4523">
        <v>18.055957852908001</v>
      </c>
    </row>
    <row r="4524" spans="1:37" x14ac:dyDescent="0.2">
      <c r="A4524" t="str">
        <f>"20200111153524660"</f>
        <v>20200111153524660</v>
      </c>
      <c r="B4524" t="str">
        <f>"1578728124650528"</f>
        <v>1578728124650528</v>
      </c>
      <c r="C4524" t="s">
        <v>37</v>
      </c>
      <c r="D4524">
        <v>4.7767489999999997</v>
      </c>
      <c r="E4524">
        <v>0.45930599999999999</v>
      </c>
      <c r="F4524" t="s">
        <v>39</v>
      </c>
      <c r="G4524">
        <v>-394.72550000000001</v>
      </c>
      <c r="H4524" s="1">
        <v>-2.985247E-6</v>
      </c>
      <c r="I4524">
        <v>21.538640000000001</v>
      </c>
      <c r="J4524">
        <v>-412.83749999999998</v>
      </c>
      <c r="K4524">
        <v>1.1124969999999901</v>
      </c>
      <c r="L4524">
        <v>26.651949999999999</v>
      </c>
      <c r="M4524">
        <v>0.77394499999999999</v>
      </c>
      <c r="N4524">
        <v>0</v>
      </c>
      <c r="O4524">
        <v>-0.63308759999999997</v>
      </c>
      <c r="P4524">
        <v>0.92872299999999997</v>
      </c>
      <c r="Q4524">
        <v>5.2825950000000003E-2</v>
      </c>
      <c r="R4524">
        <v>-0.36699189999999998</v>
      </c>
      <c r="S4524">
        <v>2.913208</v>
      </c>
      <c r="T4524">
        <v>-0.17758409999999999</v>
      </c>
      <c r="U4524">
        <v>-0.83297730000000003</v>
      </c>
      <c r="V4524">
        <v>-0.30512990000000001</v>
      </c>
      <c r="W4524">
        <v>6.1019950000000003E-2</v>
      </c>
      <c r="X4524">
        <v>0.95035380000000003</v>
      </c>
      <c r="Y4524">
        <v>-0.39441349999999997</v>
      </c>
      <c r="Z4524">
        <v>4.6385099999999999E-2</v>
      </c>
      <c r="AA4524">
        <v>0.91776159999999996</v>
      </c>
      <c r="AB4524">
        <v>25</v>
      </c>
      <c r="AC4524">
        <v>18.111999999999899</v>
      </c>
      <c r="AD4524">
        <v>-1.1124999852469999</v>
      </c>
      <c r="AE4524">
        <v>-5.1133099999999896</v>
      </c>
      <c r="AF4524">
        <v>-7.4836971178474201</v>
      </c>
      <c r="AG4524">
        <v>-1.1124999852469999</v>
      </c>
      <c r="AH4524">
        <v>17.196579959367899</v>
      </c>
      <c r="AI4524">
        <v>93.394771137312205</v>
      </c>
      <c r="AJ4524">
        <v>113.51796246835499</v>
      </c>
      <c r="AK4524">
        <v>18.7873824964466</v>
      </c>
    </row>
    <row r="4525" spans="1:37" x14ac:dyDescent="0.2">
      <c r="A4525" t="str">
        <f>"20200111153524674"</f>
        <v>20200111153524674</v>
      </c>
      <c r="B4525" t="str">
        <f>"1578728124670049"</f>
        <v>1578728124670049</v>
      </c>
      <c r="C4525" t="s">
        <v>37</v>
      </c>
      <c r="D4525">
        <v>4.7733369999999997</v>
      </c>
      <c r="E4525">
        <v>0.45998249999999902</v>
      </c>
      <c r="F4525" t="s">
        <v>39</v>
      </c>
      <c r="G4525">
        <v>-394.26499999999999</v>
      </c>
      <c r="H4525" s="1">
        <v>-3.1841050000000001E-6</v>
      </c>
      <c r="I4525">
        <v>21.467879999999901</v>
      </c>
      <c r="J4525">
        <v>-412.70589999999999</v>
      </c>
      <c r="K4525">
        <v>1.112425</v>
      </c>
      <c r="L4525">
        <v>26.554349999999999</v>
      </c>
      <c r="M4525">
        <v>0.77840419999999999</v>
      </c>
      <c r="N4525">
        <v>0</v>
      </c>
      <c r="O4525">
        <v>-0.62759699999999996</v>
      </c>
      <c r="P4525">
        <v>0.93094679999999996</v>
      </c>
      <c r="Q4525">
        <v>5.3070319999999997E-2</v>
      </c>
      <c r="R4525">
        <v>-0.36127769999999998</v>
      </c>
      <c r="S4525">
        <v>2.918304</v>
      </c>
      <c r="T4525">
        <v>-0.17480779999999899</v>
      </c>
      <c r="U4525">
        <v>-0.81457519999999894</v>
      </c>
      <c r="V4525">
        <v>-0.30423139999999999</v>
      </c>
      <c r="W4525">
        <v>6.1322170000000002E-2</v>
      </c>
      <c r="X4525">
        <v>0.95062239999999998</v>
      </c>
      <c r="Y4525">
        <v>-0.39375640000000001</v>
      </c>
      <c r="Z4525">
        <v>4.5382770000000003E-2</v>
      </c>
      <c r="AA4525">
        <v>0.91809390000000002</v>
      </c>
      <c r="AB4525">
        <v>25</v>
      </c>
      <c r="AC4525">
        <v>18.440899999999999</v>
      </c>
      <c r="AD4525">
        <v>-1.1124281841050001</v>
      </c>
      <c r="AE4525">
        <v>-5.0864700000000003</v>
      </c>
      <c r="AF4525">
        <v>-7.5892547564032196</v>
      </c>
      <c r="AG4525">
        <v>-1.1124281841050001</v>
      </c>
      <c r="AH4525">
        <v>17.4894164381335</v>
      </c>
      <c r="AI4525">
        <v>93.3393682951085</v>
      </c>
      <c r="AJ4525">
        <v>113.45766769926701</v>
      </c>
      <c r="AK4525">
        <v>19.097486001273399</v>
      </c>
    </row>
    <row r="4526" spans="1:37" x14ac:dyDescent="0.2">
      <c r="A4526" t="str">
        <f>"20200111153524692"</f>
        <v>20200111153524692</v>
      </c>
      <c r="B4526" t="str">
        <f>"1578728124680784"</f>
        <v>1578728124680784</v>
      </c>
      <c r="C4526" t="s">
        <v>37</v>
      </c>
      <c r="D4526">
        <v>4.7965150000000003</v>
      </c>
      <c r="E4526">
        <v>0.46038230000000002</v>
      </c>
      <c r="F4526" t="s">
        <v>39</v>
      </c>
      <c r="G4526">
        <v>-393.87130000000002</v>
      </c>
      <c r="H4526" s="1">
        <v>-3.348407E-6</v>
      </c>
      <c r="I4526">
        <v>21.385909999999999</v>
      </c>
      <c r="J4526">
        <v>-412.54790000000003</v>
      </c>
      <c r="K4526">
        <v>1.112341</v>
      </c>
      <c r="L4526">
        <v>26.438749999999999</v>
      </c>
      <c r="M4526">
        <v>0.783638099999999</v>
      </c>
      <c r="N4526">
        <v>0</v>
      </c>
      <c r="O4526">
        <v>-0.62105010000000005</v>
      </c>
      <c r="P4526">
        <v>0.93327130000000003</v>
      </c>
      <c r="Q4526">
        <v>5.3099010000000002E-2</v>
      </c>
      <c r="R4526">
        <v>-0.35522589999999998</v>
      </c>
      <c r="S4526">
        <v>2.9212950000000002</v>
      </c>
      <c r="T4526">
        <v>-0.17254</v>
      </c>
      <c r="U4526">
        <v>-0.80163569999999995</v>
      </c>
      <c r="V4526">
        <v>-0.30241960000000001</v>
      </c>
      <c r="W4526">
        <v>6.1435440000000001E-2</v>
      </c>
      <c r="X4526">
        <v>0.95119299999999996</v>
      </c>
      <c r="Y4526">
        <v>-0.39012379999999902</v>
      </c>
      <c r="Z4526">
        <v>4.440057E-2</v>
      </c>
      <c r="AA4526">
        <v>0.91969129999999999</v>
      </c>
      <c r="AB4526">
        <v>25</v>
      </c>
      <c r="AC4526">
        <v>18.676600000000001</v>
      </c>
      <c r="AD4526">
        <v>-1.1123443484069999</v>
      </c>
      <c r="AE4526">
        <v>-5.0528399999999998</v>
      </c>
      <c r="AF4526">
        <v>-7.6151314490997999</v>
      </c>
      <c r="AG4526">
        <v>-1.1123443484069999</v>
      </c>
      <c r="AH4526">
        <v>17.717052456841301</v>
      </c>
      <c r="AI4526">
        <v>93.301239832461206</v>
      </c>
      <c r="AJ4526">
        <v>113.258967491441</v>
      </c>
      <c r="AK4526">
        <v>19.316352779315501</v>
      </c>
    </row>
    <row r="4527" spans="1:37" x14ac:dyDescent="0.2">
      <c r="A4527" t="str">
        <f>"20200111153524712"</f>
        <v>20200111153524712</v>
      </c>
      <c r="B4527" t="str">
        <f>"1578728124700305"</f>
        <v>1578728124700305</v>
      </c>
      <c r="C4527" t="s">
        <v>37</v>
      </c>
      <c r="D4527">
        <v>4.7589509999999997</v>
      </c>
      <c r="E4527">
        <v>0.46127879999999899</v>
      </c>
      <c r="F4527" t="s">
        <v>39</v>
      </c>
      <c r="G4527">
        <v>-393.7919</v>
      </c>
      <c r="H4527" s="1">
        <v>-3.38992399999999E-6</v>
      </c>
      <c r="I4527">
        <v>21.400929999999999</v>
      </c>
      <c r="J4527">
        <v>-412.36709999999999</v>
      </c>
      <c r="K4527">
        <v>1.1122459999999901</v>
      </c>
      <c r="L4527">
        <v>26.308779999999999</v>
      </c>
      <c r="M4527">
        <v>0.78945669999999901</v>
      </c>
      <c r="N4527">
        <v>0</v>
      </c>
      <c r="O4527">
        <v>-0.61363730000000005</v>
      </c>
      <c r="P4527">
        <v>0.93606480000000003</v>
      </c>
      <c r="Q4527">
        <v>5.2549350000000002E-2</v>
      </c>
      <c r="R4527">
        <v>-0.3478813</v>
      </c>
      <c r="S4527">
        <v>2.9253230000000001</v>
      </c>
      <c r="T4527">
        <v>-0.17348959999999999</v>
      </c>
      <c r="U4527">
        <v>-0.78573609999999905</v>
      </c>
      <c r="V4527">
        <v>-0.30092199999999902</v>
      </c>
      <c r="W4527">
        <v>6.0969959999999997E-2</v>
      </c>
      <c r="X4527">
        <v>0.95169780000000004</v>
      </c>
      <c r="Y4527">
        <v>-0.3864245</v>
      </c>
      <c r="Z4527">
        <v>4.4197809999999997E-2</v>
      </c>
      <c r="AA4527">
        <v>0.92126149999999996</v>
      </c>
      <c r="AB4527">
        <v>25</v>
      </c>
      <c r="AC4527">
        <v>18.575199999999899</v>
      </c>
      <c r="AD4527">
        <v>-1.11224938992399</v>
      </c>
      <c r="AE4527">
        <v>-4.9078499999999998</v>
      </c>
      <c r="AF4527">
        <v>-7.4995465503667997</v>
      </c>
      <c r="AG4527">
        <v>-1.11224938992399</v>
      </c>
      <c r="AH4527">
        <v>17.618740976877799</v>
      </c>
      <c r="AI4527">
        <v>93.324324517715993</v>
      </c>
      <c r="AJ4527">
        <v>113.05738555888399</v>
      </c>
      <c r="AK4527">
        <v>19.180728108620301</v>
      </c>
    </row>
    <row r="4528" spans="1:37" x14ac:dyDescent="0.2">
      <c r="A4528" t="str">
        <f>"20200111153524730"</f>
        <v>20200111153524730</v>
      </c>
      <c r="B4528" t="str">
        <f>"1578728124720800"</f>
        <v>1578728124720800</v>
      </c>
      <c r="C4528" t="s">
        <v>37</v>
      </c>
      <c r="D4528">
        <v>4.7350989999999999</v>
      </c>
      <c r="E4528">
        <v>0.46170169999999999</v>
      </c>
      <c r="F4528" t="s">
        <v>39</v>
      </c>
      <c r="G4528">
        <v>-394.15359999999998</v>
      </c>
      <c r="H4528" s="1">
        <v>-3.2514659999999899E-6</v>
      </c>
      <c r="I4528">
        <v>21.523129999999998</v>
      </c>
      <c r="J4528">
        <v>-412.20310000000001</v>
      </c>
      <c r="K4528">
        <v>1.112155</v>
      </c>
      <c r="L4528">
        <v>26.193020000000001</v>
      </c>
      <c r="M4528">
        <v>0.79457840000000002</v>
      </c>
      <c r="N4528">
        <v>0</v>
      </c>
      <c r="O4528">
        <v>-0.60699110000000001</v>
      </c>
      <c r="P4528">
        <v>0.93872690000000003</v>
      </c>
      <c r="Q4528">
        <v>5.2686160000000003E-2</v>
      </c>
      <c r="R4528">
        <v>-0.3406111</v>
      </c>
      <c r="S4528">
        <v>2.92895499999999</v>
      </c>
      <c r="T4528">
        <v>-0.17886359999999901</v>
      </c>
      <c r="U4528">
        <v>-0.76959230000000001</v>
      </c>
      <c r="V4528">
        <v>-0.30029980000000001</v>
      </c>
      <c r="W4528">
        <v>6.1167010000000001E-2</v>
      </c>
      <c r="X4528">
        <v>0.951881599999999</v>
      </c>
      <c r="Y4528">
        <v>-0.38363700000000001</v>
      </c>
      <c r="Z4528">
        <v>4.516883E-2</v>
      </c>
      <c r="AA4528">
        <v>0.9223787</v>
      </c>
      <c r="AB4528">
        <v>25</v>
      </c>
      <c r="AC4528">
        <v>18.049499999999998</v>
      </c>
      <c r="AD4528">
        <v>-1.112158251466</v>
      </c>
      <c r="AE4528">
        <v>-4.6698899999999997</v>
      </c>
      <c r="AF4528">
        <v>-7.2203486574694402</v>
      </c>
      <c r="AG4528">
        <v>-1.112158251466</v>
      </c>
      <c r="AH4528">
        <v>17.117191304771499</v>
      </c>
      <c r="AI4528">
        <v>93.4259325065387</v>
      </c>
      <c r="AJ4528">
        <v>112.870919008413</v>
      </c>
      <c r="AK4528">
        <v>18.610979793548498</v>
      </c>
    </row>
    <row r="4529" spans="1:37" x14ac:dyDescent="0.2">
      <c r="A4529" t="str">
        <f>"20200111153524747"</f>
        <v>20200111153524747</v>
      </c>
      <c r="B4529" t="str">
        <f>"1578728124740320"</f>
        <v>1578728124740320</v>
      </c>
      <c r="C4529" t="s">
        <v>37</v>
      </c>
      <c r="D4529">
        <v>4.7882600000000002</v>
      </c>
      <c r="E4529">
        <v>0.46985070000000001</v>
      </c>
      <c r="F4529" t="s">
        <v>39</v>
      </c>
      <c r="G4529">
        <v>-394.1284</v>
      </c>
      <c r="H4529" s="1">
        <v>-3.2763889999999898E-6</v>
      </c>
      <c r="I4529">
        <v>21.57197</v>
      </c>
      <c r="J4529">
        <v>-412.05149999999998</v>
      </c>
      <c r="K4529">
        <v>1.112066</v>
      </c>
      <c r="L4529">
        <v>26.087769999999999</v>
      </c>
      <c r="M4529">
        <v>0.79918459999999902</v>
      </c>
      <c r="N4529">
        <v>0</v>
      </c>
      <c r="O4529">
        <v>-0.60091410000000001</v>
      </c>
      <c r="P4529">
        <v>0.94092629999999999</v>
      </c>
      <c r="Q4529">
        <v>5.303604E-2</v>
      </c>
      <c r="R4529">
        <v>-0.33443279999999997</v>
      </c>
      <c r="S4529">
        <v>2.9337770000000001</v>
      </c>
      <c r="T4529">
        <v>-0.1805187</v>
      </c>
      <c r="U4529">
        <v>-0.75006099999999998</v>
      </c>
      <c r="V4529">
        <v>-0.2992784</v>
      </c>
      <c r="W4529">
        <v>6.1583930000000002E-2</v>
      </c>
      <c r="X4529">
        <v>0.95217640000000003</v>
      </c>
      <c r="Y4529">
        <v>-0.3827062</v>
      </c>
      <c r="Z4529">
        <v>4.5257550000000001E-2</v>
      </c>
      <c r="AA4529">
        <v>0.9227609</v>
      </c>
      <c r="AB4529">
        <v>25</v>
      </c>
      <c r="AC4529">
        <v>17.923099999999899</v>
      </c>
      <c r="AD4529">
        <v>-1.1120692763890001</v>
      </c>
      <c r="AE4529">
        <v>-4.5157999999999996</v>
      </c>
      <c r="AF4529">
        <v>-7.1361912394563998</v>
      </c>
      <c r="AG4529">
        <v>-1.1120692763890001</v>
      </c>
      <c r="AH4529">
        <v>16.9777709866644</v>
      </c>
      <c r="AI4529">
        <v>93.455562764142499</v>
      </c>
      <c r="AJ4529">
        <v>112.79826047762501</v>
      </c>
      <c r="AK4529">
        <v>18.450111955140098</v>
      </c>
    </row>
    <row r="4530" spans="1:37" x14ac:dyDescent="0.2">
      <c r="A4530" t="str">
        <f>"20200111153524762"</f>
        <v>20200111153524762</v>
      </c>
      <c r="B4530" t="str">
        <f>"1578728124750080"</f>
        <v>1578728124750080</v>
      </c>
      <c r="C4530" t="s">
        <v>37</v>
      </c>
      <c r="D4530">
        <v>4.7561489999999997</v>
      </c>
      <c r="E4530">
        <v>0.47021590000000002</v>
      </c>
      <c r="F4530" t="s">
        <v>39</v>
      </c>
      <c r="G4530">
        <v>-395.37639999999999</v>
      </c>
      <c r="H4530" s="1">
        <v>-2.68197999999999E-6</v>
      </c>
      <c r="I4530">
        <v>21.555260000000001</v>
      </c>
      <c r="J4530">
        <v>-411.91300000000001</v>
      </c>
      <c r="K4530">
        <v>1.1119859999999999</v>
      </c>
      <c r="L4530">
        <v>25.992799999999999</v>
      </c>
      <c r="M4530">
        <v>0.80329849999999903</v>
      </c>
      <c r="N4530">
        <v>0</v>
      </c>
      <c r="O4530">
        <v>-0.59540389999999999</v>
      </c>
      <c r="P4530">
        <v>0.94303959999999998</v>
      </c>
      <c r="Q4530">
        <v>5.3430440000000003E-2</v>
      </c>
      <c r="R4530">
        <v>-0.3283623</v>
      </c>
      <c r="S4530">
        <v>2.9174500000000001</v>
      </c>
      <c r="T4530">
        <v>-0.194565299999999</v>
      </c>
      <c r="U4530">
        <v>-0.79299929999999996</v>
      </c>
      <c r="V4530">
        <v>-0.29884699999999997</v>
      </c>
      <c r="W4530">
        <v>6.2029399999999998E-2</v>
      </c>
      <c r="X4530">
        <v>0.95228299999999999</v>
      </c>
      <c r="Y4530">
        <v>-0.36211929999999998</v>
      </c>
      <c r="Z4530">
        <v>4.795253E-2</v>
      </c>
      <c r="AA4530">
        <v>0.93089750000000004</v>
      </c>
      <c r="AB4530">
        <v>25</v>
      </c>
      <c r="AC4530">
        <v>16.5366</v>
      </c>
      <c r="AD4530">
        <v>-1.11198868198</v>
      </c>
      <c r="AE4530">
        <v>-4.4375399999999896</v>
      </c>
      <c r="AF4530">
        <v>-6.2555470115793801</v>
      </c>
      <c r="AG4530">
        <v>-1.11198868198</v>
      </c>
      <c r="AH4530">
        <v>15.8606921102679</v>
      </c>
      <c r="AI4530">
        <v>93.731562710560993</v>
      </c>
      <c r="AJ4530">
        <v>111.524557663762</v>
      </c>
      <c r="AK4530">
        <v>17.085957434678502</v>
      </c>
    </row>
    <row r="4531" spans="1:37" x14ac:dyDescent="0.2">
      <c r="A4531" t="str">
        <f>"20200111153524781"</f>
        <v>20200111153524781</v>
      </c>
      <c r="B4531" t="str">
        <f>"1578728124770576"</f>
        <v>1578728124770576</v>
      </c>
      <c r="C4531" t="s">
        <v>37</v>
      </c>
      <c r="D4531">
        <v>4.7892229999999998</v>
      </c>
      <c r="E4531">
        <v>0.4707192</v>
      </c>
      <c r="F4531" t="s">
        <v>39</v>
      </c>
      <c r="G4531">
        <v>-395.16109999999998</v>
      </c>
      <c r="H4531" s="1">
        <v>-2.7791429999999999E-6</v>
      </c>
      <c r="I4531">
        <v>21.5379</v>
      </c>
      <c r="J4531">
        <v>-411.74130000000002</v>
      </c>
      <c r="K4531">
        <v>1.11189</v>
      </c>
      <c r="L4531">
        <v>25.877009999999999</v>
      </c>
      <c r="M4531">
        <v>0.80825719999999901</v>
      </c>
      <c r="N4531">
        <v>0</v>
      </c>
      <c r="O4531">
        <v>-0.58865509999999999</v>
      </c>
      <c r="P4531">
        <v>0.94545069999999998</v>
      </c>
      <c r="Q4531">
        <v>5.3949440000000001E-2</v>
      </c>
      <c r="R4531">
        <v>-0.321266099999999</v>
      </c>
      <c r="S4531">
        <v>2.92169199999999</v>
      </c>
      <c r="T4531">
        <v>-0.1939418</v>
      </c>
      <c r="U4531">
        <v>-0.77697749999999999</v>
      </c>
      <c r="V4531">
        <v>-0.29800169999999998</v>
      </c>
      <c r="W4531">
        <v>6.2618579999999993E-2</v>
      </c>
      <c r="X4531">
        <v>0.9525093</v>
      </c>
      <c r="Y4531">
        <v>-0.35944530000000002</v>
      </c>
      <c r="Z4531">
        <v>4.735081E-2</v>
      </c>
      <c r="AA4531">
        <v>0.93196399999999902</v>
      </c>
      <c r="AB4531">
        <v>25</v>
      </c>
      <c r="AC4531">
        <v>16.580200000000001</v>
      </c>
      <c r="AD4531">
        <v>-1.111892779143</v>
      </c>
      <c r="AE4531">
        <v>-4.3391099999999998</v>
      </c>
      <c r="AF4531">
        <v>-6.2273342032922301</v>
      </c>
      <c r="AG4531">
        <v>-1.111892779143</v>
      </c>
      <c r="AH4531">
        <v>15.8900638397383</v>
      </c>
      <c r="AI4531">
        <v>93.727532960592796</v>
      </c>
      <c r="AJ4531">
        <v>111.400269682364</v>
      </c>
      <c r="AK4531">
        <v>17.1029274003828</v>
      </c>
    </row>
    <row r="4532" spans="1:37" x14ac:dyDescent="0.2">
      <c r="A4532" t="str">
        <f>"20200111153524794"</f>
        <v>20200111153524794</v>
      </c>
      <c r="B4532" t="str">
        <f>"1578728124790097"</f>
        <v>1578728124790097</v>
      </c>
      <c r="C4532" t="s">
        <v>37</v>
      </c>
      <c r="D4532">
        <v>4.9218820000000001</v>
      </c>
      <c r="E4532">
        <v>0.48990600000000001</v>
      </c>
      <c r="F4532" t="s">
        <v>39</v>
      </c>
      <c r="G4532">
        <v>-394.96100000000001</v>
      </c>
      <c r="H4532" s="1">
        <v>-2.870228E-6</v>
      </c>
      <c r="I4532">
        <v>21.524750000000001</v>
      </c>
      <c r="J4532">
        <v>-411.6037</v>
      </c>
      <c r="K4532">
        <v>1.11181</v>
      </c>
      <c r="L4532">
        <v>25.785769999999999</v>
      </c>
      <c r="M4532">
        <v>0.81212259999999903</v>
      </c>
      <c r="N4532">
        <v>0</v>
      </c>
      <c r="O4532">
        <v>-0.58331119999999903</v>
      </c>
      <c r="P4532">
        <v>0.94738089999999997</v>
      </c>
      <c r="Q4532">
        <v>5.3667739999999999E-2</v>
      </c>
      <c r="R4532">
        <v>-0.31557809999999997</v>
      </c>
      <c r="S4532">
        <v>2.9262389999999998</v>
      </c>
      <c r="T4532">
        <v>-0.19389819999999999</v>
      </c>
      <c r="U4532">
        <v>-0.75897219999999999</v>
      </c>
      <c r="V4532">
        <v>-0.29743550000000002</v>
      </c>
      <c r="W4532">
        <v>6.238966E-2</v>
      </c>
      <c r="X4532">
        <v>0.95270129999999997</v>
      </c>
      <c r="Y4532">
        <v>-0.35902829999999902</v>
      </c>
      <c r="Z4532">
        <v>4.7034859999999998E-2</v>
      </c>
      <c r="AA4532">
        <v>0.93214079999999999</v>
      </c>
      <c r="AB4532">
        <v>25</v>
      </c>
      <c r="AC4532">
        <v>16.642699999999898</v>
      </c>
      <c r="AD4532">
        <v>-1.1118128702279999</v>
      </c>
      <c r="AE4532">
        <v>-4.2610199999999896</v>
      </c>
      <c r="AF4532">
        <v>-6.2219831356824997</v>
      </c>
      <c r="AG4532">
        <v>-1.1118128702279999</v>
      </c>
      <c r="AH4532">
        <v>15.9363066783249</v>
      </c>
      <c r="AI4532">
        <v>93.718333094102405</v>
      </c>
      <c r="AJ4532">
        <v>111.32707436935</v>
      </c>
      <c r="AK4532">
        <v>17.143951485720699</v>
      </c>
    </row>
    <row r="4533" spans="1:37" x14ac:dyDescent="0.2">
      <c r="A4533" t="str">
        <f>"20200111153524812"</f>
        <v>20200111153524812</v>
      </c>
      <c r="B4533" t="str">
        <f>"1578728124800832"</f>
        <v>1578728124800832</v>
      </c>
      <c r="C4533" t="s">
        <v>37</v>
      </c>
      <c r="D4533">
        <v>4.8654510000000002</v>
      </c>
      <c r="E4533">
        <v>0.49594139999999998</v>
      </c>
      <c r="F4533" t="s">
        <v>39</v>
      </c>
      <c r="G4533">
        <v>-398.51839999999999</v>
      </c>
      <c r="H4533" s="1">
        <v>-1.2493620000000001E-6</v>
      </c>
      <c r="I4533">
        <v>21.75299</v>
      </c>
      <c r="J4533">
        <v>-411.45249999999999</v>
      </c>
      <c r="K4533">
        <v>1.111726</v>
      </c>
      <c r="L4533">
        <v>25.68683</v>
      </c>
      <c r="M4533">
        <v>0.81626980000000005</v>
      </c>
      <c r="N4533">
        <v>0</v>
      </c>
      <c r="O4533">
        <v>-0.5774939</v>
      </c>
      <c r="P4533">
        <v>0.94942800000000005</v>
      </c>
      <c r="Q4533">
        <v>5.2843179999999997E-2</v>
      </c>
      <c r="R4533">
        <v>-0.30950650000000002</v>
      </c>
      <c r="S4533">
        <v>2.8843990000000002</v>
      </c>
      <c r="T4533">
        <v>-0.245076499999999</v>
      </c>
      <c r="U4533">
        <v>-0.88894649999999997</v>
      </c>
      <c r="V4533">
        <v>-0.29672670000000001</v>
      </c>
      <c r="W4533">
        <v>6.1624390000000001E-2</v>
      </c>
      <c r="X4533">
        <v>0.95297209999999999</v>
      </c>
      <c r="Y4533">
        <v>-0.30889420000000001</v>
      </c>
      <c r="Z4533">
        <v>5.7277019999999998E-2</v>
      </c>
      <c r="AA4533">
        <v>0.949370099999999</v>
      </c>
      <c r="AB4533">
        <v>25</v>
      </c>
      <c r="AC4533">
        <v>12.934100000000001</v>
      </c>
      <c r="AD4533">
        <v>-1.1117272493619901</v>
      </c>
      <c r="AE4533">
        <v>-3.93384</v>
      </c>
      <c r="AF4533">
        <v>-4.2301185817966296</v>
      </c>
      <c r="AG4533">
        <v>-1.1117272493619901</v>
      </c>
      <c r="AH4533">
        <v>12.7446110698684</v>
      </c>
      <c r="AI4533">
        <v>94.7327200115934</v>
      </c>
      <c r="AJ4533">
        <v>108.36174321472799</v>
      </c>
      <c r="AK4533">
        <v>13.4742328915321</v>
      </c>
    </row>
    <row r="4534" spans="1:37" x14ac:dyDescent="0.2">
      <c r="A4534" t="str">
        <f>"20200111153524827"</f>
        <v>20200111153524827</v>
      </c>
      <c r="B4534" t="str">
        <f>"1578728124820353"</f>
        <v>1578728124820353</v>
      </c>
      <c r="C4534" t="s">
        <v>37</v>
      </c>
      <c r="D4534">
        <v>4.797269</v>
      </c>
      <c r="E4534">
        <v>0.50181039999999999</v>
      </c>
      <c r="F4534" t="s">
        <v>39</v>
      </c>
      <c r="G4534">
        <v>-397.96789999999999</v>
      </c>
      <c r="H4534" s="1">
        <v>-1.4126349999999999E-6</v>
      </c>
      <c r="I4534">
        <v>21.388579999999902</v>
      </c>
      <c r="J4534">
        <v>-411.3143</v>
      </c>
      <c r="K4534">
        <v>1.111645</v>
      </c>
      <c r="L4534">
        <v>25.597719999999999</v>
      </c>
      <c r="M4534">
        <v>0.81996449999999999</v>
      </c>
      <c r="N4534">
        <v>0</v>
      </c>
      <c r="O4534">
        <v>-0.57223619999999897</v>
      </c>
      <c r="P4534">
        <v>0.95136399999999999</v>
      </c>
      <c r="Q4534">
        <v>5.2549899999999997E-2</v>
      </c>
      <c r="R4534">
        <v>-0.30355349999999998</v>
      </c>
      <c r="S4534">
        <v>2.8743289999999999</v>
      </c>
      <c r="T4534">
        <v>-0.23697190000000001</v>
      </c>
      <c r="U4534">
        <v>-0.91619869999999903</v>
      </c>
      <c r="V4534">
        <v>-0.29656320000000003</v>
      </c>
      <c r="W4534">
        <v>6.1374989999999997E-2</v>
      </c>
      <c r="X4534">
        <v>0.95303909999999903</v>
      </c>
      <c r="Y4534">
        <v>-0.29383409999999999</v>
      </c>
      <c r="Z4534">
        <v>5.4530040000000002E-2</v>
      </c>
      <c r="AA4534">
        <v>0.95429969999999997</v>
      </c>
      <c r="AB4534">
        <v>25</v>
      </c>
      <c r="AC4534">
        <v>13.346399999999999</v>
      </c>
      <c r="AD4534">
        <v>-1.1116464126350001</v>
      </c>
      <c r="AE4534">
        <v>-4.2091399999999997</v>
      </c>
      <c r="AF4534">
        <v>-4.1601246650601897</v>
      </c>
      <c r="AG4534">
        <v>-1.1116464126350001</v>
      </c>
      <c r="AH4534">
        <v>13.269826568371</v>
      </c>
      <c r="AI4534">
        <v>94.5702955629272</v>
      </c>
      <c r="AJ4534">
        <v>107.40634186294101</v>
      </c>
      <c r="AK4534">
        <v>13.951010434022701</v>
      </c>
    </row>
    <row r="4535" spans="1:37" x14ac:dyDescent="0.2">
      <c r="A4535" t="str">
        <f>"20200111153524840"</f>
        <v>20200111153524840</v>
      </c>
      <c r="B4535" t="str">
        <f>"1578728124830112"</f>
        <v>1578728124830112</v>
      </c>
      <c r="C4535" t="s">
        <v>37</v>
      </c>
      <c r="D4535">
        <v>4.832414</v>
      </c>
      <c r="E4535">
        <v>0.50316320000000003</v>
      </c>
      <c r="F4535" t="s">
        <v>39</v>
      </c>
      <c r="G4535">
        <v>-397.20609999999999</v>
      </c>
      <c r="H4535" s="1">
        <v>-1.6577809999999999E-6</v>
      </c>
      <c r="I4535">
        <v>20.956610000000001</v>
      </c>
      <c r="J4535">
        <v>-411.18090000000001</v>
      </c>
      <c r="K4535">
        <v>1.111567</v>
      </c>
      <c r="L4535">
        <v>25.512539999999898</v>
      </c>
      <c r="M4535">
        <v>0.8234534</v>
      </c>
      <c r="N4535">
        <v>0</v>
      </c>
      <c r="O4535">
        <v>-0.56720479999999995</v>
      </c>
      <c r="P4535">
        <v>0.95318409999999998</v>
      </c>
      <c r="Q4535">
        <v>5.2197220000000003E-2</v>
      </c>
      <c r="R4535">
        <v>-0.29785129999999999</v>
      </c>
      <c r="S4535">
        <v>2.8651430000000002</v>
      </c>
      <c r="T4535">
        <v>-0.22575770000000001</v>
      </c>
      <c r="U4535">
        <v>-0.94253539999999902</v>
      </c>
      <c r="V4535">
        <v>-0.29642750000000001</v>
      </c>
      <c r="W4535">
        <v>6.1065630000000003E-2</v>
      </c>
      <c r="X4535">
        <v>0.95310110000000003</v>
      </c>
      <c r="Y4535">
        <v>-0.27939029999999998</v>
      </c>
      <c r="Z4535">
        <v>5.1158200000000001E-2</v>
      </c>
      <c r="AA4535">
        <v>0.95881380000000005</v>
      </c>
      <c r="AB4535">
        <v>25</v>
      </c>
      <c r="AC4535">
        <v>13.9748</v>
      </c>
      <c r="AD4535">
        <v>-1.111568657781</v>
      </c>
      <c r="AE4535">
        <v>-4.5559299999999903</v>
      </c>
      <c r="AF4535">
        <v>-4.1516587889501499</v>
      </c>
      <c r="AG4535">
        <v>-1.111568657781</v>
      </c>
      <c r="AH4535">
        <v>14.013034323011301</v>
      </c>
      <c r="AI4535">
        <v>94.349322087931398</v>
      </c>
      <c r="AJ4535">
        <v>106.50304061593999</v>
      </c>
      <c r="AK4535">
        <v>14.657318530983799</v>
      </c>
    </row>
    <row r="4536" spans="1:37" x14ac:dyDescent="0.2">
      <c r="A4536" t="str">
        <f>"20200111153524857"</f>
        <v>20200111153524857</v>
      </c>
      <c r="B4536" t="str">
        <f>"1578728124850608"</f>
        <v>1578728124850608</v>
      </c>
      <c r="C4536" t="s">
        <v>37</v>
      </c>
      <c r="D4536">
        <v>4.8715710000000003</v>
      </c>
      <c r="E4536">
        <v>0.50472359999999905</v>
      </c>
      <c r="F4536" t="s">
        <v>39</v>
      </c>
      <c r="G4536">
        <v>-396.75880000000001</v>
      </c>
      <c r="H4536" s="1">
        <v>-1.8290649999999899E-6</v>
      </c>
      <c r="I4536">
        <v>20.80566</v>
      </c>
      <c r="J4536">
        <v>-411.02109999999999</v>
      </c>
      <c r="K4536">
        <v>1.11147</v>
      </c>
      <c r="L4536">
        <v>25.412019999999998</v>
      </c>
      <c r="M4536">
        <v>0.82751949999999996</v>
      </c>
      <c r="N4536">
        <v>0</v>
      </c>
      <c r="O4536">
        <v>-0.56125669999999905</v>
      </c>
      <c r="P4536">
        <v>0.95509699999999997</v>
      </c>
      <c r="Q4536">
        <v>5.2127119999999999E-2</v>
      </c>
      <c r="R4536">
        <v>-0.29167169999999998</v>
      </c>
      <c r="S4536">
        <v>2.867035</v>
      </c>
      <c r="T4536">
        <v>-0.22097320000000001</v>
      </c>
      <c r="U4536">
        <v>-0.93569950000000002</v>
      </c>
      <c r="V4536">
        <v>-0.29571759999999903</v>
      </c>
      <c r="W4536">
        <v>6.1060400000000001E-2</v>
      </c>
      <c r="X4536">
        <v>0.95332190000000006</v>
      </c>
      <c r="Y4536">
        <v>-0.2748353</v>
      </c>
      <c r="Z4536">
        <v>4.9544110000000002E-2</v>
      </c>
      <c r="AA4536">
        <v>0.96021399999999901</v>
      </c>
      <c r="AB4536">
        <v>25</v>
      </c>
      <c r="AC4536">
        <v>14.2622999999999</v>
      </c>
      <c r="AD4536">
        <v>-1.1114718290650001</v>
      </c>
      <c r="AE4536">
        <v>-4.6063599999999996</v>
      </c>
      <c r="AF4536">
        <v>-4.1704475753682297</v>
      </c>
      <c r="AG4536">
        <v>-1.1114718290650001</v>
      </c>
      <c r="AH4536">
        <v>14.3104372728311</v>
      </c>
      <c r="AI4536">
        <v>94.264463526903995</v>
      </c>
      <c r="AJ4536">
        <v>106.247547744302</v>
      </c>
      <c r="AK4536">
        <v>14.947127401120699</v>
      </c>
    </row>
    <row r="4537" spans="1:37" x14ac:dyDescent="0.2">
      <c r="A4537" t="str">
        <f>"20200111153524882"</f>
        <v>20200111153524882</v>
      </c>
      <c r="B4537" t="str">
        <f>"1578728124870128"</f>
        <v>1578728124870128</v>
      </c>
      <c r="C4537" t="s">
        <v>37</v>
      </c>
      <c r="D4537">
        <v>4.8488899999999999</v>
      </c>
      <c r="E4537">
        <v>0.50569640000000005</v>
      </c>
      <c r="F4537" t="s">
        <v>39</v>
      </c>
      <c r="G4537">
        <v>-396.21510000000001</v>
      </c>
      <c r="H4537" s="1">
        <v>-2.0363579999999998E-6</v>
      </c>
      <c r="I4537">
        <v>20.618860000000002</v>
      </c>
      <c r="J4537">
        <v>-410.7987</v>
      </c>
      <c r="K4537">
        <v>1.111327</v>
      </c>
      <c r="L4537">
        <v>25.274809999999999</v>
      </c>
      <c r="M4537">
        <v>0.83297869999999996</v>
      </c>
      <c r="N4537">
        <v>0</v>
      </c>
      <c r="O4537">
        <v>-0.55312289999999997</v>
      </c>
      <c r="P4537">
        <v>0.95769329999999997</v>
      </c>
      <c r="Q4537">
        <v>5.1779770000000003E-2</v>
      </c>
      <c r="R4537">
        <v>-0.28309469999999998</v>
      </c>
      <c r="S4537">
        <v>2.8691409999999999</v>
      </c>
      <c r="T4537">
        <v>-0.21538449999999901</v>
      </c>
      <c r="U4537">
        <v>-0.92883300000000002</v>
      </c>
      <c r="V4537">
        <v>-0.29491079999999997</v>
      </c>
      <c r="W4537">
        <v>6.0798619999999998E-2</v>
      </c>
      <c r="X4537">
        <v>0.95358849999999995</v>
      </c>
      <c r="Y4537">
        <v>-0.26783029999999902</v>
      </c>
      <c r="Z4537">
        <v>4.7551290000000003E-2</v>
      </c>
      <c r="AA4537">
        <v>0.96229200000000004</v>
      </c>
      <c r="AB4537">
        <v>25</v>
      </c>
      <c r="AC4537">
        <v>14.583599999999899</v>
      </c>
      <c r="AD4537">
        <v>-1.111329036358</v>
      </c>
      <c r="AE4537">
        <v>-4.6559499999999998</v>
      </c>
      <c r="AF4537">
        <v>-4.1666800332790697</v>
      </c>
      <c r="AG4537">
        <v>-1.111329036358</v>
      </c>
      <c r="AH4537">
        <v>14.647433971523</v>
      </c>
      <c r="AI4537">
        <v>94.173858605364899</v>
      </c>
      <c r="AJ4537">
        <v>105.87918923964</v>
      </c>
      <c r="AK4537">
        <v>15.269040463529601</v>
      </c>
    </row>
    <row r="4538" spans="1:37" x14ac:dyDescent="0.2">
      <c r="A4538" t="str">
        <f>"20200111153524896"</f>
        <v>20200111153524896</v>
      </c>
      <c r="B4538" t="str">
        <f>"1578728124890624"</f>
        <v>1578728124890624</v>
      </c>
      <c r="C4538" t="s">
        <v>37</v>
      </c>
      <c r="D4538">
        <v>4.8545089999999904</v>
      </c>
      <c r="E4538">
        <v>0.50657390000000002</v>
      </c>
      <c r="F4538" t="s">
        <v>39</v>
      </c>
      <c r="G4538">
        <v>-395.72329999999999</v>
      </c>
      <c r="H4538" s="1">
        <v>-2.2376169999999998E-6</v>
      </c>
      <c r="I4538">
        <v>20.501460000000002</v>
      </c>
      <c r="J4538">
        <v>-410.65379999999999</v>
      </c>
      <c r="K4538">
        <v>1.1112309999999901</v>
      </c>
      <c r="L4538">
        <v>25.186800000000002</v>
      </c>
      <c r="M4538">
        <v>0.83641759999999998</v>
      </c>
      <c r="N4538">
        <v>0</v>
      </c>
      <c r="O4538">
        <v>-0.54790919999999999</v>
      </c>
      <c r="P4538">
        <v>0.95934949999999997</v>
      </c>
      <c r="Q4538">
        <v>5.1550470000000001E-2</v>
      </c>
      <c r="R4538">
        <v>-0.27747300000000003</v>
      </c>
      <c r="S4538">
        <v>2.8748779999999998</v>
      </c>
      <c r="T4538">
        <v>-0.2119306</v>
      </c>
      <c r="U4538">
        <v>-0.91027829999999998</v>
      </c>
      <c r="V4538">
        <v>-0.29453550000000001</v>
      </c>
      <c r="W4538">
        <v>6.062538E-2</v>
      </c>
      <c r="X4538">
        <v>0.953715599999999</v>
      </c>
      <c r="Y4538">
        <v>-0.26808169999999998</v>
      </c>
      <c r="Z4538">
        <v>4.6469169999999997E-2</v>
      </c>
      <c r="AA4538">
        <v>0.96227479999999999</v>
      </c>
      <c r="AB4538">
        <v>25</v>
      </c>
      <c r="AC4538">
        <v>14.930499999999901</v>
      </c>
      <c r="AD4538">
        <v>-1.11123323761699</v>
      </c>
      <c r="AE4538">
        <v>-4.6853400000000001</v>
      </c>
      <c r="AF4538">
        <v>-4.2407010963457701</v>
      </c>
      <c r="AG4538">
        <v>-1.11123323761699</v>
      </c>
      <c r="AH4538">
        <v>14.9812407045274</v>
      </c>
      <c r="AI4538">
        <v>94.082318192968899</v>
      </c>
      <c r="AJ4538">
        <v>105.805089244689</v>
      </c>
      <c r="AK4538">
        <v>15.6094829556882</v>
      </c>
    </row>
    <row r="4539" spans="1:37" x14ac:dyDescent="0.2">
      <c r="A4539" t="str">
        <f>"20200111153524914"</f>
        <v>20200111153524914</v>
      </c>
      <c r="B4539" t="str">
        <f>"1578728124910144"</f>
        <v>1578728124910144</v>
      </c>
      <c r="C4539" t="s">
        <v>37</v>
      </c>
      <c r="D4539">
        <v>4.8674179999999998</v>
      </c>
      <c r="E4539">
        <v>0.50752540000000002</v>
      </c>
      <c r="F4539" t="s">
        <v>39</v>
      </c>
      <c r="G4539">
        <v>-395.4837</v>
      </c>
      <c r="H4539" s="1">
        <v>-2.335458E-6</v>
      </c>
      <c r="I4539">
        <v>20.443470000000001</v>
      </c>
      <c r="J4539">
        <v>-410.48989999999998</v>
      </c>
      <c r="K4539">
        <v>1.111127</v>
      </c>
      <c r="L4539">
        <v>25.088709999999999</v>
      </c>
      <c r="M4539">
        <v>0.84019940000000004</v>
      </c>
      <c r="N4539">
        <v>0</v>
      </c>
      <c r="O4539">
        <v>-0.54209289999999999</v>
      </c>
      <c r="P4539">
        <v>0.96129010000000004</v>
      </c>
      <c r="Q4539">
        <v>5.1081080000000001E-2</v>
      </c>
      <c r="R4539">
        <v>-0.27076250000000002</v>
      </c>
      <c r="S4539">
        <v>2.878174</v>
      </c>
      <c r="T4539">
        <v>-0.2108302</v>
      </c>
      <c r="U4539">
        <v>-0.89993289999999904</v>
      </c>
      <c r="V4539">
        <v>-0.294574</v>
      </c>
      <c r="W4539">
        <v>6.0207480000000001E-2</v>
      </c>
      <c r="X4539">
        <v>0.95373019999999997</v>
      </c>
      <c r="Y4539">
        <v>-0.26490039999999998</v>
      </c>
      <c r="Z4539">
        <v>4.5759569999999999E-2</v>
      </c>
      <c r="AA4539">
        <v>0.96318939999999997</v>
      </c>
      <c r="AB4539">
        <v>25</v>
      </c>
      <c r="AC4539">
        <v>15.0061999999999</v>
      </c>
      <c r="AD4539">
        <v>-1.1111293354580001</v>
      </c>
      <c r="AE4539">
        <v>-4.6452399999999896</v>
      </c>
      <c r="AF4539">
        <v>-4.2111810682754003</v>
      </c>
      <c r="AG4539">
        <v>-1.1111293354580001</v>
      </c>
      <c r="AH4539">
        <v>15.0525558758382</v>
      </c>
      <c r="AI4539">
        <v>94.066151659683996</v>
      </c>
      <c r="AJ4539">
        <v>105.62976985239</v>
      </c>
      <c r="AK4539">
        <v>15.6699742432828</v>
      </c>
    </row>
    <row r="4540" spans="1:37" x14ac:dyDescent="0.2">
      <c r="A4540" t="str">
        <f>"20200111153524931"</f>
        <v>20200111153524931</v>
      </c>
      <c r="B4540" t="str">
        <f>"1578728124920880"</f>
        <v>1578728124920880</v>
      </c>
      <c r="C4540" t="s">
        <v>37</v>
      </c>
      <c r="D4540">
        <v>4.8665510000000003</v>
      </c>
      <c r="E4540">
        <v>0.50786759999999997</v>
      </c>
      <c r="F4540" t="s">
        <v>39</v>
      </c>
      <c r="G4540">
        <v>-395.34620000000001</v>
      </c>
      <c r="H4540" s="1">
        <v>-2.3957050000000001E-6</v>
      </c>
      <c r="I4540">
        <v>20.425660000000001</v>
      </c>
      <c r="J4540">
        <v>-410.33030000000002</v>
      </c>
      <c r="K4540">
        <v>1.1110249999999999</v>
      </c>
      <c r="L4540">
        <v>24.994540000000001</v>
      </c>
      <c r="M4540">
        <v>0.84376969999999996</v>
      </c>
      <c r="N4540">
        <v>0</v>
      </c>
      <c r="O4540">
        <v>-0.53651939999999998</v>
      </c>
      <c r="P4540">
        <v>0.96315779999999995</v>
      </c>
      <c r="Q4540">
        <v>5.1267790000000001E-2</v>
      </c>
      <c r="R4540">
        <v>-0.26400559999999901</v>
      </c>
      <c r="S4540">
        <v>2.88207999999999</v>
      </c>
      <c r="T4540">
        <v>-0.21146489999999901</v>
      </c>
      <c r="U4540">
        <v>-0.887451199999999</v>
      </c>
      <c r="V4540">
        <v>-0.29493950000000002</v>
      </c>
      <c r="W4540">
        <v>6.0440229999999998E-2</v>
      </c>
      <c r="X4540">
        <v>0.95360249999999902</v>
      </c>
      <c r="Y4540">
        <v>-0.26270169999999998</v>
      </c>
      <c r="Z4540">
        <v>4.5471570000000003E-2</v>
      </c>
      <c r="AA4540">
        <v>0.96380499999999902</v>
      </c>
      <c r="AB4540">
        <v>25</v>
      </c>
      <c r="AC4540">
        <v>14.9841</v>
      </c>
      <c r="AD4540">
        <v>-1.1110273957050001</v>
      </c>
      <c r="AE4540">
        <v>-4.5688800000000001</v>
      </c>
      <c r="AF4540">
        <v>-4.16365185037185</v>
      </c>
      <c r="AG4540">
        <v>-1.1110273957050001</v>
      </c>
      <c r="AH4540">
        <v>15.0203748260995</v>
      </c>
      <c r="AI4540">
        <v>94.077154118903493</v>
      </c>
      <c r="AJ4540">
        <v>105.493387542015</v>
      </c>
      <c r="AK4540">
        <v>15.626325176497399</v>
      </c>
    </row>
    <row r="4541" spans="1:37" x14ac:dyDescent="0.2">
      <c r="A4541" t="str">
        <f>"20200111153524948"</f>
        <v>20200111153524948</v>
      </c>
      <c r="B4541" t="str">
        <f>"1578728124940400"</f>
        <v>1578728124940400</v>
      </c>
      <c r="C4541" t="s">
        <v>37</v>
      </c>
      <c r="D4541">
        <v>4.9068719999999999</v>
      </c>
      <c r="E4541">
        <v>0.50843629999999995</v>
      </c>
      <c r="F4541" t="s">
        <v>39</v>
      </c>
      <c r="G4541">
        <v>-395.10950000000003</v>
      </c>
      <c r="H4541" s="1">
        <v>-2.5029429999999999E-6</v>
      </c>
      <c r="I4541">
        <v>20.408259999999999</v>
      </c>
      <c r="J4541">
        <v>-410.17189999999999</v>
      </c>
      <c r="K4541">
        <v>1.110914</v>
      </c>
      <c r="L4541">
        <v>24.902249999999999</v>
      </c>
      <c r="M4541">
        <v>0.8472056</v>
      </c>
      <c r="N4541">
        <v>0</v>
      </c>
      <c r="O4541">
        <v>-0.53107799999999905</v>
      </c>
      <c r="P4541">
        <v>0.96499429999999997</v>
      </c>
      <c r="Q4541">
        <v>5.249885E-2</v>
      </c>
      <c r="R4541">
        <v>-0.2569632</v>
      </c>
      <c r="S4541">
        <v>2.8875120000000001</v>
      </c>
      <c r="T4541">
        <v>-0.210771299999999</v>
      </c>
      <c r="U4541">
        <v>-0.87005619999999995</v>
      </c>
      <c r="V4541">
        <v>-0.29573430000000001</v>
      </c>
      <c r="W4541">
        <v>6.1711960000000003E-2</v>
      </c>
      <c r="X4541">
        <v>0.95327479999999998</v>
      </c>
      <c r="Y4541">
        <v>-0.26234190000000002</v>
      </c>
      <c r="Z4541">
        <v>4.4962269999999999E-2</v>
      </c>
      <c r="AA4541">
        <v>0.96392690000000003</v>
      </c>
      <c r="AB4541">
        <v>25</v>
      </c>
      <c r="AC4541">
        <v>15.062399999999901</v>
      </c>
      <c r="AD4541">
        <v>-1.1109165029429999</v>
      </c>
      <c r="AE4541">
        <v>-4.4939899999999904</v>
      </c>
      <c r="AF4541">
        <v>-4.1715554626967597</v>
      </c>
      <c r="AG4541">
        <v>-1.1109165029429999</v>
      </c>
      <c r="AH4541">
        <v>15.0738205256167</v>
      </c>
      <c r="AI4541">
        <v>94.062820080066103</v>
      </c>
      <c r="AJ4541">
        <v>105.468988386985</v>
      </c>
      <c r="AK4541">
        <v>15.6797983307621</v>
      </c>
    </row>
    <row r="4542" spans="1:37" x14ac:dyDescent="0.2">
      <c r="A4542" t="str">
        <f>"20200111153524964"</f>
        <v>20200111153524964</v>
      </c>
      <c r="B4542" t="str">
        <f>"1578728124960896"</f>
        <v>1578728124960896</v>
      </c>
      <c r="C4542" t="s">
        <v>37</v>
      </c>
      <c r="D4542">
        <v>4.8871869999999999</v>
      </c>
      <c r="E4542">
        <v>0.50934919999999995</v>
      </c>
      <c r="F4542" t="s">
        <v>39</v>
      </c>
      <c r="G4542">
        <v>-394.5967</v>
      </c>
      <c r="H4542" s="1">
        <v>-2.7174559999999999E-6</v>
      </c>
      <c r="I4542">
        <v>20.3034</v>
      </c>
      <c r="J4542">
        <v>-410.00839999999999</v>
      </c>
      <c r="K4542">
        <v>1.1107989999999901</v>
      </c>
      <c r="L4542">
        <v>24.80829</v>
      </c>
      <c r="M4542">
        <v>0.85063929999999999</v>
      </c>
      <c r="N4542">
        <v>0</v>
      </c>
      <c r="O4542">
        <v>-0.52556099999999994</v>
      </c>
      <c r="P4542">
        <v>0.96678310000000001</v>
      </c>
      <c r="Q4542">
        <v>5.2272300000000001E-2</v>
      </c>
      <c r="R4542">
        <v>-0.25019619999999998</v>
      </c>
      <c r="S4542">
        <v>2.8926090000000002</v>
      </c>
      <c r="T4542">
        <v>-0.20631869999999999</v>
      </c>
      <c r="U4542">
        <v>-0.85409550000000001</v>
      </c>
      <c r="V4542">
        <v>-0.29620340000000001</v>
      </c>
      <c r="W4542">
        <v>6.1538250000000003E-2</v>
      </c>
      <c r="X4542">
        <v>0.9531404</v>
      </c>
      <c r="Y4542">
        <v>-0.26151340000000001</v>
      </c>
      <c r="Z4542">
        <v>4.3639669999999998E-2</v>
      </c>
      <c r="AA4542">
        <v>0.96421279999999998</v>
      </c>
      <c r="AB4542">
        <v>25</v>
      </c>
      <c r="AC4542">
        <v>15.4116999999999</v>
      </c>
      <c r="AD4542">
        <v>-1.1108017174560001</v>
      </c>
      <c r="AE4542">
        <v>-4.5048899999999996</v>
      </c>
      <c r="AF4542">
        <v>-4.24784558562932</v>
      </c>
      <c r="AG4542">
        <v>-1.1108017174560001</v>
      </c>
      <c r="AH4542">
        <v>15.4051998093432</v>
      </c>
      <c r="AI4542">
        <v>93.976317006998499</v>
      </c>
      <c r="AJ4542">
        <v>105.415716262716</v>
      </c>
      <c r="AK4542">
        <v>16.018684519667701</v>
      </c>
    </row>
    <row r="4543" spans="1:37" x14ac:dyDescent="0.2">
      <c r="A4543" t="str">
        <f>"20200111153524982"</f>
        <v>20200111153524982</v>
      </c>
      <c r="B4543" t="str">
        <f>"1578728124970656"</f>
        <v>1578728124970656</v>
      </c>
      <c r="C4543" t="s">
        <v>37</v>
      </c>
      <c r="D4543">
        <v>4.9036200000000001</v>
      </c>
      <c r="E4543">
        <v>0.50975009999999998</v>
      </c>
      <c r="F4543" t="s">
        <v>39</v>
      </c>
      <c r="G4543">
        <v>-394.32089999999999</v>
      </c>
      <c r="H4543" s="1">
        <v>-2.8344619999999999E-6</v>
      </c>
      <c r="I4543">
        <v>20.253070000000001</v>
      </c>
      <c r="J4543">
        <v>-409.84429999999998</v>
      </c>
      <c r="K4543">
        <v>1.110681</v>
      </c>
      <c r="L4543">
        <v>24.715119999999999</v>
      </c>
      <c r="M4543">
        <v>0.85397990000000001</v>
      </c>
      <c r="N4543">
        <v>0</v>
      </c>
      <c r="O4543">
        <v>-0.52011600000000002</v>
      </c>
      <c r="P4543">
        <v>0.96845479999999995</v>
      </c>
      <c r="Q4543">
        <v>5.142265E-2</v>
      </c>
      <c r="R4543">
        <v>-0.2438255</v>
      </c>
      <c r="S4543">
        <v>2.896515</v>
      </c>
      <c r="T4543">
        <v>-0.205095899999999</v>
      </c>
      <c r="U4543">
        <v>-0.84106449999999999</v>
      </c>
      <c r="V4543">
        <v>-0.29638320000000001</v>
      </c>
      <c r="W4543">
        <v>6.0748169999999997E-2</v>
      </c>
      <c r="X4543">
        <v>0.95313519999999896</v>
      </c>
      <c r="Y4543">
        <v>-0.25973190000000002</v>
      </c>
      <c r="Z4543">
        <v>4.298664E-2</v>
      </c>
      <c r="AA4543">
        <v>0.96472349999999996</v>
      </c>
      <c r="AB4543">
        <v>25</v>
      </c>
      <c r="AC4543">
        <v>15.523399999999899</v>
      </c>
      <c r="AD4543">
        <v>-1.110683834462</v>
      </c>
      <c r="AE4543">
        <v>-4.4620499999999996</v>
      </c>
      <c r="AF4543">
        <v>-4.2438219230992997</v>
      </c>
      <c r="AG4543">
        <v>-1.110683834462</v>
      </c>
      <c r="AH4543">
        <v>15.5056752894633</v>
      </c>
      <c r="AI4543">
        <v>93.952273501004598</v>
      </c>
      <c r="AJ4543">
        <v>105.306700764345</v>
      </c>
      <c r="AK4543">
        <v>16.114267258469599</v>
      </c>
    </row>
    <row r="4544" spans="1:37" x14ac:dyDescent="0.2">
      <c r="A4544" t="str">
        <f>"20200111153524997"</f>
        <v>20200111153524997</v>
      </c>
      <c r="B4544" t="str">
        <f>"1578728124990176"</f>
        <v>1578728124990176</v>
      </c>
      <c r="C4544" t="s">
        <v>37</v>
      </c>
      <c r="D4544">
        <v>4.8949410000000002</v>
      </c>
      <c r="E4544">
        <v>0.51004550000000004</v>
      </c>
      <c r="F4544" t="s">
        <v>39</v>
      </c>
      <c r="G4544">
        <v>-394.34070000000003</v>
      </c>
      <c r="H4544" s="1">
        <v>-2.838868E-6</v>
      </c>
      <c r="I4544">
        <v>20.304939999999998</v>
      </c>
      <c r="J4544">
        <v>-409.68849999999998</v>
      </c>
      <c r="K4544">
        <v>1.1105689999999999</v>
      </c>
      <c r="L4544">
        <v>24.6279</v>
      </c>
      <c r="M4544">
        <v>0.85704939999999996</v>
      </c>
      <c r="N4544">
        <v>0</v>
      </c>
      <c r="O4544">
        <v>-0.51504300000000003</v>
      </c>
      <c r="P4544">
        <v>0.96990940000000003</v>
      </c>
      <c r="Q4544">
        <v>5.0915639999999998E-2</v>
      </c>
      <c r="R4544">
        <v>-0.23808219999999999</v>
      </c>
      <c r="S4544">
        <v>2.9010009999999999</v>
      </c>
      <c r="T4544">
        <v>-0.20782970000000001</v>
      </c>
      <c r="U4544">
        <v>-0.82522580000000001</v>
      </c>
      <c r="V4544">
        <v>-0.29636899999999999</v>
      </c>
      <c r="W4544">
        <v>6.0301239999999999E-2</v>
      </c>
      <c r="X4544">
        <v>0.95316800000000002</v>
      </c>
      <c r="Y4544">
        <v>-0.25923989999999902</v>
      </c>
      <c r="Z4544">
        <v>4.3222709999999998E-2</v>
      </c>
      <c r="AA4544">
        <v>0.96484530000000002</v>
      </c>
      <c r="AB4544">
        <v>25</v>
      </c>
      <c r="AC4544">
        <v>15.3477999999999</v>
      </c>
      <c r="AD4544">
        <v>-1.1105718388679999</v>
      </c>
      <c r="AE4544">
        <v>-4.3229600000000001</v>
      </c>
      <c r="AF4544">
        <v>-4.17992307339658</v>
      </c>
      <c r="AG4544">
        <v>-1.1105718388679999</v>
      </c>
      <c r="AH4544">
        <v>15.307589158781701</v>
      </c>
      <c r="AI4544">
        <v>94.003491942418506</v>
      </c>
      <c r="AJ4544">
        <v>105.272975438914</v>
      </c>
      <c r="AK4544">
        <v>15.906835403777</v>
      </c>
    </row>
    <row r="4545" spans="1:37" x14ac:dyDescent="0.2">
      <c r="A4545" t="str">
        <f>"20200111153525013"</f>
        <v>20200111153525013</v>
      </c>
      <c r="B4545" t="str">
        <f>"1578728125000911"</f>
        <v>1578728125000911</v>
      </c>
      <c r="C4545" t="s">
        <v>37</v>
      </c>
      <c r="D4545">
        <v>4.8991889999999998</v>
      </c>
      <c r="E4545">
        <v>0.51901229999999998</v>
      </c>
      <c r="F4545" t="s">
        <v>39</v>
      </c>
      <c r="G4545">
        <v>-394.31560000000002</v>
      </c>
      <c r="H4545" s="1">
        <v>-2.860256E-6</v>
      </c>
      <c r="I4545">
        <v>20.340679999999999</v>
      </c>
      <c r="J4545">
        <v>-409.53579999999999</v>
      </c>
      <c r="K4545">
        <v>1.1104700000000001</v>
      </c>
      <c r="L4545">
        <v>24.543579999999999</v>
      </c>
      <c r="M4545">
        <v>0.85996099999999998</v>
      </c>
      <c r="N4545">
        <v>0</v>
      </c>
      <c r="O4545">
        <v>-0.51016729999999999</v>
      </c>
      <c r="P4545">
        <v>0.97105719999999995</v>
      </c>
      <c r="Q4545">
        <v>5.094978E-2</v>
      </c>
      <c r="R4545">
        <v>-0.23334959999999999</v>
      </c>
      <c r="S4545">
        <v>2.9052119999999899</v>
      </c>
      <c r="T4545">
        <v>-0.2098788</v>
      </c>
      <c r="U4545">
        <v>-0.81021119999999902</v>
      </c>
      <c r="V4545">
        <v>-0.29558719999999999</v>
      </c>
      <c r="W4545">
        <v>6.0403569999999997E-2</v>
      </c>
      <c r="X4545">
        <v>0.95340419999999904</v>
      </c>
      <c r="Y4545">
        <v>-0.25872309999999998</v>
      </c>
      <c r="Z4545">
        <v>4.3319740000000002E-2</v>
      </c>
      <c r="AA4545">
        <v>0.96497960000000005</v>
      </c>
      <c r="AB4545">
        <v>25</v>
      </c>
      <c r="AC4545">
        <v>15.220199999999901</v>
      </c>
      <c r="AD4545">
        <v>-1.1104728602559999</v>
      </c>
      <c r="AE4545">
        <v>-4.2028999999999996</v>
      </c>
      <c r="AF4545">
        <v>-4.1304961555597801</v>
      </c>
      <c r="AG4545">
        <v>-1.1104728602559999</v>
      </c>
      <c r="AH4545">
        <v>15.159476766835599</v>
      </c>
      <c r="AI4545">
        <v>94.042725176213295</v>
      </c>
      <c r="AJ4545">
        <v>105.241374876077</v>
      </c>
      <c r="AK4545">
        <v>15.7513137327871</v>
      </c>
    </row>
    <row r="4546" spans="1:37" x14ac:dyDescent="0.2">
      <c r="A4546" t="str">
        <f>"20200111153525028"</f>
        <v>20200111153525028</v>
      </c>
      <c r="B4546" t="str">
        <f>"1578728125020432"</f>
        <v>1578728125020432</v>
      </c>
      <c r="C4546" t="s">
        <v>37</v>
      </c>
      <c r="D4546">
        <v>4.8999779999999999</v>
      </c>
      <c r="E4546">
        <v>0.51975950000000004</v>
      </c>
      <c r="F4546" t="s">
        <v>39</v>
      </c>
      <c r="G4546">
        <v>-394.68180000000001</v>
      </c>
      <c r="H4546" s="1">
        <v>-2.62234899999999E-6</v>
      </c>
      <c r="I4546">
        <v>20.09712</v>
      </c>
      <c r="J4546">
        <v>-409.39249999999998</v>
      </c>
      <c r="K4546">
        <v>1.110371</v>
      </c>
      <c r="L4546">
        <v>24.465329999999899</v>
      </c>
      <c r="M4546">
        <v>0.86261449999999995</v>
      </c>
      <c r="N4546">
        <v>0</v>
      </c>
      <c r="O4546">
        <v>-0.50566829999999996</v>
      </c>
      <c r="P4546">
        <v>0.97215119999999899</v>
      </c>
      <c r="Q4546">
        <v>5.1191920000000002E-2</v>
      </c>
      <c r="R4546">
        <v>-0.22869529999999999</v>
      </c>
      <c r="S4546">
        <v>2.8926699999999999</v>
      </c>
      <c r="T4546">
        <v>-0.2162541</v>
      </c>
      <c r="U4546">
        <v>-0.86590579999999995</v>
      </c>
      <c r="V4546">
        <v>-0.29515530000000001</v>
      </c>
      <c r="W4546">
        <v>6.0704380000000002E-2</v>
      </c>
      <c r="X4546">
        <v>0.95351889999999995</v>
      </c>
      <c r="Y4546">
        <v>-0.23534269999999999</v>
      </c>
      <c r="Z4546">
        <v>4.3528049999999999E-2</v>
      </c>
      <c r="AA4546">
        <v>0.9709373</v>
      </c>
      <c r="AB4546">
        <v>25</v>
      </c>
      <c r="AC4546">
        <v>14.7106999999999</v>
      </c>
      <c r="AD4546">
        <v>-1.1103736223489999</v>
      </c>
      <c r="AE4546">
        <v>-4.3682099999999897</v>
      </c>
      <c r="AF4546">
        <v>-3.6518926271677401</v>
      </c>
      <c r="AG4546">
        <v>-1.1103736223489999</v>
      </c>
      <c r="AH4546">
        <v>14.8223819119052</v>
      </c>
      <c r="AI4546">
        <v>94.160188524718507</v>
      </c>
      <c r="AJ4546">
        <v>103.840700708369</v>
      </c>
      <c r="AK4546">
        <v>15.305954883114801</v>
      </c>
    </row>
    <row r="4547" spans="1:37" x14ac:dyDescent="0.2">
      <c r="A4547" t="str">
        <f>"20200111153525043"</f>
        <v>20200111153525043</v>
      </c>
      <c r="B4547" t="str">
        <f>"1578728125030193"</f>
        <v>1578728125030193</v>
      </c>
      <c r="C4547" t="s">
        <v>37</v>
      </c>
      <c r="D4547">
        <v>4.8874370000000003</v>
      </c>
      <c r="E4547">
        <v>0.51955240000000003</v>
      </c>
      <c r="F4547" t="s">
        <v>39</v>
      </c>
      <c r="G4547">
        <v>-394.7045</v>
      </c>
      <c r="H4547" s="1">
        <v>-2.6158969999999999E-6</v>
      </c>
      <c r="I4547">
        <v>20.113119999999999</v>
      </c>
      <c r="J4547">
        <v>-409.25020000000001</v>
      </c>
      <c r="K4547">
        <v>1.1102780000000001</v>
      </c>
      <c r="L4547">
        <v>24.388369999999998</v>
      </c>
      <c r="M4547">
        <v>0.86518099999999998</v>
      </c>
      <c r="N4547">
        <v>0</v>
      </c>
      <c r="O4547">
        <v>-0.50126490000000001</v>
      </c>
      <c r="P4547">
        <v>0.97324080000000002</v>
      </c>
      <c r="Q4547">
        <v>5.0821110000000003E-2</v>
      </c>
      <c r="R4547">
        <v>-0.22409699999999999</v>
      </c>
      <c r="S4547">
        <v>2.8956300000000001</v>
      </c>
      <c r="T4547">
        <v>-0.2189005</v>
      </c>
      <c r="U4547">
        <v>-0.85800169999999998</v>
      </c>
      <c r="V4547">
        <v>-0.29479260000000002</v>
      </c>
      <c r="W4547">
        <v>6.0391670000000001E-2</v>
      </c>
      <c r="X4547">
        <v>0.95365100000000003</v>
      </c>
      <c r="Y4547">
        <v>-0.2330701</v>
      </c>
      <c r="Z4547">
        <v>4.368006E-2</v>
      </c>
      <c r="AA4547">
        <v>0.97147850000000002</v>
      </c>
      <c r="AB4547">
        <v>25</v>
      </c>
      <c r="AC4547">
        <v>14.5457</v>
      </c>
      <c r="AD4547">
        <v>-1.110280615897</v>
      </c>
      <c r="AE4547">
        <v>-4.2752499999999998</v>
      </c>
      <c r="AF4547">
        <v>-3.57356949364774</v>
      </c>
      <c r="AG4547">
        <v>-1.110280615897</v>
      </c>
      <c r="AH4547">
        <v>14.6505630811795</v>
      </c>
      <c r="AI4547">
        <v>94.210835674247207</v>
      </c>
      <c r="AJ4547">
        <v>103.707925982395</v>
      </c>
      <c r="AK4547">
        <v>15.120916657649699</v>
      </c>
    </row>
    <row r="4548" spans="1:37" x14ac:dyDescent="0.2">
      <c r="A4548" t="str">
        <f>"20200111153525060"</f>
        <v>20200111153525060</v>
      </c>
      <c r="B4548" t="str">
        <f>"1578728125050689"</f>
        <v>1578728125050689</v>
      </c>
      <c r="C4548" t="s">
        <v>37</v>
      </c>
      <c r="D4548">
        <v>4.8967830000000001</v>
      </c>
      <c r="E4548">
        <v>0.52015469999999997</v>
      </c>
      <c r="F4548" t="s">
        <v>39</v>
      </c>
      <c r="G4548">
        <v>-394.54919999999998</v>
      </c>
      <c r="H4548" s="1">
        <v>-2.6904480000000002E-6</v>
      </c>
      <c r="I4548">
        <v>20.117529999999999</v>
      </c>
      <c r="J4548">
        <v>-409.0838</v>
      </c>
      <c r="K4548">
        <v>1.110163</v>
      </c>
      <c r="L4548">
        <v>24.29935</v>
      </c>
      <c r="M4548">
        <v>0.86809130000000001</v>
      </c>
      <c r="N4548">
        <v>0</v>
      </c>
      <c r="O4548">
        <v>-0.49620829999999899</v>
      </c>
      <c r="P4548">
        <v>0.97431730000000005</v>
      </c>
      <c r="Q4548">
        <v>5.0551400000000003E-2</v>
      </c>
      <c r="R4548">
        <v>-0.21943189999999901</v>
      </c>
      <c r="S4548">
        <v>2.8999329999999999</v>
      </c>
      <c r="T4548">
        <v>-0.2190146</v>
      </c>
      <c r="U4548">
        <v>-0.84246829999999995</v>
      </c>
      <c r="V4548">
        <v>-0.29378320000000002</v>
      </c>
      <c r="W4548">
        <v>6.019654E-2</v>
      </c>
      <c r="X4548">
        <v>0.95397469999999995</v>
      </c>
      <c r="Y4548">
        <v>-0.23259259999999901</v>
      </c>
      <c r="Z4548">
        <v>4.334959E-2</v>
      </c>
      <c r="AA4548">
        <v>0.97160769999999996</v>
      </c>
      <c r="AB4548">
        <v>25</v>
      </c>
      <c r="AC4548">
        <v>14.534599999999999</v>
      </c>
      <c r="AD4548">
        <v>-1.110165690448</v>
      </c>
      <c r="AE4548">
        <v>-4.1818200000000001</v>
      </c>
      <c r="AF4548">
        <v>-3.56313830163693</v>
      </c>
      <c r="AG4548">
        <v>-1.110165690448</v>
      </c>
      <c r="AH4548">
        <v>14.6150985259482</v>
      </c>
      <c r="AI4548">
        <v>94.220699268610502</v>
      </c>
      <c r="AJ4548">
        <v>103.70133703314799</v>
      </c>
      <c r="AK4548">
        <v>15.084081919030099</v>
      </c>
    </row>
    <row r="4549" spans="1:37" x14ac:dyDescent="0.2">
      <c r="A4549" t="str">
        <f>"20200111153525081"</f>
        <v>20200111153525081</v>
      </c>
      <c r="B4549" t="str">
        <f>"1578728125070208"</f>
        <v>1578728125070208</v>
      </c>
      <c r="C4549" t="s">
        <v>37</v>
      </c>
      <c r="D4549">
        <v>4.9051099999999996</v>
      </c>
      <c r="E4549">
        <v>0.52099359999999995</v>
      </c>
      <c r="F4549" t="s">
        <v>39</v>
      </c>
      <c r="G4549">
        <v>-394.54590000000002</v>
      </c>
      <c r="H4549" s="1">
        <v>-2.694416E-6</v>
      </c>
      <c r="I4549">
        <v>20.126570000000001</v>
      </c>
      <c r="J4549">
        <v>-408.87459999999999</v>
      </c>
      <c r="K4549">
        <v>1.110033</v>
      </c>
      <c r="L4549">
        <v>24.18927</v>
      </c>
      <c r="M4549">
        <v>0.87161369999999905</v>
      </c>
      <c r="N4549">
        <v>0</v>
      </c>
      <c r="O4549">
        <v>-0.48999579999999998</v>
      </c>
      <c r="P4549">
        <v>0.97561409999999904</v>
      </c>
      <c r="Q4549">
        <v>5.0458530000000001E-2</v>
      </c>
      <c r="R4549">
        <v>-0.21361459999999999</v>
      </c>
      <c r="S4549">
        <v>2.9029240000000001</v>
      </c>
      <c r="T4549">
        <v>-0.22167829999999999</v>
      </c>
      <c r="U4549">
        <v>-0.8332214</v>
      </c>
      <c r="V4549">
        <v>-0.29264179999999901</v>
      </c>
      <c r="W4549">
        <v>6.0188909999999998E-2</v>
      </c>
      <c r="X4549">
        <v>0.95432600000000001</v>
      </c>
      <c r="Y4549">
        <v>-0.2287527</v>
      </c>
      <c r="Z4549">
        <v>4.3318250000000003E-2</v>
      </c>
      <c r="AA4549">
        <v>0.9725203</v>
      </c>
      <c r="AB4549">
        <v>25</v>
      </c>
      <c r="AC4549">
        <v>14.3286999999999</v>
      </c>
      <c r="AD4549">
        <v>-1.1100356944159999</v>
      </c>
      <c r="AE4549">
        <v>-4.0627000000000004</v>
      </c>
      <c r="AF4549">
        <v>-3.4610092026995201</v>
      </c>
      <c r="AG4549">
        <v>-1.1100356944159999</v>
      </c>
      <c r="AH4549">
        <v>14.4012018515735</v>
      </c>
      <c r="AI4549">
        <v>94.286044212366306</v>
      </c>
      <c r="AJ4549">
        <v>103.513490783972</v>
      </c>
      <c r="AK4549">
        <v>14.852790266943501</v>
      </c>
    </row>
    <row r="4550" spans="1:37" x14ac:dyDescent="0.2">
      <c r="A4550" t="str">
        <f>"20200111153525095"</f>
        <v>20200111153525095</v>
      </c>
      <c r="B4550" t="str">
        <f>"1578728125090704"</f>
        <v>1578728125090704</v>
      </c>
      <c r="C4550" t="s">
        <v>37</v>
      </c>
      <c r="D4550">
        <v>4.8982929999999998</v>
      </c>
      <c r="E4550">
        <v>0.52149909999999999</v>
      </c>
      <c r="F4550" t="s">
        <v>39</v>
      </c>
      <c r="G4550">
        <v>-394.2226</v>
      </c>
      <c r="H4550" s="1">
        <v>-2.8252559999999999E-6</v>
      </c>
      <c r="I4550">
        <v>20.043859999999999</v>
      </c>
      <c r="J4550">
        <v>-408.7362</v>
      </c>
      <c r="K4550">
        <v>1.109952</v>
      </c>
      <c r="L4550">
        <v>24.11731</v>
      </c>
      <c r="M4550">
        <v>0.87387490000000001</v>
      </c>
      <c r="N4550">
        <v>0</v>
      </c>
      <c r="O4550">
        <v>-0.48595189999999999</v>
      </c>
      <c r="P4550">
        <v>0.97647059999999997</v>
      </c>
      <c r="Q4550">
        <v>5.0091539999999997E-2</v>
      </c>
      <c r="R4550">
        <v>-0.20975160000000001</v>
      </c>
      <c r="S4550">
        <v>2.9063110000000001</v>
      </c>
      <c r="T4550">
        <v>-0.22018160000000001</v>
      </c>
      <c r="U4550">
        <v>-0.82226559999999904</v>
      </c>
      <c r="V4550">
        <v>-0.29198970000000002</v>
      </c>
      <c r="W4550">
        <v>5.9872380000000003E-2</v>
      </c>
      <c r="X4550">
        <v>0.95454559999999999</v>
      </c>
      <c r="Y4550">
        <v>-0.22797029999999999</v>
      </c>
      <c r="Z4550">
        <v>4.2722049999999998E-2</v>
      </c>
      <c r="AA4550">
        <v>0.97273029999999905</v>
      </c>
      <c r="AB4550">
        <v>25</v>
      </c>
      <c r="AC4550">
        <v>14.513599999999901</v>
      </c>
      <c r="AD4550">
        <v>-1.1099548252560001</v>
      </c>
      <c r="AE4550">
        <v>-4.0734499999999896</v>
      </c>
      <c r="AF4550">
        <v>-3.4747249479031299</v>
      </c>
      <c r="AG4550">
        <v>-1.1099548252560001</v>
      </c>
      <c r="AH4550">
        <v>14.584915545114001</v>
      </c>
      <c r="AI4550">
        <v>94.233938716027197</v>
      </c>
      <c r="AJ4550">
        <v>103.40040130247</v>
      </c>
      <c r="AK4550">
        <v>15.0341436282815</v>
      </c>
    </row>
    <row r="4551" spans="1:37" x14ac:dyDescent="0.2">
      <c r="A4551" t="str">
        <f>"20200111153525115"</f>
        <v>20200111153525115</v>
      </c>
      <c r="B4551" t="str">
        <f>"1578728125111200"</f>
        <v>1578728125111200</v>
      </c>
      <c r="C4551" t="s">
        <v>37</v>
      </c>
      <c r="D4551">
        <v>4.8682679999999996</v>
      </c>
      <c r="E4551">
        <v>0.52580629999999995</v>
      </c>
      <c r="F4551" t="s">
        <v>39</v>
      </c>
      <c r="G4551">
        <v>-394.14170000000001</v>
      </c>
      <c r="H4551" s="1">
        <v>-2.859697E-6</v>
      </c>
      <c r="I4551">
        <v>20.029589999999999</v>
      </c>
      <c r="J4551">
        <v>-408.55419999999998</v>
      </c>
      <c r="K4551">
        <v>1.1098539999999999</v>
      </c>
      <c r="L4551">
        <v>24.023859999999999</v>
      </c>
      <c r="M4551">
        <v>0.87676719999999897</v>
      </c>
      <c r="N4551">
        <v>0</v>
      </c>
      <c r="O4551">
        <v>-0.48071449999999999</v>
      </c>
      <c r="P4551">
        <v>0.97753729999999905</v>
      </c>
      <c r="Q4551">
        <v>4.965178E-2</v>
      </c>
      <c r="R4551">
        <v>-0.2048297</v>
      </c>
      <c r="S4551">
        <v>2.90863</v>
      </c>
      <c r="T4551">
        <v>-0.22120960000000001</v>
      </c>
      <c r="U4551">
        <v>-0.81466669999999997</v>
      </c>
      <c r="V4551">
        <v>-0.29107670000000002</v>
      </c>
      <c r="W4551">
        <v>5.9494449999999997E-2</v>
      </c>
      <c r="X4551">
        <v>0.95484799999999903</v>
      </c>
      <c r="Y4551">
        <v>-0.22470670000000001</v>
      </c>
      <c r="Z4551">
        <v>4.2451219999999998E-2</v>
      </c>
      <c r="AA4551">
        <v>0.97350130000000001</v>
      </c>
      <c r="AB4551">
        <v>25</v>
      </c>
      <c r="AC4551">
        <v>14.4124999999999</v>
      </c>
      <c r="AD4551">
        <v>-1.109856859697</v>
      </c>
      <c r="AE4551">
        <v>-3.9942700000000002</v>
      </c>
      <c r="AF4551">
        <v>-3.4078162654216801</v>
      </c>
      <c r="AG4551">
        <v>-1.109856859697</v>
      </c>
      <c r="AH4551">
        <v>14.478182720251001</v>
      </c>
      <c r="AI4551">
        <v>94.267391948106393</v>
      </c>
      <c r="AJ4551">
        <v>103.244963470735</v>
      </c>
      <c r="AK4551">
        <v>14.915185846272999</v>
      </c>
    </row>
    <row r="4552" spans="1:37" x14ac:dyDescent="0.2">
      <c r="A4552" t="str">
        <f>"20200111153525138"</f>
        <v>20200111153525138</v>
      </c>
      <c r="B4552" t="str">
        <f>"1578728125130720"</f>
        <v>1578728125130720</v>
      </c>
      <c r="C4552" t="s">
        <v>37</v>
      </c>
      <c r="D4552">
        <v>4.910698</v>
      </c>
      <c r="E4552">
        <v>0.52587259999999902</v>
      </c>
      <c r="F4552" t="s">
        <v>39</v>
      </c>
      <c r="G4552">
        <v>-394.84949999999998</v>
      </c>
      <c r="H4552" s="1">
        <v>-2.54104199999999E-6</v>
      </c>
      <c r="I4552">
        <v>20.08944</v>
      </c>
      <c r="J4552">
        <v>-408.32479999999998</v>
      </c>
      <c r="K4552">
        <v>1.109731</v>
      </c>
      <c r="L4552">
        <v>23.90765</v>
      </c>
      <c r="M4552">
        <v>0.88028759999999995</v>
      </c>
      <c r="N4552">
        <v>0</v>
      </c>
      <c r="O4552">
        <v>-0.47423769999999998</v>
      </c>
      <c r="P4552">
        <v>0.97886469999999903</v>
      </c>
      <c r="Q4552">
        <v>4.8913369999999998E-2</v>
      </c>
      <c r="R4552">
        <v>-0.19857249999999901</v>
      </c>
      <c r="S4552">
        <v>2.90606699999999</v>
      </c>
      <c r="T4552">
        <v>-0.23534359999999999</v>
      </c>
      <c r="U4552">
        <v>-0.83428959999999996</v>
      </c>
      <c r="V4552">
        <v>-0.29013649999999902</v>
      </c>
      <c r="W4552">
        <v>5.8829010000000001E-2</v>
      </c>
      <c r="X4552">
        <v>0.95517529999999995</v>
      </c>
      <c r="Y4552">
        <v>-0.21102389999999999</v>
      </c>
      <c r="Z4552">
        <v>4.4153850000000001E-2</v>
      </c>
      <c r="AA4552">
        <v>0.9764832</v>
      </c>
      <c r="AB4552">
        <v>25</v>
      </c>
      <c r="AC4552">
        <v>13.475300000000001</v>
      </c>
      <c r="AD4552">
        <v>-1.1097335410419999</v>
      </c>
      <c r="AE4552">
        <v>-3.8182100000000001</v>
      </c>
      <c r="AF4552">
        <v>-3.0107621698560401</v>
      </c>
      <c r="AG4552">
        <v>-1.1097335410419999</v>
      </c>
      <c r="AH4552">
        <v>13.5888827131966</v>
      </c>
      <c r="AI4552">
        <v>94.558622645800796</v>
      </c>
      <c r="AJ4552">
        <v>102.492683076961</v>
      </c>
      <c r="AK4552">
        <v>13.9625904032369</v>
      </c>
    </row>
    <row r="4553" spans="1:37" x14ac:dyDescent="0.2">
      <c r="A4553" t="str">
        <f>"20200111153525160"</f>
        <v>20200111153525160</v>
      </c>
      <c r="B4553" t="str">
        <f>"1578728125150240"</f>
        <v>1578728125150240</v>
      </c>
      <c r="C4553" t="s">
        <v>37</v>
      </c>
      <c r="D4553">
        <v>4.940893</v>
      </c>
      <c r="E4553">
        <v>0.52645469999999905</v>
      </c>
      <c r="F4553" t="s">
        <v>39</v>
      </c>
      <c r="G4553">
        <v>-394.9221</v>
      </c>
      <c r="H4553" s="1">
        <v>-2.5222880000000001E-6</v>
      </c>
      <c r="I4553">
        <v>20.147870000000001</v>
      </c>
      <c r="J4553">
        <v>-408.11169999999998</v>
      </c>
      <c r="K4553">
        <v>1.1096219999999899</v>
      </c>
      <c r="L4553">
        <v>23.801570000000002</v>
      </c>
      <c r="M4553">
        <v>0.88342749999999903</v>
      </c>
      <c r="N4553">
        <v>0</v>
      </c>
      <c r="O4553">
        <v>-0.468364</v>
      </c>
      <c r="P4553">
        <v>0.980012199999999</v>
      </c>
      <c r="Q4553">
        <v>4.8418849999999999E-2</v>
      </c>
      <c r="R4553">
        <v>-0.19295699999999999</v>
      </c>
      <c r="S4553">
        <v>2.9111630000000002</v>
      </c>
      <c r="T4553">
        <v>-0.241041799999999</v>
      </c>
      <c r="U4553">
        <v>-0.8166504</v>
      </c>
      <c r="V4553">
        <v>-0.28924</v>
      </c>
      <c r="W4553">
        <v>5.8401540000000002E-2</v>
      </c>
      <c r="X4553">
        <v>0.95547340000000003</v>
      </c>
      <c r="Y4553">
        <v>-0.21036949999999999</v>
      </c>
      <c r="Z4553">
        <v>4.4753500000000002E-2</v>
      </c>
      <c r="AA4553">
        <v>0.9765971</v>
      </c>
      <c r="AB4553">
        <v>25</v>
      </c>
      <c r="AC4553">
        <v>13.189599999999899</v>
      </c>
      <c r="AD4553">
        <v>-1.1096245222879999</v>
      </c>
      <c r="AE4553">
        <v>-3.6537000000000002</v>
      </c>
      <c r="AF4553">
        <v>-2.9307718613499198</v>
      </c>
      <c r="AG4553">
        <v>-1.1096245222879999</v>
      </c>
      <c r="AH4553">
        <v>13.277318409469499</v>
      </c>
      <c r="AI4553">
        <v>94.665480115667293</v>
      </c>
      <c r="AJ4553">
        <v>102.447592852223</v>
      </c>
      <c r="AK4553">
        <v>13.6421359922184</v>
      </c>
    </row>
    <row r="4554" spans="1:37" x14ac:dyDescent="0.2">
      <c r="A4554" t="str">
        <f>"20200111153525173"</f>
        <v>20200111153525173</v>
      </c>
      <c r="B4554" t="str">
        <f>"1578728125170736"</f>
        <v>1578728125170736</v>
      </c>
      <c r="C4554" t="s">
        <v>37</v>
      </c>
      <c r="D4554">
        <v>4.9258579999999998</v>
      </c>
      <c r="E4554">
        <v>0.52696899999999902</v>
      </c>
      <c r="F4554" t="s">
        <v>39</v>
      </c>
      <c r="G4554">
        <v>-394.91359999999997</v>
      </c>
      <c r="H4554" s="1">
        <v>-2.52895199999999E-6</v>
      </c>
      <c r="I4554">
        <v>20.157869999999999</v>
      </c>
      <c r="J4554">
        <v>-407.97089999999997</v>
      </c>
      <c r="K4554">
        <v>1.109548</v>
      </c>
      <c r="L4554">
        <v>23.732389999999999</v>
      </c>
      <c r="M4554">
        <v>0.88543709999999898</v>
      </c>
      <c r="N4554">
        <v>0</v>
      </c>
      <c r="O4554">
        <v>-0.46455400000000002</v>
      </c>
      <c r="P4554">
        <v>0.98075759999999901</v>
      </c>
      <c r="Q4554">
        <v>4.812172E-2</v>
      </c>
      <c r="R4554">
        <v>-0.18920670000000001</v>
      </c>
      <c r="S4554">
        <v>2.914825</v>
      </c>
      <c r="T4554">
        <v>-0.24506220000000001</v>
      </c>
      <c r="U4554">
        <v>-0.80471800000000004</v>
      </c>
      <c r="V4554">
        <v>-0.28877179999999902</v>
      </c>
      <c r="W4554">
        <v>5.8145910000000002E-2</v>
      </c>
      <c r="X4554">
        <v>0.9556306</v>
      </c>
      <c r="Y4554">
        <v>-0.2101344</v>
      </c>
      <c r="Z4554">
        <v>4.5192860000000001E-2</v>
      </c>
      <c r="AA4554">
        <v>0.97662739999999904</v>
      </c>
      <c r="AB4554">
        <v>25</v>
      </c>
      <c r="AC4554">
        <v>13.0572999999999</v>
      </c>
      <c r="AD4554">
        <v>-1.109550528952</v>
      </c>
      <c r="AE4554">
        <v>-3.5745199999999899</v>
      </c>
      <c r="AF4554">
        <v>-2.8817272308464599</v>
      </c>
      <c r="AG4554">
        <v>-1.109550528952</v>
      </c>
      <c r="AH4554">
        <v>13.1350031995607</v>
      </c>
      <c r="AI4554">
        <v>94.716812604421705</v>
      </c>
      <c r="AJ4554">
        <v>102.374239149022</v>
      </c>
      <c r="AK4554">
        <v>13.4931005799916</v>
      </c>
    </row>
    <row r="4555" spans="1:37" x14ac:dyDescent="0.2">
      <c r="A4555" t="str">
        <f>"20200111153525193"</f>
        <v>20200111153525193</v>
      </c>
      <c r="B4555" t="str">
        <f>"1578728125180495"</f>
        <v>1578728125180495</v>
      </c>
      <c r="C4555" t="s">
        <v>37</v>
      </c>
      <c r="D4555">
        <v>4.9409369999999999</v>
      </c>
      <c r="E4555">
        <v>0.5271631</v>
      </c>
      <c r="F4555" t="s">
        <v>39</v>
      </c>
      <c r="G4555">
        <v>-394.86500000000001</v>
      </c>
      <c r="H4555" s="1">
        <v>-2.5493700000000001E-6</v>
      </c>
      <c r="I4555">
        <v>20.14837</v>
      </c>
      <c r="J4555">
        <v>-407.78800000000001</v>
      </c>
      <c r="K4555">
        <v>1.1094709999999901</v>
      </c>
      <c r="L4555">
        <v>23.643519999999999</v>
      </c>
      <c r="M4555">
        <v>0.88798920000000003</v>
      </c>
      <c r="N4555">
        <v>0</v>
      </c>
      <c r="O4555">
        <v>-0.45965779999999901</v>
      </c>
      <c r="P4555">
        <v>0.98163109999999998</v>
      </c>
      <c r="Q4555">
        <v>4.8470590000000001E-2</v>
      </c>
      <c r="R4555">
        <v>-0.18453069999999999</v>
      </c>
      <c r="S4555">
        <v>2.917084</v>
      </c>
      <c r="T4555">
        <v>-0.24696279999999901</v>
      </c>
      <c r="U4555">
        <v>-0.79772949999999998</v>
      </c>
      <c r="V4555">
        <v>-0.28803220000000002</v>
      </c>
      <c r="W4555">
        <v>5.8547200000000001E-2</v>
      </c>
      <c r="X4555">
        <v>0.95582929999999999</v>
      </c>
      <c r="Y4555">
        <v>-0.20709810000000001</v>
      </c>
      <c r="Z4555">
        <v>4.5046719999999998E-2</v>
      </c>
      <c r="AA4555">
        <v>0.97728250000000005</v>
      </c>
      <c r="AB4555">
        <v>25</v>
      </c>
      <c r="AC4555">
        <v>12.923</v>
      </c>
      <c r="AD4555">
        <v>-1.1094735493700001</v>
      </c>
      <c r="AE4555">
        <v>-3.4951500000000002</v>
      </c>
      <c r="AF4555">
        <v>-2.8174208336851101</v>
      </c>
      <c r="AG4555">
        <v>-1.1094735493700001</v>
      </c>
      <c r="AH4555">
        <v>12.9940529504773</v>
      </c>
      <c r="AI4555">
        <v>94.769952348517506</v>
      </c>
      <c r="AJ4555">
        <v>102.233725551139</v>
      </c>
      <c r="AK4555">
        <v>13.342196363067099</v>
      </c>
    </row>
    <row r="4556" spans="1:37" x14ac:dyDescent="0.2">
      <c r="A4556" t="str">
        <f>"20200111153525207"</f>
        <v>20200111153525207</v>
      </c>
      <c r="B4556" t="str">
        <f>"1578728125200992"</f>
        <v>1578728125200992</v>
      </c>
      <c r="C4556" t="s">
        <v>37</v>
      </c>
      <c r="D4556">
        <v>4.9312040000000001</v>
      </c>
      <c r="E4556">
        <v>0.52758430000000001</v>
      </c>
      <c r="F4556" t="s">
        <v>39</v>
      </c>
      <c r="G4556">
        <v>-394.56819999999999</v>
      </c>
      <c r="H4556" s="1">
        <v>-2.673249E-6</v>
      </c>
      <c r="I4556">
        <v>20.08662</v>
      </c>
      <c r="J4556">
        <v>-407.64260000000002</v>
      </c>
      <c r="K4556">
        <v>1.109413</v>
      </c>
      <c r="L4556">
        <v>23.573640000000001</v>
      </c>
      <c r="M4556">
        <v>0.88996960000000003</v>
      </c>
      <c r="N4556">
        <v>0</v>
      </c>
      <c r="O4556">
        <v>-0.45581149999999998</v>
      </c>
      <c r="P4556">
        <v>0.98237819999999998</v>
      </c>
      <c r="Q4556">
        <v>4.838684E-2</v>
      </c>
      <c r="R4556">
        <v>-0.18053139999999901</v>
      </c>
      <c r="S4556">
        <v>2.9205320000000001</v>
      </c>
      <c r="T4556">
        <v>-0.2451065</v>
      </c>
      <c r="U4556">
        <v>-0.78579709999999903</v>
      </c>
      <c r="V4556">
        <v>-0.28778100000000001</v>
      </c>
      <c r="W4556">
        <v>5.8495789999999999E-2</v>
      </c>
      <c r="X4556">
        <v>0.95590810000000004</v>
      </c>
      <c r="Y4556">
        <v>-0.20692269999999999</v>
      </c>
      <c r="Z4556">
        <v>4.4405689999999998E-2</v>
      </c>
      <c r="AA4556">
        <v>0.97734900000000002</v>
      </c>
      <c r="AB4556">
        <v>25</v>
      </c>
      <c r="AC4556">
        <v>13.074400000000001</v>
      </c>
      <c r="AD4556">
        <v>-1.1094156732489999</v>
      </c>
      <c r="AE4556">
        <v>-3.4870199999999998</v>
      </c>
      <c r="AF4556">
        <v>-2.8373188209242799</v>
      </c>
      <c r="AG4556">
        <v>-1.1094156732489999</v>
      </c>
      <c r="AH4556">
        <v>13.138183262868299</v>
      </c>
      <c r="AI4556">
        <v>94.718455818016295</v>
      </c>
      <c r="AJ4556">
        <v>102.186430028342</v>
      </c>
      <c r="AK4556">
        <v>13.486772804356599</v>
      </c>
    </row>
    <row r="4557" spans="1:37" x14ac:dyDescent="0.2">
      <c r="A4557" t="str">
        <f>"20200111153525222"</f>
        <v>20200111153525222</v>
      </c>
      <c r="B4557" t="str">
        <f>"1578728125210752"</f>
        <v>1578728125210752</v>
      </c>
      <c r="C4557" t="s">
        <v>37</v>
      </c>
      <c r="D4557">
        <v>4.9394330000000002</v>
      </c>
      <c r="E4557">
        <v>0.52792030000000001</v>
      </c>
      <c r="F4557" t="s">
        <v>39</v>
      </c>
      <c r="G4557">
        <v>-394.49970000000002</v>
      </c>
      <c r="H4557" s="1">
        <v>-2.7033719999999999E-6</v>
      </c>
      <c r="I4557">
        <v>20.07808</v>
      </c>
      <c r="J4557">
        <v>-407.49790000000002</v>
      </c>
      <c r="K4557">
        <v>1.109361</v>
      </c>
      <c r="L4557">
        <v>23.504760000000001</v>
      </c>
      <c r="M4557">
        <v>0.89190170000000002</v>
      </c>
      <c r="N4557">
        <v>0</v>
      </c>
      <c r="O4557">
        <v>-0.45201959999999902</v>
      </c>
      <c r="P4557">
        <v>0.98302909999999899</v>
      </c>
      <c r="Q4557">
        <v>4.8534800000000003E-2</v>
      </c>
      <c r="R4557">
        <v>-0.17691299999999999</v>
      </c>
      <c r="S4557">
        <v>2.9230649999999998</v>
      </c>
      <c r="T4557">
        <v>-0.24674119999999999</v>
      </c>
      <c r="U4557">
        <v>-0.77743530000000005</v>
      </c>
      <c r="V4557">
        <v>-0.28722219999999998</v>
      </c>
      <c r="W4557">
        <v>5.8679059999999998E-2</v>
      </c>
      <c r="X4557">
        <v>0.9560649</v>
      </c>
      <c r="Y4557">
        <v>-0.20557020000000001</v>
      </c>
      <c r="Z4557">
        <v>4.4353660000000003E-2</v>
      </c>
      <c r="AA4557">
        <v>0.97763679999999997</v>
      </c>
      <c r="AB4557">
        <v>25</v>
      </c>
      <c r="AC4557">
        <v>12.998199999999899</v>
      </c>
      <c r="AD4557">
        <v>-1.1093637033720001</v>
      </c>
      <c r="AE4557">
        <v>-3.4266800000000002</v>
      </c>
      <c r="AF4557">
        <v>-2.80037388759964</v>
      </c>
      <c r="AG4557">
        <v>-1.1093637033720001</v>
      </c>
      <c r="AH4557">
        <v>13.0543781599387</v>
      </c>
      <c r="AI4557">
        <v>94.749791267502999</v>
      </c>
      <c r="AJ4557">
        <v>102.107375400579</v>
      </c>
      <c r="AK4557">
        <v>13.3973717899965</v>
      </c>
    </row>
    <row r="4558" spans="1:37" x14ac:dyDescent="0.2">
      <c r="A4558" t="str">
        <f>"20200111153525238"</f>
        <v>20200111153525238</v>
      </c>
      <c r="B4558" t="str">
        <f>"1578728125230271"</f>
        <v>1578728125230271</v>
      </c>
      <c r="C4558" t="s">
        <v>37</v>
      </c>
      <c r="D4558">
        <v>5.3550559999999896</v>
      </c>
      <c r="E4558">
        <v>0.52818140000000002</v>
      </c>
      <c r="F4558" t="s">
        <v>39</v>
      </c>
      <c r="G4558">
        <v>-394.33409999999998</v>
      </c>
      <c r="H4558" s="1">
        <v>-2.772211E-6</v>
      </c>
      <c r="I4558">
        <v>20.0427</v>
      </c>
      <c r="J4558">
        <v>-407.33640000000003</v>
      </c>
      <c r="K4558">
        <v>1.1093109999999999</v>
      </c>
      <c r="L4558">
        <v>23.42868</v>
      </c>
      <c r="M4558">
        <v>0.89401049999999904</v>
      </c>
      <c r="N4558">
        <v>0</v>
      </c>
      <c r="O4558">
        <v>-0.44783489999999998</v>
      </c>
      <c r="P4558">
        <v>0.98377320000000001</v>
      </c>
      <c r="Q4558">
        <v>4.904244E-2</v>
      </c>
      <c r="R4558">
        <v>-0.17258399999999999</v>
      </c>
      <c r="S4558">
        <v>2.9255070000000001</v>
      </c>
      <c r="T4558">
        <v>-0.24654499999999999</v>
      </c>
      <c r="U4558">
        <v>-0.76940920000000002</v>
      </c>
      <c r="V4558">
        <v>-0.28693550000000001</v>
      </c>
      <c r="W4558">
        <v>5.9216009999999999E-2</v>
      </c>
      <c r="X4558">
        <v>0.95611789999999997</v>
      </c>
      <c r="Y4558">
        <v>-0.20371610000000001</v>
      </c>
      <c r="Z4558">
        <v>4.392194E-2</v>
      </c>
      <c r="AA4558">
        <v>0.97804429999999998</v>
      </c>
      <c r="AB4558">
        <v>25</v>
      </c>
      <c r="AC4558">
        <v>13.0023</v>
      </c>
      <c r="AD4558">
        <v>-1.109313772211</v>
      </c>
      <c r="AE4558">
        <v>-3.38598</v>
      </c>
      <c r="AF4558">
        <v>-2.7771157842340899</v>
      </c>
      <c r="AG4558">
        <v>-1.109313772211</v>
      </c>
      <c r="AH4558">
        <v>13.052818783752899</v>
      </c>
      <c r="AI4558">
        <v>94.751840218955095</v>
      </c>
      <c r="AJ4558">
        <v>102.011143684546</v>
      </c>
      <c r="AK4558">
        <v>13.3910054635846</v>
      </c>
    </row>
    <row r="4559" spans="1:37" x14ac:dyDescent="0.2">
      <c r="A4559" t="str">
        <f>"20200111153525252"</f>
        <v>20200111153525252</v>
      </c>
      <c r="B4559" t="str">
        <f>"1578728125240032"</f>
        <v>1578728125240032</v>
      </c>
      <c r="C4559" t="s">
        <v>37</v>
      </c>
      <c r="D4559">
        <v>4.9365249999999996</v>
      </c>
      <c r="E4559">
        <v>0.52636590000000005</v>
      </c>
      <c r="F4559" t="s">
        <v>39</v>
      </c>
      <c r="G4559">
        <v>-394.13310000000001</v>
      </c>
      <c r="H4559" s="1">
        <v>-2.8586559999999999E-6</v>
      </c>
      <c r="I4559">
        <v>20.010390000000001</v>
      </c>
      <c r="J4559">
        <v>-407.1986</v>
      </c>
      <c r="K4559">
        <v>1.1092709999999999</v>
      </c>
      <c r="L4559">
        <v>23.364650000000001</v>
      </c>
      <c r="M4559">
        <v>0.89576849999999997</v>
      </c>
      <c r="N4559">
        <v>0</v>
      </c>
      <c r="O4559">
        <v>-0.444308599999999</v>
      </c>
      <c r="P4559">
        <v>0.98440319999999903</v>
      </c>
      <c r="Q4559">
        <v>4.9252789999999998E-2</v>
      </c>
      <c r="R4559">
        <v>-0.16889219999999999</v>
      </c>
      <c r="S4559">
        <v>2.928741</v>
      </c>
      <c r="T4559">
        <v>-0.2460658</v>
      </c>
      <c r="U4559">
        <v>-0.75823969999999996</v>
      </c>
      <c r="V4559">
        <v>-0.286746</v>
      </c>
      <c r="W4559">
        <v>5.944638E-2</v>
      </c>
      <c r="X4559">
        <v>0.95616049999999997</v>
      </c>
      <c r="Y4559">
        <v>-0.2036366</v>
      </c>
      <c r="Z4559">
        <v>4.3558039999999999E-2</v>
      </c>
      <c r="AA4559">
        <v>0.97807710000000003</v>
      </c>
      <c r="AB4559">
        <v>25</v>
      </c>
      <c r="AC4559">
        <v>13.065499999999901</v>
      </c>
      <c r="AD4559">
        <v>-1.10927385865599</v>
      </c>
      <c r="AE4559">
        <v>-3.35426</v>
      </c>
      <c r="AF4559">
        <v>-2.7819250796861699</v>
      </c>
      <c r="AG4559">
        <v>-1.10927385865599</v>
      </c>
      <c r="AH4559">
        <v>13.106601638096899</v>
      </c>
      <c r="AI4559">
        <v>94.732745113031598</v>
      </c>
      <c r="AJ4559">
        <v>101.98339801325901</v>
      </c>
      <c r="AK4559">
        <v>13.444426434112</v>
      </c>
    </row>
    <row r="4560" spans="1:37" x14ac:dyDescent="0.2">
      <c r="A4560" t="str">
        <f>"20200111153525272"</f>
        <v>20200111153525272</v>
      </c>
      <c r="B4560" t="str">
        <f>"1578728125260528"</f>
        <v>1578728125260528</v>
      </c>
      <c r="C4560" t="s">
        <v>37</v>
      </c>
      <c r="D4560">
        <v>5.0234639999999997</v>
      </c>
      <c r="E4560">
        <v>0.4967992</v>
      </c>
      <c r="F4560" t="s">
        <v>39</v>
      </c>
      <c r="G4560">
        <v>-393.72969999999998</v>
      </c>
      <c r="H4560" s="1">
        <v>-3.046785E-6</v>
      </c>
      <c r="I4560">
        <v>20.00074</v>
      </c>
      <c r="J4560">
        <v>-407.00749999999999</v>
      </c>
      <c r="K4560">
        <v>1.109216</v>
      </c>
      <c r="L4560">
        <v>23.276700000000002</v>
      </c>
      <c r="M4560">
        <v>0.89816119999999899</v>
      </c>
      <c r="N4560">
        <v>0</v>
      </c>
      <c r="O4560">
        <v>-0.43945240000000002</v>
      </c>
      <c r="P4560">
        <v>0.98526250000000004</v>
      </c>
      <c r="Q4560">
        <v>4.9121190000000002E-2</v>
      </c>
      <c r="R4560">
        <v>-0.16384470000000001</v>
      </c>
      <c r="S4560">
        <v>2.933929</v>
      </c>
      <c r="T4560">
        <v>-0.2416317</v>
      </c>
      <c r="U4560">
        <v>-0.73275760000000001</v>
      </c>
      <c r="V4560">
        <v>-0.28646329999999998</v>
      </c>
      <c r="W4560">
        <v>5.9340230000000001E-2</v>
      </c>
      <c r="X4560">
        <v>0.95625179999999999</v>
      </c>
      <c r="Y4560">
        <v>-0.20681099999999999</v>
      </c>
      <c r="Z4560">
        <v>4.2543699999999997E-2</v>
      </c>
      <c r="AA4560">
        <v>0.97745550000000003</v>
      </c>
      <c r="AB4560">
        <v>25</v>
      </c>
      <c r="AC4560">
        <v>13.277799999999999</v>
      </c>
      <c r="AD4560">
        <v>-1.1092190467850001</v>
      </c>
      <c r="AE4560">
        <v>-3.27596</v>
      </c>
      <c r="AF4560">
        <v>-2.8739867465826801</v>
      </c>
      <c r="AG4560">
        <v>-1.1092190467850001</v>
      </c>
      <c r="AH4560">
        <v>13.2791348882183</v>
      </c>
      <c r="AI4560">
        <v>94.667320326623596</v>
      </c>
      <c r="AJ4560">
        <v>102.212102397431</v>
      </c>
      <c r="AK4560">
        <v>13.631786019916101</v>
      </c>
    </row>
    <row r="4561" spans="1:37" x14ac:dyDescent="0.2">
      <c r="A4561" t="str">
        <f>"20200111153525285"</f>
        <v>20200111153525285</v>
      </c>
      <c r="B4561" t="str">
        <f>"1578728125280050"</f>
        <v>1578728125280050</v>
      </c>
      <c r="C4561" t="s">
        <v>37</v>
      </c>
      <c r="D4561">
        <v>4.9841850000000001</v>
      </c>
      <c r="E4561">
        <v>0.4955157</v>
      </c>
      <c r="F4561" t="s">
        <v>66</v>
      </c>
      <c r="G4561">
        <v>-389.82409999999999</v>
      </c>
      <c r="H4561" s="1">
        <v>-3.1641649999999998E-7</v>
      </c>
      <c r="I4561">
        <v>20.491350000000001</v>
      </c>
      <c r="J4561">
        <v>-406.86799999999999</v>
      </c>
      <c r="K4561">
        <v>1.109183</v>
      </c>
      <c r="L4561">
        <v>23.213229999999999</v>
      </c>
      <c r="M4561">
        <v>0.89987479999999997</v>
      </c>
      <c r="N4561">
        <v>0</v>
      </c>
      <c r="O4561">
        <v>-0.43593270000000001</v>
      </c>
      <c r="P4561">
        <v>0.985927</v>
      </c>
      <c r="Q4561">
        <v>4.8573079999999998E-2</v>
      </c>
      <c r="R4561">
        <v>-0.1599652</v>
      </c>
      <c r="S4561">
        <v>2.9742739999999999</v>
      </c>
      <c r="T4561">
        <v>-0.191994</v>
      </c>
      <c r="U4561">
        <v>-0.48211670000000001</v>
      </c>
      <c r="V4561">
        <v>-0.28648509999999999</v>
      </c>
      <c r="W4561">
        <v>5.8805690000000001E-2</v>
      </c>
      <c r="X4561">
        <v>0.95627830000000003</v>
      </c>
      <c r="Y4561">
        <v>-0.284966099999999</v>
      </c>
      <c r="Z4561">
        <v>3.6084529999999997E-2</v>
      </c>
      <c r="AA4561">
        <v>0.95785810000000005</v>
      </c>
      <c r="AB4561">
        <v>25</v>
      </c>
      <c r="AC4561">
        <v>17.043900000000001</v>
      </c>
      <c r="AD4561">
        <v>-1.1091833164164999</v>
      </c>
      <c r="AE4561">
        <v>-2.7218799999999899</v>
      </c>
      <c r="AF4561">
        <v>-4.9606239304868902</v>
      </c>
      <c r="AG4561">
        <v>-1.1091833164164999</v>
      </c>
      <c r="AH4561">
        <v>16.457519619278401</v>
      </c>
      <c r="AI4561">
        <v>93.692126371433005</v>
      </c>
      <c r="AJ4561">
        <v>106.773852027115</v>
      </c>
      <c r="AK4561">
        <v>17.224634377195599</v>
      </c>
    </row>
    <row r="4562" spans="1:37" x14ac:dyDescent="0.2">
      <c r="A4562" t="str">
        <f>"20200111153525299"</f>
        <v>20200111153525299</v>
      </c>
      <c r="B4562" t="str">
        <f>"1578728125290784"</f>
        <v>1578728125290784</v>
      </c>
      <c r="C4562" t="s">
        <v>37</v>
      </c>
      <c r="D4562">
        <v>4.9524369999999998</v>
      </c>
      <c r="E4562">
        <v>0.49594519999999997</v>
      </c>
      <c r="F4562" t="s">
        <v>66</v>
      </c>
      <c r="G4562">
        <v>-388.8682</v>
      </c>
      <c r="H4562" s="1">
        <v>-7.5334100000000002E-7</v>
      </c>
      <c r="I4562">
        <v>20.435269999999999</v>
      </c>
      <c r="J4562">
        <v>-406.72590000000002</v>
      </c>
      <c r="K4562">
        <v>1.1091519999999999</v>
      </c>
      <c r="L4562">
        <v>23.14911</v>
      </c>
      <c r="M4562">
        <v>0.9015957</v>
      </c>
      <c r="N4562">
        <v>0</v>
      </c>
      <c r="O4562">
        <v>-0.43236229999999998</v>
      </c>
      <c r="P4562">
        <v>0.98656529999999998</v>
      </c>
      <c r="Q4562">
        <v>4.8520140000000003E-2</v>
      </c>
      <c r="R4562">
        <v>-0.15599489999999999</v>
      </c>
      <c r="S4562">
        <v>2.9773559999999999</v>
      </c>
      <c r="T4562">
        <v>-0.1834703</v>
      </c>
      <c r="U4562">
        <v>-0.4595032</v>
      </c>
      <c r="V4562">
        <v>-0.28654009999999902</v>
      </c>
      <c r="W4562">
        <v>5.8763309999999999E-2</v>
      </c>
      <c r="X4562">
        <v>0.95626440000000001</v>
      </c>
      <c r="Y4562">
        <v>-0.28854029999999897</v>
      </c>
      <c r="Z4562">
        <v>3.4394069999999999E-2</v>
      </c>
      <c r="AA4562">
        <v>0.95684979999999997</v>
      </c>
      <c r="AB4562">
        <v>25</v>
      </c>
      <c r="AC4562">
        <v>17.857700000000001</v>
      </c>
      <c r="AD4562">
        <v>-1.1091527533409999</v>
      </c>
      <c r="AE4562">
        <v>-2.71383999999999</v>
      </c>
      <c r="AF4562">
        <v>-5.2548913753197901</v>
      </c>
      <c r="AG4562">
        <v>-1.1091527533409999</v>
      </c>
      <c r="AH4562">
        <v>17.210517143375199</v>
      </c>
      <c r="AI4562">
        <v>93.527084865705305</v>
      </c>
      <c r="AJ4562">
        <v>106.979015431452</v>
      </c>
      <c r="AK4562">
        <v>18.0290322407795</v>
      </c>
    </row>
    <row r="4563" spans="1:37" x14ac:dyDescent="0.2">
      <c r="A4563" t="str">
        <f>"20200111153525316"</f>
        <v>20200111153525316</v>
      </c>
      <c r="B4563" t="str">
        <f>"1578728125310304"</f>
        <v>1578728125310304</v>
      </c>
      <c r="C4563" t="s">
        <v>37</v>
      </c>
      <c r="D4563">
        <v>4.933764</v>
      </c>
      <c r="E4563">
        <v>0.49716899999999897</v>
      </c>
      <c r="F4563" t="s">
        <v>66</v>
      </c>
      <c r="G4563">
        <v>-388.5736</v>
      </c>
      <c r="H4563" s="1">
        <v>-8.8407689999999999E-7</v>
      </c>
      <c r="I4563">
        <v>20.403289999999998</v>
      </c>
      <c r="J4563">
        <v>-406.56199999999899</v>
      </c>
      <c r="K4563">
        <v>1.1091200000000001</v>
      </c>
      <c r="L4563">
        <v>23.076139999999999</v>
      </c>
      <c r="M4563">
        <v>0.90354820000000002</v>
      </c>
      <c r="N4563">
        <v>0</v>
      </c>
      <c r="O4563">
        <v>-0.42826750000000002</v>
      </c>
      <c r="P4563">
        <v>0.98722369999999904</v>
      </c>
      <c r="Q4563">
        <v>4.7947360000000001E-2</v>
      </c>
      <c r="R4563">
        <v>-0.15195429999999999</v>
      </c>
      <c r="S4563">
        <v>2.9786069999999998</v>
      </c>
      <c r="T4563">
        <v>-0.1820012</v>
      </c>
      <c r="U4563">
        <v>-0.4505615</v>
      </c>
      <c r="V4563">
        <v>-0.2861185</v>
      </c>
      <c r="W4563">
        <v>5.820637E-2</v>
      </c>
      <c r="X4563">
        <v>0.95642469999999902</v>
      </c>
      <c r="Y4563">
        <v>-0.28709429999999903</v>
      </c>
      <c r="Z4563">
        <v>3.3848699999999898E-2</v>
      </c>
      <c r="AA4563">
        <v>0.95730409999999899</v>
      </c>
      <c r="AB4563">
        <v>25</v>
      </c>
      <c r="AC4563">
        <v>17.988399999999899</v>
      </c>
      <c r="AD4563">
        <v>-1.10912088407689</v>
      </c>
      <c r="AE4563">
        <v>-2.6728499999999999</v>
      </c>
      <c r="AF4563">
        <v>-5.2696936405126502</v>
      </c>
      <c r="AG4563">
        <v>-1.10912088407689</v>
      </c>
      <c r="AH4563">
        <v>17.335234389273101</v>
      </c>
      <c r="AI4563">
        <v>93.502980309638801</v>
      </c>
      <c r="AJ4563">
        <v>106.90861340592799</v>
      </c>
      <c r="AK4563">
        <v>18.152415033030501</v>
      </c>
    </row>
    <row r="4564" spans="1:37" x14ac:dyDescent="0.2">
      <c r="A4564" t="str">
        <f>"20200111153525331"</f>
        <v>20200111153525331</v>
      </c>
      <c r="B4564" t="str">
        <f>"1578728125320064"</f>
        <v>1578728125320064</v>
      </c>
      <c r="C4564" t="s">
        <v>37</v>
      </c>
      <c r="D4564">
        <v>4.9617769999999997</v>
      </c>
      <c r="E4564">
        <v>0.49797950000000002</v>
      </c>
      <c r="F4564" t="s">
        <v>66</v>
      </c>
      <c r="G4564">
        <v>-388.33629999999999</v>
      </c>
      <c r="H4564" s="1">
        <v>-9.786025E-7</v>
      </c>
      <c r="I4564">
        <v>20.336860000000001</v>
      </c>
      <c r="J4564">
        <v>-406.41399999999999</v>
      </c>
      <c r="K4564">
        <v>1.1091059999999999</v>
      </c>
      <c r="L4564">
        <v>23.01108</v>
      </c>
      <c r="M4564">
        <v>0.90528589999999998</v>
      </c>
      <c r="N4564">
        <v>0</v>
      </c>
      <c r="O4564">
        <v>-0.42458249999999997</v>
      </c>
      <c r="P4564">
        <v>0.98783929999999998</v>
      </c>
      <c r="Q4564">
        <v>4.7578389999999998E-2</v>
      </c>
      <c r="R4564">
        <v>-0.14802009999999999</v>
      </c>
      <c r="S4564">
        <v>2.9786990000000002</v>
      </c>
      <c r="T4564">
        <v>-0.1812685</v>
      </c>
      <c r="U4564">
        <v>-0.4476929</v>
      </c>
      <c r="V4564">
        <v>-0.28603339999999999</v>
      </c>
      <c r="W4564">
        <v>5.7844109999999997E-2</v>
      </c>
      <c r="X4564">
        <v>0.95647219999999999</v>
      </c>
      <c r="Y4564">
        <v>-0.28411759999999903</v>
      </c>
      <c r="Z4564">
        <v>3.3423889999999998E-2</v>
      </c>
      <c r="AA4564">
        <v>0.95820669999999897</v>
      </c>
      <c r="AB4564">
        <v>25</v>
      </c>
      <c r="AC4564">
        <v>18.0777</v>
      </c>
      <c r="AD4564">
        <v>-1.1091069786024901</v>
      </c>
      <c r="AE4564">
        <v>-2.6742199999999898</v>
      </c>
      <c r="AF4564">
        <v>-5.2357473215694501</v>
      </c>
      <c r="AG4564">
        <v>-1.1091069786024901</v>
      </c>
      <c r="AH4564">
        <v>17.438317872656</v>
      </c>
      <c r="AI4564">
        <v>93.485882653546994</v>
      </c>
      <c r="AJ4564">
        <v>106.71206020571201</v>
      </c>
      <c r="AK4564">
        <v>18.241110123375101</v>
      </c>
    </row>
    <row r="4565" spans="1:37" x14ac:dyDescent="0.2">
      <c r="A4565" t="str">
        <f>"20200111153525345"</f>
        <v>20200111153525345</v>
      </c>
      <c r="B4565" t="str">
        <f>"1578728125340560"</f>
        <v>1578728125340560</v>
      </c>
      <c r="C4565" t="s">
        <v>37</v>
      </c>
      <c r="D4565">
        <v>4.9493269999999896</v>
      </c>
      <c r="E4565">
        <v>0.49902989999999903</v>
      </c>
      <c r="F4565" t="s">
        <v>66</v>
      </c>
      <c r="G4565">
        <v>-388.26679999999999</v>
      </c>
      <c r="H4565" s="1">
        <v>-1.006605E-6</v>
      </c>
      <c r="I4565">
        <v>20.318670000000001</v>
      </c>
      <c r="J4565">
        <v>-406.27089999999998</v>
      </c>
      <c r="K4565">
        <v>1.1090899999999999</v>
      </c>
      <c r="L4565">
        <v>22.948699999999999</v>
      </c>
      <c r="M4565">
        <v>0.90694759999999996</v>
      </c>
      <c r="N4565">
        <v>0</v>
      </c>
      <c r="O4565">
        <v>-0.42102109999999898</v>
      </c>
      <c r="P4565">
        <v>0.98830469999999904</v>
      </c>
      <c r="Q4565">
        <v>4.8046499999999999E-2</v>
      </c>
      <c r="R4565">
        <v>-0.1447254</v>
      </c>
      <c r="S4565">
        <v>2.9794619999999998</v>
      </c>
      <c r="T4565">
        <v>-0.18209620000000001</v>
      </c>
      <c r="U4565">
        <v>-0.44204709999999903</v>
      </c>
      <c r="V4565">
        <v>-0.28545619999999999</v>
      </c>
      <c r="W4565">
        <v>5.8322529999999997E-2</v>
      </c>
      <c r="X4565">
        <v>0.95661549999999995</v>
      </c>
      <c r="Y4565">
        <v>-0.28215990000000002</v>
      </c>
      <c r="Z4565">
        <v>3.3319519999999998E-2</v>
      </c>
      <c r="AA4565">
        <v>0.95878859999999999</v>
      </c>
      <c r="AB4565">
        <v>25</v>
      </c>
      <c r="AC4565">
        <v>18.004099999999902</v>
      </c>
      <c r="AD4565">
        <v>-1.1090910066049999</v>
      </c>
      <c r="AE4565">
        <v>-2.6300299999999899</v>
      </c>
      <c r="AF4565">
        <v>-5.1760612668151698</v>
      </c>
      <c r="AG4565">
        <v>-1.1090910066049999</v>
      </c>
      <c r="AH4565">
        <v>17.373155795425799</v>
      </c>
      <c r="AI4565">
        <v>93.501088063228707</v>
      </c>
      <c r="AJ4565">
        <v>106.59060604197001</v>
      </c>
      <c r="AK4565">
        <v>18.161724460824001</v>
      </c>
    </row>
    <row r="4566" spans="1:37" x14ac:dyDescent="0.2">
      <c r="A4566" t="str">
        <f>"20200111153525362"</f>
        <v>20200111153525362</v>
      </c>
      <c r="B4566" t="str">
        <f>"1578728125350320"</f>
        <v>1578728125350320</v>
      </c>
      <c r="C4566" t="s">
        <v>37</v>
      </c>
      <c r="D4566">
        <v>4.9201269999999999</v>
      </c>
      <c r="E4566">
        <v>0.4994459</v>
      </c>
      <c r="F4566" t="s">
        <v>66</v>
      </c>
      <c r="G4566">
        <v>-387.9205</v>
      </c>
      <c r="H4566" s="1">
        <v>-1.1486610000000001E-6</v>
      </c>
      <c r="I4566">
        <v>20.237359999999999</v>
      </c>
      <c r="J4566">
        <v>-406.10649999999998</v>
      </c>
      <c r="K4566">
        <v>1.1090789999999999</v>
      </c>
      <c r="L4566">
        <v>22.877839999999999</v>
      </c>
      <c r="M4566">
        <v>0.90883449999999999</v>
      </c>
      <c r="N4566">
        <v>0</v>
      </c>
      <c r="O4566">
        <v>-0.4169331</v>
      </c>
      <c r="P4566">
        <v>0.98885100000000004</v>
      </c>
      <c r="Q4566">
        <v>4.7812380000000002E-2</v>
      </c>
      <c r="R4566">
        <v>-0.14102379999999901</v>
      </c>
      <c r="S4566">
        <v>2.979797</v>
      </c>
      <c r="T4566">
        <v>-0.18009800000000001</v>
      </c>
      <c r="U4566">
        <v>-0.44027709999999998</v>
      </c>
      <c r="V4566">
        <v>-0.28473039999999999</v>
      </c>
      <c r="W4566">
        <v>5.8098789999999997E-2</v>
      </c>
      <c r="X4566">
        <v>0.95684539999999996</v>
      </c>
      <c r="Y4566">
        <v>-0.27845170000000002</v>
      </c>
      <c r="Z4566">
        <v>3.261882E-2</v>
      </c>
      <c r="AA4566">
        <v>0.95989609999999903</v>
      </c>
      <c r="AB4566">
        <v>25</v>
      </c>
      <c r="AC4566">
        <v>18.1859999999999</v>
      </c>
      <c r="AD4566">
        <v>-1.109080148661</v>
      </c>
      <c r="AE4566">
        <v>-2.6404800000000002</v>
      </c>
      <c r="AF4566">
        <v>-5.1642592908559299</v>
      </c>
      <c r="AG4566">
        <v>-1.109080148661</v>
      </c>
      <c r="AH4566">
        <v>17.566627885964198</v>
      </c>
      <c r="AI4566">
        <v>93.466306728888597</v>
      </c>
      <c r="AJ4566">
        <v>106.382347504237</v>
      </c>
      <c r="AK4566">
        <v>18.343556037019699</v>
      </c>
    </row>
    <row r="4567" spans="1:37" x14ac:dyDescent="0.2">
      <c r="A4567" t="str">
        <f>"20200111153525383"</f>
        <v>20200111153525383</v>
      </c>
      <c r="B4567" t="str">
        <f>"1578728125370816"</f>
        <v>1578728125370816</v>
      </c>
      <c r="C4567" t="s">
        <v>37</v>
      </c>
      <c r="D4567">
        <v>4.9395069999999999</v>
      </c>
      <c r="E4567">
        <v>0.50013909999999995</v>
      </c>
      <c r="F4567" t="s">
        <v>66</v>
      </c>
      <c r="G4567">
        <v>-387.81400000000002</v>
      </c>
      <c r="H4567" s="1">
        <v>-1.1960779999999899E-6</v>
      </c>
      <c r="I4567">
        <v>20.226289999999999</v>
      </c>
      <c r="J4567">
        <v>-405.89519999999999</v>
      </c>
      <c r="K4567">
        <v>1.109073</v>
      </c>
      <c r="L4567">
        <v>22.788119999999999</v>
      </c>
      <c r="M4567">
        <v>0.91122510000000001</v>
      </c>
      <c r="N4567">
        <v>0</v>
      </c>
      <c r="O4567">
        <v>-0.4116824</v>
      </c>
      <c r="P4567">
        <v>0.98957229999999996</v>
      </c>
      <c r="Q4567">
        <v>4.776511E-2</v>
      </c>
      <c r="R4567">
        <v>-0.1358869</v>
      </c>
      <c r="S4567">
        <v>2.9809570000000001</v>
      </c>
      <c r="T4567">
        <v>-0.18073639999999999</v>
      </c>
      <c r="U4567">
        <v>-0.43209839999999999</v>
      </c>
      <c r="V4567">
        <v>-0.28417720000000002</v>
      </c>
      <c r="W4567">
        <v>5.8056410000000003E-2</v>
      </c>
      <c r="X4567">
        <v>0.95701239999999999</v>
      </c>
      <c r="Y4567">
        <v>-0.27554770000000001</v>
      </c>
      <c r="Z4567">
        <v>3.2356049999999997E-2</v>
      </c>
      <c r="AA4567">
        <v>0.96074269999999995</v>
      </c>
      <c r="AB4567">
        <v>25</v>
      </c>
      <c r="AC4567">
        <v>18.0811999999999</v>
      </c>
      <c r="AD4567">
        <v>-1.109074196078</v>
      </c>
      <c r="AE4567">
        <v>-2.5618300000000001</v>
      </c>
      <c r="AF4567">
        <v>-5.0910067849310803</v>
      </c>
      <c r="AG4567">
        <v>-1.109074196078</v>
      </c>
      <c r="AH4567">
        <v>17.4679096955403</v>
      </c>
      <c r="AI4567">
        <v>93.488204104071997</v>
      </c>
      <c r="AJ4567">
        <v>106.248716372994</v>
      </c>
      <c r="AK4567">
        <v>18.228446581872301</v>
      </c>
    </row>
    <row r="4568" spans="1:37" x14ac:dyDescent="0.2">
      <c r="A4568" t="str">
        <f>"20200111153525404"</f>
        <v>20200111153525404</v>
      </c>
      <c r="B4568" t="str">
        <f>"1578728125390336"</f>
        <v>1578728125390336</v>
      </c>
      <c r="C4568" t="s">
        <v>37</v>
      </c>
      <c r="D4568">
        <v>4.9545089999999998</v>
      </c>
      <c r="E4568">
        <v>0.50076179999999904</v>
      </c>
      <c r="F4568" t="s">
        <v>66</v>
      </c>
      <c r="G4568">
        <v>-387.40320000000003</v>
      </c>
      <c r="H4568" s="1">
        <v>-1.375907E-6</v>
      </c>
      <c r="I4568">
        <v>20.172270000000001</v>
      </c>
      <c r="J4568">
        <v>-405.67689999999999</v>
      </c>
      <c r="K4568">
        <v>1.1090709999999999</v>
      </c>
      <c r="L4568">
        <v>22.696960000000001</v>
      </c>
      <c r="M4568">
        <v>0.91365830000000003</v>
      </c>
      <c r="N4568">
        <v>0</v>
      </c>
      <c r="O4568">
        <v>-0.4062537</v>
      </c>
      <c r="P4568">
        <v>0.99043369999999997</v>
      </c>
      <c r="Q4568">
        <v>4.7537639999999999E-2</v>
      </c>
      <c r="R4568">
        <v>-0.12954260000000001</v>
      </c>
      <c r="S4568">
        <v>2.9823300000000001</v>
      </c>
      <c r="T4568">
        <v>-0.17886779999999999</v>
      </c>
      <c r="U4568">
        <v>-0.421875</v>
      </c>
      <c r="V4568">
        <v>-0.28461829999999999</v>
      </c>
      <c r="W4568">
        <v>5.7816970000000002E-2</v>
      </c>
      <c r="X4568">
        <v>0.95689579999999996</v>
      </c>
      <c r="Y4568">
        <v>-0.27315620000000002</v>
      </c>
      <c r="Z4568">
        <v>3.1652609999999998E-2</v>
      </c>
      <c r="AA4568">
        <v>0.96144879999999999</v>
      </c>
      <c r="AB4568">
        <v>25</v>
      </c>
      <c r="AC4568">
        <v>18.273699999999899</v>
      </c>
      <c r="AD4568">
        <v>-1.10907237590699</v>
      </c>
      <c r="AE4568">
        <v>-2.5246900000000001</v>
      </c>
      <c r="AF4568">
        <v>-5.0991003600928604</v>
      </c>
      <c r="AG4568">
        <v>-1.10907237590699</v>
      </c>
      <c r="AH4568">
        <v>17.659403667903799</v>
      </c>
      <c r="AI4568">
        <v>93.452954788485997</v>
      </c>
      <c r="AJ4568">
        <v>106.105916111181</v>
      </c>
      <c r="AK4568">
        <v>18.414271745667101</v>
      </c>
    </row>
    <row r="4569" spans="1:37" x14ac:dyDescent="0.2">
      <c r="A4569" t="str">
        <f>"20200111153525417"</f>
        <v>20200111153525417</v>
      </c>
      <c r="B4569" t="str">
        <f>"1578728125410832"</f>
        <v>1578728125410832</v>
      </c>
      <c r="C4569" t="s">
        <v>37</v>
      </c>
      <c r="D4569">
        <v>4.9253429999999998</v>
      </c>
      <c r="E4569">
        <v>0.50134780000000001</v>
      </c>
      <c r="F4569" t="s">
        <v>66</v>
      </c>
      <c r="G4569">
        <v>-387.0917</v>
      </c>
      <c r="H4569" s="1">
        <v>-1.519022E-6</v>
      </c>
      <c r="I4569">
        <v>20.156770000000002</v>
      </c>
      <c r="J4569">
        <v>-405.54079999999999</v>
      </c>
      <c r="K4569">
        <v>1.10907</v>
      </c>
      <c r="L4569">
        <v>22.640779999999999</v>
      </c>
      <c r="M4569">
        <v>0.91515820000000003</v>
      </c>
      <c r="N4569">
        <v>0</v>
      </c>
      <c r="O4569">
        <v>-0.40286379999999999</v>
      </c>
      <c r="P4569">
        <v>0.99091390000000001</v>
      </c>
      <c r="Q4569">
        <v>4.772883E-2</v>
      </c>
      <c r="R4569">
        <v>-0.1257451</v>
      </c>
      <c r="S4569">
        <v>2.9841609999999998</v>
      </c>
      <c r="T4569">
        <v>-0.1780794</v>
      </c>
      <c r="U4569">
        <v>-0.40786739999999999</v>
      </c>
      <c r="V4569">
        <v>-0.28473709999999902</v>
      </c>
      <c r="W4569">
        <v>5.8002159999999997E-2</v>
      </c>
      <c r="X4569">
        <v>0.95684930000000001</v>
      </c>
      <c r="Y4569">
        <v>-0.27411380000000002</v>
      </c>
      <c r="Z4569">
        <v>3.1354170000000001E-2</v>
      </c>
      <c r="AA4569">
        <v>0.96118599999999998</v>
      </c>
      <c r="AB4569">
        <v>25</v>
      </c>
      <c r="AC4569">
        <v>18.449099999999898</v>
      </c>
      <c r="AD4569">
        <v>-1.109071519022</v>
      </c>
      <c r="AE4569">
        <v>-2.4840099999999898</v>
      </c>
      <c r="AF4569">
        <v>-5.1414433595470701</v>
      </c>
      <c r="AG4569">
        <v>-1.109071519022</v>
      </c>
      <c r="AH4569">
        <v>17.822965907391598</v>
      </c>
      <c r="AI4569">
        <v>93.421589086642399</v>
      </c>
      <c r="AJ4569">
        <v>106.091419379567</v>
      </c>
      <c r="AK4569">
        <v>18.582857508730498</v>
      </c>
    </row>
    <row r="4570" spans="1:37" x14ac:dyDescent="0.2">
      <c r="A4570" t="str">
        <f>"20200111153525432"</f>
        <v>20200111153525432</v>
      </c>
      <c r="B4570" t="str">
        <f>"1578728125420593"</f>
        <v>1578728125420593</v>
      </c>
      <c r="C4570" t="s">
        <v>37</v>
      </c>
      <c r="D4570">
        <v>4.9327839999999998</v>
      </c>
      <c r="E4570">
        <v>0.50162739999999995</v>
      </c>
      <c r="F4570" t="s">
        <v>66</v>
      </c>
      <c r="G4570">
        <v>-386.7004</v>
      </c>
      <c r="H4570" s="1">
        <v>-1.6915330000000001E-6</v>
      </c>
      <c r="I4570">
        <v>20.110039999999898</v>
      </c>
      <c r="J4570">
        <v>-405.4015</v>
      </c>
      <c r="K4570">
        <v>1.1090739999999999</v>
      </c>
      <c r="L4570">
        <v>22.584109999999999</v>
      </c>
      <c r="M4570">
        <v>0.91667999999999905</v>
      </c>
      <c r="N4570">
        <v>0</v>
      </c>
      <c r="O4570">
        <v>-0.3993892</v>
      </c>
      <c r="P4570">
        <v>0.991420999999999</v>
      </c>
      <c r="Q4570">
        <v>4.7384900000000001E-2</v>
      </c>
      <c r="R4570">
        <v>-0.12181589999999901</v>
      </c>
      <c r="S4570">
        <v>2.985077</v>
      </c>
      <c r="T4570">
        <v>-0.1757215</v>
      </c>
      <c r="U4570">
        <v>-0.40097050000000001</v>
      </c>
      <c r="V4570">
        <v>-0.28490339999999997</v>
      </c>
      <c r="W4570">
        <v>5.7652259999999997E-2</v>
      </c>
      <c r="X4570">
        <v>0.95682089999999997</v>
      </c>
      <c r="Y4570">
        <v>-0.27272399999999902</v>
      </c>
      <c r="Z4570">
        <v>3.071049E-2</v>
      </c>
      <c r="AA4570">
        <v>0.96160199999999996</v>
      </c>
      <c r="AB4570">
        <v>25</v>
      </c>
      <c r="AC4570">
        <v>18.7011</v>
      </c>
      <c r="AD4570">
        <v>-1.10907569153299</v>
      </c>
      <c r="AE4570">
        <v>-2.4740700000000002</v>
      </c>
      <c r="AF4570">
        <v>-5.1836528005809797</v>
      </c>
      <c r="AG4570">
        <v>-1.10907569153299</v>
      </c>
      <c r="AH4570">
        <v>18.0702658079977</v>
      </c>
      <c r="AI4570">
        <v>93.376327100469595</v>
      </c>
      <c r="AJ4570">
        <v>106.006115702904</v>
      </c>
      <c r="AK4570">
        <v>18.831750094407301</v>
      </c>
    </row>
    <row r="4571" spans="1:37" x14ac:dyDescent="0.2">
      <c r="A4571" t="str">
        <f>"20200111153525450"</f>
        <v>20200111153525450</v>
      </c>
      <c r="B4571" t="str">
        <f>"1578728125440112"</f>
        <v>1578728125440112</v>
      </c>
      <c r="C4571" t="s">
        <v>37</v>
      </c>
      <c r="D4571">
        <v>4.9384569999999997</v>
      </c>
      <c r="E4571">
        <v>0.50212199999999996</v>
      </c>
      <c r="F4571" t="s">
        <v>66</v>
      </c>
      <c r="G4571">
        <v>-386.5127</v>
      </c>
      <c r="H4571" s="1">
        <v>-1.779811E-6</v>
      </c>
      <c r="I4571">
        <v>20.10829</v>
      </c>
      <c r="J4571">
        <v>-405.21710000000002</v>
      </c>
      <c r="K4571">
        <v>1.109078</v>
      </c>
      <c r="L4571">
        <v>22.50986</v>
      </c>
      <c r="M4571">
        <v>0.91867319999999997</v>
      </c>
      <c r="N4571">
        <v>0</v>
      </c>
      <c r="O4571">
        <v>-0.39478269999999999</v>
      </c>
      <c r="P4571">
        <v>0.99199519999999997</v>
      </c>
      <c r="Q4571">
        <v>4.8025169999999999E-2</v>
      </c>
      <c r="R4571">
        <v>-0.11678669999999999</v>
      </c>
      <c r="S4571">
        <v>2.9862669999999998</v>
      </c>
      <c r="T4571">
        <v>-0.17534159999999999</v>
      </c>
      <c r="U4571">
        <v>-0.3914185</v>
      </c>
      <c r="V4571">
        <v>-0.28494720000000001</v>
      </c>
      <c r="W4571">
        <v>5.8285869999999997E-2</v>
      </c>
      <c r="X4571">
        <v>0.95676949999999905</v>
      </c>
      <c r="Y4571">
        <v>-0.27098309999999998</v>
      </c>
      <c r="Z4571">
        <v>3.0343930000000002E-2</v>
      </c>
      <c r="AA4571">
        <v>0.96210569999999895</v>
      </c>
      <c r="AB4571">
        <v>25</v>
      </c>
      <c r="AC4571">
        <v>18.7044</v>
      </c>
      <c r="AD4571">
        <v>-1.1090797798109999</v>
      </c>
      <c r="AE4571">
        <v>-2.4015699999999902</v>
      </c>
      <c r="AF4571">
        <v>-5.16054782436923</v>
      </c>
      <c r="AG4571">
        <v>-1.1090797798109999</v>
      </c>
      <c r="AH4571">
        <v>18.070513367273001</v>
      </c>
      <c r="AI4571">
        <v>93.377436455608205</v>
      </c>
      <c r="AJ4571">
        <v>105.938196184452</v>
      </c>
      <c r="AK4571">
        <v>18.8256411620529</v>
      </c>
    </row>
    <row r="4572" spans="1:37" x14ac:dyDescent="0.2">
      <c r="A4572" t="str">
        <f>"20200111153525464"</f>
        <v>20200111153525464</v>
      </c>
      <c r="B4572" t="str">
        <f>"1578728125460608"</f>
        <v>1578728125460608</v>
      </c>
      <c r="C4572" t="s">
        <v>37</v>
      </c>
      <c r="D4572">
        <v>4.9239129999999998</v>
      </c>
      <c r="E4572">
        <v>0.50263849999999999</v>
      </c>
      <c r="F4572" t="s">
        <v>66</v>
      </c>
      <c r="G4572">
        <v>-386.04270000000002</v>
      </c>
      <c r="H4572" s="1">
        <v>-1.9920339999999998E-6</v>
      </c>
      <c r="I4572">
        <v>20.070979999999999</v>
      </c>
      <c r="J4572">
        <v>-405.08089999999999</v>
      </c>
      <c r="K4572">
        <v>1.109083</v>
      </c>
      <c r="L4572">
        <v>22.455690000000001</v>
      </c>
      <c r="M4572">
        <v>0.92012969999999905</v>
      </c>
      <c r="N4572">
        <v>0</v>
      </c>
      <c r="O4572">
        <v>-0.39137649999999902</v>
      </c>
      <c r="P4572">
        <v>0.99241119999999905</v>
      </c>
      <c r="Q4572">
        <v>4.8281009999999999E-2</v>
      </c>
      <c r="R4572">
        <v>-0.1130887</v>
      </c>
      <c r="S4572">
        <v>2.9878230000000001</v>
      </c>
      <c r="T4572">
        <v>-0.17282110000000001</v>
      </c>
      <c r="U4572">
        <v>-0.38003540000000002</v>
      </c>
      <c r="V4572">
        <v>-0.28496579999999999</v>
      </c>
      <c r="W4572">
        <v>5.8538159999999999E-2</v>
      </c>
      <c r="X4572">
        <v>0.9567485</v>
      </c>
      <c r="Y4572">
        <v>-0.27112370000000002</v>
      </c>
      <c r="Z4572">
        <v>2.9727880000000002E-2</v>
      </c>
      <c r="AA4572">
        <v>0.96208530000000003</v>
      </c>
      <c r="AB4572">
        <v>25</v>
      </c>
      <c r="AC4572">
        <v>19.0381999999999</v>
      </c>
      <c r="AD4572">
        <v>-1.109084992034</v>
      </c>
      <c r="AE4572">
        <v>-2.3847100000000001</v>
      </c>
      <c r="AF4572">
        <v>-5.2398420018700298</v>
      </c>
      <c r="AG4572">
        <v>-1.109084992034</v>
      </c>
      <c r="AH4572">
        <v>18.3911960787723</v>
      </c>
      <c r="AI4572">
        <v>93.319276836387601</v>
      </c>
      <c r="AJ4572">
        <v>105.90280081003399</v>
      </c>
      <c r="AK4572">
        <v>19.155210960257399</v>
      </c>
    </row>
    <row r="4573" spans="1:37" x14ac:dyDescent="0.2">
      <c r="A4573" t="str">
        <f>"20200111153525477"</f>
        <v>20200111153525477</v>
      </c>
      <c r="B4573" t="str">
        <f>"1578728125470368"</f>
        <v>1578728125470368</v>
      </c>
      <c r="C4573" t="s">
        <v>37</v>
      </c>
      <c r="D4573">
        <v>4.940366</v>
      </c>
      <c r="E4573">
        <v>0.50289539999999999</v>
      </c>
      <c r="F4573" t="s">
        <v>66</v>
      </c>
      <c r="G4573">
        <v>-385.78269999999998</v>
      </c>
      <c r="H4573" s="1">
        <v>-2.1085650000000001E-6</v>
      </c>
      <c r="I4573">
        <v>20.046990000000001</v>
      </c>
      <c r="J4573">
        <v>-404.93950000000001</v>
      </c>
      <c r="K4573">
        <v>1.109086</v>
      </c>
      <c r="L4573">
        <v>22.40005</v>
      </c>
      <c r="M4573">
        <v>0.9216278</v>
      </c>
      <c r="N4573">
        <v>0</v>
      </c>
      <c r="O4573">
        <v>-0.3878355</v>
      </c>
      <c r="P4573">
        <v>0.99282380000000003</v>
      </c>
      <c r="Q4573">
        <v>4.8447740000000003E-2</v>
      </c>
      <c r="R4573">
        <v>-0.10933279999999999</v>
      </c>
      <c r="S4573">
        <v>2.9887999999999999</v>
      </c>
      <c r="T4573">
        <v>-0.17176949999999999</v>
      </c>
      <c r="U4573">
        <v>-0.37304690000000001</v>
      </c>
      <c r="V4573">
        <v>-0.28490559999999998</v>
      </c>
      <c r="W4573">
        <v>5.8702860000000003E-2</v>
      </c>
      <c r="X4573">
        <v>0.95675639999999995</v>
      </c>
      <c r="Y4573">
        <v>-0.26969709999999902</v>
      </c>
      <c r="Z4573">
        <v>2.9316749999999999E-2</v>
      </c>
      <c r="AA4573">
        <v>0.96249879999999999</v>
      </c>
      <c r="AB4573">
        <v>24</v>
      </c>
      <c r="AC4573">
        <v>19.1568</v>
      </c>
      <c r="AD4573">
        <v>-1.109088108565</v>
      </c>
      <c r="AE4573">
        <v>-2.3530600000000002</v>
      </c>
      <c r="AF4573">
        <v>-5.2442138587349199</v>
      </c>
      <c r="AG4573">
        <v>-1.109088108565</v>
      </c>
      <c r="AH4573">
        <v>18.508648724530001</v>
      </c>
      <c r="AI4573">
        <v>93.299629379163306</v>
      </c>
      <c r="AJ4573">
        <v>105.819471106317</v>
      </c>
      <c r="AK4573">
        <v>19.269196481346899</v>
      </c>
    </row>
    <row r="4574" spans="1:37" x14ac:dyDescent="0.2">
      <c r="A4574" t="str">
        <f>"20200111153525494"</f>
        <v>20200111153525494</v>
      </c>
      <c r="B4574" t="str">
        <f>"1578728125490865"</f>
        <v>1578728125490865</v>
      </c>
      <c r="C4574" t="s">
        <v>37</v>
      </c>
      <c r="D4574">
        <v>4.8973589999999998</v>
      </c>
      <c r="E4574">
        <v>0.50338700000000003</v>
      </c>
      <c r="F4574" t="s">
        <v>66</v>
      </c>
      <c r="G4574">
        <v>-385.5899</v>
      </c>
      <c r="H4574" s="1">
        <v>-2.1994929999999999E-6</v>
      </c>
      <c r="I4574">
        <v>20.046129999999899</v>
      </c>
      <c r="J4574">
        <v>-404.77370000000002</v>
      </c>
      <c r="K4574">
        <v>1.109092</v>
      </c>
      <c r="L4574">
        <v>22.335750000000001</v>
      </c>
      <c r="M4574">
        <v>0.92336530000000006</v>
      </c>
      <c r="N4574">
        <v>0</v>
      </c>
      <c r="O4574">
        <v>-0.38368029999999997</v>
      </c>
      <c r="P4574">
        <v>0.99326650000000005</v>
      </c>
      <c r="Q4574">
        <v>4.892059E-2</v>
      </c>
      <c r="R4574">
        <v>-0.105015899999999</v>
      </c>
      <c r="S4574">
        <v>2.9899900000000001</v>
      </c>
      <c r="T4574">
        <v>-0.17138149999999999</v>
      </c>
      <c r="U4574">
        <v>-0.36373899999999998</v>
      </c>
      <c r="V4574">
        <v>-0.28475029999999901</v>
      </c>
      <c r="W4574">
        <v>5.9174589999999999E-2</v>
      </c>
      <c r="X4574">
        <v>0.956773599999999</v>
      </c>
      <c r="Y4574">
        <v>-0.268372</v>
      </c>
      <c r="Z4574">
        <v>2.899082E-2</v>
      </c>
      <c r="AA4574">
        <v>0.96287900000000004</v>
      </c>
      <c r="AB4574">
        <v>24</v>
      </c>
      <c r="AC4574">
        <v>19.183800000000002</v>
      </c>
      <c r="AD4574">
        <v>-1.1090941994929999</v>
      </c>
      <c r="AE4574">
        <v>-2.2896200000000002</v>
      </c>
      <c r="AF4574">
        <v>-5.2295442225758197</v>
      </c>
      <c r="AG4574">
        <v>-1.1090941994929999</v>
      </c>
      <c r="AH4574">
        <v>18.532790876846601</v>
      </c>
      <c r="AI4574">
        <v>93.296357937899103</v>
      </c>
      <c r="AJ4574">
        <v>105.75789412028401</v>
      </c>
      <c r="AK4574">
        <v>19.288404817510301</v>
      </c>
    </row>
    <row r="4575" spans="1:37" x14ac:dyDescent="0.2">
      <c r="A4575" t="str">
        <f>"20200111153525509"</f>
        <v>20200111153525509</v>
      </c>
      <c r="B4575" t="str">
        <f>"1578728125500625"</f>
        <v>1578728125500625</v>
      </c>
      <c r="C4575" t="s">
        <v>37</v>
      </c>
      <c r="D4575">
        <v>4.9240399999999998</v>
      </c>
      <c r="E4575">
        <v>0.50338700000000003</v>
      </c>
      <c r="F4575" t="s">
        <v>66</v>
      </c>
      <c r="G4575">
        <v>-385.04109999999997</v>
      </c>
      <c r="H4575" s="1">
        <v>-2.445234E-6</v>
      </c>
      <c r="I4575">
        <v>19.994710000000001</v>
      </c>
      <c r="J4575">
        <v>-404.6232</v>
      </c>
      <c r="K4575">
        <v>1.1090949999999999</v>
      </c>
      <c r="L4575">
        <v>22.278110000000002</v>
      </c>
      <c r="M4575">
        <v>0.92492459999999899</v>
      </c>
      <c r="N4575">
        <v>0</v>
      </c>
      <c r="O4575">
        <v>-0.37990679999999999</v>
      </c>
      <c r="P4575">
        <v>0.99368769999999995</v>
      </c>
      <c r="Q4575">
        <v>4.9137119999999999E-2</v>
      </c>
      <c r="R4575">
        <v>-0.10084849999999999</v>
      </c>
      <c r="S4575">
        <v>2.9910890000000001</v>
      </c>
      <c r="T4575">
        <v>-0.16811760000000001</v>
      </c>
      <c r="U4575">
        <v>-0.35485840000000002</v>
      </c>
      <c r="V4575">
        <v>-0.28485519999999998</v>
      </c>
      <c r="W4575">
        <v>5.9387839999999997E-2</v>
      </c>
      <c r="X4575">
        <v>0.956729099999999</v>
      </c>
      <c r="Y4575">
        <v>-0.26734520000000001</v>
      </c>
      <c r="Z4575">
        <v>2.8212770000000002E-2</v>
      </c>
      <c r="AA4575">
        <v>0.96318780000000004</v>
      </c>
      <c r="AB4575">
        <v>24</v>
      </c>
      <c r="AC4575">
        <v>19.582100000000001</v>
      </c>
      <c r="AD4575">
        <v>-1.1090974452339999</v>
      </c>
      <c r="AE4575">
        <v>-2.2833999999999999</v>
      </c>
      <c r="AF4575">
        <v>-5.3110849091403898</v>
      </c>
      <c r="AG4575">
        <v>-1.1090974452339999</v>
      </c>
      <c r="AH4575">
        <v>18.921320486821401</v>
      </c>
      <c r="AI4575">
        <v>93.230072588092895</v>
      </c>
      <c r="AJ4575">
        <v>105.67906673973999</v>
      </c>
      <c r="AK4575">
        <v>19.6838535104316</v>
      </c>
    </row>
    <row r="4576" spans="1:37" x14ac:dyDescent="0.2">
      <c r="A4576" t="str">
        <f>"20200111153525525"</f>
        <v>20200111153525525</v>
      </c>
      <c r="B4576" t="str">
        <f>"1578728125520144"</f>
        <v>1578728125520144</v>
      </c>
      <c r="C4576" t="s">
        <v>37</v>
      </c>
      <c r="D4576">
        <v>4.9295439999999999</v>
      </c>
      <c r="E4576">
        <v>0.5095615</v>
      </c>
      <c r="F4576" t="s">
        <v>66</v>
      </c>
      <c r="G4576">
        <v>-384.80149999999998</v>
      </c>
      <c r="H4576" s="1">
        <v>-2.5625419999999999E-6</v>
      </c>
      <c r="I4576">
        <v>20.009910000000001</v>
      </c>
      <c r="J4576">
        <v>-404.46839999999997</v>
      </c>
      <c r="K4576">
        <v>1.109097</v>
      </c>
      <c r="L4576">
        <v>22.21951</v>
      </c>
      <c r="M4576">
        <v>0.9265099</v>
      </c>
      <c r="N4576">
        <v>0</v>
      </c>
      <c r="O4576">
        <v>-0.37602379999999902</v>
      </c>
      <c r="P4576">
        <v>0.99406399999999995</v>
      </c>
      <c r="Q4576">
        <v>4.9499750000000002E-2</v>
      </c>
      <c r="R4576">
        <v>-9.6883280000000002E-2</v>
      </c>
      <c r="S4576">
        <v>2.9925540000000002</v>
      </c>
      <c r="T4576">
        <v>-0.1674445</v>
      </c>
      <c r="U4576">
        <v>-0.34243770000000001</v>
      </c>
      <c r="V4576">
        <v>-0.28465469999999998</v>
      </c>
      <c r="W4576">
        <v>5.9751489999999997E-2</v>
      </c>
      <c r="X4576">
        <v>0.95676609999999995</v>
      </c>
      <c r="Y4576">
        <v>-0.26731679999999902</v>
      </c>
      <c r="Z4576">
        <v>2.7895389999999999E-2</v>
      </c>
      <c r="AA4576">
        <v>0.96320490000000003</v>
      </c>
      <c r="AB4576">
        <v>24</v>
      </c>
      <c r="AC4576">
        <v>19.666899999999998</v>
      </c>
      <c r="AD4576">
        <v>-1.1090995625419999</v>
      </c>
      <c r="AE4576">
        <v>-2.2095999999999898</v>
      </c>
      <c r="AF4576">
        <v>-5.3317570523361999</v>
      </c>
      <c r="AG4576">
        <v>-1.1090995625419999</v>
      </c>
      <c r="AH4576">
        <v>18.994551652863102</v>
      </c>
      <c r="AI4576">
        <v>93.217646654665998</v>
      </c>
      <c r="AJ4576">
        <v>105.67939292743399</v>
      </c>
      <c r="AK4576">
        <v>19.759826102424402</v>
      </c>
    </row>
    <row r="4577" spans="1:37" x14ac:dyDescent="0.2">
      <c r="A4577" t="str">
        <f>"20200111153525540"</f>
        <v>20200111153525540</v>
      </c>
      <c r="B4577" t="str">
        <f>"1578728125530880"</f>
        <v>1578728125530880</v>
      </c>
      <c r="C4577" t="s">
        <v>37</v>
      </c>
      <c r="D4577">
        <v>4.9167959999999997</v>
      </c>
      <c r="E4577">
        <v>0.50967169999999995</v>
      </c>
      <c r="F4577" t="s">
        <v>66</v>
      </c>
      <c r="G4577">
        <v>-383.73340000000002</v>
      </c>
      <c r="H4577" s="1">
        <v>-2.96762299999999E-6</v>
      </c>
      <c r="I4577">
        <v>19.5886</v>
      </c>
      <c r="J4577">
        <v>-404.30790000000002</v>
      </c>
      <c r="K4577">
        <v>1.1091</v>
      </c>
      <c r="L4577">
        <v>22.159479999999999</v>
      </c>
      <c r="M4577">
        <v>0.92813489999999998</v>
      </c>
      <c r="N4577">
        <v>0</v>
      </c>
      <c r="O4577">
        <v>-0.37199490000000002</v>
      </c>
      <c r="P4577">
        <v>0.99439390000000005</v>
      </c>
      <c r="Q4577">
        <v>4.988741E-2</v>
      </c>
      <c r="R4577">
        <v>-9.323099E-2</v>
      </c>
      <c r="S4577">
        <v>2.9889220000000001</v>
      </c>
      <c r="T4577">
        <v>-0.15987509999999999</v>
      </c>
      <c r="U4577">
        <v>-0.37924190000000002</v>
      </c>
      <c r="V4577">
        <v>-0.28400829999999999</v>
      </c>
      <c r="W4577">
        <v>6.0147020000000002E-2</v>
      </c>
      <c r="X4577">
        <v>0.95693340000000005</v>
      </c>
      <c r="Y4577">
        <v>-0.25138470000000002</v>
      </c>
      <c r="Z4577">
        <v>2.6014079999999998E-2</v>
      </c>
      <c r="AA4577">
        <v>0.9675376</v>
      </c>
      <c r="AB4577">
        <v>24</v>
      </c>
      <c r="AC4577">
        <v>20.5745</v>
      </c>
      <c r="AD4577">
        <v>-1.109102967623</v>
      </c>
      <c r="AE4577">
        <v>-2.5708799999999901</v>
      </c>
      <c r="AF4577">
        <v>-5.2529439728315896</v>
      </c>
      <c r="AG4577">
        <v>-1.109102967623</v>
      </c>
      <c r="AH4577">
        <v>19.996908608316399</v>
      </c>
      <c r="AI4577">
        <v>93.070617562334704</v>
      </c>
      <c r="AJ4577">
        <v>104.718370054955</v>
      </c>
      <c r="AK4577">
        <v>20.7050690330618</v>
      </c>
    </row>
    <row r="4578" spans="1:37" x14ac:dyDescent="0.2">
      <c r="A4578" t="str">
        <f>"20200111153525563"</f>
        <v>20200111153525563</v>
      </c>
      <c r="B4578" t="str">
        <f>"1578728125550400"</f>
        <v>1578728125550400</v>
      </c>
      <c r="C4578" t="s">
        <v>37</v>
      </c>
      <c r="D4578">
        <v>4.8881550000000002</v>
      </c>
      <c r="E4578">
        <v>0.51007150000000001</v>
      </c>
      <c r="F4578" t="s">
        <v>66</v>
      </c>
      <c r="G4578">
        <v>-384.03100000000001</v>
      </c>
      <c r="H4578" s="1">
        <v>-2.83233099999999E-6</v>
      </c>
      <c r="I4578">
        <v>19.655079999999899</v>
      </c>
      <c r="J4578">
        <v>-404.07859999999999</v>
      </c>
      <c r="K4578">
        <v>1.1090949999999999</v>
      </c>
      <c r="L4578">
        <v>22.075229999999902</v>
      </c>
      <c r="M4578">
        <v>0.93042209999999903</v>
      </c>
      <c r="N4578">
        <v>0</v>
      </c>
      <c r="O4578">
        <v>-0.36623629999999902</v>
      </c>
      <c r="P4578">
        <v>0.99486219999999903</v>
      </c>
      <c r="Q4578">
        <v>5.0225239999999997E-2</v>
      </c>
      <c r="R4578">
        <v>-8.7898899999999905E-2</v>
      </c>
      <c r="S4578">
        <v>2.9904790000000001</v>
      </c>
      <c r="T4578">
        <v>-0.16357279999999999</v>
      </c>
      <c r="U4578">
        <v>-0.36935419999999902</v>
      </c>
      <c r="V4578">
        <v>-0.28320409999999901</v>
      </c>
      <c r="W4578">
        <v>6.0495920000000002E-2</v>
      </c>
      <c r="X4578">
        <v>0.95714969999999999</v>
      </c>
      <c r="Y4578">
        <v>-0.24857190000000001</v>
      </c>
      <c r="Z4578">
        <v>2.6241069999999998E-2</v>
      </c>
      <c r="AA4578">
        <v>0.9682579</v>
      </c>
      <c r="AB4578">
        <v>24</v>
      </c>
      <c r="AC4578">
        <v>20.0475999999999</v>
      </c>
      <c r="AD4578">
        <v>-1.1090978323309999</v>
      </c>
      <c r="AE4578">
        <v>-2.42015</v>
      </c>
      <c r="AF4578">
        <v>-5.0755590659391299</v>
      </c>
      <c r="AG4578">
        <v>-1.1090978323309999</v>
      </c>
      <c r="AH4578">
        <v>19.482119592877499</v>
      </c>
      <c r="AI4578">
        <v>93.153245327879205</v>
      </c>
      <c r="AJ4578">
        <v>104.60233273793099</v>
      </c>
      <c r="AK4578">
        <v>20.162945758611301</v>
      </c>
    </row>
    <row r="4579" spans="1:37" x14ac:dyDescent="0.2">
      <c r="A4579" t="str">
        <f>"20200111153525577"</f>
        <v>20200111153525577</v>
      </c>
      <c r="B4579" t="str">
        <f>"1578728125570897"</f>
        <v>1578728125570897</v>
      </c>
      <c r="C4579" t="s">
        <v>37</v>
      </c>
      <c r="D4579">
        <v>4.9064050000000003</v>
      </c>
      <c r="E4579">
        <v>0.51046320000000001</v>
      </c>
      <c r="F4579" t="s">
        <v>66</v>
      </c>
      <c r="G4579">
        <v>-384.4366</v>
      </c>
      <c r="H4579" s="1">
        <v>-2.6615170000000001E-6</v>
      </c>
      <c r="I4579">
        <v>19.733629999999899</v>
      </c>
      <c r="J4579">
        <v>-403.92329999999998</v>
      </c>
      <c r="K4579">
        <v>1.109092</v>
      </c>
      <c r="L4579">
        <v>22.018979999999999</v>
      </c>
      <c r="M4579">
        <v>0.93194789999999905</v>
      </c>
      <c r="N4579">
        <v>0</v>
      </c>
      <c r="O4579">
        <v>-0.36233699999999902</v>
      </c>
      <c r="P4579">
        <v>0.99519449999999998</v>
      </c>
      <c r="Q4579">
        <v>5.0145080000000002E-2</v>
      </c>
      <c r="R4579">
        <v>-8.4102899999999994E-2</v>
      </c>
      <c r="S4579">
        <v>2.9925229999999998</v>
      </c>
      <c r="T4579">
        <v>-0.16897479999999901</v>
      </c>
      <c r="U4579">
        <v>-0.35675050000000003</v>
      </c>
      <c r="V4579">
        <v>-0.28284709999999902</v>
      </c>
      <c r="W4579">
        <v>6.042024E-2</v>
      </c>
      <c r="X4579">
        <v>0.95726009999999995</v>
      </c>
      <c r="Y4579">
        <v>-0.24856300000000001</v>
      </c>
      <c r="Z4579">
        <v>2.6893810000000001E-2</v>
      </c>
      <c r="AA4579">
        <v>0.9682423</v>
      </c>
      <c r="AB4579">
        <v>24</v>
      </c>
      <c r="AC4579">
        <v>19.4866999999999</v>
      </c>
      <c r="AD4579">
        <v>-1.1090946615170001</v>
      </c>
      <c r="AE4579">
        <v>-2.2853500000000002</v>
      </c>
      <c r="AF4579">
        <v>-4.9156738372199102</v>
      </c>
      <c r="AG4579">
        <v>-1.1090946615170001</v>
      </c>
      <c r="AH4579">
        <v>18.929923725052401</v>
      </c>
      <c r="AI4579">
        <v>93.245691976197904</v>
      </c>
      <c r="AJ4579">
        <v>104.55690290531101</v>
      </c>
      <c r="AK4579">
        <v>19.5891794743536</v>
      </c>
    </row>
    <row r="4580" spans="1:37" x14ac:dyDescent="0.2">
      <c r="A4580" t="str">
        <f>"20200111153525596"</f>
        <v>20200111153525596</v>
      </c>
      <c r="B4580" t="str">
        <f>"1578728125590416"</f>
        <v>1578728125590416</v>
      </c>
      <c r="C4580" t="s">
        <v>37</v>
      </c>
      <c r="D4580">
        <v>4.9142929999999998</v>
      </c>
      <c r="E4580">
        <v>0.51093029999999995</v>
      </c>
      <c r="F4580" t="s">
        <v>66</v>
      </c>
      <c r="G4580">
        <v>-384.63310000000001</v>
      </c>
      <c r="H4580" s="1">
        <v>-2.5792129999999999E-6</v>
      </c>
      <c r="I4580">
        <v>19.77337</v>
      </c>
      <c r="J4580">
        <v>-403.74759999999998</v>
      </c>
      <c r="K4580">
        <v>1.109075</v>
      </c>
      <c r="L4580">
        <v>21.956389999999999</v>
      </c>
      <c r="M4580">
        <v>0.93365109999999996</v>
      </c>
      <c r="N4580">
        <v>0</v>
      </c>
      <c r="O4580">
        <v>-0.35792560000000001</v>
      </c>
      <c r="P4580">
        <v>0.99552059999999998</v>
      </c>
      <c r="Q4580">
        <v>4.9378690000000003E-2</v>
      </c>
      <c r="R4580">
        <v>-8.0627190000000001E-2</v>
      </c>
      <c r="S4580">
        <v>2.9937740000000002</v>
      </c>
      <c r="T4580">
        <v>-0.17212720000000001</v>
      </c>
      <c r="U4580">
        <v>-0.34851070000000001</v>
      </c>
      <c r="V4580">
        <v>-0.28166740000000001</v>
      </c>
      <c r="W4580">
        <v>5.9671519999999999E-2</v>
      </c>
      <c r="X4580">
        <v>0.95765480000000003</v>
      </c>
      <c r="Y4580">
        <v>-0.24663360000000001</v>
      </c>
      <c r="Z4580">
        <v>2.7098850000000001E-2</v>
      </c>
      <c r="AA4580">
        <v>0.96872990000000003</v>
      </c>
      <c r="AB4580">
        <v>24</v>
      </c>
      <c r="AC4580">
        <v>19.1144999999999</v>
      </c>
      <c r="AD4580">
        <v>-1.1090775792130001</v>
      </c>
      <c r="AE4580">
        <v>-2.1830199999999902</v>
      </c>
      <c r="AF4580">
        <v>-4.7879222477370096</v>
      </c>
      <c r="AG4580">
        <v>-1.1090775792130001</v>
      </c>
      <c r="AH4580">
        <v>18.567649026410301</v>
      </c>
      <c r="AI4580">
        <v>93.310281279336493</v>
      </c>
      <c r="AJ4580">
        <v>104.45950483193801</v>
      </c>
      <c r="AK4580">
        <v>19.207077937443898</v>
      </c>
    </row>
    <row r="4581" spans="1:37" x14ac:dyDescent="0.2">
      <c r="A4581" t="str">
        <f>"20200111153525609"</f>
        <v>20200111153525609</v>
      </c>
      <c r="B4581" t="str">
        <f>"1578728125600179"</f>
        <v>1578728125600179</v>
      </c>
      <c r="C4581" t="s">
        <v>37</v>
      </c>
      <c r="D4581">
        <v>4.9002059999999998</v>
      </c>
      <c r="E4581">
        <v>0.51101739999999996</v>
      </c>
      <c r="F4581" t="s">
        <v>66</v>
      </c>
      <c r="G4581">
        <v>-385.00970000000001</v>
      </c>
      <c r="H4581" s="1">
        <v>-2.4127690000000002E-6</v>
      </c>
      <c r="I4581">
        <v>19.816939999999999</v>
      </c>
      <c r="J4581">
        <v>-403.5994</v>
      </c>
      <c r="K4581">
        <v>1.1090659999999899</v>
      </c>
      <c r="L4581">
        <v>21.904329999999899</v>
      </c>
      <c r="M4581">
        <v>0.93506939999999905</v>
      </c>
      <c r="N4581">
        <v>0</v>
      </c>
      <c r="O4581">
        <v>-0.3542033</v>
      </c>
      <c r="P4581">
        <v>0.99578940000000005</v>
      </c>
      <c r="Q4581">
        <v>4.9431240000000001E-2</v>
      </c>
      <c r="R4581">
        <v>-7.720349E-2</v>
      </c>
      <c r="S4581">
        <v>2.9946290000000002</v>
      </c>
      <c r="T4581">
        <v>-0.17724879999999901</v>
      </c>
      <c r="U4581">
        <v>-0.34191890000000003</v>
      </c>
      <c r="V4581">
        <v>-0.2811438</v>
      </c>
      <c r="W4581">
        <v>5.9731979999999997E-2</v>
      </c>
      <c r="X4581">
        <v>0.95780489999999996</v>
      </c>
      <c r="Y4581">
        <v>-0.24486069999999999</v>
      </c>
      <c r="Z4581">
        <v>2.7643589999999999E-2</v>
      </c>
      <c r="AA4581">
        <v>0.96916409999999997</v>
      </c>
      <c r="AB4581">
        <v>24</v>
      </c>
      <c r="AC4581">
        <v>18.589700000000001</v>
      </c>
      <c r="AD4581">
        <v>-1.10906841276899</v>
      </c>
      <c r="AE4581">
        <v>-2.0873899999999899</v>
      </c>
      <c r="AF4581">
        <v>-4.6168791900730302</v>
      </c>
      <c r="AG4581">
        <v>-1.10906841276899</v>
      </c>
      <c r="AH4581">
        <v>18.060216346394402</v>
      </c>
      <c r="AI4581">
        <v>93.404866135522695</v>
      </c>
      <c r="AJ4581">
        <v>104.33987423907899</v>
      </c>
      <c r="AK4581">
        <v>18.673966388491301</v>
      </c>
    </row>
    <row r="4582" spans="1:37" x14ac:dyDescent="0.2">
      <c r="A4582" t="str">
        <f>"20200111153525629"</f>
        <v>20200111153525629</v>
      </c>
      <c r="B4582" t="str">
        <f>"1578728125620671"</f>
        <v>1578728125620671</v>
      </c>
      <c r="C4582" t="s">
        <v>37</v>
      </c>
      <c r="D4582">
        <v>4.8964530000000002</v>
      </c>
      <c r="E4582">
        <v>0.51123540000000001</v>
      </c>
      <c r="F4582" t="s">
        <v>66</v>
      </c>
      <c r="G4582">
        <v>-384.83819999999997</v>
      </c>
      <c r="H4582" s="1">
        <v>-2.4955359999999998E-6</v>
      </c>
      <c r="I4582">
        <v>19.823250000000002</v>
      </c>
      <c r="J4582">
        <v>-403.40339999999998</v>
      </c>
      <c r="K4582">
        <v>1.1090549999999999</v>
      </c>
      <c r="L4582">
        <v>21.836400000000001</v>
      </c>
      <c r="M4582">
        <v>0.93691950000000002</v>
      </c>
      <c r="N4582">
        <v>0</v>
      </c>
      <c r="O4582">
        <v>-0.34928049999999999</v>
      </c>
      <c r="P4582">
        <v>0.99613580000000002</v>
      </c>
      <c r="Q4582">
        <v>4.8423729999999998E-2</v>
      </c>
      <c r="R4582">
        <v>-7.3272240000000002E-2</v>
      </c>
      <c r="S4582">
        <v>2.9957889999999998</v>
      </c>
      <c r="T4582">
        <v>-0.17709569999999999</v>
      </c>
      <c r="U4582">
        <v>-0.33230589999999999</v>
      </c>
      <c r="V4582">
        <v>-0.27989269999999999</v>
      </c>
      <c r="W4582">
        <v>5.8744280000000003E-2</v>
      </c>
      <c r="X4582">
        <v>0.95823230000000004</v>
      </c>
      <c r="Y4582">
        <v>-0.2428882</v>
      </c>
      <c r="Z4582">
        <v>2.7286810000000002E-2</v>
      </c>
      <c r="AA4582">
        <v>0.96967039999999904</v>
      </c>
      <c r="AB4582">
        <v>24</v>
      </c>
      <c r="AC4582">
        <v>18.565200000000001</v>
      </c>
      <c r="AD4582">
        <v>-1.109057495536</v>
      </c>
      <c r="AE4582">
        <v>-2.01315</v>
      </c>
      <c r="AF4582">
        <v>-4.5825645175326697</v>
      </c>
      <c r="AG4582">
        <v>-1.109057495536</v>
      </c>
      <c r="AH4582">
        <v>18.0353115836919</v>
      </c>
      <c r="AI4582">
        <v>93.410784997115201</v>
      </c>
      <c r="AJ4582">
        <v>104.256502412584</v>
      </c>
      <c r="AK4582">
        <v>18.641415450726999</v>
      </c>
    </row>
    <row r="4583" spans="1:37" x14ac:dyDescent="0.2">
      <c r="A4583" t="str">
        <f>"20200111153525644"</f>
        <v>20200111153525644</v>
      </c>
      <c r="B4583" t="str">
        <f>"1578728125630432"</f>
        <v>1578728125630432</v>
      </c>
      <c r="C4583" t="s">
        <v>37</v>
      </c>
      <c r="D4583">
        <v>4.8956059999999999</v>
      </c>
      <c r="E4583">
        <v>0.51126740000000004</v>
      </c>
      <c r="F4583" t="s">
        <v>66</v>
      </c>
      <c r="G4583">
        <v>-385.08</v>
      </c>
      <c r="H4583" s="1">
        <v>-2.3927520000000001E-6</v>
      </c>
      <c r="I4583">
        <v>19.86666</v>
      </c>
      <c r="J4583">
        <v>-403.26060000000001</v>
      </c>
      <c r="K4583">
        <v>1.109046</v>
      </c>
      <c r="L4583">
        <v>21.787600000000001</v>
      </c>
      <c r="M4583">
        <v>0.93824909999999995</v>
      </c>
      <c r="N4583">
        <v>0</v>
      </c>
      <c r="O4583">
        <v>-0.34569279999999902</v>
      </c>
      <c r="P4583">
        <v>0.99638389999999999</v>
      </c>
      <c r="Q4583">
        <v>4.8141089999999997E-2</v>
      </c>
      <c r="R4583">
        <v>-7.0012500000000005E-2</v>
      </c>
      <c r="S4583">
        <v>2.9967349999999899</v>
      </c>
      <c r="T4583">
        <v>-0.18138299999999999</v>
      </c>
      <c r="U4583">
        <v>-0.32214359999999997</v>
      </c>
      <c r="V4583">
        <v>-0.27936159999999999</v>
      </c>
      <c r="W4583">
        <v>5.8470559999999998E-2</v>
      </c>
      <c r="X4583">
        <v>0.95840409999999998</v>
      </c>
      <c r="Y4583">
        <v>-0.2424183</v>
      </c>
      <c r="Z4583">
        <v>2.7727990000000001E-2</v>
      </c>
      <c r="AA4583">
        <v>0.96977549999999901</v>
      </c>
      <c r="AB4583">
        <v>24</v>
      </c>
      <c r="AC4583">
        <v>18.180599999999998</v>
      </c>
      <c r="AD4583">
        <v>-1.1090483927519901</v>
      </c>
      <c r="AE4583">
        <v>-1.9209400000000001</v>
      </c>
      <c r="AF4583">
        <v>-4.4665597294561898</v>
      </c>
      <c r="AG4583">
        <v>-1.1090483927519901</v>
      </c>
      <c r="AH4583">
        <v>17.658641158718499</v>
      </c>
      <c r="AI4583">
        <v>93.4842849910994</v>
      </c>
      <c r="AJ4583">
        <v>104.194622523348</v>
      </c>
      <c r="AK4583">
        <v>18.248499985660501</v>
      </c>
    </row>
    <row r="4584" spans="1:37" x14ac:dyDescent="0.2">
      <c r="A4584" t="str">
        <f>"20200111153525657"</f>
        <v>20200111153525657</v>
      </c>
      <c r="B4584" t="str">
        <f>"1578728125650928"</f>
        <v>1578728125650928</v>
      </c>
      <c r="C4584" t="s">
        <v>37</v>
      </c>
      <c r="D4584">
        <v>4.8967239999999999</v>
      </c>
      <c r="E4584">
        <v>0.51151120000000005</v>
      </c>
      <c r="F4584" t="s">
        <v>66</v>
      </c>
      <c r="G4584">
        <v>-385.01339999999999</v>
      </c>
      <c r="H4584" s="1">
        <v>-2.4290170000000002E-6</v>
      </c>
      <c r="I4584">
        <v>19.884640000000001</v>
      </c>
      <c r="J4584">
        <v>-403.11689999999999</v>
      </c>
      <c r="K4584">
        <v>1.1090359999999999</v>
      </c>
      <c r="L4584">
        <v>21.739070000000002</v>
      </c>
      <c r="M4584">
        <v>0.93957169999999901</v>
      </c>
      <c r="N4584">
        <v>0</v>
      </c>
      <c r="O4584">
        <v>-0.34208149999999998</v>
      </c>
      <c r="P4584">
        <v>0.99663670000000004</v>
      </c>
      <c r="Q4584">
        <v>4.7783150000000003E-2</v>
      </c>
      <c r="R4584">
        <v>-6.6572519999999996E-2</v>
      </c>
      <c r="S4584">
        <v>2.997681</v>
      </c>
      <c r="T4584">
        <v>-0.18219669999999999</v>
      </c>
      <c r="U4584">
        <v>-0.31262209999999901</v>
      </c>
      <c r="V4584">
        <v>-0.27898519999999999</v>
      </c>
      <c r="W4584">
        <v>5.812022E-2</v>
      </c>
      <c r="X4584">
        <v>0.95853500000000003</v>
      </c>
      <c r="Y4584">
        <v>-0.24176420000000001</v>
      </c>
      <c r="Z4584">
        <v>2.762506E-2</v>
      </c>
      <c r="AA4584">
        <v>0.96994169999999902</v>
      </c>
      <c r="AB4584">
        <v>24</v>
      </c>
      <c r="AC4584">
        <v>18.1035</v>
      </c>
      <c r="AD4584">
        <v>-1.1090384290169999</v>
      </c>
      <c r="AE4584">
        <v>-1.85443</v>
      </c>
      <c r="AF4584">
        <v>-4.4344455499553899</v>
      </c>
      <c r="AG4584">
        <v>-1.1090384290169999</v>
      </c>
      <c r="AH4584">
        <v>17.580245151255099</v>
      </c>
      <c r="AI4584">
        <v>93.500331929464593</v>
      </c>
      <c r="AJ4584">
        <v>104.15698647084</v>
      </c>
      <c r="AK4584">
        <v>18.1647816708813</v>
      </c>
    </row>
    <row r="4585" spans="1:37" x14ac:dyDescent="0.2">
      <c r="A4585" t="str">
        <f>"20200111153525673"</f>
        <v>20200111153525673</v>
      </c>
      <c r="B4585" t="str">
        <f>"1578728125660688"</f>
        <v>1578728125660688</v>
      </c>
      <c r="C4585" t="s">
        <v>37</v>
      </c>
      <c r="D4585">
        <v>4.9617230000000001</v>
      </c>
      <c r="E4585">
        <v>0.51167949999999995</v>
      </c>
      <c r="F4585" t="s">
        <v>66</v>
      </c>
      <c r="G4585">
        <v>-385.03570000000002</v>
      </c>
      <c r="H4585" s="1">
        <v>-2.4237140000000002E-6</v>
      </c>
      <c r="I4585">
        <v>19.904250000000001</v>
      </c>
      <c r="J4585">
        <v>-402.95870000000002</v>
      </c>
      <c r="K4585">
        <v>1.1090279999999999</v>
      </c>
      <c r="L4585">
        <v>21.68655</v>
      </c>
      <c r="M4585">
        <v>0.94100919999999899</v>
      </c>
      <c r="N4585">
        <v>0</v>
      </c>
      <c r="O4585">
        <v>-0.33810770000000001</v>
      </c>
      <c r="P4585">
        <v>0.99692559999999997</v>
      </c>
      <c r="Q4585">
        <v>4.6777760000000002E-2</v>
      </c>
      <c r="R4585">
        <v>-6.2857609999999994E-2</v>
      </c>
      <c r="S4585">
        <v>2.9986269999999999</v>
      </c>
      <c r="T4585">
        <v>-0.183925799999999</v>
      </c>
      <c r="U4585">
        <v>-0.30429079999999997</v>
      </c>
      <c r="V4585">
        <v>-0.27851219999999999</v>
      </c>
      <c r="W4585">
        <v>5.7123380000000001E-2</v>
      </c>
      <c r="X4585">
        <v>0.95873240000000004</v>
      </c>
      <c r="Y4585">
        <v>-0.24035200000000001</v>
      </c>
      <c r="Z4585">
        <v>2.7612049999999999E-2</v>
      </c>
      <c r="AA4585">
        <v>0.97029299999999996</v>
      </c>
      <c r="AB4585">
        <v>24</v>
      </c>
      <c r="AC4585">
        <v>17.922999999999998</v>
      </c>
      <c r="AD4585">
        <v>-1.1090304237140001</v>
      </c>
      <c r="AE4585">
        <v>-1.78229999999999</v>
      </c>
      <c r="AF4585">
        <v>-4.36659356973135</v>
      </c>
      <c r="AG4585">
        <v>-1.1090304237140001</v>
      </c>
      <c r="AH4585">
        <v>17.403947970947399</v>
      </c>
      <c r="AI4585">
        <v>93.536795588744894</v>
      </c>
      <c r="AJ4585">
        <v>104.08458961284801</v>
      </c>
      <c r="AK4585">
        <v>17.977610877404899</v>
      </c>
    </row>
    <row r="4586" spans="1:37" x14ac:dyDescent="0.2">
      <c r="A4586" t="str">
        <f>"20200111153525688"</f>
        <v>20200111153525688</v>
      </c>
      <c r="B4586" t="str">
        <f>"1578728125680208"</f>
        <v>1578728125680208</v>
      </c>
      <c r="C4586" t="s">
        <v>37</v>
      </c>
      <c r="D4586">
        <v>4.9167420000000002</v>
      </c>
      <c r="E4586">
        <v>0.51207100000000005</v>
      </c>
      <c r="F4586" t="s">
        <v>66</v>
      </c>
      <c r="G4586">
        <v>-385.233</v>
      </c>
      <c r="H4586" s="1">
        <v>-2.3413610000000001E-6</v>
      </c>
      <c r="I4586">
        <v>19.9453</v>
      </c>
      <c r="J4586">
        <v>-402.81319999999999</v>
      </c>
      <c r="K4586">
        <v>1.109022</v>
      </c>
      <c r="L4586">
        <v>21.638850000000001</v>
      </c>
      <c r="M4586">
        <v>0.94231409999999904</v>
      </c>
      <c r="N4586">
        <v>0</v>
      </c>
      <c r="O4586">
        <v>-0.33445330000000001</v>
      </c>
      <c r="P4586">
        <v>0.99713980000000002</v>
      </c>
      <c r="Q4586">
        <v>4.6669820000000001E-2</v>
      </c>
      <c r="R4586">
        <v>-5.9451329999999997E-2</v>
      </c>
      <c r="S4586">
        <v>2.9994509999999899</v>
      </c>
      <c r="T4586">
        <v>-0.18766459999999999</v>
      </c>
      <c r="U4586">
        <v>-0.2946472</v>
      </c>
      <c r="V4586">
        <v>-0.2780666</v>
      </c>
      <c r="W4586">
        <v>5.7024360000000003E-2</v>
      </c>
      <c r="X4586">
        <v>0.95886769999999999</v>
      </c>
      <c r="Y4586">
        <v>-0.23966609999999999</v>
      </c>
      <c r="Z4586">
        <v>2.7935109999999999E-2</v>
      </c>
      <c r="AA4586">
        <v>0.97045339999999902</v>
      </c>
      <c r="AB4586">
        <v>24</v>
      </c>
      <c r="AC4586">
        <v>17.580199999999898</v>
      </c>
      <c r="AD4586">
        <v>-1.1090243413609999</v>
      </c>
      <c r="AE4586">
        <v>-1.6935500000000001</v>
      </c>
      <c r="AF4586">
        <v>-4.2674699661644198</v>
      </c>
      <c r="AG4586">
        <v>-1.1090243413609999</v>
      </c>
      <c r="AH4586">
        <v>17.066776098869202</v>
      </c>
      <c r="AI4586">
        <v>93.607188018150495</v>
      </c>
      <c r="AJ4586">
        <v>104.03869516329701</v>
      </c>
      <c r="AK4586">
        <v>17.627140474585701</v>
      </c>
    </row>
    <row r="4587" spans="1:37" x14ac:dyDescent="0.2">
      <c r="A4587" t="str">
        <f>"20200111153525702"</f>
        <v>20200111153525702</v>
      </c>
      <c r="B4587" t="str">
        <f>"1578728125690945"</f>
        <v>1578728125690945</v>
      </c>
      <c r="C4587" t="s">
        <v>37</v>
      </c>
      <c r="D4587">
        <v>4.934126</v>
      </c>
      <c r="E4587">
        <v>0.51226749999999999</v>
      </c>
      <c r="F4587" t="s">
        <v>66</v>
      </c>
      <c r="G4587">
        <v>-385.23790000000002</v>
      </c>
      <c r="H4587" s="1">
        <v>-2.3412970000000001E-6</v>
      </c>
      <c r="I4587">
        <v>19.95382</v>
      </c>
      <c r="J4587">
        <v>-402.66730000000001</v>
      </c>
      <c r="K4587">
        <v>1.1090169999999999</v>
      </c>
      <c r="L4587">
        <v>21.591519999999999</v>
      </c>
      <c r="M4587">
        <v>0.94360759999999899</v>
      </c>
      <c r="N4587">
        <v>0</v>
      </c>
      <c r="O4587">
        <v>-0.33078649999999998</v>
      </c>
      <c r="P4587">
        <v>0.99733939999999999</v>
      </c>
      <c r="Q4587">
        <v>4.6592729999999999E-2</v>
      </c>
      <c r="R4587">
        <v>-5.6063210000000002E-2</v>
      </c>
      <c r="S4587">
        <v>3.0003359999999999</v>
      </c>
      <c r="T4587">
        <v>-0.18932550000000001</v>
      </c>
      <c r="U4587">
        <v>-0.28765869999999999</v>
      </c>
      <c r="V4587">
        <v>-0.27759450000000002</v>
      </c>
      <c r="W4587">
        <v>5.6955319999999997E-2</v>
      </c>
      <c r="X4587">
        <v>0.95900849999999904</v>
      </c>
      <c r="Y4587">
        <v>-0.2381491</v>
      </c>
      <c r="Z4587">
        <v>2.7912780000000002E-2</v>
      </c>
      <c r="AA4587">
        <v>0.97082739999999901</v>
      </c>
      <c r="AB4587">
        <v>24</v>
      </c>
      <c r="AC4587">
        <v>17.429399999999902</v>
      </c>
      <c r="AD4587">
        <v>-1.109019341297</v>
      </c>
      <c r="AE4587">
        <v>-1.6376999999999999</v>
      </c>
      <c r="AF4587">
        <v>-4.20358442066739</v>
      </c>
      <c r="AG4587">
        <v>-1.109019341297</v>
      </c>
      <c r="AH4587">
        <v>16.921903113791402</v>
      </c>
      <c r="AI4587">
        <v>93.639363103997397</v>
      </c>
      <c r="AJ4587">
        <v>103.950516134211</v>
      </c>
      <c r="AK4587">
        <v>17.471429560101601</v>
      </c>
    </row>
    <row r="4588" spans="1:37" x14ac:dyDescent="0.2">
      <c r="A4588" t="str">
        <f>"20200111153525720"</f>
        <v>20200111153525720</v>
      </c>
      <c r="B4588" t="str">
        <f>"1578728125710464"</f>
        <v>1578728125710464</v>
      </c>
      <c r="C4588" t="s">
        <v>37</v>
      </c>
      <c r="D4588">
        <v>4.905437</v>
      </c>
      <c r="E4588">
        <v>0.5125073</v>
      </c>
      <c r="F4588" t="s">
        <v>66</v>
      </c>
      <c r="G4588">
        <v>-385.14960000000002</v>
      </c>
      <c r="H4588" s="1">
        <v>-2.3853790000000001E-6</v>
      </c>
      <c r="I4588">
        <v>19.962540000000001</v>
      </c>
      <c r="J4588">
        <v>-402.48970000000003</v>
      </c>
      <c r="K4588">
        <v>1.109019</v>
      </c>
      <c r="L4588">
        <v>21.53482</v>
      </c>
      <c r="M4588">
        <v>0.94515959999999999</v>
      </c>
      <c r="N4588">
        <v>0</v>
      </c>
      <c r="O4588">
        <v>-0.32632630000000001</v>
      </c>
      <c r="P4588">
        <v>0.99751599999999996</v>
      </c>
      <c r="Q4588">
        <v>4.7502309999999999E-2</v>
      </c>
      <c r="R4588">
        <v>-5.2016159999999999E-2</v>
      </c>
      <c r="S4588">
        <v>3.0011899999999998</v>
      </c>
      <c r="T4588">
        <v>-0.19000110000000001</v>
      </c>
      <c r="U4588">
        <v>-0.27908329999999998</v>
      </c>
      <c r="V4588">
        <v>-0.27695009999999998</v>
      </c>
      <c r="W4588">
        <v>5.7876009999999999E-2</v>
      </c>
      <c r="X4588">
        <v>0.95913979999999999</v>
      </c>
      <c r="Y4588">
        <v>-0.23634240000000001</v>
      </c>
      <c r="Z4588">
        <v>2.7686579999999999E-2</v>
      </c>
      <c r="AA4588">
        <v>0.97127529999999995</v>
      </c>
      <c r="AB4588">
        <v>24</v>
      </c>
      <c r="AC4588">
        <v>17.3401</v>
      </c>
      <c r="AD4588">
        <v>-1.1090213853790001</v>
      </c>
      <c r="AE4588">
        <v>-1.5722799999999899</v>
      </c>
      <c r="AF4588">
        <v>-4.1559985603795404</v>
      </c>
      <c r="AG4588">
        <v>-1.1090213853790001</v>
      </c>
      <c r="AH4588">
        <v>16.8354934865052</v>
      </c>
      <c r="AI4588">
        <v>93.659319471096296</v>
      </c>
      <c r="AJ4588">
        <v>103.866756441408</v>
      </c>
      <c r="AK4588">
        <v>17.3763083939387</v>
      </c>
    </row>
    <row r="4589" spans="1:37" x14ac:dyDescent="0.2">
      <c r="A4589" t="str">
        <f>"20200111153525741"</f>
        <v>20200111153525741</v>
      </c>
      <c r="B4589" t="str">
        <f>"1578728125730960"</f>
        <v>1578728125730960</v>
      </c>
      <c r="C4589" t="s">
        <v>37</v>
      </c>
      <c r="D4589">
        <v>4.9363859999999997</v>
      </c>
      <c r="E4589">
        <v>0.51269169999999997</v>
      </c>
      <c r="F4589" t="s">
        <v>66</v>
      </c>
      <c r="G4589">
        <v>-384.90350000000001</v>
      </c>
      <c r="H4589" s="1">
        <v>-2.5012479999999999E-6</v>
      </c>
      <c r="I4589">
        <v>19.960760000000001</v>
      </c>
      <c r="J4589">
        <v>-402.2647</v>
      </c>
      <c r="K4589">
        <v>1.109016</v>
      </c>
      <c r="L4589">
        <v>21.46442</v>
      </c>
      <c r="M4589">
        <v>0.94709089999999996</v>
      </c>
      <c r="N4589">
        <v>0</v>
      </c>
      <c r="O4589">
        <v>-0.32067790000000002</v>
      </c>
      <c r="P4589">
        <v>0.99778129999999998</v>
      </c>
      <c r="Q4589">
        <v>4.7918379999999997E-2</v>
      </c>
      <c r="R4589">
        <v>-4.6223390000000003E-2</v>
      </c>
      <c r="S4589">
        <v>3.002472</v>
      </c>
      <c r="T4589">
        <v>-0.1893417</v>
      </c>
      <c r="U4589">
        <v>-0.26873779999999903</v>
      </c>
      <c r="V4589">
        <v>-0.27678909999999901</v>
      </c>
      <c r="W4589">
        <v>5.8298240000000001E-2</v>
      </c>
      <c r="X4589">
        <v>0.95916060000000003</v>
      </c>
      <c r="Y4589">
        <v>-0.2339223</v>
      </c>
      <c r="Z4589">
        <v>2.7172700000000001E-2</v>
      </c>
      <c r="AA4589">
        <v>0.971875499999999</v>
      </c>
      <c r="AB4589">
        <v>24</v>
      </c>
      <c r="AC4589">
        <v>17.361199999999901</v>
      </c>
      <c r="AD4589">
        <v>-1.1090185012480001</v>
      </c>
      <c r="AE4589">
        <v>-1.50366</v>
      </c>
      <c r="AF4589">
        <v>-4.1269180572374902</v>
      </c>
      <c r="AG4589">
        <v>-1.1090185012480001</v>
      </c>
      <c r="AH4589">
        <v>16.858108611881001</v>
      </c>
      <c r="AI4589">
        <v>93.656151958092096</v>
      </c>
      <c r="AJ4589">
        <v>103.755660084741</v>
      </c>
      <c r="AK4589">
        <v>17.391296692807</v>
      </c>
    </row>
    <row r="4590" spans="1:37" x14ac:dyDescent="0.2">
      <c r="A4590" t="str">
        <f>"20200111153525756"</f>
        <v>20200111153525756</v>
      </c>
      <c r="B4590" t="str">
        <f>"1578728125750480"</f>
        <v>1578728125750480</v>
      </c>
      <c r="C4590" t="s">
        <v>37</v>
      </c>
      <c r="D4590">
        <v>4.9388009999999998</v>
      </c>
      <c r="E4590">
        <v>0.51741029999999999</v>
      </c>
      <c r="F4590" t="s">
        <v>66</v>
      </c>
      <c r="G4590">
        <v>-384.68329999999997</v>
      </c>
      <c r="H4590" s="1">
        <v>-2.6110879999999898E-6</v>
      </c>
      <c r="I4590">
        <v>19.982530000000001</v>
      </c>
      <c r="J4590">
        <v>-402.10789999999997</v>
      </c>
      <c r="K4590">
        <v>1.1090100000000001</v>
      </c>
      <c r="L4590">
        <v>21.4162</v>
      </c>
      <c r="M4590">
        <v>0.9484129</v>
      </c>
      <c r="N4590">
        <v>0</v>
      </c>
      <c r="O4590">
        <v>-0.31674649999999999</v>
      </c>
      <c r="P4590">
        <v>0.99795409999999996</v>
      </c>
      <c r="Q4590">
        <v>4.8118699999999903E-2</v>
      </c>
      <c r="R4590">
        <v>-4.2096990000000001E-2</v>
      </c>
      <c r="S4590">
        <v>3.0040589999999998</v>
      </c>
      <c r="T4590">
        <v>-0.18949389999999999</v>
      </c>
      <c r="U4590">
        <v>-0.25320429999999999</v>
      </c>
      <c r="V4590">
        <v>-0.27677390000000002</v>
      </c>
      <c r="W4590">
        <v>5.8503409999999999E-2</v>
      </c>
      <c r="X4590">
        <v>0.95915249999999996</v>
      </c>
      <c r="Y4590">
        <v>-0.2349272</v>
      </c>
      <c r="Z4590">
        <v>2.6986619999999999E-2</v>
      </c>
      <c r="AA4590">
        <v>0.97163829999999995</v>
      </c>
      <c r="AB4590">
        <v>24</v>
      </c>
      <c r="AC4590">
        <v>17.424599999999899</v>
      </c>
      <c r="AD4590">
        <v>-1.1090126110880001</v>
      </c>
      <c r="AE4590">
        <v>-1.43366999999999</v>
      </c>
      <c r="AF4590">
        <v>-4.1431833637592499</v>
      </c>
      <c r="AG4590">
        <v>-1.1090126110880001</v>
      </c>
      <c r="AH4590">
        <v>16.913340158542599</v>
      </c>
      <c r="AI4590">
        <v>93.644089249519794</v>
      </c>
      <c r="AJ4590">
        <v>103.764431217702</v>
      </c>
      <c r="AK4590">
        <v>17.4486948702719</v>
      </c>
    </row>
    <row r="4591" spans="1:37" x14ac:dyDescent="0.2">
      <c r="A4591" t="str">
        <f>"20200111153525774"</f>
        <v>20200111153525774</v>
      </c>
      <c r="B4591" t="str">
        <f>"1578728125770976"</f>
        <v>1578728125770976</v>
      </c>
      <c r="C4591" t="s">
        <v>37</v>
      </c>
      <c r="D4591">
        <v>4.9474169999999997</v>
      </c>
      <c r="E4591">
        <v>0.51743509999999904</v>
      </c>
      <c r="F4591" t="s">
        <v>66</v>
      </c>
      <c r="G4591">
        <v>-386.68310000000002</v>
      </c>
      <c r="H4591" s="1">
        <v>-1.664849E-6</v>
      </c>
      <c r="I4591">
        <v>19.97898</v>
      </c>
      <c r="J4591">
        <v>-401.9273</v>
      </c>
      <c r="K4591">
        <v>1.109003</v>
      </c>
      <c r="L4591">
        <v>21.36157</v>
      </c>
      <c r="M4591">
        <v>0.94990919999999901</v>
      </c>
      <c r="N4591">
        <v>0</v>
      </c>
      <c r="O4591">
        <v>-0.31223070000000003</v>
      </c>
      <c r="P4591">
        <v>0.99810279999999996</v>
      </c>
      <c r="Q4591">
        <v>4.9195200000000001E-2</v>
      </c>
      <c r="R4591">
        <v>-3.702503E-2</v>
      </c>
      <c r="S4591">
        <v>3.0047299999999999</v>
      </c>
      <c r="T4591">
        <v>-0.21603330000000001</v>
      </c>
      <c r="U4591">
        <v>-0.2799683</v>
      </c>
      <c r="V4591">
        <v>-0.27707719999999902</v>
      </c>
      <c r="W4591">
        <v>5.9582999999999997E-2</v>
      </c>
      <c r="X4591">
        <v>0.95899849999999998</v>
      </c>
      <c r="Y4591">
        <v>-0.22144240000000001</v>
      </c>
      <c r="Z4591">
        <v>2.993914E-2</v>
      </c>
      <c r="AA4591">
        <v>0.97471369999999902</v>
      </c>
      <c r="AB4591">
        <v>24</v>
      </c>
      <c r="AC4591">
        <v>15.2441999999999</v>
      </c>
      <c r="AD4591">
        <v>-1.109004664849</v>
      </c>
      <c r="AE4591">
        <v>-1.38259</v>
      </c>
      <c r="AF4591">
        <v>-3.4286920890632002</v>
      </c>
      <c r="AG4591">
        <v>-1.109004664849</v>
      </c>
      <c r="AH4591">
        <v>14.835791521445501</v>
      </c>
      <c r="AI4591">
        <v>94.165624187503596</v>
      </c>
      <c r="AJ4591">
        <v>103.013124654254</v>
      </c>
      <c r="AK4591">
        <v>15.267171671794801</v>
      </c>
    </row>
    <row r="4592" spans="1:37" x14ac:dyDescent="0.2">
      <c r="A4592" t="str">
        <f>"20200111153525787"</f>
        <v>20200111153525787</v>
      </c>
      <c r="B4592" t="str">
        <f>"1578728125780736"</f>
        <v>1578728125780736</v>
      </c>
      <c r="C4592" t="s">
        <v>37</v>
      </c>
      <c r="D4592">
        <v>4.9593160000000003</v>
      </c>
      <c r="E4592">
        <v>0.5178682</v>
      </c>
      <c r="F4592" t="s">
        <v>66</v>
      </c>
      <c r="G4592">
        <v>-386.0335</v>
      </c>
      <c r="H4592" s="1">
        <v>-1.96591E-6</v>
      </c>
      <c r="I4592">
        <v>19.956389999999999</v>
      </c>
      <c r="J4592">
        <v>-401.78629999999998</v>
      </c>
      <c r="K4592">
        <v>1.1089879999999901</v>
      </c>
      <c r="L4592">
        <v>21.31955</v>
      </c>
      <c r="M4592">
        <v>0.95105490000000004</v>
      </c>
      <c r="N4592">
        <v>0</v>
      </c>
      <c r="O4592">
        <v>-0.30872290000000002</v>
      </c>
      <c r="P4592">
        <v>0.99821939999999998</v>
      </c>
      <c r="Q4592">
        <v>4.9527050000000003E-2</v>
      </c>
      <c r="R4592">
        <v>-3.3239699999999997E-2</v>
      </c>
      <c r="S4592">
        <v>3.0061650000000002</v>
      </c>
      <c r="T4592">
        <v>-0.209758</v>
      </c>
      <c r="U4592">
        <v>-0.2657776</v>
      </c>
      <c r="V4592">
        <v>-0.27716940000000001</v>
      </c>
      <c r="W4592">
        <v>5.9923799999999999E-2</v>
      </c>
      <c r="X4592">
        <v>0.95895059999999999</v>
      </c>
      <c r="Y4592">
        <v>-0.2225327</v>
      </c>
      <c r="Z4592">
        <v>2.8873099999999999E-2</v>
      </c>
      <c r="AA4592">
        <v>0.97449759999999996</v>
      </c>
      <c r="AB4592">
        <v>24</v>
      </c>
      <c r="AC4592">
        <v>15.752799999999899</v>
      </c>
      <c r="AD4592">
        <v>-1.10898996590999</v>
      </c>
      <c r="AE4592">
        <v>-1.3631599999999999</v>
      </c>
      <c r="AF4592">
        <v>-3.5496778413881098</v>
      </c>
      <c r="AG4592">
        <v>-1.10898996590999</v>
      </c>
      <c r="AH4592">
        <v>15.328633808138999</v>
      </c>
      <c r="AI4592">
        <v>94.031680024763801</v>
      </c>
      <c r="AJ4592">
        <v>103.038262657941</v>
      </c>
      <c r="AK4592">
        <v>15.773302949799501</v>
      </c>
    </row>
    <row r="4593" spans="1:37" x14ac:dyDescent="0.2">
      <c r="A4593" t="str">
        <f>"20200111153525800"</f>
        <v>20200111153525800</v>
      </c>
      <c r="B4593" t="str">
        <f>"1578728125790497"</f>
        <v>1578728125790497</v>
      </c>
      <c r="C4593" t="s">
        <v>37</v>
      </c>
      <c r="D4593">
        <v>4.9179250000000003</v>
      </c>
      <c r="E4593">
        <v>0.51791390000000004</v>
      </c>
      <c r="F4593" t="s">
        <v>66</v>
      </c>
      <c r="G4593">
        <v>-385.79270000000002</v>
      </c>
      <c r="H4593" s="1">
        <v>-2.0771739999999999E-6</v>
      </c>
      <c r="I4593">
        <v>19.946739999999998</v>
      </c>
      <c r="J4593">
        <v>-401.65809999999999</v>
      </c>
      <c r="K4593">
        <v>1.1089629999999999</v>
      </c>
      <c r="L4593">
        <v>21.281679999999898</v>
      </c>
      <c r="M4593">
        <v>0.95207999999999904</v>
      </c>
      <c r="N4593">
        <v>0</v>
      </c>
      <c r="O4593">
        <v>-0.30554789999999998</v>
      </c>
      <c r="P4593">
        <v>0.99831059999999905</v>
      </c>
      <c r="Q4593">
        <v>4.9820549999999998E-2</v>
      </c>
      <c r="R4593">
        <v>-2.9902890000000001E-2</v>
      </c>
      <c r="S4593">
        <v>3.0071409999999998</v>
      </c>
      <c r="T4593">
        <v>-0.20851449999999999</v>
      </c>
      <c r="U4593">
        <v>-0.25811770000000001</v>
      </c>
      <c r="V4593">
        <v>-0.27717019999999998</v>
      </c>
      <c r="W4593">
        <v>6.0229360000000003E-2</v>
      </c>
      <c r="X4593">
        <v>0.95893119999999998</v>
      </c>
      <c r="Y4593">
        <v>-0.22179570000000001</v>
      </c>
      <c r="Z4593">
        <v>2.8463200000000001E-2</v>
      </c>
      <c r="AA4593">
        <v>0.97467760000000003</v>
      </c>
      <c r="AB4593">
        <v>24</v>
      </c>
      <c r="AC4593">
        <v>15.8653999999999</v>
      </c>
      <c r="AD4593">
        <v>-1.1089650771739901</v>
      </c>
      <c r="AE4593">
        <v>-1.33493999999999</v>
      </c>
      <c r="AF4593">
        <v>-3.55972957268636</v>
      </c>
      <c r="AG4593">
        <v>-1.1089650771739901</v>
      </c>
      <c r="AH4593">
        <v>15.439542871613</v>
      </c>
      <c r="AI4593">
        <v>94.003609771042605</v>
      </c>
      <c r="AJ4593">
        <v>102.983194085276</v>
      </c>
      <c r="AK4593">
        <v>15.883354880422001</v>
      </c>
    </row>
    <row r="4594" spans="1:37" x14ac:dyDescent="0.2">
      <c r="A4594" t="str">
        <f>"20200111153525818"</f>
        <v>20200111153525818</v>
      </c>
      <c r="B4594" t="str">
        <f>"1578728125810991"</f>
        <v>1578728125810991</v>
      </c>
      <c r="C4594" t="s">
        <v>37</v>
      </c>
      <c r="D4594">
        <v>4.9863140000000001</v>
      </c>
      <c r="E4594">
        <v>0.51819309999999996</v>
      </c>
      <c r="F4594" t="s">
        <v>66</v>
      </c>
      <c r="G4594">
        <v>-385.50959999999998</v>
      </c>
      <c r="H4594" s="1">
        <v>-2.2108219999999998E-6</v>
      </c>
      <c r="I4594">
        <v>19.946089999999899</v>
      </c>
      <c r="J4594">
        <v>-401.46969999999999</v>
      </c>
      <c r="K4594">
        <v>1.1089119999999999</v>
      </c>
      <c r="L4594">
        <v>21.226990000000001</v>
      </c>
      <c r="M4594">
        <v>0.95354859999999897</v>
      </c>
      <c r="N4594">
        <v>0</v>
      </c>
      <c r="O4594">
        <v>-0.30093370000000003</v>
      </c>
      <c r="P4594">
        <v>0.99845019999999995</v>
      </c>
      <c r="Q4594">
        <v>4.979691E-2</v>
      </c>
      <c r="R4594">
        <v>-2.4857089999999998E-2</v>
      </c>
      <c r="S4594">
        <v>3.007965</v>
      </c>
      <c r="T4594">
        <v>-0.20656649999999999</v>
      </c>
      <c r="U4594">
        <v>-0.24877929999999901</v>
      </c>
      <c r="V4594">
        <v>-0.27736630000000001</v>
      </c>
      <c r="W4594">
        <v>6.0229850000000001E-2</v>
      </c>
      <c r="X4594">
        <v>0.95887449999999996</v>
      </c>
      <c r="Y4594">
        <v>-0.22013869999999999</v>
      </c>
      <c r="Z4594">
        <v>2.7837400000000002E-2</v>
      </c>
      <c r="AA4594">
        <v>0.97507129999999997</v>
      </c>
      <c r="AB4594">
        <v>24</v>
      </c>
      <c r="AC4594">
        <v>15.960100000000001</v>
      </c>
      <c r="AD4594">
        <v>-1.108914210822</v>
      </c>
      <c r="AE4594">
        <v>-1.2808999999999999</v>
      </c>
      <c r="AF4594">
        <v>-3.56476219699486</v>
      </c>
      <c r="AG4594">
        <v>-1.108914210822</v>
      </c>
      <c r="AH4594">
        <v>15.5311354533033</v>
      </c>
      <c r="AI4594">
        <v>93.980790940378796</v>
      </c>
      <c r="AJ4594">
        <v>102.926837768976</v>
      </c>
      <c r="AK4594">
        <v>15.9735214876664</v>
      </c>
    </row>
    <row r="4595" spans="1:37" x14ac:dyDescent="0.2">
      <c r="A4595" t="str">
        <f>"20200111153525832"</f>
        <v>20200111153525832</v>
      </c>
      <c r="B4595" t="str">
        <f>"1578728125820752"</f>
        <v>1578728125820752</v>
      </c>
      <c r="C4595" t="s">
        <v>37</v>
      </c>
      <c r="D4595">
        <v>4.8910130000000001</v>
      </c>
      <c r="E4595">
        <v>0.51824040000000005</v>
      </c>
      <c r="F4595" t="s">
        <v>66</v>
      </c>
      <c r="G4595">
        <v>-385.44940000000003</v>
      </c>
      <c r="H4595" s="1">
        <v>-2.244612E-6</v>
      </c>
      <c r="I4595">
        <v>19.966069999999998</v>
      </c>
      <c r="J4595">
        <v>-401.33850000000001</v>
      </c>
      <c r="K4595">
        <v>1.108865</v>
      </c>
      <c r="L4595">
        <v>21.189540000000001</v>
      </c>
      <c r="M4595">
        <v>0.95454240000000001</v>
      </c>
      <c r="N4595">
        <v>0</v>
      </c>
      <c r="O4595">
        <v>-0.29776629999999998</v>
      </c>
      <c r="P4595">
        <v>0.99855759999999905</v>
      </c>
      <c r="Q4595">
        <v>4.9299669999999997E-2</v>
      </c>
      <c r="R4595">
        <v>-2.1271720000000001E-2</v>
      </c>
      <c r="S4595">
        <v>3.0092159999999999</v>
      </c>
      <c r="T4595">
        <v>-0.20829520000000001</v>
      </c>
      <c r="U4595">
        <v>-0.2368469</v>
      </c>
      <c r="V4595">
        <v>-0.27762219999999999</v>
      </c>
      <c r="W4595">
        <v>5.9754349999999998E-2</v>
      </c>
      <c r="X4595">
        <v>0.95883019999999997</v>
      </c>
      <c r="Y4595">
        <v>-0.2207614</v>
      </c>
      <c r="Z4595">
        <v>2.7877760000000001E-2</v>
      </c>
      <c r="AA4595">
        <v>0.9749293</v>
      </c>
      <c r="AB4595">
        <v>24</v>
      </c>
      <c r="AC4595">
        <v>15.8890999999999</v>
      </c>
      <c r="AD4595">
        <v>-1.108867244612</v>
      </c>
      <c r="AE4595">
        <v>-1.2234699999999901</v>
      </c>
      <c r="AF4595">
        <v>-3.5465413678095001</v>
      </c>
      <c r="AG4595">
        <v>-1.108867244612</v>
      </c>
      <c r="AH4595">
        <v>15.457716322870301</v>
      </c>
      <c r="AI4595">
        <v>93.999545326366899</v>
      </c>
      <c r="AJ4595">
        <v>102.922015837885</v>
      </c>
      <c r="AK4595">
        <v>15.8980670572899</v>
      </c>
    </row>
    <row r="4596" spans="1:37" x14ac:dyDescent="0.2">
      <c r="A4596" t="str">
        <f>"20200111153525845"</f>
        <v>20200111153525845</v>
      </c>
      <c r="B4596" t="str">
        <f>"1578728125840272"</f>
        <v>1578728125840272</v>
      </c>
      <c r="C4596" t="s">
        <v>37</v>
      </c>
      <c r="D4596">
        <v>4.97248</v>
      </c>
      <c r="E4596">
        <v>0.51885119999999996</v>
      </c>
      <c r="F4596" t="s">
        <v>66</v>
      </c>
      <c r="G4596">
        <v>-385.43470000000002</v>
      </c>
      <c r="H4596" s="1">
        <v>-2.2582389999999998E-6</v>
      </c>
      <c r="I4596">
        <v>19.991139999999898</v>
      </c>
      <c r="J4596">
        <v>-401.20710000000003</v>
      </c>
      <c r="K4596">
        <v>1.1088149999999899</v>
      </c>
      <c r="L4596">
        <v>21.152339999999999</v>
      </c>
      <c r="M4596">
        <v>0.95551790000000003</v>
      </c>
      <c r="N4596">
        <v>0</v>
      </c>
      <c r="O4596">
        <v>-0.29462100000000002</v>
      </c>
      <c r="P4596">
        <v>0.9986408</v>
      </c>
      <c r="Q4596">
        <v>4.8895679999999997E-2</v>
      </c>
      <c r="R4596">
        <v>-1.8051629999999999E-2</v>
      </c>
      <c r="S4596">
        <v>3.0099179999999999</v>
      </c>
      <c r="T4596">
        <v>-0.2098612</v>
      </c>
      <c r="U4596">
        <v>-0.2268066</v>
      </c>
      <c r="V4596">
        <v>-0.2775511</v>
      </c>
      <c r="W4596">
        <v>5.9380710000000003E-2</v>
      </c>
      <c r="X4596">
        <v>0.958874</v>
      </c>
      <c r="Y4596">
        <v>-0.2207896</v>
      </c>
      <c r="Z4596">
        <v>2.787767E-2</v>
      </c>
      <c r="AA4596">
        <v>0.97492299999999998</v>
      </c>
      <c r="AB4596">
        <v>24</v>
      </c>
      <c r="AC4596">
        <v>15.772399999999999</v>
      </c>
      <c r="AD4596">
        <v>-1.1088172582389999</v>
      </c>
      <c r="AE4596">
        <v>-1.1612</v>
      </c>
      <c r="AF4596">
        <v>-3.52035371078115</v>
      </c>
      <c r="AG4596">
        <v>-1.1088172582389999</v>
      </c>
      <c r="AH4596">
        <v>15.3389425405576</v>
      </c>
      <c r="AI4596">
        <v>94.030171484532801</v>
      </c>
      <c r="AJ4596">
        <v>102.92578859293501</v>
      </c>
      <c r="AK4596">
        <v>15.776739974522901</v>
      </c>
    </row>
    <row r="4597" spans="1:37" x14ac:dyDescent="0.2">
      <c r="A4597" t="str">
        <f>"20200111153525862"</f>
        <v>20200111153525862</v>
      </c>
      <c r="B4597" t="str">
        <f>"1578728125851024"</f>
        <v>1578728125851024</v>
      </c>
      <c r="C4597" t="s">
        <v>37</v>
      </c>
      <c r="D4597">
        <v>4.9555220000000002</v>
      </c>
      <c r="E4597">
        <v>0.51896929999999997</v>
      </c>
      <c r="F4597" t="s">
        <v>66</v>
      </c>
      <c r="G4597">
        <v>-385.58890000000002</v>
      </c>
      <c r="H4597" s="1">
        <v>-2.1874109999999899E-6</v>
      </c>
      <c r="I4597">
        <v>19.99896</v>
      </c>
      <c r="J4597">
        <v>-401.02379999999999</v>
      </c>
      <c r="K4597">
        <v>1.1087290000000001</v>
      </c>
      <c r="L4597">
        <v>21.10117</v>
      </c>
      <c r="M4597">
        <v>0.95683680000000004</v>
      </c>
      <c r="N4597">
        <v>0</v>
      </c>
      <c r="O4597">
        <v>-0.2903094</v>
      </c>
      <c r="P4597">
        <v>0.99873190000000001</v>
      </c>
      <c r="Q4597">
        <v>4.8516110000000001E-2</v>
      </c>
      <c r="R4597">
        <v>-1.34482E-2</v>
      </c>
      <c r="S4597">
        <v>3.0104980000000001</v>
      </c>
      <c r="T4597">
        <v>-0.2137308</v>
      </c>
      <c r="U4597">
        <v>-0.22232060000000001</v>
      </c>
      <c r="V4597">
        <v>-0.277638</v>
      </c>
      <c r="W4597">
        <v>5.9047490000000001E-2</v>
      </c>
      <c r="X4597">
        <v>0.95886939999999998</v>
      </c>
      <c r="Y4597">
        <v>-0.21782280000000001</v>
      </c>
      <c r="Z4597">
        <v>2.79894999999999E-2</v>
      </c>
      <c r="AA4597">
        <v>0.97558690000000003</v>
      </c>
      <c r="AB4597">
        <v>24</v>
      </c>
      <c r="AC4597">
        <v>15.434899999999899</v>
      </c>
      <c r="AD4597">
        <v>-1.108731187411</v>
      </c>
      <c r="AE4597">
        <v>-1.1022099999999899</v>
      </c>
      <c r="AF4597">
        <v>-3.4090749842219901</v>
      </c>
      <c r="AG4597">
        <v>-1.108731187411</v>
      </c>
      <c r="AH4597">
        <v>15.0129759461669</v>
      </c>
      <c r="AI4597">
        <v>94.119222675491301</v>
      </c>
      <c r="AJ4597">
        <v>102.793505696129</v>
      </c>
      <c r="AK4597">
        <v>15.435042074907701</v>
      </c>
    </row>
    <row r="4598" spans="1:37" x14ac:dyDescent="0.2">
      <c r="A4598" t="str">
        <f>"20200111153525874"</f>
        <v>20200111153525874</v>
      </c>
      <c r="B4598" t="str">
        <f>"1578728125870528"</f>
        <v>1578728125870528</v>
      </c>
      <c r="C4598" t="s">
        <v>37</v>
      </c>
      <c r="D4598">
        <v>4.9525750000000004</v>
      </c>
      <c r="E4598">
        <v>0.51963269999999995</v>
      </c>
      <c r="F4598" t="s">
        <v>66</v>
      </c>
      <c r="G4598">
        <v>-385.48579999999998</v>
      </c>
      <c r="H4598" s="1">
        <v>-2.2414389999999999E-6</v>
      </c>
      <c r="I4598">
        <v>20.018940000000001</v>
      </c>
      <c r="J4598">
        <v>-400.89280000000002</v>
      </c>
      <c r="K4598">
        <v>1.108663</v>
      </c>
      <c r="L4598">
        <v>21.065059999999999</v>
      </c>
      <c r="M4598">
        <v>0.95774859999999995</v>
      </c>
      <c r="N4598">
        <v>0</v>
      </c>
      <c r="O4598">
        <v>-0.28728670000000001</v>
      </c>
      <c r="P4598">
        <v>0.998803</v>
      </c>
      <c r="Q4598">
        <v>4.7857509999999999E-2</v>
      </c>
      <c r="R4598">
        <v>-1.011012E-2</v>
      </c>
      <c r="S4598">
        <v>3.0114139999999998</v>
      </c>
      <c r="T4598">
        <v>-0.21488270000000001</v>
      </c>
      <c r="U4598">
        <v>-0.2097473</v>
      </c>
      <c r="V4598">
        <v>-0.27780909999999998</v>
      </c>
      <c r="W4598">
        <v>5.8425350000000001E-2</v>
      </c>
      <c r="X4598">
        <v>0.95885799999999999</v>
      </c>
      <c r="Y4598">
        <v>-0.21880729999999901</v>
      </c>
      <c r="Z4598">
        <v>2.7966910000000001E-2</v>
      </c>
      <c r="AA4598">
        <v>0.97536719999999899</v>
      </c>
      <c r="AB4598">
        <v>24</v>
      </c>
      <c r="AC4598">
        <v>15.407</v>
      </c>
      <c r="AD4598">
        <v>-1.1086652414389999</v>
      </c>
      <c r="AE4598">
        <v>-1.0461199999999899</v>
      </c>
      <c r="AF4598">
        <v>-3.40706034618553</v>
      </c>
      <c r="AG4598">
        <v>-1.1086652414389999</v>
      </c>
      <c r="AH4598">
        <v>14.9807394600797</v>
      </c>
      <c r="AI4598">
        <v>94.127496584914297</v>
      </c>
      <c r="AJ4598">
        <v>102.812800688533</v>
      </c>
      <c r="AK4598">
        <v>15.403238412454501</v>
      </c>
    </row>
    <row r="4599" spans="1:37" x14ac:dyDescent="0.2">
      <c r="A4599" t="str">
        <f>"20200111153525886"</f>
        <v>20200111153525886</v>
      </c>
      <c r="B4599" t="str">
        <f>"1578728125880288"</f>
        <v>1578728125880288</v>
      </c>
      <c r="C4599" t="s">
        <v>37</v>
      </c>
      <c r="D4599">
        <v>4.9369959999999997</v>
      </c>
      <c r="E4599">
        <v>0.51990579999999997</v>
      </c>
      <c r="F4599" t="s">
        <v>66</v>
      </c>
      <c r="G4599">
        <v>-385.47550000000001</v>
      </c>
      <c r="H4599" s="1">
        <v>-2.2451750000000001E-6</v>
      </c>
      <c r="I4599">
        <v>20.014530000000001</v>
      </c>
      <c r="J4599">
        <v>-400.77589999999998</v>
      </c>
      <c r="K4599">
        <v>1.1085989999999999</v>
      </c>
      <c r="L4599">
        <v>21.033259999999999</v>
      </c>
      <c r="M4599">
        <v>0.95853920000000004</v>
      </c>
      <c r="N4599">
        <v>0</v>
      </c>
      <c r="O4599">
        <v>-0.28463889999999997</v>
      </c>
      <c r="P4599">
        <v>0.99881759999999997</v>
      </c>
      <c r="Q4599">
        <v>4.8053989999999998E-2</v>
      </c>
      <c r="R4599">
        <v>-7.3790699999999997E-3</v>
      </c>
      <c r="S4599">
        <v>3.0119020000000001</v>
      </c>
      <c r="T4599">
        <v>-0.2165871</v>
      </c>
      <c r="U4599">
        <v>-0.20523069999999999</v>
      </c>
      <c r="V4599">
        <v>-0.2777715</v>
      </c>
      <c r="W4599">
        <v>5.8657170000000002E-2</v>
      </c>
      <c r="X4599">
        <v>0.95885469999999895</v>
      </c>
      <c r="Y4599">
        <v>-0.2175676</v>
      </c>
      <c r="Z4599">
        <v>2.7958920000000002E-2</v>
      </c>
      <c r="AA4599">
        <v>0.97564470000000003</v>
      </c>
      <c r="AB4599">
        <v>24</v>
      </c>
      <c r="AC4599">
        <v>15.3003999999999</v>
      </c>
      <c r="AD4599">
        <v>-1.10860124517499</v>
      </c>
      <c r="AE4599">
        <v>-1.0187299999999999</v>
      </c>
      <c r="AF4599">
        <v>-3.3613375121137401</v>
      </c>
      <c r="AG4599">
        <v>-1.10860124517499</v>
      </c>
      <c r="AH4599">
        <v>14.8796036531966</v>
      </c>
      <c r="AI4599">
        <v>94.1565773407644</v>
      </c>
      <c r="AJ4599">
        <v>102.729583874466</v>
      </c>
      <c r="AK4599">
        <v>15.294776607305099</v>
      </c>
    </row>
    <row r="4600" spans="1:37" x14ac:dyDescent="0.2">
      <c r="A4600" t="str">
        <f>"20200111153525898"</f>
        <v>20200111153525898</v>
      </c>
      <c r="B4600" t="str">
        <f>"1578728125891024"</f>
        <v>1578728125891024</v>
      </c>
      <c r="C4600" t="s">
        <v>37</v>
      </c>
      <c r="D4600">
        <v>4.9462900000000003</v>
      </c>
      <c r="E4600">
        <v>0.52011540000000001</v>
      </c>
      <c r="F4600" t="s">
        <v>66</v>
      </c>
      <c r="G4600">
        <v>-385.3954</v>
      </c>
      <c r="H4600" s="1">
        <v>-2.283299E-6</v>
      </c>
      <c r="I4600">
        <v>20.015699999999999</v>
      </c>
      <c r="J4600">
        <v>-400.64359999999999</v>
      </c>
      <c r="K4600">
        <v>1.108535</v>
      </c>
      <c r="L4600">
        <v>20.997409999999999</v>
      </c>
      <c r="M4600">
        <v>0.95941620000000005</v>
      </c>
      <c r="N4600">
        <v>0</v>
      </c>
      <c r="O4600">
        <v>-0.28166849999999999</v>
      </c>
      <c r="P4600">
        <v>0.99884569999999995</v>
      </c>
      <c r="Q4600">
        <v>4.7864400000000001E-2</v>
      </c>
      <c r="R4600">
        <v>-4.0601450000000002E-3</v>
      </c>
      <c r="S4600">
        <v>3.012543</v>
      </c>
      <c r="T4600">
        <v>-0.21713979999999899</v>
      </c>
      <c r="U4600">
        <v>-0.1993103</v>
      </c>
      <c r="V4600">
        <v>-0.27797870000000002</v>
      </c>
      <c r="W4600">
        <v>5.8504840000000002E-2</v>
      </c>
      <c r="X4600">
        <v>0.95880399999999999</v>
      </c>
      <c r="Y4600">
        <v>-0.21647159999999999</v>
      </c>
      <c r="Z4600">
        <v>2.7782270000000001E-2</v>
      </c>
      <c r="AA4600">
        <v>0.97589359999999903</v>
      </c>
      <c r="AB4600">
        <v>24</v>
      </c>
      <c r="AC4600">
        <v>15.248199999999899</v>
      </c>
      <c r="AD4600">
        <v>-1.1085372832989999</v>
      </c>
      <c r="AE4600">
        <v>-0.98171000000000297</v>
      </c>
      <c r="AF4600">
        <v>-3.3358189072234801</v>
      </c>
      <c r="AG4600">
        <v>-1.1085372832989999</v>
      </c>
      <c r="AH4600">
        <v>14.829201892690801</v>
      </c>
      <c r="AI4600">
        <v>94.171264957395493</v>
      </c>
      <c r="AJ4600">
        <v>102.677619723787</v>
      </c>
      <c r="AK4600">
        <v>15.240136858454999</v>
      </c>
    </row>
    <row r="4601" spans="1:37" x14ac:dyDescent="0.2">
      <c r="A4601" t="str">
        <f>"20200111153525911"</f>
        <v>20200111153525911</v>
      </c>
      <c r="B4601" t="str">
        <f>"1578728125900784"</f>
        <v>1578728125900784</v>
      </c>
      <c r="C4601" t="s">
        <v>37</v>
      </c>
      <c r="D4601">
        <v>4.9498069999999998</v>
      </c>
      <c r="E4601">
        <v>0.52035679999999995</v>
      </c>
      <c r="F4601" t="s">
        <v>66</v>
      </c>
      <c r="G4601">
        <v>-385.35640000000001</v>
      </c>
      <c r="H4601" s="1">
        <v>-2.304855E-6</v>
      </c>
      <c r="I4601">
        <v>20.0274</v>
      </c>
      <c r="J4601">
        <v>-400.5145</v>
      </c>
      <c r="K4601">
        <v>1.1084639999999999</v>
      </c>
      <c r="L4601">
        <v>20.963069999999998</v>
      </c>
      <c r="M4601">
        <v>0.96023549999999902</v>
      </c>
      <c r="N4601">
        <v>0</v>
      </c>
      <c r="O4601">
        <v>-0.27886290000000002</v>
      </c>
      <c r="P4601">
        <v>0.99884499999999998</v>
      </c>
      <c r="Q4601">
        <v>4.8032150000000003E-2</v>
      </c>
      <c r="R4601">
        <v>-1.073889E-3</v>
      </c>
      <c r="S4601">
        <v>3.013153</v>
      </c>
      <c r="T4601">
        <v>-0.21849730000000001</v>
      </c>
      <c r="U4601">
        <v>-0.19119259999999999</v>
      </c>
      <c r="V4601">
        <v>-0.27803159999999999</v>
      </c>
      <c r="W4601">
        <v>5.8713330000000001E-2</v>
      </c>
      <c r="X4601">
        <v>0.95877590000000001</v>
      </c>
      <c r="Y4601">
        <v>-0.2162415</v>
      </c>
      <c r="Z4601">
        <v>2.7750190000000001E-2</v>
      </c>
      <c r="AA4601">
        <v>0.97594550000000002</v>
      </c>
      <c r="AB4601">
        <v>24</v>
      </c>
      <c r="AC4601">
        <v>15.1580999999999</v>
      </c>
      <c r="AD4601">
        <v>-1.1084663048549901</v>
      </c>
      <c r="AE4601">
        <v>-0.935670000000001</v>
      </c>
      <c r="AF4601">
        <v>-3.31123342693513</v>
      </c>
      <c r="AG4601">
        <v>-1.1084663048549901</v>
      </c>
      <c r="AH4601">
        <v>14.7391081910199</v>
      </c>
      <c r="AI4601">
        <v>94.196665702596604</v>
      </c>
      <c r="AJ4601">
        <v>102.661638138268</v>
      </c>
      <c r="AK4601">
        <v>15.147087991532899</v>
      </c>
    </row>
    <row r="4602" spans="1:37" x14ac:dyDescent="0.2">
      <c r="A4602" t="str">
        <f>"20200111153525932"</f>
        <v>20200111153525932</v>
      </c>
      <c r="B4602" t="str">
        <f>"1578728125920303"</f>
        <v>1578728125920303</v>
      </c>
      <c r="C4602" t="s">
        <v>37</v>
      </c>
      <c r="D4602">
        <v>4.9683479999999998</v>
      </c>
      <c r="E4602">
        <v>0.52081980000000005</v>
      </c>
      <c r="F4602" t="s">
        <v>66</v>
      </c>
      <c r="G4602">
        <v>-385.21780000000001</v>
      </c>
      <c r="H4602" s="1">
        <v>-2.3705209999999999E-6</v>
      </c>
      <c r="I4602">
        <v>20.027809999999999</v>
      </c>
      <c r="J4602">
        <v>-400.31819999999999</v>
      </c>
      <c r="K4602">
        <v>1.1083639999999999</v>
      </c>
      <c r="L4602">
        <v>20.911249999999999</v>
      </c>
      <c r="M4602">
        <v>0.96143969999999901</v>
      </c>
      <c r="N4602">
        <v>0</v>
      </c>
      <c r="O4602">
        <v>-0.27468330000000002</v>
      </c>
      <c r="P4602">
        <v>0.99881450000000005</v>
      </c>
      <c r="Q4602">
        <v>4.8587690000000003E-2</v>
      </c>
      <c r="R4602">
        <v>3.02387099999999E-3</v>
      </c>
      <c r="S4602">
        <v>3.013763</v>
      </c>
      <c r="T4602">
        <v>-0.21838959999999999</v>
      </c>
      <c r="U4602">
        <v>-0.18426509999999999</v>
      </c>
      <c r="V4602">
        <v>-0.27777590000000002</v>
      </c>
      <c r="W4602">
        <v>5.9335939999999997E-2</v>
      </c>
      <c r="X4602">
        <v>0.95881159999999999</v>
      </c>
      <c r="Y4602">
        <v>-0.21425909999999901</v>
      </c>
      <c r="Z4602">
        <v>2.7371199999999998E-2</v>
      </c>
      <c r="AA4602">
        <v>0.97639330000000002</v>
      </c>
      <c r="AB4602">
        <v>24</v>
      </c>
      <c r="AC4602">
        <v>15.100399999999899</v>
      </c>
      <c r="AD4602">
        <v>-1.1083663705209901</v>
      </c>
      <c r="AE4602">
        <v>-0.88343999999999601</v>
      </c>
      <c r="AF4602">
        <v>-3.2811379811382202</v>
      </c>
      <c r="AG4602">
        <v>-1.1083663705209901</v>
      </c>
      <c r="AH4602">
        <v>14.6833025861485</v>
      </c>
      <c r="AI4602">
        <v>94.213250781129503</v>
      </c>
      <c r="AJ4602">
        <v>102.596398729223</v>
      </c>
      <c r="AK4602">
        <v>15.086209507327</v>
      </c>
    </row>
    <row r="4603" spans="1:37" x14ac:dyDescent="0.2">
      <c r="A4603" t="str">
        <f>"20200111153525947"</f>
        <v>20200111153525947</v>
      </c>
      <c r="B4603" t="str">
        <f>"1578728125940799"</f>
        <v>1578728125940799</v>
      </c>
      <c r="C4603" t="s">
        <v>37</v>
      </c>
      <c r="D4603">
        <v>4.9561019999999996</v>
      </c>
      <c r="E4603">
        <v>0.52132489999999998</v>
      </c>
      <c r="F4603" t="s">
        <v>66</v>
      </c>
      <c r="G4603">
        <v>-384.96429999999998</v>
      </c>
      <c r="H4603" s="1">
        <v>-2.4872270000000002E-6</v>
      </c>
      <c r="I4603">
        <v>20.01614</v>
      </c>
      <c r="J4603">
        <v>-400.15660000000003</v>
      </c>
      <c r="K4603">
        <v>1.108271</v>
      </c>
      <c r="L4603">
        <v>20.869199999999999</v>
      </c>
      <c r="M4603">
        <v>0.962387199999999</v>
      </c>
      <c r="N4603">
        <v>0</v>
      </c>
      <c r="O4603">
        <v>-0.271345</v>
      </c>
      <c r="P4603">
        <v>0.99878040000000001</v>
      </c>
      <c r="Q4603">
        <v>4.9028139999999998E-2</v>
      </c>
      <c r="R4603">
        <v>5.8344399999999998E-3</v>
      </c>
      <c r="S4603">
        <v>3.01464799999999</v>
      </c>
      <c r="T4603">
        <v>-0.2176207</v>
      </c>
      <c r="U4603">
        <v>-0.17575070000000001</v>
      </c>
      <c r="V4603">
        <v>-0.27712969999999998</v>
      </c>
      <c r="W4603">
        <v>5.9838120000000002E-2</v>
      </c>
      <c r="X4603">
        <v>0.95896740000000003</v>
      </c>
      <c r="Y4603">
        <v>-0.21365419999999999</v>
      </c>
      <c r="Z4603">
        <v>2.7017139999999999E-2</v>
      </c>
      <c r="AA4603">
        <v>0.97653570000000001</v>
      </c>
      <c r="AB4603">
        <v>24</v>
      </c>
      <c r="AC4603">
        <v>15.192299999999999</v>
      </c>
      <c r="AD4603">
        <v>-1.1082734872269999</v>
      </c>
      <c r="AE4603">
        <v>-0.85305999999999904</v>
      </c>
      <c r="AF4603">
        <v>-3.2842595851774998</v>
      </c>
      <c r="AG4603">
        <v>-1.1082734872269999</v>
      </c>
      <c r="AH4603">
        <v>14.7753240131713</v>
      </c>
      <c r="AI4603">
        <v>94.187800186261001</v>
      </c>
      <c r="AJ4603">
        <v>102.531964391134</v>
      </c>
      <c r="AK4603">
        <v>15.176456465180401</v>
      </c>
    </row>
    <row r="4604" spans="1:37" x14ac:dyDescent="0.2">
      <c r="A4604" t="str">
        <f>"20200111153525963"</f>
        <v>20200111153525963</v>
      </c>
      <c r="B4604" t="str">
        <f>"1578728125960322"</f>
        <v>1578728125960322</v>
      </c>
      <c r="C4604" t="s">
        <v>37</v>
      </c>
      <c r="D4604">
        <v>4.9546449999999904</v>
      </c>
      <c r="E4604">
        <v>0.52186520000000003</v>
      </c>
      <c r="F4604" t="s">
        <v>66</v>
      </c>
      <c r="G4604">
        <v>-385.18819999999999</v>
      </c>
      <c r="H4604" s="1">
        <v>-2.3817960000000001E-6</v>
      </c>
      <c r="I4604">
        <v>20.017589999999998</v>
      </c>
      <c r="J4604">
        <v>-399.98719999999997</v>
      </c>
      <c r="K4604">
        <v>1.1081729999999901</v>
      </c>
      <c r="L4604">
        <v>20.825620000000001</v>
      </c>
      <c r="M4604">
        <v>0.96333930000000001</v>
      </c>
      <c r="N4604">
        <v>0</v>
      </c>
      <c r="O4604">
        <v>-0.26794629999999903</v>
      </c>
      <c r="P4604">
        <v>0.99878419999999901</v>
      </c>
      <c r="Q4604">
        <v>4.8494540000000003E-2</v>
      </c>
      <c r="R4604">
        <v>8.8487269999999903E-3</v>
      </c>
      <c r="S4604">
        <v>3.015625</v>
      </c>
      <c r="T4604">
        <v>-0.22327949999999999</v>
      </c>
      <c r="U4604">
        <v>-0.17156979999999999</v>
      </c>
      <c r="V4604">
        <v>-0.27662569999999997</v>
      </c>
      <c r="W4604">
        <v>5.9368310000000001E-2</v>
      </c>
      <c r="X4604">
        <v>0.9591421</v>
      </c>
      <c r="Y4604">
        <v>-0.21152399999999999</v>
      </c>
      <c r="Z4604">
        <v>2.7389320000000002E-2</v>
      </c>
      <c r="AA4604">
        <v>0.976989</v>
      </c>
      <c r="AB4604">
        <v>24</v>
      </c>
      <c r="AC4604">
        <v>14.7989999999999</v>
      </c>
      <c r="AD4604">
        <v>-1.1081753817959901</v>
      </c>
      <c r="AE4604">
        <v>-0.80803000000000202</v>
      </c>
      <c r="AF4604">
        <v>-3.16950111016933</v>
      </c>
      <c r="AG4604">
        <v>-1.1081753817959901</v>
      </c>
      <c r="AH4604">
        <v>14.393815167570599</v>
      </c>
      <c r="AI4604">
        <v>94.299888314537398</v>
      </c>
      <c r="AJ4604">
        <v>102.418283704323</v>
      </c>
      <c r="AK4604">
        <v>14.780247123859899</v>
      </c>
    </row>
    <row r="4605" spans="1:37" x14ac:dyDescent="0.2">
      <c r="A4605" t="str">
        <f>"20200111153525976"</f>
        <v>20200111153525976</v>
      </c>
      <c r="B4605" t="str">
        <f>"1578728125971056"</f>
        <v>1578728125971056</v>
      </c>
      <c r="C4605" t="s">
        <v>37</v>
      </c>
      <c r="D4605">
        <v>4.9341220000000003</v>
      </c>
      <c r="E4605">
        <v>0.52225129999999997</v>
      </c>
      <c r="F4605" t="s">
        <v>66</v>
      </c>
      <c r="G4605">
        <v>-385.1481</v>
      </c>
      <c r="H4605" s="1">
        <v>-2.3974460000000001E-6</v>
      </c>
      <c r="I4605">
        <v>20.005210000000002</v>
      </c>
      <c r="J4605">
        <v>-399.84129999999999</v>
      </c>
      <c r="K4605">
        <v>1.1080829999999999</v>
      </c>
      <c r="L4605">
        <v>20.78848</v>
      </c>
      <c r="M4605">
        <v>0.96412710000000001</v>
      </c>
      <c r="N4605">
        <v>0</v>
      </c>
      <c r="O4605">
        <v>-0.26509840000000001</v>
      </c>
      <c r="P4605">
        <v>0.9987568</v>
      </c>
      <c r="Q4605">
        <v>4.8582979999999998E-2</v>
      </c>
      <c r="R4605">
        <v>1.117843E-2</v>
      </c>
      <c r="S4605">
        <v>3.0160520000000002</v>
      </c>
      <c r="T4605">
        <v>-0.22523609999999999</v>
      </c>
      <c r="U4605">
        <v>-0.16674800000000001</v>
      </c>
      <c r="V4605">
        <v>-0.27601500000000001</v>
      </c>
      <c r="W4605">
        <v>5.9514919999999999E-2</v>
      </c>
      <c r="X4605">
        <v>0.95930899999999997</v>
      </c>
      <c r="Y4605">
        <v>-0.21018979999999901</v>
      </c>
      <c r="Z4605">
        <v>2.7371889999999999E-2</v>
      </c>
      <c r="AA4605">
        <v>0.97727730000000002</v>
      </c>
      <c r="AB4605">
        <v>24</v>
      </c>
      <c r="AC4605">
        <v>14.6931999999999</v>
      </c>
      <c r="AD4605">
        <v>-1.1080853974459901</v>
      </c>
      <c r="AE4605">
        <v>-0.78326999999999802</v>
      </c>
      <c r="AF4605">
        <v>-3.1225485435623601</v>
      </c>
      <c r="AG4605">
        <v>-1.1080853974459901</v>
      </c>
      <c r="AH4605">
        <v>14.2939971974738</v>
      </c>
      <c r="AI4605">
        <v>94.331028376509195</v>
      </c>
      <c r="AJ4605">
        <v>102.32277755782199</v>
      </c>
      <c r="AK4605">
        <v>14.672986012953301</v>
      </c>
    </row>
    <row r="4606" spans="1:37" x14ac:dyDescent="0.2">
      <c r="A4606" t="str">
        <f>"20200111153525990"</f>
        <v>20200111153525990</v>
      </c>
      <c r="B4606" t="str">
        <f>"1578728125980815"</f>
        <v>1578728125980815</v>
      </c>
      <c r="C4606" t="s">
        <v>37</v>
      </c>
      <c r="D4606">
        <v>5.0080220000000004</v>
      </c>
      <c r="E4606">
        <v>0.52259250000000002</v>
      </c>
      <c r="F4606" t="s">
        <v>66</v>
      </c>
      <c r="G4606">
        <v>-384.95030000000003</v>
      </c>
      <c r="H4606" s="1">
        <v>-2.4854310000000002E-6</v>
      </c>
      <c r="I4606">
        <v>19.984459999999999</v>
      </c>
      <c r="J4606">
        <v>-399.70549999999997</v>
      </c>
      <c r="K4606">
        <v>1.1080030000000001</v>
      </c>
      <c r="L4606">
        <v>20.75433</v>
      </c>
      <c r="M4606">
        <v>0.96482860000000004</v>
      </c>
      <c r="N4606">
        <v>0</v>
      </c>
      <c r="O4606">
        <v>-0.26253379999999998</v>
      </c>
      <c r="P4606">
        <v>0.99875499999999995</v>
      </c>
      <c r="Q4606">
        <v>4.806291E-2</v>
      </c>
      <c r="R4606">
        <v>1.335764E-2</v>
      </c>
      <c r="S4606">
        <v>3.0165099999999998</v>
      </c>
      <c r="T4606">
        <v>-0.22446740000000001</v>
      </c>
      <c r="U4606">
        <v>-0.1628723</v>
      </c>
      <c r="V4606">
        <v>-0.27554780000000001</v>
      </c>
      <c r="W4606">
        <v>5.9047019999999999E-2</v>
      </c>
      <c r="X4606">
        <v>0.9594722</v>
      </c>
      <c r="Y4606">
        <v>-0.2088701</v>
      </c>
      <c r="Z4606">
        <v>2.704291E-2</v>
      </c>
      <c r="AA4606">
        <v>0.97756939999999903</v>
      </c>
      <c r="AB4606">
        <v>24</v>
      </c>
      <c r="AC4606">
        <v>14.755199999999901</v>
      </c>
      <c r="AD4606">
        <v>-1.108005485431</v>
      </c>
      <c r="AE4606">
        <v>-0.76986999999999695</v>
      </c>
      <c r="AF4606">
        <v>-3.1137204784295598</v>
      </c>
      <c r="AG4606">
        <v>-1.108005485431</v>
      </c>
      <c r="AH4606">
        <v>14.358919768561901</v>
      </c>
      <c r="AI4606">
        <v>94.312640782275295</v>
      </c>
      <c r="AJ4606">
        <v>102.235112553782</v>
      </c>
      <c r="AK4606">
        <v>14.734364875811099</v>
      </c>
    </row>
    <row r="4607" spans="1:37" x14ac:dyDescent="0.2">
      <c r="A4607" t="str">
        <f>"20200111153526008"</f>
        <v>20200111153526008</v>
      </c>
      <c r="B4607" t="str">
        <f>"1578728126001099"</f>
        <v>1578728126001099</v>
      </c>
      <c r="C4607" t="s">
        <v>37</v>
      </c>
      <c r="D4607">
        <v>4.9420599999999997</v>
      </c>
      <c r="E4607">
        <v>0.5230532</v>
      </c>
      <c r="F4607" t="s">
        <v>66</v>
      </c>
      <c r="G4607">
        <v>-384.83010000000002</v>
      </c>
      <c r="H4607" s="1">
        <v>-2.53844E-6</v>
      </c>
      <c r="I4607">
        <v>19.97017</v>
      </c>
      <c r="J4607">
        <v>-399.51870000000002</v>
      </c>
      <c r="K4607">
        <v>1.107888</v>
      </c>
      <c r="L4607">
        <v>20.707789999999999</v>
      </c>
      <c r="M4607">
        <v>0.96575659999999897</v>
      </c>
      <c r="N4607">
        <v>0</v>
      </c>
      <c r="O4607">
        <v>-0.2591001</v>
      </c>
      <c r="P4607">
        <v>0.99874699999999905</v>
      </c>
      <c r="Q4607">
        <v>4.7733310000000001E-2</v>
      </c>
      <c r="R4607">
        <v>1.503868E-2</v>
      </c>
      <c r="S4607">
        <v>3.0166930000000001</v>
      </c>
      <c r="T4607">
        <v>-0.22470090000000001</v>
      </c>
      <c r="U4607">
        <v>-0.1590271</v>
      </c>
      <c r="V4607">
        <v>-0.27373359999999902</v>
      </c>
      <c r="W4607">
        <v>5.8800440000000002E-2</v>
      </c>
      <c r="X4607">
        <v>0.96000649999999998</v>
      </c>
      <c r="Y4607">
        <v>-0.20664979999999999</v>
      </c>
      <c r="Z4607">
        <v>2.6741060000000001E-2</v>
      </c>
      <c r="AA4607">
        <v>0.97804950000000002</v>
      </c>
      <c r="AB4607">
        <v>24</v>
      </c>
      <c r="AC4607">
        <v>14.688599999999999</v>
      </c>
      <c r="AD4607">
        <v>-1.10789053844</v>
      </c>
      <c r="AE4607">
        <v>-0.73761999999999905</v>
      </c>
      <c r="AF4607">
        <v>-3.07628003560612</v>
      </c>
      <c r="AG4607">
        <v>-1.10789053844</v>
      </c>
      <c r="AH4607">
        <v>14.2969035127248</v>
      </c>
      <c r="AI4607">
        <v>94.332323706925905</v>
      </c>
      <c r="AJ4607">
        <v>102.143248404772</v>
      </c>
      <c r="AK4607">
        <v>14.666027763331099</v>
      </c>
    </row>
    <row r="4608" spans="1:37" x14ac:dyDescent="0.2">
      <c r="A4608" t="str">
        <f>"20200111153526021"</f>
        <v>20200111153526021</v>
      </c>
      <c r="B4608" t="str">
        <f>"1578728126010862"</f>
        <v>1578728126010862</v>
      </c>
      <c r="C4608" t="s">
        <v>37</v>
      </c>
      <c r="D4608">
        <v>4.9382039999999998</v>
      </c>
      <c r="E4608">
        <v>0.52327970000000001</v>
      </c>
      <c r="F4608" t="s">
        <v>66</v>
      </c>
      <c r="G4608">
        <v>-384.38959999999997</v>
      </c>
      <c r="H4608" s="1">
        <v>-2.7327710000000002E-6</v>
      </c>
      <c r="I4608">
        <v>19.918060000000001</v>
      </c>
      <c r="J4608">
        <v>-399.3861</v>
      </c>
      <c r="K4608">
        <v>1.10781</v>
      </c>
      <c r="L4608">
        <v>20.675079999999902</v>
      </c>
      <c r="M4608">
        <v>0.96638950000000001</v>
      </c>
      <c r="N4608">
        <v>0</v>
      </c>
      <c r="O4608">
        <v>-0.25672909999999999</v>
      </c>
      <c r="P4608">
        <v>0.99873880000000004</v>
      </c>
      <c r="Q4608">
        <v>4.7452429999999997E-2</v>
      </c>
      <c r="R4608">
        <v>1.64107E-2</v>
      </c>
      <c r="S4608">
        <v>3.0166930000000001</v>
      </c>
      <c r="T4608">
        <v>-0.22091089999999999</v>
      </c>
      <c r="U4608">
        <v>-0.15747069999999999</v>
      </c>
      <c r="V4608">
        <v>-0.27268599999999998</v>
      </c>
      <c r="W4608">
        <v>5.8576709999999997E-2</v>
      </c>
      <c r="X4608">
        <v>0.96031819999999901</v>
      </c>
      <c r="Y4608">
        <v>-0.2048053</v>
      </c>
      <c r="Z4608">
        <v>2.6056380000000001E-2</v>
      </c>
      <c r="AA4608">
        <v>0.97845579999999999</v>
      </c>
      <c r="AB4608">
        <v>24</v>
      </c>
      <c r="AC4608">
        <v>14.996499999999999</v>
      </c>
      <c r="AD4608">
        <v>-1.1078127327709999</v>
      </c>
      <c r="AE4608">
        <v>-0.75701999999999703</v>
      </c>
      <c r="AF4608">
        <v>-3.1018610228713701</v>
      </c>
      <c r="AG4608">
        <v>-1.1078127327709999</v>
      </c>
      <c r="AH4608">
        <v>14.608625785584501</v>
      </c>
      <c r="AI4608">
        <v>94.242377056571598</v>
      </c>
      <c r="AJ4608">
        <v>101.98762272951799</v>
      </c>
      <c r="AK4608">
        <v>14.9753376656202</v>
      </c>
    </row>
    <row r="4609" spans="1:37" x14ac:dyDescent="0.2">
      <c r="A4609" t="str">
        <f>"20200111153526034"</f>
        <v>20200111153526034</v>
      </c>
      <c r="B4609" t="str">
        <f>"1578728126030379"</f>
        <v>1578728126030379</v>
      </c>
      <c r="C4609" t="s">
        <v>37</v>
      </c>
      <c r="D4609">
        <v>4.8904860000000001</v>
      </c>
      <c r="E4609">
        <v>0.52349690000000004</v>
      </c>
      <c r="F4609" t="s">
        <v>66</v>
      </c>
      <c r="G4609">
        <v>-384.1671</v>
      </c>
      <c r="H4609" s="1">
        <v>-2.8314839999999999E-6</v>
      </c>
      <c r="I4609">
        <v>19.893750000000001</v>
      </c>
      <c r="J4609">
        <v>-399.25229999999999</v>
      </c>
      <c r="K4609">
        <v>1.107734</v>
      </c>
      <c r="L4609">
        <v>20.642329999999902</v>
      </c>
      <c r="M4609">
        <v>0.96700269999999999</v>
      </c>
      <c r="N4609">
        <v>0</v>
      </c>
      <c r="O4609">
        <v>-0.25441029999999998</v>
      </c>
      <c r="P4609">
        <v>0.99871209999999899</v>
      </c>
      <c r="Q4609">
        <v>4.7446349999999998E-2</v>
      </c>
      <c r="R4609">
        <v>1.7973119999999999E-2</v>
      </c>
      <c r="S4609">
        <v>3.0167540000000002</v>
      </c>
      <c r="T4609">
        <v>-0.21959409999999999</v>
      </c>
      <c r="U4609">
        <v>-0.15487670000000001</v>
      </c>
      <c r="V4609">
        <v>-0.27187230000000001</v>
      </c>
      <c r="W4609">
        <v>5.8622889999999997E-2</v>
      </c>
      <c r="X4609">
        <v>0.96054609999999996</v>
      </c>
      <c r="Y4609">
        <v>-0.2033219</v>
      </c>
      <c r="Z4609">
        <v>2.568459E-2</v>
      </c>
      <c r="AA4609">
        <v>0.97877499999999995</v>
      </c>
      <c r="AB4609">
        <v>24</v>
      </c>
      <c r="AC4609">
        <v>15.085199999999899</v>
      </c>
      <c r="AD4609">
        <v>-1.1077368314839999</v>
      </c>
      <c r="AE4609">
        <v>-0.74857999999999603</v>
      </c>
      <c r="AF4609">
        <v>-3.09757161326751</v>
      </c>
      <c r="AG4609">
        <v>-1.1077368314839999</v>
      </c>
      <c r="AH4609">
        <v>14.7001421687159</v>
      </c>
      <c r="AI4609">
        <v>94.217146259655905</v>
      </c>
      <c r="AJ4609">
        <v>101.899125913288</v>
      </c>
      <c r="AK4609">
        <v>15.063738266698801</v>
      </c>
    </row>
    <row r="4610" spans="1:37" x14ac:dyDescent="0.2">
      <c r="A4610" t="str">
        <f>"20200111153526052"</f>
        <v>20200111153526052</v>
      </c>
      <c r="B4610" t="str">
        <f>"1578728126041116"</f>
        <v>1578728126041116</v>
      </c>
      <c r="C4610" t="s">
        <v>37</v>
      </c>
      <c r="D4610">
        <v>4.9108179999999999</v>
      </c>
      <c r="E4610">
        <v>0.52363999999999999</v>
      </c>
      <c r="F4610" t="s">
        <v>66</v>
      </c>
      <c r="G4610">
        <v>-383.78629999999998</v>
      </c>
      <c r="H4610" s="1">
        <v>-3.0035780000000002E-6</v>
      </c>
      <c r="I4610">
        <v>19.86401</v>
      </c>
      <c r="J4610">
        <v>-399.0718</v>
      </c>
      <c r="K4610">
        <v>1.1076459999999999</v>
      </c>
      <c r="L4610">
        <v>20.59863</v>
      </c>
      <c r="M4610">
        <v>0.96779740000000003</v>
      </c>
      <c r="N4610">
        <v>0</v>
      </c>
      <c r="O4610">
        <v>-0.25137150000000003</v>
      </c>
      <c r="P4610">
        <v>0.99865930000000003</v>
      </c>
      <c r="Q4610">
        <v>4.7931420000000002E-2</v>
      </c>
      <c r="R4610">
        <v>1.9555400000000001E-2</v>
      </c>
      <c r="S4610">
        <v>3.0168759999999999</v>
      </c>
      <c r="T4610">
        <v>-0.21608160000000001</v>
      </c>
      <c r="U4610">
        <v>-0.15182499999999999</v>
      </c>
      <c r="V4610">
        <v>-0.2703585</v>
      </c>
      <c r="W4610">
        <v>5.9178870000000001E-2</v>
      </c>
      <c r="X4610">
        <v>0.96093919999999999</v>
      </c>
      <c r="Y4610">
        <v>-0.20128650000000001</v>
      </c>
      <c r="Z4610">
        <v>2.499121E-2</v>
      </c>
      <c r="AA4610">
        <v>0.97921360000000002</v>
      </c>
      <c r="AB4610">
        <v>24</v>
      </c>
      <c r="AC4610">
        <v>15.285500000000001</v>
      </c>
      <c r="AD4610">
        <v>-1.107649003578</v>
      </c>
      <c r="AE4610">
        <v>-0.73461999999999905</v>
      </c>
      <c r="AF4610">
        <v>-3.1153374261984998</v>
      </c>
      <c r="AG4610">
        <v>-1.107649003578</v>
      </c>
      <c r="AH4610">
        <v>14.9012155813675</v>
      </c>
      <c r="AI4610">
        <v>94.161489837222504</v>
      </c>
      <c r="AJ4610">
        <v>101.808515138765</v>
      </c>
      <c r="AK4610">
        <v>15.2636312650886</v>
      </c>
    </row>
    <row r="4611" spans="1:37" x14ac:dyDescent="0.2">
      <c r="A4611" t="str">
        <f>"20200111153526065"</f>
        <v>20200111153526065</v>
      </c>
      <c r="B4611" t="str">
        <f>"1578728126060635"</f>
        <v>1578728126060635</v>
      </c>
      <c r="C4611" t="s">
        <v>37</v>
      </c>
      <c r="D4611">
        <v>4.9685480000000002</v>
      </c>
      <c r="E4611">
        <v>0.52402170000000003</v>
      </c>
      <c r="F4611" t="s">
        <v>66</v>
      </c>
      <c r="G4611">
        <v>-383.4135</v>
      </c>
      <c r="H4611" s="1">
        <v>-3.1702999999999898E-6</v>
      </c>
      <c r="I4611">
        <v>19.828119999999998</v>
      </c>
      <c r="J4611">
        <v>-398.94170000000003</v>
      </c>
      <c r="K4611">
        <v>1.1075820000000001</v>
      </c>
      <c r="L4611">
        <v>20.567439999999898</v>
      </c>
      <c r="M4611">
        <v>0.96834799999999999</v>
      </c>
      <c r="N4611">
        <v>0</v>
      </c>
      <c r="O4611">
        <v>-0.2492415</v>
      </c>
      <c r="P4611">
        <v>0.99857739999999995</v>
      </c>
      <c r="Q4611">
        <v>4.891699E-2</v>
      </c>
      <c r="R4611">
        <v>2.121866E-2</v>
      </c>
      <c r="S4611">
        <v>3.0171509999999899</v>
      </c>
      <c r="T4611">
        <v>-0.21342919999999899</v>
      </c>
      <c r="U4611">
        <v>-0.14846799999999999</v>
      </c>
      <c r="V4611">
        <v>-0.26982780000000001</v>
      </c>
      <c r="W4611">
        <v>6.0206530000000001E-2</v>
      </c>
      <c r="X4611">
        <v>0.96102449999999995</v>
      </c>
      <c r="Y4611">
        <v>-0.200258399999999</v>
      </c>
      <c r="Z4611">
        <v>2.4501769999999999E-2</v>
      </c>
      <c r="AA4611">
        <v>0.97943670000000005</v>
      </c>
      <c r="AB4611">
        <v>24</v>
      </c>
      <c r="AC4611">
        <v>15.5282</v>
      </c>
      <c r="AD4611">
        <v>-1.1075851702999999</v>
      </c>
      <c r="AE4611">
        <v>-0.73931999999999498</v>
      </c>
      <c r="AF4611">
        <v>-3.1387057204765698</v>
      </c>
      <c r="AG4611">
        <v>-1.1075851702999999</v>
      </c>
      <c r="AH4611">
        <v>15.1454673556057</v>
      </c>
      <c r="AI4611">
        <v>94.095861199463101</v>
      </c>
      <c r="AJ4611">
        <v>101.70808977834901</v>
      </c>
      <c r="AK4611">
        <v>15.5068823407202</v>
      </c>
    </row>
    <row r="4612" spans="1:37" x14ac:dyDescent="0.2">
      <c r="A4612" t="str">
        <f>"20200111153526078"</f>
        <v>20200111153526078</v>
      </c>
      <c r="B4612" t="str">
        <f>"1578728126070395"</f>
        <v>1578728126070395</v>
      </c>
      <c r="C4612" t="s">
        <v>37</v>
      </c>
      <c r="D4612">
        <v>4.9136839999999999</v>
      </c>
      <c r="E4612">
        <v>0.52418710000000002</v>
      </c>
      <c r="F4612" t="s">
        <v>66</v>
      </c>
      <c r="G4612">
        <v>-382.91390000000001</v>
      </c>
      <c r="H4612" s="1">
        <v>-3.3958900000000001E-6</v>
      </c>
      <c r="I4612">
        <v>19.788429999999899</v>
      </c>
      <c r="J4612">
        <v>-398.8032</v>
      </c>
      <c r="K4612">
        <v>1.1075159999999999</v>
      </c>
      <c r="L4612">
        <v>20.534420000000001</v>
      </c>
      <c r="M4612">
        <v>0.96891799999999995</v>
      </c>
      <c r="N4612">
        <v>0</v>
      </c>
      <c r="O4612">
        <v>-0.24701719999999999</v>
      </c>
      <c r="P4612">
        <v>0.99846109999999899</v>
      </c>
      <c r="Q4612">
        <v>5.0080920000000001E-2</v>
      </c>
      <c r="R4612">
        <v>2.3819119999999999E-2</v>
      </c>
      <c r="S4612">
        <v>3.0176090000000002</v>
      </c>
      <c r="T4612">
        <v>-0.20852789999999999</v>
      </c>
      <c r="U4612">
        <v>-0.14666750000000001</v>
      </c>
      <c r="V4612">
        <v>-0.27010630000000002</v>
      </c>
      <c r="W4612">
        <v>6.1405469999999997E-2</v>
      </c>
      <c r="X4612">
        <v>0.96087040000000001</v>
      </c>
      <c r="Y4612">
        <v>-0.19865829999999901</v>
      </c>
      <c r="Z4612">
        <v>2.3733069999999998E-2</v>
      </c>
      <c r="AA4612">
        <v>0.97978140000000002</v>
      </c>
      <c r="AB4612">
        <v>24</v>
      </c>
      <c r="AC4612">
        <v>15.889299999999899</v>
      </c>
      <c r="AD4612">
        <v>-1.10751939589</v>
      </c>
      <c r="AE4612">
        <v>-0.74599000000000204</v>
      </c>
      <c r="AF4612">
        <v>-3.1869666472200699</v>
      </c>
      <c r="AG4612">
        <v>-1.10751939589</v>
      </c>
      <c r="AH4612">
        <v>15.505938369911499</v>
      </c>
      <c r="AI4612">
        <v>94.002065950344303</v>
      </c>
      <c r="AJ4612">
        <v>101.61437563203199</v>
      </c>
      <c r="AK4612">
        <v>15.868757996587499</v>
      </c>
    </row>
    <row r="4613" spans="1:37" x14ac:dyDescent="0.2">
      <c r="A4613" t="str">
        <f>"20200111153526090"</f>
        <v>20200111153526090</v>
      </c>
      <c r="B4613" t="str">
        <f>"1578728126080156"</f>
        <v>1578728126080156</v>
      </c>
      <c r="C4613" t="s">
        <v>37</v>
      </c>
      <c r="D4613">
        <v>4.9624809999999897</v>
      </c>
      <c r="E4613">
        <v>0.52432019999999901</v>
      </c>
      <c r="F4613" t="s">
        <v>66</v>
      </c>
      <c r="G4613">
        <v>-382.39940000000001</v>
      </c>
      <c r="H4613" s="1">
        <v>-3.6347079999999999E-6</v>
      </c>
      <c r="I4613">
        <v>19.77197</v>
      </c>
      <c r="J4613">
        <v>-398.67759999999998</v>
      </c>
      <c r="K4613">
        <v>1.1074649999999999</v>
      </c>
      <c r="L4613">
        <v>20.504850000000001</v>
      </c>
      <c r="M4613">
        <v>0.96941180000000005</v>
      </c>
      <c r="N4613">
        <v>0</v>
      </c>
      <c r="O4613">
        <v>-0.2450727</v>
      </c>
      <c r="P4613">
        <v>0.998361099999999</v>
      </c>
      <c r="Q4613">
        <v>5.1288550000000002E-2</v>
      </c>
      <c r="R4613">
        <v>2.53992E-2</v>
      </c>
      <c r="S4613">
        <v>3.01821899999999</v>
      </c>
      <c r="T4613">
        <v>-0.2037786</v>
      </c>
      <c r="U4613">
        <v>-0.14028929999999901</v>
      </c>
      <c r="V4613">
        <v>-0.26968179999999897</v>
      </c>
      <c r="W4613">
        <v>6.2647610000000006E-2</v>
      </c>
      <c r="X4613">
        <v>0.96090949999999997</v>
      </c>
      <c r="Y4613">
        <v>-0.198819</v>
      </c>
      <c r="Z4613">
        <v>2.3069200000000002E-2</v>
      </c>
      <c r="AA4613">
        <v>0.97976469999999904</v>
      </c>
      <c r="AB4613">
        <v>24</v>
      </c>
      <c r="AC4613">
        <v>16.278199999999899</v>
      </c>
      <c r="AD4613">
        <v>-1.1074686347079901</v>
      </c>
      <c r="AE4613">
        <v>-0.73288000000000098</v>
      </c>
      <c r="AF4613">
        <v>-3.2640976076974999</v>
      </c>
      <c r="AG4613">
        <v>-1.1074686347079901</v>
      </c>
      <c r="AH4613">
        <v>15.887935480284501</v>
      </c>
      <c r="AI4613">
        <v>93.906033215801898</v>
      </c>
      <c r="AJ4613">
        <v>101.60959485369899</v>
      </c>
      <c r="AK4613">
        <v>16.257530987057098</v>
      </c>
    </row>
    <row r="4614" spans="1:37" x14ac:dyDescent="0.2">
      <c r="A4614" t="str">
        <f>"20200111153526109"</f>
        <v>20200111153526109</v>
      </c>
      <c r="B4614" t="str">
        <f>"1578728126100531"</f>
        <v>1578728126100531</v>
      </c>
      <c r="C4614" t="s">
        <v>37</v>
      </c>
      <c r="D4614">
        <v>4.9492059999999896</v>
      </c>
      <c r="E4614">
        <v>0.52456700000000001</v>
      </c>
      <c r="F4614" t="s">
        <v>66</v>
      </c>
      <c r="G4614">
        <v>-381.89599999999899</v>
      </c>
      <c r="H4614" s="1">
        <v>-3.8655069999999996E-6</v>
      </c>
      <c r="I4614">
        <v>19.74512</v>
      </c>
      <c r="J4614">
        <v>-398.48469999999998</v>
      </c>
      <c r="K4614">
        <v>1.10738799999999</v>
      </c>
      <c r="L4614">
        <v>20.459689999999998</v>
      </c>
      <c r="M4614">
        <v>0.97014730000000005</v>
      </c>
      <c r="N4614">
        <v>0</v>
      </c>
      <c r="O4614">
        <v>-0.242144999999999</v>
      </c>
      <c r="P4614">
        <v>0.99825810000000004</v>
      </c>
      <c r="Q4614">
        <v>5.2168150000000003E-2</v>
      </c>
      <c r="R4614">
        <v>2.7557950000000001E-2</v>
      </c>
      <c r="S4614">
        <v>3.0186160000000002</v>
      </c>
      <c r="T4614">
        <v>-0.19920750000000001</v>
      </c>
      <c r="U4614">
        <v>-0.13665769999999999</v>
      </c>
      <c r="V4614">
        <v>-0.26883869999999999</v>
      </c>
      <c r="W4614">
        <v>6.3579860000000002E-2</v>
      </c>
      <c r="X4614">
        <v>0.96108449999999901</v>
      </c>
      <c r="Y4614">
        <v>-0.19709689999999999</v>
      </c>
      <c r="Z4614">
        <v>2.2306510000000002E-2</v>
      </c>
      <c r="AA4614">
        <v>0.98013019999999995</v>
      </c>
      <c r="AB4614">
        <v>24</v>
      </c>
      <c r="AC4614">
        <v>16.588699999999999</v>
      </c>
      <c r="AD4614">
        <v>-1.1073918655069901</v>
      </c>
      <c r="AE4614">
        <v>-0.71456999999999804</v>
      </c>
      <c r="AF4614">
        <v>-3.30921214859324</v>
      </c>
      <c r="AG4614">
        <v>-1.1073918655069901</v>
      </c>
      <c r="AH4614">
        <v>16.195935514871099</v>
      </c>
      <c r="AI4614">
        <v>93.832552813195903</v>
      </c>
      <c r="AJ4614">
        <v>101.547930418446</v>
      </c>
      <c r="AK4614">
        <v>16.567604805464502</v>
      </c>
    </row>
    <row r="4615" spans="1:37" x14ac:dyDescent="0.2">
      <c r="A4615" t="str">
        <f>"20200111153526123"</f>
        <v>20200111153526123</v>
      </c>
      <c r="B4615" t="str">
        <f>"1578728126121029"</f>
        <v>1578728126121029</v>
      </c>
      <c r="C4615" t="s">
        <v>37</v>
      </c>
      <c r="D4615">
        <v>4.8842800000000004</v>
      </c>
      <c r="E4615">
        <v>0.52483819999999903</v>
      </c>
      <c r="F4615" t="s">
        <v>66</v>
      </c>
      <c r="G4615">
        <v>-381.28379999999999</v>
      </c>
      <c r="H4615" s="1">
        <v>-4.1441629999999997E-6</v>
      </c>
      <c r="I4615">
        <v>19.704740000000001</v>
      </c>
      <c r="J4615">
        <v>-398.34089999999998</v>
      </c>
      <c r="K4615">
        <v>1.1073299999999999</v>
      </c>
      <c r="L4615">
        <v>20.426359999999999</v>
      </c>
      <c r="M4615">
        <v>0.97067590000000004</v>
      </c>
      <c r="N4615">
        <v>0</v>
      </c>
      <c r="O4615">
        <v>-0.24001819999999999</v>
      </c>
      <c r="P4615">
        <v>0.99821539999999997</v>
      </c>
      <c r="Q4615">
        <v>5.1931369999999998E-2</v>
      </c>
      <c r="R4615">
        <v>2.948653E-2</v>
      </c>
      <c r="S4615">
        <v>3.0190730000000001</v>
      </c>
      <c r="T4615">
        <v>-0.19436800000000001</v>
      </c>
      <c r="U4615">
        <v>-0.13250729999999999</v>
      </c>
      <c r="V4615">
        <v>-0.26858140000000003</v>
      </c>
      <c r="W4615">
        <v>6.3377139999999998E-2</v>
      </c>
      <c r="X4615">
        <v>0.96116979999999996</v>
      </c>
      <c r="Y4615">
        <v>-0.1963511</v>
      </c>
      <c r="Z4615">
        <v>2.160656E-2</v>
      </c>
      <c r="AA4615">
        <v>0.98029560000000004</v>
      </c>
      <c r="AB4615">
        <v>24</v>
      </c>
      <c r="AC4615">
        <v>17.057099999999899</v>
      </c>
      <c r="AD4615">
        <v>-1.107334144163</v>
      </c>
      <c r="AE4615">
        <v>-0.72161999999999704</v>
      </c>
      <c r="AF4615">
        <v>-3.3796419282341299</v>
      </c>
      <c r="AG4615">
        <v>-1.107334144163</v>
      </c>
      <c r="AH4615">
        <v>16.661525373100901</v>
      </c>
      <c r="AI4615">
        <v>93.726645030150607</v>
      </c>
      <c r="AJ4615">
        <v>101.466368085947</v>
      </c>
      <c r="AK4615">
        <v>17.0368599286486</v>
      </c>
    </row>
    <row r="4616" spans="1:37" x14ac:dyDescent="0.2">
      <c r="A4616" t="str">
        <f>"20200111153526137"</f>
        <v>20200111153526137</v>
      </c>
      <c r="B4616" t="str">
        <f>"1578728126130788"</f>
        <v>1578728126130788</v>
      </c>
      <c r="C4616" t="s">
        <v>37</v>
      </c>
      <c r="D4616">
        <v>4.8962120000000002</v>
      </c>
      <c r="E4616">
        <v>0.524981699999999</v>
      </c>
      <c r="F4616" t="s">
        <v>66</v>
      </c>
      <c r="G4616">
        <v>-381.0677</v>
      </c>
      <c r="H4616" s="1">
        <v>-4.2417609999999998E-6</v>
      </c>
      <c r="I4616">
        <v>19.68768</v>
      </c>
      <c r="J4616">
        <v>-398.19099999999997</v>
      </c>
      <c r="K4616">
        <v>1.10727999999999</v>
      </c>
      <c r="L4616">
        <v>20.391909999999999</v>
      </c>
      <c r="M4616">
        <v>0.97120989999999996</v>
      </c>
      <c r="N4616">
        <v>0</v>
      </c>
      <c r="O4616">
        <v>-0.23784810000000001</v>
      </c>
      <c r="P4616">
        <v>0.99818009999999902</v>
      </c>
      <c r="Q4616">
        <v>5.1333650000000002E-2</v>
      </c>
      <c r="R4616">
        <v>3.1644199999999997E-2</v>
      </c>
      <c r="S4616">
        <v>3.0192869999999998</v>
      </c>
      <c r="T4616">
        <v>-0.1935587</v>
      </c>
      <c r="U4616">
        <v>-0.12911989999999901</v>
      </c>
      <c r="V4616">
        <v>-0.26850629999999998</v>
      </c>
      <c r="W4616">
        <v>6.2809420000000005E-2</v>
      </c>
      <c r="X4616">
        <v>0.96122799999999997</v>
      </c>
      <c r="Y4616">
        <v>-0.19527449999999999</v>
      </c>
      <c r="Z4616">
        <v>2.134639E-2</v>
      </c>
      <c r="AA4616">
        <v>0.98051630000000001</v>
      </c>
      <c r="AB4616">
        <v>24</v>
      </c>
      <c r="AC4616">
        <v>17.123299999999901</v>
      </c>
      <c r="AD4616">
        <v>-1.1072842417609901</v>
      </c>
      <c r="AE4616">
        <v>-0.70422999999999802</v>
      </c>
      <c r="AF4616">
        <v>-3.37500448191363</v>
      </c>
      <c r="AG4616">
        <v>-1.1072842417609901</v>
      </c>
      <c r="AH4616">
        <v>16.729488954786699</v>
      </c>
      <c r="AI4616">
        <v>93.712173285605203</v>
      </c>
      <c r="AJ4616">
        <v>101.40575194399101</v>
      </c>
      <c r="AK4616">
        <v>17.102413114333299</v>
      </c>
    </row>
    <row r="4617" spans="1:37" x14ac:dyDescent="0.2">
      <c r="A4617" t="str">
        <f>"20200111153526153"</f>
        <v>20200111153526153</v>
      </c>
      <c r="B4617" t="str">
        <f>"1578728126140549"</f>
        <v>1578728126140549</v>
      </c>
      <c r="C4617" t="s">
        <v>37</v>
      </c>
      <c r="D4617">
        <v>4.8498000000000001</v>
      </c>
      <c r="E4617">
        <v>0.52508469999999996</v>
      </c>
      <c r="F4617" t="s">
        <v>66</v>
      </c>
      <c r="G4617">
        <v>-380.98939999999999</v>
      </c>
      <c r="H4617" s="1">
        <v>-4.2782729999999997E-6</v>
      </c>
      <c r="I4617">
        <v>19.685679999999898</v>
      </c>
      <c r="J4617">
        <v>-398.03890000000001</v>
      </c>
      <c r="K4617">
        <v>1.1072379999999999</v>
      </c>
      <c r="L4617">
        <v>20.35727</v>
      </c>
      <c r="M4617">
        <v>0.97173509999999996</v>
      </c>
      <c r="N4617">
        <v>0</v>
      </c>
      <c r="O4617">
        <v>-0.23569399999999999</v>
      </c>
      <c r="P4617">
        <v>0.99816919999999898</v>
      </c>
      <c r="Q4617">
        <v>5.0277919999999997E-2</v>
      </c>
      <c r="R4617">
        <v>3.3618219999999997E-2</v>
      </c>
      <c r="S4617">
        <v>3.0193789999999998</v>
      </c>
      <c r="T4617">
        <v>-0.1943597</v>
      </c>
      <c r="U4617">
        <v>-0.1239624</v>
      </c>
      <c r="V4617">
        <v>-0.2682756</v>
      </c>
      <c r="W4617">
        <v>6.1780019999999998E-2</v>
      </c>
      <c r="X4617">
        <v>0.96135910000000002</v>
      </c>
      <c r="Y4617">
        <v>-0.19477120000000001</v>
      </c>
      <c r="Z4617">
        <v>2.1284170000000002E-2</v>
      </c>
      <c r="AA4617">
        <v>0.98061779999999998</v>
      </c>
      <c r="AB4617">
        <v>24</v>
      </c>
      <c r="AC4617">
        <v>17.049499999999998</v>
      </c>
      <c r="AD4617">
        <v>-1.107242278273</v>
      </c>
      <c r="AE4617">
        <v>-0.67159000000000102</v>
      </c>
      <c r="AF4617">
        <v>-3.3520433886739802</v>
      </c>
      <c r="AG4617">
        <v>-1.107242278273</v>
      </c>
      <c r="AH4617">
        <v>16.657242240690799</v>
      </c>
      <c r="AI4617">
        <v>93.728450136298505</v>
      </c>
      <c r="AJ4617">
        <v>101.378031873178</v>
      </c>
      <c r="AK4617">
        <v>17.027210558614701</v>
      </c>
    </row>
    <row r="4618" spans="1:37" x14ac:dyDescent="0.2">
      <c r="A4618" t="str">
        <f>"20200111153526165"</f>
        <v>20200111153526165</v>
      </c>
      <c r="B4618" t="str">
        <f>"1578728126161046"</f>
        <v>1578728126161046</v>
      </c>
      <c r="C4618" t="s">
        <v>37</v>
      </c>
      <c r="D4618">
        <v>4.8821219999999999</v>
      </c>
      <c r="E4618">
        <v>0.5253544</v>
      </c>
      <c r="F4618" t="s">
        <v>66</v>
      </c>
      <c r="G4618">
        <v>-381.07040000000001</v>
      </c>
      <c r="H4618" s="1">
        <v>-4.2409469999999997E-6</v>
      </c>
      <c r="I4618">
        <v>19.68927</v>
      </c>
      <c r="J4618">
        <v>-397.90449999999998</v>
      </c>
      <c r="K4618">
        <v>1.1072029999999999</v>
      </c>
      <c r="L4618">
        <v>20.326929999999901</v>
      </c>
      <c r="M4618">
        <v>0.97218930000000003</v>
      </c>
      <c r="N4618">
        <v>0</v>
      </c>
      <c r="O4618">
        <v>-0.23381350000000001</v>
      </c>
      <c r="P4618">
        <v>0.99810330000000003</v>
      </c>
      <c r="Q4618">
        <v>5.0669169999999999E-2</v>
      </c>
      <c r="R4618">
        <v>3.4966730000000001E-2</v>
      </c>
      <c r="S4618">
        <v>3.0194399999999999</v>
      </c>
      <c r="T4618">
        <v>-0.1970266</v>
      </c>
      <c r="U4618">
        <v>-0.118866</v>
      </c>
      <c r="V4618">
        <v>-0.26770620000000001</v>
      </c>
      <c r="W4618">
        <v>6.2193119999999998E-2</v>
      </c>
      <c r="X4618">
        <v>0.96149119999999999</v>
      </c>
      <c r="Y4618">
        <v>-0.19450719999999999</v>
      </c>
      <c r="Z4618">
        <v>2.1448459999999999E-2</v>
      </c>
      <c r="AA4618">
        <v>0.98066659999999894</v>
      </c>
      <c r="AB4618">
        <v>24</v>
      </c>
      <c r="AC4618">
        <v>16.8340999999999</v>
      </c>
      <c r="AD4618">
        <v>-1.107207240947</v>
      </c>
      <c r="AE4618">
        <v>-0.63765999999999601</v>
      </c>
      <c r="AF4618">
        <v>-3.3021464556011901</v>
      </c>
      <c r="AG4618">
        <v>-1.107207240947</v>
      </c>
      <c r="AH4618">
        <v>16.4454656923843</v>
      </c>
      <c r="AI4618">
        <v>93.776528111217701</v>
      </c>
      <c r="AJ4618">
        <v>101.35365423399899</v>
      </c>
      <c r="AK4618">
        <v>16.810217753736399</v>
      </c>
    </row>
    <row r="4619" spans="1:37" x14ac:dyDescent="0.2">
      <c r="A4619" t="str">
        <f>"20200111153526179"</f>
        <v>20200111153526179</v>
      </c>
      <c r="B4619" t="str">
        <f>"1578728126170804"</f>
        <v>1578728126170804</v>
      </c>
      <c r="C4619" t="s">
        <v>37</v>
      </c>
      <c r="D4619">
        <v>4.9034399999999998</v>
      </c>
      <c r="E4619">
        <v>0.52551459999999905</v>
      </c>
      <c r="F4619" t="s">
        <v>66</v>
      </c>
      <c r="G4619">
        <v>-380.78519999999997</v>
      </c>
      <c r="H4619" s="1">
        <v>-4.3692239999999901E-6</v>
      </c>
      <c r="I4619">
        <v>19.664839999999899</v>
      </c>
      <c r="J4619">
        <v>-397.75990000000002</v>
      </c>
      <c r="K4619">
        <v>1.107175</v>
      </c>
      <c r="L4619">
        <v>20.294460000000001</v>
      </c>
      <c r="M4619">
        <v>0.97266939999999902</v>
      </c>
      <c r="N4619">
        <v>0</v>
      </c>
      <c r="O4619">
        <v>-0.23180919999999999</v>
      </c>
      <c r="P4619">
        <v>0.99801359999999995</v>
      </c>
      <c r="Q4619">
        <v>5.1386010000000003E-2</v>
      </c>
      <c r="R4619">
        <v>3.6448849999999998E-2</v>
      </c>
      <c r="S4619">
        <v>3.0197750000000001</v>
      </c>
      <c r="T4619">
        <v>-0.19530729999999999</v>
      </c>
      <c r="U4619">
        <v>-0.1167908</v>
      </c>
      <c r="V4619">
        <v>-0.26714179999999998</v>
      </c>
      <c r="W4619">
        <v>6.2929319999999997E-2</v>
      </c>
      <c r="X4619">
        <v>0.96160029999999996</v>
      </c>
      <c r="Y4619">
        <v>-0.1931852</v>
      </c>
      <c r="Z4619">
        <v>2.1090810000000002E-2</v>
      </c>
      <c r="AA4619">
        <v>0.98093560000000002</v>
      </c>
      <c r="AB4619">
        <v>24</v>
      </c>
      <c r="AC4619">
        <v>16.974699999999999</v>
      </c>
      <c r="AD4619">
        <v>-1.107179369224</v>
      </c>
      <c r="AE4619">
        <v>-0.62962000000000196</v>
      </c>
      <c r="AF4619">
        <v>-3.3087194144812999</v>
      </c>
      <c r="AG4619">
        <v>-1.107179369224</v>
      </c>
      <c r="AH4619">
        <v>16.587738872741699</v>
      </c>
      <c r="AI4619">
        <v>93.745088049155399</v>
      </c>
      <c r="AJ4619">
        <v>101.280608248194</v>
      </c>
      <c r="AK4619">
        <v>16.950709460953799</v>
      </c>
    </row>
    <row r="4620" spans="1:37" x14ac:dyDescent="0.2">
      <c r="A4620" t="str">
        <f>"20200111153526192"</f>
        <v>20200111153526192</v>
      </c>
      <c r="B4620" t="str">
        <f>"1578728126180564"</f>
        <v>1578728126180564</v>
      </c>
      <c r="C4620" t="s">
        <v>37</v>
      </c>
      <c r="D4620">
        <v>4.9022540000000001</v>
      </c>
      <c r="E4620">
        <v>0.52566979999999996</v>
      </c>
      <c r="F4620" t="s">
        <v>66</v>
      </c>
      <c r="G4620">
        <v>-380.42860000000002</v>
      </c>
      <c r="H4620" s="1">
        <v>-4.5323499999999999E-6</v>
      </c>
      <c r="I4620">
        <v>19.644379999999899</v>
      </c>
      <c r="J4620">
        <v>-397.6234</v>
      </c>
      <c r="K4620">
        <v>1.107159</v>
      </c>
      <c r="L4620">
        <v>20.264220000000002</v>
      </c>
      <c r="M4620">
        <v>0.97311289999999995</v>
      </c>
      <c r="N4620">
        <v>0</v>
      </c>
      <c r="O4620">
        <v>-0.22994020000000001</v>
      </c>
      <c r="P4620">
        <v>0.99793889999999996</v>
      </c>
      <c r="Q4620">
        <v>5.2199080000000002E-2</v>
      </c>
      <c r="R4620">
        <v>3.7323870000000002E-2</v>
      </c>
      <c r="S4620">
        <v>3.0200499999999999</v>
      </c>
      <c r="T4620">
        <v>-0.19293150000000001</v>
      </c>
      <c r="U4620">
        <v>-0.1132813</v>
      </c>
      <c r="V4620">
        <v>-0.26612759999999902</v>
      </c>
      <c r="W4620">
        <v>6.3758309999999999E-2</v>
      </c>
      <c r="X4620">
        <v>0.96182690000000004</v>
      </c>
      <c r="Y4620">
        <v>-0.19246869999999999</v>
      </c>
      <c r="Z4620">
        <v>2.06944999999999E-2</v>
      </c>
      <c r="AA4620">
        <v>0.98108490000000004</v>
      </c>
      <c r="AB4620">
        <v>24</v>
      </c>
      <c r="AC4620">
        <v>17.194799999999901</v>
      </c>
      <c r="AD4620">
        <v>-1.10716353235</v>
      </c>
      <c r="AE4620">
        <v>-0.61984000000000306</v>
      </c>
      <c r="AF4620">
        <v>-3.33708342326267</v>
      </c>
      <c r="AG4620">
        <v>-1.10716353235</v>
      </c>
      <c r="AH4620">
        <v>16.806925475421899</v>
      </c>
      <c r="AI4620">
        <v>93.696975051833206</v>
      </c>
      <c r="AJ4620">
        <v>101.230250943231</v>
      </c>
      <c r="AK4620">
        <v>17.170750734827099</v>
      </c>
    </row>
    <row r="4621" spans="1:37" x14ac:dyDescent="0.2">
      <c r="A4621" t="str">
        <f>"20200111153526211"</f>
        <v>20200111153526211</v>
      </c>
      <c r="B4621" t="str">
        <f>"1578728126200294"</f>
        <v>1578728126200294</v>
      </c>
      <c r="C4621" t="s">
        <v>37</v>
      </c>
      <c r="D4621">
        <v>4.8787260000000003</v>
      </c>
      <c r="E4621">
        <v>0.52593699999999999</v>
      </c>
      <c r="F4621" t="s">
        <v>66</v>
      </c>
      <c r="G4621">
        <v>-380.04790000000003</v>
      </c>
      <c r="H4621" s="1">
        <v>-4.7051689999999996E-6</v>
      </c>
      <c r="I4621">
        <v>19.617439999999998</v>
      </c>
      <c r="J4621">
        <v>-397.44240000000002</v>
      </c>
      <c r="K4621">
        <v>1.1071489999999999</v>
      </c>
      <c r="L4621">
        <v>20.224429999999899</v>
      </c>
      <c r="M4621">
        <v>0.97369300000000003</v>
      </c>
      <c r="N4621">
        <v>0</v>
      </c>
      <c r="O4621">
        <v>-0.22747220000000001</v>
      </c>
      <c r="P4621">
        <v>0.99788969999999899</v>
      </c>
      <c r="Q4621">
        <v>5.3610419999999999E-2</v>
      </c>
      <c r="R4621">
        <v>3.6638539999999997E-2</v>
      </c>
      <c r="S4621">
        <v>3.0202330000000002</v>
      </c>
      <c r="T4621">
        <v>-0.19025839999999999</v>
      </c>
      <c r="U4621">
        <v>-0.11114499999999999</v>
      </c>
      <c r="V4621">
        <v>-0.26301180000000002</v>
      </c>
      <c r="W4621">
        <v>6.520012E-2</v>
      </c>
      <c r="X4621">
        <v>0.96258699999999997</v>
      </c>
      <c r="Y4621">
        <v>-0.1907075</v>
      </c>
      <c r="Z4621">
        <v>2.02005E-2</v>
      </c>
      <c r="AA4621">
        <v>0.98143910000000001</v>
      </c>
      <c r="AB4621">
        <v>24</v>
      </c>
      <c r="AC4621">
        <v>17.394499999999901</v>
      </c>
      <c r="AD4621">
        <v>-1.1071537051689999</v>
      </c>
      <c r="AE4621">
        <v>-0.60698999999999903</v>
      </c>
      <c r="AF4621">
        <v>-3.3524781332011102</v>
      </c>
      <c r="AG4621">
        <v>-1.1071537051689999</v>
      </c>
      <c r="AH4621">
        <v>17.0076799965411</v>
      </c>
      <c r="AI4621">
        <v>93.654421401435997</v>
      </c>
      <c r="AJ4621">
        <v>101.150934083884</v>
      </c>
      <c r="AK4621">
        <v>17.3702641840936</v>
      </c>
    </row>
    <row r="4622" spans="1:37" x14ac:dyDescent="0.2">
      <c r="A4622" t="str">
        <f>"20200111153526224"</f>
        <v>20200111153526224</v>
      </c>
      <c r="B4622" t="str">
        <f>"1578728126220791"</f>
        <v>1578728126220791</v>
      </c>
      <c r="C4622" t="s">
        <v>37</v>
      </c>
      <c r="D4622">
        <v>4.8760699999999897</v>
      </c>
      <c r="E4622">
        <v>0.52621879999999999</v>
      </c>
      <c r="F4622" t="s">
        <v>67</v>
      </c>
      <c r="G4622">
        <v>-379.45549999999997</v>
      </c>
      <c r="H4622" s="1">
        <v>-2.4989900000000001E-7</v>
      </c>
      <c r="I4622">
        <v>19.548389999999898</v>
      </c>
      <c r="J4622">
        <v>-397.30340000000001</v>
      </c>
      <c r="K4622">
        <v>1.10714</v>
      </c>
      <c r="L4622">
        <v>20.19415</v>
      </c>
      <c r="M4622">
        <v>0.97413269999999996</v>
      </c>
      <c r="N4622">
        <v>0</v>
      </c>
      <c r="O4622">
        <v>-0.2255819</v>
      </c>
      <c r="P4622">
        <v>0.99789859999999897</v>
      </c>
      <c r="Q4622">
        <v>5.3511469999999998E-2</v>
      </c>
      <c r="R4622">
        <v>3.6536590000000001E-2</v>
      </c>
      <c r="S4622">
        <v>3.020508</v>
      </c>
      <c r="T4622">
        <v>-0.18592129999999901</v>
      </c>
      <c r="U4622">
        <v>-0.113525399999999</v>
      </c>
      <c r="V4622">
        <v>-0.26104270000000002</v>
      </c>
      <c r="W4622">
        <v>6.5117809999999998E-2</v>
      </c>
      <c r="X4622">
        <v>0.9631284</v>
      </c>
      <c r="Y4622">
        <v>-0.1880782</v>
      </c>
      <c r="Z4622">
        <v>1.954407E-2</v>
      </c>
      <c r="AA4622">
        <v>0.98195959999999904</v>
      </c>
      <c r="AB4622">
        <v>24</v>
      </c>
      <c r="AC4622">
        <v>17.847899999999999</v>
      </c>
      <c r="AD4622">
        <v>-1.107140249899</v>
      </c>
      <c r="AE4622">
        <v>-0.645760000000002</v>
      </c>
      <c r="AF4622">
        <v>-3.3844040948603502</v>
      </c>
      <c r="AG4622">
        <v>-1.107140249899</v>
      </c>
      <c r="AH4622">
        <v>17.4663358984985</v>
      </c>
      <c r="AI4622">
        <v>93.560903207377507</v>
      </c>
      <c r="AJ4622">
        <v>100.96614997112199</v>
      </c>
      <c r="AK4622">
        <v>17.8256231400036</v>
      </c>
    </row>
    <row r="4623" spans="1:37" x14ac:dyDescent="0.2">
      <c r="A4623" t="str">
        <f>"20200111153526242"</f>
        <v>20200111153526242</v>
      </c>
      <c r="B4623" t="str">
        <f>"1578728126230551"</f>
        <v>1578728126230551</v>
      </c>
      <c r="C4623" t="s">
        <v>37</v>
      </c>
      <c r="D4623">
        <v>4.8371899999999997</v>
      </c>
      <c r="E4623">
        <v>0.52632429999999997</v>
      </c>
      <c r="F4623" t="s">
        <v>67</v>
      </c>
      <c r="G4623">
        <v>-379.42579999999998</v>
      </c>
      <c r="H4623" s="1">
        <v>-2.7039539999999998E-7</v>
      </c>
      <c r="I4623">
        <v>19.511939999999999</v>
      </c>
      <c r="J4623">
        <v>-397.11869999999999</v>
      </c>
      <c r="K4623">
        <v>1.1071299999999999</v>
      </c>
      <c r="L4623">
        <v>20.154299999999999</v>
      </c>
      <c r="M4623">
        <v>0.97471070000000004</v>
      </c>
      <c r="N4623">
        <v>0</v>
      </c>
      <c r="O4623">
        <v>-0.2230714</v>
      </c>
      <c r="P4623">
        <v>0.99804079999999995</v>
      </c>
      <c r="Q4623">
        <v>5.1886050000000003E-2</v>
      </c>
      <c r="R4623">
        <v>3.4963620000000001E-2</v>
      </c>
      <c r="S4623">
        <v>3.0205690000000001</v>
      </c>
      <c r="T4623">
        <v>-0.18706059999999999</v>
      </c>
      <c r="U4623">
        <v>-0.115264899999999</v>
      </c>
      <c r="V4623">
        <v>-0.25704879999999902</v>
      </c>
      <c r="W4623">
        <v>6.3523720000000006E-2</v>
      </c>
      <c r="X4623">
        <v>0.96430839999999995</v>
      </c>
      <c r="Y4623">
        <v>-0.18498429999999999</v>
      </c>
      <c r="Z4623">
        <v>1.9415209999999999E-2</v>
      </c>
      <c r="AA4623">
        <v>0.98254969999999997</v>
      </c>
      <c r="AB4623">
        <v>24</v>
      </c>
      <c r="AC4623">
        <v>17.692900000000002</v>
      </c>
      <c r="AD4623">
        <v>-1.1071302703954</v>
      </c>
      <c r="AE4623">
        <v>-0.64236000000000004</v>
      </c>
      <c r="AF4623">
        <v>-3.3080248383904101</v>
      </c>
      <c r="AG4623">
        <v>-1.1071302703954</v>
      </c>
      <c r="AH4623">
        <v>17.3225615467734</v>
      </c>
      <c r="AI4623">
        <v>93.592209947592195</v>
      </c>
      <c r="AJ4623">
        <v>100.811391418526</v>
      </c>
      <c r="AK4623">
        <v>17.670311381206201</v>
      </c>
    </row>
    <row r="4624" spans="1:37" x14ac:dyDescent="0.2">
      <c r="A4624" t="str">
        <f>"20200111153526253"</f>
        <v>20200111153526253</v>
      </c>
      <c r="B4624" t="str">
        <f>"1578728126251046"</f>
        <v>1578728126251046</v>
      </c>
      <c r="C4624" t="s">
        <v>37</v>
      </c>
      <c r="D4624">
        <v>4.9009919999999996</v>
      </c>
      <c r="E4624">
        <v>0.52660609999999997</v>
      </c>
      <c r="F4624" t="s">
        <v>67</v>
      </c>
      <c r="G4624">
        <v>-379.7278</v>
      </c>
      <c r="H4624" s="1">
        <v>-1.360277E-7</v>
      </c>
      <c r="I4624">
        <v>19.464729999999999</v>
      </c>
      <c r="J4624">
        <v>-396.99740000000003</v>
      </c>
      <c r="K4624">
        <v>1.1071249999999999</v>
      </c>
      <c r="L4624">
        <v>20.12848</v>
      </c>
      <c r="M4624">
        <v>0.97508629999999996</v>
      </c>
      <c r="N4624">
        <v>0</v>
      </c>
      <c r="O4624">
        <v>-0.2214235</v>
      </c>
      <c r="P4624">
        <v>0.99812459999999903</v>
      </c>
      <c r="Q4624">
        <v>5.0696159999999997E-2</v>
      </c>
      <c r="R4624">
        <v>3.4311500000000002E-2</v>
      </c>
      <c r="S4624">
        <v>3.020111</v>
      </c>
      <c r="T4624">
        <v>-0.192265299999999</v>
      </c>
      <c r="U4624">
        <v>-0.119751</v>
      </c>
      <c r="V4624">
        <v>-0.25479459999999998</v>
      </c>
      <c r="W4624">
        <v>6.2349699999999897E-2</v>
      </c>
      <c r="X4624">
        <v>0.96498300000000004</v>
      </c>
      <c r="Y4624">
        <v>-0.1818253</v>
      </c>
      <c r="Z4624">
        <v>1.9753260000000002E-2</v>
      </c>
      <c r="AA4624">
        <v>0.98313240000000002</v>
      </c>
      <c r="AB4624">
        <v>24</v>
      </c>
      <c r="AC4624">
        <v>17.269600000000001</v>
      </c>
      <c r="AD4624">
        <v>-1.1071251360276999</v>
      </c>
      <c r="AE4624">
        <v>-0.66374999999999995</v>
      </c>
      <c r="AF4624">
        <v>-3.1639806567176998</v>
      </c>
      <c r="AG4624">
        <v>-1.1071251360276999</v>
      </c>
      <c r="AH4624">
        <v>16.918405090392302</v>
      </c>
      <c r="AI4624">
        <v>93.680418814277502</v>
      </c>
      <c r="AJ4624">
        <v>100.592759564308</v>
      </c>
      <c r="AK4624">
        <v>17.247287626334799</v>
      </c>
    </row>
    <row r="4625" spans="1:37" x14ac:dyDescent="0.2">
      <c r="A4625" t="str">
        <f>"20200111153526266"</f>
        <v>20200111153526266</v>
      </c>
      <c r="B4625" t="str">
        <f>"1578728126260807"</f>
        <v>1578728126260807</v>
      </c>
      <c r="C4625" t="s">
        <v>37</v>
      </c>
      <c r="D4625">
        <v>4.878838</v>
      </c>
      <c r="E4625">
        <v>0.52671699999999999</v>
      </c>
      <c r="F4625" t="s">
        <v>67</v>
      </c>
      <c r="G4625">
        <v>-379.95479999999998</v>
      </c>
      <c r="H4625" s="1">
        <v>-5.1039629999999901E-8</v>
      </c>
      <c r="I4625">
        <v>19.43045</v>
      </c>
      <c r="J4625">
        <v>-396.86919999999998</v>
      </c>
      <c r="K4625">
        <v>1.107121</v>
      </c>
      <c r="L4625">
        <v>20.101379999999999</v>
      </c>
      <c r="M4625">
        <v>0.97548119999999905</v>
      </c>
      <c r="N4625">
        <v>0</v>
      </c>
      <c r="O4625">
        <v>-0.2196775</v>
      </c>
      <c r="P4625">
        <v>0.99821489999999902</v>
      </c>
      <c r="Q4625">
        <v>4.9356659999999997E-2</v>
      </c>
      <c r="R4625">
        <v>3.362768E-2</v>
      </c>
      <c r="S4625">
        <v>3.0198669999999899</v>
      </c>
      <c r="T4625">
        <v>-0.1961765</v>
      </c>
      <c r="U4625">
        <v>-0.1236877</v>
      </c>
      <c r="V4625">
        <v>-0.25241170000000002</v>
      </c>
      <c r="W4625">
        <v>6.1026129999999998E-2</v>
      </c>
      <c r="X4625">
        <v>0.96569359999999904</v>
      </c>
      <c r="Y4625">
        <v>-0.17875829999999901</v>
      </c>
      <c r="Z4625">
        <v>1.99445E-2</v>
      </c>
      <c r="AA4625">
        <v>0.98369089999999904</v>
      </c>
      <c r="AB4625">
        <v>24</v>
      </c>
      <c r="AC4625">
        <v>16.914400000000001</v>
      </c>
      <c r="AD4625">
        <v>-1.1071210510396301</v>
      </c>
      <c r="AE4625">
        <v>-0.67092999999999803</v>
      </c>
      <c r="AF4625">
        <v>-3.04846639255853</v>
      </c>
      <c r="AG4625">
        <v>-1.1071210510396301</v>
      </c>
      <c r="AH4625">
        <v>16.577639547572101</v>
      </c>
      <c r="AI4625">
        <v>93.757942410712701</v>
      </c>
      <c r="AJ4625">
        <v>100.41972649088601</v>
      </c>
      <c r="AK4625">
        <v>16.891921067108999</v>
      </c>
    </row>
    <row r="4626" spans="1:37" x14ac:dyDescent="0.2">
      <c r="A4626" t="str">
        <f>"20200111153526280"</f>
        <v>20200111153526280</v>
      </c>
      <c r="B4626" t="str">
        <f>"1578728126270566"</f>
        <v>1578728126270566</v>
      </c>
      <c r="C4626" t="s">
        <v>37</v>
      </c>
      <c r="D4626">
        <v>4.806063</v>
      </c>
      <c r="E4626">
        <v>0.52677669999999999</v>
      </c>
      <c r="F4626" t="s">
        <v>66</v>
      </c>
      <c r="G4626">
        <v>-380.20249999999999</v>
      </c>
      <c r="H4626" s="1">
        <v>-4.6694380000000003E-6</v>
      </c>
      <c r="I4626">
        <v>19.404019999999999</v>
      </c>
      <c r="J4626">
        <v>-396.72280000000001</v>
      </c>
      <c r="K4626">
        <v>1.1071219999999999</v>
      </c>
      <c r="L4626">
        <v>20.070679999999999</v>
      </c>
      <c r="M4626">
        <v>0.97592900000000005</v>
      </c>
      <c r="N4626">
        <v>0</v>
      </c>
      <c r="O4626">
        <v>-0.21768009999999999</v>
      </c>
      <c r="P4626">
        <v>0.99827900000000003</v>
      </c>
      <c r="Q4626">
        <v>4.8267780000000003E-2</v>
      </c>
      <c r="R4626">
        <v>3.3307160000000002E-2</v>
      </c>
      <c r="S4626">
        <v>3.0195620000000001</v>
      </c>
      <c r="T4626">
        <v>-0.20058139999999999</v>
      </c>
      <c r="U4626">
        <v>-0.12634280000000001</v>
      </c>
      <c r="V4626">
        <v>-0.25012899999999999</v>
      </c>
      <c r="W4626">
        <v>5.9952360000000003E-2</v>
      </c>
      <c r="X4626">
        <v>0.96635459999999995</v>
      </c>
      <c r="Y4626">
        <v>-0.17584900000000001</v>
      </c>
      <c r="Z4626">
        <v>2.0166509999999999E-2</v>
      </c>
      <c r="AA4626">
        <v>0.98421059999999905</v>
      </c>
      <c r="AB4626">
        <v>24</v>
      </c>
      <c r="AC4626">
        <v>16.520299999999999</v>
      </c>
      <c r="AD4626">
        <v>-1.107126669438</v>
      </c>
      <c r="AE4626">
        <v>-0.66665999999999603</v>
      </c>
      <c r="AF4626">
        <v>-2.9326403076740202</v>
      </c>
      <c r="AG4626">
        <v>-1.107126669438</v>
      </c>
      <c r="AH4626">
        <v>16.196582958267701</v>
      </c>
      <c r="AI4626">
        <v>93.848025975885903</v>
      </c>
      <c r="AJ4626">
        <v>100.263088331522</v>
      </c>
      <c r="AK4626">
        <v>16.497133331594998</v>
      </c>
    </row>
    <row r="4627" spans="1:37" x14ac:dyDescent="0.2">
      <c r="A4627" t="str">
        <f>"20200111153526292"</f>
        <v>20200111153526292</v>
      </c>
      <c r="B4627" t="str">
        <f>"1578728126280326"</f>
        <v>1578728126280326</v>
      </c>
      <c r="C4627" t="s">
        <v>37</v>
      </c>
      <c r="D4627">
        <v>4.8403929999999997</v>
      </c>
      <c r="E4627">
        <v>0.52684770000000003</v>
      </c>
      <c r="F4627" t="s">
        <v>66</v>
      </c>
      <c r="G4627">
        <v>-380.3408</v>
      </c>
      <c r="H4627" s="1">
        <v>-4.6084190000000001E-6</v>
      </c>
      <c r="I4627">
        <v>19.379539999999999</v>
      </c>
      <c r="J4627">
        <v>-396.59030000000001</v>
      </c>
      <c r="K4627">
        <v>1.1071229999999901</v>
      </c>
      <c r="L4627">
        <v>20.043240000000001</v>
      </c>
      <c r="M4627">
        <v>0.97633119999999995</v>
      </c>
      <c r="N4627">
        <v>0</v>
      </c>
      <c r="O4627">
        <v>-0.2158687</v>
      </c>
      <c r="P4627">
        <v>0.99834709999999904</v>
      </c>
      <c r="Q4627">
        <v>4.7740459999999998E-2</v>
      </c>
      <c r="R4627">
        <v>3.2003219999999999E-2</v>
      </c>
      <c r="S4627">
        <v>3.0192869999999998</v>
      </c>
      <c r="T4627">
        <v>-0.20404919999999999</v>
      </c>
      <c r="U4627">
        <v>-0.12738039999999901</v>
      </c>
      <c r="V4627">
        <v>-0.247073299999999</v>
      </c>
      <c r="W4627">
        <v>5.944638E-2</v>
      </c>
      <c r="X4627">
        <v>0.96717160000000002</v>
      </c>
      <c r="Y4627">
        <v>-0.17365949999999999</v>
      </c>
      <c r="Z4627">
        <v>2.0322360000000001E-2</v>
      </c>
      <c r="AA4627">
        <v>0.98459609999999997</v>
      </c>
      <c r="AB4627">
        <v>24</v>
      </c>
      <c r="AC4627">
        <v>16.249500000000001</v>
      </c>
      <c r="AD4627">
        <v>-1.1071276084189901</v>
      </c>
      <c r="AE4627">
        <v>-0.66370000000000196</v>
      </c>
      <c r="AF4627">
        <v>-2.8468288278356901</v>
      </c>
      <c r="AG4627">
        <v>-1.1071276084189901</v>
      </c>
      <c r="AH4627">
        <v>15.9357393081126</v>
      </c>
      <c r="AI4627">
        <v>93.912466492635303</v>
      </c>
      <c r="AJ4627">
        <v>100.12871722756201</v>
      </c>
      <c r="AK4627">
        <v>16.2258421418565</v>
      </c>
    </row>
    <row r="4628" spans="1:37" x14ac:dyDescent="0.2">
      <c r="A4628" t="str">
        <f>"20200111153526310"</f>
        <v>20200111153526310</v>
      </c>
      <c r="B4628" t="str">
        <f>"1578728126300569"</f>
        <v>1578728126300569</v>
      </c>
      <c r="C4628" t="s">
        <v>37</v>
      </c>
      <c r="D4628">
        <v>4.8341149999999997</v>
      </c>
      <c r="E4628">
        <v>0.52694919999999901</v>
      </c>
      <c r="F4628" t="s">
        <v>66</v>
      </c>
      <c r="G4628">
        <v>-380.34500000000003</v>
      </c>
      <c r="H4628" s="1">
        <v>-4.6140359999999902E-6</v>
      </c>
      <c r="I4628">
        <v>19.336639999999999</v>
      </c>
      <c r="J4628">
        <v>-396.4205</v>
      </c>
      <c r="K4628">
        <v>1.107124</v>
      </c>
      <c r="L4628">
        <v>20.00845</v>
      </c>
      <c r="M4628">
        <v>0.97684249999999995</v>
      </c>
      <c r="N4628">
        <v>0</v>
      </c>
      <c r="O4628">
        <v>-0.21354380000000001</v>
      </c>
      <c r="P4628">
        <v>0.99841639999999998</v>
      </c>
      <c r="Q4628">
        <v>4.8975980000000002E-2</v>
      </c>
      <c r="R4628">
        <v>2.7678009999999999E-2</v>
      </c>
      <c r="S4628">
        <v>3.0190429999999999</v>
      </c>
      <c r="T4628">
        <v>-0.20575009999999999</v>
      </c>
      <c r="U4628">
        <v>-0.13131709999999999</v>
      </c>
      <c r="V4628">
        <v>-0.24056439999999901</v>
      </c>
      <c r="W4628">
        <v>6.0730569999999998E-2</v>
      </c>
      <c r="X4628">
        <v>0.96873140000000002</v>
      </c>
      <c r="Y4628">
        <v>-0.17002809999999999</v>
      </c>
      <c r="Z4628">
        <v>2.0213410000000001E-2</v>
      </c>
      <c r="AA4628">
        <v>0.98523189999999905</v>
      </c>
      <c r="AB4628">
        <v>24</v>
      </c>
      <c r="AC4628">
        <v>16.075499999999899</v>
      </c>
      <c r="AD4628">
        <v>-1.1071286140359999</v>
      </c>
      <c r="AE4628">
        <v>-0.67181000000000002</v>
      </c>
      <c r="AF4628">
        <v>-2.7637316842718498</v>
      </c>
      <c r="AG4628">
        <v>-1.1071286140359999</v>
      </c>
      <c r="AH4628">
        <v>15.773415940007499</v>
      </c>
      <c r="AI4628">
        <v>93.954925110760399</v>
      </c>
      <c r="AJ4628">
        <v>99.938171573155401</v>
      </c>
      <c r="AK4628">
        <v>16.051934369637401</v>
      </c>
    </row>
    <row r="4629" spans="1:37" x14ac:dyDescent="0.2">
      <c r="A4629" t="str">
        <f>"20200111153526323"</f>
        <v>20200111153526323</v>
      </c>
      <c r="B4629" t="str">
        <f>"1578728126310330"</f>
        <v>1578728126310330</v>
      </c>
      <c r="C4629" t="s">
        <v>37</v>
      </c>
      <c r="D4629">
        <v>4.8356240000000001</v>
      </c>
      <c r="E4629">
        <v>0.52700219999999998</v>
      </c>
      <c r="F4629" t="s">
        <v>67</v>
      </c>
      <c r="G4629">
        <v>-379.91399999999999</v>
      </c>
      <c r="H4629" s="1">
        <v>-1.219632E-7</v>
      </c>
      <c r="I4629">
        <v>19.222799999999999</v>
      </c>
      <c r="J4629">
        <v>-396.28949999999998</v>
      </c>
      <c r="K4629">
        <v>1.1071260000000001</v>
      </c>
      <c r="L4629">
        <v>19.981839999999998</v>
      </c>
      <c r="M4629">
        <v>0.97723320000000002</v>
      </c>
      <c r="N4629">
        <v>0</v>
      </c>
      <c r="O4629">
        <v>-0.2117482</v>
      </c>
      <c r="P4629">
        <v>0.99841849999999999</v>
      </c>
      <c r="Q4629">
        <v>4.9663140000000001E-2</v>
      </c>
      <c r="R4629">
        <v>2.6351799999999901E-2</v>
      </c>
      <c r="S4629">
        <v>3.0186160000000002</v>
      </c>
      <c r="T4629">
        <v>-0.20246429999999899</v>
      </c>
      <c r="U4629">
        <v>-0.14367679999999999</v>
      </c>
      <c r="V4629">
        <v>-0.237489899999999</v>
      </c>
      <c r="W4629">
        <v>6.1439720000000003E-2</v>
      </c>
      <c r="X4629">
        <v>0.969445</v>
      </c>
      <c r="Y4629">
        <v>-0.1642274</v>
      </c>
      <c r="Z4629">
        <v>1.9578729999999999E-2</v>
      </c>
      <c r="AA4629">
        <v>0.986228199999999</v>
      </c>
      <c r="AB4629">
        <v>24</v>
      </c>
      <c r="AC4629">
        <v>16.375499999999899</v>
      </c>
      <c r="AD4629">
        <v>-1.1071261219632</v>
      </c>
      <c r="AE4629">
        <v>-0.75903999999999805</v>
      </c>
      <c r="AF4629">
        <v>-2.7135890981008002</v>
      </c>
      <c r="AG4629">
        <v>-1.1071261219632</v>
      </c>
      <c r="AH4629">
        <v>16.091450848023801</v>
      </c>
      <c r="AI4629">
        <v>93.881239866416294</v>
      </c>
      <c r="AJ4629">
        <v>99.572041440952006</v>
      </c>
      <c r="AK4629">
        <v>16.3561634999663</v>
      </c>
    </row>
    <row r="4630" spans="1:37" x14ac:dyDescent="0.2">
      <c r="A4630" t="str">
        <f>"20200111153526335"</f>
        <v>20200111153526335</v>
      </c>
      <c r="B4630" t="str">
        <f>"1578728126330825"</f>
        <v>1578728126330825</v>
      </c>
      <c r="C4630" t="s">
        <v>37</v>
      </c>
      <c r="D4630">
        <v>4.8553300000000004</v>
      </c>
      <c r="E4630">
        <v>0.52702830000000001</v>
      </c>
      <c r="F4630" t="s">
        <v>67</v>
      </c>
      <c r="G4630">
        <v>-379.63799999999998</v>
      </c>
      <c r="H4630" s="1">
        <v>-2.42256E-7</v>
      </c>
      <c r="I4630">
        <v>19.16892</v>
      </c>
      <c r="J4630">
        <v>-396.1499</v>
      </c>
      <c r="K4630">
        <v>1.1071229999999901</v>
      </c>
      <c r="L4630">
        <v>19.953800000000001</v>
      </c>
      <c r="M4630">
        <v>0.97764530000000005</v>
      </c>
      <c r="N4630">
        <v>0</v>
      </c>
      <c r="O4630">
        <v>-0.20983739999999901</v>
      </c>
      <c r="P4630">
        <v>0.99842659999999905</v>
      </c>
      <c r="Q4630">
        <v>4.9993610000000001E-2</v>
      </c>
      <c r="R4630">
        <v>2.5394400000000001E-2</v>
      </c>
      <c r="S4630">
        <v>3.0186160000000002</v>
      </c>
      <c r="T4630">
        <v>-0.20070289999999999</v>
      </c>
      <c r="U4630">
        <v>-0.14736939999999901</v>
      </c>
      <c r="V4630">
        <v>-0.2346597</v>
      </c>
      <c r="W4630">
        <v>6.1791440000000003E-2</v>
      </c>
      <c r="X4630">
        <v>0.97011170000000002</v>
      </c>
      <c r="Y4630">
        <v>-0.16112029999999999</v>
      </c>
      <c r="Z4630">
        <v>1.9180309999999999E-2</v>
      </c>
      <c r="AA4630">
        <v>0.98674839999999997</v>
      </c>
      <c r="AB4630">
        <v>24</v>
      </c>
      <c r="AC4630">
        <v>16.511899999999901</v>
      </c>
      <c r="AD4630">
        <v>-1.10712324225599</v>
      </c>
      <c r="AE4630">
        <v>-0.78488000000000102</v>
      </c>
      <c r="AF4630">
        <v>-2.68567316386858</v>
      </c>
      <c r="AG4630">
        <v>-1.10712324225599</v>
      </c>
      <c r="AH4630">
        <v>16.2361014477307</v>
      </c>
      <c r="AI4630">
        <v>93.848763741080006</v>
      </c>
      <c r="AJ4630">
        <v>99.392457061513397</v>
      </c>
      <c r="AK4630">
        <v>16.493924712986601</v>
      </c>
    </row>
    <row r="4631" spans="1:37" x14ac:dyDescent="0.2">
      <c r="A4631" t="str">
        <f>"20200111153526354"</f>
        <v>20200111153526354</v>
      </c>
      <c r="B4631" t="str">
        <f>"1578728126350345"</f>
        <v>1578728126350345</v>
      </c>
      <c r="C4631" t="s">
        <v>37</v>
      </c>
      <c r="D4631">
        <v>4.86822</v>
      </c>
      <c r="E4631">
        <v>0.52703480000000003</v>
      </c>
      <c r="F4631" t="s">
        <v>67</v>
      </c>
      <c r="G4631">
        <v>-379.42189999999999</v>
      </c>
      <c r="H4631" s="1">
        <v>-3.4131199999999998E-7</v>
      </c>
      <c r="I4631">
        <v>19.12257</v>
      </c>
      <c r="J4631">
        <v>-395.96300000000002</v>
      </c>
      <c r="K4631">
        <v>1.1071229999999901</v>
      </c>
      <c r="L4631">
        <v>19.916689999999999</v>
      </c>
      <c r="M4631">
        <v>0.97819020000000001</v>
      </c>
      <c r="N4631">
        <v>0</v>
      </c>
      <c r="O4631">
        <v>-0.2072832</v>
      </c>
      <c r="P4631">
        <v>0.99847919999999901</v>
      </c>
      <c r="Q4631">
        <v>4.995198E-2</v>
      </c>
      <c r="R4631">
        <v>2.3329430000000002E-2</v>
      </c>
      <c r="S4631">
        <v>3.0185550000000001</v>
      </c>
      <c r="T4631">
        <v>-0.19978029999999999</v>
      </c>
      <c r="U4631">
        <v>-0.14999389999999899</v>
      </c>
      <c r="V4631">
        <v>-0.23011329999999999</v>
      </c>
      <c r="W4631">
        <v>6.1785729999999997E-2</v>
      </c>
      <c r="X4631">
        <v>0.97120049999999902</v>
      </c>
      <c r="Y4631">
        <v>-0.15770529999999999</v>
      </c>
      <c r="Z4631">
        <v>1.8813710000000001E-2</v>
      </c>
      <c r="AA4631">
        <v>0.98730699999999905</v>
      </c>
      <c r="AB4631">
        <v>24</v>
      </c>
      <c r="AC4631">
        <v>16.5411</v>
      </c>
      <c r="AD4631">
        <v>-1.1071233413120001</v>
      </c>
      <c r="AE4631">
        <v>-0.79411999999999905</v>
      </c>
      <c r="AF4631">
        <v>-2.6403262080684402</v>
      </c>
      <c r="AG4631">
        <v>-1.1071233413120001</v>
      </c>
      <c r="AH4631">
        <v>16.273665443818199</v>
      </c>
      <c r="AI4631">
        <v>93.841842457971495</v>
      </c>
      <c r="AJ4631">
        <v>99.215669507348295</v>
      </c>
      <c r="AK4631">
        <v>16.5235962052821</v>
      </c>
    </row>
    <row r="4632" spans="1:37" x14ac:dyDescent="0.2">
      <c r="A4632" t="str">
        <f>"20200111153526366"</f>
        <v>20200111153526366</v>
      </c>
      <c r="B4632" t="str">
        <f>"1578728126360106"</f>
        <v>1578728126360106</v>
      </c>
      <c r="C4632" t="s">
        <v>37</v>
      </c>
      <c r="D4632">
        <v>4.8552929999999996</v>
      </c>
      <c r="E4632">
        <v>0.52697369999999899</v>
      </c>
      <c r="F4632" t="s">
        <v>67</v>
      </c>
      <c r="G4632">
        <v>-379.17559999999997</v>
      </c>
      <c r="H4632" s="1">
        <v>-4.7063649999999999E-7</v>
      </c>
      <c r="I4632">
        <v>19.049810000000001</v>
      </c>
      <c r="J4632">
        <v>-395.83339999999998</v>
      </c>
      <c r="K4632">
        <v>1.1071219999999999</v>
      </c>
      <c r="L4632">
        <v>19.891300000000001</v>
      </c>
      <c r="M4632">
        <v>0.97856219999999905</v>
      </c>
      <c r="N4632">
        <v>0</v>
      </c>
      <c r="O4632">
        <v>-0.20552029999999999</v>
      </c>
      <c r="P4632">
        <v>0.99848559999999997</v>
      </c>
      <c r="Q4632">
        <v>4.9969699999999902E-2</v>
      </c>
      <c r="R4632">
        <v>2.3018029999999998E-2</v>
      </c>
      <c r="S4632">
        <v>3.0181580000000001</v>
      </c>
      <c r="T4632">
        <v>-0.19904759999999999</v>
      </c>
      <c r="U4632">
        <v>-0.1558533</v>
      </c>
      <c r="V4632">
        <v>-0.228057499999999</v>
      </c>
      <c r="W4632">
        <v>6.1820460000000001E-2</v>
      </c>
      <c r="X4632">
        <v>0.97168310000000002</v>
      </c>
      <c r="Y4632">
        <v>-0.1540242</v>
      </c>
      <c r="Z4632">
        <v>1.8510700000000001E-2</v>
      </c>
      <c r="AA4632">
        <v>0.98789369999999999</v>
      </c>
      <c r="AB4632">
        <v>24</v>
      </c>
      <c r="AC4632">
        <v>16.657800000000002</v>
      </c>
      <c r="AD4632">
        <v>-1.1071224706364999</v>
      </c>
      <c r="AE4632">
        <v>-0.84148999999999996</v>
      </c>
      <c r="AF4632">
        <v>-2.5888896682724001</v>
      </c>
      <c r="AG4632">
        <v>-1.1071224706364999</v>
      </c>
      <c r="AH4632">
        <v>16.4028266862849</v>
      </c>
      <c r="AI4632">
        <v>93.814295229338796</v>
      </c>
      <c r="AJ4632">
        <v>98.969115120373303</v>
      </c>
      <c r="AK4632">
        <v>16.642739954099401</v>
      </c>
    </row>
    <row r="4633" spans="1:37" x14ac:dyDescent="0.2">
      <c r="A4633" t="str">
        <f>"20200111153526379"</f>
        <v>20200111153526379</v>
      </c>
      <c r="B4633" t="str">
        <f>"1578728126370842"</f>
        <v>1578728126370842</v>
      </c>
      <c r="C4633" t="s">
        <v>37</v>
      </c>
      <c r="D4633">
        <v>4.8353679999999999</v>
      </c>
      <c r="E4633">
        <v>0.52697369999999899</v>
      </c>
      <c r="F4633" t="s">
        <v>67</v>
      </c>
      <c r="G4633">
        <v>-378.95929999999998</v>
      </c>
      <c r="H4633" s="1">
        <v>-5.7844059999999898E-7</v>
      </c>
      <c r="I4633">
        <v>19.018550000000001</v>
      </c>
      <c r="J4633">
        <v>-395.70179999999999</v>
      </c>
      <c r="K4633">
        <v>1.107118</v>
      </c>
      <c r="L4633">
        <v>19.865629999999999</v>
      </c>
      <c r="M4633">
        <v>0.97893600000000003</v>
      </c>
      <c r="N4633">
        <v>0</v>
      </c>
      <c r="O4633">
        <v>-0.20373179999999999</v>
      </c>
      <c r="P4633">
        <v>0.99846939999999995</v>
      </c>
      <c r="Q4633">
        <v>5.0343850000000002E-2</v>
      </c>
      <c r="R4633">
        <v>2.289828E-2</v>
      </c>
      <c r="S4633">
        <v>3.0180660000000001</v>
      </c>
      <c r="T4633">
        <v>-0.19801749999999901</v>
      </c>
      <c r="U4633">
        <v>-0.1560974</v>
      </c>
      <c r="V4633">
        <v>-0.22616069999999999</v>
      </c>
      <c r="W4633">
        <v>6.2211199999999897E-2</v>
      </c>
      <c r="X4633">
        <v>0.9721014</v>
      </c>
      <c r="Y4633">
        <v>-0.15215300000000001</v>
      </c>
      <c r="Z4633">
        <v>1.8239379999999999E-2</v>
      </c>
      <c r="AA4633">
        <v>0.98818859999999997</v>
      </c>
      <c r="AB4633">
        <v>24</v>
      </c>
      <c r="AC4633">
        <v>16.7425</v>
      </c>
      <c r="AD4633">
        <v>-1.1071185784405999</v>
      </c>
      <c r="AE4633">
        <v>-0.84707999999999795</v>
      </c>
      <c r="AF4633">
        <v>-2.57075951722106</v>
      </c>
      <c r="AG4633">
        <v>-1.1071185784405999</v>
      </c>
      <c r="AH4633">
        <v>16.491954653870899</v>
      </c>
      <c r="AI4633">
        <v>93.794859295187393</v>
      </c>
      <c r="AJ4633">
        <v>98.859942154986399</v>
      </c>
      <c r="AK4633">
        <v>16.727793768080801</v>
      </c>
    </row>
    <row r="4634" spans="1:37" x14ac:dyDescent="0.2">
      <c r="A4634" t="str">
        <f>"20200111153526392"</f>
        <v>20200111153526392</v>
      </c>
      <c r="B4634" t="str">
        <f>"1578728126380603"</f>
        <v>1578728126380603</v>
      </c>
      <c r="C4634" t="s">
        <v>37</v>
      </c>
      <c r="D4634">
        <v>4.8735999999999997</v>
      </c>
      <c r="E4634">
        <v>0.51928399999999997</v>
      </c>
      <c r="F4634" t="s">
        <v>67</v>
      </c>
      <c r="G4634">
        <v>-378.74829999999997</v>
      </c>
      <c r="H4634" s="1">
        <v>-6.8348769999999996E-7</v>
      </c>
      <c r="I4634">
        <v>18.988630000000001</v>
      </c>
      <c r="J4634">
        <v>-395.57209999999998</v>
      </c>
      <c r="K4634">
        <v>1.107113</v>
      </c>
      <c r="L4634">
        <v>19.840669999999999</v>
      </c>
      <c r="M4634">
        <v>0.97929840000000001</v>
      </c>
      <c r="N4634">
        <v>0</v>
      </c>
      <c r="O4634">
        <v>-0.20198279999999999</v>
      </c>
      <c r="P4634">
        <v>0.99845189999999995</v>
      </c>
      <c r="Q4634">
        <v>5.0805999999999997E-2</v>
      </c>
      <c r="R4634">
        <v>2.2637910000000001E-2</v>
      </c>
      <c r="S4634">
        <v>3.0181269999999998</v>
      </c>
      <c r="T4634">
        <v>-0.1970943</v>
      </c>
      <c r="U4634">
        <v>-0.15612789999999999</v>
      </c>
      <c r="V4634">
        <v>-0.22416539999999999</v>
      </c>
      <c r="W4634">
        <v>6.2691380000000005E-2</v>
      </c>
      <c r="X4634">
        <v>0.97253259999999897</v>
      </c>
      <c r="Y4634">
        <v>-0.1503929</v>
      </c>
      <c r="Z4634">
        <v>1.7984880000000002E-2</v>
      </c>
      <c r="AA4634">
        <v>0.98846270000000003</v>
      </c>
      <c r="AB4634">
        <v>24</v>
      </c>
      <c r="AC4634">
        <v>16.823799999999999</v>
      </c>
      <c r="AD4634">
        <v>-1.1071136834877</v>
      </c>
      <c r="AE4634">
        <v>-0.85204000000000202</v>
      </c>
      <c r="AF4634">
        <v>-2.5529174207283201</v>
      </c>
      <c r="AG4634">
        <v>-1.1071136834877</v>
      </c>
      <c r="AH4634">
        <v>16.5774914185887</v>
      </c>
      <c r="AI4634">
        <v>93.776389958060903</v>
      </c>
      <c r="AJ4634">
        <v>98.754718100913195</v>
      </c>
      <c r="AK4634">
        <v>16.8094113459873</v>
      </c>
    </row>
    <row r="4635" spans="1:37" x14ac:dyDescent="0.2">
      <c r="A4635" t="str">
        <f>"20200111153526411"</f>
        <v>20200111153526411</v>
      </c>
      <c r="B4635" t="str">
        <f>"1578728126400676"</f>
        <v>1578728126400676</v>
      </c>
      <c r="C4635" t="s">
        <v>37</v>
      </c>
      <c r="D4635">
        <v>4.8302250000000004</v>
      </c>
      <c r="E4635">
        <v>0.51777240000000002</v>
      </c>
      <c r="F4635" t="s">
        <v>39</v>
      </c>
      <c r="G4635">
        <v>-345.0369</v>
      </c>
      <c r="H4635" s="1">
        <v>-2.344779E-6</v>
      </c>
      <c r="I4635">
        <v>18.30097</v>
      </c>
      <c r="J4635">
        <v>-395.38389999999998</v>
      </c>
      <c r="K4635">
        <v>1.107105</v>
      </c>
      <c r="L4635">
        <v>19.804870000000001</v>
      </c>
      <c r="M4635">
        <v>0.97981549999999995</v>
      </c>
      <c r="N4635">
        <v>0</v>
      </c>
      <c r="O4635">
        <v>-0.19945979999999999</v>
      </c>
      <c r="P4635">
        <v>0.99841279999999999</v>
      </c>
      <c r="Q4635">
        <v>5.2448660000000001E-2</v>
      </c>
      <c r="R4635">
        <v>2.0523380000000001E-2</v>
      </c>
      <c r="S4635">
        <v>3.0100709999999999</v>
      </c>
      <c r="T4635">
        <v>-6.5944080000000002E-2</v>
      </c>
      <c r="U4635">
        <v>-9.1705320000000007E-2</v>
      </c>
      <c r="V4635">
        <v>-0.21958269999999999</v>
      </c>
      <c r="W4635">
        <v>6.4373600000000003E-2</v>
      </c>
      <c r="X4635">
        <v>0.97346779999999999</v>
      </c>
      <c r="Y4635">
        <v>-0.1694571</v>
      </c>
      <c r="Z4635">
        <v>6.1986569999999998E-3</v>
      </c>
      <c r="AA4635">
        <v>0.98551800000000001</v>
      </c>
      <c r="AB4635">
        <v>24</v>
      </c>
      <c r="AC4635">
        <v>50.346999999999902</v>
      </c>
      <c r="AD4635">
        <v>-1.1071073447790001</v>
      </c>
      <c r="AE4635">
        <v>-1.5039</v>
      </c>
      <c r="AF4635">
        <v>-8.5652800883565607</v>
      </c>
      <c r="AG4635">
        <v>-1.1071073447790001</v>
      </c>
      <c r="AH4635">
        <v>49.611173168437602</v>
      </c>
      <c r="AI4635">
        <v>91.259751466019296</v>
      </c>
      <c r="AJ4635">
        <v>99.795449710647006</v>
      </c>
      <c r="AK4635">
        <v>50.357305456245001</v>
      </c>
    </row>
    <row r="4636" spans="1:37" x14ac:dyDescent="0.2">
      <c r="A4636" t="str">
        <f>"20200111153526423"</f>
        <v>20200111153526423</v>
      </c>
      <c r="B4636" t="str">
        <f>"1578728126420194"</f>
        <v>1578728126420194</v>
      </c>
      <c r="C4636" t="s">
        <v>37</v>
      </c>
      <c r="D4636">
        <v>4.8346780000000003</v>
      </c>
      <c r="E4636">
        <v>0.51717500000000005</v>
      </c>
      <c r="F4636" t="s">
        <v>39</v>
      </c>
      <c r="G4636">
        <v>-333.29489999999998</v>
      </c>
      <c r="H4636" s="1">
        <v>-3.1370499999999999E-6</v>
      </c>
      <c r="I4636">
        <v>18.047460000000001</v>
      </c>
      <c r="J4636">
        <v>-395.2552</v>
      </c>
      <c r="K4636">
        <v>1.1070930000000001</v>
      </c>
      <c r="L4636">
        <v>19.780639999999998</v>
      </c>
      <c r="M4636">
        <v>0.98016259999999999</v>
      </c>
      <c r="N4636">
        <v>0</v>
      </c>
      <c r="O4636">
        <v>-0.19774729999999999</v>
      </c>
      <c r="P4636">
        <v>0.99840200000000001</v>
      </c>
      <c r="Q4636">
        <v>5.2842269999999997E-2</v>
      </c>
      <c r="R4636">
        <v>2.0033019999999999E-2</v>
      </c>
      <c r="S4636">
        <v>3.0093380000000001</v>
      </c>
      <c r="T4636">
        <v>-5.3659560000000002E-2</v>
      </c>
      <c r="U4636">
        <v>-8.5174559999999996E-2</v>
      </c>
      <c r="V4636">
        <v>-0.21739789999999901</v>
      </c>
      <c r="W4636">
        <v>6.4788059999999995E-2</v>
      </c>
      <c r="X4636">
        <v>0.97393050000000003</v>
      </c>
      <c r="Y4636">
        <v>-0.1698944</v>
      </c>
      <c r="Z4636">
        <v>5.01959E-3</v>
      </c>
      <c r="AA4636">
        <v>0.98544949999999998</v>
      </c>
      <c r="AB4636">
        <v>23</v>
      </c>
      <c r="AC4636">
        <v>61.960299999999997</v>
      </c>
      <c r="AD4636">
        <v>-1.1070961370500001</v>
      </c>
      <c r="AE4636">
        <v>-1.73317999999999</v>
      </c>
      <c r="AF4636">
        <v>-10.5512534825962</v>
      </c>
      <c r="AG4636">
        <v>-1.1070961370500001</v>
      </c>
      <c r="AH4636">
        <v>61.059836125972303</v>
      </c>
      <c r="AI4636">
        <v>91.023568546053198</v>
      </c>
      <c r="AJ4636">
        <v>99.803998555297497</v>
      </c>
      <c r="AK4636">
        <v>61.974657721049702</v>
      </c>
    </row>
    <row r="4637" spans="1:37" x14ac:dyDescent="0.2">
      <c r="A4637" t="str">
        <f>"20200111153526435"</f>
        <v>20200111153526435</v>
      </c>
      <c r="B4637" t="str">
        <f>"1578728126430930"</f>
        <v>1578728126430930</v>
      </c>
      <c r="C4637" t="s">
        <v>37</v>
      </c>
      <c r="D4637">
        <v>4.8646929999999999</v>
      </c>
      <c r="E4637">
        <v>0.51719329999999997</v>
      </c>
      <c r="F4637" t="s">
        <v>39</v>
      </c>
      <c r="G4637">
        <v>-330.42180000000002</v>
      </c>
      <c r="H4637" s="1">
        <v>-4.3742899999999999E-6</v>
      </c>
      <c r="I4637">
        <v>18.021059999999999</v>
      </c>
      <c r="J4637">
        <v>-395.1266</v>
      </c>
      <c r="K4637">
        <v>1.107081</v>
      </c>
      <c r="L4637">
        <v>19.75665</v>
      </c>
      <c r="M4637">
        <v>0.9805043</v>
      </c>
      <c r="N4637">
        <v>0</v>
      </c>
      <c r="O4637">
        <v>-0.19604549999999901</v>
      </c>
      <c r="P4637">
        <v>0.99842169999999897</v>
      </c>
      <c r="Q4637">
        <v>5.2673310000000001E-2</v>
      </c>
      <c r="R4637">
        <v>1.9484649999999999E-2</v>
      </c>
      <c r="S4637">
        <v>3.0091860000000001</v>
      </c>
      <c r="T4637">
        <v>-5.1384930000000002E-2</v>
      </c>
      <c r="U4637">
        <v>-8.1665039999999994E-2</v>
      </c>
      <c r="V4637">
        <v>-0.21516879999999999</v>
      </c>
      <c r="W4637">
        <v>6.4641499999999893E-2</v>
      </c>
      <c r="X4637">
        <v>0.97443519999999995</v>
      </c>
      <c r="Y4637">
        <v>-0.16933580000000001</v>
      </c>
      <c r="Z4637">
        <v>4.7739119999999999E-3</v>
      </c>
      <c r="AA4637">
        <v>0.98554679999999995</v>
      </c>
      <c r="AB4637">
        <v>23</v>
      </c>
      <c r="AC4637">
        <v>64.704799999999906</v>
      </c>
      <c r="AD4637">
        <v>-1.10708537429</v>
      </c>
      <c r="AE4637">
        <v>-1.73558999999999</v>
      </c>
      <c r="AF4637">
        <v>-10.9810938516351</v>
      </c>
      <c r="AG4637">
        <v>-1.10708537429</v>
      </c>
      <c r="AH4637">
        <v>63.770595047106397</v>
      </c>
      <c r="AI4637">
        <v>90.980157185669995</v>
      </c>
      <c r="AJ4637">
        <v>99.770333984149801</v>
      </c>
      <c r="AK4637">
        <v>64.718612878108004</v>
      </c>
    </row>
    <row r="4638" spans="1:37" x14ac:dyDescent="0.2">
      <c r="A4638" t="str">
        <f>"20200111153526454"</f>
        <v>20200111153526454</v>
      </c>
      <c r="B4638" t="str">
        <f>"1578728126450450"</f>
        <v>1578728126450450</v>
      </c>
      <c r="C4638" t="s">
        <v>37</v>
      </c>
      <c r="D4638">
        <v>4.848954</v>
      </c>
      <c r="E4638">
        <v>0.51680519999999996</v>
      </c>
      <c r="F4638" t="s">
        <v>39</v>
      </c>
      <c r="G4638">
        <v>-330.23480000000001</v>
      </c>
      <c r="H4638" s="1">
        <v>-4.4653500000000004E-6</v>
      </c>
      <c r="I4638">
        <v>17.95992</v>
      </c>
      <c r="J4638">
        <v>-394.93950000000001</v>
      </c>
      <c r="K4638">
        <v>1.107056</v>
      </c>
      <c r="L4638">
        <v>19.72214</v>
      </c>
      <c r="M4638">
        <v>0.98099139999999996</v>
      </c>
      <c r="N4638">
        <v>0</v>
      </c>
      <c r="O4638">
        <v>-0.1935944</v>
      </c>
      <c r="P4638">
        <v>0.99849209999999999</v>
      </c>
      <c r="Q4638">
        <v>5.2008220000000001E-2</v>
      </c>
      <c r="R4638">
        <v>1.7578360000000001E-2</v>
      </c>
      <c r="S4638">
        <v>3.0090939999999899</v>
      </c>
      <c r="T4638">
        <v>-5.1336649999999998E-2</v>
      </c>
      <c r="U4638">
        <v>-8.3312990000000003E-2</v>
      </c>
      <c r="V4638">
        <v>-0.21086750000000001</v>
      </c>
      <c r="W4638">
        <v>6.4018140000000001E-2</v>
      </c>
      <c r="X4638">
        <v>0.97541610000000001</v>
      </c>
      <c r="Y4638">
        <v>-0.1663326</v>
      </c>
      <c r="Z4638">
        <v>4.7027390000000001E-3</v>
      </c>
      <c r="AA4638">
        <v>0.98605849999999995</v>
      </c>
      <c r="AB4638">
        <v>23</v>
      </c>
      <c r="AC4638">
        <v>64.704700000000003</v>
      </c>
      <c r="AD4638">
        <v>-1.10706046535</v>
      </c>
      <c r="AE4638">
        <v>-1.7622199999999899</v>
      </c>
      <c r="AF4638">
        <v>-10.795543211054801</v>
      </c>
      <c r="AG4638">
        <v>-1.10706046535</v>
      </c>
      <c r="AH4638">
        <v>63.802897877257401</v>
      </c>
      <c r="AI4638">
        <v>90.980125738864004</v>
      </c>
      <c r="AJ4638">
        <v>99.603571377602506</v>
      </c>
      <c r="AK4638">
        <v>64.719232949961906</v>
      </c>
    </row>
    <row r="4639" spans="1:37" x14ac:dyDescent="0.2">
      <c r="A4639" t="str">
        <f>"20200111153526466"</f>
        <v>20200111153526466</v>
      </c>
      <c r="B4639" t="str">
        <f>"1578728126460210"</f>
        <v>1578728126460210</v>
      </c>
      <c r="C4639" t="s">
        <v>37</v>
      </c>
      <c r="D4639">
        <v>4.8893629999999897</v>
      </c>
      <c r="E4639">
        <v>0.51663820000000005</v>
      </c>
      <c r="F4639" t="s">
        <v>39</v>
      </c>
      <c r="G4639">
        <v>-334.95030000000003</v>
      </c>
      <c r="H4639" s="1">
        <v>-2.4333480000000001E-6</v>
      </c>
      <c r="I4639">
        <v>18.01117</v>
      </c>
      <c r="J4639">
        <v>-394.8159</v>
      </c>
      <c r="K4639">
        <v>1.107037</v>
      </c>
      <c r="L4639">
        <v>19.699619999999999</v>
      </c>
      <c r="M4639">
        <v>0.98130669999999898</v>
      </c>
      <c r="N4639">
        <v>0</v>
      </c>
      <c r="O4639">
        <v>-0.191989299999999</v>
      </c>
      <c r="P4639">
        <v>0.99852280000000004</v>
      </c>
      <c r="Q4639">
        <v>5.1595340000000003E-2</v>
      </c>
      <c r="R4639">
        <v>1.7044130000000001E-2</v>
      </c>
      <c r="S4639">
        <v>3.0089419999999998</v>
      </c>
      <c r="T4639">
        <v>-5.5527930000000003E-2</v>
      </c>
      <c r="U4639">
        <v>-8.5815429999999998E-2</v>
      </c>
      <c r="V4639">
        <v>-0.20874809999999999</v>
      </c>
      <c r="W4639">
        <v>6.362698E-2</v>
      </c>
      <c r="X4639">
        <v>0.97589749999999997</v>
      </c>
      <c r="Y4639">
        <v>-0.16389000000000001</v>
      </c>
      <c r="Z4639">
        <v>5.0350689999999997E-3</v>
      </c>
      <c r="AA4639">
        <v>0.98646579999999995</v>
      </c>
      <c r="AB4639">
        <v>23</v>
      </c>
      <c r="AC4639">
        <v>59.865599999999901</v>
      </c>
      <c r="AD4639">
        <v>-1.107039433348</v>
      </c>
      <c r="AE4639">
        <v>-1.68844999999999</v>
      </c>
      <c r="AF4639">
        <v>-9.8341791320676002</v>
      </c>
      <c r="AG4639">
        <v>-1.107039433348</v>
      </c>
      <c r="AH4639">
        <v>59.055736644442199</v>
      </c>
      <c r="AI4639">
        <v>91.059338107391298</v>
      </c>
      <c r="AJ4639">
        <v>99.454351421161306</v>
      </c>
      <c r="AK4639">
        <v>59.879183746326198</v>
      </c>
    </row>
    <row r="4640" spans="1:37" x14ac:dyDescent="0.2">
      <c r="A4640" t="str">
        <f>"20200111153526478"</f>
        <v>20200111153526478</v>
      </c>
      <c r="B4640" t="str">
        <f>"1578728126470945"</f>
        <v>1578728126470945</v>
      </c>
      <c r="C4640" t="s">
        <v>37</v>
      </c>
      <c r="D4640">
        <v>4.8423989999999897</v>
      </c>
      <c r="E4640">
        <v>0.51636139999999997</v>
      </c>
      <c r="F4640" t="s">
        <v>39</v>
      </c>
      <c r="G4640">
        <v>-338.62119999999999</v>
      </c>
      <c r="H4640" s="1">
        <v>-8.6029269999999898E-7</v>
      </c>
      <c r="I4640">
        <v>18.09403</v>
      </c>
      <c r="J4640">
        <v>-394.68400000000003</v>
      </c>
      <c r="K4640">
        <v>1.107019</v>
      </c>
      <c r="L4640">
        <v>19.675719999999998</v>
      </c>
      <c r="M4640">
        <v>0.98163869999999898</v>
      </c>
      <c r="N4640">
        <v>0</v>
      </c>
      <c r="O4640">
        <v>-0.1902836</v>
      </c>
      <c r="P4640">
        <v>0.9985503</v>
      </c>
      <c r="Q4640">
        <v>5.1274460000000001E-2</v>
      </c>
      <c r="R4640">
        <v>1.6373760000000001E-2</v>
      </c>
      <c r="S4640">
        <v>3.008972</v>
      </c>
      <c r="T4640">
        <v>-5.927694E-2</v>
      </c>
      <c r="U4640">
        <v>-8.5968020000000006E-2</v>
      </c>
      <c r="V4640">
        <v>-0.20639339999999901</v>
      </c>
      <c r="W4640">
        <v>6.3329559999999993E-2</v>
      </c>
      <c r="X4640">
        <v>0.97641749999999905</v>
      </c>
      <c r="Y4640">
        <v>-0.16211789999999901</v>
      </c>
      <c r="Z4640">
        <v>5.3243659999999996E-3</v>
      </c>
      <c r="AA4640">
        <v>0.986757</v>
      </c>
      <c r="AB4640">
        <v>23</v>
      </c>
      <c r="AC4640">
        <v>56.062800000000003</v>
      </c>
      <c r="AD4640">
        <v>-1.1070198602926999</v>
      </c>
      <c r="AE4640">
        <v>-1.58169</v>
      </c>
      <c r="AF4640">
        <v>-9.1124427144549607</v>
      </c>
      <c r="AG4640">
        <v>-1.1070198602926999</v>
      </c>
      <c r="AH4640">
        <v>55.317746885891196</v>
      </c>
      <c r="AI4640">
        <v>91.131209960172498</v>
      </c>
      <c r="AJ4640">
        <v>99.354274440284797</v>
      </c>
      <c r="AK4640">
        <v>56.074193937379398</v>
      </c>
    </row>
    <row r="4641" spans="1:37" x14ac:dyDescent="0.2">
      <c r="A4641" t="str">
        <f>"20200111153526492"</f>
        <v>20200111153526492</v>
      </c>
      <c r="B4641" t="str">
        <f>"1578728126480705"</f>
        <v>1578728126480705</v>
      </c>
      <c r="C4641" t="s">
        <v>37</v>
      </c>
      <c r="D4641">
        <v>4.8692849999999996</v>
      </c>
      <c r="E4641">
        <v>0.51605869999999998</v>
      </c>
      <c r="F4641" t="s">
        <v>39</v>
      </c>
      <c r="G4641">
        <v>-340.61900000000003</v>
      </c>
      <c r="H4641" s="1">
        <v>-4.2688240000000003E-6</v>
      </c>
      <c r="I4641">
        <v>18.1386</v>
      </c>
      <c r="J4641">
        <v>-394.5514</v>
      </c>
      <c r="K4641">
        <v>1.107002</v>
      </c>
      <c r="L4641">
        <v>19.652069999999998</v>
      </c>
      <c r="M4641">
        <v>0.98196689999999998</v>
      </c>
      <c r="N4641">
        <v>0</v>
      </c>
      <c r="O4641">
        <v>-0.1885841</v>
      </c>
      <c r="P4641">
        <v>0.998583</v>
      </c>
      <c r="Q4641">
        <v>5.0954510000000001E-2</v>
      </c>
      <c r="R4641">
        <v>1.535831E-2</v>
      </c>
      <c r="S4641">
        <v>3.0088810000000001</v>
      </c>
      <c r="T4641">
        <v>-6.1609270000000001E-2</v>
      </c>
      <c r="U4641">
        <v>-8.5540770000000002E-2</v>
      </c>
      <c r="V4641">
        <v>-0.20370669999999999</v>
      </c>
      <c r="W4641">
        <v>6.3034499999999993E-2</v>
      </c>
      <c r="X4641">
        <v>0.97700069999999894</v>
      </c>
      <c r="Y4641">
        <v>-0.16054399999999999</v>
      </c>
      <c r="Z4641">
        <v>5.4836379999999999E-3</v>
      </c>
      <c r="AA4641">
        <v>0.98701349999999999</v>
      </c>
      <c r="AB4641">
        <v>23</v>
      </c>
      <c r="AC4641">
        <v>53.932399999999902</v>
      </c>
      <c r="AD4641">
        <v>-1.1070062688240001</v>
      </c>
      <c r="AE4641">
        <v>-1.5134700000000001</v>
      </c>
      <c r="AF4641">
        <v>-8.6817297425115694</v>
      </c>
      <c r="AG4641">
        <v>-1.1070062688240001</v>
      </c>
      <c r="AH4641">
        <v>53.227554433101403</v>
      </c>
      <c r="AI4641">
        <v>91.1759093330909</v>
      </c>
      <c r="AJ4641">
        <v>99.263707034182701</v>
      </c>
      <c r="AK4641">
        <v>53.942288096909699</v>
      </c>
    </row>
    <row r="4642" spans="1:37" x14ac:dyDescent="0.2">
      <c r="A4642" t="str">
        <f>"20200111153526506"</f>
        <v>20200111153526506</v>
      </c>
      <c r="B4642" t="str">
        <f>"1578728126500333"</f>
        <v>1578728126500333</v>
      </c>
      <c r="C4642" t="s">
        <v>37</v>
      </c>
      <c r="D4642">
        <v>4.9012729999999998</v>
      </c>
      <c r="E4642">
        <v>0.51538790000000001</v>
      </c>
      <c r="F4642" t="s">
        <v>39</v>
      </c>
      <c r="G4642">
        <v>-342.4119</v>
      </c>
      <c r="H4642" s="1">
        <v>-3.4955010000000001E-6</v>
      </c>
      <c r="I4642">
        <v>18.16225</v>
      </c>
      <c r="J4642">
        <v>-394.4092</v>
      </c>
      <c r="K4642">
        <v>1.1069879999999901</v>
      </c>
      <c r="L4642">
        <v>19.626860000000001</v>
      </c>
      <c r="M4642">
        <v>0.98231409999999997</v>
      </c>
      <c r="N4642">
        <v>0</v>
      </c>
      <c r="O4642">
        <v>-0.18676709999999999</v>
      </c>
      <c r="P4642">
        <v>0.99861840000000002</v>
      </c>
      <c r="Q4642">
        <v>5.0402339999999997E-2</v>
      </c>
      <c r="R4642">
        <v>1.485556E-2</v>
      </c>
      <c r="S4642">
        <v>3.0088200000000001</v>
      </c>
      <c r="T4642">
        <v>-6.3882110000000006E-2</v>
      </c>
      <c r="U4642">
        <v>-8.5968020000000006E-2</v>
      </c>
      <c r="V4642">
        <v>-0.20140539999999901</v>
      </c>
      <c r="W4642">
        <v>6.250435E-2</v>
      </c>
      <c r="X4642">
        <v>0.97751160000000004</v>
      </c>
      <c r="Y4642">
        <v>-0.15857249999999901</v>
      </c>
      <c r="Z4642">
        <v>5.627066E-3</v>
      </c>
      <c r="AA4642">
        <v>0.98733130000000002</v>
      </c>
      <c r="AB4642">
        <v>23</v>
      </c>
      <c r="AC4642">
        <v>51.997300000000003</v>
      </c>
      <c r="AD4642">
        <v>-1.1069914955009901</v>
      </c>
      <c r="AE4642">
        <v>-1.46461</v>
      </c>
      <c r="AF4642">
        <v>-8.2696651884381591</v>
      </c>
      <c r="AG4642">
        <v>-1.1069914955009901</v>
      </c>
      <c r="AH4642">
        <v>51.332521182798303</v>
      </c>
      <c r="AI4642">
        <v>91.219677303359006</v>
      </c>
      <c r="AJ4642">
        <v>99.1517142115094</v>
      </c>
      <c r="AK4642">
        <v>52.006158514953</v>
      </c>
    </row>
    <row r="4643" spans="1:37" x14ac:dyDescent="0.2">
      <c r="A4643" t="str">
        <f>"20200111153526523"</f>
        <v>20200111153526523</v>
      </c>
      <c r="B4643" t="str">
        <f>"1578728126511069"</f>
        <v>1578728126511069</v>
      </c>
      <c r="C4643" t="s">
        <v>37</v>
      </c>
      <c r="D4643">
        <v>4.8775889999999897</v>
      </c>
      <c r="E4643">
        <v>0.5151057</v>
      </c>
      <c r="F4643" t="s">
        <v>39</v>
      </c>
      <c r="G4643">
        <v>-345.23509999999999</v>
      </c>
      <c r="H4643" s="1">
        <v>-2.2623899999999999E-6</v>
      </c>
      <c r="I4643">
        <v>18.286079999999998</v>
      </c>
      <c r="J4643">
        <v>-394.23829999999998</v>
      </c>
      <c r="K4643">
        <v>1.1069690000000001</v>
      </c>
      <c r="L4643">
        <v>19.59686</v>
      </c>
      <c r="M4643">
        <v>0.98272539999999997</v>
      </c>
      <c r="N4643">
        <v>0</v>
      </c>
      <c r="O4643">
        <v>-0.18459129999999899</v>
      </c>
      <c r="P4643">
        <v>0.998721999999999</v>
      </c>
      <c r="Q4643">
        <v>4.887387E-2</v>
      </c>
      <c r="R4643">
        <v>1.288767E-2</v>
      </c>
      <c r="S4643">
        <v>3.008759</v>
      </c>
      <c r="T4643">
        <v>-6.7732100000000003E-2</v>
      </c>
      <c r="U4643">
        <v>-8.203125E-2</v>
      </c>
      <c r="V4643">
        <v>-0.19731499999999999</v>
      </c>
      <c r="W4643">
        <v>6.1010420000000003E-2</v>
      </c>
      <c r="X4643">
        <v>0.97843979999999997</v>
      </c>
      <c r="Y4643">
        <v>-0.15766729999999901</v>
      </c>
      <c r="Z4643">
        <v>5.9080249999999999E-3</v>
      </c>
      <c r="AA4643">
        <v>0.98747459999999898</v>
      </c>
      <c r="AB4643">
        <v>23</v>
      </c>
      <c r="AC4643">
        <v>49.0031999999999</v>
      </c>
      <c r="AD4643">
        <v>-1.1069712623900001</v>
      </c>
      <c r="AE4643">
        <v>-1.3107800000000001</v>
      </c>
      <c r="AF4643">
        <v>-7.7541594932920503</v>
      </c>
      <c r="AG4643">
        <v>-1.1069712623900001</v>
      </c>
      <c r="AH4643">
        <v>48.3782582114045</v>
      </c>
      <c r="AI4643">
        <v>91.294275556892401</v>
      </c>
      <c r="AJ4643">
        <v>99.106025148419604</v>
      </c>
      <c r="AK4643">
        <v>49.008246677396002</v>
      </c>
    </row>
    <row r="4644" spans="1:37" x14ac:dyDescent="0.2">
      <c r="A4644" t="str">
        <f>"20200111153526537"</f>
        <v>20200111153526537</v>
      </c>
      <c r="B4644" t="str">
        <f>"1578728126530590"</f>
        <v>1578728126530590</v>
      </c>
      <c r="C4644" t="s">
        <v>37</v>
      </c>
      <c r="D4644">
        <v>4.8559019999999897</v>
      </c>
      <c r="E4644">
        <v>0.5148585</v>
      </c>
      <c r="F4644" t="s">
        <v>39</v>
      </c>
      <c r="G4644">
        <v>-349.11219999999997</v>
      </c>
      <c r="H4644" s="1">
        <v>-6.3502109999999899E-7</v>
      </c>
      <c r="I4644">
        <v>18.312799999999999</v>
      </c>
      <c r="J4644">
        <v>-394.0847</v>
      </c>
      <c r="K4644">
        <v>1.106951</v>
      </c>
      <c r="L4644">
        <v>19.570309999999999</v>
      </c>
      <c r="M4644">
        <v>0.9830892</v>
      </c>
      <c r="N4644">
        <v>0</v>
      </c>
      <c r="O4644">
        <v>-0.18264369999999999</v>
      </c>
      <c r="P4644">
        <v>0.99877909999999903</v>
      </c>
      <c r="Q4644">
        <v>4.7660729999999998E-2</v>
      </c>
      <c r="R4644">
        <v>1.299081E-2</v>
      </c>
      <c r="S4644">
        <v>3.0085139999999999</v>
      </c>
      <c r="T4644">
        <v>-7.3800560000000001E-2</v>
      </c>
      <c r="U4644">
        <v>-8.560181E-2</v>
      </c>
      <c r="V4644">
        <v>-0.19547989999999901</v>
      </c>
      <c r="W4644">
        <v>5.9812890000000001E-2</v>
      </c>
      <c r="X4644">
        <v>0.97888199999999903</v>
      </c>
      <c r="Y4644">
        <v>-0.15452199999999999</v>
      </c>
      <c r="Z4644">
        <v>6.35185099999999E-3</v>
      </c>
      <c r="AA4644">
        <v>0.98796890000000004</v>
      </c>
      <c r="AB4644">
        <v>23</v>
      </c>
      <c r="AC4644">
        <v>44.972499999999997</v>
      </c>
      <c r="AD4644">
        <v>-1.1069516350210999</v>
      </c>
      <c r="AE4644">
        <v>-1.2575099999999999</v>
      </c>
      <c r="AF4644">
        <v>-6.9740946346744996</v>
      </c>
      <c r="AG4644">
        <v>-1.1069516350210999</v>
      </c>
      <c r="AH4644">
        <v>44.418696867511798</v>
      </c>
      <c r="AI4644">
        <v>91.410293962789197</v>
      </c>
      <c r="AJ4644">
        <v>98.923054285070094</v>
      </c>
      <c r="AK4644">
        <v>44.976482402513099</v>
      </c>
    </row>
    <row r="4645" spans="1:37" x14ac:dyDescent="0.2">
      <c r="A4645" t="str">
        <f>"20200111153526557"</f>
        <v>20200111153526557</v>
      </c>
      <c r="B4645" t="str">
        <f>"1578728126550110"</f>
        <v>1578728126550110</v>
      </c>
      <c r="C4645" t="s">
        <v>37</v>
      </c>
      <c r="D4645">
        <v>4.8882009999999996</v>
      </c>
      <c r="E4645">
        <v>0.50810129999999998</v>
      </c>
      <c r="F4645" t="s">
        <v>39</v>
      </c>
      <c r="G4645">
        <v>-351.70830000000001</v>
      </c>
      <c r="H4645" s="1">
        <v>-3.7557479999999999E-6</v>
      </c>
      <c r="I4645">
        <v>18.396719999999998</v>
      </c>
      <c r="J4645">
        <v>-393.88929999999999</v>
      </c>
      <c r="K4645">
        <v>1.106941</v>
      </c>
      <c r="L4645">
        <v>19.536929999999899</v>
      </c>
      <c r="M4645">
        <v>0.98354580000000003</v>
      </c>
      <c r="N4645">
        <v>0</v>
      </c>
      <c r="O4645">
        <v>-0.1801691</v>
      </c>
      <c r="P4645">
        <v>0.99887090000000001</v>
      </c>
      <c r="Q4645">
        <v>4.5877439999999998E-2</v>
      </c>
      <c r="R4645">
        <v>1.2344630000000001E-2</v>
      </c>
      <c r="S4645">
        <v>3.0084840000000002</v>
      </c>
      <c r="T4645">
        <v>-7.8587530000000003E-2</v>
      </c>
      <c r="U4645">
        <v>-8.3312990000000003E-2</v>
      </c>
      <c r="V4645">
        <v>-0.19238649999999999</v>
      </c>
      <c r="W4645">
        <v>5.8053559999999997E-2</v>
      </c>
      <c r="X4645">
        <v>0.97960049999999899</v>
      </c>
      <c r="Y4645">
        <v>-0.1527742</v>
      </c>
      <c r="Z4645">
        <v>6.6773989999999997E-3</v>
      </c>
      <c r="AA4645">
        <v>0.98823859999999997</v>
      </c>
      <c r="AB4645">
        <v>23</v>
      </c>
      <c r="AC4645">
        <v>42.180999999999898</v>
      </c>
      <c r="AD4645">
        <v>-1.1069447557479899</v>
      </c>
      <c r="AE4645">
        <v>-1.14020999999999</v>
      </c>
      <c r="AF4645">
        <v>-6.4743811300738097</v>
      </c>
      <c r="AG4645">
        <v>-1.1069447557479899</v>
      </c>
      <c r="AH4645">
        <v>41.667386561342397</v>
      </c>
      <c r="AI4645">
        <v>91.503737864272793</v>
      </c>
      <c r="AJ4645">
        <v>98.832131113820097</v>
      </c>
      <c r="AK4645">
        <v>42.181916037113197</v>
      </c>
    </row>
    <row r="4646" spans="1:37" x14ac:dyDescent="0.2">
      <c r="A4646" t="str">
        <f>"20200111153526570"</f>
        <v>20200111153526570</v>
      </c>
      <c r="B4646" t="str">
        <f>"1578728126560845"</f>
        <v>1578728126560845</v>
      </c>
      <c r="C4646" t="s">
        <v>37</v>
      </c>
      <c r="D4646">
        <v>4.845186</v>
      </c>
      <c r="E4646">
        <v>0.50822250000000002</v>
      </c>
      <c r="F4646" t="s">
        <v>39</v>
      </c>
      <c r="G4646">
        <v>-354.49310000000003</v>
      </c>
      <c r="H4646" s="1">
        <v>-2.4312940000000002E-6</v>
      </c>
      <c r="I4646">
        <v>19.128309999999999</v>
      </c>
      <c r="J4646">
        <v>-393.74720000000002</v>
      </c>
      <c r="K4646">
        <v>1.1069439999999999</v>
      </c>
      <c r="L4646">
        <v>19.513030000000001</v>
      </c>
      <c r="M4646">
        <v>0.98387349999999996</v>
      </c>
      <c r="N4646">
        <v>0</v>
      </c>
      <c r="O4646">
        <v>-0.1783708</v>
      </c>
      <c r="P4646">
        <v>0.99890230000000002</v>
      </c>
      <c r="Q4646">
        <v>4.500096E-2</v>
      </c>
      <c r="R4646">
        <v>1.299966E-2</v>
      </c>
      <c r="S4646">
        <v>3.00766</v>
      </c>
      <c r="T4646">
        <v>-8.4508539999999993E-2</v>
      </c>
      <c r="U4646">
        <v>-3.1188960000000002E-2</v>
      </c>
      <c r="V4646">
        <v>-0.1912394</v>
      </c>
      <c r="W4646">
        <v>5.7185260000000002E-2</v>
      </c>
      <c r="X4646">
        <v>0.97987619999999898</v>
      </c>
      <c r="Y4646">
        <v>-0.16803799999999999</v>
      </c>
      <c r="Z4646">
        <v>7.3499409999999996E-3</v>
      </c>
      <c r="AA4646">
        <v>0.98575309999999905</v>
      </c>
      <c r="AB4646">
        <v>23</v>
      </c>
      <c r="AC4646">
        <v>39.254100000000001</v>
      </c>
      <c r="AD4646">
        <v>-1.1069464312940001</v>
      </c>
      <c r="AE4646">
        <v>-0.38472000000000101</v>
      </c>
      <c r="AF4646">
        <v>-6.6185922798279799</v>
      </c>
      <c r="AG4646">
        <v>-1.1069464312940001</v>
      </c>
      <c r="AH4646">
        <v>38.662370226561201</v>
      </c>
      <c r="AI4646">
        <v>91.616490997216403</v>
      </c>
      <c r="AJ4646">
        <v>99.714271943530605</v>
      </c>
      <c r="AK4646">
        <v>39.240412404867001</v>
      </c>
    </row>
    <row r="4647" spans="1:37" x14ac:dyDescent="0.2">
      <c r="A4647" t="str">
        <f>"20200111153526591"</f>
        <v>20200111153526591</v>
      </c>
      <c r="B4647" t="str">
        <f>"1578728126580365"</f>
        <v>1578728126580365</v>
      </c>
      <c r="C4647" t="s">
        <v>37</v>
      </c>
      <c r="D4647">
        <v>4.9029280000000002</v>
      </c>
      <c r="E4647">
        <v>0.50796229999999998</v>
      </c>
      <c r="F4647" t="s">
        <v>39</v>
      </c>
      <c r="G4647">
        <v>-355.06369999999998</v>
      </c>
      <c r="H4647" s="1">
        <v>-2.187025E-6</v>
      </c>
      <c r="I4647">
        <v>19.125529999999898</v>
      </c>
      <c r="J4647">
        <v>-393.54079999999999</v>
      </c>
      <c r="K4647">
        <v>1.1069450000000001</v>
      </c>
      <c r="L4647">
        <v>19.4787</v>
      </c>
      <c r="M4647">
        <v>0.984344</v>
      </c>
      <c r="N4647">
        <v>0</v>
      </c>
      <c r="O4647">
        <v>-0.17575579999999999</v>
      </c>
      <c r="P4647">
        <v>0.99894229999999995</v>
      </c>
      <c r="Q4647">
        <v>4.3992049999999998E-2</v>
      </c>
      <c r="R4647">
        <v>1.3377750000000001E-2</v>
      </c>
      <c r="S4647">
        <v>3.0075989999999999</v>
      </c>
      <c r="T4647">
        <v>-8.6063860000000006E-2</v>
      </c>
      <c r="U4647">
        <v>-3.0120850000000001E-2</v>
      </c>
      <c r="V4647">
        <v>-0.18900829999999999</v>
      </c>
      <c r="W4647">
        <v>5.6191230000000002E-2</v>
      </c>
      <c r="X4647">
        <v>0.98036650000000003</v>
      </c>
      <c r="Y4647">
        <v>-0.16576489999999999</v>
      </c>
      <c r="Z4647">
        <v>7.3789659999999998E-3</v>
      </c>
      <c r="AA4647">
        <v>0.98613770000000001</v>
      </c>
      <c r="AB4647">
        <v>23</v>
      </c>
      <c r="AC4647">
        <v>38.4771</v>
      </c>
      <c r="AD4647">
        <v>-1.1069471870250001</v>
      </c>
      <c r="AE4647">
        <v>-0.35317000000000198</v>
      </c>
      <c r="AF4647">
        <v>-6.4101948594567597</v>
      </c>
      <c r="AG4647">
        <v>-1.1069471870250001</v>
      </c>
      <c r="AH4647">
        <v>37.908755321408897</v>
      </c>
      <c r="AI4647">
        <v>91.649180587902904</v>
      </c>
      <c r="AJ4647">
        <v>99.597661955735305</v>
      </c>
      <c r="AK4647">
        <v>38.462834791906801</v>
      </c>
    </row>
    <row r="4648" spans="1:37" x14ac:dyDescent="0.2">
      <c r="A4648" t="str">
        <f>"20200111153526605"</f>
        <v>20200111153526605</v>
      </c>
      <c r="B4648" t="str">
        <f>"1578728126600391"</f>
        <v>1578728126600391</v>
      </c>
      <c r="C4648" t="s">
        <v>37</v>
      </c>
      <c r="D4648">
        <v>4.9017549999999996</v>
      </c>
      <c r="E4648">
        <v>0.5074746</v>
      </c>
      <c r="F4648" t="s">
        <v>39</v>
      </c>
      <c r="G4648">
        <v>-355.86869999999999</v>
      </c>
      <c r="H4648" s="1">
        <v>-1.8382119999999999E-6</v>
      </c>
      <c r="I4648">
        <v>19.144880000000001</v>
      </c>
      <c r="J4648">
        <v>-393.40069999999997</v>
      </c>
      <c r="K4648">
        <v>1.106943</v>
      </c>
      <c r="L4648">
        <v>19.455719999999999</v>
      </c>
      <c r="M4648">
        <v>0.98465990000000003</v>
      </c>
      <c r="N4648">
        <v>0</v>
      </c>
      <c r="O4648">
        <v>-0.1739783</v>
      </c>
      <c r="P4648">
        <v>0.99894760000000005</v>
      </c>
      <c r="Q4648">
        <v>4.3710800000000001E-2</v>
      </c>
      <c r="R4648">
        <v>1.390221E-2</v>
      </c>
      <c r="S4648">
        <v>3.00738499999999</v>
      </c>
      <c r="T4648">
        <v>-8.8368420000000003E-2</v>
      </c>
      <c r="U4648">
        <v>-2.6641850000000002E-2</v>
      </c>
      <c r="V4648">
        <v>-0.18775249999999999</v>
      </c>
      <c r="W4648">
        <v>5.5917950000000001E-2</v>
      </c>
      <c r="X4648">
        <v>0.98062340000000003</v>
      </c>
      <c r="Y4648">
        <v>-0.16511779999999901</v>
      </c>
      <c r="Z4648">
        <v>7.5160899999999996E-3</v>
      </c>
      <c r="AA4648">
        <v>0.98624519999999904</v>
      </c>
      <c r="AB4648">
        <v>23</v>
      </c>
      <c r="AC4648">
        <v>37.531999999999897</v>
      </c>
      <c r="AD4648">
        <v>-1.106944838212</v>
      </c>
      <c r="AE4648">
        <v>-0.31083999999999801</v>
      </c>
      <c r="AF4648">
        <v>-6.2188218515192704</v>
      </c>
      <c r="AG4648">
        <v>-1.106944838212</v>
      </c>
      <c r="AH4648">
        <v>36.981433722803303</v>
      </c>
      <c r="AI4648">
        <v>91.690766004421604</v>
      </c>
      <c r="AJ4648">
        <v>99.545587309334493</v>
      </c>
      <c r="AK4648">
        <v>37.517002975849202</v>
      </c>
    </row>
    <row r="4649" spans="1:37" x14ac:dyDescent="0.2">
      <c r="A4649" t="str">
        <f>"20200111153526622"</f>
        <v>20200111153526622</v>
      </c>
      <c r="B4649" t="str">
        <f>"1578728126610152"</f>
        <v>1578728126610152</v>
      </c>
      <c r="C4649" t="s">
        <v>37</v>
      </c>
      <c r="D4649">
        <v>4.8799169999999998</v>
      </c>
      <c r="E4649">
        <v>0.50699759999999905</v>
      </c>
      <c r="F4649" t="s">
        <v>39</v>
      </c>
      <c r="G4649">
        <v>-353.86470000000003</v>
      </c>
      <c r="H4649" s="1">
        <v>-2.6916339999999999E-6</v>
      </c>
      <c r="I4649">
        <v>19.180399999999999</v>
      </c>
      <c r="J4649">
        <v>-393.22359999999998</v>
      </c>
      <c r="K4649">
        <v>1.1069439999999999</v>
      </c>
      <c r="L4649">
        <v>19.427060000000001</v>
      </c>
      <c r="M4649">
        <v>0.98505480000000001</v>
      </c>
      <c r="N4649">
        <v>0</v>
      </c>
      <c r="O4649">
        <v>-0.17172689999999999</v>
      </c>
      <c r="P4649">
        <v>0.99893189999999998</v>
      </c>
      <c r="Q4649">
        <v>4.4175649999999997E-2</v>
      </c>
      <c r="R4649">
        <v>1.3543309999999999E-2</v>
      </c>
      <c r="S4649">
        <v>3.0071409999999998</v>
      </c>
      <c r="T4649">
        <v>-8.4195259999999994E-2</v>
      </c>
      <c r="U4649">
        <v>-2.0935059999999998E-2</v>
      </c>
      <c r="V4649">
        <v>-0.1851545</v>
      </c>
      <c r="W4649">
        <v>5.6399749999999998E-2</v>
      </c>
      <c r="X4649">
        <v>0.98108969999999995</v>
      </c>
      <c r="Y4649">
        <v>-0.16474849999999999</v>
      </c>
      <c r="Z4649">
        <v>7.0946680000000002E-3</v>
      </c>
      <c r="AA4649">
        <v>0.98631009999999997</v>
      </c>
      <c r="AB4649">
        <v>23</v>
      </c>
      <c r="AC4649">
        <v>39.358899999999899</v>
      </c>
      <c r="AD4649">
        <v>-1.1069466916339901</v>
      </c>
      <c r="AE4649">
        <v>-0.24666000000000199</v>
      </c>
      <c r="AF4649">
        <v>-6.5114344906355903</v>
      </c>
      <c r="AG4649">
        <v>-1.1069466916339901</v>
      </c>
      <c r="AH4649">
        <v>38.785787522704503</v>
      </c>
      <c r="AI4649">
        <v>91.612228466788693</v>
      </c>
      <c r="AJ4649">
        <v>99.530058745157504</v>
      </c>
      <c r="AK4649">
        <v>39.344140908912202</v>
      </c>
    </row>
    <row r="4650" spans="1:37" x14ac:dyDescent="0.2">
      <c r="A4650" t="str">
        <f>"20200111153526633"</f>
        <v>20200111153526633</v>
      </c>
      <c r="B4650" t="str">
        <f>"1578728126630648"</f>
        <v>1578728126630648</v>
      </c>
      <c r="C4650" t="s">
        <v>37</v>
      </c>
      <c r="D4650">
        <v>4.9160269999999997</v>
      </c>
      <c r="E4650">
        <v>0.50649979999999994</v>
      </c>
      <c r="F4650" t="s">
        <v>39</v>
      </c>
      <c r="G4650">
        <v>-351.38310000000001</v>
      </c>
      <c r="H4650" s="1">
        <v>-3.75643899999999E-6</v>
      </c>
      <c r="I4650">
        <v>19.17942</v>
      </c>
      <c r="J4650">
        <v>-393.10050000000001</v>
      </c>
      <c r="K4650">
        <v>1.1069469999999999</v>
      </c>
      <c r="L4650">
        <v>19.407409999999999</v>
      </c>
      <c r="M4650">
        <v>0.98532690000000001</v>
      </c>
      <c r="N4650">
        <v>0</v>
      </c>
      <c r="O4650">
        <v>-0.17015939999999999</v>
      </c>
      <c r="P4650">
        <v>0.99891350000000001</v>
      </c>
      <c r="Q4650">
        <v>4.4593059999999997E-2</v>
      </c>
      <c r="R4650">
        <v>1.3542759999999999E-2</v>
      </c>
      <c r="S4650">
        <v>3.0069889999999999</v>
      </c>
      <c r="T4650">
        <v>-7.9553960000000007E-2</v>
      </c>
      <c r="U4650">
        <v>-1.7791749999999999E-2</v>
      </c>
      <c r="V4650">
        <v>-0.18359059999999999</v>
      </c>
      <c r="W4650">
        <v>5.6826790000000002E-2</v>
      </c>
      <c r="X4650">
        <v>0.98135890000000003</v>
      </c>
      <c r="Y4650">
        <v>-0.1642245</v>
      </c>
      <c r="Z4650">
        <v>6.6562560000000002E-3</v>
      </c>
      <c r="AA4650">
        <v>0.98640049999999901</v>
      </c>
      <c r="AB4650">
        <v>23</v>
      </c>
      <c r="AC4650">
        <v>41.717399999999998</v>
      </c>
      <c r="AD4650">
        <v>-1.106950756439</v>
      </c>
      <c r="AE4650">
        <v>-0.227990000000001</v>
      </c>
      <c r="AF4650">
        <v>-6.86973369656911</v>
      </c>
      <c r="AG4650">
        <v>-1.106950756439</v>
      </c>
      <c r="AH4650">
        <v>41.118756144757903</v>
      </c>
      <c r="AI4650">
        <v>91.521005696946304</v>
      </c>
      <c r="AJ4650">
        <v>99.4848367825834</v>
      </c>
      <c r="AK4650">
        <v>41.7033654269176</v>
      </c>
    </row>
    <row r="4651" spans="1:37" x14ac:dyDescent="0.2">
      <c r="A4651" t="str">
        <f>"20200111153526647"</f>
        <v>20200111153526647</v>
      </c>
      <c r="B4651" t="str">
        <f>"1578728126640409"</f>
        <v>1578728126640409</v>
      </c>
      <c r="C4651" t="s">
        <v>37</v>
      </c>
      <c r="D4651">
        <v>4.9060160000000002</v>
      </c>
      <c r="E4651">
        <v>0.50629049999999998</v>
      </c>
      <c r="F4651" t="s">
        <v>39</v>
      </c>
      <c r="G4651">
        <v>-347.75389999999999</v>
      </c>
      <c r="H4651" s="1">
        <v>-1.0190380000000001E-6</v>
      </c>
      <c r="I4651">
        <v>19.203889999999902</v>
      </c>
      <c r="J4651">
        <v>-392.97199999999998</v>
      </c>
      <c r="K4651">
        <v>1.106948</v>
      </c>
      <c r="L4651">
        <v>19.387079999999902</v>
      </c>
      <c r="M4651">
        <v>0.9856087</v>
      </c>
      <c r="N4651">
        <v>0</v>
      </c>
      <c r="O4651">
        <v>-0.1685198</v>
      </c>
      <c r="P4651">
        <v>0.99891189999999996</v>
      </c>
      <c r="Q4651">
        <v>4.4638289999999997E-2</v>
      </c>
      <c r="R4651">
        <v>1.351986E-2</v>
      </c>
      <c r="S4651">
        <v>3.0067750000000002</v>
      </c>
      <c r="T4651">
        <v>-7.3397870000000004E-2</v>
      </c>
      <c r="U4651">
        <v>-1.3488770000000001E-2</v>
      </c>
      <c r="V4651">
        <v>-0.1819337</v>
      </c>
      <c r="W4651">
        <v>5.6882479999999999E-2</v>
      </c>
      <c r="X4651">
        <v>0.98166419999999999</v>
      </c>
      <c r="Y4651">
        <v>-0.1640124</v>
      </c>
      <c r="Z4651">
        <v>6.0997619999999999E-3</v>
      </c>
      <c r="AA4651">
        <v>0.98643939999999997</v>
      </c>
      <c r="AB4651">
        <v>23</v>
      </c>
      <c r="AC4651">
        <v>45.2180999999999</v>
      </c>
      <c r="AD4651">
        <v>-1.106949019038</v>
      </c>
      <c r="AE4651">
        <v>-0.18318999999999899</v>
      </c>
      <c r="AF4651">
        <v>-7.4357923355566999</v>
      </c>
      <c r="AG4651">
        <v>-1.106949019038</v>
      </c>
      <c r="AH4651">
        <v>44.5754489313858</v>
      </c>
      <c r="AI4651">
        <v>91.403161712241001</v>
      </c>
      <c r="AJ4651">
        <v>99.470514676642395</v>
      </c>
      <c r="AK4651">
        <v>45.204944322749199</v>
      </c>
    </row>
    <row r="4652" spans="1:37" x14ac:dyDescent="0.2">
      <c r="A4652" t="str">
        <f>"20200111153526659"</f>
        <v>20200111153526659</v>
      </c>
      <c r="B4652" t="str">
        <f>"1578728126650167"</f>
        <v>1578728126650167</v>
      </c>
      <c r="C4652" t="s">
        <v>37</v>
      </c>
      <c r="D4652">
        <v>4.8998169999999996</v>
      </c>
      <c r="E4652">
        <v>0.506212</v>
      </c>
      <c r="F4652" t="s">
        <v>39</v>
      </c>
      <c r="G4652">
        <v>-346.67059999999998</v>
      </c>
      <c r="H4652" s="1">
        <v>-1.482791E-6</v>
      </c>
      <c r="I4652">
        <v>19.209350000000001</v>
      </c>
      <c r="J4652">
        <v>-392.83280000000002</v>
      </c>
      <c r="K4652">
        <v>1.106946</v>
      </c>
      <c r="L4652">
        <v>19.365300000000001</v>
      </c>
      <c r="M4652">
        <v>0.98591070000000003</v>
      </c>
      <c r="N4652">
        <v>0</v>
      </c>
      <c r="O4652">
        <v>-0.16674420000000001</v>
      </c>
      <c r="P4652">
        <v>0.99890599999999996</v>
      </c>
      <c r="Q4652">
        <v>4.4738470000000002E-2</v>
      </c>
      <c r="R4652">
        <v>1.361532E-2</v>
      </c>
      <c r="S4652">
        <v>3.0066220000000001</v>
      </c>
      <c r="T4652">
        <v>-7.1880819999999998E-2</v>
      </c>
      <c r="U4652">
        <v>-1.153564E-2</v>
      </c>
      <c r="V4652">
        <v>-0.18025739999999901</v>
      </c>
      <c r="W4652">
        <v>5.6993410000000001E-2</v>
      </c>
      <c r="X4652">
        <v>0.98196689999999998</v>
      </c>
      <c r="Y4652">
        <v>-0.1628809</v>
      </c>
      <c r="Z4652">
        <v>5.9185840000000002E-3</v>
      </c>
      <c r="AA4652">
        <v>0.98662799999999995</v>
      </c>
      <c r="AB4652">
        <v>23</v>
      </c>
      <c r="AC4652">
        <v>46.162199999999999</v>
      </c>
      <c r="AD4652">
        <v>-1.106947482791</v>
      </c>
      <c r="AE4652">
        <v>-0.15595000000000001</v>
      </c>
      <c r="AF4652">
        <v>-7.5398565020881501</v>
      </c>
      <c r="AG4652">
        <v>-1.106947482791</v>
      </c>
      <c r="AH4652">
        <v>45.515657084466497</v>
      </c>
      <c r="AI4652">
        <v>91.374443870543303</v>
      </c>
      <c r="AJ4652">
        <v>99.405866736839499</v>
      </c>
      <c r="AK4652">
        <v>46.1492124378357</v>
      </c>
    </row>
    <row r="4653" spans="1:37" x14ac:dyDescent="0.2">
      <c r="A4653" t="str">
        <f>"20200111153526678"</f>
        <v>20200111153526678</v>
      </c>
      <c r="B4653" t="str">
        <f>"1578728126670663"</f>
        <v>1578728126670663</v>
      </c>
      <c r="C4653" t="s">
        <v>37</v>
      </c>
      <c r="D4653">
        <v>4.9261089999999896</v>
      </c>
      <c r="E4653">
        <v>0.50584649999999998</v>
      </c>
      <c r="F4653" t="s">
        <v>39</v>
      </c>
      <c r="G4653">
        <v>-345.41430000000003</v>
      </c>
      <c r="H4653" s="1">
        <v>-2.023294E-6</v>
      </c>
      <c r="I4653">
        <v>19.200600000000001</v>
      </c>
      <c r="J4653">
        <v>-392.64429999999999</v>
      </c>
      <c r="K4653">
        <v>1.1069420000000001</v>
      </c>
      <c r="L4653">
        <v>19.336269999999999</v>
      </c>
      <c r="M4653">
        <v>0.98631499999999905</v>
      </c>
      <c r="N4653">
        <v>0</v>
      </c>
      <c r="O4653">
        <v>-0.1643355</v>
      </c>
      <c r="P4653">
        <v>0.99893209999999999</v>
      </c>
      <c r="Q4653">
        <v>4.4304669999999997E-2</v>
      </c>
      <c r="R4653">
        <v>1.310441E-2</v>
      </c>
      <c r="S4653">
        <v>3.006561</v>
      </c>
      <c r="T4653">
        <v>-7.0185780000000003E-2</v>
      </c>
      <c r="U4653">
        <v>-1.043701E-2</v>
      </c>
      <c r="V4653">
        <v>-0.17735490000000001</v>
      </c>
      <c r="W4653">
        <v>5.657827E-2</v>
      </c>
      <c r="X4653">
        <v>0.98251929999999998</v>
      </c>
      <c r="Y4653">
        <v>-0.16083649999999999</v>
      </c>
      <c r="Z4653">
        <v>5.6997189999999998E-3</v>
      </c>
      <c r="AA4653">
        <v>0.98696459999999997</v>
      </c>
      <c r="AB4653">
        <v>23</v>
      </c>
      <c r="AC4653">
        <v>47.229999999999897</v>
      </c>
      <c r="AD4653">
        <v>-1.106944023294</v>
      </c>
      <c r="AE4653">
        <v>-0.13567000000000101</v>
      </c>
      <c r="AF4653">
        <v>-7.6242377767175604</v>
      </c>
      <c r="AG4653">
        <v>-1.106944023294</v>
      </c>
      <c r="AH4653">
        <v>46.584478877382601</v>
      </c>
      <c r="AI4653">
        <v>91.343344681826395</v>
      </c>
      <c r="AJ4653">
        <v>99.294893419770403</v>
      </c>
      <c r="AK4653">
        <v>47.2172426029299</v>
      </c>
    </row>
    <row r="4654" spans="1:37" x14ac:dyDescent="0.2">
      <c r="A4654" t="str">
        <f>"20200111153526692"</f>
        <v>20200111153526692</v>
      </c>
      <c r="B4654" t="str">
        <f>"1578728126680423"</f>
        <v>1578728126680423</v>
      </c>
      <c r="C4654" t="s">
        <v>37</v>
      </c>
      <c r="D4654">
        <v>4.8984069999999997</v>
      </c>
      <c r="E4654">
        <v>0.50584649999999998</v>
      </c>
      <c r="F4654" t="s">
        <v>39</v>
      </c>
      <c r="G4654">
        <v>-344.23349999999999</v>
      </c>
      <c r="H4654" s="1">
        <v>-2.5308969999999999E-6</v>
      </c>
      <c r="I4654">
        <v>19.194659999999999</v>
      </c>
      <c r="J4654">
        <v>-392.51639999999998</v>
      </c>
      <c r="K4654">
        <v>1.1069420000000001</v>
      </c>
      <c r="L4654">
        <v>19.316859999999998</v>
      </c>
      <c r="M4654">
        <v>0.98658659999999998</v>
      </c>
      <c r="N4654">
        <v>0</v>
      </c>
      <c r="O4654">
        <v>-0.16269719999999999</v>
      </c>
      <c r="P4654">
        <v>0.99893460000000001</v>
      </c>
      <c r="Q4654">
        <v>4.405543E-2</v>
      </c>
      <c r="R4654">
        <v>1.373655E-2</v>
      </c>
      <c r="S4654">
        <v>3.00637799999999</v>
      </c>
      <c r="T4654">
        <v>-6.8742750000000005E-2</v>
      </c>
      <c r="U4654">
        <v>-8.7890629999999997E-3</v>
      </c>
      <c r="V4654">
        <v>-0.176344899999999</v>
      </c>
      <c r="W4654">
        <v>5.633548E-2</v>
      </c>
      <c r="X4654">
        <v>0.98271500000000001</v>
      </c>
      <c r="Y4654">
        <v>-0.15974240000000001</v>
      </c>
      <c r="Z4654">
        <v>5.5333739999999998E-3</v>
      </c>
      <c r="AA4654">
        <v>0.987143199999999</v>
      </c>
      <c r="AB4654">
        <v>23</v>
      </c>
      <c r="AC4654">
        <v>48.282899999999898</v>
      </c>
      <c r="AD4654">
        <v>-1.1069445308970001</v>
      </c>
      <c r="AE4654">
        <v>-0.122200000000002</v>
      </c>
      <c r="AF4654">
        <v>-7.7315506930037401</v>
      </c>
      <c r="AG4654">
        <v>-1.1069445308970001</v>
      </c>
      <c r="AH4654">
        <v>47.634312921615098</v>
      </c>
      <c r="AI4654">
        <v>91.314031601576104</v>
      </c>
      <c r="AJ4654">
        <v>99.219309518653702</v>
      </c>
      <c r="AK4654">
        <v>48.270383982596599</v>
      </c>
    </row>
    <row r="4655" spans="1:37" x14ac:dyDescent="0.2">
      <c r="A4655" t="str">
        <f>"20200111153526704"</f>
        <v>20200111153526704</v>
      </c>
      <c r="B4655" t="str">
        <f>"1578728126700919"</f>
        <v>1578728126700919</v>
      </c>
      <c r="C4655" t="s">
        <v>37</v>
      </c>
      <c r="D4655">
        <v>4.8834200000000001</v>
      </c>
      <c r="E4655">
        <v>0.47330499999999998</v>
      </c>
      <c r="F4655" t="s">
        <v>39</v>
      </c>
      <c r="G4655">
        <v>-344.63760000000002</v>
      </c>
      <c r="H4655" s="1">
        <v>-2.3551320000000002E-6</v>
      </c>
      <c r="I4655">
        <v>19.208389999999898</v>
      </c>
      <c r="J4655">
        <v>-392.38470000000001</v>
      </c>
      <c r="K4655">
        <v>1.1069450000000001</v>
      </c>
      <c r="L4655">
        <v>19.297059999999998</v>
      </c>
      <c r="M4655">
        <v>0.98686309999999999</v>
      </c>
      <c r="N4655">
        <v>0</v>
      </c>
      <c r="O4655">
        <v>-0.1610113</v>
      </c>
      <c r="P4655">
        <v>0.99891409999999903</v>
      </c>
      <c r="Q4655">
        <v>4.4177229999999998E-2</v>
      </c>
      <c r="R4655">
        <v>1.4802030000000001E-2</v>
      </c>
      <c r="S4655">
        <v>3.0063169999999899</v>
      </c>
      <c r="T4655">
        <v>-6.9505209999999998E-2</v>
      </c>
      <c r="U4655">
        <v>-6.8054200000000004E-3</v>
      </c>
      <c r="V4655">
        <v>-0.17571329999999999</v>
      </c>
      <c r="W4655">
        <v>5.6460690000000001E-2</v>
      </c>
      <c r="X4655">
        <v>0.9828209</v>
      </c>
      <c r="Y4655">
        <v>-0.15870580000000001</v>
      </c>
      <c r="Z4655">
        <v>5.5443389999999997E-3</v>
      </c>
      <c r="AA4655">
        <v>0.98731029999999997</v>
      </c>
      <c r="AB4655">
        <v>23</v>
      </c>
      <c r="AC4655">
        <v>47.747099999999897</v>
      </c>
      <c r="AD4655">
        <v>-1.1069473551319999</v>
      </c>
      <c r="AE4655">
        <v>-8.8670000000003996E-2</v>
      </c>
      <c r="AF4655">
        <v>-7.5969054756018002</v>
      </c>
      <c r="AG4655">
        <v>-1.1069473551319999</v>
      </c>
      <c r="AH4655">
        <v>47.112968038769303</v>
      </c>
      <c r="AI4655">
        <v>91.328793019967605</v>
      </c>
      <c r="AJ4655">
        <v>99.160023441052502</v>
      </c>
      <c r="AK4655">
        <v>47.734369825884997</v>
      </c>
    </row>
    <row r="4656" spans="1:37" x14ac:dyDescent="0.2">
      <c r="A4656" t="str">
        <f>"20200111153526722"</f>
        <v>20200111153526722</v>
      </c>
      <c r="B4656" t="str">
        <f>"1578728126710679"</f>
        <v>1578728126710679</v>
      </c>
      <c r="C4656" t="s">
        <v>37</v>
      </c>
      <c r="D4656">
        <v>4.8586339999999897</v>
      </c>
      <c r="E4656">
        <v>0.4690685</v>
      </c>
      <c r="F4656" t="s">
        <v>68</v>
      </c>
      <c r="G4656">
        <v>-364.22300000000001</v>
      </c>
      <c r="H4656" s="1">
        <v>-3.283716E-6</v>
      </c>
      <c r="I4656">
        <v>21.692540000000001</v>
      </c>
      <c r="J4656">
        <v>-392.20089999999999</v>
      </c>
      <c r="K4656">
        <v>1.106943</v>
      </c>
      <c r="L4656">
        <v>19.269839999999999</v>
      </c>
      <c r="M4656">
        <v>0.98724419999999902</v>
      </c>
      <c r="N4656">
        <v>0</v>
      </c>
      <c r="O4656">
        <v>-0.15865770000000001</v>
      </c>
      <c r="P4656">
        <v>0.998834</v>
      </c>
      <c r="Q4656">
        <v>4.4864609999999999E-2</v>
      </c>
      <c r="R4656">
        <v>1.7825879999999999E-2</v>
      </c>
      <c r="S4656">
        <v>3.0047000000000001</v>
      </c>
      <c r="T4656">
        <v>-0.1181053</v>
      </c>
      <c r="U4656">
        <v>0.2555847</v>
      </c>
      <c r="V4656">
        <v>-0.17634330000000001</v>
      </c>
      <c r="W4656">
        <v>5.7142419999999999E-2</v>
      </c>
      <c r="X4656">
        <v>0.98266869999999995</v>
      </c>
      <c r="Y4656">
        <v>-0.24147559999999901</v>
      </c>
      <c r="Z4656">
        <v>1.094938E-2</v>
      </c>
      <c r="AA4656">
        <v>0.97034509999999996</v>
      </c>
      <c r="AB4656">
        <v>23</v>
      </c>
      <c r="AC4656">
        <v>27.977899999999899</v>
      </c>
      <c r="AD4656">
        <v>-1.106946283716</v>
      </c>
      <c r="AE4656">
        <v>2.4226999999999999</v>
      </c>
      <c r="AF4656">
        <v>-6.8207114847382604</v>
      </c>
      <c r="AG4656">
        <v>-1.106946283716</v>
      </c>
      <c r="AH4656">
        <v>27.196788378732201</v>
      </c>
      <c r="AI4656">
        <v>92.260792294153006</v>
      </c>
      <c r="AJ4656">
        <v>104.07889397518299</v>
      </c>
      <c r="AK4656">
        <v>28.060875491520498</v>
      </c>
    </row>
    <row r="4657" spans="1:37" x14ac:dyDescent="0.2">
      <c r="A4657" t="str">
        <f>"20200111153526744"</f>
        <v>20200111153526744</v>
      </c>
      <c r="B4657" t="str">
        <f>"1578728126740936"</f>
        <v>1578728126740936</v>
      </c>
      <c r="C4657" t="s">
        <v>37</v>
      </c>
      <c r="D4657">
        <v>4.77569</v>
      </c>
      <c r="E4657">
        <v>0.46441120000000002</v>
      </c>
      <c r="F4657" t="s">
        <v>68</v>
      </c>
      <c r="G4657">
        <v>-366.01510000000002</v>
      </c>
      <c r="H4657" s="1">
        <v>-2.4829310000000002E-6</v>
      </c>
      <c r="I4657">
        <v>21.866810000000001</v>
      </c>
      <c r="J4657">
        <v>-391.9744</v>
      </c>
      <c r="K4657">
        <v>1.1069329999999999</v>
      </c>
      <c r="L4657">
        <v>19.236940000000001</v>
      </c>
      <c r="M4657">
        <v>0.98770590000000003</v>
      </c>
      <c r="N4657">
        <v>0</v>
      </c>
      <c r="O4657">
        <v>-0.1557577</v>
      </c>
      <c r="P4657">
        <v>0.99873519999999905</v>
      </c>
      <c r="Q4657">
        <v>4.4921589999999997E-2</v>
      </c>
      <c r="R4657">
        <v>2.2589410000000001E-2</v>
      </c>
      <c r="S4657">
        <v>3.0039060000000002</v>
      </c>
      <c r="T4657">
        <v>-0.1269835</v>
      </c>
      <c r="U4657">
        <v>0.29791259999999897</v>
      </c>
      <c r="V4657">
        <v>-0.17814469999999999</v>
      </c>
      <c r="W4657">
        <v>5.7185739999999999E-2</v>
      </c>
      <c r="X4657">
        <v>0.98234120000000003</v>
      </c>
      <c r="Y4657">
        <v>-0.25213589999999902</v>
      </c>
      <c r="Z4657">
        <v>1.1872239999999999E-2</v>
      </c>
      <c r="AA4657">
        <v>0.96761900000000001</v>
      </c>
      <c r="AB4657">
        <v>23</v>
      </c>
      <c r="AC4657">
        <v>25.959299999999899</v>
      </c>
      <c r="AD4657">
        <v>-1.1069354829310001</v>
      </c>
      <c r="AE4657">
        <v>2.6298699999999999</v>
      </c>
      <c r="AF4657">
        <v>-6.6295535586514598</v>
      </c>
      <c r="AG4657">
        <v>-1.1069354829310001</v>
      </c>
      <c r="AH4657">
        <v>25.187427023589901</v>
      </c>
      <c r="AI4657">
        <v>92.433628914389999</v>
      </c>
      <c r="AJ4657">
        <v>104.74629293201799</v>
      </c>
      <c r="AK4657">
        <v>26.068808308380099</v>
      </c>
    </row>
    <row r="4658" spans="1:37" x14ac:dyDescent="0.2">
      <c r="A4658" t="str">
        <f>"20200111153526757"</f>
        <v>20200111153526757</v>
      </c>
      <c r="B4658" t="str">
        <f>"1578728126750695"</f>
        <v>1578728126750695</v>
      </c>
      <c r="C4658" t="s">
        <v>37</v>
      </c>
      <c r="D4658">
        <v>4.7757529999999999</v>
      </c>
      <c r="E4658">
        <v>0.46393899999999999</v>
      </c>
      <c r="F4658" t="s">
        <v>68</v>
      </c>
      <c r="G4658">
        <v>-367.00020000000001</v>
      </c>
      <c r="H4658" s="1">
        <v>-2.0896919999999999E-6</v>
      </c>
      <c r="I4658">
        <v>22.139099999999999</v>
      </c>
      <c r="J4658">
        <v>-391.83589999999998</v>
      </c>
      <c r="K4658">
        <v>1.1069229999999901</v>
      </c>
      <c r="L4658">
        <v>19.21707</v>
      </c>
      <c r="M4658">
        <v>0.98798399999999997</v>
      </c>
      <c r="N4658">
        <v>0</v>
      </c>
      <c r="O4658">
        <v>-0.1539835</v>
      </c>
      <c r="P4658">
        <v>0.99870490000000001</v>
      </c>
      <c r="Q4658">
        <v>4.3971080000000003E-2</v>
      </c>
      <c r="R4658">
        <v>2.5587599999999999E-2</v>
      </c>
      <c r="S4658">
        <v>3.0019529999999999</v>
      </c>
      <c r="T4658">
        <v>-0.13305600000000001</v>
      </c>
      <c r="U4658">
        <v>0.3488464</v>
      </c>
      <c r="V4658">
        <v>-0.179332399999999</v>
      </c>
      <c r="W4658">
        <v>5.6226930000000001E-2</v>
      </c>
      <c r="X4658">
        <v>0.98218039999999995</v>
      </c>
      <c r="Y4658">
        <v>-0.26661220000000002</v>
      </c>
      <c r="Z4658">
        <v>1.268013E-2</v>
      </c>
      <c r="AA4658">
        <v>0.96372049999999998</v>
      </c>
      <c r="AB4658">
        <v>23</v>
      </c>
      <c r="AC4658">
        <v>24.8356999999999</v>
      </c>
      <c r="AD4658">
        <v>-1.106925089692</v>
      </c>
      <c r="AE4658">
        <v>2.9220299999999901</v>
      </c>
      <c r="AF4658">
        <v>-6.6986748216168301</v>
      </c>
      <c r="AG4658">
        <v>-1.106925089692</v>
      </c>
      <c r="AH4658">
        <v>24.042350689169201</v>
      </c>
      <c r="AI4658">
        <v>92.539479943370694</v>
      </c>
      <c r="AJ4658">
        <v>105.568889424137</v>
      </c>
      <c r="AK4658">
        <v>24.9826370541812</v>
      </c>
    </row>
    <row r="4659" spans="1:37" x14ac:dyDescent="0.2">
      <c r="A4659" t="str">
        <f>"20200111153526771"</f>
        <v>20200111153526771</v>
      </c>
      <c r="B4659" t="str">
        <f>"1578728126760455"</f>
        <v>1578728126760455</v>
      </c>
      <c r="C4659" t="s">
        <v>37</v>
      </c>
      <c r="D4659">
        <v>4.7487129999999897</v>
      </c>
      <c r="E4659">
        <v>0.46343210000000001</v>
      </c>
      <c r="F4659" t="s">
        <v>68</v>
      </c>
      <c r="G4659">
        <v>-367.33640000000003</v>
      </c>
      <c r="H4659" s="1">
        <v>-1.93880799999999E-6</v>
      </c>
      <c r="I4659">
        <v>22.169309999999999</v>
      </c>
      <c r="J4659">
        <v>-391.70760000000001</v>
      </c>
      <c r="K4659">
        <v>1.1069119999999999</v>
      </c>
      <c r="L4659">
        <v>19.19904</v>
      </c>
      <c r="M4659">
        <v>0.98823799999999995</v>
      </c>
      <c r="N4659">
        <v>0</v>
      </c>
      <c r="O4659">
        <v>-0.15234529999999999</v>
      </c>
      <c r="P4659">
        <v>0.99868919999999906</v>
      </c>
      <c r="Q4659">
        <v>4.2693080000000001E-2</v>
      </c>
      <c r="R4659">
        <v>2.8234990000000001E-2</v>
      </c>
      <c r="S4659">
        <v>3.0005489999999999</v>
      </c>
      <c r="T4659">
        <v>-0.13556979999999999</v>
      </c>
      <c r="U4659">
        <v>0.36157230000000001</v>
      </c>
      <c r="V4659">
        <v>-0.1803109</v>
      </c>
      <c r="W4659">
        <v>5.4943840000000001E-2</v>
      </c>
      <c r="X4659">
        <v>0.98207389999999894</v>
      </c>
      <c r="Y4659">
        <v>-0.26907940000000002</v>
      </c>
      <c r="Z4659">
        <v>1.290492E-2</v>
      </c>
      <c r="AA4659">
        <v>0.96303150000000004</v>
      </c>
      <c r="AB4659">
        <v>23</v>
      </c>
      <c r="AC4659">
        <v>24.371199999999899</v>
      </c>
      <c r="AD4659">
        <v>-1.106913938808</v>
      </c>
      <c r="AE4659">
        <v>2.9702700000000002</v>
      </c>
      <c r="AF4659">
        <v>-6.6352710286548398</v>
      </c>
      <c r="AG4659">
        <v>-1.106913938808</v>
      </c>
      <c r="AH4659">
        <v>23.586182528197099</v>
      </c>
      <c r="AI4659">
        <v>92.586690815686495</v>
      </c>
      <c r="AJ4659">
        <v>105.712368334541</v>
      </c>
      <c r="AK4659">
        <v>24.526721883387999</v>
      </c>
    </row>
    <row r="4660" spans="1:37" x14ac:dyDescent="0.2">
      <c r="A4660" t="str">
        <f>"20200111153526782"</f>
        <v>20200111153526782</v>
      </c>
      <c r="B4660" t="str">
        <f>"1578728126780951"</f>
        <v>1578728126780951</v>
      </c>
      <c r="C4660" t="s">
        <v>37</v>
      </c>
      <c r="D4660">
        <v>4.765555</v>
      </c>
      <c r="E4660">
        <v>0.46279510000000001</v>
      </c>
      <c r="F4660" t="s">
        <v>68</v>
      </c>
      <c r="G4660">
        <v>-367.7278</v>
      </c>
      <c r="H4660" s="1">
        <v>-1.758279E-6</v>
      </c>
      <c r="I4660">
        <v>22.186199999999999</v>
      </c>
      <c r="J4660">
        <v>-391.58539999999999</v>
      </c>
      <c r="K4660">
        <v>1.1068959999999901</v>
      </c>
      <c r="L4660">
        <v>19.181950000000001</v>
      </c>
      <c r="M4660">
        <v>0.98847649999999998</v>
      </c>
      <c r="N4660">
        <v>0</v>
      </c>
      <c r="O4660">
        <v>-0.15079020000000001</v>
      </c>
      <c r="P4660">
        <v>0.99867919999999999</v>
      </c>
      <c r="Q4660">
        <v>4.121814E-2</v>
      </c>
      <c r="R4660">
        <v>3.0673820000000001E-2</v>
      </c>
      <c r="S4660">
        <v>2.9993289999999999</v>
      </c>
      <c r="T4660">
        <v>-0.13844979999999901</v>
      </c>
      <c r="U4660">
        <v>0.37362669999999998</v>
      </c>
      <c r="V4660">
        <v>-0.18116599999999999</v>
      </c>
      <c r="W4660">
        <v>5.3465909999999998E-2</v>
      </c>
      <c r="X4660">
        <v>0.98199809999999998</v>
      </c>
      <c r="Y4660">
        <v>-0.27140389999999998</v>
      </c>
      <c r="Z4660">
        <v>1.3163670000000001E-2</v>
      </c>
      <c r="AA4660">
        <v>0.96237549999999905</v>
      </c>
      <c r="AB4660">
        <v>23</v>
      </c>
      <c r="AC4660">
        <v>23.857599999999898</v>
      </c>
      <c r="AD4660">
        <v>-1.1068977582789901</v>
      </c>
      <c r="AE4660">
        <v>3.0042499999999901</v>
      </c>
      <c r="AF4660">
        <v>-6.5538150360063101</v>
      </c>
      <c r="AG4660">
        <v>-1.1068977582789901</v>
      </c>
      <c r="AH4660">
        <v>23.082795016181102</v>
      </c>
      <c r="AI4660">
        <v>92.641183871227994</v>
      </c>
      <c r="AJ4660">
        <v>105.85064445923</v>
      </c>
      <c r="AK4660">
        <v>24.020681504330899</v>
      </c>
    </row>
    <row r="4661" spans="1:37" x14ac:dyDescent="0.2">
      <c r="A4661" t="str">
        <f>"20200111153526800"</f>
        <v>20200111153526800</v>
      </c>
      <c r="B4661" t="str">
        <f>"1578728126790714"</f>
        <v>1578728126790714</v>
      </c>
      <c r="C4661" t="s">
        <v>37</v>
      </c>
      <c r="D4661">
        <v>4.785075</v>
      </c>
      <c r="E4661">
        <v>0.4628102</v>
      </c>
      <c r="F4661" t="s">
        <v>68</v>
      </c>
      <c r="G4661">
        <v>-368.46319999999997</v>
      </c>
      <c r="H4661" s="1">
        <v>-1.403855E-6</v>
      </c>
      <c r="I4661">
        <v>22.160489999999999</v>
      </c>
      <c r="J4661">
        <v>-391.40620000000001</v>
      </c>
      <c r="K4661">
        <v>1.106859</v>
      </c>
      <c r="L4661">
        <v>19.157260000000001</v>
      </c>
      <c r="M4661">
        <v>0.98881830000000004</v>
      </c>
      <c r="N4661">
        <v>0</v>
      </c>
      <c r="O4661">
        <v>-0.14853259999999999</v>
      </c>
      <c r="P4661">
        <v>0.99872159999999999</v>
      </c>
      <c r="Q4661">
        <v>3.7456199999999898E-2</v>
      </c>
      <c r="R4661">
        <v>3.3944219999999997E-2</v>
      </c>
      <c r="S4661">
        <v>2.9980470000000001</v>
      </c>
      <c r="T4661">
        <v>-0.14352100000000001</v>
      </c>
      <c r="U4661">
        <v>0.38619999999999999</v>
      </c>
      <c r="V4661">
        <v>-0.182143</v>
      </c>
      <c r="W4661">
        <v>4.9705350000000002E-2</v>
      </c>
      <c r="X4661">
        <v>0.98201489999999902</v>
      </c>
      <c r="Y4661">
        <v>-0.27319599999999999</v>
      </c>
      <c r="Z4661">
        <v>1.358358E-2</v>
      </c>
      <c r="AA4661">
        <v>0.96186249999999995</v>
      </c>
      <c r="AB4661">
        <v>23</v>
      </c>
      <c r="AC4661">
        <v>22.943000000000001</v>
      </c>
      <c r="AD4661">
        <v>-1.1068604038550001</v>
      </c>
      <c r="AE4661">
        <v>3.0032299999999901</v>
      </c>
      <c r="AF4661">
        <v>-6.3634336654238499</v>
      </c>
      <c r="AG4661">
        <v>-1.1068604038550001</v>
      </c>
      <c r="AH4661">
        <v>22.191562727053402</v>
      </c>
      <c r="AI4661">
        <v>92.744961392225093</v>
      </c>
      <c r="AJ4661">
        <v>106.00025157460099</v>
      </c>
      <c r="AK4661">
        <v>23.112418398701099</v>
      </c>
    </row>
    <row r="4662" spans="1:37" x14ac:dyDescent="0.2">
      <c r="A4662" t="str">
        <f>"20200111153526813"</f>
        <v>20200111153526813</v>
      </c>
      <c r="B4662" t="str">
        <f>"1578728126810232"</f>
        <v>1578728126810232</v>
      </c>
      <c r="C4662" t="s">
        <v>37</v>
      </c>
      <c r="D4662">
        <v>4.7573189999999999</v>
      </c>
      <c r="E4662">
        <v>0.46292539999999999</v>
      </c>
      <c r="F4662" t="s">
        <v>68</v>
      </c>
      <c r="G4662">
        <v>-369.8141</v>
      </c>
      <c r="H4662" s="1">
        <v>-7.2566749999999899E-7</v>
      </c>
      <c r="I4662">
        <v>22.011759999999999</v>
      </c>
      <c r="J4662">
        <v>-391.27749999999997</v>
      </c>
      <c r="K4662">
        <v>1.106832</v>
      </c>
      <c r="L4662">
        <v>19.139800000000001</v>
      </c>
      <c r="M4662">
        <v>0.98905699999999996</v>
      </c>
      <c r="N4662">
        <v>0</v>
      </c>
      <c r="O4662">
        <v>-0.14693489999999901</v>
      </c>
      <c r="P4662">
        <v>0.99869699999999995</v>
      </c>
      <c r="Q4662">
        <v>3.6095910000000002E-2</v>
      </c>
      <c r="R4662">
        <v>3.6077749999999999E-2</v>
      </c>
      <c r="S4662">
        <v>2.9960939999999998</v>
      </c>
      <c r="T4662">
        <v>-0.15358659999999999</v>
      </c>
      <c r="U4662">
        <v>0.39608759999999998</v>
      </c>
      <c r="V4662">
        <v>-0.18265379999999901</v>
      </c>
      <c r="W4662">
        <v>4.834989E-2</v>
      </c>
      <c r="X4662">
        <v>0.98198770000000002</v>
      </c>
      <c r="Y4662">
        <v>-0.27477269999999998</v>
      </c>
      <c r="Z4662">
        <v>1.4500819999999999E-2</v>
      </c>
      <c r="AA4662">
        <v>0.96139989999999997</v>
      </c>
      <c r="AB4662">
        <v>23</v>
      </c>
      <c r="AC4662">
        <v>21.463399999999901</v>
      </c>
      <c r="AD4662">
        <v>-1.1068327256674999</v>
      </c>
      <c r="AE4662">
        <v>2.8719599999999899</v>
      </c>
      <c r="AF4662">
        <v>-5.9791627013803801</v>
      </c>
      <c r="AG4662">
        <v>-1.1068327256674999</v>
      </c>
      <c r="AH4662">
        <v>20.754149419445401</v>
      </c>
      <c r="AI4662">
        <v>92.933634371547896</v>
      </c>
      <c r="AJ4662">
        <v>106.071416479362</v>
      </c>
      <c r="AK4662">
        <v>21.6266082272939</v>
      </c>
    </row>
    <row r="4663" spans="1:37" x14ac:dyDescent="0.2">
      <c r="A4663" t="str">
        <f>"20200111153526825"</f>
        <v>20200111153526825</v>
      </c>
      <c r="B4663" t="str">
        <f>"1578728126819991"</f>
        <v>1578728126819991</v>
      </c>
      <c r="C4663" t="s">
        <v>37</v>
      </c>
      <c r="D4663">
        <v>4.7670159999999999</v>
      </c>
      <c r="E4663">
        <v>0.463175</v>
      </c>
      <c r="F4663" t="s">
        <v>67</v>
      </c>
      <c r="G4663">
        <v>-370.07260000000002</v>
      </c>
      <c r="H4663" s="1">
        <v>-5.1033190000000002E-6</v>
      </c>
      <c r="I4663">
        <v>21.983650000000001</v>
      </c>
      <c r="J4663">
        <v>-391.14760000000001</v>
      </c>
      <c r="K4663">
        <v>1.1068020000000001</v>
      </c>
      <c r="L4663">
        <v>19.122339999999902</v>
      </c>
      <c r="M4663">
        <v>0.98929269999999903</v>
      </c>
      <c r="N4663">
        <v>0</v>
      </c>
      <c r="O4663">
        <v>-0.1453402</v>
      </c>
      <c r="P4663">
        <v>0.99865630000000005</v>
      </c>
      <c r="Q4663">
        <v>3.502926E-2</v>
      </c>
      <c r="R4663">
        <v>3.8188949999999999E-2</v>
      </c>
      <c r="S4663">
        <v>2.99502599999999</v>
      </c>
      <c r="T4663">
        <v>-0.15633259999999999</v>
      </c>
      <c r="U4663">
        <v>0.40167239999999999</v>
      </c>
      <c r="V4663">
        <v>-0.183145</v>
      </c>
      <c r="W4663">
        <v>4.7290150000000003E-2</v>
      </c>
      <c r="X4663">
        <v>0.98194780000000004</v>
      </c>
      <c r="Y4663">
        <v>-0.2750108</v>
      </c>
      <c r="Z4663">
        <v>1.468704E-2</v>
      </c>
      <c r="AA4663">
        <v>0.96132899999999999</v>
      </c>
      <c r="AB4663">
        <v>23</v>
      </c>
      <c r="AC4663">
        <v>21.0749999999999</v>
      </c>
      <c r="AD4663">
        <v>-1.1068071033189999</v>
      </c>
      <c r="AE4663">
        <v>2.86131</v>
      </c>
      <c r="AF4663">
        <v>-5.8783175606174103</v>
      </c>
      <c r="AG4663">
        <v>-1.1068071033189999</v>
      </c>
      <c r="AH4663">
        <v>20.380087721571201</v>
      </c>
      <c r="AI4663">
        <v>92.987043945220705</v>
      </c>
      <c r="AJ4663">
        <v>106.089378754131</v>
      </c>
      <c r="AK4663">
        <v>21.239764943293402</v>
      </c>
    </row>
    <row r="4664" spans="1:37" x14ac:dyDescent="0.2">
      <c r="A4664" t="str">
        <f>"20200111153526839"</f>
        <v>20200111153526839</v>
      </c>
      <c r="B4664" t="str">
        <f>"1578728126830727"</f>
        <v>1578728126830727</v>
      </c>
      <c r="C4664" t="s">
        <v>37</v>
      </c>
      <c r="D4664">
        <v>4.81846</v>
      </c>
      <c r="E4664">
        <v>0.4633816</v>
      </c>
      <c r="F4664" t="s">
        <v>67</v>
      </c>
      <c r="G4664">
        <v>-370.28530000000001</v>
      </c>
      <c r="H4664" s="1">
        <v>-5.0160220000000001E-6</v>
      </c>
      <c r="I4664">
        <v>21.951929999999901</v>
      </c>
      <c r="J4664">
        <v>-391.0077</v>
      </c>
      <c r="K4664">
        <v>1.106765</v>
      </c>
      <c r="L4664">
        <v>19.103729999999999</v>
      </c>
      <c r="M4664">
        <v>0.98954059999999899</v>
      </c>
      <c r="N4664">
        <v>0</v>
      </c>
      <c r="O4664">
        <v>-0.14364260000000001</v>
      </c>
      <c r="P4664">
        <v>0.99857940000000001</v>
      </c>
      <c r="Q4664">
        <v>3.4766760000000001E-2</v>
      </c>
      <c r="R4664">
        <v>4.0381529999999999E-2</v>
      </c>
      <c r="S4664">
        <v>2.99411</v>
      </c>
      <c r="T4664">
        <v>-0.15884690000000001</v>
      </c>
      <c r="U4664">
        <v>0.4060974</v>
      </c>
      <c r="V4664">
        <v>-0.183613</v>
      </c>
      <c r="W4664">
        <v>4.7037229999999999E-2</v>
      </c>
      <c r="X4664">
        <v>0.98187259999999998</v>
      </c>
      <c r="Y4664">
        <v>-0.27477970000000002</v>
      </c>
      <c r="Z4664">
        <v>1.483076E-2</v>
      </c>
      <c r="AA4664">
        <v>0.96139279999999905</v>
      </c>
      <c r="AB4664">
        <v>23</v>
      </c>
      <c r="AC4664">
        <v>20.7224</v>
      </c>
      <c r="AD4664">
        <v>-1.106770016022</v>
      </c>
      <c r="AE4664">
        <v>2.8481999999999901</v>
      </c>
      <c r="AF4664">
        <v>-5.7793592752454703</v>
      </c>
      <c r="AG4664">
        <v>-1.106770016022</v>
      </c>
      <c r="AH4664">
        <v>20.0421925357895</v>
      </c>
      <c r="AI4664">
        <v>93.037268313905102</v>
      </c>
      <c r="AJ4664">
        <v>106.085425947738</v>
      </c>
      <c r="AK4664">
        <v>20.888164475185199</v>
      </c>
    </row>
    <row r="4665" spans="1:37" x14ac:dyDescent="0.2">
      <c r="A4665" t="str">
        <f>"20200111153526857"</f>
        <v>20200111153526857</v>
      </c>
      <c r="B4665" t="str">
        <f>"1578728126850247"</f>
        <v>1578728126850247</v>
      </c>
      <c r="C4665" t="s">
        <v>37</v>
      </c>
      <c r="D4665">
        <v>4.8161170000000002</v>
      </c>
      <c r="E4665">
        <v>0.46406570000000003</v>
      </c>
      <c r="F4665" t="s">
        <v>67</v>
      </c>
      <c r="G4665">
        <v>-370.36970000000002</v>
      </c>
      <c r="H4665" s="1">
        <v>-4.9808400000000001E-6</v>
      </c>
      <c r="I4665">
        <v>21.936319999999998</v>
      </c>
      <c r="J4665">
        <v>-390.83370000000002</v>
      </c>
      <c r="K4665">
        <v>1.106714</v>
      </c>
      <c r="L4665">
        <v>19.080929999999999</v>
      </c>
      <c r="M4665">
        <v>0.98983600000000005</v>
      </c>
      <c r="N4665">
        <v>0</v>
      </c>
      <c r="O4665">
        <v>-0.1415932</v>
      </c>
      <c r="P4665">
        <v>0.9984594</v>
      </c>
      <c r="Q4665">
        <v>3.4952610000000002E-2</v>
      </c>
      <c r="R4665">
        <v>4.3095189999999998E-2</v>
      </c>
      <c r="S4665">
        <v>2.9932560000000001</v>
      </c>
      <c r="T4665">
        <v>-0.16052169999999999</v>
      </c>
      <c r="U4665">
        <v>0.41082759999999902</v>
      </c>
      <c r="V4665">
        <v>-0.1842424</v>
      </c>
      <c r="W4665">
        <v>4.723919E-2</v>
      </c>
      <c r="X4665">
        <v>0.98174499999999998</v>
      </c>
      <c r="Y4665">
        <v>-0.274308099999999</v>
      </c>
      <c r="Z4665">
        <v>1.486819E-2</v>
      </c>
      <c r="AA4665">
        <v>0.96152689999999996</v>
      </c>
      <c r="AB4665">
        <v>23</v>
      </c>
      <c r="AC4665">
        <v>20.463999999999999</v>
      </c>
      <c r="AD4665">
        <v>-1.10671898084</v>
      </c>
      <c r="AE4665">
        <v>2.8553899999999999</v>
      </c>
      <c r="AF4665">
        <v>-5.7080589962239499</v>
      </c>
      <c r="AG4665">
        <v>-1.10671898084</v>
      </c>
      <c r="AH4665">
        <v>19.7966527064365</v>
      </c>
      <c r="AI4665">
        <v>93.074746976519805</v>
      </c>
      <c r="AJ4665">
        <v>106.084099263871</v>
      </c>
      <c r="AK4665">
        <v>20.632843303485402</v>
      </c>
    </row>
    <row r="4666" spans="1:37" x14ac:dyDescent="0.2">
      <c r="A4666" t="str">
        <f>"20200111153526869"</f>
        <v>20200111153526869</v>
      </c>
      <c r="B4666" t="str">
        <f>"1578728126860007"</f>
        <v>1578728126860007</v>
      </c>
      <c r="C4666" t="s">
        <v>37</v>
      </c>
      <c r="D4666">
        <v>4.810854</v>
      </c>
      <c r="E4666">
        <v>0.46444380000000002</v>
      </c>
      <c r="F4666" t="s">
        <v>67</v>
      </c>
      <c r="G4666">
        <v>-370.0967</v>
      </c>
      <c r="H4666" s="1">
        <v>-5.0870020000000002E-6</v>
      </c>
      <c r="I4666">
        <v>21.94378</v>
      </c>
      <c r="J4666">
        <v>-390.71190000000001</v>
      </c>
      <c r="K4666">
        <v>1.106676</v>
      </c>
      <c r="L4666">
        <v>19.06512</v>
      </c>
      <c r="M4666">
        <v>0.99003339999999995</v>
      </c>
      <c r="N4666">
        <v>0</v>
      </c>
      <c r="O4666">
        <v>-0.1402062</v>
      </c>
      <c r="P4666">
        <v>0.9983474</v>
      </c>
      <c r="Q4666">
        <v>3.5683859999999998E-2</v>
      </c>
      <c r="R4666">
        <v>4.5045740000000001E-2</v>
      </c>
      <c r="S4666">
        <v>2.9924009999999899</v>
      </c>
      <c r="T4666">
        <v>-0.1597025</v>
      </c>
      <c r="U4666">
        <v>0.4131165</v>
      </c>
      <c r="V4666">
        <v>-0.18477929999999901</v>
      </c>
      <c r="W4666">
        <v>4.7983159999999997E-2</v>
      </c>
      <c r="X4666">
        <v>0.98160800000000004</v>
      </c>
      <c r="Y4666">
        <v>-0.27372809999999997</v>
      </c>
      <c r="Z4666">
        <v>1.4707120000000001E-2</v>
      </c>
      <c r="AA4666">
        <v>0.96169470000000001</v>
      </c>
      <c r="AB4666">
        <v>23</v>
      </c>
      <c r="AC4666">
        <v>20.615200000000002</v>
      </c>
      <c r="AD4666">
        <v>-1.1066810870020001</v>
      </c>
      <c r="AE4666">
        <v>2.87866</v>
      </c>
      <c r="AF4666">
        <v>-5.72467181319234</v>
      </c>
      <c r="AG4666">
        <v>-1.1066810870020001</v>
      </c>
      <c r="AH4666">
        <v>19.951494882087399</v>
      </c>
      <c r="AI4666">
        <v>93.051961898226097</v>
      </c>
      <c r="AJ4666">
        <v>106.00974533373601</v>
      </c>
      <c r="AK4666">
        <v>20.7860231508349</v>
      </c>
    </row>
    <row r="4667" spans="1:37" x14ac:dyDescent="0.2">
      <c r="A4667" t="str">
        <f>"20200111153526891"</f>
        <v>20200111153526891</v>
      </c>
      <c r="B4667" t="str">
        <f>"1578728126880503"</f>
        <v>1578728126880503</v>
      </c>
      <c r="C4667" t="s">
        <v>37</v>
      </c>
      <c r="D4667">
        <v>4.8394760000000003</v>
      </c>
      <c r="E4667">
        <v>0.4649084</v>
      </c>
      <c r="F4667" t="s">
        <v>68</v>
      </c>
      <c r="G4667">
        <v>-369.61489999999998</v>
      </c>
      <c r="H4667" s="1">
        <v>-8.1573189999999997E-7</v>
      </c>
      <c r="I4667">
        <v>21.996310000000001</v>
      </c>
      <c r="J4667">
        <v>-390.4896</v>
      </c>
      <c r="K4667">
        <v>1.106598</v>
      </c>
      <c r="L4667">
        <v>19.03668</v>
      </c>
      <c r="M4667">
        <v>0.99037619999999904</v>
      </c>
      <c r="N4667">
        <v>0</v>
      </c>
      <c r="O4667">
        <v>-0.137765</v>
      </c>
      <c r="P4667">
        <v>0.99813109999999905</v>
      </c>
      <c r="Q4667">
        <v>3.7357880000000003E-2</v>
      </c>
      <c r="R4667">
        <v>4.8360269999999997E-2</v>
      </c>
      <c r="S4667">
        <v>2.9918209999999998</v>
      </c>
      <c r="T4667">
        <v>-0.1569411</v>
      </c>
      <c r="U4667">
        <v>0.41567989999999999</v>
      </c>
      <c r="V4667">
        <v>-0.185606299999999</v>
      </c>
      <c r="W4667">
        <v>4.9686769999999998E-2</v>
      </c>
      <c r="X4667">
        <v>0.981367199999999</v>
      </c>
      <c r="Y4667">
        <v>-0.27221580000000001</v>
      </c>
      <c r="Z4667">
        <v>1.42887E-2</v>
      </c>
      <c r="AA4667">
        <v>0.96213009999999999</v>
      </c>
      <c r="AB4667">
        <v>23</v>
      </c>
      <c r="AC4667">
        <v>20.874700000000001</v>
      </c>
      <c r="AD4667">
        <v>-1.10659881573189</v>
      </c>
      <c r="AE4667">
        <v>2.9596300000000002</v>
      </c>
      <c r="AF4667">
        <v>-5.7915059460054596</v>
      </c>
      <c r="AG4667">
        <v>-1.10659881573189</v>
      </c>
      <c r="AH4667">
        <v>20.2121728220792</v>
      </c>
      <c r="AI4667">
        <v>93.012763789161099</v>
      </c>
      <c r="AJ4667">
        <v>105.988889826562</v>
      </c>
      <c r="AK4667">
        <v>21.054643959259799</v>
      </c>
    </row>
    <row r="4668" spans="1:37" x14ac:dyDescent="0.2">
      <c r="A4668" t="str">
        <f>"20200111153526904"</f>
        <v>20200111153526904</v>
      </c>
      <c r="B4668" t="str">
        <f>"1578728126900024"</f>
        <v>1578728126900024</v>
      </c>
      <c r="C4668" t="s">
        <v>37</v>
      </c>
      <c r="D4668">
        <v>4.8332809999999897</v>
      </c>
      <c r="E4668">
        <v>0.465387</v>
      </c>
      <c r="F4668" t="s">
        <v>68</v>
      </c>
      <c r="G4668">
        <v>-368.68689999999998</v>
      </c>
      <c r="H4668" s="1">
        <v>-1.2843719999999901E-6</v>
      </c>
      <c r="I4668">
        <v>22.10896</v>
      </c>
      <c r="J4668">
        <v>-390.34789999999998</v>
      </c>
      <c r="K4668">
        <v>1.1065320000000001</v>
      </c>
      <c r="L4668">
        <v>19.018709999999999</v>
      </c>
      <c r="M4668">
        <v>0.99058119999999905</v>
      </c>
      <c r="N4668">
        <v>0</v>
      </c>
      <c r="O4668">
        <v>-0.13628270000000001</v>
      </c>
      <c r="P4668">
        <v>0.99801039999999996</v>
      </c>
      <c r="Q4668">
        <v>3.7948629999999997E-2</v>
      </c>
      <c r="R4668">
        <v>5.0349129999999999E-2</v>
      </c>
      <c r="S4668">
        <v>2.9908450000000002</v>
      </c>
      <c r="T4668">
        <v>-0.15180070000000001</v>
      </c>
      <c r="U4668">
        <v>0.42144779999999998</v>
      </c>
      <c r="V4668">
        <v>-0.18608479999999999</v>
      </c>
      <c r="W4668">
        <v>5.0299690000000001E-2</v>
      </c>
      <c r="X4668">
        <v>0.98124529999999999</v>
      </c>
      <c r="Y4668">
        <v>-0.27267550000000002</v>
      </c>
      <c r="Z4668">
        <v>1.376112E-2</v>
      </c>
      <c r="AA4668">
        <v>0.96200759999999996</v>
      </c>
      <c r="AB4668">
        <v>23</v>
      </c>
      <c r="AC4668">
        <v>21.661000000000001</v>
      </c>
      <c r="AD4668">
        <v>-1.1065332843719999</v>
      </c>
      <c r="AE4668">
        <v>3.0902499999999899</v>
      </c>
      <c r="AF4668">
        <v>-5.9983510921798597</v>
      </c>
      <c r="AG4668">
        <v>-1.1065332843719999</v>
      </c>
      <c r="AH4668">
        <v>20.984014890922602</v>
      </c>
      <c r="AI4668">
        <v>92.902491476473003</v>
      </c>
      <c r="AJ4668">
        <v>105.952762435067</v>
      </c>
      <c r="AK4668">
        <v>21.852540188201001</v>
      </c>
    </row>
    <row r="4669" spans="1:37" x14ac:dyDescent="0.2">
      <c r="A4669" t="str">
        <f>"20200111153526916"</f>
        <v>20200111153526916</v>
      </c>
      <c r="B4669" t="str">
        <f>"1578728126910760"</f>
        <v>1578728126910760</v>
      </c>
      <c r="C4669" t="s">
        <v>37</v>
      </c>
      <c r="D4669">
        <v>4.8027430000000004</v>
      </c>
      <c r="E4669">
        <v>0.46564559999999999</v>
      </c>
      <c r="F4669" t="s">
        <v>68</v>
      </c>
      <c r="G4669">
        <v>-368.18709999999999</v>
      </c>
      <c r="H4669" s="1">
        <v>-1.53329199999999E-6</v>
      </c>
      <c r="I4669">
        <v>22.156459999999999</v>
      </c>
      <c r="J4669">
        <v>-390.22590000000002</v>
      </c>
      <c r="K4669">
        <v>1.1064769999999999</v>
      </c>
      <c r="L4669">
        <v>19.003329999999998</v>
      </c>
      <c r="M4669">
        <v>0.99075049999999898</v>
      </c>
      <c r="N4669">
        <v>0</v>
      </c>
      <c r="O4669">
        <v>-0.13504829999999901</v>
      </c>
      <c r="P4669">
        <v>0.99786419999999998</v>
      </c>
      <c r="Q4669">
        <v>3.8512999999999999E-2</v>
      </c>
      <c r="R4669">
        <v>5.2763959999999999E-2</v>
      </c>
      <c r="S4669">
        <v>2.990326</v>
      </c>
      <c r="T4669">
        <v>-0.14931269999999999</v>
      </c>
      <c r="U4669">
        <v>0.42340090000000002</v>
      </c>
      <c r="V4669">
        <v>-0.187228799999999</v>
      </c>
      <c r="W4669">
        <v>5.0880689999999999E-2</v>
      </c>
      <c r="X4669">
        <v>0.98099769999999897</v>
      </c>
      <c r="Y4669">
        <v>-0.27213480000000001</v>
      </c>
      <c r="Z4669">
        <v>1.3463050000000001E-2</v>
      </c>
      <c r="AA4669">
        <v>0.96216489999999999</v>
      </c>
      <c r="AB4669">
        <v>23</v>
      </c>
      <c r="AC4669">
        <v>22.038799999999998</v>
      </c>
      <c r="AD4669">
        <v>-1.106478533292</v>
      </c>
      <c r="AE4669">
        <v>3.15313</v>
      </c>
      <c r="AF4669">
        <v>-6.08577036605661</v>
      </c>
      <c r="AG4669">
        <v>-1.106478533292</v>
      </c>
      <c r="AH4669">
        <v>21.358248671415101</v>
      </c>
      <c r="AI4669">
        <v>92.852266590211997</v>
      </c>
      <c r="AJ4669">
        <v>105.90425078512401</v>
      </c>
      <c r="AK4669">
        <v>22.235909740845202</v>
      </c>
    </row>
    <row r="4670" spans="1:37" x14ac:dyDescent="0.2">
      <c r="A4670" t="str">
        <f>"20200111153526935"</f>
        <v>20200111153526935</v>
      </c>
      <c r="B4670" t="str">
        <f>"1578728126930279"</f>
        <v>1578728126930279</v>
      </c>
      <c r="C4670" t="s">
        <v>37</v>
      </c>
      <c r="D4670">
        <v>4.7873929999999998</v>
      </c>
      <c r="E4670">
        <v>0.46615699999999999</v>
      </c>
      <c r="F4670" t="s">
        <v>68</v>
      </c>
      <c r="G4670">
        <v>-367.78789999999998</v>
      </c>
      <c r="H4670" s="1">
        <v>-1.738523E-6</v>
      </c>
      <c r="I4670">
        <v>22.21857</v>
      </c>
      <c r="J4670">
        <v>-390.04489999999998</v>
      </c>
      <c r="K4670">
        <v>1.1063959999999999</v>
      </c>
      <c r="L4670">
        <v>18.980799999999999</v>
      </c>
      <c r="M4670">
        <v>0.99098489999999995</v>
      </c>
      <c r="N4670">
        <v>0</v>
      </c>
      <c r="O4670">
        <v>-0.1333164</v>
      </c>
      <c r="P4670">
        <v>0.99762439999999997</v>
      </c>
      <c r="Q4670">
        <v>3.8905500000000003E-2</v>
      </c>
      <c r="R4670">
        <v>5.6849900000000002E-2</v>
      </c>
      <c r="S4670">
        <v>2.989471</v>
      </c>
      <c r="T4670">
        <v>-0.14741899999999999</v>
      </c>
      <c r="U4670">
        <v>0.42837520000000001</v>
      </c>
      <c r="V4670">
        <v>-0.18952060000000001</v>
      </c>
      <c r="W4670">
        <v>5.1294520000000003E-2</v>
      </c>
      <c r="X4670">
        <v>0.98053599999999996</v>
      </c>
      <c r="Y4670">
        <v>-0.27207509999999901</v>
      </c>
      <c r="Z4670">
        <v>1.320869E-2</v>
      </c>
      <c r="AA4670">
        <v>0.96218539999999997</v>
      </c>
      <c r="AB4670">
        <v>23</v>
      </c>
      <c r="AC4670">
        <v>22.257000000000001</v>
      </c>
      <c r="AD4670">
        <v>-1.1063977385229999</v>
      </c>
      <c r="AE4670">
        <v>3.2377699999999998</v>
      </c>
      <c r="AF4670">
        <v>-6.1614368388186804</v>
      </c>
      <c r="AG4670">
        <v>-1.1063977385229999</v>
      </c>
      <c r="AH4670">
        <v>21.574395143628401</v>
      </c>
      <c r="AI4670">
        <v>92.823046124903598</v>
      </c>
      <c r="AJ4670">
        <v>105.938825162404</v>
      </c>
      <c r="AK4670">
        <v>22.464237037744599</v>
      </c>
    </row>
    <row r="4671" spans="1:37" x14ac:dyDescent="0.2">
      <c r="A4671" t="str">
        <f>"20200111153526948"</f>
        <v>20200111153526948</v>
      </c>
      <c r="B4671" t="str">
        <f>"1578728126940040"</f>
        <v>1578728126940040</v>
      </c>
      <c r="C4671" t="s">
        <v>37</v>
      </c>
      <c r="D4671">
        <v>4.814222</v>
      </c>
      <c r="E4671">
        <v>0.46639829999999999</v>
      </c>
      <c r="F4671" t="s">
        <v>68</v>
      </c>
      <c r="G4671">
        <v>-367.35300000000001</v>
      </c>
      <c r="H4671" s="1">
        <v>-1.9640620000000002E-6</v>
      </c>
      <c r="I4671">
        <v>22.293600000000001</v>
      </c>
      <c r="J4671">
        <v>-389.9051</v>
      </c>
      <c r="K4671">
        <v>1.1063289999999999</v>
      </c>
      <c r="L4671">
        <v>18.963529999999999</v>
      </c>
      <c r="M4671">
        <v>0.99115439999999999</v>
      </c>
      <c r="N4671">
        <v>0</v>
      </c>
      <c r="O4671">
        <v>-0.13204959999999999</v>
      </c>
      <c r="P4671">
        <v>0.99746509999999999</v>
      </c>
      <c r="Q4671">
        <v>3.9021210000000001E-2</v>
      </c>
      <c r="R4671">
        <v>5.9504719999999997E-2</v>
      </c>
      <c r="S4671">
        <v>2.9880070000000001</v>
      </c>
      <c r="T4671">
        <v>-0.14568719999999999</v>
      </c>
      <c r="U4671">
        <v>0.4362183</v>
      </c>
      <c r="V4671">
        <v>-0.19086939999999999</v>
      </c>
      <c r="W4671">
        <v>5.142977E-2</v>
      </c>
      <c r="X4671">
        <v>0.98026719999999901</v>
      </c>
      <c r="Y4671">
        <v>-0.27339599999999997</v>
      </c>
      <c r="Z4671">
        <v>1.30286E-2</v>
      </c>
      <c r="AA4671">
        <v>0.96181329999999998</v>
      </c>
      <c r="AB4671">
        <v>23</v>
      </c>
      <c r="AC4671">
        <v>22.552099999999999</v>
      </c>
      <c r="AD4671">
        <v>-1.106330964062</v>
      </c>
      <c r="AE4671">
        <v>3.3300700000000001</v>
      </c>
      <c r="AF4671">
        <v>-6.2644075021177201</v>
      </c>
      <c r="AG4671">
        <v>-1.106330964062</v>
      </c>
      <c r="AH4671">
        <v>21.863313195100499</v>
      </c>
      <c r="AI4671">
        <v>92.784943511166006</v>
      </c>
      <c r="AJ4671">
        <v>105.988384032936</v>
      </c>
      <c r="AK4671">
        <v>22.769963404047999</v>
      </c>
    </row>
    <row r="4672" spans="1:37" x14ac:dyDescent="0.2">
      <c r="A4672" t="str">
        <f>"20200111153526962"</f>
        <v>20200111153526962</v>
      </c>
      <c r="B4672" t="str">
        <f>"1578728126950775"</f>
        <v>1578728126950775</v>
      </c>
      <c r="C4672" t="s">
        <v>37</v>
      </c>
      <c r="D4672">
        <v>4.8230409999999999</v>
      </c>
      <c r="E4672">
        <v>0.46668959999999998</v>
      </c>
      <c r="F4672" t="s">
        <v>68</v>
      </c>
      <c r="G4672">
        <v>-367.16969999999998</v>
      </c>
      <c r="H4672" s="1">
        <v>-2.06008299999999E-6</v>
      </c>
      <c r="I4672">
        <v>22.328949999999999</v>
      </c>
      <c r="J4672">
        <v>-389.77030000000002</v>
      </c>
      <c r="K4672">
        <v>1.106268</v>
      </c>
      <c r="L4672">
        <v>18.946960000000001</v>
      </c>
      <c r="M4672">
        <v>0.99131080000000005</v>
      </c>
      <c r="N4672">
        <v>0</v>
      </c>
      <c r="O4672">
        <v>-0.1308723</v>
      </c>
      <c r="P4672">
        <v>0.99730189999999996</v>
      </c>
      <c r="Q4672">
        <v>3.8871070000000001E-2</v>
      </c>
      <c r="R4672">
        <v>6.2274179999999998E-2</v>
      </c>
      <c r="S4672">
        <v>2.9869080000000001</v>
      </c>
      <c r="T4672">
        <v>-0.1453468</v>
      </c>
      <c r="U4672">
        <v>0.4421387</v>
      </c>
      <c r="V4672">
        <v>-0.19242000000000001</v>
      </c>
      <c r="W4672">
        <v>5.1297370000000002E-2</v>
      </c>
      <c r="X4672">
        <v>0.97997099999999904</v>
      </c>
      <c r="Y4672">
        <v>-0.27417269999999999</v>
      </c>
      <c r="Z4672">
        <v>1.2963199999999999E-2</v>
      </c>
      <c r="AA4672">
        <v>0.96159309999999998</v>
      </c>
      <c r="AB4672">
        <v>23</v>
      </c>
      <c r="AC4672">
        <v>22.6006</v>
      </c>
      <c r="AD4672">
        <v>-1.106270060083</v>
      </c>
      <c r="AE4672">
        <v>3.3819899999999898</v>
      </c>
      <c r="AF4672">
        <v>-6.2961938966368098</v>
      </c>
      <c r="AG4672">
        <v>-1.106270060083</v>
      </c>
      <c r="AH4672">
        <v>21.912184500713799</v>
      </c>
      <c r="AI4672">
        <v>92.777992370049603</v>
      </c>
      <c r="AJ4672">
        <v>106.031347015954</v>
      </c>
      <c r="AK4672">
        <v>22.8256373541508</v>
      </c>
    </row>
    <row r="4673" spans="1:37" x14ac:dyDescent="0.2">
      <c r="A4673" t="str">
        <f>"20200111153526980"</f>
        <v>20200111153526980</v>
      </c>
      <c r="B4673" t="str">
        <f>"1578728126970295"</f>
        <v>1578728126970295</v>
      </c>
      <c r="C4673" t="s">
        <v>37</v>
      </c>
      <c r="D4673">
        <v>4.8463019999999997</v>
      </c>
      <c r="E4673">
        <v>0.46722019999999997</v>
      </c>
      <c r="F4673" t="s">
        <v>68</v>
      </c>
      <c r="G4673">
        <v>-367.03879999999998</v>
      </c>
      <c r="H4673" s="1">
        <v>-2.12945E-6</v>
      </c>
      <c r="I4673">
        <v>22.356929999999998</v>
      </c>
      <c r="J4673">
        <v>-389.58749999999998</v>
      </c>
      <c r="K4673">
        <v>1.1061879999999999</v>
      </c>
      <c r="L4673">
        <v>18.924679999999999</v>
      </c>
      <c r="M4673">
        <v>0.99150869999999902</v>
      </c>
      <c r="N4673">
        <v>0</v>
      </c>
      <c r="O4673">
        <v>-0.1293648</v>
      </c>
      <c r="P4673">
        <v>0.99702230000000003</v>
      </c>
      <c r="Q4673">
        <v>3.9159010000000001E-2</v>
      </c>
      <c r="R4673">
        <v>6.6433320000000004E-2</v>
      </c>
      <c r="S4673">
        <v>2.98584</v>
      </c>
      <c r="T4673">
        <v>-0.145311</v>
      </c>
      <c r="U4673">
        <v>0.44790649999999999</v>
      </c>
      <c r="V4673">
        <v>-0.19500729999999999</v>
      </c>
      <c r="W4673">
        <v>5.160406E-2</v>
      </c>
      <c r="X4673">
        <v>0.97944330000000002</v>
      </c>
      <c r="Y4673">
        <v>-0.27457890000000001</v>
      </c>
      <c r="Z4673">
        <v>1.289998E-2</v>
      </c>
      <c r="AA4673">
        <v>0.961478099999999</v>
      </c>
      <c r="AB4673">
        <v>23</v>
      </c>
      <c r="AC4673">
        <v>22.5487</v>
      </c>
      <c r="AD4673">
        <v>-1.1061901294499901</v>
      </c>
      <c r="AE4673">
        <v>3.4322499999999998</v>
      </c>
      <c r="AF4673">
        <v>-6.3058352561216298</v>
      </c>
      <c r="AG4673">
        <v>-1.1061901294499901</v>
      </c>
      <c r="AH4673">
        <v>21.8637130428442</v>
      </c>
      <c r="AI4673">
        <v>92.7831441510221</v>
      </c>
      <c r="AJ4673">
        <v>106.088384835141</v>
      </c>
      <c r="AK4673">
        <v>22.7817726022291</v>
      </c>
    </row>
    <row r="4674" spans="1:37" x14ac:dyDescent="0.2">
      <c r="A4674" t="str">
        <f>"20200111153526994"</f>
        <v>20200111153526994</v>
      </c>
      <c r="B4674" t="str">
        <f>"1578728126990792"</f>
        <v>1578728126990792</v>
      </c>
      <c r="C4674" t="s">
        <v>37</v>
      </c>
      <c r="D4674">
        <v>4.7972619999999999</v>
      </c>
      <c r="E4674">
        <v>0.46770790000000001</v>
      </c>
      <c r="F4674" t="s">
        <v>68</v>
      </c>
      <c r="G4674">
        <v>-366.5421</v>
      </c>
      <c r="H4674" s="1">
        <v>-2.387983E-6</v>
      </c>
      <c r="I4674">
        <v>22.44632</v>
      </c>
      <c r="J4674">
        <v>-389.43869999999998</v>
      </c>
      <c r="K4674">
        <v>1.106133</v>
      </c>
      <c r="L4674">
        <v>18.906679999999898</v>
      </c>
      <c r="M4674">
        <v>0.99165879999999995</v>
      </c>
      <c r="N4674">
        <v>0</v>
      </c>
      <c r="O4674">
        <v>-0.128208399999999</v>
      </c>
      <c r="P4674">
        <v>0.99686640000000004</v>
      </c>
      <c r="Q4674">
        <v>3.9097550000000002E-2</v>
      </c>
      <c r="R4674">
        <v>6.8764720000000001E-2</v>
      </c>
      <c r="S4674">
        <v>2.98419199999999</v>
      </c>
      <c r="T4674">
        <v>-0.14324300000000001</v>
      </c>
      <c r="U4674">
        <v>0.45602419999999999</v>
      </c>
      <c r="V4674">
        <v>-0.19614949999999901</v>
      </c>
      <c r="W4674">
        <v>5.1560250000000002E-2</v>
      </c>
      <c r="X4674">
        <v>0.97921749999999996</v>
      </c>
      <c r="Y4674">
        <v>-0.27610449999999997</v>
      </c>
      <c r="Z4674">
        <v>1.270254E-2</v>
      </c>
      <c r="AA4674">
        <v>0.96104369999999995</v>
      </c>
      <c r="AB4674">
        <v>23</v>
      </c>
      <c r="AC4674">
        <v>22.8965999999999</v>
      </c>
      <c r="AD4674">
        <v>-1.106135387983</v>
      </c>
      <c r="AE4674">
        <v>3.5396399999999999</v>
      </c>
      <c r="AF4674">
        <v>-6.4315570728972897</v>
      </c>
      <c r="AG4674">
        <v>-1.106135387983</v>
      </c>
      <c r="AH4674">
        <v>22.203145878038601</v>
      </c>
      <c r="AI4674">
        <v>92.739611932188495</v>
      </c>
      <c r="AJ4674">
        <v>106.154649521236</v>
      </c>
      <c r="AK4674">
        <v>23.1423453599662</v>
      </c>
    </row>
    <row r="4675" spans="1:37" x14ac:dyDescent="0.2">
      <c r="A4675" t="str">
        <f>"20200111153527009"</f>
        <v>20200111153527009</v>
      </c>
      <c r="B4675" t="str">
        <f>"1578728127000551"</f>
        <v>1578728127000551</v>
      </c>
      <c r="C4675" t="s">
        <v>37</v>
      </c>
      <c r="D4675">
        <v>4.8168389999999999</v>
      </c>
      <c r="E4675">
        <v>0.46796599999999999</v>
      </c>
      <c r="F4675" t="s">
        <v>68</v>
      </c>
      <c r="G4675">
        <v>-366.44740000000002</v>
      </c>
      <c r="H4675" s="1">
        <v>-2.4322880000000001E-6</v>
      </c>
      <c r="I4675">
        <v>22.444500000000001</v>
      </c>
      <c r="J4675">
        <v>-389.29559999999998</v>
      </c>
      <c r="K4675">
        <v>1.106085</v>
      </c>
      <c r="L4675">
        <v>18.889500000000002</v>
      </c>
      <c r="M4675">
        <v>0.99179680000000003</v>
      </c>
      <c r="N4675">
        <v>0</v>
      </c>
      <c r="O4675">
        <v>-0.12713830000000001</v>
      </c>
      <c r="P4675">
        <v>0.99671889999999996</v>
      </c>
      <c r="Q4675">
        <v>3.925965E-2</v>
      </c>
      <c r="R4675">
        <v>7.0784050000000001E-2</v>
      </c>
      <c r="S4675">
        <v>2.98339799999999</v>
      </c>
      <c r="T4675">
        <v>-0.14353460000000001</v>
      </c>
      <c r="U4675">
        <v>0.45907589999999998</v>
      </c>
      <c r="V4675">
        <v>-0.1970703</v>
      </c>
      <c r="W4675">
        <v>5.1737390000000001E-2</v>
      </c>
      <c r="X4675">
        <v>0.97902330000000004</v>
      </c>
      <c r="Y4675">
        <v>-0.27606550000000002</v>
      </c>
      <c r="Z4675">
        <v>1.267881E-2</v>
      </c>
      <c r="AA4675">
        <v>0.9610552</v>
      </c>
      <c r="AB4675">
        <v>23</v>
      </c>
      <c r="AC4675">
        <v>22.848199999999899</v>
      </c>
      <c r="AD4675">
        <v>-1.1060874322879899</v>
      </c>
      <c r="AE4675">
        <v>3.5550000000000002</v>
      </c>
      <c r="AF4675">
        <v>-6.41659935800363</v>
      </c>
      <c r="AG4675">
        <v>-1.1060874322879899</v>
      </c>
      <c r="AH4675">
        <v>22.1600323727397</v>
      </c>
      <c r="AI4675">
        <v>92.744896618278304</v>
      </c>
      <c r="AJ4675">
        <v>106.148759619879</v>
      </c>
      <c r="AK4675">
        <v>23.0968225409875</v>
      </c>
    </row>
    <row r="4676" spans="1:37" x14ac:dyDescent="0.2">
      <c r="A4676" t="str">
        <f>"20200111153527024"</f>
        <v>20200111153527024</v>
      </c>
      <c r="B4676" t="str">
        <f>"1578728127021047"</f>
        <v>1578728127021047</v>
      </c>
      <c r="C4676" t="s">
        <v>37</v>
      </c>
      <c r="D4676">
        <v>4.8740030000000001</v>
      </c>
      <c r="E4676">
        <v>0.46845239999999999</v>
      </c>
      <c r="F4676" t="s">
        <v>68</v>
      </c>
      <c r="G4676">
        <v>-366.2978</v>
      </c>
      <c r="H4676" s="1">
        <v>-2.5071960000000002E-6</v>
      </c>
      <c r="I4676">
        <v>22.460319999999999</v>
      </c>
      <c r="J4676">
        <v>-389.13639999999998</v>
      </c>
      <c r="K4676">
        <v>1.106039</v>
      </c>
      <c r="L4676">
        <v>18.870509999999999</v>
      </c>
      <c r="M4676">
        <v>0.99194309999999997</v>
      </c>
      <c r="N4676">
        <v>0</v>
      </c>
      <c r="O4676">
        <v>-0.1259914</v>
      </c>
      <c r="P4676">
        <v>0.99655680000000002</v>
      </c>
      <c r="Q4676">
        <v>3.9609970000000001E-2</v>
      </c>
      <c r="R4676">
        <v>7.2840059999999998E-2</v>
      </c>
      <c r="S4676">
        <v>2.982605</v>
      </c>
      <c r="T4676">
        <v>-0.14344979999999999</v>
      </c>
      <c r="U4676">
        <v>0.46310420000000002</v>
      </c>
      <c r="V4676">
        <v>-0.19795160000000001</v>
      </c>
      <c r="W4676">
        <v>5.2103110000000001E-2</v>
      </c>
      <c r="X4676">
        <v>0.97882599999999997</v>
      </c>
      <c r="Y4676">
        <v>-0.2762619</v>
      </c>
      <c r="Z4676">
        <v>1.262345E-2</v>
      </c>
      <c r="AA4676">
        <v>0.96099950000000001</v>
      </c>
      <c r="AB4676">
        <v>23</v>
      </c>
      <c r="AC4676">
        <v>22.8385999999999</v>
      </c>
      <c r="AD4676">
        <v>-1.1060415071959999</v>
      </c>
      <c r="AE4676">
        <v>3.5898099999999999</v>
      </c>
      <c r="AF4676">
        <v>-6.4242144186883898</v>
      </c>
      <c r="AG4676">
        <v>-1.1060415071959999</v>
      </c>
      <c r="AH4676">
        <v>22.1535453934999</v>
      </c>
      <c r="AI4676">
        <v>92.745271293910093</v>
      </c>
      <c r="AJ4676">
        <v>106.171410520447</v>
      </c>
      <c r="AK4676">
        <v>23.092713833908402</v>
      </c>
    </row>
    <row r="4677" spans="1:37" x14ac:dyDescent="0.2">
      <c r="A4677" t="str">
        <f>"20200111153527038"</f>
        <v>20200111153527038</v>
      </c>
      <c r="B4677" t="str">
        <f>"1578728127030808"</f>
        <v>1578728127030808</v>
      </c>
      <c r="C4677" t="s">
        <v>37</v>
      </c>
      <c r="D4677">
        <v>4.8690619999999996</v>
      </c>
      <c r="E4677">
        <v>0.46870429999999902</v>
      </c>
      <c r="F4677" t="s">
        <v>68</v>
      </c>
      <c r="G4677">
        <v>-365.91359999999997</v>
      </c>
      <c r="H4677" s="1">
        <v>-2.698611E-6</v>
      </c>
      <c r="I4677">
        <v>22.497029999999999</v>
      </c>
      <c r="J4677">
        <v>-388.99439999999998</v>
      </c>
      <c r="K4677">
        <v>1.1060019999999999</v>
      </c>
      <c r="L4677">
        <v>18.853670000000001</v>
      </c>
      <c r="M4677">
        <v>0.99206810000000001</v>
      </c>
      <c r="N4677">
        <v>0</v>
      </c>
      <c r="O4677">
        <v>-0.12500339999999999</v>
      </c>
      <c r="P4677">
        <v>0.99646509999999999</v>
      </c>
      <c r="Q4677">
        <v>3.971951E-2</v>
      </c>
      <c r="R4677">
        <v>7.402417E-2</v>
      </c>
      <c r="S4677">
        <v>2.9819640000000001</v>
      </c>
      <c r="T4677">
        <v>-0.14202279999999901</v>
      </c>
      <c r="U4677">
        <v>0.46566769999999902</v>
      </c>
      <c r="V4677">
        <v>-0.19813459999999999</v>
      </c>
      <c r="W4677">
        <v>5.2227389999999999E-2</v>
      </c>
      <c r="X4677">
        <v>0.97878240000000005</v>
      </c>
      <c r="Y4677">
        <v>-0.27615279999999998</v>
      </c>
      <c r="Z4677">
        <v>1.2450650000000001E-2</v>
      </c>
      <c r="AA4677">
        <v>0.96103309999999997</v>
      </c>
      <c r="AB4677">
        <v>23</v>
      </c>
      <c r="AC4677">
        <v>23.0808</v>
      </c>
      <c r="AD4677">
        <v>-1.1060046986109999</v>
      </c>
      <c r="AE4677">
        <v>3.6433599999999902</v>
      </c>
      <c r="AF4677">
        <v>-6.4856781743457299</v>
      </c>
      <c r="AG4677">
        <v>-1.1060046986109999</v>
      </c>
      <c r="AH4677">
        <v>22.394085909294098</v>
      </c>
      <c r="AI4677">
        <v>92.716006155055695</v>
      </c>
      <c r="AJ4677">
        <v>106.15184465166099</v>
      </c>
      <c r="AK4677">
        <v>23.3405730753848</v>
      </c>
    </row>
    <row r="4678" spans="1:37" x14ac:dyDescent="0.2">
      <c r="A4678" t="str">
        <f>"20200111153527051"</f>
        <v>20200111153527051</v>
      </c>
      <c r="B4678" t="str">
        <f>"1578728127040568"</f>
        <v>1578728127040568</v>
      </c>
      <c r="C4678" t="s">
        <v>37</v>
      </c>
      <c r="D4678">
        <v>4.8659949999999998</v>
      </c>
      <c r="E4678">
        <v>0.46870429999999902</v>
      </c>
      <c r="F4678" t="s">
        <v>68</v>
      </c>
      <c r="G4678">
        <v>-365.64449999999999</v>
      </c>
      <c r="H4678" s="1">
        <v>-2.8303179999999999E-6</v>
      </c>
      <c r="I4678">
        <v>22.51397</v>
      </c>
      <c r="J4678">
        <v>-388.86739999999998</v>
      </c>
      <c r="K4678">
        <v>1.1059680000000001</v>
      </c>
      <c r="L4678">
        <v>18.838709999999999</v>
      </c>
      <c r="M4678">
        <v>0.99217389999999905</v>
      </c>
      <c r="N4678">
        <v>0</v>
      </c>
      <c r="O4678">
        <v>-0.1241616</v>
      </c>
      <c r="P4678">
        <v>0.99640149999999905</v>
      </c>
      <c r="Q4678">
        <v>3.9838449999999997E-2</v>
      </c>
      <c r="R4678">
        <v>7.4814329999999998E-2</v>
      </c>
      <c r="S4678">
        <v>2.981506</v>
      </c>
      <c r="T4678">
        <v>-0.1412236</v>
      </c>
      <c r="U4678">
        <v>0.46737669999999998</v>
      </c>
      <c r="V4678">
        <v>-0.198075799999999</v>
      </c>
      <c r="W4678">
        <v>5.2358809999999999E-2</v>
      </c>
      <c r="X4678">
        <v>0.97878719999999997</v>
      </c>
      <c r="Y4678">
        <v>-0.27590369999999997</v>
      </c>
      <c r="Z4678">
        <v>1.233662E-2</v>
      </c>
      <c r="AA4678">
        <v>0.96110609999999996</v>
      </c>
      <c r="AB4678">
        <v>23</v>
      </c>
      <c r="AC4678">
        <v>23.2228999999999</v>
      </c>
      <c r="AD4678">
        <v>-1.105970830318</v>
      </c>
      <c r="AE4678">
        <v>3.6752600000000002</v>
      </c>
      <c r="AF4678">
        <v>-6.5160427526007103</v>
      </c>
      <c r="AG4678">
        <v>-1.105970830318</v>
      </c>
      <c r="AH4678">
        <v>22.536937675729401</v>
      </c>
      <c r="AI4678">
        <v>92.699085052985197</v>
      </c>
      <c r="AJ4678">
        <v>106.126022392819</v>
      </c>
      <c r="AK4678">
        <v>23.486071285571501</v>
      </c>
    </row>
    <row r="4679" spans="1:37" x14ac:dyDescent="0.2">
      <c r="A4679" t="str">
        <f>"20200111153527070"</f>
        <v>20200111153527070</v>
      </c>
      <c r="B4679" t="str">
        <f>"1578728127061066"</f>
        <v>1578728127061066</v>
      </c>
      <c r="C4679" t="s">
        <v>37</v>
      </c>
      <c r="D4679">
        <v>4.8845559999999999</v>
      </c>
      <c r="E4679">
        <v>0.4786667</v>
      </c>
      <c r="F4679" t="s">
        <v>68</v>
      </c>
      <c r="G4679">
        <v>-365.42989999999998</v>
      </c>
      <c r="H4679" s="1">
        <v>-2.9368139999999999E-6</v>
      </c>
      <c r="I4679">
        <v>22.533059999999999</v>
      </c>
      <c r="J4679">
        <v>-388.6696</v>
      </c>
      <c r="K4679">
        <v>1.1059129999999999</v>
      </c>
      <c r="L4679">
        <v>18.815550000000002</v>
      </c>
      <c r="M4679">
        <v>0.99233249999999995</v>
      </c>
      <c r="N4679">
        <v>0</v>
      </c>
      <c r="O4679">
        <v>-0.1228866</v>
      </c>
      <c r="P4679">
        <v>0.99642489999999995</v>
      </c>
      <c r="Q4679">
        <v>3.8777449999999998E-2</v>
      </c>
      <c r="R4679">
        <v>7.5059230000000005E-2</v>
      </c>
      <c r="S4679">
        <v>2.9811709999999998</v>
      </c>
      <c r="T4679">
        <v>-0.1406761</v>
      </c>
      <c r="U4679">
        <v>0.46990969999999999</v>
      </c>
      <c r="V4679">
        <v>-0.19705539999999999</v>
      </c>
      <c r="W4679">
        <v>5.1321659999999998E-2</v>
      </c>
      <c r="X4679">
        <v>0.97904809999999998</v>
      </c>
      <c r="Y4679">
        <v>-0.2754875</v>
      </c>
      <c r="Z4679">
        <v>1.222002E-2</v>
      </c>
      <c r="AA4679">
        <v>0.96122700000000005</v>
      </c>
      <c r="AB4679">
        <v>23</v>
      </c>
      <c r="AC4679">
        <v>23.239699999999999</v>
      </c>
      <c r="AD4679">
        <v>-1.1059159368139999</v>
      </c>
      <c r="AE4679">
        <v>3.7175099999999901</v>
      </c>
      <c r="AF4679">
        <v>-6.5310059371138998</v>
      </c>
      <c r="AG4679">
        <v>-1.1059159368139999</v>
      </c>
      <c r="AH4679">
        <v>22.556849867032401</v>
      </c>
      <c r="AI4679">
        <v>92.696278914133998</v>
      </c>
      <c r="AJ4679">
        <v>106.147599952161</v>
      </c>
      <c r="AK4679">
        <v>23.509329308462998</v>
      </c>
    </row>
    <row r="4680" spans="1:37" x14ac:dyDescent="0.2">
      <c r="A4680" t="str">
        <f>"20200111153527083"</f>
        <v>20200111153527083</v>
      </c>
      <c r="B4680" t="str">
        <f>"1578728127080583"</f>
        <v>1578728127080583</v>
      </c>
      <c r="C4680" t="s">
        <v>37</v>
      </c>
      <c r="D4680">
        <v>4.9045809999999896</v>
      </c>
      <c r="E4680">
        <v>0.47915390000000002</v>
      </c>
      <c r="F4680" t="s">
        <v>68</v>
      </c>
      <c r="G4680">
        <v>-364.71539999999999</v>
      </c>
      <c r="H4680" s="1">
        <v>-3.1216829999999999E-6</v>
      </c>
      <c r="I4680">
        <v>21.958369999999999</v>
      </c>
      <c r="J4680">
        <v>-388.54050000000001</v>
      </c>
      <c r="K4680">
        <v>1.10588</v>
      </c>
      <c r="L4680">
        <v>18.800539999999899</v>
      </c>
      <c r="M4680">
        <v>0.99243219999999999</v>
      </c>
      <c r="N4680">
        <v>0</v>
      </c>
      <c r="O4680">
        <v>-0.1220806</v>
      </c>
      <c r="P4680">
        <v>0.99644219999999895</v>
      </c>
      <c r="Q4680">
        <v>3.8133050000000002E-2</v>
      </c>
      <c r="R4680">
        <v>7.5159470000000006E-2</v>
      </c>
      <c r="S4680">
        <v>2.9866029999999899</v>
      </c>
      <c r="T4680">
        <v>-0.13788520000000001</v>
      </c>
      <c r="U4680">
        <v>0.39184570000000002</v>
      </c>
      <c r="V4680">
        <v>-0.1963558</v>
      </c>
      <c r="W4680">
        <v>5.0692580000000001E-2</v>
      </c>
      <c r="X4680">
        <v>0.97922149999999997</v>
      </c>
      <c r="Y4680">
        <v>-0.24977640000000001</v>
      </c>
      <c r="Z4680">
        <v>1.134859E-2</v>
      </c>
      <c r="AA4680">
        <v>0.96823700000000001</v>
      </c>
      <c r="AB4680">
        <v>23</v>
      </c>
      <c r="AC4680">
        <v>23.825099999999999</v>
      </c>
      <c r="AD4680">
        <v>-1.1058831216830001</v>
      </c>
      <c r="AE4680">
        <v>3.1578300000000001</v>
      </c>
      <c r="AF4680">
        <v>-6.0302744254482796</v>
      </c>
      <c r="AG4680">
        <v>-1.1058831216830001</v>
      </c>
      <c r="AH4680">
        <v>23.212170560589101</v>
      </c>
      <c r="AI4680">
        <v>92.640137651144897</v>
      </c>
      <c r="AJ4680">
        <v>104.562909849446</v>
      </c>
      <c r="AK4680">
        <v>24.008166303550102</v>
      </c>
    </row>
    <row r="4681" spans="1:37" x14ac:dyDescent="0.2">
      <c r="A4681" t="str">
        <f>"20200111153527097"</f>
        <v>20200111153527097</v>
      </c>
      <c r="B4681" t="str">
        <f>"1578728127090344"</f>
        <v>1578728127090344</v>
      </c>
      <c r="C4681" t="s">
        <v>37</v>
      </c>
      <c r="D4681">
        <v>4.8622079999999999</v>
      </c>
      <c r="E4681">
        <v>0.47897719999999999</v>
      </c>
      <c r="F4681" t="s">
        <v>68</v>
      </c>
      <c r="G4681">
        <v>-365.09550000000002</v>
      </c>
      <c r="H4681" s="1">
        <v>-2.9128010000000001E-6</v>
      </c>
      <c r="I4681">
        <v>21.848579999999998</v>
      </c>
      <c r="J4681">
        <v>-388.4067</v>
      </c>
      <c r="K4681">
        <v>1.105847</v>
      </c>
      <c r="L4681">
        <v>18.785060000000001</v>
      </c>
      <c r="M4681">
        <v>0.99253239999999998</v>
      </c>
      <c r="N4681">
        <v>0</v>
      </c>
      <c r="O4681">
        <v>-0.12126389999999999</v>
      </c>
      <c r="P4681">
        <v>0.99648119999999996</v>
      </c>
      <c r="Q4681">
        <v>3.7525570000000001E-2</v>
      </c>
      <c r="R4681">
        <v>7.4948039999999994E-2</v>
      </c>
      <c r="S4681">
        <v>2.9867859999999999</v>
      </c>
      <c r="T4681">
        <v>-0.14088390000000001</v>
      </c>
      <c r="U4681">
        <v>0.38830569999999998</v>
      </c>
      <c r="V4681">
        <v>-0.19533989999999901</v>
      </c>
      <c r="W4681">
        <v>5.0100159999999998E-2</v>
      </c>
      <c r="X4681">
        <v>0.97945509999999902</v>
      </c>
      <c r="Y4681">
        <v>-0.24782899999999999</v>
      </c>
      <c r="Z4681">
        <v>1.1511220000000001E-2</v>
      </c>
      <c r="AA4681">
        <v>0.96873539999999903</v>
      </c>
      <c r="AB4681">
        <v>23</v>
      </c>
      <c r="AC4681">
        <v>23.3111999999999</v>
      </c>
      <c r="AD4681">
        <v>-1.105849912801</v>
      </c>
      <c r="AE4681">
        <v>3.0635199999999898</v>
      </c>
      <c r="AF4681">
        <v>-5.8550093742043403</v>
      </c>
      <c r="AG4681">
        <v>-1.105849912801</v>
      </c>
      <c r="AH4681">
        <v>22.717357889756201</v>
      </c>
      <c r="AI4681">
        <v>92.698821948255301</v>
      </c>
      <c r="AJ4681">
        <v>104.452476089123</v>
      </c>
      <c r="AK4681">
        <v>23.485791200062401</v>
      </c>
    </row>
    <row r="4682" spans="1:37" x14ac:dyDescent="0.2">
      <c r="A4682" t="str">
        <f>"20200111153527113"</f>
        <v>20200111153527113</v>
      </c>
      <c r="B4682" t="str">
        <f>"1578728127110839"</f>
        <v>1578728127110839</v>
      </c>
      <c r="C4682" t="s">
        <v>37</v>
      </c>
      <c r="D4682">
        <v>4.8778430000000004</v>
      </c>
      <c r="E4682">
        <v>0.47912379999999999</v>
      </c>
      <c r="F4682" t="s">
        <v>68</v>
      </c>
      <c r="G4682">
        <v>-365.39049999999997</v>
      </c>
      <c r="H4682" s="1">
        <v>-2.7560829999999999E-6</v>
      </c>
      <c r="I4682">
        <v>21.78379</v>
      </c>
      <c r="J4682">
        <v>-388.2432</v>
      </c>
      <c r="K4682">
        <v>1.1058059999999901</v>
      </c>
      <c r="L4682">
        <v>18.76624</v>
      </c>
      <c r="M4682">
        <v>0.99265059999999905</v>
      </c>
      <c r="N4682">
        <v>0</v>
      </c>
      <c r="O4682">
        <v>-0.12029189999999999</v>
      </c>
      <c r="P4682">
        <v>0.99665059999999905</v>
      </c>
      <c r="Q4682">
        <v>3.5588370000000001E-2</v>
      </c>
      <c r="R4682">
        <v>7.3626650000000002E-2</v>
      </c>
      <c r="S4682">
        <v>2.986694</v>
      </c>
      <c r="T4682">
        <v>-0.14350070000000001</v>
      </c>
      <c r="U4682">
        <v>0.38912959999999902</v>
      </c>
      <c r="V4682">
        <v>-0.19308220000000001</v>
      </c>
      <c r="W4682">
        <v>4.8185110000000003E-2</v>
      </c>
      <c r="X4682">
        <v>0.979998699999999</v>
      </c>
      <c r="Y4682">
        <v>-0.24713379999999999</v>
      </c>
      <c r="Z4682">
        <v>1.1661940000000001E-2</v>
      </c>
      <c r="AA4682">
        <v>0.96891119999999997</v>
      </c>
      <c r="AB4682">
        <v>23</v>
      </c>
      <c r="AC4682">
        <v>22.852699999999999</v>
      </c>
      <c r="AD4682">
        <v>-1.1058087560830001</v>
      </c>
      <c r="AE4682">
        <v>3.01755</v>
      </c>
      <c r="AF4682">
        <v>-5.7316787387434003</v>
      </c>
      <c r="AG4682">
        <v>-1.1058087560830001</v>
      </c>
      <c r="AH4682">
        <v>22.2724528187155</v>
      </c>
      <c r="AI4682">
        <v>92.752806295217994</v>
      </c>
      <c r="AJ4682">
        <v>104.43157435985199</v>
      </c>
      <c r="AK4682">
        <v>23.0247064852324</v>
      </c>
    </row>
    <row r="4683" spans="1:37" x14ac:dyDescent="0.2">
      <c r="A4683" t="str">
        <f>"20200111153527128"</f>
        <v>20200111153527128</v>
      </c>
      <c r="B4683" t="str">
        <f>"1578728127120600"</f>
        <v>1578728127120600</v>
      </c>
      <c r="C4683" t="s">
        <v>37</v>
      </c>
      <c r="D4683">
        <v>4.8575660000000003</v>
      </c>
      <c r="E4683">
        <v>0.47915619999999998</v>
      </c>
      <c r="F4683" t="s">
        <v>68</v>
      </c>
      <c r="G4683">
        <v>-366.1422</v>
      </c>
      <c r="H4683" s="1">
        <v>-2.354052E-6</v>
      </c>
      <c r="I4683">
        <v>21.608360000000001</v>
      </c>
      <c r="J4683">
        <v>-388.0976</v>
      </c>
      <c r="K4683">
        <v>1.10578</v>
      </c>
      <c r="L4683">
        <v>18.749600000000001</v>
      </c>
      <c r="M4683">
        <v>0.99275329999999995</v>
      </c>
      <c r="N4683">
        <v>0</v>
      </c>
      <c r="O4683">
        <v>-0.1194423</v>
      </c>
      <c r="P4683">
        <v>0.99673809999999996</v>
      </c>
      <c r="Q4683">
        <v>3.4810639999999997E-2</v>
      </c>
      <c r="R4683">
        <v>7.2810600000000003E-2</v>
      </c>
      <c r="S4683">
        <v>2.9870299999999999</v>
      </c>
      <c r="T4683">
        <v>-0.14945459999999999</v>
      </c>
      <c r="U4683">
        <v>0.38412479999999999</v>
      </c>
      <c r="V4683">
        <v>-0.19143929999999901</v>
      </c>
      <c r="W4683">
        <v>4.7421600000000001E-2</v>
      </c>
      <c r="X4683">
        <v>0.98035819999999996</v>
      </c>
      <c r="Y4683">
        <v>-0.24466179999999901</v>
      </c>
      <c r="Z4683">
        <v>1.20412E-2</v>
      </c>
      <c r="AA4683">
        <v>0.96953369999999905</v>
      </c>
      <c r="AB4683">
        <v>23</v>
      </c>
      <c r="AC4683">
        <v>21.955400000000001</v>
      </c>
      <c r="AD4683">
        <v>-1.105782354052</v>
      </c>
      <c r="AE4683">
        <v>2.8587600000000002</v>
      </c>
      <c r="AF4683">
        <v>-5.4473356756871301</v>
      </c>
      <c r="AG4683">
        <v>-1.105782354052</v>
      </c>
      <c r="AH4683">
        <v>21.403323159231402</v>
      </c>
      <c r="AI4683">
        <v>92.866287179551193</v>
      </c>
      <c r="AJ4683">
        <v>104.279127341879</v>
      </c>
      <c r="AK4683">
        <v>22.113309631003599</v>
      </c>
    </row>
    <row r="4684" spans="1:37" x14ac:dyDescent="0.2">
      <c r="A4684" t="str">
        <f>"20200111153527142"</f>
        <v>20200111153527142</v>
      </c>
      <c r="B4684" t="str">
        <f>"1578728127130360"</f>
        <v>1578728127130360</v>
      </c>
      <c r="C4684" t="s">
        <v>37</v>
      </c>
      <c r="D4684">
        <v>4.9081489999999999</v>
      </c>
      <c r="E4684">
        <v>0.47925010000000001</v>
      </c>
      <c r="F4684" t="s">
        <v>68</v>
      </c>
      <c r="G4684">
        <v>-366.24759999999998</v>
      </c>
      <c r="H4684" s="1">
        <v>-2.2864169999999899E-6</v>
      </c>
      <c r="I4684">
        <v>21.541239999999998</v>
      </c>
      <c r="J4684">
        <v>-387.95519999999999</v>
      </c>
      <c r="K4684">
        <v>1.105764</v>
      </c>
      <c r="L4684">
        <v>18.733429999999998</v>
      </c>
      <c r="M4684">
        <v>0.9928517</v>
      </c>
      <c r="N4684">
        <v>0</v>
      </c>
      <c r="O4684">
        <v>-0.118621699999999</v>
      </c>
      <c r="P4684">
        <v>0.99682709999999997</v>
      </c>
      <c r="Q4684">
        <v>3.3843699999999997E-2</v>
      </c>
      <c r="R4684">
        <v>7.20441E-2</v>
      </c>
      <c r="S4684">
        <v>2.9871829999999999</v>
      </c>
      <c r="T4684">
        <v>-0.1511747</v>
      </c>
      <c r="U4684">
        <v>0.38165279999999902</v>
      </c>
      <c r="V4684">
        <v>-0.1898745</v>
      </c>
      <c r="W4684">
        <v>4.6467080000000001E-2</v>
      </c>
      <c r="X4684">
        <v>0.98070809999999997</v>
      </c>
      <c r="Y4684">
        <v>-0.2430572</v>
      </c>
      <c r="Z4684">
        <v>1.209787E-2</v>
      </c>
      <c r="AA4684">
        <v>0.96993649999999998</v>
      </c>
      <c r="AB4684">
        <v>23</v>
      </c>
      <c r="AC4684">
        <v>21.707599999999999</v>
      </c>
      <c r="AD4684">
        <v>-1.1057662864169999</v>
      </c>
      <c r="AE4684">
        <v>2.8078099999999999</v>
      </c>
      <c r="AF4684">
        <v>-5.3495464609810996</v>
      </c>
      <c r="AG4684">
        <v>-1.1057662864169999</v>
      </c>
      <c r="AH4684">
        <v>21.167190153549701</v>
      </c>
      <c r="AI4684">
        <v>92.899394006405998</v>
      </c>
      <c r="AJ4684">
        <v>104.183269662085</v>
      </c>
      <c r="AK4684">
        <v>21.860702308363901</v>
      </c>
    </row>
    <row r="4685" spans="1:37" x14ac:dyDescent="0.2">
      <c r="A4685" t="str">
        <f>"20200111153527159"</f>
        <v>20200111153527159</v>
      </c>
      <c r="B4685" t="str">
        <f>"1578728127150855"</f>
        <v>1578728127150855</v>
      </c>
      <c r="C4685" t="s">
        <v>37</v>
      </c>
      <c r="D4685">
        <v>5.084848</v>
      </c>
      <c r="E4685">
        <v>0.47935050000000001</v>
      </c>
      <c r="F4685" t="s">
        <v>68</v>
      </c>
      <c r="G4685">
        <v>-366.61360000000002</v>
      </c>
      <c r="H4685" s="1">
        <v>-2.0862620000000001E-6</v>
      </c>
      <c r="I4685">
        <v>21.439409999999999</v>
      </c>
      <c r="J4685">
        <v>-387.77620000000002</v>
      </c>
      <c r="K4685">
        <v>1.10575</v>
      </c>
      <c r="L4685">
        <v>18.713259999999998</v>
      </c>
      <c r="M4685">
        <v>0.99297269999999904</v>
      </c>
      <c r="N4685">
        <v>0</v>
      </c>
      <c r="O4685">
        <v>-0.1176045</v>
      </c>
      <c r="P4685">
        <v>0.9970504</v>
      </c>
      <c r="Q4685">
        <v>3.2532209999999999E-2</v>
      </c>
      <c r="R4685">
        <v>6.9516579999999994E-2</v>
      </c>
      <c r="S4685">
        <v>2.9873959999999999</v>
      </c>
      <c r="T4685">
        <v>-0.15478549999999999</v>
      </c>
      <c r="U4685">
        <v>0.37878420000000002</v>
      </c>
      <c r="V4685">
        <v>-0.18638179999999999</v>
      </c>
      <c r="W4685">
        <v>4.5173829999999998E-2</v>
      </c>
      <c r="X4685">
        <v>0.98143829999999999</v>
      </c>
      <c r="Y4685">
        <v>-0.2411198</v>
      </c>
      <c r="Z4685">
        <v>1.228389E-2</v>
      </c>
      <c r="AA4685">
        <v>0.97041759999999999</v>
      </c>
      <c r="AB4685">
        <v>23</v>
      </c>
      <c r="AC4685">
        <v>21.162600000000001</v>
      </c>
      <c r="AD4685">
        <v>-1.1057520862620001</v>
      </c>
      <c r="AE4685">
        <v>2.7261500000000001</v>
      </c>
      <c r="AF4685">
        <v>-5.1823453117234903</v>
      </c>
      <c r="AG4685">
        <v>-1.1057520862620001</v>
      </c>
      <c r="AH4685">
        <v>20.639652851578902</v>
      </c>
      <c r="AI4685">
        <v>92.974485549554004</v>
      </c>
      <c r="AJ4685">
        <v>104.09483704559101</v>
      </c>
      <c r="AK4685">
        <v>21.309027674671299</v>
      </c>
    </row>
    <row r="4686" spans="1:37" x14ac:dyDescent="0.2">
      <c r="A4686" t="str">
        <f>"20200111153527173"</f>
        <v>20200111153527173</v>
      </c>
      <c r="B4686" t="str">
        <f>"1578728127170375"</f>
        <v>1578728127170375</v>
      </c>
      <c r="C4686" t="s">
        <v>37</v>
      </c>
      <c r="D4686">
        <v>5.0053159999999997</v>
      </c>
      <c r="E4686">
        <v>0.48203089999999998</v>
      </c>
      <c r="F4686" t="s">
        <v>68</v>
      </c>
      <c r="G4686">
        <v>-366.97050000000002</v>
      </c>
      <c r="H4686" s="1">
        <v>-1.8788459999999999E-6</v>
      </c>
      <c r="I4686">
        <v>21.293839999999999</v>
      </c>
      <c r="J4686">
        <v>-387.62990000000002</v>
      </c>
      <c r="K4686">
        <v>1.10575</v>
      </c>
      <c r="L4686">
        <v>18.696899999999999</v>
      </c>
      <c r="M4686">
        <v>0.99307000000000001</v>
      </c>
      <c r="N4686">
        <v>0</v>
      </c>
      <c r="O4686">
        <v>-0.1167807</v>
      </c>
      <c r="P4686">
        <v>0.99710859999999901</v>
      </c>
      <c r="Q4686">
        <v>3.2039989999999997E-2</v>
      </c>
      <c r="R4686">
        <v>6.8905560000000005E-2</v>
      </c>
      <c r="S4686">
        <v>2.9882200000000001</v>
      </c>
      <c r="T4686">
        <v>-0.1588138</v>
      </c>
      <c r="U4686">
        <v>0.37063600000000002</v>
      </c>
      <c r="V4686">
        <v>-0.18496579999999899</v>
      </c>
      <c r="W4686">
        <v>4.4686990000000003E-2</v>
      </c>
      <c r="X4686">
        <v>0.98172839999999995</v>
      </c>
      <c r="Y4686">
        <v>-0.2376557</v>
      </c>
      <c r="Z4686">
        <v>1.2466420000000001E-2</v>
      </c>
      <c r="AA4686">
        <v>0.97126939999999995</v>
      </c>
      <c r="AB4686">
        <v>23</v>
      </c>
      <c r="AC4686">
        <v>20.659400000000002</v>
      </c>
      <c r="AD4686">
        <v>-1.1057518788459999</v>
      </c>
      <c r="AE4686">
        <v>2.59694</v>
      </c>
      <c r="AF4686">
        <v>-4.9779587691415097</v>
      </c>
      <c r="AG4686">
        <v>-1.1057518788459999</v>
      </c>
      <c r="AH4686">
        <v>20.157871005697299</v>
      </c>
      <c r="AI4686">
        <v>93.048395103094194</v>
      </c>
      <c r="AJ4686">
        <v>103.871579605186</v>
      </c>
      <c r="AK4686">
        <v>20.7928479099707</v>
      </c>
    </row>
    <row r="4687" spans="1:37" x14ac:dyDescent="0.2">
      <c r="A4687" t="str">
        <f>"20200111153527192"</f>
        <v>20200111153527192</v>
      </c>
      <c r="B4687" t="str">
        <f>"1578728127181114"</f>
        <v>1578728127181114</v>
      </c>
      <c r="C4687" t="s">
        <v>37</v>
      </c>
      <c r="D4687">
        <v>4.866657</v>
      </c>
      <c r="E4687">
        <v>0.55581099999999894</v>
      </c>
      <c r="F4687" t="s">
        <v>68</v>
      </c>
      <c r="G4687">
        <v>-366.041</v>
      </c>
      <c r="H4687" s="1">
        <v>-2.2950399999999999E-6</v>
      </c>
      <c r="I4687">
        <v>21.206569999999999</v>
      </c>
      <c r="J4687">
        <v>-387.44209999999998</v>
      </c>
      <c r="K4687">
        <v>1.1057539999999999</v>
      </c>
      <c r="L4687">
        <v>18.67606</v>
      </c>
      <c r="M4687">
        <v>0.99319360000000001</v>
      </c>
      <c r="N4687">
        <v>0</v>
      </c>
      <c r="O4687">
        <v>-0.11572539999999901</v>
      </c>
      <c r="P4687">
        <v>0.9971892</v>
      </c>
      <c r="Q4687">
        <v>3.3307330000000003E-2</v>
      </c>
      <c r="R4687">
        <v>6.7116480000000006E-2</v>
      </c>
      <c r="S4687">
        <v>2.9895939999999999</v>
      </c>
      <c r="T4687">
        <v>-0.15312229999999999</v>
      </c>
      <c r="U4687">
        <v>0.34753420000000002</v>
      </c>
      <c r="V4687">
        <v>-0.18215699999999899</v>
      </c>
      <c r="W4687">
        <v>4.5962179999999998E-2</v>
      </c>
      <c r="X4687">
        <v>0.98219469999999998</v>
      </c>
      <c r="Y4687">
        <v>-0.22920860000000001</v>
      </c>
      <c r="Z4687">
        <v>1.1750389999999999E-2</v>
      </c>
      <c r="AA4687">
        <v>0.97330640000000002</v>
      </c>
      <c r="AB4687">
        <v>23</v>
      </c>
      <c r="AC4687">
        <v>21.4010999999999</v>
      </c>
      <c r="AD4687">
        <v>-1.1057562950399999</v>
      </c>
      <c r="AE4687">
        <v>2.53051</v>
      </c>
      <c r="AF4687">
        <v>-4.9772675209635704</v>
      </c>
      <c r="AG4687">
        <v>-1.1057562950399999</v>
      </c>
      <c r="AH4687">
        <v>20.909366314216101</v>
      </c>
      <c r="AI4687">
        <v>92.945033281510803</v>
      </c>
      <c r="AJ4687">
        <v>103.389507689971</v>
      </c>
      <c r="AK4687">
        <v>21.522023339392</v>
      </c>
    </row>
    <row r="4688" spans="1:37" x14ac:dyDescent="0.2">
      <c r="A4688" t="str">
        <f>"20200111153527207"</f>
        <v>20200111153527207</v>
      </c>
      <c r="B4688" t="str">
        <f>"1578728127200632"</f>
        <v>1578728127200632</v>
      </c>
      <c r="C4688" t="s">
        <v>37</v>
      </c>
      <c r="D4688">
        <v>5.0142499999999997</v>
      </c>
      <c r="E4688">
        <v>0.58141719999999997</v>
      </c>
      <c r="F4688" t="s">
        <v>68</v>
      </c>
      <c r="G4688">
        <v>-367.36790000000002</v>
      </c>
      <c r="H4688" s="1">
        <v>-1.6990039999999899E-6</v>
      </c>
      <c r="I4688">
        <v>17.054829999999999</v>
      </c>
      <c r="J4688">
        <v>-387.29340000000002</v>
      </c>
      <c r="K4688">
        <v>1.1057600000000001</v>
      </c>
      <c r="L4688">
        <v>18.659700000000001</v>
      </c>
      <c r="M4688">
        <v>0.99329080000000003</v>
      </c>
      <c r="N4688">
        <v>0</v>
      </c>
      <c r="O4688">
        <v>-0.11488810000000001</v>
      </c>
      <c r="P4688">
        <v>0.99720140000000002</v>
      </c>
      <c r="Q4688">
        <v>3.3785570000000001E-2</v>
      </c>
      <c r="R4688">
        <v>6.6693370000000002E-2</v>
      </c>
      <c r="S4688">
        <v>3.030548</v>
      </c>
      <c r="T4688">
        <v>-0.16693279999999999</v>
      </c>
      <c r="U4688">
        <v>-0.244751</v>
      </c>
      <c r="V4688">
        <v>-0.18091079999999901</v>
      </c>
      <c r="W4688">
        <v>4.6441830000000003E-2</v>
      </c>
      <c r="X4688">
        <v>0.98240239999999901</v>
      </c>
      <c r="Y4688">
        <v>-3.433551E-2</v>
      </c>
      <c r="Z4688">
        <v>7.2395519999999998E-3</v>
      </c>
      <c r="AA4688">
        <v>0.99938419999999895</v>
      </c>
      <c r="AB4688">
        <v>23</v>
      </c>
      <c r="AC4688">
        <v>19.9255</v>
      </c>
      <c r="AD4688">
        <v>-1.105761699004</v>
      </c>
      <c r="AE4688">
        <v>-1.60487</v>
      </c>
      <c r="AF4688">
        <v>-0.693040170132318</v>
      </c>
      <c r="AG4688">
        <v>-1.105761699004</v>
      </c>
      <c r="AH4688">
        <v>19.916993086893001</v>
      </c>
      <c r="AI4688">
        <v>93.175795767161006</v>
      </c>
      <c r="AJ4688">
        <v>91.992884272058006</v>
      </c>
      <c r="AK4688">
        <v>19.959700078802399</v>
      </c>
    </row>
    <row r="4689" spans="1:37" x14ac:dyDescent="0.2">
      <c r="A4689" t="str">
        <f>"20200111153527226"</f>
        <v>20200111153527226</v>
      </c>
      <c r="B4689" t="str">
        <f>"1578728127221127"</f>
        <v>1578728127221127</v>
      </c>
      <c r="C4689" t="s">
        <v>37</v>
      </c>
      <c r="D4689">
        <v>4.9644599999999999</v>
      </c>
      <c r="E4689">
        <v>0.59028130000000001</v>
      </c>
      <c r="F4689" t="s">
        <v>68</v>
      </c>
      <c r="G4689">
        <v>-363.09179999999998</v>
      </c>
      <c r="H4689" s="1">
        <v>-4.0697710000000002E-6</v>
      </c>
      <c r="I4689">
        <v>15.085000000000001</v>
      </c>
      <c r="J4689">
        <v>-387.10680000000002</v>
      </c>
      <c r="K4689">
        <v>1.1057669999999999</v>
      </c>
      <c r="L4689">
        <v>18.63937</v>
      </c>
      <c r="M4689">
        <v>0.99341209999999902</v>
      </c>
      <c r="N4689">
        <v>0</v>
      </c>
      <c r="O4689">
        <v>-0.113833399999999</v>
      </c>
      <c r="P4689">
        <v>0.997253099999999</v>
      </c>
      <c r="Q4689">
        <v>3.4519359999999999E-2</v>
      </c>
      <c r="R4689">
        <v>6.5532980000000005E-2</v>
      </c>
      <c r="S4689">
        <v>3.0431819999999998</v>
      </c>
      <c r="T4689">
        <v>-0.13904229999999901</v>
      </c>
      <c r="U4689">
        <v>-0.44949339999999999</v>
      </c>
      <c r="V4689">
        <v>-0.17872209999999999</v>
      </c>
      <c r="W4689">
        <v>4.7179169999999999E-2</v>
      </c>
      <c r="X4689">
        <v>0.98276779999999997</v>
      </c>
      <c r="Y4689">
        <v>3.26305E-2</v>
      </c>
      <c r="Z4689">
        <v>4.4105259999999997E-3</v>
      </c>
      <c r="AA4689">
        <v>0.99945779999999995</v>
      </c>
      <c r="AB4689">
        <v>23</v>
      </c>
      <c r="AC4689">
        <v>24.015000000000001</v>
      </c>
      <c r="AD4689">
        <v>-1.1057710697709999</v>
      </c>
      <c r="AE4689">
        <v>-3.5543699999999898</v>
      </c>
      <c r="AF4689">
        <v>0.79566381624789895</v>
      </c>
      <c r="AG4689">
        <v>-1.1057710697709999</v>
      </c>
      <c r="AH4689">
        <v>24.21327776755</v>
      </c>
      <c r="AI4689">
        <v>92.613356147067407</v>
      </c>
      <c r="AJ4689">
        <v>88.117901235506906</v>
      </c>
      <c r="AK4689">
        <v>24.251569656740902</v>
      </c>
    </row>
    <row r="4690" spans="1:37" x14ac:dyDescent="0.2">
      <c r="A4690" t="str">
        <f>"20200111153527240"</f>
        <v>20200111153527240</v>
      </c>
      <c r="B4690" t="str">
        <f>"1578728127230888"</f>
        <v>1578728127230888</v>
      </c>
      <c r="C4690" t="s">
        <v>37</v>
      </c>
      <c r="D4690">
        <v>4.9748489999999999</v>
      </c>
      <c r="E4690">
        <v>0.59236669999999902</v>
      </c>
      <c r="F4690" t="s">
        <v>68</v>
      </c>
      <c r="G4690">
        <v>-361.35399999999998</v>
      </c>
      <c r="H4690" s="1">
        <v>-5.0451490000000001E-6</v>
      </c>
      <c r="I4690">
        <v>14.217429999999901</v>
      </c>
      <c r="J4690">
        <v>-386.96300000000002</v>
      </c>
      <c r="K4690">
        <v>1.1057709999999901</v>
      </c>
      <c r="L4690">
        <v>18.623839999999898</v>
      </c>
      <c r="M4690">
        <v>0.99350539999999998</v>
      </c>
      <c r="N4690">
        <v>0</v>
      </c>
      <c r="O4690">
        <v>-0.1130178</v>
      </c>
      <c r="P4690">
        <v>0.99724469999999998</v>
      </c>
      <c r="Q4690">
        <v>3.4301140000000001E-2</v>
      </c>
      <c r="R4690">
        <v>6.5779829999999997E-2</v>
      </c>
      <c r="S4690">
        <v>3.04718</v>
      </c>
      <c r="T4690">
        <v>-0.1308397</v>
      </c>
      <c r="U4690">
        <v>-0.52322389999999996</v>
      </c>
      <c r="V4690">
        <v>-0.1781597</v>
      </c>
      <c r="W4690">
        <v>4.695912E-2</v>
      </c>
      <c r="X4690">
        <v>0.98288039999999999</v>
      </c>
      <c r="Y4690">
        <v>5.6798800000000003E-2</v>
      </c>
      <c r="Z4690">
        <v>3.5864629999999998E-3</v>
      </c>
      <c r="AA4690">
        <v>0.99837919999999902</v>
      </c>
      <c r="AB4690">
        <v>23</v>
      </c>
      <c r="AC4690">
        <v>25.608999999999899</v>
      </c>
      <c r="AD4690">
        <v>-1.10577604514899</v>
      </c>
      <c r="AE4690">
        <v>-4.4064099999999904</v>
      </c>
      <c r="AF4690">
        <v>1.4809665901012901</v>
      </c>
      <c r="AG4690">
        <v>-1.10577604514899</v>
      </c>
      <c r="AH4690">
        <v>25.896046286088001</v>
      </c>
      <c r="AI4690">
        <v>92.441093546691405</v>
      </c>
      <c r="AJ4690">
        <v>86.726882192329896</v>
      </c>
      <c r="AK4690">
        <v>25.961918572290301</v>
      </c>
    </row>
    <row r="4691" spans="1:37" x14ac:dyDescent="0.2">
      <c r="A4691" t="str">
        <f>"20200111153527253"</f>
        <v>20200111153527253</v>
      </c>
      <c r="B4691" t="str">
        <f>"1578728127250407"</f>
        <v>1578728127250407</v>
      </c>
      <c r="C4691" t="s">
        <v>37</v>
      </c>
      <c r="D4691">
        <v>4.9958790000000004</v>
      </c>
      <c r="E4691">
        <v>0.59441060000000001</v>
      </c>
      <c r="F4691" t="s">
        <v>39</v>
      </c>
      <c r="G4691">
        <v>-358.50920000000002</v>
      </c>
      <c r="H4691" s="1">
        <v>-2.0964450000000001E-6</v>
      </c>
      <c r="I4691">
        <v>13.591339999999899</v>
      </c>
      <c r="J4691">
        <v>-386.83260000000001</v>
      </c>
      <c r="K4691">
        <v>1.1057699999999999</v>
      </c>
      <c r="L4691">
        <v>18.609860000000001</v>
      </c>
      <c r="M4691">
        <v>0.99358969999999902</v>
      </c>
      <c r="N4691">
        <v>0</v>
      </c>
      <c r="O4691">
        <v>-0.112273499999999</v>
      </c>
      <c r="P4691">
        <v>0.99722529999999998</v>
      </c>
      <c r="Q4691">
        <v>3.4164260000000002E-2</v>
      </c>
      <c r="R4691">
        <v>6.6140409999999997E-2</v>
      </c>
      <c r="S4691">
        <v>3.0479129999999999</v>
      </c>
      <c r="T4691">
        <v>-0.11844829999999899</v>
      </c>
      <c r="U4691">
        <v>-0.5390625</v>
      </c>
      <c r="V4691">
        <v>-0.1777793</v>
      </c>
      <c r="W4691">
        <v>4.682099E-2</v>
      </c>
      <c r="X4691">
        <v>0.98295589999999999</v>
      </c>
      <c r="Y4691">
        <v>6.2527280000000005E-2</v>
      </c>
      <c r="Z4691">
        <v>3.1057239999999998E-3</v>
      </c>
      <c r="AA4691">
        <v>0.99803839999999999</v>
      </c>
      <c r="AB4691">
        <v>23</v>
      </c>
      <c r="AC4691">
        <v>28.3233999999999</v>
      </c>
      <c r="AD4691">
        <v>-1.105772096445</v>
      </c>
      <c r="AE4691">
        <v>-5.0185199999999996</v>
      </c>
      <c r="AF4691">
        <v>1.80387409615631</v>
      </c>
      <c r="AG4691">
        <v>-1.105772096445</v>
      </c>
      <c r="AH4691">
        <v>28.665423686606999</v>
      </c>
      <c r="AI4691">
        <v>92.204739379985398</v>
      </c>
      <c r="AJ4691">
        <v>86.399206622138095</v>
      </c>
      <c r="AK4691">
        <v>28.743402874690201</v>
      </c>
    </row>
    <row r="4692" spans="1:37" x14ac:dyDescent="0.2">
      <c r="A4692" t="str">
        <f>"20200111153527271"</f>
        <v>20200111153527271</v>
      </c>
      <c r="B4692" t="str">
        <f>"1578728127260167"</f>
        <v>1578728127260167</v>
      </c>
      <c r="C4692" t="s">
        <v>37</v>
      </c>
      <c r="D4692">
        <v>4.9865309999999896</v>
      </c>
      <c r="E4692">
        <v>0.59516599999999997</v>
      </c>
      <c r="F4692" t="s">
        <v>39</v>
      </c>
      <c r="G4692">
        <v>-354.84359999999998</v>
      </c>
      <c r="H4692" s="1">
        <v>-3.55589499999999E-6</v>
      </c>
      <c r="I4692">
        <v>12.794510000000001</v>
      </c>
      <c r="J4692">
        <v>-386.65100000000001</v>
      </c>
      <c r="K4692">
        <v>1.105766</v>
      </c>
      <c r="L4692">
        <v>18.590579999999999</v>
      </c>
      <c r="M4692">
        <v>0.99370650000000005</v>
      </c>
      <c r="N4692">
        <v>0</v>
      </c>
      <c r="O4692">
        <v>-0.1112344</v>
      </c>
      <c r="P4692">
        <v>0.99716649999999996</v>
      </c>
      <c r="Q4692">
        <v>3.3472870000000002E-2</v>
      </c>
      <c r="R4692">
        <v>6.7368079999999997E-2</v>
      </c>
      <c r="S4692">
        <v>3.048737</v>
      </c>
      <c r="T4692">
        <v>-0.1053867</v>
      </c>
      <c r="U4692">
        <v>-0.55422969999999905</v>
      </c>
      <c r="V4692">
        <v>-0.1779637</v>
      </c>
      <c r="W4692">
        <v>4.6125560000000003E-2</v>
      </c>
      <c r="X4692">
        <v>0.98295540000000003</v>
      </c>
      <c r="Y4692">
        <v>6.8322629999999995E-2</v>
      </c>
      <c r="Z4692">
        <v>2.626672E-3</v>
      </c>
      <c r="AA4692">
        <v>0.99765979999999999</v>
      </c>
      <c r="AB4692">
        <v>23</v>
      </c>
      <c r="AC4692">
        <v>31.807400000000001</v>
      </c>
      <c r="AD4692">
        <v>-1.105769555895</v>
      </c>
      <c r="AE4692">
        <v>-5.7960699999999896</v>
      </c>
      <c r="AF4692">
        <v>2.2191132427757201</v>
      </c>
      <c r="AG4692">
        <v>-1.105769555895</v>
      </c>
      <c r="AH4692">
        <v>32.2170683039474</v>
      </c>
      <c r="AI4692">
        <v>91.961118274994007</v>
      </c>
      <c r="AJ4692">
        <v>86.059687589261998</v>
      </c>
      <c r="AK4692">
        <v>32.312330154233997</v>
      </c>
    </row>
    <row r="4693" spans="1:37" x14ac:dyDescent="0.2">
      <c r="A4693" t="str">
        <f>"20200111153527286"</f>
        <v>20200111153527286</v>
      </c>
      <c r="B4693" t="str">
        <f>"1578728127280663"</f>
        <v>1578728127280663</v>
      </c>
      <c r="C4693" t="s">
        <v>37</v>
      </c>
      <c r="D4693">
        <v>4.9963110000000004</v>
      </c>
      <c r="E4693">
        <v>0.59601150000000003</v>
      </c>
      <c r="F4693" t="s">
        <v>39</v>
      </c>
      <c r="G4693">
        <v>-354.55239999999998</v>
      </c>
      <c r="H4693" s="1">
        <v>-3.6712909999999999E-6</v>
      </c>
      <c r="I4693">
        <v>12.733269999999999</v>
      </c>
      <c r="J4693">
        <v>-386.50959999999998</v>
      </c>
      <c r="K4693">
        <v>1.1057669999999999</v>
      </c>
      <c r="L4693">
        <v>18.575710000000001</v>
      </c>
      <c r="M4693">
        <v>0.99379680000000004</v>
      </c>
      <c r="N4693">
        <v>0</v>
      </c>
      <c r="O4693">
        <v>-0.1104247</v>
      </c>
      <c r="P4693">
        <v>0.99712369999999995</v>
      </c>
      <c r="Q4693">
        <v>3.2911070000000001E-2</v>
      </c>
      <c r="R4693">
        <v>6.8273490000000006E-2</v>
      </c>
      <c r="S4693">
        <v>3.049652</v>
      </c>
      <c r="T4693">
        <v>-0.10505779999999899</v>
      </c>
      <c r="U4693">
        <v>-0.55648799999999998</v>
      </c>
      <c r="V4693">
        <v>-0.17805689999999999</v>
      </c>
      <c r="W4693">
        <v>4.556205E-2</v>
      </c>
      <c r="X4693">
        <v>0.98296479999999997</v>
      </c>
      <c r="Y4693">
        <v>6.9796289999999997E-2</v>
      </c>
      <c r="Z4693">
        <v>2.5649409999999998E-3</v>
      </c>
      <c r="AA4693">
        <v>0.99755799999999994</v>
      </c>
      <c r="AB4693">
        <v>23</v>
      </c>
      <c r="AC4693">
        <v>31.9572</v>
      </c>
      <c r="AD4693">
        <v>-1.105770671291</v>
      </c>
      <c r="AE4693">
        <v>-5.8424399999999999</v>
      </c>
      <c r="AF4693">
        <v>2.2748968763409798</v>
      </c>
      <c r="AG4693">
        <v>-1.105770671291</v>
      </c>
      <c r="AH4693">
        <v>32.369435689532501</v>
      </c>
      <c r="AI4693">
        <v>91.951707200577502</v>
      </c>
      <c r="AJ4693">
        <v>85.979910448572696</v>
      </c>
      <c r="AK4693">
        <v>32.468111300693998</v>
      </c>
    </row>
    <row r="4694" spans="1:37" x14ac:dyDescent="0.2">
      <c r="A4694" t="str">
        <f>"20200111153527305"</f>
        <v>20200111153527305</v>
      </c>
      <c r="B4694" t="str">
        <f>"1578728127300183"</f>
        <v>1578728127300183</v>
      </c>
      <c r="C4694" t="s">
        <v>37</v>
      </c>
      <c r="D4694">
        <v>4.9983129999999996</v>
      </c>
      <c r="E4694">
        <v>0.59664309999999998</v>
      </c>
      <c r="F4694" t="s">
        <v>39</v>
      </c>
      <c r="G4694">
        <v>-353.61239999999998</v>
      </c>
      <c r="H4694" s="1">
        <v>-4.0450529999999901E-6</v>
      </c>
      <c r="I4694">
        <v>12.530799999999999</v>
      </c>
      <c r="J4694">
        <v>-386.320999999999</v>
      </c>
      <c r="K4694">
        <v>1.1057569999999901</v>
      </c>
      <c r="L4694">
        <v>18.555999999999901</v>
      </c>
      <c r="M4694">
        <v>0.99391609999999997</v>
      </c>
      <c r="N4694">
        <v>0</v>
      </c>
      <c r="O4694">
        <v>-0.10934679999999999</v>
      </c>
      <c r="P4694">
        <v>0.99704969999999904</v>
      </c>
      <c r="Q4694">
        <v>3.230206E-2</v>
      </c>
      <c r="R4694">
        <v>6.9629949999999996E-2</v>
      </c>
      <c r="S4694">
        <v>3.050446</v>
      </c>
      <c r="T4694">
        <v>-0.1025344</v>
      </c>
      <c r="U4694">
        <v>-0.56051640000000003</v>
      </c>
      <c r="V4694">
        <v>-0.1783285</v>
      </c>
      <c r="W4694">
        <v>4.495089E-2</v>
      </c>
      <c r="X4694">
        <v>0.98294369999999998</v>
      </c>
      <c r="Y4694">
        <v>7.2103959999999995E-2</v>
      </c>
      <c r="Z4694">
        <v>2.4283339999999999E-3</v>
      </c>
      <c r="AA4694">
        <v>0.99739409999999895</v>
      </c>
      <c r="AB4694">
        <v>23</v>
      </c>
      <c r="AC4694">
        <v>32.708599999999898</v>
      </c>
      <c r="AD4694">
        <v>-1.10576104505299</v>
      </c>
      <c r="AE4694">
        <v>-6.0251999999999901</v>
      </c>
      <c r="AF4694">
        <v>2.4095090968826498</v>
      </c>
      <c r="AG4694">
        <v>-1.10576104505299</v>
      </c>
      <c r="AH4694">
        <v>33.1347015768565</v>
      </c>
      <c r="AI4694">
        <v>91.906317837592795</v>
      </c>
      <c r="AJ4694">
        <v>85.840852025519993</v>
      </c>
      <c r="AK4694">
        <v>33.240591002027202</v>
      </c>
    </row>
    <row r="4695" spans="1:37" x14ac:dyDescent="0.2">
      <c r="A4695" t="str">
        <f>"20200111153527318"</f>
        <v>20200111153527318</v>
      </c>
      <c r="B4695" t="str">
        <f>"1578728127310920"</f>
        <v>1578728127310920</v>
      </c>
      <c r="C4695" t="s">
        <v>37</v>
      </c>
      <c r="D4695">
        <v>5.040241</v>
      </c>
      <c r="E4695">
        <v>0.59676499999999999</v>
      </c>
      <c r="F4695" t="s">
        <v>39</v>
      </c>
      <c r="G4695">
        <v>-353.10899999999998</v>
      </c>
      <c r="H4695" s="1">
        <v>-4.2390719999999999E-6</v>
      </c>
      <c r="I4695">
        <v>12.44539</v>
      </c>
      <c r="J4695">
        <v>-386.17919999999998</v>
      </c>
      <c r="K4695">
        <v>1.1057539999999999</v>
      </c>
      <c r="L4695">
        <v>18.541319999999999</v>
      </c>
      <c r="M4695">
        <v>0.99400480000000002</v>
      </c>
      <c r="N4695">
        <v>0</v>
      </c>
      <c r="O4695">
        <v>-0.1085381</v>
      </c>
      <c r="P4695">
        <v>0.99699629999999995</v>
      </c>
      <c r="Q4695">
        <v>3.1831970000000001E-2</v>
      </c>
      <c r="R4695">
        <v>7.0605680000000004E-2</v>
      </c>
      <c r="S4695">
        <v>3.0513309999999998</v>
      </c>
      <c r="T4695">
        <v>-0.10159119999999899</v>
      </c>
      <c r="U4695">
        <v>-0.56140140000000005</v>
      </c>
      <c r="V4695">
        <v>-0.1784917</v>
      </c>
      <c r="W4695">
        <v>4.4479779999999997E-2</v>
      </c>
      <c r="X4695">
        <v>0.98293549999999996</v>
      </c>
      <c r="Y4695">
        <v>7.3142449999999998E-2</v>
      </c>
      <c r="Z4695">
        <v>2.3616660000000001E-3</v>
      </c>
      <c r="AA4695">
        <v>0.9973187</v>
      </c>
      <c r="AB4695">
        <v>23</v>
      </c>
      <c r="AC4695">
        <v>33.0701999999999</v>
      </c>
      <c r="AD4695">
        <v>-1.105758239072</v>
      </c>
      <c r="AE4695">
        <v>-6.0959300000000001</v>
      </c>
      <c r="AF4695">
        <v>2.4675537504837299</v>
      </c>
      <c r="AG4695">
        <v>-1.105758239072</v>
      </c>
      <c r="AH4695">
        <v>33.500272044211499</v>
      </c>
      <c r="AI4695">
        <v>91.885396723578197</v>
      </c>
      <c r="AJ4695">
        <v>85.787330922333297</v>
      </c>
      <c r="AK4695">
        <v>33.609221202386998</v>
      </c>
    </row>
    <row r="4696" spans="1:37" x14ac:dyDescent="0.2">
      <c r="A4696" t="str">
        <f>"20200111153527332"</f>
        <v>20200111153527332</v>
      </c>
      <c r="B4696" t="str">
        <f>"1578728127320679"</f>
        <v>1578728127320679</v>
      </c>
      <c r="C4696" t="s">
        <v>37</v>
      </c>
      <c r="D4696">
        <v>5.017309</v>
      </c>
      <c r="E4696">
        <v>0.5969352</v>
      </c>
      <c r="F4696" t="s">
        <v>39</v>
      </c>
      <c r="G4696">
        <v>-353.27390000000003</v>
      </c>
      <c r="H4696" s="1">
        <v>-4.1661730000000003E-6</v>
      </c>
      <c r="I4696">
        <v>12.50849</v>
      </c>
      <c r="J4696">
        <v>-386.04689999999999</v>
      </c>
      <c r="K4696">
        <v>1.1057509999999999</v>
      </c>
      <c r="L4696">
        <v>18.52777</v>
      </c>
      <c r="M4696">
        <v>0.99408660000000004</v>
      </c>
      <c r="N4696">
        <v>0</v>
      </c>
      <c r="O4696">
        <v>-0.10778689999999901</v>
      </c>
      <c r="P4696">
        <v>0.99692199999999997</v>
      </c>
      <c r="Q4696">
        <v>3.1512449999999997E-2</v>
      </c>
      <c r="R4696">
        <v>7.178814E-2</v>
      </c>
      <c r="S4696">
        <v>3.051971</v>
      </c>
      <c r="T4696">
        <v>-0.1025594</v>
      </c>
      <c r="U4696">
        <v>-0.55953980000000003</v>
      </c>
      <c r="V4696">
        <v>-0.17891509999999999</v>
      </c>
      <c r="W4696">
        <v>4.4158700000000002E-2</v>
      </c>
      <c r="X4696">
        <v>0.982873</v>
      </c>
      <c r="Y4696">
        <v>7.3270279999999993E-2</v>
      </c>
      <c r="Z4696">
        <v>2.3569039999999999E-3</v>
      </c>
      <c r="AA4696">
        <v>0.99730929999999995</v>
      </c>
      <c r="AB4696">
        <v>23</v>
      </c>
      <c r="AC4696">
        <v>32.772999999999897</v>
      </c>
      <c r="AD4696">
        <v>-1.1057551661729901</v>
      </c>
      <c r="AE4696">
        <v>-6.0192800000000002</v>
      </c>
      <c r="AF4696">
        <v>2.4487019927893301</v>
      </c>
      <c r="AG4696">
        <v>-1.1057551661729901</v>
      </c>
      <c r="AH4696">
        <v>33.194333308051597</v>
      </c>
      <c r="AI4696">
        <v>91.902740196590003</v>
      </c>
      <c r="AJ4696">
        <v>85.7810081702291</v>
      </c>
      <c r="AK4696">
        <v>33.302891761873099</v>
      </c>
    </row>
    <row r="4697" spans="1:37" x14ac:dyDescent="0.2">
      <c r="A4697" t="str">
        <f>"20200111153527349"</f>
        <v>20200111153527349</v>
      </c>
      <c r="B4697" t="str">
        <f>"1578728127340200"</f>
        <v>1578728127340200</v>
      </c>
      <c r="C4697" t="s">
        <v>37</v>
      </c>
      <c r="D4697">
        <v>5.0330000000000004</v>
      </c>
      <c r="E4697">
        <v>0.5973446</v>
      </c>
      <c r="F4697" t="s">
        <v>39</v>
      </c>
      <c r="G4697">
        <v>-352.69740000000002</v>
      </c>
      <c r="H4697" s="1">
        <v>-4.3880759999999997E-6</v>
      </c>
      <c r="I4697">
        <v>12.43967</v>
      </c>
      <c r="J4697">
        <v>-385.86770000000001</v>
      </c>
      <c r="K4697">
        <v>1.1057520000000001</v>
      </c>
      <c r="L4697">
        <v>18.509550000000001</v>
      </c>
      <c r="M4697">
        <v>0.99419599999999897</v>
      </c>
      <c r="N4697">
        <v>0</v>
      </c>
      <c r="O4697">
        <v>-0.10677300000000001</v>
      </c>
      <c r="P4697">
        <v>0.99680590000000002</v>
      </c>
      <c r="Q4697">
        <v>3.1549189999999998E-2</v>
      </c>
      <c r="R4697">
        <v>7.33684E-2</v>
      </c>
      <c r="S4697">
        <v>3.0525509999999998</v>
      </c>
      <c r="T4697">
        <v>-0.1012125</v>
      </c>
      <c r="U4697">
        <v>-0.55725100000000005</v>
      </c>
      <c r="V4697">
        <v>-0.17947060000000001</v>
      </c>
      <c r="W4697">
        <v>4.4192519999999999E-2</v>
      </c>
      <c r="X4697">
        <v>0.98277019999999904</v>
      </c>
      <c r="Y4697">
        <v>7.3529090000000005E-2</v>
      </c>
      <c r="Z4697">
        <v>2.2884379999999998E-3</v>
      </c>
      <c r="AA4697">
        <v>0.99729040000000002</v>
      </c>
      <c r="AB4697">
        <v>23</v>
      </c>
      <c r="AC4697">
        <v>33.170299999999997</v>
      </c>
      <c r="AD4697">
        <v>-1.105756388076</v>
      </c>
      <c r="AE4697">
        <v>-6.0698800000000004</v>
      </c>
      <c r="AF4697">
        <v>2.4904967464085201</v>
      </c>
      <c r="AG4697">
        <v>-1.105756388076</v>
      </c>
      <c r="AH4697">
        <v>33.592680979715901</v>
      </c>
      <c r="AI4697">
        <v>91.880144503342095</v>
      </c>
      <c r="AJ4697">
        <v>85.759958170565596</v>
      </c>
      <c r="AK4697">
        <v>33.703018954369803</v>
      </c>
    </row>
    <row r="4698" spans="1:37" x14ac:dyDescent="0.2">
      <c r="A4698" t="str">
        <f>"20200111153527382"</f>
        <v>20200111153527382</v>
      </c>
      <c r="B4698" t="str">
        <f>"1578728127370455"</f>
        <v>1578728127370455</v>
      </c>
      <c r="C4698" t="s">
        <v>37</v>
      </c>
      <c r="D4698">
        <v>5.0214819999999998</v>
      </c>
      <c r="E4698">
        <v>0.59771439999999998</v>
      </c>
      <c r="F4698" t="s">
        <v>39</v>
      </c>
      <c r="G4698">
        <v>-351.95909999999998</v>
      </c>
      <c r="H4698" s="1">
        <v>-4.7229969999999996E-6</v>
      </c>
      <c r="I4698">
        <v>12.33724</v>
      </c>
      <c r="J4698">
        <v>-385.553</v>
      </c>
      <c r="K4698">
        <v>1.105753</v>
      </c>
      <c r="L4698">
        <v>18.477969999999999</v>
      </c>
      <c r="M4698">
        <v>0.99438459999999995</v>
      </c>
      <c r="N4698">
        <v>0</v>
      </c>
      <c r="O4698">
        <v>-0.105002</v>
      </c>
      <c r="P4698">
        <v>0.99662609999999996</v>
      </c>
      <c r="Q4698">
        <v>3.2144300000000001E-2</v>
      </c>
      <c r="R4698">
        <v>7.5520690000000001E-2</v>
      </c>
      <c r="S4698">
        <v>3.0536799999999999</v>
      </c>
      <c r="T4698">
        <v>-9.9580290000000002E-2</v>
      </c>
      <c r="U4698">
        <v>-0.55584719999999999</v>
      </c>
      <c r="V4698">
        <v>-0.17984120000000001</v>
      </c>
      <c r="W4698">
        <v>4.4785119999999998E-2</v>
      </c>
      <c r="X4698">
        <v>0.98267569999999904</v>
      </c>
      <c r="Y4698">
        <v>7.4794369999999999E-2</v>
      </c>
      <c r="Z4698">
        <v>2.173637E-3</v>
      </c>
      <c r="AA4698">
        <v>0.99719659999999999</v>
      </c>
      <c r="AB4698">
        <v>22</v>
      </c>
      <c r="AC4698">
        <v>33.593899999999998</v>
      </c>
      <c r="AD4698">
        <v>-1.1057577229969999</v>
      </c>
      <c r="AE4698">
        <v>-6.1407299999999996</v>
      </c>
      <c r="AF4698">
        <v>2.57634381986803</v>
      </c>
      <c r="AG4698">
        <v>-1.1057577229969999</v>
      </c>
      <c r="AH4698">
        <v>34.017342262903199</v>
      </c>
      <c r="AI4698">
        <v>91.856471227161293</v>
      </c>
      <c r="AJ4698">
        <v>85.668904469257996</v>
      </c>
      <c r="AK4698">
        <v>34.1326796816723</v>
      </c>
    </row>
    <row r="4699" spans="1:37" x14ac:dyDescent="0.2">
      <c r="A4699" t="str">
        <f>"20200111153527394"</f>
        <v>20200111153527394</v>
      </c>
      <c r="B4699" t="str">
        <f>"1578728127390951"</f>
        <v>1578728127390951</v>
      </c>
      <c r="C4699" t="s">
        <v>37</v>
      </c>
      <c r="D4699">
        <v>5.0321879999999997</v>
      </c>
      <c r="E4699">
        <v>0.59743359999999901</v>
      </c>
      <c r="F4699" t="s">
        <v>39</v>
      </c>
      <c r="G4699">
        <v>-348.56470000000002</v>
      </c>
      <c r="H4699" s="1">
        <v>-2.5568930000000001E-6</v>
      </c>
      <c r="I4699">
        <v>11.789949999999999</v>
      </c>
      <c r="J4699">
        <v>-385.42290000000003</v>
      </c>
      <c r="K4699">
        <v>1.1057520000000001</v>
      </c>
      <c r="L4699">
        <v>18.465060000000001</v>
      </c>
      <c r="M4699">
        <v>0.99446129999999999</v>
      </c>
      <c r="N4699">
        <v>0</v>
      </c>
      <c r="O4699">
        <v>-0.104273399999999</v>
      </c>
      <c r="P4699">
        <v>0.99653959999999997</v>
      </c>
      <c r="Q4699">
        <v>3.2256859999999998E-2</v>
      </c>
      <c r="R4699">
        <v>7.6605190000000004E-2</v>
      </c>
      <c r="S4699">
        <v>3.054932</v>
      </c>
      <c r="T4699">
        <v>-9.1326359999999995E-2</v>
      </c>
      <c r="U4699">
        <v>-0.55236819999999998</v>
      </c>
      <c r="V4699">
        <v>-0.1801904</v>
      </c>
      <c r="W4699">
        <v>4.4895629999999999E-2</v>
      </c>
      <c r="X4699">
        <v>0.982606599999999</v>
      </c>
      <c r="Y4699">
        <v>7.4351E-2</v>
      </c>
      <c r="Z4699">
        <v>1.9781579999999998E-3</v>
      </c>
      <c r="AA4699">
        <v>0.99723019999999996</v>
      </c>
      <c r="AB4699">
        <v>22</v>
      </c>
      <c r="AC4699">
        <v>36.858199999999997</v>
      </c>
      <c r="AD4699">
        <v>-1.1057545568930001</v>
      </c>
      <c r="AE4699">
        <v>-6.6751100000000001</v>
      </c>
      <c r="AF4699">
        <v>2.7926180317493099</v>
      </c>
      <c r="AG4699">
        <v>-1.1057545568930001</v>
      </c>
      <c r="AH4699">
        <v>37.3208131178123</v>
      </c>
      <c r="AI4699">
        <v>91.692355131463898</v>
      </c>
      <c r="AJ4699">
        <v>85.720682839748704</v>
      </c>
      <c r="AK4699">
        <v>37.441481012187701</v>
      </c>
    </row>
    <row r="4700" spans="1:37" x14ac:dyDescent="0.2">
      <c r="A4700" t="str">
        <f>"20200111153527408"</f>
        <v>20200111153527408</v>
      </c>
      <c r="B4700" t="str">
        <f>"1578728127400713"</f>
        <v>1578728127400713</v>
      </c>
      <c r="C4700" t="s">
        <v>37</v>
      </c>
      <c r="D4700">
        <v>5.0404439999999999</v>
      </c>
      <c r="E4700">
        <v>0.59743359999999901</v>
      </c>
      <c r="F4700" t="s">
        <v>39</v>
      </c>
      <c r="G4700">
        <v>-349.64789999999999</v>
      </c>
      <c r="H4700" s="1">
        <v>-2.115996E-6</v>
      </c>
      <c r="I4700">
        <v>12.06155</v>
      </c>
      <c r="J4700">
        <v>-385.28710000000001</v>
      </c>
      <c r="K4700">
        <v>1.105747</v>
      </c>
      <c r="L4700">
        <v>18.451720000000002</v>
      </c>
      <c r="M4700">
        <v>0.99454050000000005</v>
      </c>
      <c r="N4700">
        <v>0</v>
      </c>
      <c r="O4700">
        <v>-0.1035146</v>
      </c>
      <c r="P4700">
        <v>0.99648150000000002</v>
      </c>
      <c r="Q4700">
        <v>3.2006859999999998E-2</v>
      </c>
      <c r="R4700">
        <v>7.7460879999999996E-2</v>
      </c>
      <c r="S4700">
        <v>3.0554809999999999</v>
      </c>
      <c r="T4700">
        <v>-9.4440579999999996E-2</v>
      </c>
      <c r="U4700">
        <v>-0.54690550000000004</v>
      </c>
      <c r="V4700">
        <v>-0.1802851</v>
      </c>
      <c r="W4700">
        <v>4.4644120000000002E-2</v>
      </c>
      <c r="X4700">
        <v>0.98260069999999999</v>
      </c>
      <c r="Y4700">
        <v>7.3354530000000001E-2</v>
      </c>
      <c r="Z4700">
        <v>2.0378240000000001E-3</v>
      </c>
      <c r="AA4700">
        <v>0.99730379999999996</v>
      </c>
      <c r="AB4700">
        <v>22</v>
      </c>
      <c r="AC4700">
        <v>35.639200000000002</v>
      </c>
      <c r="AD4700">
        <v>-1.105749115996</v>
      </c>
      <c r="AE4700">
        <v>-6.3901700000000003</v>
      </c>
      <c r="AF4700">
        <v>2.6638527908537402</v>
      </c>
      <c r="AG4700">
        <v>-1.105749115996</v>
      </c>
      <c r="AH4700">
        <v>36.075598291419297</v>
      </c>
      <c r="AI4700">
        <v>91.750853090526704</v>
      </c>
      <c r="AJ4700">
        <v>85.776895344215106</v>
      </c>
      <c r="AK4700">
        <v>36.190711306669897</v>
      </c>
    </row>
    <row r="4701" spans="1:37" x14ac:dyDescent="0.2">
      <c r="A4701" t="str">
        <f>"20200111153527421"</f>
        <v>20200111153527421</v>
      </c>
      <c r="B4701" t="str">
        <f>"1578728127410471"</f>
        <v>1578728127410471</v>
      </c>
      <c r="C4701" t="s">
        <v>37</v>
      </c>
      <c r="D4701">
        <v>5.1321469999999998</v>
      </c>
      <c r="E4701">
        <v>0.57406590000000002</v>
      </c>
      <c r="F4701" t="s">
        <v>39</v>
      </c>
      <c r="G4701">
        <v>-349.68119999999999</v>
      </c>
      <c r="H4701" s="1">
        <v>-2.0919350000000002E-6</v>
      </c>
      <c r="I4701">
        <v>12.109360000000001</v>
      </c>
      <c r="J4701">
        <v>-385.15719999999999</v>
      </c>
      <c r="K4701">
        <v>1.1057440000000001</v>
      </c>
      <c r="L4701">
        <v>18.439029999999999</v>
      </c>
      <c r="M4701">
        <v>0.99461580000000005</v>
      </c>
      <c r="N4701">
        <v>0</v>
      </c>
      <c r="O4701">
        <v>-0.10278909999999999</v>
      </c>
      <c r="P4701">
        <v>0.99641930000000001</v>
      </c>
      <c r="Q4701">
        <v>3.1704820000000002E-2</v>
      </c>
      <c r="R4701">
        <v>7.8380980000000003E-2</v>
      </c>
      <c r="S4701">
        <v>3.0559689999999899</v>
      </c>
      <c r="T4701">
        <v>-9.4903829999999995E-2</v>
      </c>
      <c r="U4701">
        <v>-0.54434199999999999</v>
      </c>
      <c r="V4701">
        <v>-0.18047589999999999</v>
      </c>
      <c r="W4701">
        <v>4.4341159999999998E-2</v>
      </c>
      <c r="X4701">
        <v>0.98257939999999999</v>
      </c>
      <c r="Y4701">
        <v>7.3243470000000005E-2</v>
      </c>
      <c r="Z4701">
        <v>2.0272289999999902E-3</v>
      </c>
      <c r="AA4701">
        <v>0.99731199999999998</v>
      </c>
      <c r="AB4701">
        <v>22</v>
      </c>
      <c r="AC4701">
        <v>35.475999999999999</v>
      </c>
      <c r="AD4701">
        <v>-1.105746091935</v>
      </c>
      <c r="AE4701">
        <v>-6.3296699999999904</v>
      </c>
      <c r="AF4701">
        <v>2.6467819159236501</v>
      </c>
      <c r="AG4701">
        <v>-1.105746091935</v>
      </c>
      <c r="AH4701">
        <v>35.904929246029397</v>
      </c>
      <c r="AI4701">
        <v>91.759181555411004</v>
      </c>
      <c r="AJ4701">
        <v>85.783987453873706</v>
      </c>
      <c r="AK4701">
        <v>36.019329159392598</v>
      </c>
    </row>
    <row r="4702" spans="1:37" x14ac:dyDescent="0.2">
      <c r="A4702" t="str">
        <f>"20200111153527437"</f>
        <v>20200111153527437</v>
      </c>
      <c r="B4702" t="str">
        <f>"1578728127430967"</f>
        <v>1578728127430967</v>
      </c>
      <c r="C4702" t="s">
        <v>37</v>
      </c>
      <c r="D4702">
        <v>4.9403860000000002</v>
      </c>
      <c r="E4702">
        <v>0.596827</v>
      </c>
      <c r="F4702" t="s">
        <v>40</v>
      </c>
      <c r="G4702">
        <v>-384.29250000000002</v>
      </c>
      <c r="H4702">
        <v>0.98482080000000005</v>
      </c>
      <c r="I4702">
        <v>18.337199999999999</v>
      </c>
      <c r="J4702">
        <v>-384.98649999999998</v>
      </c>
      <c r="K4702">
        <v>1.1057399999999999</v>
      </c>
      <c r="L4702">
        <v>18.422519999999999</v>
      </c>
      <c r="M4702">
        <v>0.99471379999999998</v>
      </c>
      <c r="N4702">
        <v>0</v>
      </c>
      <c r="O4702">
        <v>-0.1018362</v>
      </c>
      <c r="P4702">
        <v>0.9963632</v>
      </c>
      <c r="Q4702">
        <v>3.1022480000000002E-2</v>
      </c>
      <c r="R4702">
        <v>7.9359899999999997E-2</v>
      </c>
      <c r="S4702">
        <v>3.0526430000000002</v>
      </c>
      <c r="T4702">
        <v>-0.42688469999999901</v>
      </c>
      <c r="U4702">
        <v>-0.35934450000000001</v>
      </c>
      <c r="V4702">
        <v>-0.18050099999999999</v>
      </c>
      <c r="W4702">
        <v>4.3658499999999899E-2</v>
      </c>
      <c r="X4702">
        <v>0.98260539999999996</v>
      </c>
      <c r="Y4702">
        <v>1.5973279999999999E-2</v>
      </c>
      <c r="Z4702">
        <v>1.297798E-2</v>
      </c>
      <c r="AA4702">
        <v>0.99978820000000002</v>
      </c>
      <c r="AB4702">
        <v>22</v>
      </c>
      <c r="AC4702">
        <v>0.69399999999995898</v>
      </c>
      <c r="AD4702">
        <v>-0.12091919999999901</v>
      </c>
      <c r="AE4702">
        <v>-8.5320000000002894E-2</v>
      </c>
      <c r="AF4702">
        <v>1.37836794164628E-2</v>
      </c>
      <c r="AG4702">
        <v>-0.12091919999999901</v>
      </c>
      <c r="AH4702">
        <v>0.67878125302480397</v>
      </c>
      <c r="AI4702">
        <v>100.09876626719</v>
      </c>
      <c r="AJ4702">
        <v>88.836682468446398</v>
      </c>
      <c r="AK4702">
        <v>0.68960527275015704</v>
      </c>
    </row>
    <row r="4703" spans="1:37" x14ac:dyDescent="0.2">
      <c r="A4703" t="str">
        <f>"20200111153527451"</f>
        <v>20200111153527451</v>
      </c>
      <c r="B4703" t="str">
        <f>"1578728127440727"</f>
        <v>1578728127440727</v>
      </c>
      <c r="C4703" t="s">
        <v>37</v>
      </c>
      <c r="D4703">
        <v>4.9955339999999904</v>
      </c>
      <c r="E4703">
        <v>0.59938040000000004</v>
      </c>
      <c r="F4703" t="s">
        <v>40</v>
      </c>
      <c r="G4703">
        <v>-384.31740000000002</v>
      </c>
      <c r="H4703">
        <v>0.9422625</v>
      </c>
      <c r="I4703">
        <v>18.304860000000001</v>
      </c>
      <c r="J4703">
        <v>-384.86149999999998</v>
      </c>
      <c r="K4703">
        <v>1.1057379999999899</v>
      </c>
      <c r="L4703">
        <v>18.410520000000002</v>
      </c>
      <c r="M4703">
        <v>0.99478509999999998</v>
      </c>
      <c r="N4703">
        <v>0</v>
      </c>
      <c r="O4703">
        <v>-0.1011373</v>
      </c>
      <c r="P4703">
        <v>0.99634769999999995</v>
      </c>
      <c r="Q4703">
        <v>3.055511E-2</v>
      </c>
      <c r="R4703">
        <v>7.9735890000000004E-2</v>
      </c>
      <c r="S4703">
        <v>3.0774840000000001</v>
      </c>
      <c r="T4703">
        <v>-0.75188809999999995</v>
      </c>
      <c r="U4703">
        <v>-0.5409851</v>
      </c>
      <c r="V4703">
        <v>-0.18018229999999999</v>
      </c>
      <c r="W4703">
        <v>4.3191649999999998E-2</v>
      </c>
      <c r="X4703">
        <v>0.98268449999999996</v>
      </c>
      <c r="Y4703">
        <v>7.3407630000000001E-2</v>
      </c>
      <c r="Z4703">
        <v>1.5319330000000001E-2</v>
      </c>
      <c r="AA4703">
        <v>0.99718430000000002</v>
      </c>
      <c r="AB4703">
        <v>22</v>
      </c>
      <c r="AC4703">
        <v>0.54409999999995695</v>
      </c>
      <c r="AD4703">
        <v>-0.163475499999999</v>
      </c>
      <c r="AE4703">
        <v>-0.10566</v>
      </c>
      <c r="AF4703">
        <v>4.60763404607233E-2</v>
      </c>
      <c r="AG4703">
        <v>-0.163475499999999</v>
      </c>
      <c r="AH4703">
        <v>0.507821130556394</v>
      </c>
      <c r="AI4703">
        <v>107.775774879854</v>
      </c>
      <c r="AJ4703">
        <v>84.815554785447304</v>
      </c>
      <c r="AK4703">
        <v>0.53547135207224394</v>
      </c>
    </row>
    <row r="4704" spans="1:37" x14ac:dyDescent="0.2">
      <c r="A4704" t="str">
        <f>"20200111153527465"</f>
        <v>20200111153527465</v>
      </c>
      <c r="B4704" t="str">
        <f>"1578728127460247"</f>
        <v>1578728127460247</v>
      </c>
      <c r="C4704" t="s">
        <v>37</v>
      </c>
      <c r="D4704">
        <v>4.9590129999999997</v>
      </c>
      <c r="E4704">
        <v>0.60216669999999906</v>
      </c>
      <c r="F4704" t="s">
        <v>40</v>
      </c>
      <c r="G4704">
        <v>-384.13060000000002</v>
      </c>
      <c r="H4704">
        <v>0.92001889999999997</v>
      </c>
      <c r="I4704">
        <v>18.277100000000001</v>
      </c>
      <c r="J4704">
        <v>-384.72480000000002</v>
      </c>
      <c r="K4704">
        <v>1.1057330000000001</v>
      </c>
      <c r="L4704">
        <v>18.39752</v>
      </c>
      <c r="M4704">
        <v>0.99486260000000004</v>
      </c>
      <c r="N4704">
        <v>0</v>
      </c>
      <c r="O4704">
        <v>-0.10037310000000001</v>
      </c>
      <c r="P4704">
        <v>0.996314699999999</v>
      </c>
      <c r="Q4704">
        <v>3.020403E-2</v>
      </c>
      <c r="R4704">
        <v>8.0278660000000002E-2</v>
      </c>
      <c r="S4704">
        <v>3.079834</v>
      </c>
      <c r="T4704">
        <v>-0.78277949999999996</v>
      </c>
      <c r="U4704">
        <v>-0.56021119999999902</v>
      </c>
      <c r="V4704">
        <v>-0.1799625</v>
      </c>
      <c r="W4704">
        <v>4.2841499999999998E-2</v>
      </c>
      <c r="X4704">
        <v>0.98274010000000001</v>
      </c>
      <c r="Y4704">
        <v>7.9914269999999996E-2</v>
      </c>
      <c r="Z4704">
        <v>1.49126E-2</v>
      </c>
      <c r="AA4704">
        <v>0.99669019999999997</v>
      </c>
      <c r="AB4704">
        <v>22</v>
      </c>
      <c r="AC4704">
        <v>0.59419999999999995</v>
      </c>
      <c r="AD4704">
        <v>-0.18571409999999999</v>
      </c>
      <c r="AE4704">
        <v>-0.120419999999999</v>
      </c>
      <c r="AF4704">
        <v>5.5003841750555303E-2</v>
      </c>
      <c r="AG4704">
        <v>-0.18571409999999999</v>
      </c>
      <c r="AH4704">
        <v>0.55153576562626905</v>
      </c>
      <c r="AI4704">
        <v>108.52392378930401</v>
      </c>
      <c r="AJ4704">
        <v>84.304808327152699</v>
      </c>
      <c r="AK4704">
        <v>0.584556969260555</v>
      </c>
    </row>
    <row r="4705" spans="1:37" x14ac:dyDescent="0.2">
      <c r="A4705" t="str">
        <f>"20200111153527482"</f>
        <v>20200111153527482</v>
      </c>
      <c r="B4705" t="str">
        <f>"1578728127470986"</f>
        <v>1578728127470986</v>
      </c>
      <c r="C4705" t="s">
        <v>37</v>
      </c>
      <c r="D4705">
        <v>4.9357230000000003</v>
      </c>
      <c r="E4705">
        <v>0.60217730000000003</v>
      </c>
      <c r="F4705" t="s">
        <v>40</v>
      </c>
      <c r="G4705">
        <v>-383.93979999999999</v>
      </c>
      <c r="H4705">
        <v>0.90464500000000003</v>
      </c>
      <c r="I4705">
        <v>18.249649999999999</v>
      </c>
      <c r="J4705">
        <v>-384.551999999999</v>
      </c>
      <c r="K4705">
        <v>1.105721</v>
      </c>
      <c r="L4705">
        <v>18.381229999999999</v>
      </c>
      <c r="M4705">
        <v>0.9949597</v>
      </c>
      <c r="N4705">
        <v>0</v>
      </c>
      <c r="O4705">
        <v>-9.9406209999999995E-2</v>
      </c>
      <c r="P4705">
        <v>0.99631209999999903</v>
      </c>
      <c r="Q4705">
        <v>2.9304630000000002E-2</v>
      </c>
      <c r="R4705">
        <v>8.0644439999999998E-2</v>
      </c>
      <c r="S4705">
        <v>3.0818180000000002</v>
      </c>
      <c r="T4705">
        <v>-0.78957730000000004</v>
      </c>
      <c r="U4705">
        <v>-0.58056640000000004</v>
      </c>
      <c r="V4705">
        <v>-0.179369</v>
      </c>
      <c r="W4705">
        <v>4.1944420000000003E-2</v>
      </c>
      <c r="X4705">
        <v>0.98288729999999902</v>
      </c>
      <c r="Y4705">
        <v>8.6895620000000007E-2</v>
      </c>
      <c r="Z4705">
        <v>1.3905890000000001E-2</v>
      </c>
      <c r="AA4705">
        <v>0.99612029999999996</v>
      </c>
      <c r="AB4705">
        <v>22</v>
      </c>
      <c r="AC4705">
        <v>0.61219999999997299</v>
      </c>
      <c r="AD4705">
        <v>-0.20107599999999901</v>
      </c>
      <c r="AE4705">
        <v>-0.131579999999999</v>
      </c>
      <c r="AF4705">
        <v>6.3516864850441307E-2</v>
      </c>
      <c r="AG4705">
        <v>-0.20107599999999901</v>
      </c>
      <c r="AH4705">
        <v>0.56408288247246696</v>
      </c>
      <c r="AI4705">
        <v>109.505507880016</v>
      </c>
      <c r="AJ4705">
        <v>83.575441793443105</v>
      </c>
      <c r="AK4705">
        <v>0.60220880780247299</v>
      </c>
    </row>
    <row r="4706" spans="1:37" x14ac:dyDescent="0.2">
      <c r="A4706" t="str">
        <f>"20200111153527496"</f>
        <v>20200111153527496</v>
      </c>
      <c r="B4706" t="str">
        <f>"1578728127490504"</f>
        <v>1578728127490504</v>
      </c>
      <c r="C4706" t="s">
        <v>37</v>
      </c>
      <c r="D4706">
        <v>4.9594490000000002</v>
      </c>
      <c r="E4706">
        <v>0.60262360000000004</v>
      </c>
      <c r="F4706" t="s">
        <v>40</v>
      </c>
      <c r="G4706">
        <v>-383.74380000000002</v>
      </c>
      <c r="H4706">
        <v>0.89928229999999998</v>
      </c>
      <c r="I4706">
        <v>18.22878</v>
      </c>
      <c r="J4706">
        <v>-384.4119</v>
      </c>
      <c r="K4706">
        <v>1.105715</v>
      </c>
      <c r="L4706">
        <v>18.368129999999901</v>
      </c>
      <c r="M4706">
        <v>0.99503790000000003</v>
      </c>
      <c r="N4706">
        <v>0</v>
      </c>
      <c r="O4706">
        <v>-9.8621130000000001E-2</v>
      </c>
      <c r="P4706">
        <v>0.99628629999999996</v>
      </c>
      <c r="Q4706">
        <v>2.861089E-2</v>
      </c>
      <c r="R4706">
        <v>8.121051E-2</v>
      </c>
      <c r="S4706">
        <v>3.0811769999999998</v>
      </c>
      <c r="T4706">
        <v>-0.78723319999999997</v>
      </c>
      <c r="U4706">
        <v>-0.57980350000000003</v>
      </c>
      <c r="V4706">
        <v>-0.17915249999999999</v>
      </c>
      <c r="W4706">
        <v>4.1250750000000003E-2</v>
      </c>
      <c r="X4706">
        <v>0.9829561</v>
      </c>
      <c r="Y4706">
        <v>8.7438269999999998E-2</v>
      </c>
      <c r="Z4706">
        <v>1.360714E-2</v>
      </c>
      <c r="AA4706">
        <v>0.99607699999999999</v>
      </c>
      <c r="AB4706">
        <v>22</v>
      </c>
      <c r="AC4706">
        <v>0.66809999999998104</v>
      </c>
      <c r="AD4706">
        <v>-0.2064327</v>
      </c>
      <c r="AE4706">
        <v>-0.139349999999996</v>
      </c>
      <c r="AF4706">
        <v>6.6675809049358298E-2</v>
      </c>
      <c r="AG4706">
        <v>-0.2064327</v>
      </c>
      <c r="AH4706">
        <v>0.62170584591</v>
      </c>
      <c r="AI4706">
        <v>108.27059695353201</v>
      </c>
      <c r="AJ4706">
        <v>83.878622584611605</v>
      </c>
      <c r="AK4706">
        <v>0.65846661417291696</v>
      </c>
    </row>
    <row r="4707" spans="1:37" x14ac:dyDescent="0.2">
      <c r="A4707" t="str">
        <f>"20200111153527510"</f>
        <v>20200111153527510</v>
      </c>
      <c r="B4707" t="str">
        <f>"1578728127500265"</f>
        <v>1578728127500265</v>
      </c>
      <c r="C4707" t="s">
        <v>37</v>
      </c>
      <c r="D4707">
        <v>4.9530969999999996</v>
      </c>
      <c r="E4707">
        <v>0.60286790000000001</v>
      </c>
      <c r="F4707" t="s">
        <v>40</v>
      </c>
      <c r="G4707">
        <v>-383.72730000000001</v>
      </c>
      <c r="H4707">
        <v>0.93277790000000005</v>
      </c>
      <c r="I4707">
        <v>18.238510000000002</v>
      </c>
      <c r="J4707">
        <v>-384.27620000000002</v>
      </c>
      <c r="K4707">
        <v>1.1057079999999999</v>
      </c>
      <c r="L4707">
        <v>18.355560000000001</v>
      </c>
      <c r="M4707">
        <v>0.99511280000000002</v>
      </c>
      <c r="N4707">
        <v>0</v>
      </c>
      <c r="O4707">
        <v>-9.7860489999999994E-2</v>
      </c>
      <c r="P4707">
        <v>0.99627639999999995</v>
      </c>
      <c r="Q4707">
        <v>2.8042870000000001E-2</v>
      </c>
      <c r="R4707">
        <v>8.1528429999999999E-2</v>
      </c>
      <c r="S4707">
        <v>3.0809630000000001</v>
      </c>
      <c r="T4707">
        <v>-0.77840149999999997</v>
      </c>
      <c r="U4707">
        <v>-0.58163450000000005</v>
      </c>
      <c r="V4707">
        <v>-0.17871509999999999</v>
      </c>
      <c r="W4707">
        <v>4.0684739999999997E-2</v>
      </c>
      <c r="X4707">
        <v>0.98305929999999997</v>
      </c>
      <c r="Y4707">
        <v>8.8715130000000003E-2</v>
      </c>
      <c r="Z4707">
        <v>1.3115480000000001E-2</v>
      </c>
      <c r="AA4707">
        <v>0.99597069999999999</v>
      </c>
      <c r="AB4707">
        <v>22</v>
      </c>
      <c r="AC4707">
        <v>0.54890000000000305</v>
      </c>
      <c r="AD4707">
        <v>-0.172930099999999</v>
      </c>
      <c r="AE4707">
        <v>-0.117049999999999</v>
      </c>
      <c r="AF4707">
        <v>5.7325405582858098E-2</v>
      </c>
      <c r="AG4707">
        <v>-0.172930099999999</v>
      </c>
      <c r="AH4707">
        <v>0.50936242573009205</v>
      </c>
      <c r="AI4707">
        <v>108.643015776619</v>
      </c>
      <c r="AJ4707">
        <v>83.578754795026896</v>
      </c>
      <c r="AK4707">
        <v>0.54096312476627495</v>
      </c>
    </row>
    <row r="4708" spans="1:37" x14ac:dyDescent="0.2">
      <c r="A4708" t="str">
        <f>"20200111153527528"</f>
        <v>20200111153527528</v>
      </c>
      <c r="B4708" t="str">
        <f>"1578728127520759"</f>
        <v>1578728127520759</v>
      </c>
      <c r="C4708" t="s">
        <v>37</v>
      </c>
      <c r="D4708">
        <v>4.9517569999999997</v>
      </c>
      <c r="E4708">
        <v>0.60308090000000003</v>
      </c>
      <c r="F4708" t="s">
        <v>40</v>
      </c>
      <c r="G4708">
        <v>-383.536</v>
      </c>
      <c r="H4708">
        <v>0.91938850000000005</v>
      </c>
      <c r="I4708">
        <v>18.215479999999999</v>
      </c>
      <c r="J4708">
        <v>-384.09899999999999</v>
      </c>
      <c r="K4708">
        <v>1.105702</v>
      </c>
      <c r="L4708">
        <v>18.339320000000001</v>
      </c>
      <c r="M4708">
        <v>0.99520989999999998</v>
      </c>
      <c r="N4708">
        <v>0</v>
      </c>
      <c r="O4708">
        <v>-9.6869930000000007E-2</v>
      </c>
      <c r="P4708">
        <v>0.99626289999999995</v>
      </c>
      <c r="Q4708">
        <v>2.7373049999999999E-2</v>
      </c>
      <c r="R4708">
        <v>8.1922990000000001E-2</v>
      </c>
      <c r="S4708">
        <v>3.08071899999999</v>
      </c>
      <c r="T4708">
        <v>-0.77555929999999995</v>
      </c>
      <c r="U4708">
        <v>-0.58264159999999998</v>
      </c>
      <c r="V4708">
        <v>-0.1781259</v>
      </c>
      <c r="W4708">
        <v>4.0017709999999998E-2</v>
      </c>
      <c r="X4708">
        <v>0.9831936</v>
      </c>
      <c r="Y4708">
        <v>8.996635E-2</v>
      </c>
      <c r="Z4708">
        <v>1.267422E-2</v>
      </c>
      <c r="AA4708">
        <v>0.99586419999999998</v>
      </c>
      <c r="AB4708">
        <v>22</v>
      </c>
      <c r="AC4708">
        <v>0.56299999999998795</v>
      </c>
      <c r="AD4708">
        <v>-0.18631349999999899</v>
      </c>
      <c r="AE4708">
        <v>-0.123840000000001</v>
      </c>
      <c r="AF4708">
        <v>6.2215892186780399E-2</v>
      </c>
      <c r="AG4708">
        <v>-0.18631349999999899</v>
      </c>
      <c r="AH4708">
        <v>0.51821616822022398</v>
      </c>
      <c r="AI4708">
        <v>109.64479166351499</v>
      </c>
      <c r="AJ4708">
        <v>83.153962022554893</v>
      </c>
      <c r="AK4708">
        <v>0.55419449160714196</v>
      </c>
    </row>
    <row r="4709" spans="1:37" x14ac:dyDescent="0.2">
      <c r="A4709" t="str">
        <f>"20200111153527551"</f>
        <v>20200111153527551</v>
      </c>
      <c r="B4709" t="str">
        <f>"1578728127540279"</f>
        <v>1578728127540279</v>
      </c>
      <c r="C4709" t="s">
        <v>37</v>
      </c>
      <c r="D4709">
        <v>4.9517300000000004</v>
      </c>
      <c r="E4709">
        <v>0.60309740000000001</v>
      </c>
      <c r="F4709" t="s">
        <v>40</v>
      </c>
      <c r="G4709">
        <v>-383.3399</v>
      </c>
      <c r="H4709">
        <v>0.91534539999999998</v>
      </c>
      <c r="I4709">
        <v>18.195329999999998</v>
      </c>
      <c r="J4709">
        <v>-383.87150000000003</v>
      </c>
      <c r="K4709">
        <v>1.105691</v>
      </c>
      <c r="L4709">
        <v>18.318729999999999</v>
      </c>
      <c r="M4709">
        <v>0.9953322</v>
      </c>
      <c r="N4709">
        <v>0</v>
      </c>
      <c r="O4709">
        <v>-9.5605250000000003E-2</v>
      </c>
      <c r="P4709">
        <v>0.99627089999999996</v>
      </c>
      <c r="Q4709">
        <v>2.6487810000000001E-2</v>
      </c>
      <c r="R4709">
        <v>8.2116469999999997E-2</v>
      </c>
      <c r="S4709">
        <v>3.08041399999999</v>
      </c>
      <c r="T4709">
        <v>-0.77265629999999996</v>
      </c>
      <c r="U4709">
        <v>-0.58291630000000005</v>
      </c>
      <c r="V4709">
        <v>-0.17706729999999901</v>
      </c>
      <c r="W4709">
        <v>3.9138640000000002E-2</v>
      </c>
      <c r="X4709">
        <v>0.98342030000000002</v>
      </c>
      <c r="Y4709">
        <v>9.1258270000000002E-2</v>
      </c>
      <c r="Z4709">
        <v>1.2163709999999999E-2</v>
      </c>
      <c r="AA4709">
        <v>0.995753</v>
      </c>
      <c r="AB4709">
        <v>22</v>
      </c>
      <c r="AC4709">
        <v>0.53160000000002505</v>
      </c>
      <c r="AD4709">
        <v>-0.1903456</v>
      </c>
      <c r="AE4709">
        <v>-0.1234</v>
      </c>
      <c r="AF4709">
        <v>6.4196757947139194E-2</v>
      </c>
      <c r="AG4709">
        <v>-0.1903456</v>
      </c>
      <c r="AH4709">
        <v>0.48229103954730401</v>
      </c>
      <c r="AI4709">
        <v>111.36638331012099</v>
      </c>
      <c r="AJ4709">
        <v>82.4180465471389</v>
      </c>
      <c r="AK4709">
        <v>0.52245317301926997</v>
      </c>
    </row>
    <row r="4710" spans="1:37" x14ac:dyDescent="0.2">
      <c r="A4710" t="str">
        <f>"20200111153527573"</f>
        <v>20200111153527573</v>
      </c>
      <c r="B4710" t="str">
        <f>"1578728127560775"</f>
        <v>1578728127560775</v>
      </c>
      <c r="C4710" t="s">
        <v>37</v>
      </c>
      <c r="D4710">
        <v>4.935238</v>
      </c>
      <c r="E4710">
        <v>0.60338749999999997</v>
      </c>
      <c r="F4710" t="s">
        <v>40</v>
      </c>
      <c r="G4710">
        <v>-383.13850000000002</v>
      </c>
      <c r="H4710">
        <v>0.92201100000000002</v>
      </c>
      <c r="I4710">
        <v>18.179770000000001</v>
      </c>
      <c r="J4710">
        <v>-383.65629999999999</v>
      </c>
      <c r="K4710">
        <v>1.1056760000000001</v>
      </c>
      <c r="L4710">
        <v>18.299440000000001</v>
      </c>
      <c r="M4710">
        <v>0.99544519999999903</v>
      </c>
      <c r="N4710">
        <v>0</v>
      </c>
      <c r="O4710">
        <v>-9.4420480000000001E-2</v>
      </c>
      <c r="P4710">
        <v>0.99626419999999904</v>
      </c>
      <c r="Q4710">
        <v>2.5629450000000002E-2</v>
      </c>
      <c r="R4710">
        <v>8.2467730000000003E-2</v>
      </c>
      <c r="S4710">
        <v>3.0798030000000001</v>
      </c>
      <c r="T4710">
        <v>-0.77174849999999995</v>
      </c>
      <c r="U4710">
        <v>-0.58291630000000005</v>
      </c>
      <c r="V4710">
        <v>-0.1762426</v>
      </c>
      <c r="W4710">
        <v>3.8286210000000001E-2</v>
      </c>
      <c r="X4710">
        <v>0.98360190000000003</v>
      </c>
      <c r="Y4710">
        <v>9.241009E-2</v>
      </c>
      <c r="Z4710">
        <v>1.1723539999999999E-2</v>
      </c>
      <c r="AA4710">
        <v>0.99565199999999998</v>
      </c>
      <c r="AB4710">
        <v>22</v>
      </c>
      <c r="AC4710">
        <v>0.51779999999996495</v>
      </c>
      <c r="AD4710">
        <v>-0.18366499999999999</v>
      </c>
      <c r="AE4710">
        <v>-0.119669999999999</v>
      </c>
      <c r="AF4710">
        <v>6.2746052530108107E-2</v>
      </c>
      <c r="AG4710">
        <v>-0.18366499999999999</v>
      </c>
      <c r="AH4710">
        <v>0.47058271178668098</v>
      </c>
      <c r="AI4710">
        <v>111.14990104899699</v>
      </c>
      <c r="AJ4710">
        <v>82.405154345114596</v>
      </c>
      <c r="AK4710">
        <v>0.50903633265771697</v>
      </c>
    </row>
    <row r="4711" spans="1:37" x14ac:dyDescent="0.2">
      <c r="A4711" t="str">
        <f>"20200111153527587"</f>
        <v>20200111153527587</v>
      </c>
      <c r="B4711" t="str">
        <f>"1578728127580295"</f>
        <v>1578728127580295</v>
      </c>
      <c r="C4711" t="s">
        <v>37</v>
      </c>
      <c r="D4711">
        <v>4.9175990000000001</v>
      </c>
      <c r="E4711">
        <v>0.60346449999999996</v>
      </c>
      <c r="F4711" t="s">
        <v>40</v>
      </c>
      <c r="G4711">
        <v>-382.9384</v>
      </c>
      <c r="H4711">
        <v>0.92623539999999904</v>
      </c>
      <c r="I4711">
        <v>18.162879999999902</v>
      </c>
      <c r="J4711">
        <v>-383.5188</v>
      </c>
      <c r="K4711">
        <v>1.105664</v>
      </c>
      <c r="L4711">
        <v>18.287289999999999</v>
      </c>
      <c r="M4711">
        <v>0.99551579999999995</v>
      </c>
      <c r="N4711">
        <v>0</v>
      </c>
      <c r="O4711">
        <v>-9.3674370000000007E-2</v>
      </c>
      <c r="P4711">
        <v>0.99623859999999997</v>
      </c>
      <c r="Q4711">
        <v>2.5268869999999999E-2</v>
      </c>
      <c r="R4711">
        <v>8.2887939999999993E-2</v>
      </c>
      <c r="S4711">
        <v>3.0794069999999998</v>
      </c>
      <c r="T4711">
        <v>-0.76982869999999903</v>
      </c>
      <c r="U4711">
        <v>-0.58456419999999998</v>
      </c>
      <c r="V4711">
        <v>-0.17591989999999999</v>
      </c>
      <c r="W4711">
        <v>3.79298E-2</v>
      </c>
      <c r="X4711">
        <v>0.98367349999999998</v>
      </c>
      <c r="Y4711">
        <v>9.3635720000000006E-2</v>
      </c>
      <c r="Z4711">
        <v>1.136561E-2</v>
      </c>
      <c r="AA4711">
        <v>0.99554159999999903</v>
      </c>
      <c r="AB4711">
        <v>22</v>
      </c>
      <c r="AC4711">
        <v>0.58039999999999703</v>
      </c>
      <c r="AD4711">
        <v>-0.17942859999999999</v>
      </c>
      <c r="AE4711">
        <v>-0.12441000000000101</v>
      </c>
      <c r="AF4711">
        <v>6.3671657368446197E-2</v>
      </c>
      <c r="AG4711">
        <v>-0.17942859999999999</v>
      </c>
      <c r="AH4711">
        <v>0.54014749792741901</v>
      </c>
      <c r="AI4711">
        <v>108.25773983556699</v>
      </c>
      <c r="AJ4711">
        <v>83.2770964718366</v>
      </c>
      <c r="AK4711">
        <v>0.57271984596943704</v>
      </c>
    </row>
    <row r="4712" spans="1:37" x14ac:dyDescent="0.2">
      <c r="A4712" t="str">
        <f>"20200111153527599"</f>
        <v>20200111153527599</v>
      </c>
      <c r="B4712" t="str">
        <f>"1578728127591031"</f>
        <v>1578728127591031</v>
      </c>
      <c r="C4712" t="s">
        <v>37</v>
      </c>
      <c r="D4712">
        <v>4.9736149999999997</v>
      </c>
      <c r="E4712">
        <v>0.60365119999999906</v>
      </c>
      <c r="F4712" t="s">
        <v>40</v>
      </c>
      <c r="G4712">
        <v>-382.74709999999999</v>
      </c>
      <c r="H4712">
        <v>0.91359659999999998</v>
      </c>
      <c r="I4712">
        <v>18.140889999999999</v>
      </c>
      <c r="J4712">
        <v>-383.38760000000002</v>
      </c>
      <c r="K4712">
        <v>1.1056520000000001</v>
      </c>
      <c r="L4712">
        <v>18.275759999999998</v>
      </c>
      <c r="M4712">
        <v>0.99558189999999902</v>
      </c>
      <c r="N4712">
        <v>0</v>
      </c>
      <c r="O4712">
        <v>-9.2968319999999993E-2</v>
      </c>
      <c r="P4712">
        <v>0.99620370000000003</v>
      </c>
      <c r="Q4712">
        <v>2.4852619999999999E-2</v>
      </c>
      <c r="R4712">
        <v>8.3429950000000003E-2</v>
      </c>
      <c r="S4712">
        <v>3.0793149999999998</v>
      </c>
      <c r="T4712">
        <v>-0.76639869999999899</v>
      </c>
      <c r="U4712">
        <v>-0.58404540000000005</v>
      </c>
      <c r="V4712">
        <v>-0.17575660000000001</v>
      </c>
      <c r="W4712">
        <v>3.7517630000000003E-2</v>
      </c>
      <c r="X4712">
        <v>0.98371849999999905</v>
      </c>
      <c r="Y4712">
        <v>9.4149679999999999E-2</v>
      </c>
      <c r="Z4712">
        <v>1.1084180000000001E-2</v>
      </c>
      <c r="AA4712">
        <v>0.9954963</v>
      </c>
      <c r="AB4712">
        <v>22</v>
      </c>
      <c r="AC4712">
        <v>0.64050000000003104</v>
      </c>
      <c r="AD4712">
        <v>-0.19205539999999999</v>
      </c>
      <c r="AE4712">
        <v>-0.13487000000000199</v>
      </c>
      <c r="AF4712">
        <v>6.8810256278979395E-2</v>
      </c>
      <c r="AG4712">
        <v>-0.19205539999999999</v>
      </c>
      <c r="AH4712">
        <v>0.59871914105992097</v>
      </c>
      <c r="AI4712">
        <v>107.676006384301</v>
      </c>
      <c r="AJ4712">
        <v>83.443812479279302</v>
      </c>
      <c r="AK4712">
        <v>0.63252251968595397</v>
      </c>
    </row>
    <row r="4713" spans="1:37" x14ac:dyDescent="0.2">
      <c r="A4713" t="str">
        <f>"20200111153527617"</f>
        <v>20200111153527617</v>
      </c>
      <c r="B4713" t="str">
        <f>"1578728127610551"</f>
        <v>1578728127610551</v>
      </c>
      <c r="C4713" t="s">
        <v>37</v>
      </c>
      <c r="D4713">
        <v>4.8781220000000003</v>
      </c>
      <c r="E4713">
        <v>0.63263080000000005</v>
      </c>
      <c r="F4713" t="s">
        <v>40</v>
      </c>
      <c r="G4713">
        <v>-382.55619999999999</v>
      </c>
      <c r="H4713">
        <v>0.8993312</v>
      </c>
      <c r="I4713">
        <v>18.11778</v>
      </c>
      <c r="J4713">
        <v>-383.21429999999998</v>
      </c>
      <c r="K4713">
        <v>1.105634</v>
      </c>
      <c r="L4713">
        <v>18.260649999999998</v>
      </c>
      <c r="M4713">
        <v>0.99566669999999902</v>
      </c>
      <c r="N4713">
        <v>0</v>
      </c>
      <c r="O4713">
        <v>-9.2056269999999996E-2</v>
      </c>
      <c r="P4713">
        <v>0.99620119999999901</v>
      </c>
      <c r="Q4713">
        <v>2.4225779999999999E-2</v>
      </c>
      <c r="R4713">
        <v>8.3643019999999998E-2</v>
      </c>
      <c r="S4713">
        <v>3.079437</v>
      </c>
      <c r="T4713">
        <v>-0.76432609999999901</v>
      </c>
      <c r="U4713">
        <v>-0.58416749999999995</v>
      </c>
      <c r="V4713">
        <v>-0.175064</v>
      </c>
      <c r="W4713">
        <v>3.6900080000000002E-2</v>
      </c>
      <c r="X4713">
        <v>0.98386530000000005</v>
      </c>
      <c r="Y4713">
        <v>9.5040289999999999E-2</v>
      </c>
      <c r="Z4713">
        <v>1.0727179999999999E-2</v>
      </c>
      <c r="AA4713">
        <v>0.99541559999999996</v>
      </c>
      <c r="AB4713">
        <v>22</v>
      </c>
      <c r="AC4713">
        <v>0.65809999999999003</v>
      </c>
      <c r="AD4713">
        <v>-0.20630280000000001</v>
      </c>
      <c r="AE4713">
        <v>-0.142869999999998</v>
      </c>
      <c r="AF4713">
        <v>7.4668273387756806E-2</v>
      </c>
      <c r="AG4713">
        <v>-0.20630280000000001</v>
      </c>
      <c r="AH4713">
        <v>0.61110703562311597</v>
      </c>
      <c r="AI4713">
        <v>108.525823067635</v>
      </c>
      <c r="AJ4713">
        <v>83.033829751986403</v>
      </c>
      <c r="AK4713">
        <v>0.649298086649438</v>
      </c>
    </row>
    <row r="4714" spans="1:37" x14ac:dyDescent="0.2">
      <c r="A4714" t="str">
        <f>"20200111153527632"</f>
        <v>20200111153527632</v>
      </c>
      <c r="B4714" t="str">
        <f>"1578728127620311"</f>
        <v>1578728127620311</v>
      </c>
      <c r="C4714" t="s">
        <v>37</v>
      </c>
      <c r="D4714">
        <v>4.9421629999999999</v>
      </c>
      <c r="E4714">
        <v>0.63707290000000005</v>
      </c>
      <c r="F4714" t="s">
        <v>40</v>
      </c>
      <c r="G4714">
        <v>-382.54140000000001</v>
      </c>
      <c r="H4714">
        <v>0.93563379999999996</v>
      </c>
      <c r="I4714">
        <v>18.083549999999999</v>
      </c>
      <c r="J4714">
        <v>-383.07339999999999</v>
      </c>
      <c r="K4714">
        <v>1.105618</v>
      </c>
      <c r="L4714">
        <v>18.248470000000001</v>
      </c>
      <c r="M4714">
        <v>0.99573330000000004</v>
      </c>
      <c r="N4714">
        <v>0</v>
      </c>
      <c r="O4714">
        <v>-9.1332799999999895E-2</v>
      </c>
      <c r="P4714">
        <v>0.99617730000000004</v>
      </c>
      <c r="Q4714">
        <v>2.4002559999999999E-2</v>
      </c>
      <c r="R4714">
        <v>8.3991910000000003E-2</v>
      </c>
      <c r="S4714">
        <v>3.098846</v>
      </c>
      <c r="T4714">
        <v>-0.78297479999999997</v>
      </c>
      <c r="U4714">
        <v>-0.81433109999999997</v>
      </c>
      <c r="V4714">
        <v>-0.1746924</v>
      </c>
      <c r="W4714">
        <v>3.6683739999999999E-2</v>
      </c>
      <c r="X4714">
        <v>0.98393949999999997</v>
      </c>
      <c r="Y4714">
        <v>0.16266059999999999</v>
      </c>
      <c r="Z4714">
        <v>2.362046E-3</v>
      </c>
      <c r="AA4714">
        <v>0.98667929999999904</v>
      </c>
      <c r="AB4714">
        <v>22</v>
      </c>
      <c r="AC4714">
        <v>0.53199999999998204</v>
      </c>
      <c r="AD4714">
        <v>-0.1699842</v>
      </c>
      <c r="AE4714">
        <v>-0.16492000000000201</v>
      </c>
      <c r="AF4714">
        <v>0.105784392103781</v>
      </c>
      <c r="AG4714">
        <v>-0.1699842</v>
      </c>
      <c r="AH4714">
        <v>0.49841666865190698</v>
      </c>
      <c r="AI4714">
        <v>108.44957841958001</v>
      </c>
      <c r="AJ4714">
        <v>78.017306504755794</v>
      </c>
      <c r="AK4714">
        <v>0.53712581529141901</v>
      </c>
    </row>
    <row r="4715" spans="1:37" x14ac:dyDescent="0.2">
      <c r="A4715" t="str">
        <f>"20200111153527646"</f>
        <v>20200111153527646</v>
      </c>
      <c r="B4715" t="str">
        <f>"1578728127640808"</f>
        <v>1578728127640808</v>
      </c>
      <c r="C4715" t="s">
        <v>37</v>
      </c>
      <c r="D4715">
        <v>4.8923319999999997</v>
      </c>
      <c r="E4715">
        <v>0.64049889999999998</v>
      </c>
      <c r="F4715" t="s">
        <v>40</v>
      </c>
      <c r="G4715">
        <v>-382.35250000000002</v>
      </c>
      <c r="H4715">
        <v>0.91793480000000005</v>
      </c>
      <c r="I4715">
        <v>18.05114</v>
      </c>
      <c r="J4715">
        <v>-382.92930000000001</v>
      </c>
      <c r="K4715">
        <v>1.105599</v>
      </c>
      <c r="L4715">
        <v>18.23611</v>
      </c>
      <c r="M4715">
        <v>0.99579980000000001</v>
      </c>
      <c r="N4715">
        <v>0</v>
      </c>
      <c r="O4715">
        <v>-9.0607160000000006E-2</v>
      </c>
      <c r="P4715">
        <v>0.99616159999999998</v>
      </c>
      <c r="Q4715">
        <v>2.4164379999999999E-2</v>
      </c>
      <c r="R4715">
        <v>8.4133730000000004E-2</v>
      </c>
      <c r="S4715">
        <v>3.1025700000000001</v>
      </c>
      <c r="T4715">
        <v>-0.80786029999999998</v>
      </c>
      <c r="U4715">
        <v>-0.84896849999999902</v>
      </c>
      <c r="V4715">
        <v>-0.17411379999999901</v>
      </c>
      <c r="W4715">
        <v>3.6846230000000001E-2</v>
      </c>
      <c r="X4715">
        <v>0.98403600000000002</v>
      </c>
      <c r="Y4715">
        <v>0.1728982</v>
      </c>
      <c r="Z4715">
        <v>9.567849E-4</v>
      </c>
      <c r="AA4715">
        <v>0.98493920000000001</v>
      </c>
      <c r="AB4715">
        <v>22</v>
      </c>
      <c r="AC4715">
        <v>0.57679999999999099</v>
      </c>
      <c r="AD4715">
        <v>-0.187664199999999</v>
      </c>
      <c r="AE4715">
        <v>-0.184969999999999</v>
      </c>
      <c r="AF4715">
        <v>0.120387020023418</v>
      </c>
      <c r="AG4715">
        <v>-0.187664199999999</v>
      </c>
      <c r="AH4715">
        <v>0.539412865491944</v>
      </c>
      <c r="AI4715">
        <v>108.75496037863</v>
      </c>
      <c r="AJ4715">
        <v>77.418822034285796</v>
      </c>
      <c r="AK4715">
        <v>0.58367553144704398</v>
      </c>
    </row>
    <row r="4716" spans="1:37" x14ac:dyDescent="0.2">
      <c r="A4716" t="str">
        <f>"20200111153527662"</f>
        <v>20200111153527662</v>
      </c>
      <c r="B4716" t="str">
        <f>"1578728127650567"</f>
        <v>1578728127650567</v>
      </c>
      <c r="C4716" t="s">
        <v>37</v>
      </c>
      <c r="D4716">
        <v>4.8764880000000002</v>
      </c>
      <c r="E4716">
        <v>0.64058850000000001</v>
      </c>
      <c r="F4716" t="s">
        <v>40</v>
      </c>
      <c r="G4716">
        <v>-382.1619</v>
      </c>
      <c r="H4716">
        <v>0.90370229999999996</v>
      </c>
      <c r="I4716">
        <v>18.01933</v>
      </c>
      <c r="J4716">
        <v>-382.77569999999997</v>
      </c>
      <c r="K4716">
        <v>1.105575</v>
      </c>
      <c r="L4716">
        <v>18.223020000000002</v>
      </c>
      <c r="M4716">
        <v>0.99586859999999999</v>
      </c>
      <c r="N4716">
        <v>0</v>
      </c>
      <c r="O4716">
        <v>-8.9851199999999895E-2</v>
      </c>
      <c r="P4716">
        <v>0.99614590000000003</v>
      </c>
      <c r="Q4716">
        <v>2.4405679999999999E-2</v>
      </c>
      <c r="R4716">
        <v>8.4248809999999993E-2</v>
      </c>
      <c r="S4716">
        <v>3.1053160000000002</v>
      </c>
      <c r="T4716">
        <v>-0.81709370000000003</v>
      </c>
      <c r="U4716">
        <v>-0.87554929999999997</v>
      </c>
      <c r="V4716">
        <v>-0.17347789999999999</v>
      </c>
      <c r="W4716">
        <v>3.7075909999999997E-2</v>
      </c>
      <c r="X4716">
        <v>0.9841396</v>
      </c>
      <c r="Y4716">
        <v>0.1809241</v>
      </c>
      <c r="Z4716">
        <v>-2.4604610000000002E-4</v>
      </c>
      <c r="AA4716">
        <v>0.98349699999999995</v>
      </c>
      <c r="AB4716">
        <v>22</v>
      </c>
      <c r="AC4716">
        <v>0.61379999999996904</v>
      </c>
      <c r="AD4716">
        <v>-0.20187269999999899</v>
      </c>
      <c r="AE4716">
        <v>-0.20369000000000101</v>
      </c>
      <c r="AF4716">
        <v>0.13459576986779101</v>
      </c>
      <c r="AG4716">
        <v>-0.20187269999999899</v>
      </c>
      <c r="AH4716">
        <v>0.57371814025544399</v>
      </c>
      <c r="AI4716">
        <v>108.90974167850899</v>
      </c>
      <c r="AJ4716">
        <v>76.7970281938113</v>
      </c>
      <c r="AK4716">
        <v>0.62291340708782195</v>
      </c>
    </row>
    <row r="4717" spans="1:37" x14ac:dyDescent="0.2">
      <c r="A4717" t="str">
        <f>"20200111153527675"</f>
        <v>20200111153527675</v>
      </c>
      <c r="B4717" t="str">
        <f>"1578728127671063"</f>
        <v>1578728127671063</v>
      </c>
      <c r="C4717" t="s">
        <v>37</v>
      </c>
      <c r="D4717">
        <v>4.8789319999999998</v>
      </c>
      <c r="E4717">
        <v>0.6402854</v>
      </c>
      <c r="F4717" t="s">
        <v>40</v>
      </c>
      <c r="G4717">
        <v>-381.9692</v>
      </c>
      <c r="H4717">
        <v>0.89349529999999999</v>
      </c>
      <c r="I4717">
        <v>17.9955</v>
      </c>
      <c r="J4717">
        <v>-382.63699999999898</v>
      </c>
      <c r="K4717">
        <v>1.10555</v>
      </c>
      <c r="L4717">
        <v>18.211300000000001</v>
      </c>
      <c r="M4717">
        <v>0.99592860000000005</v>
      </c>
      <c r="N4717">
        <v>0</v>
      </c>
      <c r="O4717">
        <v>-8.9188729999999994E-2</v>
      </c>
      <c r="P4717">
        <v>0.99612639999999997</v>
      </c>
      <c r="Q4717">
        <v>2.4447960000000001E-2</v>
      </c>
      <c r="R4717">
        <v>8.4468070000000006E-2</v>
      </c>
      <c r="S4717">
        <v>3.10562099999999</v>
      </c>
      <c r="T4717">
        <v>-0.81664729999999996</v>
      </c>
      <c r="U4717">
        <v>-0.87542719999999896</v>
      </c>
      <c r="V4717">
        <v>-0.1730381</v>
      </c>
      <c r="W4717">
        <v>3.7095450000000002E-2</v>
      </c>
      <c r="X4717">
        <v>0.98421630000000004</v>
      </c>
      <c r="Y4717">
        <v>0.18148220000000001</v>
      </c>
      <c r="Z4717">
        <v>-4.8337500000000003E-4</v>
      </c>
      <c r="AA4717">
        <v>0.98339409999999905</v>
      </c>
      <c r="AB4717">
        <v>22</v>
      </c>
      <c r="AC4717">
        <v>0.667799999999942</v>
      </c>
      <c r="AD4717">
        <v>-0.21205470000000001</v>
      </c>
      <c r="AE4717">
        <v>-0.21580000000000099</v>
      </c>
      <c r="AF4717">
        <v>0.142375722191497</v>
      </c>
      <c r="AG4717">
        <v>-0.21205470000000001</v>
      </c>
      <c r="AH4717">
        <v>0.62713036625462704</v>
      </c>
      <c r="AI4717">
        <v>108.249660972764</v>
      </c>
      <c r="AJ4717">
        <v>77.209105196058502</v>
      </c>
      <c r="AK4717">
        <v>0.67714883027315598</v>
      </c>
    </row>
    <row r="4718" spans="1:37" x14ac:dyDescent="0.2">
      <c r="A4718" t="str">
        <f>"20200111153527689"</f>
        <v>20200111153527689</v>
      </c>
      <c r="B4718" t="str">
        <f>"1578728127680823"</f>
        <v>1578728127680823</v>
      </c>
      <c r="C4718" t="s">
        <v>37</v>
      </c>
      <c r="D4718">
        <v>4.8933330000000002</v>
      </c>
      <c r="E4718">
        <v>0.64002360000000003</v>
      </c>
      <c r="F4718" t="s">
        <v>40</v>
      </c>
      <c r="G4718">
        <v>-381.95409999999998</v>
      </c>
      <c r="H4718">
        <v>0.92607059999999997</v>
      </c>
      <c r="I4718">
        <v>18.019410000000001</v>
      </c>
      <c r="J4718">
        <v>-382.50310000000002</v>
      </c>
      <c r="K4718">
        <v>1.105523</v>
      </c>
      <c r="L4718">
        <v>18.200039999999898</v>
      </c>
      <c r="M4718">
        <v>0.9959846</v>
      </c>
      <c r="N4718">
        <v>0</v>
      </c>
      <c r="O4718">
        <v>-8.8566270000000002E-2</v>
      </c>
      <c r="P4718">
        <v>0.9961198</v>
      </c>
      <c r="Q4718">
        <v>2.4244539999999998E-2</v>
      </c>
      <c r="R4718">
        <v>8.4603559999999994E-2</v>
      </c>
      <c r="S4718">
        <v>3.1056520000000001</v>
      </c>
      <c r="T4718">
        <v>-0.81615470000000001</v>
      </c>
      <c r="U4718">
        <v>-0.871826199999999</v>
      </c>
      <c r="V4718">
        <v>-0.17255519999999999</v>
      </c>
      <c r="W4718">
        <v>3.6862430000000002E-2</v>
      </c>
      <c r="X4718">
        <v>0.98430989999999996</v>
      </c>
      <c r="Y4718">
        <v>0.18103420000000001</v>
      </c>
      <c r="Z4718">
        <v>-5.825963E-4</v>
      </c>
      <c r="AA4718">
        <v>0.98347659999999903</v>
      </c>
      <c r="AB4718">
        <v>22</v>
      </c>
      <c r="AC4718">
        <v>0.54900000000003402</v>
      </c>
      <c r="AD4718">
        <v>-0.17945240000000001</v>
      </c>
      <c r="AE4718">
        <v>-0.18062999999999699</v>
      </c>
      <c r="AF4718">
        <v>0.119748268637994</v>
      </c>
      <c r="AG4718">
        <v>-0.17945240000000001</v>
      </c>
      <c r="AH4718">
        <v>0.51334999615284105</v>
      </c>
      <c r="AI4718">
        <v>108.80020646</v>
      </c>
      <c r="AJ4718">
        <v>76.869512786071098</v>
      </c>
      <c r="AK4718">
        <v>0.55684021968395903</v>
      </c>
    </row>
    <row r="4719" spans="1:37" x14ac:dyDescent="0.2">
      <c r="A4719" t="str">
        <f>"20200111153527706"</f>
        <v>20200111153527706</v>
      </c>
      <c r="B4719" t="str">
        <f>"1578728127700343"</f>
        <v>1578728127700343</v>
      </c>
      <c r="C4719" t="s">
        <v>37</v>
      </c>
      <c r="D4719">
        <v>4.8586039999999997</v>
      </c>
      <c r="E4719">
        <v>0.63937759999999999</v>
      </c>
      <c r="F4719" t="s">
        <v>40</v>
      </c>
      <c r="G4719">
        <v>-381.76369999999997</v>
      </c>
      <c r="H4719">
        <v>0.91062199999999904</v>
      </c>
      <c r="I4719">
        <v>17.993220000000001</v>
      </c>
      <c r="J4719">
        <v>-382.34550000000002</v>
      </c>
      <c r="K4719">
        <v>1.10548</v>
      </c>
      <c r="L4719">
        <v>18.186889999999998</v>
      </c>
      <c r="M4719">
        <v>0.99604859999999995</v>
      </c>
      <c r="N4719">
        <v>0</v>
      </c>
      <c r="O4719">
        <v>-8.785184E-2</v>
      </c>
      <c r="P4719">
        <v>0.99617670000000003</v>
      </c>
      <c r="Q4719">
        <v>2.3684440000000001E-2</v>
      </c>
      <c r="R4719">
        <v>8.409026E-2</v>
      </c>
      <c r="S4719">
        <v>3.1054379999999999</v>
      </c>
      <c r="T4719">
        <v>-0.81863450000000004</v>
      </c>
      <c r="U4719">
        <v>-0.86877439999999995</v>
      </c>
      <c r="V4719">
        <v>-0.17133989999999999</v>
      </c>
      <c r="W4719">
        <v>3.6256780000000002E-2</v>
      </c>
      <c r="X4719">
        <v>0.98454459999999999</v>
      </c>
      <c r="Y4719">
        <v>0.18082599999999999</v>
      </c>
      <c r="Z4719">
        <v>-7.3796880000000003E-4</v>
      </c>
      <c r="AA4719">
        <v>0.98351480000000002</v>
      </c>
      <c r="AB4719">
        <v>22</v>
      </c>
      <c r="AC4719">
        <v>0.58180000000004295</v>
      </c>
      <c r="AD4719">
        <v>-0.194858</v>
      </c>
      <c r="AE4719">
        <v>-0.19366999999999701</v>
      </c>
      <c r="AF4719">
        <v>0.128798080423667</v>
      </c>
      <c r="AG4719">
        <v>-0.194858</v>
      </c>
      <c r="AH4719">
        <v>0.54184821939860295</v>
      </c>
      <c r="AI4719">
        <v>109.28335823414101</v>
      </c>
      <c r="AJ4719">
        <v>76.628858809945598</v>
      </c>
      <c r="AK4719">
        <v>0.59004921705757596</v>
      </c>
    </row>
    <row r="4720" spans="1:37" x14ac:dyDescent="0.2">
      <c r="A4720" t="str">
        <f>"20200111153527720"</f>
        <v>20200111153527720</v>
      </c>
      <c r="B4720" t="str">
        <f>"1578728127711079"</f>
        <v>1578728127711079</v>
      </c>
      <c r="C4720" t="s">
        <v>37</v>
      </c>
      <c r="D4720">
        <v>4.817272</v>
      </c>
      <c r="E4720">
        <v>0.63906850000000004</v>
      </c>
      <c r="F4720" t="s">
        <v>40</v>
      </c>
      <c r="G4720">
        <v>-381.57089999999999</v>
      </c>
      <c r="H4720">
        <v>0.90038680000000004</v>
      </c>
      <c r="I4720">
        <v>17.9712</v>
      </c>
      <c r="J4720">
        <v>-382.19720000000001</v>
      </c>
      <c r="K4720">
        <v>1.105445</v>
      </c>
      <c r="L4720">
        <v>18.174589999999998</v>
      </c>
      <c r="M4720">
        <v>0.99610689999999902</v>
      </c>
      <c r="N4720">
        <v>0</v>
      </c>
      <c r="O4720">
        <v>-8.7199559999999995E-2</v>
      </c>
      <c r="P4720">
        <v>0.99618629999999997</v>
      </c>
      <c r="Q4720">
        <v>2.3327319999999999E-2</v>
      </c>
      <c r="R4720">
        <v>8.4075570000000002E-2</v>
      </c>
      <c r="S4720">
        <v>3.104034</v>
      </c>
      <c r="T4720">
        <v>-0.82192209999999999</v>
      </c>
      <c r="U4720">
        <v>-0.86437989999999998</v>
      </c>
      <c r="V4720">
        <v>-0.17067860000000001</v>
      </c>
      <c r="W4720">
        <v>3.583886E-2</v>
      </c>
      <c r="X4720">
        <v>0.98467479999999996</v>
      </c>
      <c r="Y4720">
        <v>0.18026329999999999</v>
      </c>
      <c r="Z4720">
        <v>-8.3438869999999995E-4</v>
      </c>
      <c r="AA4720">
        <v>0.98361799999999999</v>
      </c>
      <c r="AB4720">
        <v>22</v>
      </c>
      <c r="AC4720">
        <v>0.62630000000001396</v>
      </c>
      <c r="AD4720">
        <v>-0.2050582</v>
      </c>
      <c r="AE4720">
        <v>-0.20338999999999799</v>
      </c>
      <c r="AF4720">
        <v>0.13491455917724199</v>
      </c>
      <c r="AG4720">
        <v>-0.2050582</v>
      </c>
      <c r="AH4720">
        <v>0.58492925328267698</v>
      </c>
      <c r="AI4720">
        <v>108.860188405044</v>
      </c>
      <c r="AJ4720">
        <v>77.011811082646801</v>
      </c>
      <c r="AK4720">
        <v>0.634344571200116</v>
      </c>
    </row>
    <row r="4721" spans="1:37" x14ac:dyDescent="0.2">
      <c r="A4721" t="str">
        <f>"20200111153527732"</f>
        <v>20200111153527732</v>
      </c>
      <c r="B4721" t="str">
        <f>"1578728127720839"</f>
        <v>1578728127720839</v>
      </c>
      <c r="C4721" t="s">
        <v>37</v>
      </c>
      <c r="D4721">
        <v>4.8358939999999997</v>
      </c>
      <c r="E4721">
        <v>0.63896609999999998</v>
      </c>
      <c r="F4721" t="s">
        <v>40</v>
      </c>
      <c r="G4721">
        <v>-381.37900000000002</v>
      </c>
      <c r="H4721">
        <v>0.88817179999999996</v>
      </c>
      <c r="I4721">
        <v>17.947039999999902</v>
      </c>
      <c r="J4721">
        <v>-382.07569999999998</v>
      </c>
      <c r="K4721">
        <v>1.1054170000000001</v>
      </c>
      <c r="L4721">
        <v>18.164579999999901</v>
      </c>
      <c r="M4721">
        <v>0.99615290000000001</v>
      </c>
      <c r="N4721">
        <v>0</v>
      </c>
      <c r="O4721">
        <v>-8.6682800000000004E-2</v>
      </c>
      <c r="P4721">
        <v>0.99621299999999902</v>
      </c>
      <c r="Q4721">
        <v>2.307992E-2</v>
      </c>
      <c r="R4721">
        <v>8.3826739999999997E-2</v>
      </c>
      <c r="S4721">
        <v>3.103485</v>
      </c>
      <c r="T4721">
        <v>-0.82420119999999897</v>
      </c>
      <c r="U4721">
        <v>-0.86151119999999903</v>
      </c>
      <c r="V4721">
        <v>-0.16991979999999901</v>
      </c>
      <c r="W4721">
        <v>3.5530539999999999E-2</v>
      </c>
      <c r="X4721">
        <v>0.9848171</v>
      </c>
      <c r="Y4721">
        <v>0.17994969999999999</v>
      </c>
      <c r="Z4721">
        <v>-9.2785619999999997E-4</v>
      </c>
      <c r="AA4721">
        <v>0.98367539999999998</v>
      </c>
      <c r="AB4721">
        <v>22</v>
      </c>
      <c r="AC4721">
        <v>0.69669999999996401</v>
      </c>
      <c r="AD4721">
        <v>-0.2172452</v>
      </c>
      <c r="AE4721">
        <v>-0.21753999999999901</v>
      </c>
      <c r="AF4721">
        <v>0.143601826215351</v>
      </c>
      <c r="AG4721">
        <v>-0.2172452</v>
      </c>
      <c r="AH4721">
        <v>0.65491403969561901</v>
      </c>
      <c r="AI4721">
        <v>107.953251316562</v>
      </c>
      <c r="AJ4721">
        <v>77.632580682253604</v>
      </c>
      <c r="AK4721">
        <v>0.70479029562406603</v>
      </c>
    </row>
    <row r="4722" spans="1:37" x14ac:dyDescent="0.2">
      <c r="A4722" t="str">
        <f>"20200111153527752"</f>
        <v>20200111153527752</v>
      </c>
      <c r="B4722" t="str">
        <f>"1578728127740359"</f>
        <v>1578728127740359</v>
      </c>
      <c r="C4722" t="s">
        <v>37</v>
      </c>
      <c r="D4722">
        <v>4.8557889999999997</v>
      </c>
      <c r="E4722">
        <v>0.63859129999999997</v>
      </c>
      <c r="F4722" t="s">
        <v>40</v>
      </c>
      <c r="G4722">
        <v>-381.36579999999998</v>
      </c>
      <c r="H4722">
        <v>0.91677140000000001</v>
      </c>
      <c r="I4722">
        <v>17.96715</v>
      </c>
      <c r="J4722">
        <v>-381.89370000000002</v>
      </c>
      <c r="K4722">
        <v>1.1053679999999999</v>
      </c>
      <c r="L4722">
        <v>18.149660000000001</v>
      </c>
      <c r="M4722">
        <v>0.99621990000000005</v>
      </c>
      <c r="N4722">
        <v>0</v>
      </c>
      <c r="O4722">
        <v>-8.5924689999999998E-2</v>
      </c>
      <c r="P4722">
        <v>0.99633590000000005</v>
      </c>
      <c r="Q4722">
        <v>2.3447619999999999E-2</v>
      </c>
      <c r="R4722">
        <v>8.2248909999999995E-2</v>
      </c>
      <c r="S4722">
        <v>3.1029360000000001</v>
      </c>
      <c r="T4722">
        <v>-0.82468299999999894</v>
      </c>
      <c r="U4722">
        <v>-0.86108399999999996</v>
      </c>
      <c r="V4722">
        <v>-0.16760629999999899</v>
      </c>
      <c r="W4722">
        <v>3.5811219999999998E-2</v>
      </c>
      <c r="X4722">
        <v>0.98520339999999995</v>
      </c>
      <c r="Y4722">
        <v>0.18056820000000001</v>
      </c>
      <c r="Z4722">
        <v>-1.200829E-3</v>
      </c>
      <c r="AA4722">
        <v>0.98356180000000004</v>
      </c>
      <c r="AB4722">
        <v>22</v>
      </c>
      <c r="AC4722">
        <v>0.527900000000045</v>
      </c>
      <c r="AD4722">
        <v>-0.1885966</v>
      </c>
      <c r="AE4722">
        <v>-0.18251000000000001</v>
      </c>
      <c r="AF4722">
        <v>0.12250518313341099</v>
      </c>
      <c r="AG4722">
        <v>-0.1885966</v>
      </c>
      <c r="AH4722">
        <v>0.48620069488812301</v>
      </c>
      <c r="AI4722">
        <v>110.61341336189</v>
      </c>
      <c r="AJ4722">
        <v>75.857883682208296</v>
      </c>
      <c r="AK4722">
        <v>0.53569330137290805</v>
      </c>
    </row>
    <row r="4723" spans="1:37" x14ac:dyDescent="0.2">
      <c r="A4723" t="str">
        <f>"20200111153527765"</f>
        <v>20200111153527765</v>
      </c>
      <c r="B4723" t="str">
        <f>"1578728127760855"</f>
        <v>1578728127760855</v>
      </c>
      <c r="C4723" t="s">
        <v>37</v>
      </c>
      <c r="D4723">
        <v>4.7827159999999997</v>
      </c>
      <c r="E4723">
        <v>0.638374</v>
      </c>
      <c r="F4723" t="s">
        <v>40</v>
      </c>
      <c r="G4723">
        <v>-381.16980000000001</v>
      </c>
      <c r="H4723">
        <v>0.91333069999999905</v>
      </c>
      <c r="I4723">
        <v>17.948399999999999</v>
      </c>
      <c r="J4723">
        <v>-381.75229999999999</v>
      </c>
      <c r="K4723">
        <v>1.105334</v>
      </c>
      <c r="L4723">
        <v>18.138120000000001</v>
      </c>
      <c r="M4723">
        <v>0.9962704</v>
      </c>
      <c r="N4723">
        <v>0</v>
      </c>
      <c r="O4723">
        <v>-8.5350419999999996E-2</v>
      </c>
      <c r="P4723">
        <v>0.99639149999999999</v>
      </c>
      <c r="Q4723">
        <v>2.304759E-2</v>
      </c>
      <c r="R4723">
        <v>8.1688060000000007E-2</v>
      </c>
      <c r="S4723">
        <v>3.1015009999999998</v>
      </c>
      <c r="T4723">
        <v>-0.82283799999999996</v>
      </c>
      <c r="U4723">
        <v>-0.8616028</v>
      </c>
      <c r="V4723">
        <v>-0.16648199999999999</v>
      </c>
      <c r="W4723">
        <v>3.5341360000000002E-2</v>
      </c>
      <c r="X4723">
        <v>0.98541089999999998</v>
      </c>
      <c r="Y4723">
        <v>0.1813717</v>
      </c>
      <c r="Z4723">
        <v>-1.4475989999999999E-3</v>
      </c>
      <c r="AA4723">
        <v>0.9834136</v>
      </c>
      <c r="AB4723">
        <v>22</v>
      </c>
      <c r="AC4723">
        <v>0.58249999999998103</v>
      </c>
      <c r="AD4723">
        <v>-0.19200329999999999</v>
      </c>
      <c r="AE4723">
        <v>-0.189720000000001</v>
      </c>
      <c r="AF4723">
        <v>0.12684696054028599</v>
      </c>
      <c r="AG4723">
        <v>-0.19200329999999999</v>
      </c>
      <c r="AH4723">
        <v>0.543209289982584</v>
      </c>
      <c r="AI4723">
        <v>108.993520721279</v>
      </c>
      <c r="AJ4723">
        <v>76.856162487890501</v>
      </c>
      <c r="AK4723">
        <v>0.58994215931104799</v>
      </c>
    </row>
    <row r="4724" spans="1:37" x14ac:dyDescent="0.2">
      <c r="A4724" t="str">
        <f>"20200111153527780"</f>
        <v>20200111153527780</v>
      </c>
      <c r="B4724" t="str">
        <f>"1578728127770615"</f>
        <v>1578728127770615</v>
      </c>
      <c r="C4724" t="s">
        <v>37</v>
      </c>
      <c r="D4724">
        <v>4.8050620000000004</v>
      </c>
      <c r="E4724">
        <v>0.63826359999999904</v>
      </c>
      <c r="F4724" t="s">
        <v>40</v>
      </c>
      <c r="G4724">
        <v>-380.97820000000002</v>
      </c>
      <c r="H4724">
        <v>0.90010540000000006</v>
      </c>
      <c r="I4724">
        <v>17.922729999999898</v>
      </c>
      <c r="J4724">
        <v>-381.61009999999999</v>
      </c>
      <c r="K4724">
        <v>1.1053029999999999</v>
      </c>
      <c r="L4724">
        <v>18.12659</v>
      </c>
      <c r="M4724">
        <v>0.99631979999999998</v>
      </c>
      <c r="N4724">
        <v>0</v>
      </c>
      <c r="O4724">
        <v>-8.4785189999999996E-2</v>
      </c>
      <c r="P4724">
        <v>0.99642209999999998</v>
      </c>
      <c r="Q4724">
        <v>2.2588099999999899E-2</v>
      </c>
      <c r="R4724">
        <v>8.1444929999999999E-2</v>
      </c>
      <c r="S4724">
        <v>3.1004640000000001</v>
      </c>
      <c r="T4724">
        <v>-0.82193680000000002</v>
      </c>
      <c r="U4724">
        <v>-0.86114500000000005</v>
      </c>
      <c r="V4724">
        <v>-0.16568099999999999</v>
      </c>
      <c r="W4724">
        <v>3.4809529999999998E-2</v>
      </c>
      <c r="X4724">
        <v>0.98556480000000002</v>
      </c>
      <c r="Y4724">
        <v>0.1818507</v>
      </c>
      <c r="Z4724">
        <v>-1.6513470000000001E-3</v>
      </c>
      <c r="AA4724">
        <v>0.9833248</v>
      </c>
      <c r="AB4724">
        <v>22</v>
      </c>
      <c r="AC4724">
        <v>0.63189999999997304</v>
      </c>
      <c r="AD4724">
        <v>-0.20519760000000001</v>
      </c>
      <c r="AE4724">
        <v>-0.20386000000000201</v>
      </c>
      <c r="AF4724">
        <v>0.13650799943618599</v>
      </c>
      <c r="AG4724">
        <v>-0.20519760000000001</v>
      </c>
      <c r="AH4724">
        <v>0.59051054351926702</v>
      </c>
      <c r="AI4724">
        <v>108.70421307871599</v>
      </c>
      <c r="AJ4724">
        <v>76.983613499030795</v>
      </c>
      <c r="AK4724">
        <v>0.63987748121280996</v>
      </c>
    </row>
    <row r="4725" spans="1:37" x14ac:dyDescent="0.2">
      <c r="A4725" t="str">
        <f>"20200111153527794"</f>
        <v>20200111153527794</v>
      </c>
      <c r="B4725" t="str">
        <f>"1578728127791111"</f>
        <v>1578728127791111</v>
      </c>
      <c r="C4725" t="s">
        <v>37</v>
      </c>
      <c r="D4725">
        <v>4.7832339999999904</v>
      </c>
      <c r="E4725">
        <v>0.6378838</v>
      </c>
      <c r="F4725" t="s">
        <v>40</v>
      </c>
      <c r="G4725">
        <v>-380.78640000000001</v>
      </c>
      <c r="H4725">
        <v>0.88681589999999999</v>
      </c>
      <c r="I4725">
        <v>17.897639999999999</v>
      </c>
      <c r="J4725">
        <v>-381.4633</v>
      </c>
      <c r="K4725">
        <v>1.105275</v>
      </c>
      <c r="L4725">
        <v>18.114750000000001</v>
      </c>
      <c r="M4725">
        <v>0.99636849999999999</v>
      </c>
      <c r="N4725">
        <v>0</v>
      </c>
      <c r="O4725">
        <v>-8.4222039999999998E-2</v>
      </c>
      <c r="P4725">
        <v>0.99650419999999995</v>
      </c>
      <c r="Q4725">
        <v>2.1515619999999999E-2</v>
      </c>
      <c r="R4725">
        <v>8.0724710000000005E-2</v>
      </c>
      <c r="S4725">
        <v>3.0997919999999999</v>
      </c>
      <c r="T4725">
        <v>-0.82230099999999995</v>
      </c>
      <c r="U4725">
        <v>-0.86099239999999999</v>
      </c>
      <c r="V4725">
        <v>-0.16441059999999999</v>
      </c>
      <c r="W4725">
        <v>3.3658180000000003E-2</v>
      </c>
      <c r="X4725">
        <v>0.98581759999999996</v>
      </c>
      <c r="Y4725">
        <v>0.18237729999999999</v>
      </c>
      <c r="Z4725">
        <v>-1.862926E-3</v>
      </c>
      <c r="AA4725">
        <v>0.98322679999999996</v>
      </c>
      <c r="AB4725">
        <v>22</v>
      </c>
      <c r="AC4725">
        <v>0.67689999999998895</v>
      </c>
      <c r="AD4725">
        <v>-0.21845909999999999</v>
      </c>
      <c r="AE4725">
        <v>-0.217110000000001</v>
      </c>
      <c r="AF4725">
        <v>0.14557568122919001</v>
      </c>
      <c r="AG4725">
        <v>-0.21845909999999999</v>
      </c>
      <c r="AH4725">
        <v>0.63299975962538102</v>
      </c>
      <c r="AI4725">
        <v>108.589717559101</v>
      </c>
      <c r="AJ4725">
        <v>77.048461682181696</v>
      </c>
      <c r="AK4725">
        <v>0.68527757370567899</v>
      </c>
    </row>
    <row r="4726" spans="1:37" x14ac:dyDescent="0.2">
      <c r="A4726" t="str">
        <f>"20200111153527807"</f>
        <v>20200111153527807</v>
      </c>
      <c r="B4726" t="str">
        <f>"1578728127800872"</f>
        <v>1578728127800872</v>
      </c>
      <c r="C4726" t="s">
        <v>37</v>
      </c>
      <c r="D4726">
        <v>4.7986800000000001</v>
      </c>
      <c r="E4726">
        <v>0.63773800000000003</v>
      </c>
      <c r="F4726" t="s">
        <v>40</v>
      </c>
      <c r="G4726">
        <v>-380.7706</v>
      </c>
      <c r="H4726">
        <v>0.92155909999999996</v>
      </c>
      <c r="I4726">
        <v>17.9221</v>
      </c>
      <c r="J4726">
        <v>-381.34019999999998</v>
      </c>
      <c r="K4726">
        <v>1.1052420000000001</v>
      </c>
      <c r="L4726">
        <v>18.104949999999999</v>
      </c>
      <c r="M4726">
        <v>0.99638629999999995</v>
      </c>
      <c r="N4726">
        <v>0</v>
      </c>
      <c r="O4726">
        <v>-8.4039520000000006E-2</v>
      </c>
      <c r="P4726">
        <v>0.99652940000000001</v>
      </c>
      <c r="Q4726">
        <v>2.1519139999999999E-2</v>
      </c>
      <c r="R4726">
        <v>8.0411839999999998E-2</v>
      </c>
      <c r="S4726">
        <v>3.0979919999999899</v>
      </c>
      <c r="T4726">
        <v>-0.82171090000000002</v>
      </c>
      <c r="U4726">
        <v>-0.86083980000000004</v>
      </c>
      <c r="V4726">
        <v>-0.16392039999999999</v>
      </c>
      <c r="W4726">
        <v>3.3468499999999998E-2</v>
      </c>
      <c r="X4726">
        <v>0.98590560000000005</v>
      </c>
      <c r="Y4726">
        <v>0.18264639999999999</v>
      </c>
      <c r="Z4726">
        <v>-1.943553E-3</v>
      </c>
      <c r="AA4726">
        <v>0.98317679999999996</v>
      </c>
      <c r="AB4726">
        <v>22</v>
      </c>
      <c r="AC4726">
        <v>0.56959999999997901</v>
      </c>
      <c r="AD4726">
        <v>-0.18368289999999901</v>
      </c>
      <c r="AE4726">
        <v>-0.18284999999999799</v>
      </c>
      <c r="AF4726">
        <v>0.12275741045329901</v>
      </c>
      <c r="AG4726">
        <v>-0.18368289999999901</v>
      </c>
      <c r="AH4726">
        <v>0.53272882716522896</v>
      </c>
      <c r="AI4726">
        <v>108.571899817836</v>
      </c>
      <c r="AJ4726">
        <v>77.023766141049194</v>
      </c>
      <c r="AK4726">
        <v>0.57672245739736006</v>
      </c>
    </row>
    <row r="4727" spans="1:37" x14ac:dyDescent="0.2">
      <c r="A4727" t="str">
        <f>"20200111153527819"</f>
        <v>20200111153527819</v>
      </c>
      <c r="B4727" t="str">
        <f>"1578728127810631"</f>
        <v>1578728127810631</v>
      </c>
      <c r="C4727" t="s">
        <v>37</v>
      </c>
      <c r="D4727">
        <v>4.7782549999999997</v>
      </c>
      <c r="E4727">
        <v>0.63766630000000002</v>
      </c>
      <c r="F4727" t="s">
        <v>40</v>
      </c>
      <c r="G4727">
        <v>-380.5795</v>
      </c>
      <c r="H4727">
        <v>0.90391679999999996</v>
      </c>
      <c r="I4727">
        <v>17.893270000000001</v>
      </c>
      <c r="J4727">
        <v>-381.21379999999999</v>
      </c>
      <c r="K4727">
        <v>1.1052010000000001</v>
      </c>
      <c r="L4727">
        <v>18.094909999999999</v>
      </c>
      <c r="M4727">
        <v>0.99639489999999997</v>
      </c>
      <c r="N4727">
        <v>0</v>
      </c>
      <c r="O4727">
        <v>-8.3972539999999998E-2</v>
      </c>
      <c r="P4727">
        <v>0.99657269999999898</v>
      </c>
      <c r="Q4727">
        <v>2.1763040000000001E-2</v>
      </c>
      <c r="R4727">
        <v>7.9808850000000001E-2</v>
      </c>
      <c r="S4727">
        <v>3.0976560000000002</v>
      </c>
      <c r="T4727">
        <v>-0.81992099999999901</v>
      </c>
      <c r="U4727">
        <v>-0.86090089999999997</v>
      </c>
      <c r="V4727">
        <v>-0.1632574</v>
      </c>
      <c r="W4727">
        <v>3.3482320000000003E-2</v>
      </c>
      <c r="X4727">
        <v>0.98601519999999998</v>
      </c>
      <c r="Y4727">
        <v>0.18276519999999999</v>
      </c>
      <c r="Z4727">
        <v>-1.9718779999999998E-3</v>
      </c>
      <c r="AA4727">
        <v>0.98315459999999999</v>
      </c>
      <c r="AB4727">
        <v>22</v>
      </c>
      <c r="AC4727">
        <v>0.63429999999999598</v>
      </c>
      <c r="AD4727">
        <v>-0.2012842</v>
      </c>
      <c r="AE4727">
        <v>-0.20164000000000101</v>
      </c>
      <c r="AF4727">
        <v>0.13528700998802201</v>
      </c>
      <c r="AG4727">
        <v>-0.2012842</v>
      </c>
      <c r="AH4727">
        <v>0.59461105498521705</v>
      </c>
      <c r="AI4727">
        <v>108.266940589935</v>
      </c>
      <c r="AJ4727">
        <v>77.182161799803595</v>
      </c>
      <c r="AK4727">
        <v>0.64216836651439901</v>
      </c>
    </row>
    <row r="4728" spans="1:37" x14ac:dyDescent="0.2">
      <c r="A4728" t="str">
        <f>"20200111153527832"</f>
        <v>20200111153527832</v>
      </c>
      <c r="B4728" t="str">
        <f>"1578728127820392"</f>
        <v>1578728127820392</v>
      </c>
      <c r="C4728" t="s">
        <v>37</v>
      </c>
      <c r="D4728">
        <v>4.7976510000000001</v>
      </c>
      <c r="E4728">
        <v>0.63763389999999998</v>
      </c>
      <c r="F4728" t="s">
        <v>40</v>
      </c>
      <c r="G4728">
        <v>-380.38920000000002</v>
      </c>
      <c r="H4728">
        <v>0.88731000000000004</v>
      </c>
      <c r="I4728">
        <v>17.865100000000002</v>
      </c>
      <c r="J4728">
        <v>-381.09050000000002</v>
      </c>
      <c r="K4728">
        <v>1.1051200000000001</v>
      </c>
      <c r="L4728">
        <v>18.085170000000002</v>
      </c>
      <c r="M4728">
        <v>0.99642369999999902</v>
      </c>
      <c r="N4728">
        <v>0</v>
      </c>
      <c r="O4728">
        <v>-8.3617529999999995E-2</v>
      </c>
      <c r="P4728">
        <v>0.99659940000000002</v>
      </c>
      <c r="Q4728">
        <v>2.184057E-2</v>
      </c>
      <c r="R4728">
        <v>7.9454230000000001E-2</v>
      </c>
      <c r="S4728">
        <v>3.0972900000000001</v>
      </c>
      <c r="T4728">
        <v>-0.81838809999999995</v>
      </c>
      <c r="U4728">
        <v>-0.86218259999999902</v>
      </c>
      <c r="V4728">
        <v>-0.16254769999999999</v>
      </c>
      <c r="W4728">
        <v>3.3686769999999998E-2</v>
      </c>
      <c r="X4728">
        <v>0.98612549999999899</v>
      </c>
      <c r="Y4728">
        <v>0.18349949999999901</v>
      </c>
      <c r="Z4728">
        <v>-2.1520179999999999E-3</v>
      </c>
      <c r="AA4728">
        <v>0.98301740000000004</v>
      </c>
      <c r="AB4728">
        <v>22</v>
      </c>
      <c r="AC4728">
        <v>0.70130000000000303</v>
      </c>
      <c r="AD4728">
        <v>-0.21781</v>
      </c>
      <c r="AE4728">
        <v>-0.22006999999999899</v>
      </c>
      <c r="AF4728">
        <v>0.14768519142581599</v>
      </c>
      <c r="AG4728">
        <v>-0.21781</v>
      </c>
      <c r="AH4728">
        <v>0.65934742011995795</v>
      </c>
      <c r="AI4728">
        <v>107.866957358223</v>
      </c>
      <c r="AJ4728">
        <v>77.374877276143906</v>
      </c>
      <c r="AK4728">
        <v>0.709923328455492</v>
      </c>
    </row>
    <row r="4729" spans="1:37" x14ac:dyDescent="0.2">
      <c r="A4729" t="str">
        <f>"20200111153527851"</f>
        <v>20200111153527851</v>
      </c>
      <c r="B4729" t="str">
        <f>"1578728127840890"</f>
        <v>1578728127840890</v>
      </c>
      <c r="C4729" t="s">
        <v>37</v>
      </c>
      <c r="D4729">
        <v>4.7730649999999999</v>
      </c>
      <c r="E4729">
        <v>0.63764359999999998</v>
      </c>
      <c r="F4729" t="s">
        <v>40</v>
      </c>
      <c r="G4729">
        <v>-380.37580000000003</v>
      </c>
      <c r="H4729">
        <v>0.91672929999999997</v>
      </c>
      <c r="I4729">
        <v>17.885750000000002</v>
      </c>
      <c r="J4729">
        <v>-380.90449999999998</v>
      </c>
      <c r="K4729">
        <v>1.104935</v>
      </c>
      <c r="L4729">
        <v>18.07047</v>
      </c>
      <c r="M4729">
        <v>0.99650219999999901</v>
      </c>
      <c r="N4729">
        <v>0</v>
      </c>
      <c r="O4729">
        <v>-8.2649009999999995E-2</v>
      </c>
      <c r="P4729">
        <v>0.99664660000000005</v>
      </c>
      <c r="Q4729">
        <v>2.1972680000000001E-2</v>
      </c>
      <c r="R4729">
        <v>7.8819310000000004E-2</v>
      </c>
      <c r="S4729">
        <v>3.096924</v>
      </c>
      <c r="T4729">
        <v>-0.81623140000000005</v>
      </c>
      <c r="U4729">
        <v>-0.86294559999999998</v>
      </c>
      <c r="V4729">
        <v>-0.1609447</v>
      </c>
      <c r="W4729">
        <v>3.4072779999999997E-2</v>
      </c>
      <c r="X4729">
        <v>0.98637509999999995</v>
      </c>
      <c r="Y4729">
        <v>0.18465770000000001</v>
      </c>
      <c r="Z4729">
        <v>-2.5386079999999999E-3</v>
      </c>
      <c r="AA4729">
        <v>0.982799599999999</v>
      </c>
      <c r="AB4729">
        <v>22</v>
      </c>
      <c r="AC4729">
        <v>0.52869999999995798</v>
      </c>
      <c r="AD4729">
        <v>-0.1882057</v>
      </c>
      <c r="AE4729">
        <v>-0.184719999999998</v>
      </c>
      <c r="AF4729">
        <v>0.12614223937000299</v>
      </c>
      <c r="AG4729">
        <v>-0.1882057</v>
      </c>
      <c r="AH4729">
        <v>0.48714362079187101</v>
      </c>
      <c r="AI4729">
        <v>110.50629485685501</v>
      </c>
      <c r="AJ4729">
        <v>75.482546368391596</v>
      </c>
      <c r="AK4729">
        <v>0.537254276245414</v>
      </c>
    </row>
    <row r="4730" spans="1:37" x14ac:dyDescent="0.2">
      <c r="A4730" t="str">
        <f>"20200111153527865"</f>
        <v>20200111153527865</v>
      </c>
      <c r="B4730" t="str">
        <f>"1578728127860407"</f>
        <v>1578728127860407</v>
      </c>
      <c r="C4730" t="s">
        <v>37</v>
      </c>
      <c r="D4730">
        <v>4.7827109999999999</v>
      </c>
      <c r="E4730">
        <v>0.63765479999999997</v>
      </c>
      <c r="F4730" t="s">
        <v>40</v>
      </c>
      <c r="G4730">
        <v>-380.17950000000002</v>
      </c>
      <c r="H4730">
        <v>0.91437420000000003</v>
      </c>
      <c r="I4730">
        <v>17.867719999999998</v>
      </c>
      <c r="J4730">
        <v>-380.77030000000002</v>
      </c>
      <c r="K4730">
        <v>1.104787</v>
      </c>
      <c r="L4730">
        <v>18.059809999999999</v>
      </c>
      <c r="M4730">
        <v>0.99657419999999997</v>
      </c>
      <c r="N4730">
        <v>0</v>
      </c>
      <c r="O4730">
        <v>-8.1772570000000003E-2</v>
      </c>
      <c r="P4730">
        <v>0.99665720000000002</v>
      </c>
      <c r="Q4730">
        <v>2.174775E-2</v>
      </c>
      <c r="R4730">
        <v>7.8750769999999998E-2</v>
      </c>
      <c r="S4730">
        <v>3.0964360000000002</v>
      </c>
      <c r="T4730">
        <v>-0.8138012</v>
      </c>
      <c r="U4730">
        <v>-0.86529539999999905</v>
      </c>
      <c r="V4730">
        <v>-0.15999910000000001</v>
      </c>
      <c r="W4730">
        <v>3.3933629999999999E-2</v>
      </c>
      <c r="X4730">
        <v>0.98653380000000002</v>
      </c>
      <c r="Y4730">
        <v>0.18619630000000001</v>
      </c>
      <c r="Z4730">
        <v>-2.9474779999999999E-3</v>
      </c>
      <c r="AA4730">
        <v>0.9825081</v>
      </c>
      <c r="AB4730">
        <v>22</v>
      </c>
      <c r="AC4730">
        <v>0.59080000000000099</v>
      </c>
      <c r="AD4730">
        <v>-0.19041279999999999</v>
      </c>
      <c r="AE4730">
        <v>-0.19208999999999599</v>
      </c>
      <c r="AF4730">
        <v>0.13084003065599001</v>
      </c>
      <c r="AG4730">
        <v>-0.19041279999999999</v>
      </c>
      <c r="AH4730">
        <v>0.55261515455669796</v>
      </c>
      <c r="AI4730">
        <v>108.536141819029</v>
      </c>
      <c r="AJ4730">
        <v>76.679641795952307</v>
      </c>
      <c r="AK4730">
        <v>0.59896548904892999</v>
      </c>
    </row>
    <row r="4731" spans="1:37" x14ac:dyDescent="0.2">
      <c r="A4731" t="str">
        <f>"20200111153527877"</f>
        <v>20200111153527877</v>
      </c>
      <c r="B4731" t="str">
        <f>"1578728127870167"</f>
        <v>1578728127870167</v>
      </c>
      <c r="C4731" t="s">
        <v>37</v>
      </c>
      <c r="D4731">
        <v>4.7829410000000001</v>
      </c>
      <c r="E4731">
        <v>0.63760869999999903</v>
      </c>
      <c r="F4731" t="s">
        <v>40</v>
      </c>
      <c r="G4731">
        <v>-379.98790000000002</v>
      </c>
      <c r="H4731">
        <v>0.89968590000000004</v>
      </c>
      <c r="I4731">
        <v>17.840969999999999</v>
      </c>
      <c r="J4731">
        <v>-380.64319999999998</v>
      </c>
      <c r="K4731">
        <v>1.104652</v>
      </c>
      <c r="L4731">
        <v>18.049710000000001</v>
      </c>
      <c r="M4731">
        <v>0.99664430000000004</v>
      </c>
      <c r="N4731">
        <v>0</v>
      </c>
      <c r="O4731">
        <v>-8.0927910000000006E-2</v>
      </c>
      <c r="P4731">
        <v>0.99665959999999998</v>
      </c>
      <c r="Q4731">
        <v>2.1556849999999999E-2</v>
      </c>
      <c r="R4731">
        <v>7.8771129999999995E-2</v>
      </c>
      <c r="S4731">
        <v>3.0961609999999999</v>
      </c>
      <c r="T4731">
        <v>-0.811521099999999</v>
      </c>
      <c r="U4731">
        <v>-0.86547850000000004</v>
      </c>
      <c r="V4731">
        <v>-0.15917770000000001</v>
      </c>
      <c r="W4731">
        <v>3.367581E-2</v>
      </c>
      <c r="X4731">
        <v>0.98667539999999998</v>
      </c>
      <c r="Y4731">
        <v>0.18706889999999901</v>
      </c>
      <c r="Z4731">
        <v>-3.2623090000000001E-3</v>
      </c>
      <c r="AA4731">
        <v>0.98234140000000003</v>
      </c>
      <c r="AB4731">
        <v>22</v>
      </c>
      <c r="AC4731">
        <v>0.65529999999995403</v>
      </c>
      <c r="AD4731">
        <v>-0.20496610000000001</v>
      </c>
      <c r="AE4731">
        <v>-0.20873999999999801</v>
      </c>
      <c r="AF4731">
        <v>0.14237351918468599</v>
      </c>
      <c r="AG4731">
        <v>-0.20496610000000001</v>
      </c>
      <c r="AH4731">
        <v>0.61538575230063497</v>
      </c>
      <c r="AI4731">
        <v>107.97814224473299</v>
      </c>
      <c r="AJ4731">
        <v>76.973438335764101</v>
      </c>
      <c r="AK4731">
        <v>0.66406396171518101</v>
      </c>
    </row>
    <row r="4732" spans="1:37" x14ac:dyDescent="0.2">
      <c r="A4732" t="str">
        <f>"20200111153527895"</f>
        <v>20200111153527895</v>
      </c>
      <c r="B4732" t="str">
        <f>"1578728127890663"</f>
        <v>1578728127890663</v>
      </c>
      <c r="C4732" t="s">
        <v>37</v>
      </c>
      <c r="D4732">
        <v>4.7245210000000002</v>
      </c>
      <c r="E4732">
        <v>0.63747769999999904</v>
      </c>
      <c r="F4732" t="s">
        <v>40</v>
      </c>
      <c r="G4732">
        <v>-379.97430000000003</v>
      </c>
      <c r="H4732">
        <v>0.92948259999999905</v>
      </c>
      <c r="I4732">
        <v>17.862690000000001</v>
      </c>
      <c r="J4732">
        <v>-380.46600000000001</v>
      </c>
      <c r="K4732">
        <v>1.1045940000000001</v>
      </c>
      <c r="L4732">
        <v>18.035799999999998</v>
      </c>
      <c r="M4732">
        <v>0.99670879999999995</v>
      </c>
      <c r="N4732">
        <v>0</v>
      </c>
      <c r="O4732">
        <v>-8.0165360000000005E-2</v>
      </c>
      <c r="P4732">
        <v>0.99670300000000001</v>
      </c>
      <c r="Q4732">
        <v>2.1201830000000001E-2</v>
      </c>
      <c r="R4732">
        <v>7.8319310000000003E-2</v>
      </c>
      <c r="S4732">
        <v>3.0960079999999999</v>
      </c>
      <c r="T4732">
        <v>-0.81076130000000002</v>
      </c>
      <c r="U4732">
        <v>-0.86508180000000001</v>
      </c>
      <c r="V4732">
        <v>-0.1579786</v>
      </c>
      <c r="W4732">
        <v>3.307914E-2</v>
      </c>
      <c r="X4732">
        <v>0.98688829999999905</v>
      </c>
      <c r="Y4732">
        <v>0.18767879999999901</v>
      </c>
      <c r="Z4732">
        <v>-3.5280730000000001E-3</v>
      </c>
      <c r="AA4732">
        <v>0.98222410000000004</v>
      </c>
      <c r="AB4732">
        <v>22</v>
      </c>
      <c r="AC4732">
        <v>0.49169999999997999</v>
      </c>
      <c r="AD4732">
        <v>-0.1751114</v>
      </c>
      <c r="AE4732">
        <v>-0.17310999999999699</v>
      </c>
      <c r="AF4732">
        <v>0.119632679701865</v>
      </c>
      <c r="AG4732">
        <v>-0.1751114</v>
      </c>
      <c r="AH4732">
        <v>0.45288946327926699</v>
      </c>
      <c r="AI4732">
        <v>110.497308783389</v>
      </c>
      <c r="AJ4732">
        <v>75.203060279732696</v>
      </c>
      <c r="AK4732">
        <v>0.50008483921430003</v>
      </c>
    </row>
    <row r="4733" spans="1:37" x14ac:dyDescent="0.2">
      <c r="A4733" t="str">
        <f>"20200111153527908"</f>
        <v>20200111153527908</v>
      </c>
      <c r="B4733" t="str">
        <f>"1578728127900423"</f>
        <v>1578728127900423</v>
      </c>
      <c r="C4733" t="s">
        <v>37</v>
      </c>
      <c r="D4733">
        <v>4.7424549999999996</v>
      </c>
      <c r="E4733">
        <v>0.63745869999999905</v>
      </c>
      <c r="F4733" t="s">
        <v>40</v>
      </c>
      <c r="G4733">
        <v>-379.7774</v>
      </c>
      <c r="H4733">
        <v>0.92469299999999999</v>
      </c>
      <c r="I4733">
        <v>17.842879999999901</v>
      </c>
      <c r="J4733">
        <v>-380.33699999999999</v>
      </c>
      <c r="K4733">
        <v>1.1046129999999901</v>
      </c>
      <c r="L4733">
        <v>18.025849999999998</v>
      </c>
      <c r="M4733">
        <v>0.99673529999999999</v>
      </c>
      <c r="N4733">
        <v>0</v>
      </c>
      <c r="O4733">
        <v>-7.9852119999999999E-2</v>
      </c>
      <c r="P4733">
        <v>0.99671849999999995</v>
      </c>
      <c r="Q4733">
        <v>2.1606E-2</v>
      </c>
      <c r="R4733">
        <v>7.8012049999999999E-2</v>
      </c>
      <c r="S4733">
        <v>3.095154</v>
      </c>
      <c r="T4733">
        <v>-0.80866979999999999</v>
      </c>
      <c r="U4733">
        <v>-0.86547850000000004</v>
      </c>
      <c r="V4733">
        <v>-0.1573687</v>
      </c>
      <c r="W4733">
        <v>3.334935E-2</v>
      </c>
      <c r="X4733">
        <v>0.98697659999999998</v>
      </c>
      <c r="Y4733">
        <v>0.1881651</v>
      </c>
      <c r="Z4733">
        <v>-3.6599620000000001E-3</v>
      </c>
      <c r="AA4733">
        <v>0.98213059999999996</v>
      </c>
      <c r="AB4733">
        <v>22</v>
      </c>
      <c r="AC4733">
        <v>0.559599999999989</v>
      </c>
      <c r="AD4733">
        <v>-0.179919999999999</v>
      </c>
      <c r="AE4733">
        <v>-0.18296999999999999</v>
      </c>
      <c r="AF4733">
        <v>0.12593624189185901</v>
      </c>
      <c r="AG4733">
        <v>-0.179919999999999</v>
      </c>
      <c r="AH4733">
        <v>0.523532549379637</v>
      </c>
      <c r="AI4733">
        <v>108.476226699996</v>
      </c>
      <c r="AJ4733">
        <v>76.474423637959305</v>
      </c>
      <c r="AK4733">
        <v>0.56773010637254995</v>
      </c>
    </row>
    <row r="4734" spans="1:37" x14ac:dyDescent="0.2">
      <c r="A4734" t="str">
        <f>"20200111153527920"</f>
        <v>20200111153527920</v>
      </c>
      <c r="B4734" t="str">
        <f>"1578728127910183"</f>
        <v>1578728127910183</v>
      </c>
      <c r="C4734" t="s">
        <v>37</v>
      </c>
      <c r="D4734">
        <v>4.726534</v>
      </c>
      <c r="E4734">
        <v>0.63753099999999996</v>
      </c>
      <c r="F4734" t="s">
        <v>40</v>
      </c>
      <c r="G4734">
        <v>-379.58550000000002</v>
      </c>
      <c r="H4734">
        <v>0.90882770000000002</v>
      </c>
      <c r="I4734">
        <v>17.81561</v>
      </c>
      <c r="J4734">
        <v>-380.21</v>
      </c>
      <c r="K4734">
        <v>1.104651</v>
      </c>
      <c r="L4734">
        <v>18.01605</v>
      </c>
      <c r="M4734">
        <v>0.99675329999999995</v>
      </c>
      <c r="N4734">
        <v>0</v>
      </c>
      <c r="O4734">
        <v>-7.9638319999999999E-2</v>
      </c>
      <c r="P4734">
        <v>0.99674850000000004</v>
      </c>
      <c r="Q4734">
        <v>2.19321E-2</v>
      </c>
      <c r="R4734">
        <v>7.7532770000000001E-2</v>
      </c>
      <c r="S4734">
        <v>3.095215</v>
      </c>
      <c r="T4734">
        <v>-0.80642060000000004</v>
      </c>
      <c r="U4734">
        <v>-0.86657709999999999</v>
      </c>
      <c r="V4734">
        <v>-0.15668650000000001</v>
      </c>
      <c r="W4734">
        <v>3.3570009999999997E-2</v>
      </c>
      <c r="X4734">
        <v>0.98707769999999995</v>
      </c>
      <c r="Y4734">
        <v>0.1886901</v>
      </c>
      <c r="Z4734">
        <v>-3.7693900000000001E-3</v>
      </c>
      <c r="AA4734">
        <v>0.98202939999999905</v>
      </c>
      <c r="AB4734">
        <v>22</v>
      </c>
      <c r="AC4734">
        <v>0.62449999999995398</v>
      </c>
      <c r="AD4734">
        <v>-0.19582330000000001</v>
      </c>
      <c r="AE4734">
        <v>-0.20044000000000001</v>
      </c>
      <c r="AF4734">
        <v>0.13778337256523801</v>
      </c>
      <c r="AG4734">
        <v>-0.19582330000000001</v>
      </c>
      <c r="AH4734">
        <v>0.58622297071222096</v>
      </c>
      <c r="AI4734">
        <v>108.013555419138</v>
      </c>
      <c r="AJ4734">
        <v>76.773506125388096</v>
      </c>
      <c r="AK4734">
        <v>0.63323644396781498</v>
      </c>
    </row>
    <row r="4735" spans="1:37" x14ac:dyDescent="0.2">
      <c r="A4735" t="str">
        <f>"20200111153527934"</f>
        <v>20200111153527934</v>
      </c>
      <c r="B4735" t="str">
        <f>"1578728127920919"</f>
        <v>1578728127920919</v>
      </c>
      <c r="C4735" t="s">
        <v>37</v>
      </c>
      <c r="D4735">
        <v>4.7340150000000003</v>
      </c>
      <c r="E4735">
        <v>0.63744840000000003</v>
      </c>
      <c r="F4735" t="s">
        <v>40</v>
      </c>
      <c r="G4735">
        <v>-379.39370000000002</v>
      </c>
      <c r="H4735">
        <v>0.89251639999999999</v>
      </c>
      <c r="I4735">
        <v>17.78678</v>
      </c>
      <c r="J4735">
        <v>-380.07960000000003</v>
      </c>
      <c r="K4735">
        <v>1.104687</v>
      </c>
      <c r="L4735">
        <v>18.0061</v>
      </c>
      <c r="M4735">
        <v>0.99676520000000002</v>
      </c>
      <c r="N4735">
        <v>0</v>
      </c>
      <c r="O4735">
        <v>-7.9497860000000004E-2</v>
      </c>
      <c r="P4735">
        <v>0.99679229999999996</v>
      </c>
      <c r="Q4735">
        <v>2.1939529999999999E-2</v>
      </c>
      <c r="R4735">
        <v>7.696791E-2</v>
      </c>
      <c r="S4735">
        <v>3.0950319999999998</v>
      </c>
      <c r="T4735">
        <v>-0.80441090000000004</v>
      </c>
      <c r="U4735">
        <v>-0.86849979999999904</v>
      </c>
      <c r="V4735">
        <v>-0.15599160000000001</v>
      </c>
      <c r="W4735">
        <v>3.3503770000000002E-2</v>
      </c>
      <c r="X4735">
        <v>0.98719000000000001</v>
      </c>
      <c r="Y4735">
        <v>0.18939979999999901</v>
      </c>
      <c r="Z4735">
        <v>-3.8844029999999998E-3</v>
      </c>
      <c r="AA4735">
        <v>0.98189230000000005</v>
      </c>
      <c r="AB4735">
        <v>22</v>
      </c>
      <c r="AC4735">
        <v>0.68590000000000295</v>
      </c>
      <c r="AD4735">
        <v>-0.21217059999999899</v>
      </c>
      <c r="AE4735">
        <v>-0.21931999999999899</v>
      </c>
      <c r="AF4735">
        <v>0.150987143453095</v>
      </c>
      <c r="AG4735">
        <v>-0.21217059999999899</v>
      </c>
      <c r="AH4735">
        <v>0.64515907087680202</v>
      </c>
      <c r="AI4735">
        <v>107.75575895303299</v>
      </c>
      <c r="AJ4735">
        <v>76.828080808405502</v>
      </c>
      <c r="AK4735">
        <v>0.69573249724811903</v>
      </c>
    </row>
    <row r="4736" spans="1:37" x14ac:dyDescent="0.2">
      <c r="A4736" t="str">
        <f>"20200111153527951"</f>
        <v>20200111153527951</v>
      </c>
      <c r="B4736" t="str">
        <f>"1578728127940438"</f>
        <v>1578728127940438</v>
      </c>
      <c r="C4736" t="s">
        <v>37</v>
      </c>
      <c r="D4736">
        <v>4.6375190000000002</v>
      </c>
      <c r="E4736">
        <v>0.63752519999999901</v>
      </c>
      <c r="F4736" t="s">
        <v>40</v>
      </c>
      <c r="G4736">
        <v>-379.37990000000002</v>
      </c>
      <c r="H4736">
        <v>0.92295919999999898</v>
      </c>
      <c r="I4736">
        <v>17.809349999999998</v>
      </c>
      <c r="J4736">
        <v>-379.91120000000001</v>
      </c>
      <c r="K4736">
        <v>1.1046849999999999</v>
      </c>
      <c r="L4736">
        <v>17.99335</v>
      </c>
      <c r="M4736">
        <v>0.99678639999999996</v>
      </c>
      <c r="N4736">
        <v>0</v>
      </c>
      <c r="O4736">
        <v>-7.9247990000000004E-2</v>
      </c>
      <c r="P4736">
        <v>0.99692780000000003</v>
      </c>
      <c r="Q4736">
        <v>2.145236E-2</v>
      </c>
      <c r="R4736">
        <v>7.5334150000000003E-2</v>
      </c>
      <c r="S4736">
        <v>3.0944820000000002</v>
      </c>
      <c r="T4736">
        <v>-0.80382719999999996</v>
      </c>
      <c r="U4736">
        <v>-0.86929319999999899</v>
      </c>
      <c r="V4736">
        <v>-0.15412790000000001</v>
      </c>
      <c r="W4736">
        <v>3.2909479999999998E-2</v>
      </c>
      <c r="X4736">
        <v>0.98750269999999996</v>
      </c>
      <c r="Y4736">
        <v>0.189905399999999</v>
      </c>
      <c r="Z4736">
        <v>-4.0079059999999899E-3</v>
      </c>
      <c r="AA4736">
        <v>0.98179419999999995</v>
      </c>
      <c r="AB4736">
        <v>22</v>
      </c>
      <c r="AC4736">
        <v>0.531299999999987</v>
      </c>
      <c r="AD4736">
        <v>-0.18172579999999999</v>
      </c>
      <c r="AE4736">
        <v>-0.184000000000001</v>
      </c>
      <c r="AF4736">
        <v>0.12794813599170099</v>
      </c>
      <c r="AG4736">
        <v>-0.18172579999999999</v>
      </c>
      <c r="AH4736">
        <v>0.49273878818590799</v>
      </c>
      <c r="AI4736">
        <v>109.644998539933</v>
      </c>
      <c r="AJ4736">
        <v>75.443642142471006</v>
      </c>
      <c r="AK4736">
        <v>0.54054278764248398</v>
      </c>
    </row>
    <row r="4737" spans="1:37" x14ac:dyDescent="0.2">
      <c r="A4737" t="str">
        <f>"20200111153527964"</f>
        <v>20200111153527964</v>
      </c>
      <c r="B4737" t="str">
        <f>"1578728127960935"</f>
        <v>1578728127960935</v>
      </c>
      <c r="C4737" t="s">
        <v>37</v>
      </c>
      <c r="D4737">
        <v>4.707471</v>
      </c>
      <c r="E4737">
        <v>0.63742670000000001</v>
      </c>
      <c r="F4737" t="s">
        <v>40</v>
      </c>
      <c r="G4737">
        <v>-379.18360000000001</v>
      </c>
      <c r="H4737">
        <v>0.91583119999999996</v>
      </c>
      <c r="I4737">
        <v>17.787510000000001</v>
      </c>
      <c r="J4737">
        <v>-379.77809999999999</v>
      </c>
      <c r="K4737">
        <v>1.1046590000000001</v>
      </c>
      <c r="L4737">
        <v>17.983250000000002</v>
      </c>
      <c r="M4737">
        <v>0.99680849999999899</v>
      </c>
      <c r="N4737">
        <v>0</v>
      </c>
      <c r="O4737">
        <v>-7.8982490000000002E-2</v>
      </c>
      <c r="P4737">
        <v>0.99699259999999901</v>
      </c>
      <c r="Q4737">
        <v>2.086242E-2</v>
      </c>
      <c r="R4737">
        <v>7.4636850000000005E-2</v>
      </c>
      <c r="S4737">
        <v>3.09259</v>
      </c>
      <c r="T4737">
        <v>-0.80266179999999998</v>
      </c>
      <c r="U4737">
        <v>-0.87438959999999999</v>
      </c>
      <c r="V4737">
        <v>-0.153174</v>
      </c>
      <c r="W4737">
        <v>3.2229870000000001E-2</v>
      </c>
      <c r="X4737">
        <v>0.98767349999999998</v>
      </c>
      <c r="Y4737">
        <v>0.19176460000000001</v>
      </c>
      <c r="Z4737">
        <v>-4.3030849999999999E-3</v>
      </c>
      <c r="AA4737">
        <v>0.98143150000000001</v>
      </c>
      <c r="AB4737">
        <v>22</v>
      </c>
      <c r="AC4737">
        <v>0.59449999999998204</v>
      </c>
      <c r="AD4737">
        <v>-0.18882779999999999</v>
      </c>
      <c r="AE4737">
        <v>-0.19574</v>
      </c>
      <c r="AF4737">
        <v>0.13580905673193899</v>
      </c>
      <c r="AG4737">
        <v>-0.18882779999999999</v>
      </c>
      <c r="AH4737">
        <v>0.55737247075112795</v>
      </c>
      <c r="AI4737">
        <v>108.219067573827</v>
      </c>
      <c r="AJ4737">
        <v>76.306181522175294</v>
      </c>
      <c r="AK4737">
        <v>0.60395704242477</v>
      </c>
    </row>
    <row r="4738" spans="1:37" x14ac:dyDescent="0.2">
      <c r="A4738" t="str">
        <f>"20200111153527979"</f>
        <v>20200111153527979</v>
      </c>
      <c r="B4738" t="str">
        <f>"1578728127970695"</f>
        <v>1578728127970695</v>
      </c>
      <c r="C4738" t="s">
        <v>37</v>
      </c>
      <c r="D4738">
        <v>4.7313349999999996</v>
      </c>
      <c r="E4738">
        <v>0.63749869999999897</v>
      </c>
      <c r="F4738" t="s">
        <v>40</v>
      </c>
      <c r="G4738">
        <v>-378.99079999999998</v>
      </c>
      <c r="H4738">
        <v>0.90017549999999902</v>
      </c>
      <c r="I4738">
        <v>17.76003</v>
      </c>
      <c r="J4738">
        <v>-379.62900000000002</v>
      </c>
      <c r="K4738">
        <v>1.104609</v>
      </c>
      <c r="L4738">
        <v>17.971920000000001</v>
      </c>
      <c r="M4738">
        <v>0.99683929999999998</v>
      </c>
      <c r="N4738">
        <v>0</v>
      </c>
      <c r="O4738">
        <v>-7.8610070000000004E-2</v>
      </c>
      <c r="P4738">
        <v>0.99704769999999898</v>
      </c>
      <c r="Q4738">
        <v>2.0571019999999999E-2</v>
      </c>
      <c r="R4738">
        <v>7.397745E-2</v>
      </c>
      <c r="S4738">
        <v>3.0913390000000001</v>
      </c>
      <c r="T4738">
        <v>-0.80294049999999995</v>
      </c>
      <c r="U4738">
        <v>-0.87524409999999897</v>
      </c>
      <c r="V4738">
        <v>-0.15214820000000001</v>
      </c>
      <c r="W4738">
        <v>3.1837629999999999E-2</v>
      </c>
      <c r="X4738">
        <v>0.98784479999999997</v>
      </c>
      <c r="Y4738">
        <v>0.19244910000000001</v>
      </c>
      <c r="Z4738">
        <v>-4.4846349999999998E-3</v>
      </c>
      <c r="AA4738">
        <v>0.98129669999999902</v>
      </c>
      <c r="AB4738">
        <v>22</v>
      </c>
      <c r="AC4738">
        <v>0.63820000000003996</v>
      </c>
      <c r="AD4738">
        <v>-0.20443349999999999</v>
      </c>
      <c r="AE4738">
        <v>-0.21189</v>
      </c>
      <c r="AF4738">
        <v>0.147435612306031</v>
      </c>
      <c r="AG4738">
        <v>-0.20443349999999999</v>
      </c>
      <c r="AH4738">
        <v>0.59764668903320695</v>
      </c>
      <c r="AI4738">
        <v>108.37172546319</v>
      </c>
      <c r="AJ4738">
        <v>76.142193933883703</v>
      </c>
      <c r="AK4738">
        <v>0.64862306512385004</v>
      </c>
    </row>
    <row r="4739" spans="1:37" x14ac:dyDescent="0.2">
      <c r="A4739" t="str">
        <f>"20200111153527997"</f>
        <v>20200111153527997</v>
      </c>
      <c r="B4739" t="str">
        <f>"1578728127990215"</f>
        <v>1578728127990215</v>
      </c>
      <c r="C4739" t="s">
        <v>37</v>
      </c>
      <c r="D4739">
        <v>4.7146189999999999</v>
      </c>
      <c r="E4739">
        <v>0.63743119999999998</v>
      </c>
      <c r="F4739" t="s">
        <v>40</v>
      </c>
      <c r="G4739">
        <v>-378.79610000000002</v>
      </c>
      <c r="H4739">
        <v>0.88806439999999998</v>
      </c>
      <c r="I4739">
        <v>17.735139999999902</v>
      </c>
      <c r="J4739">
        <v>-379.4579</v>
      </c>
      <c r="K4739">
        <v>1.104555</v>
      </c>
      <c r="L4739">
        <v>17.958950000000002</v>
      </c>
      <c r="M4739">
        <v>0.99687879999999995</v>
      </c>
      <c r="N4739">
        <v>0</v>
      </c>
      <c r="O4739">
        <v>-7.8125130000000001E-2</v>
      </c>
      <c r="P4739">
        <v>0.99718229999999997</v>
      </c>
      <c r="Q4739">
        <v>2.0075799999999901E-2</v>
      </c>
      <c r="R4739">
        <v>7.2281339999999999E-2</v>
      </c>
      <c r="S4739">
        <v>3.0905149999999999</v>
      </c>
      <c r="T4739">
        <v>-0.80351569999999894</v>
      </c>
      <c r="U4739">
        <v>-0.87716669999999997</v>
      </c>
      <c r="V4739">
        <v>-0.1499838</v>
      </c>
      <c r="W4739">
        <v>3.1244259999999999E-2</v>
      </c>
      <c r="X4739">
        <v>0.98819460000000003</v>
      </c>
      <c r="Y4739">
        <v>0.1935067</v>
      </c>
      <c r="Z4739">
        <v>-4.7421939999999999E-3</v>
      </c>
      <c r="AA4739">
        <v>0.9810875</v>
      </c>
      <c r="AB4739">
        <v>22</v>
      </c>
      <c r="AC4739">
        <v>0.66179999999997097</v>
      </c>
      <c r="AD4739">
        <v>-0.21649060000000001</v>
      </c>
      <c r="AE4739">
        <v>-0.22381000000000301</v>
      </c>
      <c r="AF4739">
        <v>0.15640054032019901</v>
      </c>
      <c r="AG4739">
        <v>-0.21649060000000001</v>
      </c>
      <c r="AH4739">
        <v>0.61792543742348205</v>
      </c>
      <c r="AI4739">
        <v>108.759564359585</v>
      </c>
      <c r="AJ4739">
        <v>75.796395227977399</v>
      </c>
      <c r="AK4739">
        <v>0.67317245570196405</v>
      </c>
    </row>
    <row r="4740" spans="1:37" x14ac:dyDescent="0.2">
      <c r="A4740" t="str">
        <f>"20200111153528009"</f>
        <v>20200111153528009</v>
      </c>
      <c r="B4740" t="str">
        <f>"1578728128000951"</f>
        <v>1578728128000951</v>
      </c>
      <c r="C4740" t="s">
        <v>37</v>
      </c>
      <c r="D4740">
        <v>4.6999269999999997</v>
      </c>
      <c r="E4740">
        <v>0.63742549999999998</v>
      </c>
      <c r="F4740" t="s">
        <v>40</v>
      </c>
      <c r="G4740">
        <v>-378.7783</v>
      </c>
      <c r="H4740">
        <v>0.92769480000000004</v>
      </c>
      <c r="I4740">
        <v>17.764659999999999</v>
      </c>
      <c r="J4740">
        <v>-379.32679999999999</v>
      </c>
      <c r="K4740">
        <v>1.104533</v>
      </c>
      <c r="L4740">
        <v>17.94904</v>
      </c>
      <c r="M4740">
        <v>0.9969074</v>
      </c>
      <c r="N4740">
        <v>0</v>
      </c>
      <c r="O4740">
        <v>-7.7772179999999996E-2</v>
      </c>
      <c r="P4740">
        <v>0.99723809999999902</v>
      </c>
      <c r="Q4740">
        <v>2.0148280000000001E-2</v>
      </c>
      <c r="R4740">
        <v>7.1486049999999995E-2</v>
      </c>
      <c r="S4740">
        <v>3.0885310000000001</v>
      </c>
      <c r="T4740">
        <v>-0.8037453</v>
      </c>
      <c r="U4740">
        <v>-0.88119509999999901</v>
      </c>
      <c r="V4740">
        <v>-0.148842899999999</v>
      </c>
      <c r="W4740">
        <v>3.124379E-2</v>
      </c>
      <c r="X4740">
        <v>0.98836710000000005</v>
      </c>
      <c r="Y4740">
        <v>0.19513729999999899</v>
      </c>
      <c r="Z4740">
        <v>-5.0386229999999999E-3</v>
      </c>
      <c r="AA4740">
        <v>0.98076299999999905</v>
      </c>
      <c r="AB4740">
        <v>22</v>
      </c>
      <c r="AC4740">
        <v>0.54849999999999</v>
      </c>
      <c r="AD4740">
        <v>-0.176838199999999</v>
      </c>
      <c r="AE4740">
        <v>-0.18437999999999999</v>
      </c>
      <c r="AF4740">
        <v>0.129103625787342</v>
      </c>
      <c r="AG4740">
        <v>-0.176838199999999</v>
      </c>
      <c r="AH4740">
        <v>0.51324650556451901</v>
      </c>
      <c r="AI4740">
        <v>108.476497077316</v>
      </c>
      <c r="AJ4740">
        <v>75.880573531891599</v>
      </c>
      <c r="AK4740">
        <v>0.55799773354814697</v>
      </c>
    </row>
    <row r="4741" spans="1:37" x14ac:dyDescent="0.2">
      <c r="A4741" t="str">
        <f>"20200111153528022"</f>
        <v>20200111153528022</v>
      </c>
      <c r="B4741" t="str">
        <f>"1578728128010712"</f>
        <v>1578728128010712</v>
      </c>
      <c r="C4741" t="s">
        <v>37</v>
      </c>
      <c r="D4741">
        <v>4.707592</v>
      </c>
      <c r="E4741">
        <v>0.63739319999999999</v>
      </c>
      <c r="F4741" t="s">
        <v>40</v>
      </c>
      <c r="G4741">
        <v>-378.58519999999999</v>
      </c>
      <c r="H4741">
        <v>0.91157009999999905</v>
      </c>
      <c r="I4741">
        <v>17.736339999999998</v>
      </c>
      <c r="J4741">
        <v>-379.20440000000002</v>
      </c>
      <c r="K4741">
        <v>1.104519</v>
      </c>
      <c r="L4741">
        <v>17.93976</v>
      </c>
      <c r="M4741">
        <v>0.99693259999999995</v>
      </c>
      <c r="N4741">
        <v>0</v>
      </c>
      <c r="O4741">
        <v>-7.7458609999999997E-2</v>
      </c>
      <c r="P4741">
        <v>0.99729630000000002</v>
      </c>
      <c r="Q4741">
        <v>2.04257999999999E-2</v>
      </c>
      <c r="R4741">
        <v>7.0586960000000004E-2</v>
      </c>
      <c r="S4741">
        <v>3.08786</v>
      </c>
      <c r="T4741">
        <v>-0.80344680000000002</v>
      </c>
      <c r="U4741">
        <v>-0.88317869999999998</v>
      </c>
      <c r="V4741">
        <v>-0.1476391</v>
      </c>
      <c r="W4741">
        <v>3.1452540000000001E-2</v>
      </c>
      <c r="X4741">
        <v>0.98854109999999995</v>
      </c>
      <c r="Y4741">
        <v>0.19604869999999999</v>
      </c>
      <c r="Z4741">
        <v>-5.23015299999999E-3</v>
      </c>
      <c r="AA4741">
        <v>0.98058020000000001</v>
      </c>
      <c r="AB4741">
        <v>22</v>
      </c>
      <c r="AC4741">
        <v>0.61920000000003395</v>
      </c>
      <c r="AD4741">
        <v>-0.19294890000000001</v>
      </c>
      <c r="AE4741">
        <v>-0.20342000000000099</v>
      </c>
      <c r="AF4741">
        <v>0.14236613362731901</v>
      </c>
      <c r="AG4741">
        <v>-0.19294890000000001</v>
      </c>
      <c r="AH4741">
        <v>0.58208222105978402</v>
      </c>
      <c r="AI4741">
        <v>107.848023282683</v>
      </c>
      <c r="AJ4741">
        <v>76.256359988379003</v>
      </c>
      <c r="AK4741">
        <v>0.629537215809433</v>
      </c>
    </row>
    <row r="4742" spans="1:37" x14ac:dyDescent="0.2">
      <c r="A4742" t="str">
        <f>"20200111153528035"</f>
        <v>20200111153528035</v>
      </c>
      <c r="B4742" t="str">
        <f>"1578728128030231"</f>
        <v>1578728128030231</v>
      </c>
      <c r="C4742" t="s">
        <v>37</v>
      </c>
      <c r="D4742">
        <v>4.7113059999999898</v>
      </c>
      <c r="E4742">
        <v>0.61680630000000003</v>
      </c>
      <c r="F4742" t="s">
        <v>40</v>
      </c>
      <c r="G4742">
        <v>-378.39260000000002</v>
      </c>
      <c r="H4742">
        <v>0.89352299999999996</v>
      </c>
      <c r="I4742">
        <v>17.706859999999999</v>
      </c>
      <c r="J4742">
        <v>-379.07330000000002</v>
      </c>
      <c r="K4742">
        <v>1.1045160000000001</v>
      </c>
      <c r="L4742">
        <v>17.929839999999999</v>
      </c>
      <c r="M4742">
        <v>0.99695650000000002</v>
      </c>
      <c r="N4742">
        <v>0</v>
      </c>
      <c r="O4742">
        <v>-7.7164789999999997E-2</v>
      </c>
      <c r="P4742">
        <v>0.99736170000000002</v>
      </c>
      <c r="Q4742">
        <v>2.0861589999999999E-2</v>
      </c>
      <c r="R4742">
        <v>6.9529590000000002E-2</v>
      </c>
      <c r="S4742">
        <v>3.08725</v>
      </c>
      <c r="T4742">
        <v>-0.80237579999999997</v>
      </c>
      <c r="U4742">
        <v>-0.88507080000000005</v>
      </c>
      <c r="V4742">
        <v>-0.1462977</v>
      </c>
      <c r="W4742">
        <v>3.180761E-2</v>
      </c>
      <c r="X4742">
        <v>0.98872909999999903</v>
      </c>
      <c r="Y4742">
        <v>0.1969176</v>
      </c>
      <c r="Z4742">
        <v>-5.4061990000000004E-3</v>
      </c>
      <c r="AA4742">
        <v>0.98040519999999998</v>
      </c>
      <c r="AB4742">
        <v>22</v>
      </c>
      <c r="AC4742">
        <v>0.68070000000000097</v>
      </c>
      <c r="AD4742">
        <v>-0.21099299999999999</v>
      </c>
      <c r="AE4742">
        <v>-0.22297999999999901</v>
      </c>
      <c r="AF4742">
        <v>0.15623005982060301</v>
      </c>
      <c r="AG4742">
        <v>-0.21099299999999999</v>
      </c>
      <c r="AH4742">
        <v>0.64031854156719603</v>
      </c>
      <c r="AI4742">
        <v>107.751004001352</v>
      </c>
      <c r="AJ4742">
        <v>76.288410411894802</v>
      </c>
      <c r="AK4742">
        <v>0.69205036833693701</v>
      </c>
    </row>
    <row r="4743" spans="1:37" x14ac:dyDescent="0.2">
      <c r="A4743" t="str">
        <f>"20200111153528051"</f>
        <v>20200111153528051</v>
      </c>
      <c r="B4743" t="str">
        <f>"1578728128040970"</f>
        <v>1578728128040970</v>
      </c>
      <c r="C4743" t="s">
        <v>37</v>
      </c>
      <c r="D4743">
        <v>4.9780860000000002</v>
      </c>
      <c r="E4743">
        <v>0.61243269999999905</v>
      </c>
      <c r="F4743" t="s">
        <v>40</v>
      </c>
      <c r="G4743">
        <v>-378.36099999999999</v>
      </c>
      <c r="H4743">
        <v>0.9600339</v>
      </c>
      <c r="I4743">
        <v>17.761849999999999</v>
      </c>
      <c r="J4743">
        <v>-378.90710000000001</v>
      </c>
      <c r="K4743">
        <v>1.104527</v>
      </c>
      <c r="L4743">
        <v>17.917269999999998</v>
      </c>
      <c r="M4743">
        <v>0.99698290000000001</v>
      </c>
      <c r="N4743">
        <v>0</v>
      </c>
      <c r="O4743">
        <v>-7.6839420000000005E-2</v>
      </c>
      <c r="P4743">
        <v>0.9974809</v>
      </c>
      <c r="Q4743">
        <v>2.218819E-2</v>
      </c>
      <c r="R4743">
        <v>6.7376679999999994E-2</v>
      </c>
      <c r="S4743">
        <v>3.0714109999999999</v>
      </c>
      <c r="T4743">
        <v>-0.62293679999999996</v>
      </c>
      <c r="U4743">
        <v>-0.72363279999999996</v>
      </c>
      <c r="V4743">
        <v>-0.1438381</v>
      </c>
      <c r="W4743">
        <v>3.3026720000000002E-2</v>
      </c>
      <c r="X4743">
        <v>0.98904999999999998</v>
      </c>
      <c r="Y4743">
        <v>0.152396</v>
      </c>
      <c r="Z4743" s="1">
        <v>8.3118680000000006E-5</v>
      </c>
      <c r="AA4743">
        <v>0.98831950000000002</v>
      </c>
      <c r="AB4743">
        <v>22</v>
      </c>
      <c r="AC4743">
        <v>0.54610000000002401</v>
      </c>
      <c r="AD4743">
        <v>-0.14449310000000001</v>
      </c>
      <c r="AE4743">
        <v>-0.155420000000003</v>
      </c>
      <c r="AF4743">
        <v>0.10612307707646899</v>
      </c>
      <c r="AG4743">
        <v>-0.14449310000000001</v>
      </c>
      <c r="AH4743">
        <v>0.52258434994668801</v>
      </c>
      <c r="AI4743">
        <v>105.161173591878</v>
      </c>
      <c r="AJ4743">
        <v>78.520837841728294</v>
      </c>
      <c r="AK4743">
        <v>0.55248055734567802</v>
      </c>
    </row>
    <row r="4744" spans="1:37" x14ac:dyDescent="0.2">
      <c r="A4744" t="str">
        <f>"20200111153528065"</f>
        <v>20200111153528065</v>
      </c>
      <c r="B4744" t="str">
        <f>"1578728128060487"</f>
        <v>1578728128060487</v>
      </c>
      <c r="C4744" t="s">
        <v>37</v>
      </c>
      <c r="D4744">
        <v>4.7149029999999996</v>
      </c>
      <c r="E4744">
        <v>0.56210780000000005</v>
      </c>
      <c r="F4744" t="s">
        <v>40</v>
      </c>
      <c r="G4744">
        <v>-378.15379999999999</v>
      </c>
      <c r="H4744">
        <v>0.97262559999999998</v>
      </c>
      <c r="I4744">
        <v>17.746500000000001</v>
      </c>
      <c r="J4744">
        <v>-378.7688</v>
      </c>
      <c r="K4744">
        <v>1.104538</v>
      </c>
      <c r="L4744">
        <v>17.906860000000002</v>
      </c>
      <c r="M4744">
        <v>0.99700250000000001</v>
      </c>
      <c r="N4744">
        <v>0</v>
      </c>
      <c r="O4744">
        <v>-7.6596940000000002E-2</v>
      </c>
      <c r="P4744">
        <v>0.99753400000000003</v>
      </c>
      <c r="Q4744">
        <v>2.306919E-2</v>
      </c>
      <c r="R4744">
        <v>6.628415E-2</v>
      </c>
      <c r="S4744">
        <v>3.0664370000000001</v>
      </c>
      <c r="T4744">
        <v>-0.5369659</v>
      </c>
      <c r="U4744">
        <v>-0.69454959999999999</v>
      </c>
      <c r="V4744">
        <v>-0.14251229999999901</v>
      </c>
      <c r="W4744">
        <v>3.3812589999999997E-2</v>
      </c>
      <c r="X4744">
        <v>0.98921530000000002</v>
      </c>
      <c r="Y4744">
        <v>0.14456540000000001</v>
      </c>
      <c r="Z4744">
        <v>7.0379399999999999E-4</v>
      </c>
      <c r="AA4744">
        <v>0.98949500000000001</v>
      </c>
      <c r="AB4744">
        <v>23</v>
      </c>
      <c r="AC4744">
        <v>0.61500000000000898</v>
      </c>
      <c r="AD4744">
        <v>-0.13191240000000001</v>
      </c>
      <c r="AE4744">
        <v>-0.16036</v>
      </c>
      <c r="AF4744">
        <v>0.108121276809373</v>
      </c>
      <c r="AG4744">
        <v>-0.13191240000000001</v>
      </c>
      <c r="AH4744">
        <v>0.59964538162002601</v>
      </c>
      <c r="AI4744">
        <v>102.21561483713801</v>
      </c>
      <c r="AJ4744">
        <v>79.778895297737506</v>
      </c>
      <c r="AK4744">
        <v>0.62343056988799905</v>
      </c>
    </row>
    <row r="4745" spans="1:37" x14ac:dyDescent="0.2">
      <c r="A4745" t="str">
        <f>"20200111153528086"</f>
        <v>20200111153528086</v>
      </c>
      <c r="B4745" t="str">
        <f>"1578728128080983"</f>
        <v>1578728128080983</v>
      </c>
      <c r="C4745" t="s">
        <v>37</v>
      </c>
      <c r="D4745">
        <v>4.8149829999999998</v>
      </c>
      <c r="E4745">
        <v>0.55383000000000004</v>
      </c>
      <c r="F4745" t="s">
        <v>38</v>
      </c>
      <c r="G4745">
        <v>-231.56739999999999</v>
      </c>
      <c r="H4745">
        <v>-0.05</v>
      </c>
      <c r="I4745">
        <v>3.5322419999999899</v>
      </c>
      <c r="J4745">
        <v>-378.55590000000001</v>
      </c>
      <c r="K4745">
        <v>1.1045510000000001</v>
      </c>
      <c r="L4745">
        <v>17.89087</v>
      </c>
      <c r="M4745">
        <v>0.99702969999999902</v>
      </c>
      <c r="N4745">
        <v>0</v>
      </c>
      <c r="O4745">
        <v>-7.6267790000000002E-2</v>
      </c>
      <c r="P4745">
        <v>0.99761499999999903</v>
      </c>
      <c r="Q4745">
        <v>2.4908240000000002E-2</v>
      </c>
      <c r="R4745">
        <v>6.4376740000000002E-2</v>
      </c>
      <c r="S4745">
        <v>3.0276179999999999</v>
      </c>
      <c r="T4745">
        <v>-2.3746369999999999E-2</v>
      </c>
      <c r="U4745">
        <v>-0.29565429999999998</v>
      </c>
      <c r="V4745">
        <v>-0.14028959999999999</v>
      </c>
      <c r="W4745">
        <v>3.549766E-2</v>
      </c>
      <c r="X4745">
        <v>0.98947399999999996</v>
      </c>
      <c r="Y4745">
        <v>2.0997599999999901E-2</v>
      </c>
      <c r="Z4745">
        <v>5.1365679999999998E-4</v>
      </c>
      <c r="AA4745">
        <v>0.99977939999999998</v>
      </c>
      <c r="AB4745">
        <v>23</v>
      </c>
      <c r="AC4745">
        <v>146.98849999999999</v>
      </c>
      <c r="AD4745">
        <v>-1.1545510000000001</v>
      </c>
      <c r="AE4745">
        <v>-14.358628</v>
      </c>
      <c r="AF4745">
        <v>3.1054793145692301</v>
      </c>
      <c r="AG4745">
        <v>-1.1545510000000001</v>
      </c>
      <c r="AH4745">
        <v>147.64646828443099</v>
      </c>
      <c r="AI4745">
        <v>90.447927575426405</v>
      </c>
      <c r="AJ4745">
        <v>88.795063447920199</v>
      </c>
      <c r="AK4745">
        <v>147.68363682768</v>
      </c>
    </row>
    <row r="4746" spans="1:37" x14ac:dyDescent="0.2">
      <c r="A4746" t="str">
        <f>"20200111153528100"</f>
        <v>20200111153528100</v>
      </c>
      <c r="B4746" t="str">
        <f>"1578728128090743"</f>
        <v>1578728128090743</v>
      </c>
      <c r="C4746" t="s">
        <v>37</v>
      </c>
      <c r="D4746">
        <v>4.7595769999999904</v>
      </c>
      <c r="E4746">
        <v>0.55252469999999998</v>
      </c>
      <c r="F4746" t="s">
        <v>69</v>
      </c>
      <c r="G4746">
        <v>-241.07</v>
      </c>
      <c r="H4746">
        <v>1.8880049999999999</v>
      </c>
      <c r="I4746">
        <v>7.1776789999999897</v>
      </c>
      <c r="J4746">
        <v>-378.416</v>
      </c>
      <c r="K4746">
        <v>1.104552</v>
      </c>
      <c r="L4746">
        <v>17.880369999999999</v>
      </c>
      <c r="M4746">
        <v>0.99704579999999998</v>
      </c>
      <c r="N4746">
        <v>0</v>
      </c>
      <c r="O4746">
        <v>-7.6071139999999995E-2</v>
      </c>
      <c r="P4746">
        <v>0.99765729999999997</v>
      </c>
      <c r="Q4746">
        <v>2.5820200000000001E-2</v>
      </c>
      <c r="R4746">
        <v>6.3349180000000005E-2</v>
      </c>
      <c r="S4746">
        <v>3.0219119999999999</v>
      </c>
      <c r="T4746">
        <v>1.7220019999999999E-2</v>
      </c>
      <c r="U4746">
        <v>-0.23547359999999901</v>
      </c>
      <c r="V4746">
        <v>-0.1390729</v>
      </c>
      <c r="W4746">
        <v>3.6305860000000002E-2</v>
      </c>
      <c r="X4746">
        <v>0.98961639999999995</v>
      </c>
      <c r="Y4746">
        <v>1.6171359999999999E-3</v>
      </c>
      <c r="Z4746">
        <v>-4.2761330000000002E-4</v>
      </c>
      <c r="AA4746">
        <v>0.99999859999999896</v>
      </c>
      <c r="AB4746">
        <v>23</v>
      </c>
      <c r="AC4746">
        <v>137.346</v>
      </c>
      <c r="AD4746">
        <v>0.78345299999999995</v>
      </c>
      <c r="AE4746">
        <v>-10.702691</v>
      </c>
      <c r="AF4746">
        <v>0.22301168788328399</v>
      </c>
      <c r="AG4746">
        <v>0.78345299999999995</v>
      </c>
      <c r="AH4746">
        <v>137.757736765575</v>
      </c>
      <c r="AI4746">
        <v>89.674152547558705</v>
      </c>
      <c r="AJ4746">
        <v>89.907245737077503</v>
      </c>
      <c r="AK4746">
        <v>137.760145076832</v>
      </c>
    </row>
    <row r="4747" spans="1:37" x14ac:dyDescent="0.2">
      <c r="A4747" t="str">
        <f>"20200111153528112"</f>
        <v>20200111153528112</v>
      </c>
      <c r="B4747" t="str">
        <f>"1578728128100271"</f>
        <v>1578728128100271</v>
      </c>
      <c r="C4747" t="s">
        <v>37</v>
      </c>
      <c r="D4747">
        <v>4.7709130000000002</v>
      </c>
      <c r="E4747">
        <v>0.55258200000000002</v>
      </c>
      <c r="F4747" t="s">
        <v>69</v>
      </c>
      <c r="G4747">
        <v>-241.07</v>
      </c>
      <c r="H4747">
        <v>2.0304980000000001</v>
      </c>
      <c r="I4747">
        <v>7.5049539999999997</v>
      </c>
      <c r="J4747">
        <v>-378.28879999999998</v>
      </c>
      <c r="K4747">
        <v>1.1045469999999999</v>
      </c>
      <c r="L4747">
        <v>17.870850000000001</v>
      </c>
      <c r="M4747">
        <v>0.99705900000000003</v>
      </c>
      <c r="N4747">
        <v>0</v>
      </c>
      <c r="O4747">
        <v>-7.5913300000000003E-2</v>
      </c>
      <c r="P4747">
        <v>0.997708499999999</v>
      </c>
      <c r="Q4747">
        <v>2.6661089999999998E-2</v>
      </c>
      <c r="R4747">
        <v>6.2187279999999998E-2</v>
      </c>
      <c r="S4747">
        <v>3.020966</v>
      </c>
      <c r="T4747">
        <v>2.0366309999999999E-2</v>
      </c>
      <c r="U4747">
        <v>-0.22821039999999901</v>
      </c>
      <c r="V4747">
        <v>-0.13776089999999999</v>
      </c>
      <c r="W4747">
        <v>3.7049230000000002E-2</v>
      </c>
      <c r="X4747">
        <v>0.98977230000000005</v>
      </c>
      <c r="Y4747">
        <v>-5.8986569999999999E-4</v>
      </c>
      <c r="Z4747">
        <v>-5.1232670000000004E-4</v>
      </c>
      <c r="AA4747">
        <v>0.99999969999999905</v>
      </c>
      <c r="AB4747">
        <v>23</v>
      </c>
      <c r="AC4747">
        <v>137.21879999999999</v>
      </c>
      <c r="AD4747">
        <v>0.92595099999999997</v>
      </c>
      <c r="AE4747">
        <v>-10.365895999999999</v>
      </c>
      <c r="AF4747">
        <v>-8.1322842408455998E-2</v>
      </c>
      <c r="AG4747">
        <v>0.92595099999999997</v>
      </c>
      <c r="AH4747">
        <v>137.60352323200701</v>
      </c>
      <c r="AI4747">
        <v>89.614455552592204</v>
      </c>
      <c r="AJ4747">
        <v>90.033861452062396</v>
      </c>
      <c r="AK4747">
        <v>137.60666264582099</v>
      </c>
    </row>
    <row r="4748" spans="1:37" x14ac:dyDescent="0.2">
      <c r="A4748" t="str">
        <f>"20200111153528131"</f>
        <v>20200111153528131</v>
      </c>
      <c r="B4748" t="str">
        <f>"1578728128120767"</f>
        <v>1578728128120767</v>
      </c>
      <c r="C4748" t="s">
        <v>37</v>
      </c>
      <c r="D4748">
        <v>4.7544550000000001</v>
      </c>
      <c r="E4748">
        <v>0.55264340000000001</v>
      </c>
      <c r="F4748" t="s">
        <v>69</v>
      </c>
      <c r="G4748">
        <v>-241.07</v>
      </c>
      <c r="H4748">
        <v>1.9487599999999901</v>
      </c>
      <c r="I4748">
        <v>7.3245139999999997</v>
      </c>
      <c r="J4748">
        <v>-378.10329999999999</v>
      </c>
      <c r="K4748">
        <v>1.104533</v>
      </c>
      <c r="L4748">
        <v>17.856960000000001</v>
      </c>
      <c r="M4748">
        <v>0.99707599999999996</v>
      </c>
      <c r="N4748">
        <v>0</v>
      </c>
      <c r="O4748">
        <v>-7.5709499999999999E-2</v>
      </c>
      <c r="P4748">
        <v>0.99784399999999995</v>
      </c>
      <c r="Q4748">
        <v>2.794518E-2</v>
      </c>
      <c r="R4748">
        <v>5.9382829999999998E-2</v>
      </c>
      <c r="S4748">
        <v>3.0208740000000001</v>
      </c>
      <c r="T4748">
        <v>1.8585210000000001E-2</v>
      </c>
      <c r="U4748">
        <v>-0.23217769999999999</v>
      </c>
      <c r="V4748">
        <v>-0.1347708</v>
      </c>
      <c r="W4748">
        <v>3.8183769999999999E-2</v>
      </c>
      <c r="X4748">
        <v>0.99014080000000004</v>
      </c>
      <c r="Y4748">
        <v>9.223123E-4</v>
      </c>
      <c r="Z4748">
        <v>-4.6161489999999998E-4</v>
      </c>
      <c r="AA4748">
        <v>0.99999950000000004</v>
      </c>
      <c r="AB4748">
        <v>23</v>
      </c>
      <c r="AC4748">
        <v>137.0333</v>
      </c>
      <c r="AD4748">
        <v>0.84422699999999895</v>
      </c>
      <c r="AE4748">
        <v>-10.532446</v>
      </c>
      <c r="AF4748">
        <v>0.126928536532012</v>
      </c>
      <c r="AG4748">
        <v>0.84422699999999895</v>
      </c>
      <c r="AH4748">
        <v>137.43222423797499</v>
      </c>
      <c r="AI4748">
        <v>89.648044588623904</v>
      </c>
      <c r="AJ4748">
        <v>89.947083244736703</v>
      </c>
      <c r="AK4748">
        <v>137.43487581061001</v>
      </c>
    </row>
    <row r="4749" spans="1:37" x14ac:dyDescent="0.2">
      <c r="A4749" t="str">
        <f>"20200111153528144"</f>
        <v>20200111153528144</v>
      </c>
      <c r="B4749" t="str">
        <f>"1578728128130526"</f>
        <v>1578728128130526</v>
      </c>
      <c r="C4749" t="s">
        <v>37</v>
      </c>
      <c r="D4749">
        <v>4.7462179999999998</v>
      </c>
      <c r="E4749">
        <v>0.55268490000000003</v>
      </c>
      <c r="F4749" t="s">
        <v>69</v>
      </c>
      <c r="G4749">
        <v>-241.07</v>
      </c>
      <c r="H4749">
        <v>1.3929229999999999</v>
      </c>
      <c r="I4749">
        <v>6.9186149999999902</v>
      </c>
      <c r="J4749">
        <v>-377.97089999999997</v>
      </c>
      <c r="K4749">
        <v>1.104517</v>
      </c>
      <c r="L4749">
        <v>17.847049999999999</v>
      </c>
      <c r="M4749">
        <v>0.99708669999999999</v>
      </c>
      <c r="N4749">
        <v>0</v>
      </c>
      <c r="O4749">
        <v>-7.5586319999999999E-2</v>
      </c>
      <c r="P4749">
        <v>0.99791229999999997</v>
      </c>
      <c r="Q4749">
        <v>2.8505599999999999E-2</v>
      </c>
      <c r="R4749">
        <v>5.795289E-2</v>
      </c>
      <c r="S4749">
        <v>3.0206909999999998</v>
      </c>
      <c r="T4749">
        <v>6.3569550000000001E-3</v>
      </c>
      <c r="U4749">
        <v>-0.24111939999999901</v>
      </c>
      <c r="V4749">
        <v>-0.13322679999999901</v>
      </c>
      <c r="W4749">
        <v>3.8630240000000003E-2</v>
      </c>
      <c r="X4749">
        <v>0.9903324</v>
      </c>
      <c r="Y4749">
        <v>3.991405E-3</v>
      </c>
      <c r="Z4749">
        <v>-1.5439840000000001E-4</v>
      </c>
      <c r="AA4749">
        <v>0.99999199999999999</v>
      </c>
      <c r="AB4749">
        <v>23</v>
      </c>
      <c r="AC4749">
        <v>136.90089999999901</v>
      </c>
      <c r="AD4749">
        <v>0.288405999999999</v>
      </c>
      <c r="AE4749">
        <v>-10.928435</v>
      </c>
      <c r="AF4749">
        <v>0.54878829760306003</v>
      </c>
      <c r="AG4749">
        <v>0.288405999999999</v>
      </c>
      <c r="AH4749">
        <v>137.33469914345099</v>
      </c>
      <c r="AI4749">
        <v>89.879678693954801</v>
      </c>
      <c r="AJ4749">
        <v>89.771047767715501</v>
      </c>
      <c r="AK4749">
        <v>137.33609844261201</v>
      </c>
    </row>
    <row r="4750" spans="1:37" x14ac:dyDescent="0.2">
      <c r="A4750" t="str">
        <f>"20200111153528156"</f>
        <v>20200111153528156</v>
      </c>
      <c r="B4750" t="str">
        <f>"1578728128151023"</f>
        <v>1578728128151023</v>
      </c>
      <c r="C4750" t="s">
        <v>37</v>
      </c>
      <c r="D4750">
        <v>4.8104420000000001</v>
      </c>
      <c r="E4750">
        <v>0.55099750000000003</v>
      </c>
      <c r="F4750" t="s">
        <v>69</v>
      </c>
      <c r="G4750">
        <v>-241.07</v>
      </c>
      <c r="H4750">
        <v>1.1788689999999999</v>
      </c>
      <c r="I4750">
        <v>6.709625</v>
      </c>
      <c r="J4750">
        <v>-377.84</v>
      </c>
      <c r="K4750">
        <v>1.1045</v>
      </c>
      <c r="L4750">
        <v>17.837219999999999</v>
      </c>
      <c r="M4750">
        <v>0.99709579999999998</v>
      </c>
      <c r="N4750">
        <v>0</v>
      </c>
      <c r="O4750">
        <v>-7.5482800000000003E-2</v>
      </c>
      <c r="P4750">
        <v>0.99797369999999996</v>
      </c>
      <c r="Q4750">
        <v>2.896599E-2</v>
      </c>
      <c r="R4750">
        <v>5.66515E-2</v>
      </c>
      <c r="S4750">
        <v>3.0204770000000001</v>
      </c>
      <c r="T4750">
        <v>1.64032E-3</v>
      </c>
      <c r="U4750">
        <v>-0.24572749999999999</v>
      </c>
      <c r="V4750">
        <v>-0.131829</v>
      </c>
      <c r="W4750">
        <v>3.8972819999999998E-2</v>
      </c>
      <c r="X4750">
        <v>0.99050609999999994</v>
      </c>
      <c r="Y4750">
        <v>5.6165499999999997E-3</v>
      </c>
      <c r="Z4750" s="1">
        <v>-3.9343549999999997E-5</v>
      </c>
      <c r="AA4750">
        <v>0.99998419999999899</v>
      </c>
      <c r="AB4750">
        <v>23</v>
      </c>
      <c r="AC4750">
        <v>136.76999999999899</v>
      </c>
      <c r="AD4750">
        <v>7.4368999999999894E-2</v>
      </c>
      <c r="AE4750">
        <v>-11.127594999999999</v>
      </c>
      <c r="AF4750">
        <v>0.77153492584897698</v>
      </c>
      <c r="AG4750">
        <v>7.4368999999999894E-2</v>
      </c>
      <c r="AH4750">
        <v>137.21971411882001</v>
      </c>
      <c r="AI4750">
        <v>89.9689478870839</v>
      </c>
      <c r="AJ4750">
        <v>89.677850741399894</v>
      </c>
      <c r="AK4750">
        <v>137.221903279836</v>
      </c>
    </row>
    <row r="4751" spans="1:37" x14ac:dyDescent="0.2">
      <c r="A4751" t="str">
        <f>"20200111153528176"</f>
        <v>20200111153528176</v>
      </c>
      <c r="B4751" t="str">
        <f>"1578728128170546"</f>
        <v>1578728128170546</v>
      </c>
      <c r="C4751" t="s">
        <v>37</v>
      </c>
      <c r="D4751">
        <v>4.7326969999999999</v>
      </c>
      <c r="E4751">
        <v>0.55014830000000003</v>
      </c>
      <c r="F4751" t="s">
        <v>69</v>
      </c>
      <c r="G4751">
        <v>-241.07</v>
      </c>
      <c r="H4751">
        <v>0.47267870000000001</v>
      </c>
      <c r="I4751">
        <v>7.1409179999999903</v>
      </c>
      <c r="J4751">
        <v>-377.65210000000002</v>
      </c>
      <c r="K4751">
        <v>1.104471</v>
      </c>
      <c r="L4751">
        <v>17.823149999999998</v>
      </c>
      <c r="M4751">
        <v>0.99710639999999995</v>
      </c>
      <c r="N4751">
        <v>0</v>
      </c>
      <c r="O4751">
        <v>-7.5365520000000005E-2</v>
      </c>
      <c r="P4751">
        <v>0.99808799999999998</v>
      </c>
      <c r="Q4751">
        <v>2.9886920000000001E-2</v>
      </c>
      <c r="R4751">
        <v>5.4103989999999998E-2</v>
      </c>
      <c r="S4751">
        <v>3.0198969999999998</v>
      </c>
      <c r="T4751">
        <v>-1.3950819999999999E-2</v>
      </c>
      <c r="U4751">
        <v>-0.23617550000000001</v>
      </c>
      <c r="V4751">
        <v>-0.1291793</v>
      </c>
      <c r="W4751">
        <v>3.9729449999999999E-2</v>
      </c>
      <c r="X4751">
        <v>0.99082510000000001</v>
      </c>
      <c r="Y4751">
        <v>2.6075989999999999E-3</v>
      </c>
      <c r="Z4751">
        <v>3.411291E-4</v>
      </c>
      <c r="AA4751">
        <v>0.99999649999999995</v>
      </c>
      <c r="AB4751">
        <v>23</v>
      </c>
      <c r="AC4751">
        <v>136.5821</v>
      </c>
      <c r="AD4751">
        <v>-0.63179229999999997</v>
      </c>
      <c r="AE4751">
        <v>-10.682232000000001</v>
      </c>
      <c r="AF4751">
        <v>0.35775098131434602</v>
      </c>
      <c r="AG4751">
        <v>-0.63179229999999997</v>
      </c>
      <c r="AH4751">
        <v>136.995816861658</v>
      </c>
      <c r="AI4751">
        <v>90.264231807183407</v>
      </c>
      <c r="AJ4751">
        <v>89.850378097508298</v>
      </c>
      <c r="AK4751">
        <v>136.99774080205799</v>
      </c>
    </row>
    <row r="4752" spans="1:37" x14ac:dyDescent="0.2">
      <c r="A4752" t="str">
        <f>"20200111153528189"</f>
        <v>20200111153528189</v>
      </c>
      <c r="B4752" t="str">
        <f>"1578728128180304"</f>
        <v>1578728128180304</v>
      </c>
      <c r="C4752" t="s">
        <v>37</v>
      </c>
      <c r="D4752">
        <v>4.713724</v>
      </c>
      <c r="E4752">
        <v>0.54985879999999998</v>
      </c>
      <c r="F4752" t="s">
        <v>69</v>
      </c>
      <c r="G4752">
        <v>-241.07</v>
      </c>
      <c r="H4752">
        <v>0.16814370000000001</v>
      </c>
      <c r="I4752">
        <v>7.0991339999999896</v>
      </c>
      <c r="J4752">
        <v>-377.50779999999997</v>
      </c>
      <c r="K4752">
        <v>1.104455</v>
      </c>
      <c r="L4752">
        <v>17.812349999999999</v>
      </c>
      <c r="M4752">
        <v>0.99711329999999998</v>
      </c>
      <c r="N4752">
        <v>0</v>
      </c>
      <c r="O4752">
        <v>-7.5291629999999998E-2</v>
      </c>
      <c r="P4752">
        <v>0.99810350000000003</v>
      </c>
      <c r="Q4752">
        <v>3.0707189999999999E-2</v>
      </c>
      <c r="R4752">
        <v>5.3354140000000001E-2</v>
      </c>
      <c r="S4752">
        <v>3.01922599999999</v>
      </c>
      <c r="T4752">
        <v>-2.0698190000000002E-2</v>
      </c>
      <c r="U4752">
        <v>-0.23706050000000001</v>
      </c>
      <c r="V4752">
        <v>-0.12835779999999999</v>
      </c>
      <c r="W4752">
        <v>4.0426509999999999E-2</v>
      </c>
      <c r="X4752">
        <v>0.9909036</v>
      </c>
      <c r="Y4752">
        <v>2.991329E-3</v>
      </c>
      <c r="Z4752">
        <v>5.0440119999999998E-4</v>
      </c>
      <c r="AA4752">
        <v>0.99999539999999998</v>
      </c>
      <c r="AB4752">
        <v>23</v>
      </c>
      <c r="AC4752">
        <v>136.43779999999899</v>
      </c>
      <c r="AD4752">
        <v>-0.93631129999999996</v>
      </c>
      <c r="AE4752">
        <v>-10.713215999999999</v>
      </c>
      <c r="AF4752">
        <v>0.40966634292120702</v>
      </c>
      <c r="AG4752">
        <v>-0.93631129999999996</v>
      </c>
      <c r="AH4752">
        <v>136.85074060736</v>
      </c>
      <c r="AI4752">
        <v>90.392000862746997</v>
      </c>
      <c r="AJ4752">
        <v>89.828484067815396</v>
      </c>
      <c r="AK4752">
        <v>136.85455677523399</v>
      </c>
    </row>
    <row r="4753" spans="1:37" x14ac:dyDescent="0.2">
      <c r="A4753" t="str">
        <f>"20200111153528202"</f>
        <v>20200111153528202</v>
      </c>
      <c r="B4753" t="str">
        <f>"1578728128191041"</f>
        <v>1578728128191041</v>
      </c>
      <c r="C4753" t="s">
        <v>37</v>
      </c>
      <c r="D4753">
        <v>4.7219319999999998</v>
      </c>
      <c r="E4753">
        <v>0.54946680000000003</v>
      </c>
      <c r="F4753" t="s">
        <v>69</v>
      </c>
      <c r="G4753">
        <v>-241.07</v>
      </c>
      <c r="H4753">
        <v>0.183672</v>
      </c>
      <c r="I4753">
        <v>7.1030449999999998</v>
      </c>
      <c r="J4753">
        <v>-377.38049999999998</v>
      </c>
      <c r="K4753">
        <v>1.1044449999999999</v>
      </c>
      <c r="L4753">
        <v>17.802800000000001</v>
      </c>
      <c r="M4753">
        <v>0.99711890000000003</v>
      </c>
      <c r="N4753">
        <v>0</v>
      </c>
      <c r="O4753">
        <v>-7.5232579999999993E-2</v>
      </c>
      <c r="P4753">
        <v>0.99813159999999901</v>
      </c>
      <c r="Q4753">
        <v>3.1388510000000001E-2</v>
      </c>
      <c r="R4753">
        <v>5.2422910000000003E-2</v>
      </c>
      <c r="S4753">
        <v>3.019012</v>
      </c>
      <c r="T4753">
        <v>-2.0374659999999999E-2</v>
      </c>
      <c r="U4753">
        <v>-0.23696900000000001</v>
      </c>
      <c r="V4753">
        <v>-0.12737200000000001</v>
      </c>
      <c r="W4753">
        <v>4.1001089999999997E-2</v>
      </c>
      <c r="X4753">
        <v>0.99100719999999998</v>
      </c>
      <c r="Y4753">
        <v>3.0259709999999902E-3</v>
      </c>
      <c r="Z4753">
        <v>4.9603889999999995E-4</v>
      </c>
      <c r="AA4753">
        <v>0.99999530000000003</v>
      </c>
      <c r="AB4753">
        <v>23</v>
      </c>
      <c r="AC4753">
        <v>136.31049999999999</v>
      </c>
      <c r="AD4753">
        <v>-0.92077299999999995</v>
      </c>
      <c r="AE4753">
        <v>-10.699755</v>
      </c>
      <c r="AF4753">
        <v>0.41393801539227498</v>
      </c>
      <c r="AG4753">
        <v>-0.92077299999999995</v>
      </c>
      <c r="AH4753">
        <v>136.72296914613099</v>
      </c>
      <c r="AI4753">
        <v>90.385855922987702</v>
      </c>
      <c r="AJ4753">
        <v>89.826533691111507</v>
      </c>
      <c r="AK4753">
        <v>136.726696221814</v>
      </c>
    </row>
    <row r="4754" spans="1:37" x14ac:dyDescent="0.2">
      <c r="A4754" t="str">
        <f>"20200111153528219"</f>
        <v>20200111153528219</v>
      </c>
      <c r="B4754" t="str">
        <f>"1578728128210158"</f>
        <v>1578728128210158</v>
      </c>
      <c r="C4754" t="s">
        <v>37</v>
      </c>
      <c r="D4754">
        <v>4.6743249999999996</v>
      </c>
      <c r="E4754">
        <v>0.54899529999999996</v>
      </c>
      <c r="F4754" t="s">
        <v>69</v>
      </c>
      <c r="G4754">
        <v>-241.07</v>
      </c>
      <c r="H4754">
        <v>0.22446060000000001</v>
      </c>
      <c r="I4754">
        <v>7.1159649999999903</v>
      </c>
      <c r="J4754">
        <v>-377.19569999999999</v>
      </c>
      <c r="K4754">
        <v>1.1044240000000001</v>
      </c>
      <c r="L4754">
        <v>17.78894</v>
      </c>
      <c r="M4754">
        <v>0.99712630000000002</v>
      </c>
      <c r="N4754">
        <v>0</v>
      </c>
      <c r="O4754">
        <v>-7.5155650000000004E-2</v>
      </c>
      <c r="P4754">
        <v>0.99821299999999902</v>
      </c>
      <c r="Q4754">
        <v>3.1758359999999999E-2</v>
      </c>
      <c r="R4754">
        <v>5.0620470000000001E-2</v>
      </c>
      <c r="S4754">
        <v>3.0186459999999999</v>
      </c>
      <c r="T4754">
        <v>-1.948774E-2</v>
      </c>
      <c r="U4754">
        <v>-0.23666379999999901</v>
      </c>
      <c r="V4754">
        <v>-0.12550359999999999</v>
      </c>
      <c r="W4754">
        <v>4.1220729999999997E-2</v>
      </c>
      <c r="X4754">
        <v>0.99123639999999902</v>
      </c>
      <c r="Y4754">
        <v>3.0120859999999902E-3</v>
      </c>
      <c r="Z4754">
        <v>4.7405610000000002E-4</v>
      </c>
      <c r="AA4754">
        <v>0.99999539999999998</v>
      </c>
      <c r="AB4754">
        <v>23</v>
      </c>
      <c r="AC4754">
        <v>136.12569999999999</v>
      </c>
      <c r="AD4754">
        <v>-0.87996339999999995</v>
      </c>
      <c r="AE4754">
        <v>-10.672974999999999</v>
      </c>
      <c r="AF4754">
        <v>0.41169019382706101</v>
      </c>
      <c r="AG4754">
        <v>-0.87996339999999995</v>
      </c>
      <c r="AH4754">
        <v>136.537176374528</v>
      </c>
      <c r="AI4754">
        <v>90.369256660067094</v>
      </c>
      <c r="AJ4754">
        <v>89.827240904524501</v>
      </c>
      <c r="AK4754">
        <v>136.54063262168501</v>
      </c>
    </row>
    <row r="4755" spans="1:37" x14ac:dyDescent="0.2">
      <c r="A4755" t="str">
        <f>"20200111153528232"</f>
        <v>20200111153528232</v>
      </c>
      <c r="B4755" t="str">
        <f>"1578728128220892"</f>
        <v>1578728128220892</v>
      </c>
      <c r="C4755" t="s">
        <v>37</v>
      </c>
      <c r="D4755">
        <v>4.6976319999999996</v>
      </c>
      <c r="E4755">
        <v>0.54875589999999996</v>
      </c>
      <c r="F4755" t="s">
        <v>38</v>
      </c>
      <c r="G4755">
        <v>-216.13589999999999</v>
      </c>
      <c r="H4755">
        <v>-0.05</v>
      </c>
      <c r="I4755">
        <v>5.0668639999999998</v>
      </c>
      <c r="J4755">
        <v>-377.06670000000003</v>
      </c>
      <c r="K4755">
        <v>1.104411</v>
      </c>
      <c r="L4755">
        <v>17.77927</v>
      </c>
      <c r="M4755">
        <v>0.99713099999999999</v>
      </c>
      <c r="N4755">
        <v>0</v>
      </c>
      <c r="O4755">
        <v>-7.5104050000000006E-2</v>
      </c>
      <c r="P4755">
        <v>0.99827129999999997</v>
      </c>
      <c r="Q4755">
        <v>3.0845480000000002E-2</v>
      </c>
      <c r="R4755">
        <v>5.0030730000000002E-2</v>
      </c>
      <c r="S4755">
        <v>3.0181580000000001</v>
      </c>
      <c r="T4755">
        <v>-2.163315E-2</v>
      </c>
      <c r="U4755">
        <v>-0.23840329999999901</v>
      </c>
      <c r="V4755">
        <v>-0.124868699999999</v>
      </c>
      <c r="W4755">
        <v>4.0205909999999997E-2</v>
      </c>
      <c r="X4755">
        <v>0.99135830000000003</v>
      </c>
      <c r="Y4755">
        <v>3.6496269999999999E-3</v>
      </c>
      <c r="Z4755">
        <v>5.2366420000000003E-4</v>
      </c>
      <c r="AA4755">
        <v>0.99999319999999903</v>
      </c>
      <c r="AB4755">
        <v>23</v>
      </c>
      <c r="AC4755">
        <v>160.9308</v>
      </c>
      <c r="AD4755">
        <v>-1.1544110000000001</v>
      </c>
      <c r="AE4755">
        <v>-12.712406</v>
      </c>
      <c r="AF4755">
        <v>0.58937539164263797</v>
      </c>
      <c r="AG4755">
        <v>-1.1544110000000001</v>
      </c>
      <c r="AH4755">
        <v>161.42278391391</v>
      </c>
      <c r="AI4755">
        <v>90.4097396174175</v>
      </c>
      <c r="AJ4755">
        <v>89.790806653073403</v>
      </c>
      <c r="AK4755">
        <v>161.427987643488</v>
      </c>
    </row>
    <row r="4756" spans="1:37" x14ac:dyDescent="0.2">
      <c r="A4756" t="str">
        <f>"20200111153528246"</f>
        <v>20200111153528246</v>
      </c>
      <c r="B4756" t="str">
        <f>"1578728128240412"</f>
        <v>1578728128240412</v>
      </c>
      <c r="C4756" t="s">
        <v>37</v>
      </c>
      <c r="D4756">
        <v>4.7062530000000002</v>
      </c>
      <c r="E4756">
        <v>0.54822769999999899</v>
      </c>
      <c r="F4756" t="s">
        <v>38</v>
      </c>
      <c r="G4756">
        <v>-244.16839999999999</v>
      </c>
      <c r="H4756">
        <v>-0.05</v>
      </c>
      <c r="I4756">
        <v>7.2850799999999998</v>
      </c>
      <c r="J4756">
        <v>-376.9316</v>
      </c>
      <c r="K4756">
        <v>1.1043989999999999</v>
      </c>
      <c r="L4756">
        <v>17.769169999999999</v>
      </c>
      <c r="M4756">
        <v>0.99713609999999897</v>
      </c>
      <c r="N4756">
        <v>0</v>
      </c>
      <c r="O4756">
        <v>-7.5048980000000001E-2</v>
      </c>
      <c r="P4756">
        <v>0.99835429999999903</v>
      </c>
      <c r="Q4756">
        <v>2.9486109999999999E-2</v>
      </c>
      <c r="R4756">
        <v>4.9187040000000001E-2</v>
      </c>
      <c r="S4756">
        <v>3.0179749999999999</v>
      </c>
      <c r="T4756">
        <v>-2.6215430000000001E-2</v>
      </c>
      <c r="U4756">
        <v>-0.23831179999999999</v>
      </c>
      <c r="V4756">
        <v>-0.12397909999999999</v>
      </c>
      <c r="W4756">
        <v>3.874507E-2</v>
      </c>
      <c r="X4756">
        <v>0.99152809999999902</v>
      </c>
      <c r="Y4756">
        <v>3.6803829999999902E-3</v>
      </c>
      <c r="Z4756">
        <v>6.3401120000000004E-4</v>
      </c>
      <c r="AA4756">
        <v>0.99999300000000002</v>
      </c>
      <c r="AB4756">
        <v>23</v>
      </c>
      <c r="AC4756">
        <v>132.76320000000001</v>
      </c>
      <c r="AD4756">
        <v>-1.154399</v>
      </c>
      <c r="AE4756">
        <v>-10.48409</v>
      </c>
      <c r="AF4756">
        <v>0.490306424092533</v>
      </c>
      <c r="AG4756">
        <v>-1.154399</v>
      </c>
      <c r="AH4756">
        <v>133.16560382936299</v>
      </c>
      <c r="AI4756">
        <v>90.496675444679795</v>
      </c>
      <c r="AJ4756">
        <v>89.789041907102401</v>
      </c>
      <c r="AK4756">
        <v>133.17151001877099</v>
      </c>
    </row>
    <row r="4757" spans="1:37" x14ac:dyDescent="0.2">
      <c r="A4757" t="str">
        <f>"20200111153528260"</f>
        <v>20200111153528260</v>
      </c>
      <c r="B4757" t="str">
        <f>"1578728128250172"</f>
        <v>1578728128250172</v>
      </c>
      <c r="C4757" t="s">
        <v>37</v>
      </c>
      <c r="D4757">
        <v>4.7010129999999997</v>
      </c>
      <c r="E4757">
        <v>0.54812159999999999</v>
      </c>
      <c r="F4757" t="s">
        <v>38</v>
      </c>
      <c r="G4757">
        <v>-270.36759999999998</v>
      </c>
      <c r="H4757">
        <v>-0.05</v>
      </c>
      <c r="I4757">
        <v>9.4114380000000004</v>
      </c>
      <c r="J4757">
        <v>-376.78089999999997</v>
      </c>
      <c r="K4757">
        <v>1.1043879999999999</v>
      </c>
      <c r="L4757">
        <v>17.75787</v>
      </c>
      <c r="M4757">
        <v>0.99714190000000003</v>
      </c>
      <c r="N4757">
        <v>0</v>
      </c>
      <c r="O4757">
        <v>-7.498647E-2</v>
      </c>
      <c r="P4757">
        <v>0.99842790000000003</v>
      </c>
      <c r="Q4757">
        <v>2.7962359999999999E-2</v>
      </c>
      <c r="R4757">
        <v>4.8579419999999998E-2</v>
      </c>
      <c r="S4757">
        <v>3.0175480000000001</v>
      </c>
      <c r="T4757">
        <v>-3.268886E-2</v>
      </c>
      <c r="U4757">
        <v>-0.23666379999999901</v>
      </c>
      <c r="V4757">
        <v>-0.1233168</v>
      </c>
      <c r="W4757">
        <v>3.7112599999999898E-2</v>
      </c>
      <c r="X4757">
        <v>0.99167320000000003</v>
      </c>
      <c r="Y4757">
        <v>3.2130269999999998E-3</v>
      </c>
      <c r="Z4757">
        <v>7.9254569999999999E-4</v>
      </c>
      <c r="AA4757">
        <v>0.99999450000000001</v>
      </c>
      <c r="AB4757">
        <v>23</v>
      </c>
      <c r="AC4757">
        <v>106.41330000000001</v>
      </c>
      <c r="AD4757">
        <v>-1.154388</v>
      </c>
      <c r="AE4757">
        <v>-8.3464320000000001</v>
      </c>
      <c r="AF4757">
        <v>0.34299380673290097</v>
      </c>
      <c r="AG4757">
        <v>-1.154388</v>
      </c>
      <c r="AH4757">
        <v>106.72708626907</v>
      </c>
      <c r="AI4757">
        <v>90.619698728432397</v>
      </c>
      <c r="AJ4757">
        <v>89.815866519403698</v>
      </c>
      <c r="AK4757">
        <v>106.733880281247</v>
      </c>
    </row>
    <row r="4758" spans="1:37" x14ac:dyDescent="0.2">
      <c r="A4758" t="str">
        <f>"20200111153528274"</f>
        <v>20200111153528274</v>
      </c>
      <c r="B4758" t="str">
        <f>"1578728128270668"</f>
        <v>1578728128270668</v>
      </c>
      <c r="C4758" t="s">
        <v>37</v>
      </c>
      <c r="D4758">
        <v>4.6707809999999998</v>
      </c>
      <c r="E4758">
        <v>0.54776930000000001</v>
      </c>
      <c r="F4758" t="s">
        <v>38</v>
      </c>
      <c r="G4758">
        <v>-282.00580000000002</v>
      </c>
      <c r="H4758">
        <v>-0.05</v>
      </c>
      <c r="I4758">
        <v>10.29161</v>
      </c>
      <c r="J4758">
        <v>-376.62889999999999</v>
      </c>
      <c r="K4758">
        <v>1.1043700000000001</v>
      </c>
      <c r="L4758">
        <v>17.74652</v>
      </c>
      <c r="M4758">
        <v>0.99714789999999998</v>
      </c>
      <c r="N4758">
        <v>0</v>
      </c>
      <c r="O4758">
        <v>-7.4918860000000004E-2</v>
      </c>
      <c r="P4758">
        <v>0.99859010000000004</v>
      </c>
      <c r="Q4758">
        <v>2.430537E-2</v>
      </c>
      <c r="R4758">
        <v>4.7195999999999898E-2</v>
      </c>
      <c r="S4758">
        <v>3.017334</v>
      </c>
      <c r="T4758">
        <v>-3.6751989999999998E-2</v>
      </c>
      <c r="U4758">
        <v>-0.23770140000000001</v>
      </c>
      <c r="V4758">
        <v>-0.1218825</v>
      </c>
      <c r="W4758">
        <v>3.3357459999999999E-2</v>
      </c>
      <c r="X4758">
        <v>0.99198379999999997</v>
      </c>
      <c r="Y4758">
        <v>3.6292400000000002E-3</v>
      </c>
      <c r="Z4758">
        <v>8.877472E-4</v>
      </c>
      <c r="AA4758">
        <v>0.99999300000000002</v>
      </c>
      <c r="AB4758">
        <v>23</v>
      </c>
      <c r="AC4758">
        <v>94.623099999999894</v>
      </c>
      <c r="AD4758">
        <v>-1.1543699999999999</v>
      </c>
      <c r="AE4758">
        <v>-7.4549099999999999</v>
      </c>
      <c r="AF4758">
        <v>0.34455644603819502</v>
      </c>
      <c r="AG4758">
        <v>-1.1543699999999999</v>
      </c>
      <c r="AH4758">
        <v>94.901651558754295</v>
      </c>
      <c r="AI4758">
        <v>90.696898634608601</v>
      </c>
      <c r="AJ4758">
        <v>89.791978926653599</v>
      </c>
      <c r="AK4758">
        <v>94.909297530961695</v>
      </c>
    </row>
    <row r="4759" spans="1:37" x14ac:dyDescent="0.2">
      <c r="A4759" t="str">
        <f>"20200111153528289"</f>
        <v>20200111153528289</v>
      </c>
      <c r="B4759" t="str">
        <f>"1578728128280429"</f>
        <v>1578728128280429</v>
      </c>
      <c r="C4759" t="s">
        <v>37</v>
      </c>
      <c r="D4759">
        <v>4.6755769999999997</v>
      </c>
      <c r="E4759">
        <v>0.54758240000000002</v>
      </c>
      <c r="F4759" t="s">
        <v>38</v>
      </c>
      <c r="G4759">
        <v>-305.5598</v>
      </c>
      <c r="H4759">
        <v>-0.05</v>
      </c>
      <c r="I4759">
        <v>12.115080000000001</v>
      </c>
      <c r="J4759">
        <v>-376.4864</v>
      </c>
      <c r="K4759">
        <v>1.104371</v>
      </c>
      <c r="L4759">
        <v>17.735869999999998</v>
      </c>
      <c r="M4759">
        <v>0.99715359999999997</v>
      </c>
      <c r="N4759">
        <v>0</v>
      </c>
      <c r="O4759">
        <v>-7.4850600000000003E-2</v>
      </c>
      <c r="P4759">
        <v>0.99864279999999905</v>
      </c>
      <c r="Q4759">
        <v>2.3249510000000001E-2</v>
      </c>
      <c r="R4759">
        <v>4.6604479999999997E-2</v>
      </c>
      <c r="S4759">
        <v>3.0167540000000002</v>
      </c>
      <c r="T4759">
        <v>-4.900086E-2</v>
      </c>
      <c r="U4759">
        <v>-0.23904420000000001</v>
      </c>
      <c r="V4759">
        <v>-0.12122910000000001</v>
      </c>
      <c r="W4759">
        <v>3.2213180000000001E-2</v>
      </c>
      <c r="X4759">
        <v>0.99210169999999998</v>
      </c>
      <c r="Y4759">
        <v>4.1591390000000001E-3</v>
      </c>
      <c r="Z4759">
        <v>1.178386E-3</v>
      </c>
      <c r="AA4759">
        <v>0.99999059999999995</v>
      </c>
      <c r="AB4759">
        <v>23</v>
      </c>
      <c r="AC4759">
        <v>70.926599999999993</v>
      </c>
      <c r="AD4759">
        <v>-1.15437099999999</v>
      </c>
      <c r="AE4759">
        <v>-5.6207900000000004</v>
      </c>
      <c r="AF4759">
        <v>0.295826688674663</v>
      </c>
      <c r="AG4759">
        <v>-1.15437099999999</v>
      </c>
      <c r="AH4759">
        <v>71.1296299831304</v>
      </c>
      <c r="AI4759">
        <v>90.929770175492393</v>
      </c>
      <c r="AJ4759">
        <v>89.761709388802799</v>
      </c>
      <c r="AK4759">
        <v>71.139611661664404</v>
      </c>
    </row>
    <row r="4760" spans="1:37" x14ac:dyDescent="0.2">
      <c r="A4760" t="str">
        <f>"20200111153528301"</f>
        <v>20200111153528301</v>
      </c>
      <c r="B4760" t="str">
        <f>"1578728128290188"</f>
        <v>1578728128290188</v>
      </c>
      <c r="C4760" t="s">
        <v>37</v>
      </c>
      <c r="D4760">
        <v>4.7149089999999996</v>
      </c>
      <c r="E4760">
        <v>0.54736770000000001</v>
      </c>
      <c r="F4760" t="s">
        <v>38</v>
      </c>
      <c r="G4760">
        <v>-310.93310000000002</v>
      </c>
      <c r="H4760">
        <v>-0.05</v>
      </c>
      <c r="I4760">
        <v>12.534409999999999</v>
      </c>
      <c r="J4760">
        <v>-376.35359999999997</v>
      </c>
      <c r="K4760">
        <v>1.1043719999999999</v>
      </c>
      <c r="L4760">
        <v>17.72598</v>
      </c>
      <c r="M4760">
        <v>0.99715949999999998</v>
      </c>
      <c r="N4760">
        <v>0</v>
      </c>
      <c r="O4760">
        <v>-7.4783939999999993E-2</v>
      </c>
      <c r="P4760">
        <v>0.99868959999999996</v>
      </c>
      <c r="Q4760">
        <v>2.2584670000000001E-2</v>
      </c>
      <c r="R4760">
        <v>4.592574E-2</v>
      </c>
      <c r="S4760">
        <v>3.0164789999999999</v>
      </c>
      <c r="T4760">
        <v>-5.3119180000000002E-2</v>
      </c>
      <c r="U4760">
        <v>-0.23934939999999999</v>
      </c>
      <c r="V4760">
        <v>-0.1204896</v>
      </c>
      <c r="W4760">
        <v>3.1470650000000003E-2</v>
      </c>
      <c r="X4760">
        <v>0.99221559999999898</v>
      </c>
      <c r="Y4760">
        <v>4.3353369999999999E-3</v>
      </c>
      <c r="Z4760">
        <v>1.274802E-3</v>
      </c>
      <c r="AA4760">
        <v>0.99998980000000004</v>
      </c>
      <c r="AB4760">
        <v>23</v>
      </c>
      <c r="AC4760">
        <v>65.420499999999905</v>
      </c>
      <c r="AD4760">
        <v>-1.154372</v>
      </c>
      <c r="AE4760">
        <v>-5.1915699999999898</v>
      </c>
      <c r="AF4760">
        <v>0.28434403843195</v>
      </c>
      <c r="AG4760">
        <v>-1.154372</v>
      </c>
      <c r="AH4760">
        <v>65.605254780303099</v>
      </c>
      <c r="AI4760">
        <v>91.008047268898494</v>
      </c>
      <c r="AJ4760">
        <v>89.751672158360904</v>
      </c>
      <c r="AK4760">
        <v>65.616026099079306</v>
      </c>
    </row>
    <row r="4761" spans="1:37" x14ac:dyDescent="0.2">
      <c r="A4761" t="str">
        <f>"20200111153528313"</f>
        <v>20200111153528313</v>
      </c>
      <c r="B4761" t="str">
        <f>"1578728128300641"</f>
        <v>1578728128300641</v>
      </c>
      <c r="C4761" t="s">
        <v>37</v>
      </c>
      <c r="D4761">
        <v>4.6728199999999998</v>
      </c>
      <c r="E4761">
        <v>0.54713159999999905</v>
      </c>
      <c r="F4761" t="s">
        <v>38</v>
      </c>
      <c r="G4761">
        <v>-314.18400000000003</v>
      </c>
      <c r="H4761">
        <v>-0.05</v>
      </c>
      <c r="I4761">
        <v>12.78815</v>
      </c>
      <c r="J4761">
        <v>-376.22539999999998</v>
      </c>
      <c r="K4761">
        <v>1.1043780000000001</v>
      </c>
      <c r="L4761">
        <v>17.716429999999999</v>
      </c>
      <c r="M4761">
        <v>0.99716530000000003</v>
      </c>
      <c r="N4761">
        <v>0</v>
      </c>
      <c r="O4761">
        <v>-7.4714459999999996E-2</v>
      </c>
      <c r="P4761">
        <v>0.99871580000000004</v>
      </c>
      <c r="Q4761">
        <v>2.276618E-2</v>
      </c>
      <c r="R4761">
        <v>4.5257369999999998E-2</v>
      </c>
      <c r="S4761">
        <v>3.0162049999999998</v>
      </c>
      <c r="T4761">
        <v>-5.6005239999999998E-2</v>
      </c>
      <c r="U4761">
        <v>-0.239563</v>
      </c>
      <c r="V4761">
        <v>-0.1197558</v>
      </c>
      <c r="W4761">
        <v>3.1583130000000001E-2</v>
      </c>
      <c r="X4761">
        <v>0.99230090000000004</v>
      </c>
      <c r="Y4761">
        <v>4.4837790000000002E-3</v>
      </c>
      <c r="Z4761">
        <v>1.3415089999999901E-3</v>
      </c>
      <c r="AA4761">
        <v>0.99998899999999902</v>
      </c>
      <c r="AB4761">
        <v>23</v>
      </c>
      <c r="AC4761">
        <v>62.041399999999904</v>
      </c>
      <c r="AD4761">
        <v>-1.1543779999999999</v>
      </c>
      <c r="AE4761">
        <v>-4.9282799999999902</v>
      </c>
      <c r="AF4761">
        <v>0.27883521118888499</v>
      </c>
      <c r="AG4761">
        <v>-1.1543779999999999</v>
      </c>
      <c r="AH4761">
        <v>62.214802951110997</v>
      </c>
      <c r="AI4761">
        <v>91.062974267727498</v>
      </c>
      <c r="AJ4761">
        <v>89.743212659117503</v>
      </c>
      <c r="AK4761">
        <v>62.226136340668397</v>
      </c>
    </row>
    <row r="4762" spans="1:37" x14ac:dyDescent="0.2">
      <c r="A4762" t="str">
        <f>"20200111153528330"</f>
        <v>20200111153528330</v>
      </c>
      <c r="B4762" t="str">
        <f>"1578728128321136"</f>
        <v>1578728128321136</v>
      </c>
      <c r="C4762" t="s">
        <v>37</v>
      </c>
      <c r="D4762">
        <v>4.6787019999999897</v>
      </c>
      <c r="E4762">
        <v>0.54673329999999998</v>
      </c>
      <c r="F4762" t="s">
        <v>38</v>
      </c>
      <c r="G4762">
        <v>-313.9461</v>
      </c>
      <c r="H4762">
        <v>-0.05</v>
      </c>
      <c r="I4762">
        <v>12.7677</v>
      </c>
      <c r="J4762">
        <v>-376.04680000000002</v>
      </c>
      <c r="K4762">
        <v>1.1043909999999999</v>
      </c>
      <c r="L4762">
        <v>17.70316</v>
      </c>
      <c r="M4762">
        <v>0.99717369999999905</v>
      </c>
      <c r="N4762">
        <v>0</v>
      </c>
      <c r="O4762">
        <v>-7.4612600000000001E-2</v>
      </c>
      <c r="P4762">
        <v>0.99868950000000001</v>
      </c>
      <c r="Q4762">
        <v>2.4593029999999998E-2</v>
      </c>
      <c r="R4762">
        <v>4.4882430000000001E-2</v>
      </c>
      <c r="S4762">
        <v>3.016022</v>
      </c>
      <c r="T4762">
        <v>-5.5903429999999997E-2</v>
      </c>
      <c r="U4762">
        <v>-0.23965449999999999</v>
      </c>
      <c r="V4762">
        <v>-0.119279199999999</v>
      </c>
      <c r="W4762">
        <v>3.3320290000000002E-2</v>
      </c>
      <c r="X4762">
        <v>0.99230149999999995</v>
      </c>
      <c r="Y4762">
        <v>4.6208680000000002E-3</v>
      </c>
      <c r="Z4762">
        <v>1.3360029999999899E-3</v>
      </c>
      <c r="AA4762">
        <v>0.9999884</v>
      </c>
      <c r="AB4762">
        <v>23</v>
      </c>
      <c r="AC4762">
        <v>62.100700000000003</v>
      </c>
      <c r="AD4762">
        <v>-1.1543909999999999</v>
      </c>
      <c r="AE4762">
        <v>-4.93546</v>
      </c>
      <c r="AF4762">
        <v>0.28792852255796397</v>
      </c>
      <c r="AG4762">
        <v>-1.1543909999999999</v>
      </c>
      <c r="AH4762">
        <v>62.274464574750397</v>
      </c>
      <c r="AI4762">
        <v>91.061967397255799</v>
      </c>
      <c r="AJ4762">
        <v>89.735092518182199</v>
      </c>
      <c r="AK4762">
        <v>62.285828721201298</v>
      </c>
    </row>
    <row r="4763" spans="1:37" x14ac:dyDescent="0.2">
      <c r="A4763" t="str">
        <f>"20200111153528342"</f>
        <v>20200111153528342</v>
      </c>
      <c r="B4763" t="str">
        <f>"1578728128330897"</f>
        <v>1578728128330897</v>
      </c>
      <c r="C4763" t="s">
        <v>37</v>
      </c>
      <c r="D4763">
        <v>4.7288540000000001</v>
      </c>
      <c r="E4763">
        <v>0.54644820000000005</v>
      </c>
      <c r="F4763" t="s">
        <v>38</v>
      </c>
      <c r="G4763">
        <v>-308.26830000000001</v>
      </c>
      <c r="H4763">
        <v>-0.05</v>
      </c>
      <c r="I4763">
        <v>12.36722</v>
      </c>
      <c r="J4763">
        <v>-375.9239</v>
      </c>
      <c r="K4763">
        <v>1.1044039999999999</v>
      </c>
      <c r="L4763">
        <v>17.694029999999898</v>
      </c>
      <c r="M4763">
        <v>0.99717960000000005</v>
      </c>
      <c r="N4763">
        <v>0</v>
      </c>
      <c r="O4763">
        <v>-7.4539859999999999E-2</v>
      </c>
      <c r="P4763">
        <v>0.99865530000000002</v>
      </c>
      <c r="Q4763">
        <v>2.606969E-2</v>
      </c>
      <c r="R4763">
        <v>4.4812989999999997E-2</v>
      </c>
      <c r="S4763">
        <v>3.0158689999999999</v>
      </c>
      <c r="T4763">
        <v>-5.1365729999999998E-2</v>
      </c>
      <c r="U4763">
        <v>-0.23742679999999999</v>
      </c>
      <c r="V4763">
        <v>-0.1191358</v>
      </c>
      <c r="W4763">
        <v>3.4738999999999999E-2</v>
      </c>
      <c r="X4763">
        <v>0.99227009999999904</v>
      </c>
      <c r="Y4763">
        <v>3.9619800000000004E-3</v>
      </c>
      <c r="Z4763">
        <v>1.2320499999999999E-3</v>
      </c>
      <c r="AA4763">
        <v>0.99999139999999997</v>
      </c>
      <c r="AB4763">
        <v>23</v>
      </c>
      <c r="AC4763">
        <v>67.655599999999893</v>
      </c>
      <c r="AD4763">
        <v>-1.154404</v>
      </c>
      <c r="AE4763">
        <v>-5.3268099999999903</v>
      </c>
      <c r="AF4763">
        <v>0.26867987115895797</v>
      </c>
      <c r="AG4763">
        <v>-1.154404</v>
      </c>
      <c r="AH4763">
        <v>67.844813998079104</v>
      </c>
      <c r="AI4763">
        <v>90.974806658160702</v>
      </c>
      <c r="AJ4763">
        <v>89.773097731811703</v>
      </c>
      <c r="AK4763">
        <v>67.855166523282094</v>
      </c>
    </row>
    <row r="4764" spans="1:37" x14ac:dyDescent="0.2">
      <c r="A4764" t="str">
        <f>"20200111153528355"</f>
        <v>20200111153528355</v>
      </c>
      <c r="B4764" t="str">
        <f>"1578728128350417"</f>
        <v>1578728128350417</v>
      </c>
      <c r="C4764" t="s">
        <v>37</v>
      </c>
      <c r="D4764">
        <v>4.7262969999999997</v>
      </c>
      <c r="E4764">
        <v>0.54647400000000002</v>
      </c>
      <c r="F4764" t="s">
        <v>38</v>
      </c>
      <c r="G4764">
        <v>-303.1259</v>
      </c>
      <c r="H4764">
        <v>-0.05</v>
      </c>
      <c r="I4764">
        <v>12.014530000000001</v>
      </c>
      <c r="J4764">
        <v>-375.78899999999999</v>
      </c>
      <c r="K4764">
        <v>1.1044160000000001</v>
      </c>
      <c r="L4764">
        <v>17.68402</v>
      </c>
      <c r="M4764">
        <v>0.99718629999999997</v>
      </c>
      <c r="N4764">
        <v>0</v>
      </c>
      <c r="O4764">
        <v>-7.4457229999999999E-2</v>
      </c>
      <c r="P4764">
        <v>0.99862320000000004</v>
      </c>
      <c r="Q4764">
        <v>2.752955E-2</v>
      </c>
      <c r="R4764">
        <v>4.465413E-2</v>
      </c>
      <c r="S4764">
        <v>3.0158689999999999</v>
      </c>
      <c r="T4764">
        <v>-4.7824499999999999E-2</v>
      </c>
      <c r="U4764">
        <v>-0.23529050000000001</v>
      </c>
      <c r="V4764">
        <v>-0.11889280000000001</v>
      </c>
      <c r="W4764">
        <v>3.6140510000000001E-2</v>
      </c>
      <c r="X4764">
        <v>0.99224909999999999</v>
      </c>
      <c r="Y4764">
        <v>3.3396059999999902E-3</v>
      </c>
      <c r="Z4764">
        <v>1.150784E-3</v>
      </c>
      <c r="AA4764">
        <v>0.99999369999999999</v>
      </c>
      <c r="AB4764">
        <v>23</v>
      </c>
      <c r="AC4764">
        <v>72.663099999999901</v>
      </c>
      <c r="AD4764">
        <v>-1.1544160000000001</v>
      </c>
      <c r="AE4764">
        <v>-5.6694899999999997</v>
      </c>
      <c r="AF4764">
        <v>0.243192790935121</v>
      </c>
      <c r="AG4764">
        <v>-1.1544160000000001</v>
      </c>
      <c r="AH4764">
        <v>72.865257330313</v>
      </c>
      <c r="AI4764">
        <v>90.907665263983603</v>
      </c>
      <c r="AJ4764">
        <v>89.808772118549797</v>
      </c>
      <c r="AK4764">
        <v>72.874807340036</v>
      </c>
    </row>
    <row r="4765" spans="1:37" x14ac:dyDescent="0.2">
      <c r="A4765" t="str">
        <f>"20200111153528369"</f>
        <v>20200111153528369</v>
      </c>
      <c r="B4765" t="str">
        <f>"1578728128360177"</f>
        <v>1578728128360177</v>
      </c>
      <c r="C4765" t="s">
        <v>37</v>
      </c>
      <c r="D4765">
        <v>4.7877879999999999</v>
      </c>
      <c r="E4765">
        <v>0.57691459999999894</v>
      </c>
      <c r="F4765" t="s">
        <v>38</v>
      </c>
      <c r="G4765">
        <v>-300.25740000000002</v>
      </c>
      <c r="H4765">
        <v>-0.05</v>
      </c>
      <c r="I4765">
        <v>11.776949999999999</v>
      </c>
      <c r="J4765">
        <v>-375.63959999999997</v>
      </c>
      <c r="K4765">
        <v>1.1044290000000001</v>
      </c>
      <c r="L4765">
        <v>17.672940000000001</v>
      </c>
      <c r="M4765">
        <v>0.99719380000000002</v>
      </c>
      <c r="N4765">
        <v>0</v>
      </c>
      <c r="O4765">
        <v>-7.4364459999999993E-2</v>
      </c>
      <c r="P4765">
        <v>0.99856999999999996</v>
      </c>
      <c r="Q4765">
        <v>2.8833190000000002E-2</v>
      </c>
      <c r="R4765">
        <v>4.5014060000000002E-2</v>
      </c>
      <c r="S4765">
        <v>3.0159910000000001</v>
      </c>
      <c r="T4765">
        <v>-4.6096089999999999E-2</v>
      </c>
      <c r="U4765">
        <v>-0.23587039999999901</v>
      </c>
      <c r="V4765">
        <v>-0.1191561</v>
      </c>
      <c r="W4765">
        <v>3.7384199999999999E-2</v>
      </c>
      <c r="X4765">
        <v>0.99217149999999998</v>
      </c>
      <c r="Y4765">
        <v>3.6199489999999999E-3</v>
      </c>
      <c r="Z4765">
        <v>1.105593E-3</v>
      </c>
      <c r="AA4765">
        <v>0.99999280000000002</v>
      </c>
      <c r="AB4765">
        <v>23</v>
      </c>
      <c r="AC4765">
        <v>75.382199999999898</v>
      </c>
      <c r="AD4765">
        <v>-1.1544289999999999</v>
      </c>
      <c r="AE4765">
        <v>-5.8959900000000003</v>
      </c>
      <c r="AF4765">
        <v>0.27363448011970798</v>
      </c>
      <c r="AG4765">
        <v>-1.1544289999999999</v>
      </c>
      <c r="AH4765">
        <v>75.594308106786698</v>
      </c>
      <c r="AI4765">
        <v>90.874911573097506</v>
      </c>
      <c r="AJ4765">
        <v>89.792603004674106</v>
      </c>
      <c r="AK4765">
        <v>75.603617640219795</v>
      </c>
    </row>
    <row r="4766" spans="1:37" x14ac:dyDescent="0.2">
      <c r="A4766" t="str">
        <f>"20200111153528381"</f>
        <v>20200111153528381</v>
      </c>
      <c r="B4766" t="str">
        <f>"1578728128370913"</f>
        <v>1578728128370913</v>
      </c>
      <c r="C4766" t="s">
        <v>37</v>
      </c>
      <c r="D4766">
        <v>4.8232799999999996</v>
      </c>
      <c r="E4766">
        <v>0.5794279</v>
      </c>
      <c r="F4766" t="s">
        <v>39</v>
      </c>
      <c r="G4766">
        <v>-324.2953</v>
      </c>
      <c r="H4766">
        <v>7.9985319999999999E-2</v>
      </c>
      <c r="I4766">
        <v>9.5816099999999995</v>
      </c>
      <c r="J4766">
        <v>-375.51319999999998</v>
      </c>
      <c r="K4766">
        <v>1.104438</v>
      </c>
      <c r="L4766">
        <v>17.66357</v>
      </c>
      <c r="M4766">
        <v>0.99720010000000003</v>
      </c>
      <c r="N4766">
        <v>0</v>
      </c>
      <c r="O4766">
        <v>-7.4285219999999999E-2</v>
      </c>
      <c r="P4766">
        <v>0.99853210000000003</v>
      </c>
      <c r="Q4766">
        <v>2.9919319999999999E-2</v>
      </c>
      <c r="R4766">
        <v>4.5149380000000003E-2</v>
      </c>
      <c r="S4766">
        <v>3.0275569999999998</v>
      </c>
      <c r="T4766">
        <v>-6.0407160000000001E-2</v>
      </c>
      <c r="U4766">
        <v>-0.47711179999999997</v>
      </c>
      <c r="V4766">
        <v>-0.1192096</v>
      </c>
      <c r="W4766">
        <v>3.8422959999999999E-2</v>
      </c>
      <c r="X4766">
        <v>0.99212540000000005</v>
      </c>
      <c r="Y4766">
        <v>8.1854629999999998E-2</v>
      </c>
      <c r="Z4766">
        <v>6.5832509999999903E-4</v>
      </c>
      <c r="AA4766">
        <v>0.99664409999999903</v>
      </c>
      <c r="AB4766">
        <v>23</v>
      </c>
      <c r="AC4766">
        <v>51.217899999999901</v>
      </c>
      <c r="AD4766">
        <v>-1.02445268</v>
      </c>
      <c r="AE4766">
        <v>-8.0819599999999898</v>
      </c>
      <c r="AF4766">
        <v>4.2530948564021402</v>
      </c>
      <c r="AG4766">
        <v>-1.02445268</v>
      </c>
      <c r="AH4766">
        <v>51.6566042612369</v>
      </c>
      <c r="AI4766">
        <v>91.132309334849893</v>
      </c>
      <c r="AJ4766">
        <v>85.293225694904393</v>
      </c>
      <c r="AK4766">
        <v>51.841518910552303</v>
      </c>
    </row>
    <row r="4767" spans="1:37" x14ac:dyDescent="0.2">
      <c r="A4767" t="str">
        <f>"20200111153528399"</f>
        <v>20200111153528399</v>
      </c>
      <c r="B4767" t="str">
        <f>"1578728128390432"</f>
        <v>1578728128390432</v>
      </c>
      <c r="C4767" t="s">
        <v>37</v>
      </c>
      <c r="D4767">
        <v>4.7239529999999998</v>
      </c>
      <c r="E4767">
        <v>0.57947249999999995</v>
      </c>
      <c r="F4767" t="s">
        <v>39</v>
      </c>
      <c r="G4767">
        <v>-329.14150000000001</v>
      </c>
      <c r="H4767" s="1">
        <v>-2.8558729999999999E-6</v>
      </c>
      <c r="I4767">
        <v>10.06265</v>
      </c>
      <c r="J4767">
        <v>-375.33170000000001</v>
      </c>
      <c r="K4767">
        <v>1.1044499999999999</v>
      </c>
      <c r="L4767">
        <v>17.65015</v>
      </c>
      <c r="M4767">
        <v>0.99720909999999996</v>
      </c>
      <c r="N4767">
        <v>0</v>
      </c>
      <c r="O4767">
        <v>-7.4171349999999997E-2</v>
      </c>
      <c r="P4767">
        <v>0.99848159999999897</v>
      </c>
      <c r="Q4767">
        <v>3.1465090000000001E-2</v>
      </c>
      <c r="R4767">
        <v>4.5215390000000001E-2</v>
      </c>
      <c r="S4767">
        <v>3.0289919999999899</v>
      </c>
      <c r="T4767">
        <v>-7.214189E-2</v>
      </c>
      <c r="U4767">
        <v>-0.4964905</v>
      </c>
      <c r="V4767">
        <v>-0.1191586</v>
      </c>
      <c r="W4767">
        <v>3.990718E-2</v>
      </c>
      <c r="X4767">
        <v>0.99207289999999904</v>
      </c>
      <c r="Y4767">
        <v>8.8107560000000001E-2</v>
      </c>
      <c r="Z4767">
        <v>7.0867369999999996E-4</v>
      </c>
      <c r="AA4767">
        <v>0.99611070000000002</v>
      </c>
      <c r="AB4767">
        <v>24</v>
      </c>
      <c r="AC4767">
        <v>46.190199999999997</v>
      </c>
      <c r="AD4767">
        <v>-1.104452855873</v>
      </c>
      <c r="AE4767">
        <v>-7.5875000000000004</v>
      </c>
      <c r="AF4767">
        <v>4.1381811242554196</v>
      </c>
      <c r="AG4767">
        <v>-1.104452855873</v>
      </c>
      <c r="AH4767">
        <v>46.599813227113003</v>
      </c>
      <c r="AI4767">
        <v>91.352381726267794</v>
      </c>
      <c r="AJ4767">
        <v>84.925301617539105</v>
      </c>
      <c r="AK4767">
        <v>46.796227966897099</v>
      </c>
    </row>
    <row r="4768" spans="1:37" x14ac:dyDescent="0.2">
      <c r="A4768" t="str">
        <f>"20200111153528411"</f>
        <v>20200111153528411</v>
      </c>
      <c r="B4768" t="str">
        <f>"1578728128400193"</f>
        <v>1578728128400193</v>
      </c>
      <c r="C4768" t="s">
        <v>37</v>
      </c>
      <c r="D4768">
        <v>4.7338250000000004</v>
      </c>
      <c r="E4768">
        <v>0.57926919999999904</v>
      </c>
      <c r="F4768" t="s">
        <v>39</v>
      </c>
      <c r="G4768">
        <v>-323.62509999999997</v>
      </c>
      <c r="H4768">
        <v>7.9985500000000001E-2</v>
      </c>
      <c r="I4768">
        <v>9.1766020000000008</v>
      </c>
      <c r="J4768">
        <v>-375.19499999999999</v>
      </c>
      <c r="K4768">
        <v>1.104455</v>
      </c>
      <c r="L4768">
        <v>17.640079999999902</v>
      </c>
      <c r="M4768">
        <v>0.99721589999999904</v>
      </c>
      <c r="N4768">
        <v>0</v>
      </c>
      <c r="O4768">
        <v>-7.4086289999999999E-2</v>
      </c>
      <c r="P4768">
        <v>0.99845280000000003</v>
      </c>
      <c r="Q4768">
        <v>3.1855960000000003E-2</v>
      </c>
      <c r="R4768">
        <v>4.5577439999999997E-2</v>
      </c>
      <c r="S4768">
        <v>3.0289000000000001</v>
      </c>
      <c r="T4768">
        <v>-6.0011630000000003E-2</v>
      </c>
      <c r="U4768">
        <v>-0.49636839999999999</v>
      </c>
      <c r="V4768">
        <v>-0.11943330000000001</v>
      </c>
      <c r="W4768">
        <v>4.025546E-2</v>
      </c>
      <c r="X4768">
        <v>0.99202579999999996</v>
      </c>
      <c r="Y4768">
        <v>8.8159399999999999E-2</v>
      </c>
      <c r="Z4768">
        <v>5.8738319999999998E-4</v>
      </c>
      <c r="AA4768">
        <v>0.99610619999999905</v>
      </c>
      <c r="AB4768">
        <v>24</v>
      </c>
      <c r="AC4768">
        <v>51.569899999999997</v>
      </c>
      <c r="AD4768">
        <v>-1.0244694999999999</v>
      </c>
      <c r="AE4768">
        <v>-8.4634779999999896</v>
      </c>
      <c r="AF4768">
        <v>4.6176832615788097</v>
      </c>
      <c r="AG4768">
        <v>-1.0244694999999999</v>
      </c>
      <c r="AH4768">
        <v>52.035220582031997</v>
      </c>
      <c r="AI4768">
        <v>91.123479758857798</v>
      </c>
      <c r="AJ4768">
        <v>84.928771099423201</v>
      </c>
      <c r="AK4768">
        <v>52.249753276751697</v>
      </c>
    </row>
    <row r="4769" spans="1:37" x14ac:dyDescent="0.2">
      <c r="A4769" t="str">
        <f>"20200111153528431"</f>
        <v>20200111153528431</v>
      </c>
      <c r="B4769" t="str">
        <f>"1578728128420691"</f>
        <v>1578728128420691</v>
      </c>
      <c r="C4769" t="s">
        <v>37</v>
      </c>
      <c r="D4769">
        <v>4.7833079999999999</v>
      </c>
      <c r="E4769">
        <v>0.57815469999999902</v>
      </c>
      <c r="F4769" t="s">
        <v>38</v>
      </c>
      <c r="G4769">
        <v>-312.81970000000001</v>
      </c>
      <c r="H4769">
        <v>-0.05</v>
      </c>
      <c r="I4769">
        <v>7.4755859999999998</v>
      </c>
      <c r="J4769">
        <v>-374.99220000000003</v>
      </c>
      <c r="K4769">
        <v>1.104463</v>
      </c>
      <c r="L4769">
        <v>17.625119999999999</v>
      </c>
      <c r="M4769">
        <v>0.99722569999999999</v>
      </c>
      <c r="N4769">
        <v>0</v>
      </c>
      <c r="O4769">
        <v>-7.3961239999999998E-2</v>
      </c>
      <c r="P4769">
        <v>0.99840869999999904</v>
      </c>
      <c r="Q4769">
        <v>3.2817609999999997E-2</v>
      </c>
      <c r="R4769">
        <v>4.5863260000000003E-2</v>
      </c>
      <c r="S4769">
        <v>3.0289609999999998</v>
      </c>
      <c r="T4769">
        <v>-5.606067E-2</v>
      </c>
      <c r="U4769">
        <v>-0.49359129999999901</v>
      </c>
      <c r="V4769">
        <v>-0.11959110000000001</v>
      </c>
      <c r="W4769">
        <v>4.1159750000000002E-2</v>
      </c>
      <c r="X4769">
        <v>0.99196969999999995</v>
      </c>
      <c r="Y4769">
        <v>8.7392049999999999E-2</v>
      </c>
      <c r="Z4769">
        <v>5.5352489999999999E-4</v>
      </c>
      <c r="AA4769">
        <v>0.99617389999999995</v>
      </c>
      <c r="AB4769">
        <v>24</v>
      </c>
      <c r="AC4769">
        <v>62.172499999999999</v>
      </c>
      <c r="AD4769">
        <v>-1.154463</v>
      </c>
      <c r="AE4769">
        <v>-10.149533999999999</v>
      </c>
      <c r="AF4769">
        <v>5.5213617017185603</v>
      </c>
      <c r="AG4769">
        <v>-1.154463</v>
      </c>
      <c r="AH4769">
        <v>62.731835093691103</v>
      </c>
      <c r="AI4769">
        <v>91.050244276306699</v>
      </c>
      <c r="AJ4769">
        <v>84.970056152980504</v>
      </c>
      <c r="AK4769">
        <v>62.984929579079697</v>
      </c>
    </row>
    <row r="4770" spans="1:37" x14ac:dyDescent="0.2">
      <c r="A4770" t="str">
        <f>"20200111153528444"</f>
        <v>20200111153528444</v>
      </c>
      <c r="B4770" t="str">
        <f>"1578728128440209"</f>
        <v>1578728128440209</v>
      </c>
      <c r="C4770" t="s">
        <v>37</v>
      </c>
      <c r="D4770">
        <v>4.7937019999999997</v>
      </c>
      <c r="E4770">
        <v>0.57778059999999998</v>
      </c>
      <c r="F4770" t="s">
        <v>39</v>
      </c>
      <c r="G4770">
        <v>-320.48919999999998</v>
      </c>
      <c r="H4770">
        <v>7.9986280000000007E-2</v>
      </c>
      <c r="I4770">
        <v>8.9217420000000001</v>
      </c>
      <c r="J4770">
        <v>-374.85980000000001</v>
      </c>
      <c r="K4770">
        <v>1.104463</v>
      </c>
      <c r="L4770">
        <v>17.615389999999898</v>
      </c>
      <c r="M4770">
        <v>0.9972318</v>
      </c>
      <c r="N4770">
        <v>0</v>
      </c>
      <c r="O4770">
        <v>-7.3880029999999999E-2</v>
      </c>
      <c r="P4770">
        <v>0.99838449999999901</v>
      </c>
      <c r="Q4770">
        <v>3.3230250000000003E-2</v>
      </c>
      <c r="R4770">
        <v>4.6090199999999998E-2</v>
      </c>
      <c r="S4770">
        <v>3.0289000000000001</v>
      </c>
      <c r="T4770">
        <v>-5.6933280000000003E-2</v>
      </c>
      <c r="U4770">
        <v>-0.48367309999999902</v>
      </c>
      <c r="V4770">
        <v>-0.11973489999999901</v>
      </c>
      <c r="W4770">
        <v>4.1538510000000001E-2</v>
      </c>
      <c r="X4770">
        <v>0.99193659999999995</v>
      </c>
      <c r="Y4770">
        <v>8.4297150000000001E-2</v>
      </c>
      <c r="Z4770">
        <v>5.8972850000000004E-4</v>
      </c>
      <c r="AA4770">
        <v>0.99644049999999995</v>
      </c>
      <c r="AB4770">
        <v>24</v>
      </c>
      <c r="AC4770">
        <v>54.370600000000003</v>
      </c>
      <c r="AD4770">
        <v>-1.02447672</v>
      </c>
      <c r="AE4770">
        <v>-8.6936479999999907</v>
      </c>
      <c r="AF4770">
        <v>4.6512344480168899</v>
      </c>
      <c r="AG4770">
        <v>-1.02447672</v>
      </c>
      <c r="AH4770">
        <v>54.845324891392302</v>
      </c>
      <c r="AI4770">
        <v>91.066298526751396</v>
      </c>
      <c r="AJ4770">
        <v>85.152550272563204</v>
      </c>
      <c r="AK4770">
        <v>55.051732006201398</v>
      </c>
    </row>
    <row r="4771" spans="1:37" x14ac:dyDescent="0.2">
      <c r="A4771" t="str">
        <f>"20200111153528456"</f>
        <v>20200111153528456</v>
      </c>
      <c r="B4771" t="str">
        <f>"1578728128450945"</f>
        <v>1578728128450945</v>
      </c>
      <c r="C4771" t="s">
        <v>37</v>
      </c>
      <c r="D4771">
        <v>4.7734290000000001</v>
      </c>
      <c r="E4771">
        <v>0.57761969999999996</v>
      </c>
      <c r="F4771" t="s">
        <v>39</v>
      </c>
      <c r="G4771">
        <v>-320.85840000000002</v>
      </c>
      <c r="H4771">
        <v>7.9986189999999999E-2</v>
      </c>
      <c r="I4771">
        <v>9.0564029999999995</v>
      </c>
      <c r="J4771">
        <v>-374.71660000000003</v>
      </c>
      <c r="K4771">
        <v>1.1044620000000001</v>
      </c>
      <c r="L4771">
        <v>17.604859999999999</v>
      </c>
      <c r="M4771">
        <v>0.99723859999999998</v>
      </c>
      <c r="N4771">
        <v>0</v>
      </c>
      <c r="O4771">
        <v>-7.3793109999999995E-2</v>
      </c>
      <c r="P4771">
        <v>0.99836919999999996</v>
      </c>
      <c r="Q4771">
        <v>3.3724799999999999E-2</v>
      </c>
      <c r="R4771">
        <v>4.6062520000000003E-2</v>
      </c>
      <c r="S4771">
        <v>3.028931</v>
      </c>
      <c r="T4771">
        <v>-5.7462689999999997E-2</v>
      </c>
      <c r="U4771">
        <v>-0.480072</v>
      </c>
      <c r="V4771">
        <v>-0.11962049999999901</v>
      </c>
      <c r="W4771">
        <v>4.1999210000000002E-2</v>
      </c>
      <c r="X4771">
        <v>0.99193099999999901</v>
      </c>
      <c r="Y4771">
        <v>8.3227129999999996E-2</v>
      </c>
      <c r="Z4771">
        <v>6.0373019999999998E-4</v>
      </c>
      <c r="AA4771">
        <v>0.99653040000000004</v>
      </c>
      <c r="AB4771">
        <v>24</v>
      </c>
      <c r="AC4771">
        <v>53.858199999999997</v>
      </c>
      <c r="AD4771">
        <v>-1.02447581</v>
      </c>
      <c r="AE4771">
        <v>-8.5484570000000009</v>
      </c>
      <c r="AF4771">
        <v>4.5490404099494199</v>
      </c>
      <c r="AG4771">
        <v>-1.02447581</v>
      </c>
      <c r="AH4771">
        <v>54.323015978907897</v>
      </c>
      <c r="AI4771">
        <v>91.076643490790502</v>
      </c>
      <c r="AJ4771">
        <v>85.213186974128106</v>
      </c>
      <c r="AK4771">
        <v>54.522778582729202</v>
      </c>
    </row>
    <row r="4772" spans="1:37" x14ac:dyDescent="0.2">
      <c r="A4772" t="str">
        <f>"20200111153528469"</f>
        <v>20200111153528469</v>
      </c>
      <c r="B4772" t="str">
        <f>"1578728128460705"</f>
        <v>1578728128460705</v>
      </c>
      <c r="C4772" t="s">
        <v>37</v>
      </c>
      <c r="D4772">
        <v>4.8002919999999998</v>
      </c>
      <c r="E4772">
        <v>0.57752199999999998</v>
      </c>
      <c r="F4772" t="s">
        <v>38</v>
      </c>
      <c r="G4772">
        <v>-311.6574</v>
      </c>
      <c r="H4772">
        <v>-0.05</v>
      </c>
      <c r="I4772">
        <v>7.6355589999999998</v>
      </c>
      <c r="J4772">
        <v>-374.58109999999999</v>
      </c>
      <c r="K4772">
        <v>1.1044639999999999</v>
      </c>
      <c r="L4772">
        <v>17.59488</v>
      </c>
      <c r="M4772">
        <v>0.99724489999999999</v>
      </c>
      <c r="N4772">
        <v>0</v>
      </c>
      <c r="O4772">
        <v>-7.3711570000000004E-2</v>
      </c>
      <c r="P4772">
        <v>0.998361099999999</v>
      </c>
      <c r="Q4772">
        <v>3.4028280000000001E-2</v>
      </c>
      <c r="R4772">
        <v>4.6015300000000002E-2</v>
      </c>
      <c r="S4772">
        <v>3.0289000000000001</v>
      </c>
      <c r="T4772">
        <v>-5.545187E-2</v>
      </c>
      <c r="U4772">
        <v>-0.47885129999999998</v>
      </c>
      <c r="V4772">
        <v>-0.1194914</v>
      </c>
      <c r="W4772">
        <v>4.2274100000000002E-2</v>
      </c>
      <c r="X4772">
        <v>0.99193480000000001</v>
      </c>
      <c r="Y4772">
        <v>8.2918549999999994E-2</v>
      </c>
      <c r="Z4772">
        <v>5.8396700000000001E-4</v>
      </c>
      <c r="AA4772">
        <v>0.9965562</v>
      </c>
      <c r="AB4772">
        <v>24</v>
      </c>
      <c r="AC4772">
        <v>62.923699999999997</v>
      </c>
      <c r="AD4772">
        <v>-1.1544639999999999</v>
      </c>
      <c r="AE4772">
        <v>-9.9593209999999992</v>
      </c>
      <c r="AF4772">
        <v>5.2921226978225002</v>
      </c>
      <c r="AG4772">
        <v>-1.1544639999999999</v>
      </c>
      <c r="AH4772">
        <v>63.465811836019398</v>
      </c>
      <c r="AI4772">
        <v>91.038510750363301</v>
      </c>
      <c r="AJ4772">
        <v>85.233395165229695</v>
      </c>
      <c r="AK4772">
        <v>63.696535398568798</v>
      </c>
    </row>
    <row r="4773" spans="1:37" x14ac:dyDescent="0.2">
      <c r="A4773" t="str">
        <f>"20200111153528489"</f>
        <v>20200111153528489</v>
      </c>
      <c r="B4773" t="str">
        <f>"1578728128480225"</f>
        <v>1578728128480225</v>
      </c>
      <c r="C4773" t="s">
        <v>37</v>
      </c>
      <c r="D4773">
        <v>4.7551870000000003</v>
      </c>
      <c r="E4773">
        <v>0.57722499999999999</v>
      </c>
      <c r="F4773" t="s">
        <v>38</v>
      </c>
      <c r="G4773">
        <v>-311.17270000000002</v>
      </c>
      <c r="H4773">
        <v>-0.05</v>
      </c>
      <c r="I4773">
        <v>7.5848849999999999</v>
      </c>
      <c r="J4773">
        <v>-374.38099999999997</v>
      </c>
      <c r="K4773">
        <v>1.1044609999999999</v>
      </c>
      <c r="L4773">
        <v>17.58023</v>
      </c>
      <c r="M4773">
        <v>0.99725409999999903</v>
      </c>
      <c r="N4773">
        <v>0</v>
      </c>
      <c r="O4773">
        <v>-7.3590409999999995E-2</v>
      </c>
      <c r="P4773">
        <v>0.99836709999999995</v>
      </c>
      <c r="Q4773">
        <v>3.4102199999999999E-2</v>
      </c>
      <c r="R4773">
        <v>4.5829699999999897E-2</v>
      </c>
      <c r="S4773">
        <v>3.0288390000000001</v>
      </c>
      <c r="T4773">
        <v>-5.51455E-2</v>
      </c>
      <c r="U4773">
        <v>-0.4781494</v>
      </c>
      <c r="V4773">
        <v>-0.1191866</v>
      </c>
      <c r="W4773">
        <v>4.230888E-2</v>
      </c>
      <c r="X4773">
        <v>0.99197000000000002</v>
      </c>
      <c r="Y4773">
        <v>8.2817440000000006E-2</v>
      </c>
      <c r="Z4773">
        <v>5.7949839999999896E-4</v>
      </c>
      <c r="AA4773">
        <v>0.99656460000000002</v>
      </c>
      <c r="AB4773">
        <v>24</v>
      </c>
      <c r="AC4773">
        <v>63.208299999999902</v>
      </c>
      <c r="AD4773">
        <v>-1.154461</v>
      </c>
      <c r="AE4773">
        <v>-9.9953450000000004</v>
      </c>
      <c r="AF4773">
        <v>5.3148270187596998</v>
      </c>
      <c r="AG4773">
        <v>-1.154461</v>
      </c>
      <c r="AH4773">
        <v>63.751740875154198</v>
      </c>
      <c r="AI4773">
        <v>91.033852844182903</v>
      </c>
      <c r="AJ4773">
        <v>85.234410852584901</v>
      </c>
      <c r="AK4773">
        <v>63.9833152552497</v>
      </c>
    </row>
    <row r="4774" spans="1:37" x14ac:dyDescent="0.2">
      <c r="A4774" t="str">
        <f>"20200111153528502"</f>
        <v>20200111153528502</v>
      </c>
      <c r="B4774" t="str">
        <f>"1578728128490961"</f>
        <v>1578728128490961</v>
      </c>
      <c r="C4774" t="s">
        <v>37</v>
      </c>
      <c r="D4774">
        <v>4.8036000000000003</v>
      </c>
      <c r="E4774">
        <v>0.57723709999999995</v>
      </c>
      <c r="F4774" t="s">
        <v>39</v>
      </c>
      <c r="G4774">
        <v>-320.68599999999998</v>
      </c>
      <c r="H4774">
        <v>7.998624E-2</v>
      </c>
      <c r="I4774">
        <v>9.1363970000000005</v>
      </c>
      <c r="J4774">
        <v>-374.23399999999998</v>
      </c>
      <c r="K4774">
        <v>1.1044579999999999</v>
      </c>
      <c r="L4774">
        <v>17.569489999999998</v>
      </c>
      <c r="M4774">
        <v>0.99726090000000001</v>
      </c>
      <c r="N4774">
        <v>0</v>
      </c>
      <c r="O4774">
        <v>-7.3500289999999996E-2</v>
      </c>
      <c r="P4774">
        <v>0.99837849999999995</v>
      </c>
      <c r="Q4774">
        <v>3.3834789999999997E-2</v>
      </c>
      <c r="R4774">
        <v>4.5780210000000002E-2</v>
      </c>
      <c r="S4774">
        <v>3.02874799999999</v>
      </c>
      <c r="T4774">
        <v>-5.7787060000000001E-2</v>
      </c>
      <c r="U4774">
        <v>-0.47628779999999998</v>
      </c>
      <c r="V4774">
        <v>-0.1190486</v>
      </c>
      <c r="W4774">
        <v>4.2014460000000003E-2</v>
      </c>
      <c r="X4774">
        <v>0.99199910000000002</v>
      </c>
      <c r="Y4774">
        <v>8.2314360000000003E-2</v>
      </c>
      <c r="Z4774">
        <v>6.103762E-4</v>
      </c>
      <c r="AA4774">
        <v>0.9966062</v>
      </c>
      <c r="AB4774">
        <v>24</v>
      </c>
      <c r="AC4774">
        <v>53.548000000000002</v>
      </c>
      <c r="AD4774">
        <v>-1.02447176</v>
      </c>
      <c r="AE4774">
        <v>-8.4330929999999906</v>
      </c>
      <c r="AF4774">
        <v>4.4727558932811204</v>
      </c>
      <c r="AG4774">
        <v>-1.02447176</v>
      </c>
      <c r="AH4774">
        <v>54.003720756515598</v>
      </c>
      <c r="AI4774">
        <v>91.083085481850603</v>
      </c>
      <c r="AJ4774">
        <v>85.265391787704004</v>
      </c>
      <c r="AK4774">
        <v>54.198311257968399</v>
      </c>
    </row>
    <row r="4775" spans="1:37" x14ac:dyDescent="0.2">
      <c r="A4775" t="str">
        <f>"20200111153528522"</f>
        <v>20200111153528522</v>
      </c>
      <c r="B4775" t="str">
        <f>"1578728128510481"</f>
        <v>1578728128510481</v>
      </c>
      <c r="C4775" t="s">
        <v>37</v>
      </c>
      <c r="D4775">
        <v>4.8343150000000001</v>
      </c>
      <c r="E4775">
        <v>0.57726599999999995</v>
      </c>
      <c r="F4775" t="s">
        <v>39</v>
      </c>
      <c r="G4775">
        <v>-321.53379999999999</v>
      </c>
      <c r="H4775">
        <v>7.9986009999999996E-2</v>
      </c>
      <c r="I4775">
        <v>9.2788109999999993</v>
      </c>
      <c r="J4775">
        <v>-374.02499999999998</v>
      </c>
      <c r="K4775">
        <v>1.104452</v>
      </c>
      <c r="L4775">
        <v>17.55423</v>
      </c>
      <c r="M4775">
        <v>0.99727080000000001</v>
      </c>
      <c r="N4775">
        <v>0</v>
      </c>
      <c r="O4775">
        <v>-7.336935E-2</v>
      </c>
      <c r="P4775">
        <v>0.99842389999999903</v>
      </c>
      <c r="Q4775">
        <v>3.2899860000000003E-2</v>
      </c>
      <c r="R4775">
        <v>4.5468410000000001E-2</v>
      </c>
      <c r="S4775">
        <v>3.0287169999999999</v>
      </c>
      <c r="T4775">
        <v>-5.8877110000000003E-2</v>
      </c>
      <c r="U4775">
        <v>-0.47647089999999998</v>
      </c>
      <c r="V4775">
        <v>-0.1186106</v>
      </c>
      <c r="W4775">
        <v>4.104112E-2</v>
      </c>
      <c r="X4775">
        <v>0.99209230000000004</v>
      </c>
      <c r="Y4775">
        <v>8.2505449999999994E-2</v>
      </c>
      <c r="Z4775">
        <v>6.1752650000000003E-4</v>
      </c>
      <c r="AA4775">
        <v>0.99659039999999999</v>
      </c>
      <c r="AB4775">
        <v>24</v>
      </c>
      <c r="AC4775">
        <v>52.4911999999999</v>
      </c>
      <c r="AD4775">
        <v>-1.0244659899999999</v>
      </c>
      <c r="AE4775">
        <v>-8.2754189999999994</v>
      </c>
      <c r="AF4775">
        <v>4.4001025263151599</v>
      </c>
      <c r="AG4775">
        <v>-1.0244659899999999</v>
      </c>
      <c r="AH4775">
        <v>52.937225497354902</v>
      </c>
      <c r="AI4775">
        <v>91.1048672367629</v>
      </c>
      <c r="AJ4775">
        <v>85.248539953452095</v>
      </c>
      <c r="AK4775">
        <v>53.129655336399097</v>
      </c>
    </row>
    <row r="4776" spans="1:37" x14ac:dyDescent="0.2">
      <c r="A4776" t="str">
        <f>"20200111153528536"</f>
        <v>20200111153528536</v>
      </c>
      <c r="B4776" t="str">
        <f>"1578728128530978"</f>
        <v>1578728128530978</v>
      </c>
      <c r="C4776" t="s">
        <v>37</v>
      </c>
      <c r="D4776">
        <v>4.8461930000000004</v>
      </c>
      <c r="E4776">
        <v>0.57696499999999995</v>
      </c>
      <c r="F4776" t="s">
        <v>39</v>
      </c>
      <c r="G4776">
        <v>-323.510999999999</v>
      </c>
      <c r="H4776">
        <v>7.8745099999999998E-2</v>
      </c>
      <c r="I4776">
        <v>9.5875769999999996</v>
      </c>
      <c r="J4776">
        <v>-373.86250000000001</v>
      </c>
      <c r="K4776">
        <v>1.1044449999999999</v>
      </c>
      <c r="L4776">
        <v>17.542390000000001</v>
      </c>
      <c r="M4776">
        <v>0.99727900000000003</v>
      </c>
      <c r="N4776">
        <v>0</v>
      </c>
      <c r="O4776">
        <v>-7.326502E-2</v>
      </c>
      <c r="P4776">
        <v>0.99843590000000004</v>
      </c>
      <c r="Q4776">
        <v>3.2524369999999997E-2</v>
      </c>
      <c r="R4776">
        <v>4.547901E-2</v>
      </c>
      <c r="S4776">
        <v>3.02850299999999</v>
      </c>
      <c r="T4776">
        <v>-6.149495E-2</v>
      </c>
      <c r="U4776">
        <v>-0.47763059999999902</v>
      </c>
      <c r="V4776">
        <v>-0.1185184</v>
      </c>
      <c r="W4776">
        <v>4.0636140000000001E-2</v>
      </c>
      <c r="X4776">
        <v>0.99212</v>
      </c>
      <c r="Y4776">
        <v>8.2992629999999998E-2</v>
      </c>
      <c r="Z4776">
        <v>6.3798769999999895E-4</v>
      </c>
      <c r="AA4776">
        <v>0.99655000000000005</v>
      </c>
      <c r="AB4776">
        <v>24</v>
      </c>
      <c r="AC4776">
        <v>50.351500000000001</v>
      </c>
      <c r="AD4776">
        <v>-1.0256999</v>
      </c>
      <c r="AE4776">
        <v>-7.9548129999999997</v>
      </c>
      <c r="AF4776">
        <v>4.24258846038457</v>
      </c>
      <c r="AG4776">
        <v>-1.0256999</v>
      </c>
      <c r="AH4776">
        <v>50.778442294299303</v>
      </c>
      <c r="AI4776">
        <v>91.153172658092402</v>
      </c>
      <c r="AJ4776">
        <v>85.223974473728802</v>
      </c>
      <c r="AK4776">
        <v>50.965692568281</v>
      </c>
    </row>
    <row r="4777" spans="1:37" x14ac:dyDescent="0.2">
      <c r="A4777" t="str">
        <f>"20200111153528555"</f>
        <v>20200111153528555</v>
      </c>
      <c r="B4777" t="str">
        <f>"1578728128550498"</f>
        <v>1578728128550498</v>
      </c>
      <c r="C4777" t="s">
        <v>37</v>
      </c>
      <c r="D4777">
        <v>4.8342660000000004</v>
      </c>
      <c r="E4777">
        <v>0.57682659999999997</v>
      </c>
      <c r="F4777" t="s">
        <v>39</v>
      </c>
      <c r="G4777">
        <v>-323.3492</v>
      </c>
      <c r="H4777">
        <v>2.3471760000000001E-2</v>
      </c>
      <c r="I4777">
        <v>9.6163369999999997</v>
      </c>
      <c r="J4777">
        <v>-373.6671</v>
      </c>
      <c r="K4777">
        <v>1.1044399999999901</v>
      </c>
      <c r="L4777">
        <v>17.52814</v>
      </c>
      <c r="M4777">
        <v>0.99728859999999997</v>
      </c>
      <c r="N4777">
        <v>0</v>
      </c>
      <c r="O4777">
        <v>-7.3135290000000006E-2</v>
      </c>
      <c r="P4777">
        <v>0.99845949999999895</v>
      </c>
      <c r="Q4777">
        <v>3.2291670000000001E-2</v>
      </c>
      <c r="R4777">
        <v>4.512439E-2</v>
      </c>
      <c r="S4777">
        <v>3.0284119999999999</v>
      </c>
      <c r="T4777">
        <v>-6.4807420000000004E-2</v>
      </c>
      <c r="U4777">
        <v>-0.47518919999999998</v>
      </c>
      <c r="V4777">
        <v>-0.11803759999999899</v>
      </c>
      <c r="W4777">
        <v>4.0372190000000002E-2</v>
      </c>
      <c r="X4777">
        <v>0.99218809999999902</v>
      </c>
      <c r="Y4777">
        <v>8.2342819999999997E-2</v>
      </c>
      <c r="Z4777">
        <v>6.7658309999999995E-4</v>
      </c>
      <c r="AA4777">
        <v>0.99660380000000004</v>
      </c>
      <c r="AB4777">
        <v>24</v>
      </c>
      <c r="AC4777">
        <v>50.317900000000002</v>
      </c>
      <c r="AD4777">
        <v>-1.08096823999999</v>
      </c>
      <c r="AE4777">
        <v>-7.9118029999999999</v>
      </c>
      <c r="AF4777">
        <v>4.2085816635136402</v>
      </c>
      <c r="AG4777">
        <v>-1.08096823999999</v>
      </c>
      <c r="AH4777">
        <v>50.738940870520402</v>
      </c>
      <c r="AI4777">
        <v>91.216298206674395</v>
      </c>
      <c r="AJ4777">
        <v>85.258410332728602</v>
      </c>
      <c r="AK4777">
        <v>50.924657805590797</v>
      </c>
    </row>
    <row r="4778" spans="1:37" x14ac:dyDescent="0.2">
      <c r="A4778" t="str">
        <f>"20200111153528576"</f>
        <v>20200111153528576</v>
      </c>
      <c r="B4778" t="str">
        <f>"1578728128570993"</f>
        <v>1578728128570993</v>
      </c>
      <c r="C4778" t="s">
        <v>37</v>
      </c>
      <c r="D4778">
        <v>4.8512709999999997</v>
      </c>
      <c r="E4778">
        <v>0.57681749999999998</v>
      </c>
      <c r="F4778" t="s">
        <v>39</v>
      </c>
      <c r="G4778">
        <v>-324.29090000000002</v>
      </c>
      <c r="H4778" s="1">
        <v>-4.7932299999999997E-6</v>
      </c>
      <c r="I4778">
        <v>9.7821009999999902</v>
      </c>
      <c r="J4778">
        <v>-373.43630000000002</v>
      </c>
      <c r="K4778">
        <v>1.1044419999999999</v>
      </c>
      <c r="L4778">
        <v>17.511379999999999</v>
      </c>
      <c r="M4778">
        <v>0.99730069999999904</v>
      </c>
      <c r="N4778">
        <v>0</v>
      </c>
      <c r="O4778">
        <v>-7.297381E-2</v>
      </c>
      <c r="P4778">
        <v>0.99848649999999906</v>
      </c>
      <c r="Q4778">
        <v>3.1973540000000002E-2</v>
      </c>
      <c r="R4778">
        <v>4.4746510000000003E-2</v>
      </c>
      <c r="S4778">
        <v>3.0282589999999998</v>
      </c>
      <c r="T4778">
        <v>-6.7736030000000003E-2</v>
      </c>
      <c r="U4778">
        <v>-0.47506709999999902</v>
      </c>
      <c r="V4778">
        <v>-0.1175023</v>
      </c>
      <c r="W4778">
        <v>4.0016290000000003E-2</v>
      </c>
      <c r="X4778">
        <v>0.99226610000000004</v>
      </c>
      <c r="Y4778">
        <v>8.2472409999999996E-2</v>
      </c>
      <c r="Z4778">
        <v>7.0217459999999995E-4</v>
      </c>
      <c r="AA4778">
        <v>0.99659310000000001</v>
      </c>
      <c r="AB4778">
        <v>24</v>
      </c>
      <c r="AC4778">
        <v>49.145400000000002</v>
      </c>
      <c r="AD4778">
        <v>-1.1044467932299999</v>
      </c>
      <c r="AE4778">
        <v>-7.7292789999999902</v>
      </c>
      <c r="AF4778">
        <v>4.12019396695921</v>
      </c>
      <c r="AG4778">
        <v>-1.1044467932299999</v>
      </c>
      <c r="AH4778">
        <v>49.553993719990601</v>
      </c>
      <c r="AI4778">
        <v>91.272393243264702</v>
      </c>
      <c r="AJ4778">
        <v>85.247043576100694</v>
      </c>
      <c r="AK4778">
        <v>49.737250573843703</v>
      </c>
    </row>
    <row r="4779" spans="1:37" x14ac:dyDescent="0.2">
      <c r="A4779" t="str">
        <f>"20200111153528589"</f>
        <v>20200111153528589</v>
      </c>
      <c r="B4779" t="str">
        <f>"1578728128580752"</f>
        <v>1578728128580752</v>
      </c>
      <c r="C4779" t="s">
        <v>37</v>
      </c>
      <c r="D4779">
        <v>4.8988300000000002</v>
      </c>
      <c r="E4779">
        <v>0.57688300000000003</v>
      </c>
      <c r="F4779" t="s">
        <v>39</v>
      </c>
      <c r="G4779">
        <v>-326.34449999999998</v>
      </c>
      <c r="H4779" s="1">
        <v>-3.9173559999999996E-6</v>
      </c>
      <c r="I4779">
        <v>10.11012</v>
      </c>
      <c r="J4779">
        <v>-373.296999999999</v>
      </c>
      <c r="K4779">
        <v>1.1044419999999999</v>
      </c>
      <c r="L4779">
        <v>17.501339999999999</v>
      </c>
      <c r="M4779">
        <v>0.99730859999999899</v>
      </c>
      <c r="N4779">
        <v>0</v>
      </c>
      <c r="O4779">
        <v>-7.2869740000000002E-2</v>
      </c>
      <c r="P4779">
        <v>0.99849500000000002</v>
      </c>
      <c r="Q4779">
        <v>3.187566E-2</v>
      </c>
      <c r="R4779">
        <v>4.4632459999999999E-2</v>
      </c>
      <c r="S4779">
        <v>3.0281370000000001</v>
      </c>
      <c r="T4779">
        <v>-7.1018929999999994E-2</v>
      </c>
      <c r="U4779">
        <v>-0.475921599999999</v>
      </c>
      <c r="V4779">
        <v>-0.1172861</v>
      </c>
      <c r="W4779">
        <v>3.9895260000000002E-2</v>
      </c>
      <c r="X4779">
        <v>0.99229650000000003</v>
      </c>
      <c r="Y4779">
        <v>8.2856680000000002E-2</v>
      </c>
      <c r="Z4779">
        <v>7.2931410000000004E-4</v>
      </c>
      <c r="AA4779">
        <v>0.99656119999999904</v>
      </c>
      <c r="AB4779">
        <v>24</v>
      </c>
      <c r="AC4779">
        <v>46.952499999999901</v>
      </c>
      <c r="AD4779">
        <v>-1.104445917356</v>
      </c>
      <c r="AE4779">
        <v>-7.3912199999999899</v>
      </c>
      <c r="AF4779">
        <v>3.94790867312099</v>
      </c>
      <c r="AG4779">
        <v>-1.104445917356</v>
      </c>
      <c r="AH4779">
        <v>47.340720096887303</v>
      </c>
      <c r="AI4779">
        <v>91.331830875381101</v>
      </c>
      <c r="AJ4779">
        <v>85.232934406008297</v>
      </c>
      <c r="AK4779">
        <v>47.517886768747402</v>
      </c>
    </row>
    <row r="4780" spans="1:37" x14ac:dyDescent="0.2">
      <c r="A4780" t="str">
        <f>"20200111153528603"</f>
        <v>20200111153528603</v>
      </c>
      <c r="B4780" t="str">
        <f>"1578728128590513"</f>
        <v>1578728128590513</v>
      </c>
      <c r="C4780" t="s">
        <v>37</v>
      </c>
      <c r="D4780">
        <v>4.9142659999999996</v>
      </c>
      <c r="E4780">
        <v>0.57696309999999995</v>
      </c>
      <c r="F4780" t="s">
        <v>39</v>
      </c>
      <c r="G4780">
        <v>-326.91489999999999</v>
      </c>
      <c r="H4780" s="1">
        <v>-3.6745109999999998E-6</v>
      </c>
      <c r="I4780">
        <v>10.199479999999999</v>
      </c>
      <c r="J4780">
        <v>-373.15820000000002</v>
      </c>
      <c r="K4780">
        <v>1.104441</v>
      </c>
      <c r="L4780">
        <v>17.49127</v>
      </c>
      <c r="M4780">
        <v>0.99731650000000005</v>
      </c>
      <c r="N4780">
        <v>0</v>
      </c>
      <c r="O4780">
        <v>-7.276291E-2</v>
      </c>
      <c r="P4780">
        <v>0.99849549999999998</v>
      </c>
      <c r="Q4780">
        <v>3.1636699999999997E-2</v>
      </c>
      <c r="R4780">
        <v>4.4787920000000002E-2</v>
      </c>
      <c r="S4780">
        <v>3.0281370000000001</v>
      </c>
      <c r="T4780">
        <v>-7.210577E-2</v>
      </c>
      <c r="U4780">
        <v>-0.4767151</v>
      </c>
      <c r="V4780">
        <v>-0.117335199999999</v>
      </c>
      <c r="W4780">
        <v>3.9632729999999998E-2</v>
      </c>
      <c r="X4780">
        <v>0.992301199999999</v>
      </c>
      <c r="Y4780">
        <v>8.3218009999999995E-2</v>
      </c>
      <c r="Z4780">
        <v>7.3366199999999897E-4</v>
      </c>
      <c r="AA4780">
        <v>0.9965311</v>
      </c>
      <c r="AB4780">
        <v>24</v>
      </c>
      <c r="AC4780">
        <v>46.243299999999998</v>
      </c>
      <c r="AD4780">
        <v>-1.1044446745109999</v>
      </c>
      <c r="AE4780">
        <v>-7.2917899999999998</v>
      </c>
      <c r="AF4780">
        <v>3.9053794636493202</v>
      </c>
      <c r="AG4780">
        <v>-1.1044446745109999</v>
      </c>
      <c r="AH4780">
        <v>46.625351973786699</v>
      </c>
      <c r="AI4780">
        <v>91.352214759208394</v>
      </c>
      <c r="AJ4780">
        <v>85.212032773003102</v>
      </c>
      <c r="AK4780">
        <v>46.801658447897402</v>
      </c>
    </row>
    <row r="4781" spans="1:37" x14ac:dyDescent="0.2">
      <c r="A4781" t="str">
        <f>"20200111153528615"</f>
        <v>20200111153528615</v>
      </c>
      <c r="B4781" t="str">
        <f>"1578728128610923"</f>
        <v>1578728128610923</v>
      </c>
      <c r="C4781" t="s">
        <v>37</v>
      </c>
      <c r="D4781">
        <v>4.8629540000000002</v>
      </c>
      <c r="E4781">
        <v>0.57687569999999999</v>
      </c>
      <c r="F4781" t="s">
        <v>39</v>
      </c>
      <c r="G4781">
        <v>-327.7749</v>
      </c>
      <c r="H4781" s="1">
        <v>-3.305539E-6</v>
      </c>
      <c r="I4781">
        <v>10.34503</v>
      </c>
      <c r="J4781">
        <v>-373.00549999999998</v>
      </c>
      <c r="K4781">
        <v>1.104441</v>
      </c>
      <c r="L4781">
        <v>17.480260000000001</v>
      </c>
      <c r="M4781">
        <v>0.99732569999999998</v>
      </c>
      <c r="N4781">
        <v>0</v>
      </c>
      <c r="O4781">
        <v>-7.2638079999999994E-2</v>
      </c>
      <c r="P4781">
        <v>0.99848950000000003</v>
      </c>
      <c r="Q4781">
        <v>3.1609779999999997E-2</v>
      </c>
      <c r="R4781">
        <v>4.4939029999999998E-2</v>
      </c>
      <c r="S4781">
        <v>3.0282290000000001</v>
      </c>
      <c r="T4781">
        <v>-7.3694709999999997E-2</v>
      </c>
      <c r="U4781">
        <v>-0.47683720000000002</v>
      </c>
      <c r="V4781">
        <v>-0.11736240000000001</v>
      </c>
      <c r="W4781">
        <v>3.9582230000000003E-2</v>
      </c>
      <c r="X4781">
        <v>0.99229999999999996</v>
      </c>
      <c r="Y4781">
        <v>8.3377119999999999E-2</v>
      </c>
      <c r="Z4781">
        <v>7.448706E-4</v>
      </c>
      <c r="AA4781">
        <v>0.99651780000000001</v>
      </c>
      <c r="AB4781">
        <v>24</v>
      </c>
      <c r="AC4781">
        <v>45.230599999999903</v>
      </c>
      <c r="AD4781">
        <v>-1.1044443055390001</v>
      </c>
      <c r="AE4781">
        <v>-7.13523</v>
      </c>
      <c r="AF4781">
        <v>3.8285817837838398</v>
      </c>
      <c r="AG4781">
        <v>-1.1044443055390001</v>
      </c>
      <c r="AH4781">
        <v>45.602885630681001</v>
      </c>
      <c r="AI4781">
        <v>91.382498466162403</v>
      </c>
      <c r="AJ4781">
        <v>85.200997483660203</v>
      </c>
      <c r="AK4781">
        <v>45.776642663525799</v>
      </c>
    </row>
    <row r="4782" spans="1:37" x14ac:dyDescent="0.2">
      <c r="A4782" t="str">
        <f>"20200111153528632"</f>
        <v>20200111153528632</v>
      </c>
      <c r="B4782" t="str">
        <f>"1578728128620683"</f>
        <v>1578728128620683</v>
      </c>
      <c r="C4782" t="s">
        <v>37</v>
      </c>
      <c r="D4782">
        <v>4.9376309999999997</v>
      </c>
      <c r="E4782">
        <v>0.57687569999999999</v>
      </c>
      <c r="F4782" t="s">
        <v>39</v>
      </c>
      <c r="G4782">
        <v>-329.22179999999997</v>
      </c>
      <c r="H4782" s="1">
        <v>-2.6810269999999999E-6</v>
      </c>
      <c r="I4782">
        <v>10.60383</v>
      </c>
      <c r="J4782">
        <v>-372.83269999999999</v>
      </c>
      <c r="K4782">
        <v>1.1044499999999999</v>
      </c>
      <c r="L4782">
        <v>17.467860000000002</v>
      </c>
      <c r="M4782">
        <v>0.99733689999999997</v>
      </c>
      <c r="N4782">
        <v>0</v>
      </c>
      <c r="O4782">
        <v>-7.2487239999999994E-2</v>
      </c>
      <c r="P4782">
        <v>0.99847050000000004</v>
      </c>
      <c r="Q4782">
        <v>3.1396529999999999E-2</v>
      </c>
      <c r="R4782">
        <v>4.5509580000000001E-2</v>
      </c>
      <c r="S4782">
        <v>3.0283509999999998</v>
      </c>
      <c r="T4782">
        <v>-7.6390269999999996E-2</v>
      </c>
      <c r="U4782">
        <v>-0.4756165</v>
      </c>
      <c r="V4782">
        <v>-0.1177803</v>
      </c>
      <c r="W4782">
        <v>3.9343509999999998E-2</v>
      </c>
      <c r="X4782">
        <v>0.99226000000000003</v>
      </c>
      <c r="Y4782">
        <v>8.3129499999999995E-2</v>
      </c>
      <c r="Z4782">
        <v>7.714474E-4</v>
      </c>
      <c r="AA4782">
        <v>0.99653849999999999</v>
      </c>
      <c r="AB4782">
        <v>24</v>
      </c>
      <c r="AC4782">
        <v>43.610900000000001</v>
      </c>
      <c r="AD4782">
        <v>-1.1044526810269999</v>
      </c>
      <c r="AE4782">
        <v>-6.8640299999999996</v>
      </c>
      <c r="AF4782">
        <v>3.6823312200967599</v>
      </c>
      <c r="AG4782">
        <v>-1.1044526810269999</v>
      </c>
      <c r="AH4782">
        <v>43.966221129140202</v>
      </c>
      <c r="AI4782">
        <v>91.4339764393564</v>
      </c>
      <c r="AJ4782">
        <v>85.212443214215298</v>
      </c>
      <c r="AK4782">
        <v>44.1339776058716</v>
      </c>
    </row>
    <row r="4783" spans="1:37" x14ac:dyDescent="0.2">
      <c r="A4783" t="str">
        <f>"20200111153528646"</f>
        <v>20200111153528646</v>
      </c>
      <c r="B4783" t="str">
        <f>"1578728128640203"</f>
        <v>1578728128640203</v>
      </c>
      <c r="C4783" t="s">
        <v>37</v>
      </c>
      <c r="D4783">
        <v>4.9318169999999997</v>
      </c>
      <c r="E4783">
        <v>0.57288530000000004</v>
      </c>
      <c r="F4783" t="s">
        <v>39</v>
      </c>
      <c r="G4783">
        <v>-329.37689999999998</v>
      </c>
      <c r="H4783" s="1">
        <v>-2.6045179999999999E-6</v>
      </c>
      <c r="I4783">
        <v>10.667630000000001</v>
      </c>
      <c r="J4783">
        <v>-372.69189999999998</v>
      </c>
      <c r="K4783">
        <v>1.1044559999999899</v>
      </c>
      <c r="L4783">
        <v>17.457729999999898</v>
      </c>
      <c r="M4783">
        <v>0.99734659999999997</v>
      </c>
      <c r="N4783">
        <v>0</v>
      </c>
      <c r="O4783">
        <v>-7.2356080000000003E-2</v>
      </c>
      <c r="P4783">
        <v>0.99844040000000001</v>
      </c>
      <c r="Q4783">
        <v>3.1435680000000001E-2</v>
      </c>
      <c r="R4783">
        <v>4.6133670000000002E-2</v>
      </c>
      <c r="S4783">
        <v>3.0286249999999999</v>
      </c>
      <c r="T4783">
        <v>-7.6974029999999999E-2</v>
      </c>
      <c r="U4783">
        <v>-0.47393800000000003</v>
      </c>
      <c r="V4783">
        <v>-0.118270899999999</v>
      </c>
      <c r="W4783">
        <v>3.936257E-2</v>
      </c>
      <c r="X4783">
        <v>0.99220090000000005</v>
      </c>
      <c r="Y4783">
        <v>8.2707680000000006E-2</v>
      </c>
      <c r="Z4783">
        <v>7.793438E-4</v>
      </c>
      <c r="AA4783">
        <v>0.99657359999999995</v>
      </c>
      <c r="AB4783">
        <v>24</v>
      </c>
      <c r="AC4783">
        <v>43.314999999999998</v>
      </c>
      <c r="AD4783">
        <v>-1.1044586045179901</v>
      </c>
      <c r="AE4783">
        <v>-6.79009999999999</v>
      </c>
      <c r="AF4783">
        <v>3.6357894544723202</v>
      </c>
      <c r="AG4783">
        <v>-1.1044586045179901</v>
      </c>
      <c r="AH4783">
        <v>43.6650704873854</v>
      </c>
      <c r="AI4783">
        <v>91.443928341800998</v>
      </c>
      <c r="AJ4783">
        <v>85.240223918611406</v>
      </c>
      <c r="AK4783">
        <v>43.8300943922629</v>
      </c>
    </row>
    <row r="4784" spans="1:37" x14ac:dyDescent="0.2">
      <c r="A4784" t="str">
        <f>"20200111153528657"</f>
        <v>20200111153528657</v>
      </c>
      <c r="B4784" t="str">
        <f>"1578728128650940"</f>
        <v>1578728128650940</v>
      </c>
      <c r="C4784" t="s">
        <v>37</v>
      </c>
      <c r="D4784">
        <v>4.8243339999999897</v>
      </c>
      <c r="E4784">
        <v>0.60792109999999899</v>
      </c>
      <c r="F4784" t="s">
        <v>40</v>
      </c>
      <c r="G4784">
        <v>-371.834</v>
      </c>
      <c r="H4784">
        <v>1.025512</v>
      </c>
      <c r="I4784">
        <v>17.333490000000001</v>
      </c>
      <c r="J4784">
        <v>-372.55099999999999</v>
      </c>
      <c r="K4784">
        <v>1.1044620000000001</v>
      </c>
      <c r="L4784">
        <v>17.447659999999999</v>
      </c>
      <c r="M4784">
        <v>0.99735680000000004</v>
      </c>
      <c r="N4784">
        <v>0</v>
      </c>
      <c r="O4784">
        <v>-7.2218370000000004E-2</v>
      </c>
      <c r="P4784">
        <v>0.99841209999999903</v>
      </c>
      <c r="Q4784">
        <v>3.1420759999999999E-2</v>
      </c>
      <c r="R4784">
        <v>4.6757470000000002E-2</v>
      </c>
      <c r="S4784">
        <v>3.0336910000000001</v>
      </c>
      <c r="T4784">
        <v>-0.27922989999999998</v>
      </c>
      <c r="U4784">
        <v>-0.43768309999999999</v>
      </c>
      <c r="V4784">
        <v>-0.118755</v>
      </c>
      <c r="W4784">
        <v>3.9327319999999999E-2</v>
      </c>
      <c r="X4784">
        <v>0.99214449999999998</v>
      </c>
      <c r="Y4784">
        <v>7.0947029999999994E-2</v>
      </c>
      <c r="Z4784">
        <v>3.3450749999999999E-3</v>
      </c>
      <c r="AA4784">
        <v>0.99747450000000004</v>
      </c>
      <c r="AB4784">
        <v>24</v>
      </c>
      <c r="AC4784">
        <v>0.71699999999998398</v>
      </c>
      <c r="AD4784">
        <v>-7.8950000000000006E-2</v>
      </c>
      <c r="AE4784">
        <v>-0.114169999999997</v>
      </c>
      <c r="AF4784">
        <v>6.1364025267702002E-2</v>
      </c>
      <c r="AG4784">
        <v>-7.8950000000000006E-2</v>
      </c>
      <c r="AH4784">
        <v>0.71491937966760899</v>
      </c>
      <c r="AI4784">
        <v>96.278853499262297</v>
      </c>
      <c r="AJ4784">
        <v>85.094127537999597</v>
      </c>
      <c r="AK4784">
        <v>0.721878359227767</v>
      </c>
    </row>
    <row r="4785" spans="1:37" x14ac:dyDescent="0.2">
      <c r="A4785" t="str">
        <f>"20200111153528671"</f>
        <v>20200111153528671</v>
      </c>
      <c r="B4785" t="str">
        <f>"1578728128660699"</f>
        <v>1578728128660699</v>
      </c>
      <c r="C4785" t="s">
        <v>37</v>
      </c>
      <c r="D4785">
        <v>4.8295810000000001</v>
      </c>
      <c r="E4785">
        <v>0.61526159999999996</v>
      </c>
      <c r="F4785" t="s">
        <v>40</v>
      </c>
      <c r="G4785">
        <v>-371.8673</v>
      </c>
      <c r="H4785">
        <v>0.96291719999999903</v>
      </c>
      <c r="I4785">
        <v>17.288429999999899</v>
      </c>
      <c r="J4785">
        <v>-372.41210000000001</v>
      </c>
      <c r="K4785">
        <v>1.104465</v>
      </c>
      <c r="L4785">
        <v>17.437739999999899</v>
      </c>
      <c r="M4785">
        <v>0.99736769999999997</v>
      </c>
      <c r="N4785">
        <v>0</v>
      </c>
      <c r="O4785">
        <v>-7.2068729999999998E-2</v>
      </c>
      <c r="P4785">
        <v>0.99838090000000002</v>
      </c>
      <c r="Q4785">
        <v>3.1476379999999998E-2</v>
      </c>
      <c r="R4785">
        <v>4.7382380000000002E-2</v>
      </c>
      <c r="S4785">
        <v>3.0579830000000001</v>
      </c>
      <c r="T4785">
        <v>-0.63311549999999905</v>
      </c>
      <c r="U4785">
        <v>-0.71008300000000002</v>
      </c>
      <c r="V4785">
        <v>-0.119228399999999</v>
      </c>
      <c r="W4785">
        <v>3.9364009999999998E-2</v>
      </c>
      <c r="X4785">
        <v>0.99208619999999903</v>
      </c>
      <c r="Y4785">
        <v>0.15375739999999999</v>
      </c>
      <c r="Z4785">
        <v>-1.0116330000000001E-3</v>
      </c>
      <c r="AA4785">
        <v>0.98810810000000004</v>
      </c>
      <c r="AB4785">
        <v>24</v>
      </c>
      <c r="AC4785">
        <v>0.54480000000000905</v>
      </c>
      <c r="AD4785">
        <v>-0.1415478</v>
      </c>
      <c r="AE4785">
        <v>-0.149309999999999</v>
      </c>
      <c r="AF4785">
        <v>0.103178989999048</v>
      </c>
      <c r="AG4785">
        <v>-0.1415478</v>
      </c>
      <c r="AH4785">
        <v>0.52140597778985298</v>
      </c>
      <c r="AI4785">
        <v>104.91229279168201</v>
      </c>
      <c r="AJ4785">
        <v>78.806574486258498</v>
      </c>
      <c r="AK4785">
        <v>0.55004170508885597</v>
      </c>
    </row>
    <row r="4786" spans="1:37" x14ac:dyDescent="0.2">
      <c r="A4786" t="str">
        <f>"20200111153528689"</f>
        <v>20200111153528689</v>
      </c>
      <c r="B4786" t="str">
        <f>"1578728128680218"</f>
        <v>1578728128680218</v>
      </c>
      <c r="C4786" t="s">
        <v>37</v>
      </c>
      <c r="D4786">
        <v>4.8342199999999904</v>
      </c>
      <c r="E4786">
        <v>0.620228</v>
      </c>
      <c r="F4786" t="s">
        <v>40</v>
      </c>
      <c r="G4786">
        <v>-371.661</v>
      </c>
      <c r="H4786">
        <v>0.93778090000000003</v>
      </c>
      <c r="I4786">
        <v>17.249759999999998</v>
      </c>
      <c r="J4786">
        <v>-372.20069999999998</v>
      </c>
      <c r="K4786">
        <v>1.104471</v>
      </c>
      <c r="L4786">
        <v>17.422729999999898</v>
      </c>
      <c r="M4786">
        <v>0.99738559999999998</v>
      </c>
      <c r="N4786">
        <v>0</v>
      </c>
      <c r="O4786">
        <v>-7.1823380000000006E-2</v>
      </c>
      <c r="P4786">
        <v>0.99833989999999995</v>
      </c>
      <c r="Q4786">
        <v>3.1351419999999998E-2</v>
      </c>
      <c r="R4786">
        <v>4.8317939999999997E-2</v>
      </c>
      <c r="S4786">
        <v>3.0626220000000002</v>
      </c>
      <c r="T4786">
        <v>-0.6796468</v>
      </c>
      <c r="U4786">
        <v>-0.76544190000000001</v>
      </c>
      <c r="V4786">
        <v>-0.11991599999999999</v>
      </c>
      <c r="W4786">
        <v>3.9211530000000001E-2</v>
      </c>
      <c r="X4786">
        <v>0.99200940000000004</v>
      </c>
      <c r="Y4786">
        <v>0.16992360000000001</v>
      </c>
      <c r="Z4786">
        <v>-2.8818709999999998E-3</v>
      </c>
      <c r="AA4786">
        <v>0.98545300000000002</v>
      </c>
      <c r="AB4786">
        <v>24</v>
      </c>
      <c r="AC4786">
        <v>0.53969999999998197</v>
      </c>
      <c r="AD4786">
        <v>-0.16669009999999901</v>
      </c>
      <c r="AE4786">
        <v>-0.17296999999999499</v>
      </c>
      <c r="AF4786">
        <v>0.123109144817317</v>
      </c>
      <c r="AG4786">
        <v>-0.16669009999999901</v>
      </c>
      <c r="AH4786">
        <v>0.50688099562901701</v>
      </c>
      <c r="AI4786">
        <v>107.722019438259</v>
      </c>
      <c r="AJ4786">
        <v>76.348569562484002</v>
      </c>
      <c r="AK4786">
        <v>0.54760368397731296</v>
      </c>
    </row>
    <row r="4787" spans="1:37" x14ac:dyDescent="0.2">
      <c r="A4787" t="str">
        <f>"20200111153528704"</f>
        <v>20200111153528704</v>
      </c>
      <c r="B4787" t="str">
        <f>"1578728128700513"</f>
        <v>1578728128700513</v>
      </c>
      <c r="C4787" t="s">
        <v>37</v>
      </c>
      <c r="D4787">
        <v>4.7897959999999999</v>
      </c>
      <c r="E4787">
        <v>0.62125949999999996</v>
      </c>
      <c r="F4787" t="s">
        <v>40</v>
      </c>
      <c r="G4787">
        <v>-371.44580000000002</v>
      </c>
      <c r="H4787">
        <v>0.92834640000000002</v>
      </c>
      <c r="I4787">
        <v>17.225300000000001</v>
      </c>
      <c r="J4787">
        <v>-372.04410000000001</v>
      </c>
      <c r="K4787">
        <v>1.1044830000000001</v>
      </c>
      <c r="L4787">
        <v>17.411650000000002</v>
      </c>
      <c r="M4787">
        <v>0.99739999999999995</v>
      </c>
      <c r="N4787">
        <v>0</v>
      </c>
      <c r="O4787">
        <v>-7.1624110000000005E-2</v>
      </c>
      <c r="P4787">
        <v>0.99834669999999903</v>
      </c>
      <c r="Q4787">
        <v>3.05887E-2</v>
      </c>
      <c r="R4787">
        <v>4.866467E-2</v>
      </c>
      <c r="S4787">
        <v>3.0662229999999999</v>
      </c>
      <c r="T4787">
        <v>-0.71547689999999997</v>
      </c>
      <c r="U4787">
        <v>-0.80090329999999998</v>
      </c>
      <c r="V4787">
        <v>-0.1200653</v>
      </c>
      <c r="W4787">
        <v>3.8429159999999997E-2</v>
      </c>
      <c r="X4787">
        <v>0.99202190000000001</v>
      </c>
      <c r="Y4787">
        <v>0.18005409999999999</v>
      </c>
      <c r="Z4787">
        <v>-4.21671799999999E-3</v>
      </c>
      <c r="AA4787">
        <v>0.98364769999999901</v>
      </c>
      <c r="AB4787">
        <v>25</v>
      </c>
      <c r="AC4787">
        <v>0.59829999999999395</v>
      </c>
      <c r="AD4787">
        <v>-0.1761366</v>
      </c>
      <c r="AE4787">
        <v>-0.18634999999999999</v>
      </c>
      <c r="AF4787">
        <v>0.13254564228205101</v>
      </c>
      <c r="AG4787">
        <v>-0.1761366</v>
      </c>
      <c r="AH4787">
        <v>0.56543881295681597</v>
      </c>
      <c r="AI4787">
        <v>106.87166578787399</v>
      </c>
      <c r="AJ4787">
        <v>76.807379819813306</v>
      </c>
      <c r="AK4787">
        <v>0.60688837552348496</v>
      </c>
    </row>
    <row r="4788" spans="1:37" x14ac:dyDescent="0.2">
      <c r="A4788" t="str">
        <f>"20200111153528722"</f>
        <v>20200111153528722</v>
      </c>
      <c r="B4788" t="str">
        <f>"1578728128710273"</f>
        <v>1578728128710273</v>
      </c>
      <c r="C4788" t="s">
        <v>37</v>
      </c>
      <c r="D4788">
        <v>4.8337779999999997</v>
      </c>
      <c r="E4788">
        <v>0.62181799999999998</v>
      </c>
      <c r="F4788" t="s">
        <v>40</v>
      </c>
      <c r="G4788">
        <v>-371.23169999999999</v>
      </c>
      <c r="H4788">
        <v>0.91458209999999995</v>
      </c>
      <c r="I4788">
        <v>17.197399999999998</v>
      </c>
      <c r="J4788">
        <v>-371.84530000000001</v>
      </c>
      <c r="K4788">
        <v>1.104492</v>
      </c>
      <c r="L4788">
        <v>17.397639999999999</v>
      </c>
      <c r="M4788">
        <v>0.99741999999999997</v>
      </c>
      <c r="N4788">
        <v>0</v>
      </c>
      <c r="O4788">
        <v>-7.1346679999999996E-2</v>
      </c>
      <c r="P4788">
        <v>0.99838259999999901</v>
      </c>
      <c r="Q4788">
        <v>2.9186989999999999E-2</v>
      </c>
      <c r="R4788">
        <v>4.878615E-2</v>
      </c>
      <c r="S4788">
        <v>3.0663450000000001</v>
      </c>
      <c r="T4788">
        <v>-0.71672689999999994</v>
      </c>
      <c r="U4788">
        <v>-0.80773930000000005</v>
      </c>
      <c r="V4788">
        <v>-0.1199143</v>
      </c>
      <c r="W4788">
        <v>3.7004429999999998E-2</v>
      </c>
      <c r="X4788">
        <v>0.99209439999999904</v>
      </c>
      <c r="Y4788">
        <v>0.18229860000000001</v>
      </c>
      <c r="Z4788">
        <v>-4.5401189999999996E-3</v>
      </c>
      <c r="AA4788">
        <v>0.98323269999999996</v>
      </c>
      <c r="AB4788">
        <v>25</v>
      </c>
      <c r="AC4788">
        <v>0.61360000000001902</v>
      </c>
      <c r="AD4788">
        <v>-0.18990989999999999</v>
      </c>
      <c r="AE4788">
        <v>-0.20024</v>
      </c>
      <c r="AF4788">
        <v>0.143524813353123</v>
      </c>
      <c r="AG4788">
        <v>-0.18990989999999999</v>
      </c>
      <c r="AH4788">
        <v>0.57642143736316798</v>
      </c>
      <c r="AI4788">
        <v>107.729197194245</v>
      </c>
      <c r="AJ4788">
        <v>76.0180806893256</v>
      </c>
      <c r="AK4788">
        <v>0.62363997275501803</v>
      </c>
    </row>
    <row r="4789" spans="1:37" x14ac:dyDescent="0.2">
      <c r="A4789" t="str">
        <f>"20200111153528735"</f>
        <v>20200111153528735</v>
      </c>
      <c r="B4789" t="str">
        <f>"1578728128730769"</f>
        <v>1578728128730769</v>
      </c>
      <c r="C4789" t="s">
        <v>37</v>
      </c>
      <c r="D4789">
        <v>4.8137189999999999</v>
      </c>
      <c r="E4789">
        <v>0.62256659999999997</v>
      </c>
      <c r="F4789" t="s">
        <v>40</v>
      </c>
      <c r="G4789">
        <v>-371.01319999999998</v>
      </c>
      <c r="H4789">
        <v>0.9091572</v>
      </c>
      <c r="I4789">
        <v>17.177229999999899</v>
      </c>
      <c r="J4789">
        <v>-371.7</v>
      </c>
      <c r="K4789">
        <v>1.104498</v>
      </c>
      <c r="L4789">
        <v>17.38748</v>
      </c>
      <c r="M4789">
        <v>0.99743599999999999</v>
      </c>
      <c r="N4789">
        <v>0</v>
      </c>
      <c r="O4789">
        <v>-7.1124389999999996E-2</v>
      </c>
      <c r="P4789">
        <v>0.99841950000000002</v>
      </c>
      <c r="Q4789">
        <v>2.8117820000000002E-2</v>
      </c>
      <c r="R4789">
        <v>4.8660549999999997E-2</v>
      </c>
      <c r="S4789">
        <v>3.0655519999999998</v>
      </c>
      <c r="T4789">
        <v>-0.71968189999999999</v>
      </c>
      <c r="U4789">
        <v>-0.81103519999999996</v>
      </c>
      <c r="V4789">
        <v>-0.11957129999999901</v>
      </c>
      <c r="W4789">
        <v>3.591892E-2</v>
      </c>
      <c r="X4789">
        <v>0.99217559999999905</v>
      </c>
      <c r="Y4789">
        <v>0.18350900000000001</v>
      </c>
      <c r="Z4789">
        <v>-4.7472510000000001E-3</v>
      </c>
      <c r="AA4789">
        <v>0.98300650000000001</v>
      </c>
      <c r="AB4789">
        <v>25</v>
      </c>
      <c r="AC4789">
        <v>0.68680000000000496</v>
      </c>
      <c r="AD4789">
        <v>-0.19534079999999901</v>
      </c>
      <c r="AE4789">
        <v>-0.21025000000000199</v>
      </c>
      <c r="AF4789">
        <v>0.14978874513314699</v>
      </c>
      <c r="AG4789">
        <v>-0.19534079999999901</v>
      </c>
      <c r="AH4789">
        <v>0.65180475715122899</v>
      </c>
      <c r="AI4789">
        <v>106.281972331852</v>
      </c>
      <c r="AJ4789">
        <v>77.057784411883702</v>
      </c>
      <c r="AK4789">
        <v>0.69673821321797502</v>
      </c>
    </row>
    <row r="4790" spans="1:37" x14ac:dyDescent="0.2">
      <c r="A4790" t="str">
        <f>"20200111153528748"</f>
        <v>20200111153528748</v>
      </c>
      <c r="B4790" t="str">
        <f>"1578728128740529"</f>
        <v>1578728128740529</v>
      </c>
      <c r="C4790" t="s">
        <v>37</v>
      </c>
      <c r="D4790">
        <v>4.7956539999999999</v>
      </c>
      <c r="E4790">
        <v>0.62268999999999997</v>
      </c>
      <c r="F4790" t="s">
        <v>40</v>
      </c>
      <c r="G4790">
        <v>-370.9991</v>
      </c>
      <c r="H4790">
        <v>0.94083240000000001</v>
      </c>
      <c r="I4790">
        <v>17.200129999999898</v>
      </c>
      <c r="J4790">
        <v>-371.5591</v>
      </c>
      <c r="K4790">
        <v>1.1045100000000001</v>
      </c>
      <c r="L4790">
        <v>17.377659999999999</v>
      </c>
      <c r="M4790">
        <v>0.99745269999999997</v>
      </c>
      <c r="N4790">
        <v>0</v>
      </c>
      <c r="O4790">
        <v>-7.0890170000000002E-2</v>
      </c>
      <c r="P4790">
        <v>0.99844809999999995</v>
      </c>
      <c r="Q4790">
        <v>2.7596929999999999E-2</v>
      </c>
      <c r="R4790">
        <v>4.8370599999999903E-2</v>
      </c>
      <c r="S4790">
        <v>3.0647579999999999</v>
      </c>
      <c r="T4790">
        <v>-0.71557340000000003</v>
      </c>
      <c r="U4790">
        <v>-0.81790160000000001</v>
      </c>
      <c r="V4790">
        <v>-0.11905259999999999</v>
      </c>
      <c r="W4790">
        <v>3.5383289999999998E-2</v>
      </c>
      <c r="X4790">
        <v>0.99225730000000001</v>
      </c>
      <c r="Y4790">
        <v>0.1858281</v>
      </c>
      <c r="Z4790">
        <v>-5.0364499999999996E-3</v>
      </c>
      <c r="AA4790">
        <v>0.98256929999999998</v>
      </c>
      <c r="AB4790">
        <v>25</v>
      </c>
      <c r="AC4790">
        <v>0.56000000000000205</v>
      </c>
      <c r="AD4790">
        <v>-0.16367760000000001</v>
      </c>
      <c r="AE4790">
        <v>-0.17753000000000399</v>
      </c>
      <c r="AF4790">
        <v>0.12748715603550101</v>
      </c>
      <c r="AG4790">
        <v>-0.16367760000000001</v>
      </c>
      <c r="AH4790">
        <v>0.53003181963722601</v>
      </c>
      <c r="AI4790">
        <v>106.712077311257</v>
      </c>
      <c r="AJ4790">
        <v>76.475700084836404</v>
      </c>
      <c r="AK4790">
        <v>0.56918982907614302</v>
      </c>
    </row>
    <row r="4791" spans="1:37" x14ac:dyDescent="0.2">
      <c r="A4791" t="str">
        <f>"20200111153528761"</f>
        <v>20200111153528761</v>
      </c>
      <c r="B4791" t="str">
        <f>"1578728128750288"</f>
        <v>1578728128750288</v>
      </c>
      <c r="C4791" t="s">
        <v>37</v>
      </c>
      <c r="D4791">
        <v>4.830711</v>
      </c>
      <c r="E4791">
        <v>0.62294340000000004</v>
      </c>
      <c r="F4791" t="s">
        <v>40</v>
      </c>
      <c r="G4791">
        <v>-370.78519999999997</v>
      </c>
      <c r="H4791">
        <v>0.92396279999999997</v>
      </c>
      <c r="I4791">
        <v>17.170459999999999</v>
      </c>
      <c r="J4791">
        <v>-371.4212</v>
      </c>
      <c r="K4791">
        <v>1.104527</v>
      </c>
      <c r="L4791">
        <v>17.368069999999999</v>
      </c>
      <c r="M4791">
        <v>0.99746990000000002</v>
      </c>
      <c r="N4791">
        <v>0</v>
      </c>
      <c r="O4791">
        <v>-7.0650000000000004E-2</v>
      </c>
      <c r="P4791">
        <v>0.99846699999999999</v>
      </c>
      <c r="Q4791">
        <v>2.7060130000000002E-2</v>
      </c>
      <c r="R4791">
        <v>4.8286620000000002E-2</v>
      </c>
      <c r="S4791">
        <v>3.0641479999999999</v>
      </c>
      <c r="T4791">
        <v>-0.7148584</v>
      </c>
      <c r="U4791">
        <v>-0.81988530000000004</v>
      </c>
      <c r="V4791">
        <v>-0.1187327</v>
      </c>
      <c r="W4791">
        <v>3.4831929999999997E-2</v>
      </c>
      <c r="X4791">
        <v>0.99231510000000001</v>
      </c>
      <c r="Y4791">
        <v>0.18668470000000001</v>
      </c>
      <c r="Z4791">
        <v>-5.1831689999999996E-3</v>
      </c>
      <c r="AA4791">
        <v>0.98240620000000001</v>
      </c>
      <c r="AB4791">
        <v>25</v>
      </c>
      <c r="AC4791">
        <v>0.63600000000002399</v>
      </c>
      <c r="AD4791">
        <v>-0.18056419999999901</v>
      </c>
      <c r="AE4791">
        <v>-0.19760999999999701</v>
      </c>
      <c r="AF4791">
        <v>0.14176103567989001</v>
      </c>
      <c r="AG4791">
        <v>-0.18056419999999901</v>
      </c>
      <c r="AH4791">
        <v>0.60397613789326499</v>
      </c>
      <c r="AI4791">
        <v>106.22761832799</v>
      </c>
      <c r="AJ4791">
        <v>76.791034504629394</v>
      </c>
      <c r="AK4791">
        <v>0.646132182067369</v>
      </c>
    </row>
    <row r="4792" spans="1:37" x14ac:dyDescent="0.2">
      <c r="A4792" t="str">
        <f>"20200111153528777"</f>
        <v>20200111153528777</v>
      </c>
      <c r="B4792" t="str">
        <f>"1578728128770784"</f>
        <v>1578728128770784</v>
      </c>
      <c r="C4792" t="s">
        <v>37</v>
      </c>
      <c r="D4792">
        <v>4.8396589999999904</v>
      </c>
      <c r="E4792">
        <v>0.62319399999999903</v>
      </c>
      <c r="F4792" t="s">
        <v>40</v>
      </c>
      <c r="G4792">
        <v>-370.57060000000001</v>
      </c>
      <c r="H4792">
        <v>0.90702859999999996</v>
      </c>
      <c r="I4792">
        <v>17.139520000000001</v>
      </c>
      <c r="J4792">
        <v>-371.22829999999999</v>
      </c>
      <c r="K4792">
        <v>1.104557</v>
      </c>
      <c r="L4792">
        <v>17.354800000000001</v>
      </c>
      <c r="M4792">
        <v>0.99749639999999995</v>
      </c>
      <c r="N4792">
        <v>0</v>
      </c>
      <c r="O4792">
        <v>-7.0275489999999996E-2</v>
      </c>
      <c r="P4792">
        <v>0.99849690000000002</v>
      </c>
      <c r="Q4792">
        <v>2.713198E-2</v>
      </c>
      <c r="R4792">
        <v>4.7621990000000003E-2</v>
      </c>
      <c r="S4792">
        <v>3.06366</v>
      </c>
      <c r="T4792">
        <v>-0.71133119999999905</v>
      </c>
      <c r="U4792">
        <v>-0.82232669999999997</v>
      </c>
      <c r="V4792">
        <v>-0.117702399999999</v>
      </c>
      <c r="W4792">
        <v>3.4883879999999999E-2</v>
      </c>
      <c r="X4792">
        <v>0.99243609999999904</v>
      </c>
      <c r="Y4792">
        <v>0.1878137</v>
      </c>
      <c r="Z4792">
        <v>-5.3696209999999998E-3</v>
      </c>
      <c r="AA4792">
        <v>0.98219000000000001</v>
      </c>
      <c r="AB4792">
        <v>25</v>
      </c>
      <c r="AC4792">
        <v>0.65769999999997697</v>
      </c>
      <c r="AD4792">
        <v>-0.19752839999999999</v>
      </c>
      <c r="AE4792">
        <v>-0.215279999999999</v>
      </c>
      <c r="AF4792">
        <v>0.155830482466527</v>
      </c>
      <c r="AG4792">
        <v>-0.19752839999999999</v>
      </c>
      <c r="AH4792">
        <v>0.62063934053903203</v>
      </c>
      <c r="AI4792">
        <v>107.154658255172</v>
      </c>
      <c r="AJ4792">
        <v>75.905500884043207</v>
      </c>
      <c r="AK4792">
        <v>0.66969679639149704</v>
      </c>
    </row>
    <row r="4793" spans="1:37" x14ac:dyDescent="0.2">
      <c r="A4793" t="str">
        <f>"20200111153528790"</f>
        <v>20200111153528790</v>
      </c>
      <c r="B4793" t="str">
        <f>"1578728128780547"</f>
        <v>1578728128780547</v>
      </c>
      <c r="C4793" t="s">
        <v>37</v>
      </c>
      <c r="D4793">
        <v>4.795026</v>
      </c>
      <c r="E4793">
        <v>0.62313099999999999</v>
      </c>
      <c r="F4793" t="s">
        <v>40</v>
      </c>
      <c r="G4793">
        <v>-370.55149999999998</v>
      </c>
      <c r="H4793">
        <v>0.94932719999999904</v>
      </c>
      <c r="I4793">
        <v>17.171879999999899</v>
      </c>
      <c r="J4793">
        <v>-371.08730000000003</v>
      </c>
      <c r="K4793">
        <v>1.1045799999999999</v>
      </c>
      <c r="L4793">
        <v>17.345179999999999</v>
      </c>
      <c r="M4793">
        <v>0.99751780000000001</v>
      </c>
      <c r="N4793">
        <v>0</v>
      </c>
      <c r="O4793">
        <v>-6.9972339999999994E-2</v>
      </c>
      <c r="P4793">
        <v>0.99850369999999999</v>
      </c>
      <c r="Q4793">
        <v>2.715101E-2</v>
      </c>
      <c r="R4793">
        <v>4.7465529999999999E-2</v>
      </c>
      <c r="S4793">
        <v>3.0630799999999998</v>
      </c>
      <c r="T4793">
        <v>-0.70249189999999995</v>
      </c>
      <c r="U4793">
        <v>-0.82672119999999905</v>
      </c>
      <c r="V4793">
        <v>-0.11724660000000001</v>
      </c>
      <c r="W4793">
        <v>3.4889120000000003E-2</v>
      </c>
      <c r="X4793">
        <v>0.99248979999999998</v>
      </c>
      <c r="Y4793">
        <v>0.18949559999999999</v>
      </c>
      <c r="Z4793">
        <v>-5.5589250000000002E-3</v>
      </c>
      <c r="AA4793">
        <v>0.98186580000000001</v>
      </c>
      <c r="AB4793">
        <v>25</v>
      </c>
      <c r="AC4793">
        <v>0.53580000000005101</v>
      </c>
      <c r="AD4793">
        <v>-0.155252799999999</v>
      </c>
      <c r="AE4793">
        <v>-0.17330000000000101</v>
      </c>
      <c r="AF4793">
        <v>0.12581949548897101</v>
      </c>
      <c r="AG4793">
        <v>-0.155252799999999</v>
      </c>
      <c r="AH4793">
        <v>0.50800078965598605</v>
      </c>
      <c r="AI4793">
        <v>106.523089062533</v>
      </c>
      <c r="AJ4793">
        <v>76.089159106778496</v>
      </c>
      <c r="AK4793">
        <v>0.54589264479753197</v>
      </c>
    </row>
    <row r="4794" spans="1:37" x14ac:dyDescent="0.2">
      <c r="A4794" t="str">
        <f>"20200111153528803"</f>
        <v>20200111153528803</v>
      </c>
      <c r="B4794" t="str">
        <f>"1578728128801043"</f>
        <v>1578728128801043</v>
      </c>
      <c r="C4794" t="s">
        <v>37</v>
      </c>
      <c r="D4794">
        <v>4.8304599999999898</v>
      </c>
      <c r="E4794">
        <v>0.62311289999999997</v>
      </c>
      <c r="F4794" t="s">
        <v>40</v>
      </c>
      <c r="G4794">
        <v>-370.33629999999999</v>
      </c>
      <c r="H4794">
        <v>0.93335889999999999</v>
      </c>
      <c r="I4794">
        <v>17.142289999999999</v>
      </c>
      <c r="J4794">
        <v>-370.94810000000001</v>
      </c>
      <c r="K4794">
        <v>1.1046020000000001</v>
      </c>
      <c r="L4794">
        <v>17.335719999999998</v>
      </c>
      <c r="M4794">
        <v>0.99753979999999998</v>
      </c>
      <c r="N4794">
        <v>0</v>
      </c>
      <c r="O4794">
        <v>-6.9658940000000003E-2</v>
      </c>
      <c r="P4794">
        <v>0.99849359999999998</v>
      </c>
      <c r="Q4794">
        <v>2.7349140000000001E-2</v>
      </c>
      <c r="R4794">
        <v>4.7569140000000003E-2</v>
      </c>
      <c r="S4794">
        <v>3.062805</v>
      </c>
      <c r="T4794">
        <v>-0.69831869999999996</v>
      </c>
      <c r="U4794">
        <v>-0.82708740000000003</v>
      </c>
      <c r="V4794">
        <v>-0.1170395</v>
      </c>
      <c r="W4794">
        <v>3.5072590000000001E-2</v>
      </c>
      <c r="X4794">
        <v>0.99250780000000005</v>
      </c>
      <c r="Y4794">
        <v>0.18995049999999999</v>
      </c>
      <c r="Z4794">
        <v>-5.6463479999999998E-3</v>
      </c>
      <c r="AA4794">
        <v>0.98177739999999902</v>
      </c>
      <c r="AB4794">
        <v>25</v>
      </c>
      <c r="AC4794">
        <v>0.611800000000016</v>
      </c>
      <c r="AD4794">
        <v>-0.17124310000000001</v>
      </c>
      <c r="AE4794">
        <v>-0.19343000000000199</v>
      </c>
      <c r="AF4794">
        <v>0.140345396534547</v>
      </c>
      <c r="AG4794">
        <v>-0.17124310000000001</v>
      </c>
      <c r="AH4794">
        <v>0.58231327209498696</v>
      </c>
      <c r="AI4794">
        <v>105.95458576927101</v>
      </c>
      <c r="AJ4794">
        <v>76.449369296055394</v>
      </c>
      <c r="AK4794">
        <v>0.62298457162599097</v>
      </c>
    </row>
    <row r="4795" spans="1:37" x14ac:dyDescent="0.2">
      <c r="A4795" t="str">
        <f>"20200111153528817"</f>
        <v>20200111153528817</v>
      </c>
      <c r="B4795" t="str">
        <f>"1578728128810801"</f>
        <v>1578728128810801</v>
      </c>
      <c r="C4795" t="s">
        <v>37</v>
      </c>
      <c r="D4795">
        <v>4.8400280000000002</v>
      </c>
      <c r="E4795">
        <v>0.62316280000000002</v>
      </c>
      <c r="F4795" t="s">
        <v>40</v>
      </c>
      <c r="G4795">
        <v>-370.12</v>
      </c>
      <c r="H4795">
        <v>0.91756249999999995</v>
      </c>
      <c r="I4795">
        <v>17.11177</v>
      </c>
      <c r="J4795">
        <v>-370.78800000000001</v>
      </c>
      <c r="K4795">
        <v>1.104635</v>
      </c>
      <c r="L4795">
        <v>17.32489</v>
      </c>
      <c r="M4795">
        <v>0.99756679999999998</v>
      </c>
      <c r="N4795">
        <v>0</v>
      </c>
      <c r="O4795">
        <v>-6.9272299999999995E-2</v>
      </c>
      <c r="P4795">
        <v>0.9984847</v>
      </c>
      <c r="Q4795">
        <v>2.7258620000000001E-2</v>
      </c>
      <c r="R4795">
        <v>4.780508E-2</v>
      </c>
      <c r="S4795">
        <v>3.0628660000000001</v>
      </c>
      <c r="T4795">
        <v>-0.69187949999999998</v>
      </c>
      <c r="U4795">
        <v>-0.82684329999999995</v>
      </c>
      <c r="V4795">
        <v>-0.11689280000000001</v>
      </c>
      <c r="W4795">
        <v>3.4965370000000003E-2</v>
      </c>
      <c r="X4795">
        <v>0.99252890000000005</v>
      </c>
      <c r="Y4795">
        <v>0.19028809999999999</v>
      </c>
      <c r="Z4795">
        <v>-5.716718E-3</v>
      </c>
      <c r="AA4795">
        <v>0.98171160000000002</v>
      </c>
      <c r="AB4795">
        <v>25</v>
      </c>
      <c r="AC4795">
        <v>0.66800000000000603</v>
      </c>
      <c r="AD4795">
        <v>-0.1870725</v>
      </c>
      <c r="AE4795">
        <v>-0.213119999999999</v>
      </c>
      <c r="AF4795">
        <v>0.15527959891415299</v>
      </c>
      <c r="AG4795">
        <v>-0.1870725</v>
      </c>
      <c r="AH4795">
        <v>0.63589484542436403</v>
      </c>
      <c r="AI4795">
        <v>105.949430246704</v>
      </c>
      <c r="AJ4795">
        <v>76.277451969473105</v>
      </c>
      <c r="AK4795">
        <v>0.680786404485626</v>
      </c>
    </row>
    <row r="4796" spans="1:37" x14ac:dyDescent="0.2">
      <c r="A4796" t="str">
        <f>"20200111153528833"</f>
        <v>20200111153528833</v>
      </c>
      <c r="B4796" t="str">
        <f>"1578728128830321"</f>
        <v>1578728128830321</v>
      </c>
      <c r="C4796" t="s">
        <v>37</v>
      </c>
      <c r="D4796">
        <v>4.8038239999999996</v>
      </c>
      <c r="E4796">
        <v>0.62388509999999997</v>
      </c>
      <c r="F4796" t="s">
        <v>40</v>
      </c>
      <c r="G4796">
        <v>-370.10489999999999</v>
      </c>
      <c r="H4796">
        <v>0.95070169999999998</v>
      </c>
      <c r="I4796">
        <v>17.140059999999998</v>
      </c>
      <c r="J4796">
        <v>-370.61509999999998</v>
      </c>
      <c r="K4796">
        <v>1.104668</v>
      </c>
      <c r="L4796">
        <v>17.31335</v>
      </c>
      <c r="M4796">
        <v>0.9975984</v>
      </c>
      <c r="N4796">
        <v>0</v>
      </c>
      <c r="O4796">
        <v>-6.8817219999999998E-2</v>
      </c>
      <c r="P4796">
        <v>0.99846679999999999</v>
      </c>
      <c r="Q4796">
        <v>2.7402389999999999E-2</v>
      </c>
      <c r="R4796">
        <v>4.8095539999999999E-2</v>
      </c>
      <c r="S4796">
        <v>3.0629879999999998</v>
      </c>
      <c r="T4796">
        <v>-0.69023369999999995</v>
      </c>
      <c r="U4796">
        <v>-0.82687379999999999</v>
      </c>
      <c r="V4796">
        <v>-0.1167313</v>
      </c>
      <c r="W4796">
        <v>3.5091650000000002E-2</v>
      </c>
      <c r="X4796">
        <v>0.99254339999999996</v>
      </c>
      <c r="Y4796">
        <v>0.1907276</v>
      </c>
      <c r="Z4796">
        <v>-5.8502329999999998E-3</v>
      </c>
      <c r="AA4796">
        <v>0.98162559999999999</v>
      </c>
      <c r="AB4796">
        <v>25</v>
      </c>
      <c r="AC4796">
        <v>0.51019999999999699</v>
      </c>
      <c r="AD4796">
        <v>-0.153966299999999</v>
      </c>
      <c r="AE4796">
        <v>-0.173289999999997</v>
      </c>
      <c r="AF4796">
        <v>0.12736797704245401</v>
      </c>
      <c r="AG4796">
        <v>-0.153966299999999</v>
      </c>
      <c r="AH4796">
        <v>0.48159410676290398</v>
      </c>
      <c r="AI4796">
        <v>107.175066207331</v>
      </c>
      <c r="AJ4796">
        <v>75.186063715499301</v>
      </c>
      <c r="AK4796">
        <v>0.52140301761721397</v>
      </c>
    </row>
    <row r="4797" spans="1:37" x14ac:dyDescent="0.2">
      <c r="A4797" t="str">
        <f>"20200111153528847"</f>
        <v>20200111153528847</v>
      </c>
      <c r="B4797" t="str">
        <f>"1578728128841057"</f>
        <v>1578728128841057</v>
      </c>
      <c r="C4797" t="s">
        <v>37</v>
      </c>
      <c r="D4797">
        <v>4.9030820000000004</v>
      </c>
      <c r="E4797">
        <v>0.62380959999999996</v>
      </c>
      <c r="F4797" t="s">
        <v>40</v>
      </c>
      <c r="G4797">
        <v>-369.88569999999999</v>
      </c>
      <c r="H4797">
        <v>0.94123319999999999</v>
      </c>
      <c r="I4797">
        <v>17.115069999999999</v>
      </c>
      <c r="J4797">
        <v>-370.4502</v>
      </c>
      <c r="K4797">
        <v>1.1047</v>
      </c>
      <c r="L4797">
        <v>17.30246</v>
      </c>
      <c r="M4797">
        <v>0.99763020000000002</v>
      </c>
      <c r="N4797">
        <v>0</v>
      </c>
      <c r="O4797">
        <v>-6.8355840000000001E-2</v>
      </c>
      <c r="P4797">
        <v>0.99844859999999902</v>
      </c>
      <c r="Q4797">
        <v>2.7495639999999998E-2</v>
      </c>
      <c r="R4797">
        <v>4.8421480000000003E-2</v>
      </c>
      <c r="S4797">
        <v>3.063507</v>
      </c>
      <c r="T4797">
        <v>-0.68655900000000003</v>
      </c>
      <c r="U4797">
        <v>-0.83181759999999905</v>
      </c>
      <c r="V4797">
        <v>-0.11659899999999999</v>
      </c>
      <c r="W4797">
        <v>3.5168850000000001E-2</v>
      </c>
      <c r="X4797">
        <v>0.9925562</v>
      </c>
      <c r="Y4797">
        <v>0.19259370000000001</v>
      </c>
      <c r="Z4797">
        <v>-6.1206580000000002E-3</v>
      </c>
      <c r="AA4797">
        <v>0.98125949999999995</v>
      </c>
      <c r="AB4797">
        <v>25</v>
      </c>
      <c r="AC4797">
        <v>0.56450000000000899</v>
      </c>
      <c r="AD4797">
        <v>-0.1634668</v>
      </c>
      <c r="AE4797">
        <v>-0.187389999999997</v>
      </c>
      <c r="AF4797">
        <v>0.13794437989327901</v>
      </c>
      <c r="AG4797">
        <v>-0.1634668</v>
      </c>
      <c r="AH4797">
        <v>0.535538772544494</v>
      </c>
      <c r="AI4797">
        <v>106.4671336646</v>
      </c>
      <c r="AJ4797">
        <v>75.555705939898502</v>
      </c>
      <c r="AK4797">
        <v>0.57667306469510504</v>
      </c>
    </row>
    <row r="4798" spans="1:37" x14ac:dyDescent="0.2">
      <c r="A4798" t="str">
        <f>"20200111153528861"</f>
        <v>20200111153528861</v>
      </c>
      <c r="B4798" t="str">
        <f>"1578728128850817"</f>
        <v>1578728128850817</v>
      </c>
      <c r="C4798" t="s">
        <v>37</v>
      </c>
      <c r="D4798">
        <v>4.8676979999999999</v>
      </c>
      <c r="E4798">
        <v>0.6239924</v>
      </c>
      <c r="F4798" t="s">
        <v>40</v>
      </c>
      <c r="G4798">
        <v>-369.66669999999999</v>
      </c>
      <c r="H4798">
        <v>0.9286991</v>
      </c>
      <c r="I4798">
        <v>17.090070000000001</v>
      </c>
      <c r="J4798">
        <v>-370.29689999999999</v>
      </c>
      <c r="K4798">
        <v>1.1047279999999999</v>
      </c>
      <c r="L4798">
        <v>17.292390000000001</v>
      </c>
      <c r="M4798">
        <v>0.99766089999999996</v>
      </c>
      <c r="N4798">
        <v>0</v>
      </c>
      <c r="O4798">
        <v>-6.790533E-2</v>
      </c>
      <c r="P4798">
        <v>0.99844140000000003</v>
      </c>
      <c r="Q4798">
        <v>2.7226799999999999E-2</v>
      </c>
      <c r="R4798">
        <v>4.8720890000000003E-2</v>
      </c>
      <c r="S4798">
        <v>3.063904</v>
      </c>
      <c r="T4798">
        <v>-0.68819699999999995</v>
      </c>
      <c r="U4798">
        <v>-0.8300476</v>
      </c>
      <c r="V4798">
        <v>-0.116451</v>
      </c>
      <c r="W4798">
        <v>3.4886260000000002E-2</v>
      </c>
      <c r="X4798">
        <v>0.99258359999999901</v>
      </c>
      <c r="Y4798">
        <v>0.19245570000000001</v>
      </c>
      <c r="Z4798">
        <v>-6.2171250000000004E-3</v>
      </c>
      <c r="AA4798">
        <v>0.98128599999999999</v>
      </c>
      <c r="AB4798">
        <v>25</v>
      </c>
      <c r="AC4798">
        <v>0.63020000000000198</v>
      </c>
      <c r="AD4798">
        <v>-0.17602889999999999</v>
      </c>
      <c r="AE4798">
        <v>-0.20232</v>
      </c>
      <c r="AF4798">
        <v>0.148550596447484</v>
      </c>
      <c r="AG4798">
        <v>-0.17602889999999999</v>
      </c>
      <c r="AH4798">
        <v>0.60004273361629201</v>
      </c>
      <c r="AI4798">
        <v>105.895039000754</v>
      </c>
      <c r="AJ4798">
        <v>76.095048511830797</v>
      </c>
      <c r="AK4798">
        <v>0.64273224246635197</v>
      </c>
    </row>
    <row r="4799" spans="1:37" x14ac:dyDescent="0.2">
      <c r="A4799" t="str">
        <f>"20200111153528879"</f>
        <v>20200111153528879</v>
      </c>
      <c r="B4799" t="str">
        <f>"1578728128870336"</f>
        <v>1578728128870336</v>
      </c>
      <c r="C4799" t="s">
        <v>37</v>
      </c>
      <c r="D4799">
        <v>4.8615830000000004</v>
      </c>
      <c r="E4799">
        <v>0.62395970000000001</v>
      </c>
      <c r="F4799" t="s">
        <v>40</v>
      </c>
      <c r="G4799">
        <v>-369.44819999999999</v>
      </c>
      <c r="H4799">
        <v>0.91337029999999997</v>
      </c>
      <c r="I4799">
        <v>17.06249</v>
      </c>
      <c r="J4799">
        <v>-370.0942</v>
      </c>
      <c r="K4799">
        <v>1.1047709999999999</v>
      </c>
      <c r="L4799">
        <v>17.279239999999898</v>
      </c>
      <c r="M4799">
        <v>0.99770400000000004</v>
      </c>
      <c r="N4799">
        <v>0</v>
      </c>
      <c r="O4799">
        <v>-6.7269979999999993E-2</v>
      </c>
      <c r="P4799">
        <v>0.99843199999999999</v>
      </c>
      <c r="Q4799">
        <v>2.721556E-2</v>
      </c>
      <c r="R4799">
        <v>4.8915350000000003E-2</v>
      </c>
      <c r="S4799">
        <v>3.0640259999999899</v>
      </c>
      <c r="T4799">
        <v>-0.69083509999999904</v>
      </c>
      <c r="U4799">
        <v>-0.82998660000000002</v>
      </c>
      <c r="V4799">
        <v>-0.1160152</v>
      </c>
      <c r="W4799">
        <v>3.4858140000000003E-2</v>
      </c>
      <c r="X4799">
        <v>0.9926355</v>
      </c>
      <c r="Y4799">
        <v>0.19300290000000001</v>
      </c>
      <c r="Z4799">
        <v>-6.4382650000000003E-3</v>
      </c>
      <c r="AA4799">
        <v>0.98117710000000002</v>
      </c>
      <c r="AB4799">
        <v>25</v>
      </c>
      <c r="AC4799">
        <v>0.64600000000001501</v>
      </c>
      <c r="AD4799">
        <v>-0.19140069999999901</v>
      </c>
      <c r="AE4799">
        <v>-0.216749999999997</v>
      </c>
      <c r="AF4799">
        <v>0.16016389168245301</v>
      </c>
      <c r="AG4799">
        <v>-0.19140069999999901</v>
      </c>
      <c r="AH4799">
        <v>0.61091500214980798</v>
      </c>
      <c r="AI4799">
        <v>106.859936196672</v>
      </c>
      <c r="AJ4799">
        <v>75.3093594604846</v>
      </c>
      <c r="AK4799">
        <v>0.65992714750270598</v>
      </c>
    </row>
    <row r="4800" spans="1:37" x14ac:dyDescent="0.2">
      <c r="A4800" t="str">
        <f>"20200111153528892"</f>
        <v>20200111153528892</v>
      </c>
      <c r="B4800" t="str">
        <f>"1578728128881073"</f>
        <v>1578728128881073</v>
      </c>
      <c r="C4800" t="s">
        <v>37</v>
      </c>
      <c r="D4800">
        <v>4.8438049999999997</v>
      </c>
      <c r="E4800">
        <v>0.62381330000000002</v>
      </c>
      <c r="F4800" t="s">
        <v>40</v>
      </c>
      <c r="G4800">
        <v>-369.22480000000002</v>
      </c>
      <c r="H4800">
        <v>0.90792629999999996</v>
      </c>
      <c r="I4800">
        <v>17.04383</v>
      </c>
      <c r="J4800">
        <v>-369.93560000000002</v>
      </c>
      <c r="K4800">
        <v>1.1047959999999999</v>
      </c>
      <c r="L4800">
        <v>17.269100000000002</v>
      </c>
      <c r="M4800">
        <v>0.99773969999999901</v>
      </c>
      <c r="N4800">
        <v>0</v>
      </c>
      <c r="O4800">
        <v>-6.6740480000000005E-2</v>
      </c>
      <c r="P4800">
        <v>0.99841309999999905</v>
      </c>
      <c r="Q4800">
        <v>2.7330009999999998E-2</v>
      </c>
      <c r="R4800">
        <v>4.9239730000000002E-2</v>
      </c>
      <c r="S4800">
        <v>3.064209</v>
      </c>
      <c r="T4800">
        <v>-0.69385059999999998</v>
      </c>
      <c r="U4800">
        <v>-0.82885739999999997</v>
      </c>
      <c r="V4800">
        <v>-0.11581320000000001</v>
      </c>
      <c r="W4800">
        <v>3.4960129999999999E-2</v>
      </c>
      <c r="X4800">
        <v>0.99265559999999997</v>
      </c>
      <c r="Y4800">
        <v>0.19313079999999999</v>
      </c>
      <c r="Z4800">
        <v>-6.5953299999999999E-3</v>
      </c>
      <c r="AA4800">
        <v>0.98115090000000005</v>
      </c>
      <c r="AB4800">
        <v>25</v>
      </c>
      <c r="AC4800">
        <v>0.71080000000000598</v>
      </c>
      <c r="AD4800">
        <v>-0.19686969999999901</v>
      </c>
      <c r="AE4800">
        <v>-0.225270000000001</v>
      </c>
      <c r="AF4800">
        <v>0.16577117979081299</v>
      </c>
      <c r="AG4800">
        <v>-0.19686969999999901</v>
      </c>
      <c r="AH4800">
        <v>0.67705271565954495</v>
      </c>
      <c r="AI4800">
        <v>105.771386681954</v>
      </c>
      <c r="AJ4800">
        <v>76.242220674989497</v>
      </c>
      <c r="AK4800">
        <v>0.72431908894443198</v>
      </c>
    </row>
    <row r="4801" spans="1:37" x14ac:dyDescent="0.2">
      <c r="A4801" t="str">
        <f>"20200111153528906"</f>
        <v>20200111153528906</v>
      </c>
      <c r="B4801" t="str">
        <f>"1578728128900593"</f>
        <v>1578728128900593</v>
      </c>
      <c r="C4801" t="s">
        <v>37</v>
      </c>
      <c r="D4801">
        <v>4.827852</v>
      </c>
      <c r="E4801">
        <v>0.62367939999999999</v>
      </c>
      <c r="F4801" t="s">
        <v>40</v>
      </c>
      <c r="G4801">
        <v>-369.21039999999999</v>
      </c>
      <c r="H4801">
        <v>0.94043770000000004</v>
      </c>
      <c r="I4801">
        <v>17.073239999999998</v>
      </c>
      <c r="J4801">
        <v>-369.791</v>
      </c>
      <c r="K4801">
        <v>1.1048169999999999</v>
      </c>
      <c r="L4801">
        <v>17.259920000000001</v>
      </c>
      <c r="M4801">
        <v>0.99777280000000002</v>
      </c>
      <c r="N4801">
        <v>0</v>
      </c>
      <c r="O4801">
        <v>-6.6242350000000005E-2</v>
      </c>
      <c r="P4801">
        <v>0.99840479999999998</v>
      </c>
      <c r="Q4801">
        <v>2.7364650000000001E-2</v>
      </c>
      <c r="R4801">
        <v>4.9387050000000002E-2</v>
      </c>
      <c r="S4801">
        <v>3.064575</v>
      </c>
      <c r="T4801">
        <v>-0.6946118</v>
      </c>
      <c r="U4801">
        <v>-0.82662959999999996</v>
      </c>
      <c r="V4801">
        <v>-0.1154661</v>
      </c>
      <c r="W4801">
        <v>3.4984910000000001E-2</v>
      </c>
      <c r="X4801">
        <v>0.992695199999999</v>
      </c>
      <c r="Y4801">
        <v>0.1929128</v>
      </c>
      <c r="Z4801">
        <v>-6.6871219999999898E-3</v>
      </c>
      <c r="AA4801">
        <v>0.98119310000000004</v>
      </c>
      <c r="AB4801">
        <v>25</v>
      </c>
      <c r="AC4801">
        <v>0.580600000000004</v>
      </c>
      <c r="AD4801">
        <v>-0.16437929999999901</v>
      </c>
      <c r="AE4801">
        <v>-0.18668000000000201</v>
      </c>
      <c r="AF4801">
        <v>0.13779792023655901</v>
      </c>
      <c r="AG4801">
        <v>-0.16437929999999901</v>
      </c>
      <c r="AH4801">
        <v>0.55161805817911502</v>
      </c>
      <c r="AI4801">
        <v>106.125138878852</v>
      </c>
      <c r="AJ4801">
        <v>75.974177522002506</v>
      </c>
      <c r="AK4801">
        <v>0.59185412324263598</v>
      </c>
    </row>
    <row r="4802" spans="1:37" x14ac:dyDescent="0.2">
      <c r="A4802" t="str">
        <f>"20200111153528923"</f>
        <v>20200111153528923</v>
      </c>
      <c r="B4802" t="str">
        <f>"1578728128910353"</f>
        <v>1578728128910353</v>
      </c>
      <c r="C4802" t="s">
        <v>37</v>
      </c>
      <c r="D4802">
        <v>4.8286579999999999</v>
      </c>
      <c r="E4802">
        <v>0.62354909999999997</v>
      </c>
      <c r="F4802" t="s">
        <v>40</v>
      </c>
      <c r="G4802">
        <v>-368.99160000000001</v>
      </c>
      <c r="H4802">
        <v>0.92323770000000005</v>
      </c>
      <c r="I4802">
        <v>17.04466</v>
      </c>
      <c r="J4802">
        <v>-369.60579999999999</v>
      </c>
      <c r="K4802">
        <v>1.104841</v>
      </c>
      <c r="L4802">
        <v>17.24832</v>
      </c>
      <c r="M4802">
        <v>0.99781629999999999</v>
      </c>
      <c r="N4802">
        <v>0</v>
      </c>
      <c r="O4802">
        <v>-6.5584089999999998E-2</v>
      </c>
      <c r="P4802">
        <v>0.9983976</v>
      </c>
      <c r="Q4802">
        <v>2.7239530000000001E-2</v>
      </c>
      <c r="R4802">
        <v>4.9601270000000003E-2</v>
      </c>
      <c r="S4802">
        <v>3.0646969999999998</v>
      </c>
      <c r="T4802">
        <v>-0.69608059999999905</v>
      </c>
      <c r="U4802">
        <v>-0.82534789999999902</v>
      </c>
      <c r="V4802">
        <v>-0.115026</v>
      </c>
      <c r="W4802">
        <v>3.484719E-2</v>
      </c>
      <c r="X4802">
        <v>0.9927511</v>
      </c>
      <c r="Y4802">
        <v>0.19313379999999999</v>
      </c>
      <c r="Z4802">
        <v>-6.8696199999999999E-3</v>
      </c>
      <c r="AA4802">
        <v>0.98114840000000003</v>
      </c>
      <c r="AB4802">
        <v>25</v>
      </c>
      <c r="AC4802">
        <v>0.61419999999998198</v>
      </c>
      <c r="AD4802">
        <v>-0.181603299999999</v>
      </c>
      <c r="AE4802">
        <v>-0.20365999999999901</v>
      </c>
      <c r="AF4802">
        <v>0.15104193371136099</v>
      </c>
      <c r="AG4802">
        <v>-0.181603299999999</v>
      </c>
      <c r="AH4802">
        <v>0.58051172957420705</v>
      </c>
      <c r="AI4802">
        <v>106.843851277482</v>
      </c>
      <c r="AJ4802">
        <v>75.415718023200796</v>
      </c>
      <c r="AK4802">
        <v>0.62672744672895497</v>
      </c>
    </row>
    <row r="4803" spans="1:37" x14ac:dyDescent="0.2">
      <c r="A4803" t="str">
        <f>"20200111153528933"</f>
        <v>20200111153528933</v>
      </c>
      <c r="B4803" t="str">
        <f>"1578728128930850"</f>
        <v>1578728128930850</v>
      </c>
      <c r="C4803" t="s">
        <v>37</v>
      </c>
      <c r="D4803">
        <v>4.8428550000000001</v>
      </c>
      <c r="E4803">
        <v>0.62338609999999905</v>
      </c>
      <c r="F4803" t="s">
        <v>40</v>
      </c>
      <c r="G4803">
        <v>-368.76819999999998</v>
      </c>
      <c r="H4803">
        <v>0.91471589999999903</v>
      </c>
      <c r="I4803">
        <v>17.022579999999898</v>
      </c>
      <c r="J4803">
        <v>-369.47609999999997</v>
      </c>
      <c r="K4803">
        <v>1.1048549999999999</v>
      </c>
      <c r="L4803">
        <v>17.240259999999999</v>
      </c>
      <c r="M4803">
        <v>0.997847699999999</v>
      </c>
      <c r="N4803">
        <v>0</v>
      </c>
      <c r="O4803">
        <v>-6.5106289999999997E-2</v>
      </c>
      <c r="P4803">
        <v>0.99839880000000003</v>
      </c>
      <c r="Q4803">
        <v>2.7069909999999999E-2</v>
      </c>
      <c r="R4803">
        <v>4.967452E-2</v>
      </c>
      <c r="S4803">
        <v>3.0647279999999899</v>
      </c>
      <c r="T4803">
        <v>-0.69583680000000003</v>
      </c>
      <c r="U4803">
        <v>-0.82467649999999904</v>
      </c>
      <c r="V4803">
        <v>-0.1146257</v>
      </c>
      <c r="W4803">
        <v>3.4670859999999998E-2</v>
      </c>
      <c r="X4803">
        <v>0.99280360000000001</v>
      </c>
      <c r="Y4803">
        <v>0.193385</v>
      </c>
      <c r="Z4803">
        <v>-6.999758E-3</v>
      </c>
      <c r="AA4803">
        <v>0.98109799999999903</v>
      </c>
      <c r="AB4803">
        <v>25</v>
      </c>
      <c r="AC4803">
        <v>0.70789999999999498</v>
      </c>
      <c r="AD4803">
        <v>-0.19013910000000001</v>
      </c>
      <c r="AE4803">
        <v>-0.21768000000000101</v>
      </c>
      <c r="AF4803">
        <v>0.160546150473796</v>
      </c>
      <c r="AG4803">
        <v>-0.19013910000000001</v>
      </c>
      <c r="AH4803">
        <v>0.67601372402576398</v>
      </c>
      <c r="AI4803">
        <v>105.304517433569</v>
      </c>
      <c r="AJ4803">
        <v>76.640351909402298</v>
      </c>
      <c r="AK4803">
        <v>0.72036275504217095</v>
      </c>
    </row>
    <row r="4804" spans="1:37" x14ac:dyDescent="0.2">
      <c r="A4804" t="str">
        <f>"20200111153528946"</f>
        <v>20200111153528946</v>
      </c>
      <c r="B4804" t="str">
        <f>"1578728128940609"</f>
        <v>1578728128940609</v>
      </c>
      <c r="C4804" t="s">
        <v>37</v>
      </c>
      <c r="D4804">
        <v>4.8034439999999998</v>
      </c>
      <c r="E4804">
        <v>0.62331119999999995</v>
      </c>
      <c r="F4804" t="s">
        <v>40</v>
      </c>
      <c r="G4804">
        <v>-368.75670000000002</v>
      </c>
      <c r="H4804">
        <v>0.94106199999999995</v>
      </c>
      <c r="I4804">
        <v>17.04665</v>
      </c>
      <c r="J4804">
        <v>-369.34100000000001</v>
      </c>
      <c r="K4804">
        <v>1.1048709999999999</v>
      </c>
      <c r="L4804">
        <v>17.231929999999998</v>
      </c>
      <c r="M4804">
        <v>0.99788069999999895</v>
      </c>
      <c r="N4804">
        <v>0</v>
      </c>
      <c r="O4804">
        <v>-6.4598199999999995E-2</v>
      </c>
      <c r="P4804">
        <v>0.99838819999999995</v>
      </c>
      <c r="Q4804">
        <v>2.701535E-2</v>
      </c>
      <c r="R4804">
        <v>4.9915670000000002E-2</v>
      </c>
      <c r="S4804">
        <v>3.064667</v>
      </c>
      <c r="T4804">
        <v>-0.69785229999999998</v>
      </c>
      <c r="U4804">
        <v>-0.82318119999999995</v>
      </c>
      <c r="V4804">
        <v>-0.1143608</v>
      </c>
      <c r="W4804">
        <v>3.4608430000000003E-2</v>
      </c>
      <c r="X4804">
        <v>0.9928363</v>
      </c>
      <c r="Y4804">
        <v>0.193412</v>
      </c>
      <c r="Z4804">
        <v>-7.1346959999999899E-3</v>
      </c>
      <c r="AA4804">
        <v>0.98109169999999901</v>
      </c>
      <c r="AB4804">
        <v>25</v>
      </c>
      <c r="AC4804">
        <v>0.58429999999998405</v>
      </c>
      <c r="AD4804">
        <v>-0.16380899999999901</v>
      </c>
      <c r="AE4804">
        <v>-0.185279999999998</v>
      </c>
      <c r="AF4804">
        <v>0.13733895237577001</v>
      </c>
      <c r="AG4804">
        <v>-0.16380899999999901</v>
      </c>
      <c r="AH4804">
        <v>0.55538541482995296</v>
      </c>
      <c r="AI4804">
        <v>105.977586541238</v>
      </c>
      <c r="AJ4804">
        <v>76.110211669835294</v>
      </c>
      <c r="AK4804">
        <v>0.59510363410628997</v>
      </c>
    </row>
    <row r="4805" spans="1:37" x14ac:dyDescent="0.2">
      <c r="A4805" t="str">
        <f>"20200111153528958"</f>
        <v>20200111153528958</v>
      </c>
      <c r="B4805" t="str">
        <f>"1578728128950369"</f>
        <v>1578728128950369</v>
      </c>
      <c r="C4805" t="s">
        <v>37</v>
      </c>
      <c r="D4805">
        <v>4.8194860000000004</v>
      </c>
      <c r="E4805">
        <v>0.62324860000000004</v>
      </c>
      <c r="F4805" t="s">
        <v>40</v>
      </c>
      <c r="G4805">
        <v>-368.53750000000002</v>
      </c>
      <c r="H4805">
        <v>0.92175030000000002</v>
      </c>
      <c r="I4805">
        <v>17.016259999999999</v>
      </c>
      <c r="J4805">
        <v>-369.20170000000002</v>
      </c>
      <c r="K4805">
        <v>1.104886</v>
      </c>
      <c r="L4805">
        <v>17.22345</v>
      </c>
      <c r="M4805">
        <v>0.99791509999999894</v>
      </c>
      <c r="N4805">
        <v>0</v>
      </c>
      <c r="O4805">
        <v>-6.4066040000000005E-2</v>
      </c>
      <c r="P4805">
        <v>0.99839820000000001</v>
      </c>
      <c r="Q4805">
        <v>2.6639610000000001E-2</v>
      </c>
      <c r="R4805">
        <v>4.9915040000000001E-2</v>
      </c>
      <c r="S4805">
        <v>3.06478899999999</v>
      </c>
      <c r="T4805">
        <v>-0.69847999999999999</v>
      </c>
      <c r="U4805">
        <v>-0.82177730000000004</v>
      </c>
      <c r="V4805">
        <v>-0.11383210000000001</v>
      </c>
      <c r="W4805">
        <v>3.4226230000000003E-2</v>
      </c>
      <c r="X4805">
        <v>0.99291030000000002</v>
      </c>
      <c r="Y4805">
        <v>0.19348570000000001</v>
      </c>
      <c r="Z4805">
        <v>-7.2662689999999997E-3</v>
      </c>
      <c r="AA4805">
        <v>0.98107619999999895</v>
      </c>
      <c r="AB4805">
        <v>25</v>
      </c>
      <c r="AC4805">
        <v>0.66419999999999302</v>
      </c>
      <c r="AD4805">
        <v>-0.18313570000000001</v>
      </c>
      <c r="AE4805">
        <v>-0.20719000000000001</v>
      </c>
      <c r="AF4805">
        <v>0.153570687290843</v>
      </c>
      <c r="AG4805">
        <v>-0.18313570000000001</v>
      </c>
      <c r="AH4805">
        <v>0.63230248242499898</v>
      </c>
      <c r="AI4805">
        <v>105.71929993050399</v>
      </c>
      <c r="AJ4805">
        <v>76.348595728812995</v>
      </c>
      <c r="AK4805">
        <v>0.67596528748914997</v>
      </c>
    </row>
    <row r="4806" spans="1:37" x14ac:dyDescent="0.2">
      <c r="A4806" t="str">
        <f>"20200111153528969"</f>
        <v>20200111153528969</v>
      </c>
      <c r="B4806" t="str">
        <f>"1578728128961105"</f>
        <v>1578728128961105</v>
      </c>
      <c r="C4806" t="s">
        <v>37</v>
      </c>
      <c r="D4806">
        <v>4.8264269999999998</v>
      </c>
      <c r="E4806">
        <v>0.62322730000000004</v>
      </c>
      <c r="F4806" t="s">
        <v>40</v>
      </c>
      <c r="G4806">
        <v>-368.52460000000002</v>
      </c>
      <c r="H4806">
        <v>0.95031189999999999</v>
      </c>
      <c r="I4806">
        <v>17.041699999999999</v>
      </c>
      <c r="J4806">
        <v>-369.06560000000002</v>
      </c>
      <c r="K4806">
        <v>1.104897</v>
      </c>
      <c r="L4806">
        <v>17.21527</v>
      </c>
      <c r="M4806">
        <v>0.99794930000000004</v>
      </c>
      <c r="N4806">
        <v>0</v>
      </c>
      <c r="O4806">
        <v>-6.3532720000000001E-2</v>
      </c>
      <c r="P4806">
        <v>0.99837900000000002</v>
      </c>
      <c r="Q4806">
        <v>2.6725140000000001E-2</v>
      </c>
      <c r="R4806">
        <v>5.025748E-2</v>
      </c>
      <c r="S4806">
        <v>3.064575</v>
      </c>
      <c r="T4806">
        <v>-0.69968399999999997</v>
      </c>
      <c r="U4806">
        <v>-0.82162479999999904</v>
      </c>
      <c r="V4806">
        <v>-0.1136433</v>
      </c>
      <c r="W4806">
        <v>3.4305339999999997E-2</v>
      </c>
      <c r="X4806">
        <v>0.99292919999999996</v>
      </c>
      <c r="Y4806">
        <v>0.19394639999999999</v>
      </c>
      <c r="Z4806">
        <v>-7.447614E-3</v>
      </c>
      <c r="AA4806">
        <v>0.98098390000000002</v>
      </c>
      <c r="AB4806">
        <v>25</v>
      </c>
      <c r="AC4806">
        <v>0.54099999999999604</v>
      </c>
      <c r="AD4806">
        <v>-0.154585099999999</v>
      </c>
      <c r="AE4806">
        <v>-0.173570000000001</v>
      </c>
      <c r="AF4806">
        <v>0.129277054513078</v>
      </c>
      <c r="AG4806">
        <v>-0.154585099999999</v>
      </c>
      <c r="AH4806">
        <v>0.51296155994747095</v>
      </c>
      <c r="AI4806">
        <v>106.28945946947999</v>
      </c>
      <c r="AJ4806">
        <v>75.854828383504895</v>
      </c>
      <c r="AK4806">
        <v>0.55112491501412797</v>
      </c>
    </row>
    <row r="4807" spans="1:37" x14ac:dyDescent="0.2">
      <c r="A4807" t="str">
        <f>"20200111153528982"</f>
        <v>20200111153528982</v>
      </c>
      <c r="B4807" t="str">
        <f>"1578728128970866"</f>
        <v>1578728128970866</v>
      </c>
      <c r="C4807" t="s">
        <v>37</v>
      </c>
      <c r="D4807">
        <v>4.8012930000000003</v>
      </c>
      <c r="E4807">
        <v>0.62318960000000001</v>
      </c>
      <c r="F4807" t="s">
        <v>40</v>
      </c>
      <c r="G4807">
        <v>-368.30489999999998</v>
      </c>
      <c r="H4807">
        <v>0.93145730000000004</v>
      </c>
      <c r="I4807">
        <v>17.01126</v>
      </c>
      <c r="J4807">
        <v>-368.93</v>
      </c>
      <c r="K4807">
        <v>1.1049069999999901</v>
      </c>
      <c r="L4807">
        <v>17.207149999999999</v>
      </c>
      <c r="M4807">
        <v>0.99798319999999996</v>
      </c>
      <c r="N4807">
        <v>0</v>
      </c>
      <c r="O4807">
        <v>-6.2998090000000007E-2</v>
      </c>
      <c r="P4807">
        <v>0.9983573</v>
      </c>
      <c r="Q4807">
        <v>2.6748279999999999E-2</v>
      </c>
      <c r="R4807">
        <v>5.0670220000000002E-2</v>
      </c>
      <c r="S4807">
        <v>3.0648499999999999</v>
      </c>
      <c r="T4807">
        <v>-0.69887549999999998</v>
      </c>
      <c r="U4807">
        <v>-0.82064820000000005</v>
      </c>
      <c r="V4807">
        <v>-0.113522499999999</v>
      </c>
      <c r="W4807">
        <v>3.4322030000000003E-2</v>
      </c>
      <c r="X4807">
        <v>0.9929424</v>
      </c>
      <c r="Y4807">
        <v>0.1941476</v>
      </c>
      <c r="Z4807">
        <v>-7.5788130000000002E-3</v>
      </c>
      <c r="AA4807">
        <v>0.98094300000000001</v>
      </c>
      <c r="AB4807">
        <v>26</v>
      </c>
      <c r="AC4807">
        <v>0.62510000000003096</v>
      </c>
      <c r="AD4807">
        <v>-0.17344969999999901</v>
      </c>
      <c r="AE4807">
        <v>-0.19588999999999801</v>
      </c>
      <c r="AF4807">
        <v>0.14589145954893701</v>
      </c>
      <c r="AG4807">
        <v>-0.17344969999999901</v>
      </c>
      <c r="AH4807">
        <v>0.59451899639188499</v>
      </c>
      <c r="AI4807">
        <v>105.81962662759599</v>
      </c>
      <c r="AJ4807">
        <v>76.212399120011</v>
      </c>
      <c r="AK4807">
        <v>0.63625620112516301</v>
      </c>
    </row>
    <row r="4808" spans="1:37" x14ac:dyDescent="0.2">
      <c r="A4808" t="str">
        <f>"20200111153528994"</f>
        <v>20200111153528994</v>
      </c>
      <c r="B4808" t="str">
        <f>"1578728128990385"</f>
        <v>1578728128990385</v>
      </c>
      <c r="C4808" t="s">
        <v>37</v>
      </c>
      <c r="D4808">
        <v>4.9707160000000004</v>
      </c>
      <c r="E4808">
        <v>0.62292809999999998</v>
      </c>
      <c r="F4808" t="s">
        <v>40</v>
      </c>
      <c r="G4808">
        <v>-368.08440000000002</v>
      </c>
      <c r="H4808">
        <v>0.91223969999999899</v>
      </c>
      <c r="I4808">
        <v>16.98076</v>
      </c>
      <c r="J4808">
        <v>-368.78440000000001</v>
      </c>
      <c r="K4808">
        <v>1.104919</v>
      </c>
      <c r="L4808">
        <v>17.19858</v>
      </c>
      <c r="M4808">
        <v>0.99801960000000001</v>
      </c>
      <c r="N4808">
        <v>0</v>
      </c>
      <c r="O4808">
        <v>-6.241638E-2</v>
      </c>
      <c r="P4808">
        <v>0.99832240000000005</v>
      </c>
      <c r="Q4808">
        <v>2.6587900000000001E-2</v>
      </c>
      <c r="R4808">
        <v>5.1435250000000002E-2</v>
      </c>
      <c r="S4808">
        <v>3.065277</v>
      </c>
      <c r="T4808">
        <v>-0.69843379999999999</v>
      </c>
      <c r="U4808">
        <v>-0.81964110000000001</v>
      </c>
      <c r="V4808">
        <v>-0.113705999999999</v>
      </c>
      <c r="W4808">
        <v>3.4155230000000002E-2</v>
      </c>
      <c r="X4808">
        <v>0.99292719999999901</v>
      </c>
      <c r="Y4808">
        <v>0.19436929999999999</v>
      </c>
      <c r="Z4808">
        <v>-7.7259019999999998E-3</v>
      </c>
      <c r="AA4808">
        <v>0.98089799999999905</v>
      </c>
      <c r="AB4808">
        <v>26</v>
      </c>
      <c r="AC4808">
        <v>0.69999999999998797</v>
      </c>
      <c r="AD4808">
        <v>-0.1926793</v>
      </c>
      <c r="AE4808">
        <v>-0.21781999999999899</v>
      </c>
      <c r="AF4808">
        <v>0.16247885920733199</v>
      </c>
      <c r="AG4808">
        <v>-0.1926793</v>
      </c>
      <c r="AH4808">
        <v>0.66621092270205096</v>
      </c>
      <c r="AI4808">
        <v>105.694353931846</v>
      </c>
      <c r="AJ4808">
        <v>76.2939814041668</v>
      </c>
      <c r="AK4808">
        <v>0.71229325833207502</v>
      </c>
    </row>
    <row r="4809" spans="1:37" x14ac:dyDescent="0.2">
      <c r="A4809" t="str">
        <f>"20200111153529012"</f>
        <v>20200111153529012</v>
      </c>
      <c r="B4809" t="str">
        <f>"1578728129001126"</f>
        <v>1578728129001126</v>
      </c>
      <c r="C4809" t="s">
        <v>37</v>
      </c>
      <c r="D4809">
        <v>4.7033769999999997</v>
      </c>
      <c r="E4809">
        <v>0.57127479999999997</v>
      </c>
      <c r="F4809" t="s">
        <v>40</v>
      </c>
      <c r="G4809">
        <v>-368.07119999999998</v>
      </c>
      <c r="H4809">
        <v>0.94231209999999899</v>
      </c>
      <c r="I4809">
        <v>17.008559999999999</v>
      </c>
      <c r="J4809">
        <v>-368.5847</v>
      </c>
      <c r="K4809">
        <v>1.1049279999999999</v>
      </c>
      <c r="L4809">
        <v>17.18695</v>
      </c>
      <c r="M4809">
        <v>0.9980696</v>
      </c>
      <c r="N4809">
        <v>0</v>
      </c>
      <c r="O4809">
        <v>-6.1613300000000003E-2</v>
      </c>
      <c r="P4809">
        <v>0.998246999999999</v>
      </c>
      <c r="Q4809">
        <v>2.667429E-2</v>
      </c>
      <c r="R4809">
        <v>5.2835489999999999E-2</v>
      </c>
      <c r="S4809">
        <v>3.0656430000000001</v>
      </c>
      <c r="T4809">
        <v>-0.69898680000000002</v>
      </c>
      <c r="U4809">
        <v>-0.81561280000000003</v>
      </c>
      <c r="V4809">
        <v>-0.11430079999999999</v>
      </c>
      <c r="W4809">
        <v>3.4233859999999998E-2</v>
      </c>
      <c r="X4809">
        <v>0.99285610000000002</v>
      </c>
      <c r="Y4809">
        <v>0.19391159999999999</v>
      </c>
      <c r="Z4809">
        <v>-7.8582830000000006E-3</v>
      </c>
      <c r="AA4809">
        <v>0.98098750000000001</v>
      </c>
      <c r="AB4809">
        <v>26</v>
      </c>
      <c r="AC4809">
        <v>0.51350000000002105</v>
      </c>
      <c r="AD4809">
        <v>-0.16261590000000001</v>
      </c>
      <c r="AE4809">
        <v>-0.17838999999999999</v>
      </c>
      <c r="AF4809">
        <v>0.134385851872943</v>
      </c>
      <c r="AG4809">
        <v>-0.16261590000000001</v>
      </c>
      <c r="AH4809">
        <v>0.480515861293068</v>
      </c>
      <c r="AI4809">
        <v>108.05149560484401</v>
      </c>
      <c r="AJ4809">
        <v>74.375290170476703</v>
      </c>
      <c r="AK4809">
        <v>0.52478469972994202</v>
      </c>
    </row>
    <row r="4810" spans="1:37" x14ac:dyDescent="0.2">
      <c r="A4810" t="str">
        <f>"20200111153529025"</f>
        <v>20200111153529025</v>
      </c>
      <c r="B4810" t="str">
        <f>"1578728129020641"</f>
        <v>1578728129020641</v>
      </c>
      <c r="C4810" t="s">
        <v>37</v>
      </c>
      <c r="D4810">
        <v>4.8642010000000004</v>
      </c>
      <c r="E4810">
        <v>0.55159990000000003</v>
      </c>
      <c r="F4810" t="s">
        <v>40</v>
      </c>
      <c r="G4810">
        <v>-367.82830000000001</v>
      </c>
      <c r="H4810">
        <v>0.96236359999999999</v>
      </c>
      <c r="I4810">
        <v>17.086690000000001</v>
      </c>
      <c r="J4810">
        <v>-368.43029999999999</v>
      </c>
      <c r="K4810">
        <v>1.104932</v>
      </c>
      <c r="L4810">
        <v>17.178039999999999</v>
      </c>
      <c r="M4810">
        <v>0.998108</v>
      </c>
      <c r="N4810">
        <v>0</v>
      </c>
      <c r="O4810">
        <v>-6.0989549999999997E-2</v>
      </c>
      <c r="P4810">
        <v>0.99819669999999905</v>
      </c>
      <c r="Q4810">
        <v>2.669933E-2</v>
      </c>
      <c r="R4810">
        <v>5.3767130000000003E-2</v>
      </c>
      <c r="S4810">
        <v>3.0418699999999999</v>
      </c>
      <c r="T4810">
        <v>-0.57348279999999996</v>
      </c>
      <c r="U4810">
        <v>-0.40182499999999999</v>
      </c>
      <c r="V4810">
        <v>-0.1146075</v>
      </c>
      <c r="W4810">
        <v>3.4253399999999899E-2</v>
      </c>
      <c r="X4810">
        <v>0.99282009999999898</v>
      </c>
      <c r="Y4810">
        <v>7.0092119999999994E-2</v>
      </c>
      <c r="Z4810">
        <v>4.8117329999999899E-3</v>
      </c>
      <c r="AA4810">
        <v>0.99752890000000005</v>
      </c>
      <c r="AB4810">
        <v>26</v>
      </c>
      <c r="AC4810">
        <v>0.601999999999975</v>
      </c>
      <c r="AD4810">
        <v>-0.14256839999999901</v>
      </c>
      <c r="AE4810">
        <v>-9.1349999999998405E-2</v>
      </c>
      <c r="AF4810">
        <v>5.1632438472450103E-2</v>
      </c>
      <c r="AG4810">
        <v>-0.14256839999999901</v>
      </c>
      <c r="AH4810">
        <v>0.57493108091839795</v>
      </c>
      <c r="AI4810">
        <v>103.87331616458501</v>
      </c>
      <c r="AJ4810">
        <v>84.8682441238698</v>
      </c>
      <c r="AK4810">
        <v>0.59459011527872596</v>
      </c>
    </row>
    <row r="4811" spans="1:37" x14ac:dyDescent="0.2">
      <c r="A4811" t="str">
        <f>"20200111153529038"</f>
        <v>20200111153529038</v>
      </c>
      <c r="B4811" t="str">
        <f>"1578728129030401"</f>
        <v>1578728129030401</v>
      </c>
      <c r="C4811" t="s">
        <v>37</v>
      </c>
      <c r="D4811">
        <v>4.8165949999999897</v>
      </c>
      <c r="E4811">
        <v>0.54750710000000002</v>
      </c>
      <c r="F4811" t="s">
        <v>40</v>
      </c>
      <c r="G4811">
        <v>-367.58339999999998</v>
      </c>
      <c r="H4811">
        <v>0.98694369999999998</v>
      </c>
      <c r="I4811">
        <v>17.109660000000002</v>
      </c>
      <c r="J4811">
        <v>-368.28100000000001</v>
      </c>
      <c r="K4811">
        <v>1.1049359999999999</v>
      </c>
      <c r="L4811">
        <v>17.169529999999899</v>
      </c>
      <c r="M4811">
        <v>0.9981447</v>
      </c>
      <c r="N4811">
        <v>0</v>
      </c>
      <c r="O4811">
        <v>-6.038512E-2</v>
      </c>
      <c r="P4811">
        <v>0.99815619999999905</v>
      </c>
      <c r="Q4811">
        <v>2.6364229999999999E-2</v>
      </c>
      <c r="R4811">
        <v>5.4674979999999998E-2</v>
      </c>
      <c r="S4811">
        <v>3.029846</v>
      </c>
      <c r="T4811">
        <v>-0.4221975</v>
      </c>
      <c r="U4811">
        <v>-0.24404909999999999</v>
      </c>
      <c r="V4811">
        <v>-0.1149099</v>
      </c>
      <c r="W4811">
        <v>3.3913609999999997E-2</v>
      </c>
      <c r="X4811">
        <v>0.99279680000000003</v>
      </c>
      <c r="Y4811">
        <v>2.0333279999999999E-2</v>
      </c>
      <c r="Z4811">
        <v>6.9443839999999996E-3</v>
      </c>
      <c r="AA4811">
        <v>0.99976919999999903</v>
      </c>
      <c r="AB4811">
        <v>26</v>
      </c>
      <c r="AC4811">
        <v>0.69760000000002198</v>
      </c>
      <c r="AD4811">
        <v>-0.11799229999999999</v>
      </c>
      <c r="AE4811">
        <v>-5.9869999999996502E-2</v>
      </c>
      <c r="AF4811">
        <v>1.7147814010696202E-2</v>
      </c>
      <c r="AG4811">
        <v>-0.11799229999999999</v>
      </c>
      <c r="AH4811">
        <v>0.680613349309516</v>
      </c>
      <c r="AI4811">
        <v>99.832083737850297</v>
      </c>
      <c r="AJ4811">
        <v>88.556758306157107</v>
      </c>
      <c r="AK4811">
        <v>0.69097811951099597</v>
      </c>
    </row>
    <row r="4812" spans="1:37" x14ac:dyDescent="0.2">
      <c r="A4812" t="str">
        <f>"20200111153529049"</f>
        <v>20200111153529049</v>
      </c>
      <c r="B4812" t="str">
        <f>"1578728129040161"</f>
        <v>1578728129040161</v>
      </c>
      <c r="C4812" t="s">
        <v>37</v>
      </c>
      <c r="D4812">
        <v>4.8481699999999996</v>
      </c>
      <c r="E4812">
        <v>0.54564799999999902</v>
      </c>
      <c r="F4812" t="s">
        <v>40</v>
      </c>
      <c r="G4812">
        <v>-367.56599999999997</v>
      </c>
      <c r="H4812">
        <v>1.021177</v>
      </c>
      <c r="I4812">
        <v>17.119879999999998</v>
      </c>
      <c r="J4812">
        <v>-368.14789999999999</v>
      </c>
      <c r="K4812">
        <v>1.1049389999999999</v>
      </c>
      <c r="L4812">
        <v>17.162050000000001</v>
      </c>
      <c r="M4812">
        <v>0.99817719999999899</v>
      </c>
      <c r="N4812">
        <v>0</v>
      </c>
      <c r="O4812">
        <v>-5.9845929999999999E-2</v>
      </c>
      <c r="P4812">
        <v>0.9981101</v>
      </c>
      <c r="Q4812">
        <v>2.6006850000000001E-2</v>
      </c>
      <c r="R4812">
        <v>5.5676929999999999E-2</v>
      </c>
      <c r="S4812">
        <v>3.026367</v>
      </c>
      <c r="T4812">
        <v>-0.35461809999999899</v>
      </c>
      <c r="U4812">
        <v>-0.20947270000000001</v>
      </c>
      <c r="V4812">
        <v>-0.11537</v>
      </c>
      <c r="W4812">
        <v>3.3552850000000002E-2</v>
      </c>
      <c r="X4812">
        <v>0.99275579999999997</v>
      </c>
      <c r="Y4812">
        <v>9.5636699999999998E-3</v>
      </c>
      <c r="Z4812">
        <v>6.4160719999999897E-3</v>
      </c>
      <c r="AA4812">
        <v>0.99993369999999904</v>
      </c>
      <c r="AB4812">
        <v>26</v>
      </c>
      <c r="AC4812">
        <v>0.58190000000001796</v>
      </c>
      <c r="AD4812">
        <v>-8.3761999999999795E-2</v>
      </c>
      <c r="AE4812">
        <v>-4.2170000000002199E-2</v>
      </c>
      <c r="AF4812">
        <v>7.1222029828408202E-3</v>
      </c>
      <c r="AG4812">
        <v>-8.3761999999999795E-2</v>
      </c>
      <c r="AH4812">
        <v>0.57159887375330798</v>
      </c>
      <c r="AI4812">
        <v>98.336139112315195</v>
      </c>
      <c r="AJ4812">
        <v>89.286123409224103</v>
      </c>
      <c r="AK4812">
        <v>0.57774741098111304</v>
      </c>
    </row>
    <row r="4813" spans="1:37" x14ac:dyDescent="0.2">
      <c r="A4813" t="str">
        <f>"20200111153529068"</f>
        <v>20200111153529068</v>
      </c>
      <c r="B4813" t="str">
        <f>"1578728129060659"</f>
        <v>1578728129060659</v>
      </c>
      <c r="C4813" t="s">
        <v>37</v>
      </c>
      <c r="D4813">
        <v>4.8256600000000001</v>
      </c>
      <c r="E4813">
        <v>0.54390469999999902</v>
      </c>
      <c r="F4813" t="s">
        <v>40</v>
      </c>
      <c r="G4813">
        <v>-367.334</v>
      </c>
      <c r="H4813">
        <v>1.0234299999999901</v>
      </c>
      <c r="I4813">
        <v>17.110150000000001</v>
      </c>
      <c r="J4813">
        <v>-367.93889999999999</v>
      </c>
      <c r="K4813">
        <v>1.1049359999999999</v>
      </c>
      <c r="L4813">
        <v>17.150389999999899</v>
      </c>
      <c r="M4813">
        <v>0.99822749999999905</v>
      </c>
      <c r="N4813">
        <v>0</v>
      </c>
      <c r="O4813">
        <v>-5.9001079999999997E-2</v>
      </c>
      <c r="P4813">
        <v>0.99805109999999997</v>
      </c>
      <c r="Q4813">
        <v>2.559869E-2</v>
      </c>
      <c r="R4813">
        <v>5.6911330000000003E-2</v>
      </c>
      <c r="S4813">
        <v>3.0242610000000001</v>
      </c>
      <c r="T4813">
        <v>-0.3029464</v>
      </c>
      <c r="U4813">
        <v>-0.1921997</v>
      </c>
      <c r="V4813">
        <v>-0.1157579</v>
      </c>
      <c r="W4813">
        <v>3.3139660000000001E-2</v>
      </c>
      <c r="X4813">
        <v>0.99272450000000001</v>
      </c>
      <c r="Y4813">
        <v>4.7002490000000001E-3</v>
      </c>
      <c r="Z4813">
        <v>5.6498709999999999E-3</v>
      </c>
      <c r="AA4813">
        <v>0.999973</v>
      </c>
      <c r="AB4813">
        <v>26</v>
      </c>
      <c r="AC4813">
        <v>0.604899999999986</v>
      </c>
      <c r="AD4813">
        <v>-8.15060000000003E-2</v>
      </c>
      <c r="AE4813">
        <v>-4.0239999999997098E-2</v>
      </c>
      <c r="AF4813">
        <v>4.399532830007E-3</v>
      </c>
      <c r="AG4813">
        <v>-8.15060000000003E-2</v>
      </c>
      <c r="AH4813">
        <v>0.59545714187149501</v>
      </c>
      <c r="AI4813">
        <v>97.793982852141696</v>
      </c>
      <c r="AJ4813">
        <v>89.576678053707695</v>
      </c>
      <c r="AK4813">
        <v>0.60102561653468001</v>
      </c>
    </row>
    <row r="4814" spans="1:37" x14ac:dyDescent="0.2">
      <c r="A4814" t="str">
        <f>"20200111153529081"</f>
        <v>20200111153529081</v>
      </c>
      <c r="B4814" t="str">
        <f>"1578728129070417"</f>
        <v>1578728129070417</v>
      </c>
      <c r="C4814" t="s">
        <v>37</v>
      </c>
      <c r="D4814">
        <v>4.7813220000000003</v>
      </c>
      <c r="E4814">
        <v>0.54355259999999905</v>
      </c>
      <c r="F4814" t="s">
        <v>40</v>
      </c>
      <c r="G4814">
        <v>-367.09469999999999</v>
      </c>
      <c r="H4814">
        <v>1.0371079999999999</v>
      </c>
      <c r="I4814">
        <v>17.101320000000001</v>
      </c>
      <c r="J4814">
        <v>-367.7953</v>
      </c>
      <c r="K4814">
        <v>1.1049359999999999</v>
      </c>
      <c r="L4814">
        <v>17.142489999999999</v>
      </c>
      <c r="M4814">
        <v>0.99826150000000002</v>
      </c>
      <c r="N4814">
        <v>0</v>
      </c>
      <c r="O4814">
        <v>-5.8421359999999999E-2</v>
      </c>
      <c r="P4814">
        <v>0.99802789999999997</v>
      </c>
      <c r="Q4814">
        <v>2.5298870000000001E-2</v>
      </c>
      <c r="R4814">
        <v>5.7448390000000002E-2</v>
      </c>
      <c r="S4814">
        <v>3.0220950000000002</v>
      </c>
      <c r="T4814">
        <v>-0.24291559999999901</v>
      </c>
      <c r="U4814">
        <v>-0.1751404</v>
      </c>
      <c r="V4814">
        <v>-0.1157155</v>
      </c>
      <c r="W4814">
        <v>3.2837989999999997E-2</v>
      </c>
      <c r="X4814">
        <v>0.99273940000000005</v>
      </c>
      <c r="Y4814">
        <v>-3.7917909999999998E-4</v>
      </c>
      <c r="Z4814">
        <v>4.6957939999999997E-3</v>
      </c>
      <c r="AA4814">
        <v>0.99998889999999996</v>
      </c>
      <c r="AB4814">
        <v>26</v>
      </c>
      <c r="AC4814">
        <v>0.70060000000000799</v>
      </c>
      <c r="AD4814">
        <v>-6.7828000000000194E-2</v>
      </c>
      <c r="AE4814">
        <v>-4.1169999999997403E-2</v>
      </c>
      <c r="AF4814">
        <v>1.6686760494739799E-4</v>
      </c>
      <c r="AG4814">
        <v>-6.7828000000000194E-2</v>
      </c>
      <c r="AH4814">
        <v>0.69531385625868203</v>
      </c>
      <c r="AI4814">
        <v>95.571585599397295</v>
      </c>
      <c r="AJ4814">
        <v>89.986249649375793</v>
      </c>
      <c r="AK4814">
        <v>0.69861436009726896</v>
      </c>
    </row>
    <row r="4815" spans="1:37" x14ac:dyDescent="0.2">
      <c r="A4815" t="str">
        <f>"20200111153529092"</f>
        <v>20200111153529092</v>
      </c>
      <c r="B4815" t="str">
        <f>"1578728129080178"</f>
        <v>1578728129080178</v>
      </c>
      <c r="C4815" t="s">
        <v>37</v>
      </c>
      <c r="D4815">
        <v>4.7731870000000001</v>
      </c>
      <c r="E4815">
        <v>0.54338249999999999</v>
      </c>
      <c r="F4815" t="s">
        <v>40</v>
      </c>
      <c r="G4815">
        <v>-366.86439999999999</v>
      </c>
      <c r="H4815">
        <v>1.0351939999999999</v>
      </c>
      <c r="I4815">
        <v>17.08943</v>
      </c>
      <c r="J4815">
        <v>-367.65410000000003</v>
      </c>
      <c r="K4815">
        <v>1.104935</v>
      </c>
      <c r="L4815">
        <v>17.134829999999901</v>
      </c>
      <c r="M4815">
        <v>0.99829469999999998</v>
      </c>
      <c r="N4815">
        <v>0</v>
      </c>
      <c r="O4815">
        <v>-5.7853210000000002E-2</v>
      </c>
      <c r="P4815">
        <v>0.99800169999999999</v>
      </c>
      <c r="Q4815">
        <v>2.523529E-2</v>
      </c>
      <c r="R4815">
        <v>5.7929870000000001E-2</v>
      </c>
      <c r="S4815">
        <v>3.021515</v>
      </c>
      <c r="T4815">
        <v>-0.2264429</v>
      </c>
      <c r="U4815">
        <v>-0.17080689999999901</v>
      </c>
      <c r="V4815">
        <v>-0.1156296</v>
      </c>
      <c r="W4815">
        <v>3.277269E-2</v>
      </c>
      <c r="X4815">
        <v>0.99275159999999996</v>
      </c>
      <c r="Y4815">
        <v>-1.2522259999999999E-3</v>
      </c>
      <c r="Z4815">
        <v>4.3695849999999996E-3</v>
      </c>
      <c r="AA4815">
        <v>0.99998969999999898</v>
      </c>
      <c r="AB4815">
        <v>26</v>
      </c>
      <c r="AC4815">
        <v>0.78970000000003804</v>
      </c>
      <c r="AD4815">
        <v>-6.9740999999999997E-2</v>
      </c>
      <c r="AE4815">
        <v>-4.53999999999972E-2</v>
      </c>
      <c r="AF4815">
        <v>-3.6130300297882502E-4</v>
      </c>
      <c r="AG4815">
        <v>-6.9740999999999997E-2</v>
      </c>
      <c r="AH4815">
        <v>0.78490239394744798</v>
      </c>
      <c r="AI4815">
        <v>95.077572051644196</v>
      </c>
      <c r="AJ4815">
        <v>90.026374152880095</v>
      </c>
      <c r="AK4815">
        <v>0.78799473706700296</v>
      </c>
    </row>
    <row r="4816" spans="1:37" x14ac:dyDescent="0.2">
      <c r="A4816" t="str">
        <f>"20200111153529105"</f>
        <v>20200111153529105</v>
      </c>
      <c r="B4816" t="str">
        <f>"1578728129100673"</f>
        <v>1578728129100673</v>
      </c>
      <c r="C4816" t="s">
        <v>37</v>
      </c>
      <c r="D4816">
        <v>4.7976890000000001</v>
      </c>
      <c r="E4816">
        <v>0.54268490000000003</v>
      </c>
      <c r="F4816" t="s">
        <v>39</v>
      </c>
      <c r="G4816">
        <v>-352.0591</v>
      </c>
      <c r="H4816" s="1">
        <v>-3.9830720000000001E-6</v>
      </c>
      <c r="I4816">
        <v>16.2666</v>
      </c>
      <c r="J4816">
        <v>-367.50599999999997</v>
      </c>
      <c r="K4816">
        <v>1.1049329999999999</v>
      </c>
      <c r="L4816">
        <v>17.126860000000001</v>
      </c>
      <c r="M4816">
        <v>0.99832900000000002</v>
      </c>
      <c r="N4816">
        <v>0</v>
      </c>
      <c r="O4816">
        <v>-5.7258709999999997E-2</v>
      </c>
      <c r="P4816">
        <v>0.99797839999999904</v>
      </c>
      <c r="Q4816">
        <v>2.5054779999999999E-2</v>
      </c>
      <c r="R4816">
        <v>5.8407170000000001E-2</v>
      </c>
      <c r="S4816">
        <v>3.0211489999999999</v>
      </c>
      <c r="T4816">
        <v>-0.21405540000000001</v>
      </c>
      <c r="U4816">
        <v>-0.16818239999999901</v>
      </c>
      <c r="V4816">
        <v>-0.115512899999999</v>
      </c>
      <c r="W4816">
        <v>3.2590639999999997E-2</v>
      </c>
      <c r="X4816">
        <v>0.99277119999999996</v>
      </c>
      <c r="Y4816">
        <v>-1.5341229999999899E-3</v>
      </c>
      <c r="Z4816">
        <v>4.0997999999999998E-3</v>
      </c>
      <c r="AA4816">
        <v>0.99999039999999995</v>
      </c>
      <c r="AB4816">
        <v>26</v>
      </c>
      <c r="AC4816">
        <v>15.4468999999999</v>
      </c>
      <c r="AD4816">
        <v>-1.1049369830719999</v>
      </c>
      <c r="AE4816">
        <v>-0.86026000000000002</v>
      </c>
      <c r="AF4816">
        <v>-2.5517676405537801E-2</v>
      </c>
      <c r="AG4816">
        <v>-1.1049369830719999</v>
      </c>
      <c r="AH4816">
        <v>15.392300051248901</v>
      </c>
      <c r="AI4816">
        <v>94.1059315108633</v>
      </c>
      <c r="AJ4816">
        <v>90.094986052554106</v>
      </c>
      <c r="AK4816">
        <v>15.4319291650799</v>
      </c>
    </row>
    <row r="4817" spans="1:37" x14ac:dyDescent="0.2">
      <c r="A4817" t="str">
        <f>"20200111153529117"</f>
        <v>20200111153529117</v>
      </c>
      <c r="B4817" t="str">
        <f>"1578728129110433"</f>
        <v>1578728129110433</v>
      </c>
      <c r="C4817" t="s">
        <v>37</v>
      </c>
      <c r="D4817">
        <v>4.8095749999999997</v>
      </c>
      <c r="E4817">
        <v>0.54230249999999902</v>
      </c>
      <c r="F4817" t="s">
        <v>39</v>
      </c>
      <c r="G4817">
        <v>-350.7242</v>
      </c>
      <c r="H4817" s="1">
        <v>-4.56221E-6</v>
      </c>
      <c r="I4817">
        <v>16.230339999999899</v>
      </c>
      <c r="J4817">
        <v>-367.35899999999998</v>
      </c>
      <c r="K4817">
        <v>1.104932</v>
      </c>
      <c r="L4817">
        <v>17.119050000000001</v>
      </c>
      <c r="M4817">
        <v>0.99836250000000004</v>
      </c>
      <c r="N4817">
        <v>0</v>
      </c>
      <c r="O4817">
        <v>-5.66703E-2</v>
      </c>
      <c r="P4817">
        <v>0.99796010000000002</v>
      </c>
      <c r="Q4817">
        <v>2.518196E-2</v>
      </c>
      <c r="R4817">
        <v>5.866379E-2</v>
      </c>
      <c r="S4817">
        <v>3.020508</v>
      </c>
      <c r="T4817">
        <v>-0.19887439999999901</v>
      </c>
      <c r="U4817">
        <v>-0.1613464</v>
      </c>
      <c r="V4817">
        <v>-0.11518289999999901</v>
      </c>
      <c r="W4817">
        <v>3.271694E-2</v>
      </c>
      <c r="X4817">
        <v>0.99280539999999995</v>
      </c>
      <c r="Y4817">
        <v>-3.20704E-3</v>
      </c>
      <c r="Z4817">
        <v>3.827165E-3</v>
      </c>
      <c r="AA4817">
        <v>0.99998750000000003</v>
      </c>
      <c r="AB4817">
        <v>26</v>
      </c>
      <c r="AC4817">
        <v>16.634799999999998</v>
      </c>
      <c r="AD4817">
        <v>-1.10493656221</v>
      </c>
      <c r="AE4817">
        <v>-0.888710000000003</v>
      </c>
      <c r="AF4817">
        <v>-5.5203188995800699E-2</v>
      </c>
      <c r="AG4817">
        <v>-1.10493656221</v>
      </c>
      <c r="AH4817">
        <v>16.5854628901856</v>
      </c>
      <c r="AI4817">
        <v>93.811436599380301</v>
      </c>
      <c r="AJ4817">
        <v>90.190703032303205</v>
      </c>
      <c r="AK4817">
        <v>16.622319678080601</v>
      </c>
    </row>
    <row r="4818" spans="1:37" x14ac:dyDescent="0.2">
      <c r="A4818" t="str">
        <f>"20200111153529134"</f>
        <v>20200111153529134</v>
      </c>
      <c r="B4818" t="str">
        <f>"1578728129130930"</f>
        <v>1578728129130930</v>
      </c>
      <c r="C4818" t="s">
        <v>37</v>
      </c>
      <c r="D4818">
        <v>4.780087</v>
      </c>
      <c r="E4818">
        <v>0.54171780000000003</v>
      </c>
      <c r="F4818" t="s">
        <v>39</v>
      </c>
      <c r="G4818">
        <v>-349.9622</v>
      </c>
      <c r="H4818" s="1">
        <v>-4.8925929999999902E-6</v>
      </c>
      <c r="I4818">
        <v>16.21069</v>
      </c>
      <c r="J4818">
        <v>-367.1644</v>
      </c>
      <c r="K4818">
        <v>1.104927</v>
      </c>
      <c r="L4818">
        <v>17.108829999999902</v>
      </c>
      <c r="M4818">
        <v>0.99840640000000003</v>
      </c>
      <c r="N4818">
        <v>0</v>
      </c>
      <c r="O4818">
        <v>-5.5894609999999997E-2</v>
      </c>
      <c r="P4818">
        <v>0.9979498</v>
      </c>
      <c r="Q4818">
        <v>2.5044710000000001E-2</v>
      </c>
      <c r="R4818">
        <v>5.8900229999999998E-2</v>
      </c>
      <c r="S4818">
        <v>3.0202330000000002</v>
      </c>
      <c r="T4818">
        <v>-0.19182569999999999</v>
      </c>
      <c r="U4818">
        <v>-0.157684299999999</v>
      </c>
      <c r="V4818">
        <v>-0.1146465</v>
      </c>
      <c r="W4818">
        <v>3.2579200000000003E-2</v>
      </c>
      <c r="X4818">
        <v>0.99287199999999998</v>
      </c>
      <c r="Y4818">
        <v>-3.64400099999999E-3</v>
      </c>
      <c r="Z4818">
        <v>3.6570409999999898E-3</v>
      </c>
      <c r="AA4818">
        <v>0.99998659999999995</v>
      </c>
      <c r="AB4818">
        <v>26</v>
      </c>
      <c r="AC4818">
        <v>17.202200000000001</v>
      </c>
      <c r="AD4818">
        <v>-1.1049318925929901</v>
      </c>
      <c r="AE4818">
        <v>-0.89813999999999705</v>
      </c>
      <c r="AF4818">
        <v>-6.4537951192682394E-2</v>
      </c>
      <c r="AG4818">
        <v>-1.1049318925929901</v>
      </c>
      <c r="AH4818">
        <v>17.154923897213301</v>
      </c>
      <c r="AI4818">
        <v>93.685248666795502</v>
      </c>
      <c r="AJ4818">
        <v>90.215549471343195</v>
      </c>
      <c r="AK4818">
        <v>17.190592007071601</v>
      </c>
    </row>
    <row r="4819" spans="1:37" x14ac:dyDescent="0.2">
      <c r="A4819" t="str">
        <f>"20200111153529158"</f>
        <v>20200111153529158</v>
      </c>
      <c r="B4819" t="str">
        <f>"1578728129150448"</f>
        <v>1578728129150448</v>
      </c>
      <c r="C4819" t="s">
        <v>37</v>
      </c>
      <c r="D4819">
        <v>4.7703879999999996</v>
      </c>
      <c r="E4819">
        <v>0.54120889999999999</v>
      </c>
      <c r="F4819" t="s">
        <v>39</v>
      </c>
      <c r="G4819">
        <v>-348.76179999999999</v>
      </c>
      <c r="H4819" s="1">
        <v>-1.3223269999999999E-6</v>
      </c>
      <c r="I4819">
        <v>16.17774</v>
      </c>
      <c r="J4819">
        <v>-366.89269999999999</v>
      </c>
      <c r="K4819">
        <v>1.1049260000000001</v>
      </c>
      <c r="L4819">
        <v>17.09479</v>
      </c>
      <c r="M4819">
        <v>0.99846630000000003</v>
      </c>
      <c r="N4819">
        <v>0</v>
      </c>
      <c r="O4819">
        <v>-5.4814580000000002E-2</v>
      </c>
      <c r="P4819">
        <v>0.99789399999999995</v>
      </c>
      <c r="Q4819">
        <v>2.4765499999999999E-2</v>
      </c>
      <c r="R4819">
        <v>5.9953319999999997E-2</v>
      </c>
      <c r="S4819">
        <v>3.0197449999999999</v>
      </c>
      <c r="T4819">
        <v>-0.1813111</v>
      </c>
      <c r="U4819">
        <v>-0.15277099999999999</v>
      </c>
      <c r="V4819">
        <v>-0.1146211</v>
      </c>
      <c r="W4819">
        <v>3.2301839999999998E-2</v>
      </c>
      <c r="X4819">
        <v>0.99288399999999999</v>
      </c>
      <c r="Y4819">
        <v>-4.1902709999999998E-3</v>
      </c>
      <c r="Z4819">
        <v>3.4094419999999999E-3</v>
      </c>
      <c r="AA4819">
        <v>0.99998539999999903</v>
      </c>
      <c r="AB4819">
        <v>26</v>
      </c>
      <c r="AC4819">
        <v>18.1309</v>
      </c>
      <c r="AD4819">
        <v>-1.104927322327</v>
      </c>
      <c r="AE4819">
        <v>-0.91704999999999903</v>
      </c>
      <c r="AF4819">
        <v>-7.7907907203904198E-2</v>
      </c>
      <c r="AG4819">
        <v>-1.104927322327</v>
      </c>
      <c r="AH4819">
        <v>18.0869073679759</v>
      </c>
      <c r="AI4819">
        <v>93.495816475936905</v>
      </c>
      <c r="AJ4819">
        <v>90.246795462380106</v>
      </c>
      <c r="AK4819">
        <v>18.120793364733501</v>
      </c>
    </row>
    <row r="4820" spans="1:37" x14ac:dyDescent="0.2">
      <c r="A4820" t="str">
        <f>"20200111153529169"</f>
        <v>20200111153529169</v>
      </c>
      <c r="B4820" t="str">
        <f>"1578728129160210"</f>
        <v>1578728129160210</v>
      </c>
      <c r="C4820" t="s">
        <v>37</v>
      </c>
      <c r="D4820">
        <v>4.795382</v>
      </c>
      <c r="E4820">
        <v>0.541126</v>
      </c>
      <c r="F4820" t="s">
        <v>39</v>
      </c>
      <c r="G4820">
        <v>-347.61529999999999</v>
      </c>
      <c r="H4820" s="1">
        <v>-1.7165119999999999E-6</v>
      </c>
      <c r="I4820">
        <v>16.162579999999998</v>
      </c>
      <c r="J4820">
        <v>-366.74930000000001</v>
      </c>
      <c r="K4820">
        <v>1.104927</v>
      </c>
      <c r="L4820">
        <v>17.087520000000001</v>
      </c>
      <c r="M4820">
        <v>0.99849730000000003</v>
      </c>
      <c r="N4820">
        <v>0</v>
      </c>
      <c r="O4820">
        <v>-5.4246080000000002E-2</v>
      </c>
      <c r="P4820">
        <v>0.99785749999999995</v>
      </c>
      <c r="Q4820">
        <v>2.435646E-2</v>
      </c>
      <c r="R4820">
        <v>6.072346E-2</v>
      </c>
      <c r="S4820">
        <v>3.0193789999999998</v>
      </c>
      <c r="T4820">
        <v>-0.17306270000000001</v>
      </c>
      <c r="U4820">
        <v>-0.14599609999999999</v>
      </c>
      <c r="V4820">
        <v>-0.1148219</v>
      </c>
      <c r="W4820">
        <v>3.1894819999999997E-2</v>
      </c>
      <c r="X4820">
        <v>0.99287389999999998</v>
      </c>
      <c r="Y4820">
        <v>-5.8606409999999998E-3</v>
      </c>
      <c r="Z4820">
        <v>3.270537E-3</v>
      </c>
      <c r="AA4820">
        <v>0.99997749999999996</v>
      </c>
      <c r="AB4820">
        <v>26</v>
      </c>
      <c r="AC4820">
        <v>19.134</v>
      </c>
      <c r="AD4820">
        <v>-1.1049287165120001</v>
      </c>
      <c r="AE4820">
        <v>-0.92494000000000298</v>
      </c>
      <c r="AF4820">
        <v>-0.11401853154031601</v>
      </c>
      <c r="AG4820">
        <v>-1.1049287165120001</v>
      </c>
      <c r="AH4820">
        <v>19.092481929403601</v>
      </c>
      <c r="AI4820">
        <v>93.312093825148295</v>
      </c>
      <c r="AJ4820">
        <v>90.342161014391095</v>
      </c>
      <c r="AK4820">
        <v>19.124767552017701</v>
      </c>
    </row>
    <row r="4821" spans="1:37" x14ac:dyDescent="0.2">
      <c r="A4821" t="str">
        <f>"20200111153529182"</f>
        <v>20200111153529182</v>
      </c>
      <c r="B4821" t="str">
        <f>"1578728129170945"</f>
        <v>1578728129170945</v>
      </c>
      <c r="C4821" t="s">
        <v>37</v>
      </c>
      <c r="D4821">
        <v>4.8048320000000002</v>
      </c>
      <c r="E4821">
        <v>0.54101809999999995</v>
      </c>
      <c r="F4821" t="s">
        <v>39</v>
      </c>
      <c r="G4821">
        <v>-347.22089999999997</v>
      </c>
      <c r="H4821" s="1">
        <v>-1.851002E-6</v>
      </c>
      <c r="I4821">
        <v>16.1615</v>
      </c>
      <c r="J4821">
        <v>-366.60480000000001</v>
      </c>
      <c r="K4821">
        <v>1.104927</v>
      </c>
      <c r="L4821">
        <v>17.080259999999999</v>
      </c>
      <c r="M4821">
        <v>0.99852809999999903</v>
      </c>
      <c r="N4821">
        <v>0</v>
      </c>
      <c r="O4821">
        <v>-5.3673409999999998E-2</v>
      </c>
      <c r="P4821">
        <v>0.99781810000000004</v>
      </c>
      <c r="Q4821">
        <v>2.4011109999999999E-2</v>
      </c>
      <c r="R4821">
        <v>6.1500770000000003E-2</v>
      </c>
      <c r="S4821">
        <v>3.0192570000000001</v>
      </c>
      <c r="T4821">
        <v>-0.17083199999999901</v>
      </c>
      <c r="U4821">
        <v>-0.14315799999999901</v>
      </c>
      <c r="V4821">
        <v>-0.1150253</v>
      </c>
      <c r="W4821">
        <v>3.1552150000000001E-2</v>
      </c>
      <c r="X4821">
        <v>0.99286129999999995</v>
      </c>
      <c r="Y4821">
        <v>-6.2258549999999998E-3</v>
      </c>
      <c r="Z4821">
        <v>3.2066870000000002E-3</v>
      </c>
      <c r="AA4821">
        <v>0.99997549999999902</v>
      </c>
      <c r="AB4821">
        <v>26</v>
      </c>
      <c r="AC4821">
        <v>19.383900000000001</v>
      </c>
      <c r="AD4821">
        <v>-1.1049288510019999</v>
      </c>
      <c r="AE4821">
        <v>-0.91875999999999802</v>
      </c>
      <c r="AF4821">
        <v>-0.122598610475492</v>
      </c>
      <c r="AG4821">
        <v>-1.1049288510019999</v>
      </c>
      <c r="AH4821">
        <v>19.342563330668401</v>
      </c>
      <c r="AI4821">
        <v>93.269358063132998</v>
      </c>
      <c r="AJ4821">
        <v>90.363151913796798</v>
      </c>
      <c r="AK4821">
        <v>19.3744846224612</v>
      </c>
    </row>
    <row r="4822" spans="1:37" x14ac:dyDescent="0.2">
      <c r="A4822" t="str">
        <f>"20200111153529195"</f>
        <v>20200111153529195</v>
      </c>
      <c r="B4822" t="str">
        <f>"1578728129190465"</f>
        <v>1578728129190465</v>
      </c>
      <c r="C4822" t="s">
        <v>37</v>
      </c>
      <c r="D4822">
        <v>4.7583399999999996</v>
      </c>
      <c r="E4822">
        <v>0.54068019999999894</v>
      </c>
      <c r="F4822" t="s">
        <v>39</v>
      </c>
      <c r="G4822">
        <v>-346.86619999999999</v>
      </c>
      <c r="H4822" s="1">
        <v>-1.97111799999999E-6</v>
      </c>
      <c r="I4822">
        <v>16.163820000000001</v>
      </c>
      <c r="J4822">
        <v>-366.45920000000001</v>
      </c>
      <c r="K4822">
        <v>1.1049260000000001</v>
      </c>
      <c r="L4822">
        <v>17.073060000000002</v>
      </c>
      <c r="M4822">
        <v>0.99855890000000003</v>
      </c>
      <c r="N4822">
        <v>0</v>
      </c>
      <c r="O4822">
        <v>-5.30968E-2</v>
      </c>
      <c r="P4822">
        <v>0.99773999999999996</v>
      </c>
      <c r="Q4822">
        <v>2.415014E-2</v>
      </c>
      <c r="R4822">
        <v>6.2701400000000004E-2</v>
      </c>
      <c r="S4822">
        <v>3.0192570000000001</v>
      </c>
      <c r="T4822">
        <v>-0.16901189999999999</v>
      </c>
      <c r="U4822">
        <v>-0.14016719999999999</v>
      </c>
      <c r="V4822">
        <v>-0.11564729999999999</v>
      </c>
      <c r="W4822">
        <v>3.1691789999999997E-2</v>
      </c>
      <c r="X4822">
        <v>0.99278459999999902</v>
      </c>
      <c r="Y4822">
        <v>-6.6390279999999999E-3</v>
      </c>
      <c r="Z4822">
        <v>3.1520350000000001E-3</v>
      </c>
      <c r="AA4822">
        <v>0.999973</v>
      </c>
      <c r="AB4822">
        <v>26</v>
      </c>
      <c r="AC4822">
        <v>19.593</v>
      </c>
      <c r="AD4822">
        <v>-1.104927971118</v>
      </c>
      <c r="AE4822">
        <v>-0.90924000000000005</v>
      </c>
      <c r="AF4822">
        <v>-0.131981101146253</v>
      </c>
      <c r="AG4822">
        <v>-1.104927971118</v>
      </c>
      <c r="AH4822">
        <v>19.551593024897102</v>
      </c>
      <c r="AI4822">
        <v>93.234468090279705</v>
      </c>
      <c r="AJ4822">
        <v>90.386763636280193</v>
      </c>
      <c r="AK4822">
        <v>19.583234529658899</v>
      </c>
    </row>
    <row r="4823" spans="1:37" x14ac:dyDescent="0.2">
      <c r="A4823" t="str">
        <f>"20200111153529208"</f>
        <v>20200111153529208</v>
      </c>
      <c r="B4823" t="str">
        <f>"1578728129200225"</f>
        <v>1578728129200225</v>
      </c>
      <c r="C4823" t="s">
        <v>37</v>
      </c>
      <c r="D4823">
        <v>4.8036719999999997</v>
      </c>
      <c r="E4823">
        <v>0.54063359999999905</v>
      </c>
      <c r="F4823" t="s">
        <v>39</v>
      </c>
      <c r="G4823">
        <v>-346.00749999999999</v>
      </c>
      <c r="H4823" s="1">
        <v>-2.3072539999999999E-6</v>
      </c>
      <c r="I4823">
        <v>16.165040000000001</v>
      </c>
      <c r="J4823">
        <v>-366.3143</v>
      </c>
      <c r="K4823">
        <v>1.104932</v>
      </c>
      <c r="L4823">
        <v>17.065950000000001</v>
      </c>
      <c r="M4823">
        <v>0.99858930000000001</v>
      </c>
      <c r="N4823">
        <v>0</v>
      </c>
      <c r="O4823">
        <v>-5.2523050000000002E-2</v>
      </c>
      <c r="P4823">
        <v>0.99766860000000002</v>
      </c>
      <c r="Q4823">
        <v>2.4087259999999999E-2</v>
      </c>
      <c r="R4823">
        <v>6.3852889999999995E-2</v>
      </c>
      <c r="S4823">
        <v>3.019196</v>
      </c>
      <c r="T4823">
        <v>-0.1631156</v>
      </c>
      <c r="U4823">
        <v>-0.13403319999999999</v>
      </c>
      <c r="V4823">
        <v>-0.116222699999999</v>
      </c>
      <c r="W4823">
        <v>3.1629360000000002E-2</v>
      </c>
      <c r="X4823">
        <v>0.99271939999999903</v>
      </c>
      <c r="Y4823">
        <v>-8.0960670000000002E-3</v>
      </c>
      <c r="Z4823">
        <v>3.0508750000000002E-3</v>
      </c>
      <c r="AA4823">
        <v>0.99996260000000003</v>
      </c>
      <c r="AB4823">
        <v>26</v>
      </c>
      <c r="AC4823">
        <v>20.306799999999999</v>
      </c>
      <c r="AD4823">
        <v>-1.1049343072540001</v>
      </c>
      <c r="AE4823">
        <v>-0.90090999999999899</v>
      </c>
      <c r="AF4823">
        <v>-0.166449222391643</v>
      </c>
      <c r="AG4823">
        <v>-1.1049343072540001</v>
      </c>
      <c r="AH4823">
        <v>20.2662053714919</v>
      </c>
      <c r="AI4823">
        <v>93.120629909595294</v>
      </c>
      <c r="AJ4823">
        <v>90.470567792150007</v>
      </c>
      <c r="AK4823">
        <v>20.296986607042601</v>
      </c>
    </row>
    <row r="4824" spans="1:37" x14ac:dyDescent="0.2">
      <c r="A4824" t="str">
        <f>"20200111153529224"</f>
        <v>20200111153529224</v>
      </c>
      <c r="B4824" t="str">
        <f>"1578728129220721"</f>
        <v>1578728129220721</v>
      </c>
      <c r="C4824" t="s">
        <v>37</v>
      </c>
      <c r="D4824">
        <v>4.7443289999999996</v>
      </c>
      <c r="E4824">
        <v>0.5405008</v>
      </c>
      <c r="F4824" t="s">
        <v>39</v>
      </c>
      <c r="G4824">
        <v>-345.46969999999999</v>
      </c>
      <c r="H4824" s="1">
        <v>-2.5378000000000001E-6</v>
      </c>
      <c r="I4824">
        <v>16.166</v>
      </c>
      <c r="J4824">
        <v>-366.11160000000001</v>
      </c>
      <c r="K4824">
        <v>1.1049340000000001</v>
      </c>
      <c r="L4824">
        <v>17.05612</v>
      </c>
      <c r="M4824">
        <v>0.99863109999999999</v>
      </c>
      <c r="N4824">
        <v>0</v>
      </c>
      <c r="O4824">
        <v>-5.1720189999999999E-2</v>
      </c>
      <c r="P4824">
        <v>0.99749929999999998</v>
      </c>
      <c r="Q4824">
        <v>2.4604589999999999E-2</v>
      </c>
      <c r="R4824">
        <v>6.6255110000000006E-2</v>
      </c>
      <c r="S4824">
        <v>3.01922599999999</v>
      </c>
      <c r="T4824">
        <v>-0.16004370000000001</v>
      </c>
      <c r="U4824">
        <v>-0.1303406</v>
      </c>
      <c r="V4824">
        <v>-0.1178154</v>
      </c>
      <c r="W4824">
        <v>3.2145029999999998E-2</v>
      </c>
      <c r="X4824">
        <v>0.99251509999999998</v>
      </c>
      <c r="Y4824">
        <v>-8.5170230000000003E-3</v>
      </c>
      <c r="Z4824">
        <v>2.9622730000000001E-3</v>
      </c>
      <c r="AA4824">
        <v>0.9999593</v>
      </c>
      <c r="AB4824">
        <v>26</v>
      </c>
      <c r="AC4824">
        <v>20.6419</v>
      </c>
      <c r="AD4824">
        <v>-1.1049365378</v>
      </c>
      <c r="AE4824">
        <v>-0.89011999999999902</v>
      </c>
      <c r="AF4824">
        <v>-0.17819727412519501</v>
      </c>
      <c r="AG4824">
        <v>-1.1049365378</v>
      </c>
      <c r="AH4824">
        <v>20.601389780742199</v>
      </c>
      <c r="AI4824">
        <v>93.069950118241806</v>
      </c>
      <c r="AJ4824">
        <v>90.495582929941193</v>
      </c>
      <c r="AK4824">
        <v>20.6317691902353</v>
      </c>
    </row>
    <row r="4825" spans="1:37" x14ac:dyDescent="0.2">
      <c r="A4825" t="str">
        <f>"20200111153529236"</f>
        <v>20200111153529236</v>
      </c>
      <c r="B4825" t="str">
        <f>"1578728129230481"</f>
        <v>1578728129230481</v>
      </c>
      <c r="C4825" t="s">
        <v>37</v>
      </c>
      <c r="D4825">
        <v>4.7759219999999996</v>
      </c>
      <c r="E4825">
        <v>0.54052100000000003</v>
      </c>
      <c r="F4825" t="s">
        <v>39</v>
      </c>
      <c r="G4825">
        <v>-344.36130000000003</v>
      </c>
      <c r="H4825" s="1">
        <v>-3.0117509999999998E-6</v>
      </c>
      <c r="I4825">
        <v>16.174720000000001</v>
      </c>
      <c r="J4825">
        <v>-365.96440000000001</v>
      </c>
      <c r="K4825">
        <v>1.104938</v>
      </c>
      <c r="L4825">
        <v>17.049099999999999</v>
      </c>
      <c r="M4825">
        <v>0.99866119999999903</v>
      </c>
      <c r="N4825">
        <v>0</v>
      </c>
      <c r="O4825">
        <v>-5.1137500000000002E-2</v>
      </c>
      <c r="P4825">
        <v>0.99739519999999904</v>
      </c>
      <c r="Q4825">
        <v>2.482935E-2</v>
      </c>
      <c r="R4825">
        <v>6.7721459999999997E-2</v>
      </c>
      <c r="S4825">
        <v>3.019409</v>
      </c>
      <c r="T4825">
        <v>-0.15338929999999901</v>
      </c>
      <c r="U4825">
        <v>-0.122345</v>
      </c>
      <c r="V4825">
        <v>-0.118695699999999</v>
      </c>
      <c r="W4825">
        <v>3.2369990000000001E-2</v>
      </c>
      <c r="X4825">
        <v>0.99240289999999998</v>
      </c>
      <c r="Y4825">
        <v>-1.0584430000000001E-2</v>
      </c>
      <c r="Z4825">
        <v>2.862229E-3</v>
      </c>
      <c r="AA4825">
        <v>0.99993989999999999</v>
      </c>
      <c r="AB4825">
        <v>26</v>
      </c>
      <c r="AC4825">
        <v>21.603099999999898</v>
      </c>
      <c r="AD4825">
        <v>-1.1049410117509999</v>
      </c>
      <c r="AE4825">
        <v>-0.87437999999999805</v>
      </c>
      <c r="AF4825">
        <v>-0.23092306225734999</v>
      </c>
      <c r="AG4825">
        <v>-1.1049410117509999</v>
      </c>
      <c r="AH4825">
        <v>21.563230002565899</v>
      </c>
      <c r="AI4825">
        <v>92.933211438717706</v>
      </c>
      <c r="AJ4825">
        <v>90.613563510498295</v>
      </c>
      <c r="AK4825">
        <v>21.5927559205325</v>
      </c>
    </row>
    <row r="4826" spans="1:37" x14ac:dyDescent="0.2">
      <c r="A4826" t="str">
        <f>"20200111153529249"</f>
        <v>20200111153529249</v>
      </c>
      <c r="B4826" t="str">
        <f>"1578728129240241"</f>
        <v>1578728129240241</v>
      </c>
      <c r="C4826" t="s">
        <v>37</v>
      </c>
      <c r="D4826">
        <v>4.8356760000000003</v>
      </c>
      <c r="E4826">
        <v>0.54063349999999999</v>
      </c>
      <c r="F4826" t="s">
        <v>39</v>
      </c>
      <c r="G4826">
        <v>-343.7328</v>
      </c>
      <c r="H4826" s="1">
        <v>-3.2806779999999899E-6</v>
      </c>
      <c r="I4826">
        <v>16.17858</v>
      </c>
      <c r="J4826">
        <v>-365.82119999999998</v>
      </c>
      <c r="K4826">
        <v>1.10494</v>
      </c>
      <c r="L4826">
        <v>17.042390000000001</v>
      </c>
      <c r="M4826">
        <v>0.99868989999999902</v>
      </c>
      <c r="N4826">
        <v>0</v>
      </c>
      <c r="O4826">
        <v>-5.0570419999999998E-2</v>
      </c>
      <c r="P4826">
        <v>0.99730339999999995</v>
      </c>
      <c r="Q4826">
        <v>2.4998039999999999E-2</v>
      </c>
      <c r="R4826">
        <v>6.9000590000000001E-2</v>
      </c>
      <c r="S4826">
        <v>3.0195620000000001</v>
      </c>
      <c r="T4826">
        <v>-0.15007670000000001</v>
      </c>
      <c r="U4826">
        <v>-0.1182251</v>
      </c>
      <c r="V4826">
        <v>-0.11940579999999899</v>
      </c>
      <c r="W4826">
        <v>3.2538699999999997E-2</v>
      </c>
      <c r="X4826">
        <v>0.99231219999999998</v>
      </c>
      <c r="Y4826">
        <v>-1.138394E-2</v>
      </c>
      <c r="Z4826">
        <v>2.7921840000000001E-3</v>
      </c>
      <c r="AA4826">
        <v>0.99993129999999997</v>
      </c>
      <c r="AB4826">
        <v>26</v>
      </c>
      <c r="AC4826">
        <v>22.088399999999901</v>
      </c>
      <c r="AD4826">
        <v>-1.104943280678</v>
      </c>
      <c r="AE4826">
        <v>-0.86380999999999997</v>
      </c>
      <c r="AF4826">
        <v>-0.25371519545861798</v>
      </c>
      <c r="AG4826">
        <v>-1.104943280678</v>
      </c>
      <c r="AH4826">
        <v>22.048730861599701</v>
      </c>
      <c r="AI4826">
        <v>92.868713345411507</v>
      </c>
      <c r="AJ4826">
        <v>90.659274605265907</v>
      </c>
      <c r="AK4826">
        <v>22.077857768841199</v>
      </c>
    </row>
    <row r="4827" spans="1:37" x14ac:dyDescent="0.2">
      <c r="A4827" t="str">
        <f>"20200111153529262"</f>
        <v>20200111153529262</v>
      </c>
      <c r="B4827" t="str">
        <f>"1578728129250977"</f>
        <v>1578728129250977</v>
      </c>
      <c r="C4827" t="s">
        <v>37</v>
      </c>
      <c r="D4827">
        <v>4.922053</v>
      </c>
      <c r="E4827">
        <v>0.54063349999999999</v>
      </c>
      <c r="F4827" t="s">
        <v>39</v>
      </c>
      <c r="G4827">
        <v>-343.24009999999998</v>
      </c>
      <c r="H4827" s="1">
        <v>-3.4918479999999998E-6</v>
      </c>
      <c r="I4827">
        <v>16.179919999999999</v>
      </c>
      <c r="J4827">
        <v>-365.66660000000002</v>
      </c>
      <c r="K4827">
        <v>1.1049439999999999</v>
      </c>
      <c r="L4827">
        <v>17.035160000000001</v>
      </c>
      <c r="M4827">
        <v>0.99872079999999996</v>
      </c>
      <c r="N4827">
        <v>0</v>
      </c>
      <c r="O4827">
        <v>-4.9958519999999999E-2</v>
      </c>
      <c r="P4827">
        <v>0.99721090000000001</v>
      </c>
      <c r="Q4827">
        <v>2.5252259999999999E-2</v>
      </c>
      <c r="R4827">
        <v>7.0233370000000003E-2</v>
      </c>
      <c r="S4827">
        <v>3.0197750000000001</v>
      </c>
      <c r="T4827">
        <v>-0.14776420000000001</v>
      </c>
      <c r="U4827">
        <v>-0.1153259</v>
      </c>
      <c r="V4827">
        <v>-0.1200246</v>
      </c>
      <c r="W4827">
        <v>3.2793669999999997E-2</v>
      </c>
      <c r="X4827">
        <v>0.99222919999999903</v>
      </c>
      <c r="Y4827">
        <v>-1.1735260000000001E-2</v>
      </c>
      <c r="Z4827">
        <v>2.7277989999999999E-3</v>
      </c>
      <c r="AA4827">
        <v>0.99992739999999902</v>
      </c>
      <c r="AB4827">
        <v>27</v>
      </c>
      <c r="AC4827">
        <v>22.426500000000001</v>
      </c>
      <c r="AD4827">
        <v>-1.104947491848</v>
      </c>
      <c r="AE4827">
        <v>-0.855239999999998</v>
      </c>
      <c r="AF4827">
        <v>-0.26561303989052598</v>
      </c>
      <c r="AG4827">
        <v>-1.104947491848</v>
      </c>
      <c r="AH4827">
        <v>22.386956453975099</v>
      </c>
      <c r="AI4827">
        <v>92.825442113083895</v>
      </c>
      <c r="AJ4827">
        <v>90.679761545982501</v>
      </c>
      <c r="AK4827">
        <v>22.415781907372299</v>
      </c>
    </row>
    <row r="4828" spans="1:37" x14ac:dyDescent="0.2">
      <c r="A4828" t="str">
        <f>"20200111153529273"</f>
        <v>20200111153529273</v>
      </c>
      <c r="B4828" t="str">
        <f>"1578728129270497"</f>
        <v>1578728129270497</v>
      </c>
      <c r="C4828" t="s">
        <v>37</v>
      </c>
      <c r="D4828">
        <v>4.9314410000000004</v>
      </c>
      <c r="E4828">
        <v>0.54305419999999904</v>
      </c>
      <c r="F4828" t="s">
        <v>39</v>
      </c>
      <c r="G4828">
        <v>-342.95859999999999</v>
      </c>
      <c r="H4828" s="1">
        <v>-3.60975E-6</v>
      </c>
      <c r="I4828">
        <v>16.195900000000002</v>
      </c>
      <c r="J4828">
        <v>-365.52539999999999</v>
      </c>
      <c r="K4828">
        <v>1.1049469999999999</v>
      </c>
      <c r="L4828">
        <v>17.028659999999999</v>
      </c>
      <c r="M4828">
        <v>0.99874850000000004</v>
      </c>
      <c r="N4828">
        <v>0</v>
      </c>
      <c r="O4828">
        <v>-4.9399440000000003E-2</v>
      </c>
      <c r="P4828">
        <v>0.99715069999999995</v>
      </c>
      <c r="Q4828">
        <v>2.579646E-2</v>
      </c>
      <c r="R4828">
        <v>7.0889149999999998E-2</v>
      </c>
      <c r="S4828">
        <v>3.0199889999999998</v>
      </c>
      <c r="T4828">
        <v>-0.14694979999999999</v>
      </c>
      <c r="U4828">
        <v>-0.1116028</v>
      </c>
      <c r="V4828">
        <v>-0.1201223</v>
      </c>
      <c r="W4828">
        <v>3.3339340000000002E-2</v>
      </c>
      <c r="X4828">
        <v>0.9921991</v>
      </c>
      <c r="Y4828">
        <v>-1.240989E-2</v>
      </c>
      <c r="Z4828">
        <v>2.7019269999999998E-3</v>
      </c>
      <c r="AA4828">
        <v>0.99991939999999901</v>
      </c>
      <c r="AB4828">
        <v>27</v>
      </c>
      <c r="AC4828">
        <v>22.566800000000001</v>
      </c>
      <c r="AD4828">
        <v>-1.1049506097499999</v>
      </c>
      <c r="AE4828">
        <v>-0.83275999999999994</v>
      </c>
      <c r="AF4828">
        <v>-0.282402015915449</v>
      </c>
      <c r="AG4828">
        <v>-1.1049506097499999</v>
      </c>
      <c r="AH4828">
        <v>22.5264535643134</v>
      </c>
      <c r="AI4828">
        <v>92.8079583308255</v>
      </c>
      <c r="AJ4828">
        <v>90.7182487033173</v>
      </c>
      <c r="AK4828">
        <v>22.555304851270598</v>
      </c>
    </row>
    <row r="4829" spans="1:37" x14ac:dyDescent="0.2">
      <c r="A4829" t="str">
        <f>"20200111153529290"</f>
        <v>20200111153529290</v>
      </c>
      <c r="B4829" t="str">
        <f>"1578728129280260"</f>
        <v>1578728129280260</v>
      </c>
      <c r="C4829" t="s">
        <v>37</v>
      </c>
      <c r="D4829">
        <v>4.8531040000000001</v>
      </c>
      <c r="E4829">
        <v>0.60145599999999999</v>
      </c>
      <c r="F4829" t="s">
        <v>39</v>
      </c>
      <c r="G4829">
        <v>-342.2355</v>
      </c>
      <c r="H4829" s="1">
        <v>-3.9483830000000003E-6</v>
      </c>
      <c r="I4829">
        <v>16.035640000000001</v>
      </c>
      <c r="J4829">
        <v>-365.32339999999999</v>
      </c>
      <c r="K4829">
        <v>1.104949</v>
      </c>
      <c r="L4829">
        <v>17.01953</v>
      </c>
      <c r="M4829">
        <v>0.9987878</v>
      </c>
      <c r="N4829">
        <v>0</v>
      </c>
      <c r="O4829">
        <v>-4.8599780000000002E-2</v>
      </c>
      <c r="P4829">
        <v>0.99710799999999999</v>
      </c>
      <c r="Q4829">
        <v>2.61476E-2</v>
      </c>
      <c r="R4829">
        <v>7.1359130000000007E-2</v>
      </c>
      <c r="S4829">
        <v>3.0214539999999999</v>
      </c>
      <c r="T4829">
        <v>-0.143348</v>
      </c>
      <c r="U4829">
        <v>-0.1288147</v>
      </c>
      <c r="V4829">
        <v>-0.11979579999999999</v>
      </c>
      <c r="W4829">
        <v>3.3693439999999998E-2</v>
      </c>
      <c r="X4829">
        <v>0.99222670000000002</v>
      </c>
      <c r="Y4829">
        <v>-5.9516459999999997E-3</v>
      </c>
      <c r="Z4829">
        <v>2.4432310000000001E-3</v>
      </c>
      <c r="AA4829">
        <v>0.99997930000000002</v>
      </c>
      <c r="AB4829">
        <v>27</v>
      </c>
      <c r="AC4829">
        <v>23.087899999999902</v>
      </c>
      <c r="AD4829">
        <v>-1.1049529483830001</v>
      </c>
      <c r="AE4829">
        <v>-0.98388999999999804</v>
      </c>
      <c r="AF4829">
        <v>-0.13905586093271699</v>
      </c>
      <c r="AG4829">
        <v>-1.1049529483830001</v>
      </c>
      <c r="AH4829">
        <v>23.0557224143101</v>
      </c>
      <c r="AI4829">
        <v>92.743769507204803</v>
      </c>
      <c r="AJ4829">
        <v>90.345563552476307</v>
      </c>
      <c r="AK4829">
        <v>23.082603700543</v>
      </c>
    </row>
    <row r="4830" spans="1:37" x14ac:dyDescent="0.2">
      <c r="A4830" t="str">
        <f>"20200111153529303"</f>
        <v>20200111153529303</v>
      </c>
      <c r="B4830" t="str">
        <f>"1578728129290993"</f>
        <v>1578728129290993</v>
      </c>
      <c r="C4830" t="s">
        <v>37</v>
      </c>
      <c r="D4830">
        <v>4.8100350000000001</v>
      </c>
      <c r="E4830">
        <v>0.60096850000000002</v>
      </c>
      <c r="F4830" t="s">
        <v>70</v>
      </c>
      <c r="G4830">
        <v>-279.02</v>
      </c>
      <c r="H4830">
        <v>0.170188899999999</v>
      </c>
      <c r="I4830">
        <v>0.2680264</v>
      </c>
      <c r="J4830">
        <v>-365.1814</v>
      </c>
      <c r="K4830">
        <v>1.104949</v>
      </c>
      <c r="L4830">
        <v>17.013179999999998</v>
      </c>
      <c r="M4830">
        <v>0.99881489999999995</v>
      </c>
      <c r="N4830">
        <v>0</v>
      </c>
      <c r="O4830">
        <v>-4.8037589999999998E-2</v>
      </c>
      <c r="P4830">
        <v>0.99711190000000005</v>
      </c>
      <c r="Q4830">
        <v>2.627082E-2</v>
      </c>
      <c r="R4830">
        <v>7.1258660000000001E-2</v>
      </c>
      <c r="S4830">
        <v>3.0519099999999999</v>
      </c>
      <c r="T4830">
        <v>-3.3055540000000001E-2</v>
      </c>
      <c r="U4830">
        <v>-0.59237669999999998</v>
      </c>
      <c r="V4830">
        <v>-0.1191372</v>
      </c>
      <c r="W4830">
        <v>3.3820210000000003E-2</v>
      </c>
      <c r="X4830">
        <v>0.99230160000000001</v>
      </c>
      <c r="Y4830">
        <v>0.1431598</v>
      </c>
      <c r="Z4830">
        <v>-2.5335149999999997E-4</v>
      </c>
      <c r="AA4830">
        <v>0.98969949999999995</v>
      </c>
      <c r="AB4830">
        <v>27</v>
      </c>
      <c r="AC4830">
        <v>86.1614</v>
      </c>
      <c r="AD4830">
        <v>-0.93476009999999998</v>
      </c>
      <c r="AE4830">
        <v>-16.745153599999998</v>
      </c>
      <c r="AF4830">
        <v>12.585280609726601</v>
      </c>
      <c r="AG4830">
        <v>-0.93476009999999998</v>
      </c>
      <c r="AH4830">
        <v>86.856493570648496</v>
      </c>
      <c r="AI4830">
        <v>90.610228127562294</v>
      </c>
      <c r="AJ4830">
        <v>81.7553700157777</v>
      </c>
      <c r="AK4830">
        <v>87.768522488749994</v>
      </c>
    </row>
    <row r="4831" spans="1:37" x14ac:dyDescent="0.2">
      <c r="A4831" t="str">
        <f>"20200111153529316"</f>
        <v>20200111153529316</v>
      </c>
      <c r="B4831" t="str">
        <f>"1578728129310513"</f>
        <v>1578728129310513</v>
      </c>
      <c r="C4831" t="s">
        <v>37</v>
      </c>
      <c r="D4831">
        <v>4.8793389999999999</v>
      </c>
      <c r="E4831">
        <v>0.59873279999999995</v>
      </c>
      <c r="F4831" t="s">
        <v>70</v>
      </c>
      <c r="G4831">
        <v>-279.02</v>
      </c>
      <c r="H4831">
        <v>0.26951389999999997</v>
      </c>
      <c r="I4831">
        <v>0.38562390000000002</v>
      </c>
      <c r="J4831">
        <v>-365.02330000000001</v>
      </c>
      <c r="K4831">
        <v>1.104949</v>
      </c>
      <c r="L4831">
        <v>17.0062</v>
      </c>
      <c r="M4831">
        <v>0.99884479999999998</v>
      </c>
      <c r="N4831">
        <v>0</v>
      </c>
      <c r="O4831">
        <v>-4.7411500000000002E-2</v>
      </c>
      <c r="P4831">
        <v>0.99712009999999995</v>
      </c>
      <c r="Q4831">
        <v>2.607713E-2</v>
      </c>
      <c r="R4831">
        <v>7.1212689999999995E-2</v>
      </c>
      <c r="S4831">
        <v>3.0515750000000001</v>
      </c>
      <c r="T4831">
        <v>-2.958858E-2</v>
      </c>
      <c r="U4831">
        <v>-0.58889769999999997</v>
      </c>
      <c r="V4831">
        <v>-0.1184693</v>
      </c>
      <c r="W4831">
        <v>3.3630060000000003E-2</v>
      </c>
      <c r="X4831">
        <v>0.9923881</v>
      </c>
      <c r="Y4831">
        <v>0.14271400000000001</v>
      </c>
      <c r="Z4831">
        <v>-2.3068129999999999E-4</v>
      </c>
      <c r="AA4831">
        <v>0.98976390000000003</v>
      </c>
      <c r="AB4831">
        <v>27</v>
      </c>
      <c r="AC4831">
        <v>86.003299999999996</v>
      </c>
      <c r="AD4831">
        <v>-0.83543509999999999</v>
      </c>
      <c r="AE4831">
        <v>-16.620576100000001</v>
      </c>
      <c r="AF4831">
        <v>12.523074741833399</v>
      </c>
      <c r="AG4831">
        <v>-0.83543509999999999</v>
      </c>
      <c r="AH4831">
        <v>86.686723589178797</v>
      </c>
      <c r="AI4831">
        <v>90.546492779855996</v>
      </c>
      <c r="AJ4831">
        <v>81.779716572061304</v>
      </c>
      <c r="AK4831">
        <v>87.590601090656705</v>
      </c>
    </row>
    <row r="4832" spans="1:37" x14ac:dyDescent="0.2">
      <c r="A4832" t="str">
        <f>"20200111153529328"</f>
        <v>20200111153529328</v>
      </c>
      <c r="B4832" t="str">
        <f>"1578728129321249"</f>
        <v>1578728129321249</v>
      </c>
      <c r="C4832" t="s">
        <v>37</v>
      </c>
      <c r="D4832">
        <v>4.8504129999999996</v>
      </c>
      <c r="E4832">
        <v>0.59790650000000001</v>
      </c>
      <c r="F4832" t="s">
        <v>38</v>
      </c>
      <c r="G4832">
        <v>-263.10719999999998</v>
      </c>
      <c r="H4832">
        <v>-0.05</v>
      </c>
      <c r="I4832">
        <v>-2.0763699999999998</v>
      </c>
      <c r="J4832">
        <v>-364.87709999999998</v>
      </c>
      <c r="K4832">
        <v>1.1049500000000001</v>
      </c>
      <c r="L4832">
        <v>16.999879999999902</v>
      </c>
      <c r="M4832">
        <v>0.99887219999999999</v>
      </c>
      <c r="N4832">
        <v>0</v>
      </c>
      <c r="O4832">
        <v>-4.6832859999999997E-2</v>
      </c>
      <c r="P4832">
        <v>0.99712900000000004</v>
      </c>
      <c r="Q4832">
        <v>2.5848940000000001E-2</v>
      </c>
      <c r="R4832">
        <v>7.1173970000000003E-2</v>
      </c>
      <c r="S4832">
        <v>3.0503230000000001</v>
      </c>
      <c r="T4832">
        <v>-3.4567359999999998E-2</v>
      </c>
      <c r="U4832">
        <v>-0.57113649999999905</v>
      </c>
      <c r="V4832">
        <v>-0.117855999999999</v>
      </c>
      <c r="W4832">
        <v>3.3404160000000002E-2</v>
      </c>
      <c r="X4832">
        <v>0.99246869999999998</v>
      </c>
      <c r="Y4832">
        <v>0.1377979</v>
      </c>
      <c r="Z4832">
        <v>-2.4859759999999899E-4</v>
      </c>
      <c r="AA4832">
        <v>0.99046029999999996</v>
      </c>
      <c r="AB4832">
        <v>27</v>
      </c>
      <c r="AC4832">
        <v>101.76990000000001</v>
      </c>
      <c r="AD4832">
        <v>-1.1549499999999999</v>
      </c>
      <c r="AE4832">
        <v>-19.076250000000002</v>
      </c>
      <c r="AF4832">
        <v>14.2872186113563</v>
      </c>
      <c r="AG4832">
        <v>-1.1549499999999999</v>
      </c>
      <c r="AH4832">
        <v>102.53888980885</v>
      </c>
      <c r="AI4832">
        <v>90.639151574029498</v>
      </c>
      <c r="AJ4832">
        <v>82.067782878612903</v>
      </c>
      <c r="AK4832">
        <v>103.535899321842</v>
      </c>
    </row>
    <row r="4833" spans="1:37" x14ac:dyDescent="0.2">
      <c r="A4833" t="str">
        <f>"20200111153529340"</f>
        <v>20200111153529340</v>
      </c>
      <c r="B4833" t="str">
        <f>"1578728129331008"</f>
        <v>1578728129331008</v>
      </c>
      <c r="C4833" t="s">
        <v>37</v>
      </c>
      <c r="D4833">
        <v>4.8260699999999996</v>
      </c>
      <c r="E4833">
        <v>0.59748069999999998</v>
      </c>
      <c r="F4833" t="s">
        <v>38</v>
      </c>
      <c r="G4833">
        <v>-266.42090000000002</v>
      </c>
      <c r="H4833">
        <v>-0.05</v>
      </c>
      <c r="I4833">
        <v>-1.231735</v>
      </c>
      <c r="J4833">
        <v>-364.72230000000002</v>
      </c>
      <c r="K4833">
        <v>1.104941</v>
      </c>
      <c r="L4833">
        <v>16.993259999999999</v>
      </c>
      <c r="M4833">
        <v>0.99890069999999997</v>
      </c>
      <c r="N4833">
        <v>0</v>
      </c>
      <c r="O4833">
        <v>-4.6220360000000002E-2</v>
      </c>
      <c r="P4833">
        <v>0.99713359999999995</v>
      </c>
      <c r="Q4833">
        <v>2.536424E-2</v>
      </c>
      <c r="R4833">
        <v>7.1284550000000002E-2</v>
      </c>
      <c r="S4833">
        <v>3.0498660000000002</v>
      </c>
      <c r="T4833">
        <v>-3.577673E-2</v>
      </c>
      <c r="U4833">
        <v>-0.56475830000000005</v>
      </c>
      <c r="V4833">
        <v>-0.11735760000000001</v>
      </c>
      <c r="W4833">
        <v>3.2922350000000003E-2</v>
      </c>
      <c r="X4833">
        <v>0.99254390000000003</v>
      </c>
      <c r="Y4833">
        <v>0.13642969999999999</v>
      </c>
      <c r="Z4833">
        <v>-2.5652150000000001E-4</v>
      </c>
      <c r="AA4833">
        <v>0.99064969999999997</v>
      </c>
      <c r="AB4833">
        <v>27</v>
      </c>
      <c r="AC4833">
        <v>98.301400000000001</v>
      </c>
      <c r="AD4833">
        <v>-1.154941</v>
      </c>
      <c r="AE4833">
        <v>-18.224995</v>
      </c>
      <c r="AF4833">
        <v>13.660028386846401</v>
      </c>
      <c r="AG4833">
        <v>-1.154941</v>
      </c>
      <c r="AH4833">
        <v>99.025512196031997</v>
      </c>
      <c r="AI4833">
        <v>90.661946368613997</v>
      </c>
      <c r="AJ4833">
        <v>82.145927530904004</v>
      </c>
      <c r="AK4833">
        <v>99.969907121740505</v>
      </c>
    </row>
    <row r="4834" spans="1:37" x14ac:dyDescent="0.2">
      <c r="A4834" t="str">
        <f>"20200111153529360"</f>
        <v>20200111153529360</v>
      </c>
      <c r="B4834" t="str">
        <f>"1578728129350528"</f>
        <v>1578728129350528</v>
      </c>
      <c r="C4834" t="s">
        <v>37</v>
      </c>
      <c r="D4834">
        <v>4.8378059999999996</v>
      </c>
      <c r="E4834">
        <v>0.59712080000000001</v>
      </c>
      <c r="F4834" t="s">
        <v>38</v>
      </c>
      <c r="G4834">
        <v>-272.21660000000003</v>
      </c>
      <c r="H4834">
        <v>-0.05</v>
      </c>
      <c r="I4834">
        <v>-2.4383539999999999E-2</v>
      </c>
      <c r="J4834">
        <v>-364.49970000000002</v>
      </c>
      <c r="K4834">
        <v>1.104938</v>
      </c>
      <c r="L4834">
        <v>16.983829999999902</v>
      </c>
      <c r="M4834">
        <v>0.99894090000000002</v>
      </c>
      <c r="N4834">
        <v>0</v>
      </c>
      <c r="O4834">
        <v>-4.5339280000000003E-2</v>
      </c>
      <c r="P4834">
        <v>0.99718269999999998</v>
      </c>
      <c r="Q4834">
        <v>2.4471159999999999E-2</v>
      </c>
      <c r="R4834">
        <v>7.090631E-2</v>
      </c>
      <c r="S4834">
        <v>3.0497130000000001</v>
      </c>
      <c r="T4834">
        <v>-3.8075919999999999E-2</v>
      </c>
      <c r="U4834">
        <v>-0.56103519999999996</v>
      </c>
      <c r="V4834">
        <v>-0.11610479999999999</v>
      </c>
      <c r="W4834">
        <v>3.2034460000000001E-2</v>
      </c>
      <c r="X4834">
        <v>0.99272019999999905</v>
      </c>
      <c r="Y4834">
        <v>0.13614189999999901</v>
      </c>
      <c r="Z4834">
        <v>-2.8214130000000002E-4</v>
      </c>
      <c r="AA4834">
        <v>0.99068929999999999</v>
      </c>
      <c r="AB4834">
        <v>27</v>
      </c>
      <c r="AC4834">
        <v>92.283100000000005</v>
      </c>
      <c r="AD4834">
        <v>-1.154938</v>
      </c>
      <c r="AE4834">
        <v>-17.0082135399999</v>
      </c>
      <c r="AF4834">
        <v>12.8046044887204</v>
      </c>
      <c r="AG4834">
        <v>-1.154938</v>
      </c>
      <c r="AH4834">
        <v>92.945278631103406</v>
      </c>
      <c r="AI4834">
        <v>90.705260202491004</v>
      </c>
      <c r="AJ4834">
        <v>82.156023478040296</v>
      </c>
      <c r="AK4834">
        <v>93.830254170549196</v>
      </c>
    </row>
    <row r="4835" spans="1:37" x14ac:dyDescent="0.2">
      <c r="A4835" t="str">
        <f>"20200111153529372"</f>
        <v>20200111153529372</v>
      </c>
      <c r="B4835" t="str">
        <f>"1578728129360289"</f>
        <v>1578728129360289</v>
      </c>
      <c r="C4835" t="s">
        <v>37</v>
      </c>
      <c r="D4835">
        <v>4.8681039999999998</v>
      </c>
      <c r="E4835">
        <v>0.59710969999999997</v>
      </c>
      <c r="F4835" t="s">
        <v>38</v>
      </c>
      <c r="G4835">
        <v>-272.0104</v>
      </c>
      <c r="H4835">
        <v>-0.05</v>
      </c>
      <c r="I4835">
        <v>1.4251710000000001E-2</v>
      </c>
      <c r="J4835">
        <v>-364.35210000000001</v>
      </c>
      <c r="K4835">
        <v>1.104935</v>
      </c>
      <c r="L4835">
        <v>16.97775</v>
      </c>
      <c r="M4835">
        <v>0.9989673</v>
      </c>
      <c r="N4835">
        <v>0</v>
      </c>
      <c r="O4835">
        <v>-4.4755620000000003E-2</v>
      </c>
      <c r="P4835">
        <v>0.99718240000000002</v>
      </c>
      <c r="Q4835">
        <v>2.41578E-2</v>
      </c>
      <c r="R4835">
        <v>7.1019830000000006E-2</v>
      </c>
      <c r="S4835">
        <v>3.04916399999999</v>
      </c>
      <c r="T4835">
        <v>-3.8075690000000002E-2</v>
      </c>
      <c r="U4835">
        <v>-0.55944819999999995</v>
      </c>
      <c r="V4835">
        <v>-0.1156377</v>
      </c>
      <c r="W4835">
        <v>3.1723250000000001E-2</v>
      </c>
      <c r="X4835">
        <v>0.99278469999999996</v>
      </c>
      <c r="Y4835">
        <v>0.13625370000000001</v>
      </c>
      <c r="Z4835">
        <v>-2.9010089999999999E-4</v>
      </c>
      <c r="AA4835">
        <v>0.99067399999999906</v>
      </c>
      <c r="AB4835">
        <v>27</v>
      </c>
      <c r="AC4835">
        <v>92.341700000000003</v>
      </c>
      <c r="AD4835">
        <v>-1.154935</v>
      </c>
      <c r="AE4835">
        <v>-16.96349829</v>
      </c>
      <c r="AF4835">
        <v>12.811623892670699</v>
      </c>
      <c r="AG4835">
        <v>-1.154935</v>
      </c>
      <c r="AH4835">
        <v>92.994327687579997</v>
      </c>
      <c r="AI4835">
        <v>90.704886157190899</v>
      </c>
      <c r="AJ4835">
        <v>82.155864963228694</v>
      </c>
      <c r="AK4835">
        <v>93.879798485544796</v>
      </c>
    </row>
    <row r="4836" spans="1:37" x14ac:dyDescent="0.2">
      <c r="A4836" t="str">
        <f>"20200111153529383"</f>
        <v>20200111153529383</v>
      </c>
      <c r="B4836" t="str">
        <f>"1578728129380785"</f>
        <v>1578728129380785</v>
      </c>
      <c r="C4836" t="s">
        <v>37</v>
      </c>
      <c r="D4836">
        <v>4.8456130000000002</v>
      </c>
      <c r="E4836">
        <v>0.59706369999999997</v>
      </c>
      <c r="F4836" t="s">
        <v>38</v>
      </c>
      <c r="G4836">
        <v>-271.57560000000001</v>
      </c>
      <c r="H4836">
        <v>-0.05</v>
      </c>
      <c r="I4836">
        <v>-3.2089230000000003E-2</v>
      </c>
      <c r="J4836">
        <v>-364.21199999999999</v>
      </c>
      <c r="K4836">
        <v>1.1049329999999999</v>
      </c>
      <c r="L4836">
        <v>16.972049999999999</v>
      </c>
      <c r="M4836">
        <v>0.99899189999999904</v>
      </c>
      <c r="N4836">
        <v>0</v>
      </c>
      <c r="O4836">
        <v>-4.4201530000000003E-2</v>
      </c>
      <c r="P4836">
        <v>0.99717679999999997</v>
      </c>
      <c r="Q4836">
        <v>2.3924859999999999E-2</v>
      </c>
      <c r="R4836">
        <v>7.1176859999999995E-2</v>
      </c>
      <c r="S4836">
        <v>3.0492249999999999</v>
      </c>
      <c r="T4836">
        <v>-3.7958499999999999E-2</v>
      </c>
      <c r="U4836">
        <v>-0.55905150000000003</v>
      </c>
      <c r="V4836">
        <v>-0.11524329999999899</v>
      </c>
      <c r="W4836">
        <v>3.1492100000000002E-2</v>
      </c>
      <c r="X4836">
        <v>0.992837999999999</v>
      </c>
      <c r="Y4836">
        <v>0.13667489999999999</v>
      </c>
      <c r="Z4836">
        <v>-2.9862699999999999E-4</v>
      </c>
      <c r="AA4836">
        <v>0.99061589999999999</v>
      </c>
      <c r="AB4836">
        <v>27</v>
      </c>
      <c r="AC4836">
        <v>92.636399999999895</v>
      </c>
      <c r="AD4836">
        <v>-1.154933</v>
      </c>
      <c r="AE4836">
        <v>-17.00413923</v>
      </c>
      <c r="AF4836">
        <v>12.890784235868701</v>
      </c>
      <c r="AG4836">
        <v>-1.154933</v>
      </c>
      <c r="AH4836">
        <v>93.283459942405202</v>
      </c>
      <c r="AI4836">
        <v>90.702660256559099</v>
      </c>
      <c r="AJ4836">
        <v>82.132161003227907</v>
      </c>
      <c r="AK4836">
        <v>94.177014644107899</v>
      </c>
    </row>
    <row r="4837" spans="1:37" x14ac:dyDescent="0.2">
      <c r="A4837" t="str">
        <f>"20200111153529396"</f>
        <v>20200111153529396</v>
      </c>
      <c r="B4837" t="str">
        <f>"1578728129390545"</f>
        <v>1578728129390545</v>
      </c>
      <c r="C4837" t="s">
        <v>37</v>
      </c>
      <c r="D4837">
        <v>4.8392689999999998</v>
      </c>
      <c r="E4837">
        <v>0.59694530000000001</v>
      </c>
      <c r="F4837" t="s">
        <v>38</v>
      </c>
      <c r="G4837">
        <v>-267.26870000000002</v>
      </c>
      <c r="H4837">
        <v>-0.05</v>
      </c>
      <c r="I4837">
        <v>-0.77635189999999998</v>
      </c>
      <c r="J4837">
        <v>-364.05959999999999</v>
      </c>
      <c r="K4837">
        <v>1.104932</v>
      </c>
      <c r="L4837">
        <v>16.965910000000001</v>
      </c>
      <c r="M4837">
        <v>0.99901839999999997</v>
      </c>
      <c r="N4837">
        <v>0</v>
      </c>
      <c r="O4837">
        <v>-4.3598570000000003E-2</v>
      </c>
      <c r="P4837">
        <v>0.99715189999999998</v>
      </c>
      <c r="Q4837">
        <v>2.3561840000000001E-2</v>
      </c>
      <c r="R4837">
        <v>7.1645449999999999E-2</v>
      </c>
      <c r="S4837">
        <v>3.049255</v>
      </c>
      <c r="T4837">
        <v>-3.6327239999999997E-2</v>
      </c>
      <c r="U4837">
        <v>-0.55825809999999998</v>
      </c>
      <c r="V4837">
        <v>-0.11511059999999999</v>
      </c>
      <c r="W4837">
        <v>3.1129879999999999E-2</v>
      </c>
      <c r="X4837">
        <v>0.99286479999999999</v>
      </c>
      <c r="Y4837">
        <v>0.13702220000000001</v>
      </c>
      <c r="Z4837">
        <v>-2.9495379999999998E-4</v>
      </c>
      <c r="AA4837">
        <v>0.99056789999999995</v>
      </c>
      <c r="AB4837">
        <v>27</v>
      </c>
      <c r="AC4837">
        <v>96.790899999999894</v>
      </c>
      <c r="AD4837">
        <v>-1.1549320000000001</v>
      </c>
      <c r="AE4837">
        <v>-17.742261899999999</v>
      </c>
      <c r="AF4837">
        <v>13.503455795812201</v>
      </c>
      <c r="AG4837">
        <v>-1.1549320000000001</v>
      </c>
      <c r="AH4837">
        <v>97.458994849004796</v>
      </c>
      <c r="AI4837">
        <v>90.672524307816104</v>
      </c>
      <c r="AJ4837">
        <v>82.111592245357798</v>
      </c>
      <c r="AK4837">
        <v>98.396813278339593</v>
      </c>
    </row>
    <row r="4838" spans="1:37" x14ac:dyDescent="0.2">
      <c r="A4838" t="str">
        <f>"20200111153529408"</f>
        <v>20200111153529408</v>
      </c>
      <c r="B4838" t="str">
        <f>"1578728129400305"</f>
        <v>1578728129400305</v>
      </c>
      <c r="C4838" t="s">
        <v>37</v>
      </c>
      <c r="D4838">
        <v>4.7991330000000003</v>
      </c>
      <c r="E4838">
        <v>0.59677969999999902</v>
      </c>
      <c r="F4838" t="s">
        <v>38</v>
      </c>
      <c r="G4838">
        <v>-268.1508</v>
      </c>
      <c r="H4838">
        <v>-0.05</v>
      </c>
      <c r="I4838">
        <v>-0.51847840000000001</v>
      </c>
      <c r="J4838">
        <v>-363.91379999999998</v>
      </c>
      <c r="K4838">
        <v>1.1049309999999899</v>
      </c>
      <c r="L4838">
        <v>16.960139999999999</v>
      </c>
      <c r="M4838">
        <v>0.99904349999999997</v>
      </c>
      <c r="N4838">
        <v>0</v>
      </c>
      <c r="O4838">
        <v>-4.302243E-2</v>
      </c>
      <c r="P4838">
        <v>0.99711609999999995</v>
      </c>
      <c r="Q4838">
        <v>2.3550990000000001E-2</v>
      </c>
      <c r="R4838">
        <v>7.2145529999999999E-2</v>
      </c>
      <c r="S4838">
        <v>3.0493769999999998</v>
      </c>
      <c r="T4838">
        <v>-3.6720509999999998E-2</v>
      </c>
      <c r="U4838">
        <v>-0.55590819999999996</v>
      </c>
      <c r="V4838">
        <v>-0.1150354</v>
      </c>
      <c r="W4838">
        <v>3.1119870000000001E-2</v>
      </c>
      <c r="X4838">
        <v>0.99287380000000003</v>
      </c>
      <c r="Y4838">
        <v>0.13684749999999901</v>
      </c>
      <c r="Z4838">
        <v>-3.0397360000000001E-4</v>
      </c>
      <c r="AA4838">
        <v>0.99059209999999998</v>
      </c>
      <c r="AB4838">
        <v>27</v>
      </c>
      <c r="AC4838">
        <v>95.762999999999906</v>
      </c>
      <c r="AD4838">
        <v>-1.1549309999999999</v>
      </c>
      <c r="AE4838">
        <v>-17.478618399999998</v>
      </c>
      <c r="AF4838">
        <v>13.340473295707</v>
      </c>
      <c r="AG4838">
        <v>-1.1549309999999999</v>
      </c>
      <c r="AH4838">
        <v>96.412752654178206</v>
      </c>
      <c r="AI4838">
        <v>90.679838330507806</v>
      </c>
      <c r="AJ4838">
        <v>82.1220997389497</v>
      </c>
      <c r="AK4838">
        <v>97.3381783665791</v>
      </c>
    </row>
    <row r="4839" spans="1:37" x14ac:dyDescent="0.2">
      <c r="A4839" t="str">
        <f>"20200111153529425"</f>
        <v>20200111153529425</v>
      </c>
      <c r="B4839" t="str">
        <f>"1578728129420801"</f>
        <v>1578728129420801</v>
      </c>
      <c r="C4839" t="s">
        <v>37</v>
      </c>
      <c r="D4839">
        <v>4.8129679999999997</v>
      </c>
      <c r="E4839">
        <v>0.59676750000000001</v>
      </c>
      <c r="F4839" t="s">
        <v>38</v>
      </c>
      <c r="G4839">
        <v>-269.37819999999999</v>
      </c>
      <c r="H4839">
        <v>-0.05</v>
      </c>
      <c r="I4839">
        <v>-0.18397520000000001</v>
      </c>
      <c r="J4839">
        <v>-363.70620000000002</v>
      </c>
      <c r="K4839">
        <v>1.1049370000000001</v>
      </c>
      <c r="L4839">
        <v>16.952059999999999</v>
      </c>
      <c r="M4839">
        <v>0.99907849999999998</v>
      </c>
      <c r="N4839">
        <v>0</v>
      </c>
      <c r="O4839">
        <v>-4.2201780000000001E-2</v>
      </c>
      <c r="P4839">
        <v>0.997029099999999</v>
      </c>
      <c r="Q4839">
        <v>2.3473299999999999E-2</v>
      </c>
      <c r="R4839">
        <v>7.3363049999999999E-2</v>
      </c>
      <c r="S4839">
        <v>3.0495610000000002</v>
      </c>
      <c r="T4839">
        <v>-3.7256119999999997E-2</v>
      </c>
      <c r="U4839">
        <v>-0.55303959999999996</v>
      </c>
      <c r="V4839">
        <v>-0.11543289999999901</v>
      </c>
      <c r="W4839">
        <v>3.104171E-2</v>
      </c>
      <c r="X4839">
        <v>0.9928302</v>
      </c>
      <c r="Y4839">
        <v>0.1367485</v>
      </c>
      <c r="Z4839">
        <v>-3.1773039999999998E-4</v>
      </c>
      <c r="AA4839">
        <v>0.99060579999999998</v>
      </c>
      <c r="AB4839">
        <v>27</v>
      </c>
      <c r="AC4839">
        <v>94.328000000000003</v>
      </c>
      <c r="AD4839">
        <v>-1.1549370000000001</v>
      </c>
      <c r="AE4839">
        <v>-17.136035199999998</v>
      </c>
      <c r="AF4839">
        <v>13.1379300591933</v>
      </c>
      <c r="AG4839">
        <v>-1.1549370000000001</v>
      </c>
      <c r="AH4839">
        <v>94.9533722508165</v>
      </c>
      <c r="AI4839">
        <v>90.690290252237205</v>
      </c>
      <c r="AJ4839">
        <v>82.122461603721405</v>
      </c>
      <c r="AK4839">
        <v>95.864915310640896</v>
      </c>
    </row>
    <row r="4840" spans="1:37" x14ac:dyDescent="0.2">
      <c r="A4840" t="str">
        <f>"20200111153529437"</f>
        <v>20200111153529437</v>
      </c>
      <c r="B4840" t="str">
        <f>"1578728129430561"</f>
        <v>1578728129430561</v>
      </c>
      <c r="C4840" t="s">
        <v>37</v>
      </c>
      <c r="D4840">
        <v>4.8131890000000004</v>
      </c>
      <c r="E4840">
        <v>0.59670710000000005</v>
      </c>
      <c r="F4840" t="s">
        <v>38</v>
      </c>
      <c r="G4840">
        <v>-266.39240000000001</v>
      </c>
      <c r="H4840">
        <v>-0.05</v>
      </c>
      <c r="I4840">
        <v>-0.57238769999999894</v>
      </c>
      <c r="J4840">
        <v>-363.5634</v>
      </c>
      <c r="K4840">
        <v>1.1049370000000001</v>
      </c>
      <c r="L4840">
        <v>16.94659</v>
      </c>
      <c r="M4840">
        <v>0.99910209999999999</v>
      </c>
      <c r="N4840">
        <v>0</v>
      </c>
      <c r="O4840">
        <v>-4.1637199999999902E-2</v>
      </c>
      <c r="P4840">
        <v>0.9969633</v>
      </c>
      <c r="Q4840">
        <v>2.350555E-2</v>
      </c>
      <c r="R4840">
        <v>7.4240570000000006E-2</v>
      </c>
      <c r="S4840">
        <v>3.0502009999999999</v>
      </c>
      <c r="T4840">
        <v>-3.6200280000000001E-2</v>
      </c>
      <c r="U4840">
        <v>-0.54928589999999999</v>
      </c>
      <c r="V4840">
        <v>-0.11574569999999899</v>
      </c>
      <c r="W4840">
        <v>3.107364E-2</v>
      </c>
      <c r="X4840">
        <v>0.99279269999999997</v>
      </c>
      <c r="Y4840">
        <v>0.13609160000000001</v>
      </c>
      <c r="Z4840">
        <v>-3.1145629999999999E-4</v>
      </c>
      <c r="AA4840">
        <v>0.99069619999999903</v>
      </c>
      <c r="AB4840">
        <v>27</v>
      </c>
      <c r="AC4840">
        <v>97.171000000000006</v>
      </c>
      <c r="AD4840">
        <v>-1.1549370000000001</v>
      </c>
      <c r="AE4840">
        <v>-17.518977700000001</v>
      </c>
      <c r="AF4840">
        <v>13.455890743754001</v>
      </c>
      <c r="AG4840">
        <v>-1.1549370000000001</v>
      </c>
      <c r="AH4840">
        <v>97.802809844113</v>
      </c>
      <c r="AI4840">
        <v>90.670251621007097</v>
      </c>
      <c r="AJ4840">
        <v>82.166321342506507</v>
      </c>
      <c r="AK4840">
        <v>98.730868975136403</v>
      </c>
    </row>
    <row r="4841" spans="1:37" x14ac:dyDescent="0.2">
      <c r="A4841" t="str">
        <f>"20200111153529449"</f>
        <v>20200111153529449</v>
      </c>
      <c r="B4841" t="str">
        <f>"1578728129440321"</f>
        <v>1578728129440321</v>
      </c>
      <c r="C4841" t="s">
        <v>37</v>
      </c>
      <c r="D4841">
        <v>4.8370559999999996</v>
      </c>
      <c r="E4841">
        <v>0.59676719999999905</v>
      </c>
      <c r="F4841" t="s">
        <v>38</v>
      </c>
      <c r="G4841">
        <v>-263.71260000000001</v>
      </c>
      <c r="H4841">
        <v>-0.05</v>
      </c>
      <c r="I4841">
        <v>-0.92532349999999997</v>
      </c>
      <c r="J4841">
        <v>-363.41809999999998</v>
      </c>
      <c r="K4841">
        <v>1.104938</v>
      </c>
      <c r="L4841">
        <v>16.941129999999902</v>
      </c>
      <c r="M4841">
        <v>0.99912599999999996</v>
      </c>
      <c r="N4841">
        <v>0</v>
      </c>
      <c r="O4841">
        <v>-4.1062969999999997E-2</v>
      </c>
      <c r="P4841">
        <v>0.99690939999999995</v>
      </c>
      <c r="Q4841">
        <v>2.36610999999999E-2</v>
      </c>
      <c r="R4841">
        <v>7.4915699999999905E-2</v>
      </c>
      <c r="S4841">
        <v>3.0506289999999998</v>
      </c>
      <c r="T4841">
        <v>-3.5285469999999999E-2</v>
      </c>
      <c r="U4841">
        <v>-0.54602050000000002</v>
      </c>
      <c r="V4841">
        <v>-0.1158479</v>
      </c>
      <c r="W4841">
        <v>3.122902E-2</v>
      </c>
      <c r="X4841">
        <v>0.99277590000000004</v>
      </c>
      <c r="Y4841">
        <v>0.1356097</v>
      </c>
      <c r="Z4841">
        <v>-3.0737869999999999E-4</v>
      </c>
      <c r="AA4841">
        <v>0.99076229999999998</v>
      </c>
      <c r="AB4841">
        <v>27</v>
      </c>
      <c r="AC4841">
        <v>99.705499999999901</v>
      </c>
      <c r="AD4841">
        <v>-1.154938</v>
      </c>
      <c r="AE4841">
        <v>-17.866453499999999</v>
      </c>
      <c r="AF4841">
        <v>13.755266107808</v>
      </c>
      <c r="AG4841">
        <v>-1.154938</v>
      </c>
      <c r="AH4841">
        <v>100.34202659797501</v>
      </c>
      <c r="AI4841">
        <v>90.653336400118306</v>
      </c>
      <c r="AJ4841">
        <v>82.194328935313806</v>
      </c>
      <c r="AK4841">
        <v>101.287035346431</v>
      </c>
    </row>
    <row r="4842" spans="1:37" x14ac:dyDescent="0.2">
      <c r="A4842" t="str">
        <f>"20200111153529460"</f>
        <v>20200111153529460</v>
      </c>
      <c r="B4842" t="str">
        <f>"1578728129451058"</f>
        <v>1578728129451058</v>
      </c>
      <c r="C4842" t="s">
        <v>37</v>
      </c>
      <c r="D4842">
        <v>4.8076619999999997</v>
      </c>
      <c r="E4842">
        <v>0.59684879999999996</v>
      </c>
      <c r="F4842" t="s">
        <v>70</v>
      </c>
      <c r="G4842">
        <v>-279.02</v>
      </c>
      <c r="H4842">
        <v>0.16645009999999999</v>
      </c>
      <c r="I4842">
        <v>1.8817520000000001</v>
      </c>
      <c r="J4842">
        <v>-363.2731</v>
      </c>
      <c r="K4842">
        <v>1.10494</v>
      </c>
      <c r="L4842">
        <v>16.93573</v>
      </c>
      <c r="M4842">
        <v>0.99914930000000002</v>
      </c>
      <c r="N4842">
        <v>0</v>
      </c>
      <c r="O4842">
        <v>-4.0490279999999997E-2</v>
      </c>
      <c r="P4842">
        <v>0.99687199999999998</v>
      </c>
      <c r="Q4842">
        <v>2.3558010000000001E-2</v>
      </c>
      <c r="R4842">
        <v>7.5440969999999996E-2</v>
      </c>
      <c r="S4842">
        <v>3.0510250000000001</v>
      </c>
      <c r="T4842">
        <v>-3.3926730000000002E-2</v>
      </c>
      <c r="U4842">
        <v>-0.54440310000000003</v>
      </c>
      <c r="V4842">
        <v>-0.1158023</v>
      </c>
      <c r="W4842">
        <v>3.1126540000000001E-2</v>
      </c>
      <c r="X4842">
        <v>0.99278440000000001</v>
      </c>
      <c r="Y4842">
        <v>0.13564670000000001</v>
      </c>
      <c r="Z4842">
        <v>-3.0202480000000002E-4</v>
      </c>
      <c r="AA4842">
        <v>0.9907572</v>
      </c>
      <c r="AB4842">
        <v>27</v>
      </c>
      <c r="AC4842">
        <v>84.253100000000003</v>
      </c>
      <c r="AD4842">
        <v>-0.93848989999999999</v>
      </c>
      <c r="AE4842">
        <v>-15.053978000000001</v>
      </c>
      <c r="AF4842">
        <v>11.6286977326541</v>
      </c>
      <c r="AG4842">
        <v>-0.93848989999999999</v>
      </c>
      <c r="AH4842">
        <v>84.783366843639598</v>
      </c>
      <c r="AI4842">
        <v>90.628314506998294</v>
      </c>
      <c r="AJ4842">
        <v>82.190168736610303</v>
      </c>
      <c r="AK4842">
        <v>85.582280102793504</v>
      </c>
    </row>
    <row r="4843" spans="1:37" x14ac:dyDescent="0.2">
      <c r="A4843" t="str">
        <f>"20200111153529472"</f>
        <v>20200111153529472</v>
      </c>
      <c r="B4843" t="str">
        <f>"1578728129460819"</f>
        <v>1578728129460819</v>
      </c>
      <c r="C4843" t="s">
        <v>37</v>
      </c>
      <c r="D4843">
        <v>4.8120059999999896</v>
      </c>
      <c r="E4843">
        <v>0.59690730000000003</v>
      </c>
      <c r="F4843" t="s">
        <v>70</v>
      </c>
      <c r="G4843">
        <v>-279.02</v>
      </c>
      <c r="H4843">
        <v>0.14555129999999999</v>
      </c>
      <c r="I4843">
        <v>1.9316789999999999</v>
      </c>
      <c r="J4843">
        <v>-363.12959999999998</v>
      </c>
      <c r="K4843">
        <v>1.1049420000000001</v>
      </c>
      <c r="L4843">
        <v>16.930479999999999</v>
      </c>
      <c r="M4843">
        <v>0.99917219999999995</v>
      </c>
      <c r="N4843">
        <v>0</v>
      </c>
      <c r="O4843">
        <v>-3.9923680000000003E-2</v>
      </c>
      <c r="P4843">
        <v>0.99682530000000003</v>
      </c>
      <c r="Q4843">
        <v>2.3574399999999999E-2</v>
      </c>
      <c r="R4843">
        <v>7.6051939999999998E-2</v>
      </c>
      <c r="S4843">
        <v>3.051361</v>
      </c>
      <c r="T4843">
        <v>-3.4745810000000002E-2</v>
      </c>
      <c r="U4843">
        <v>-0.54339599999999999</v>
      </c>
      <c r="V4843">
        <v>-0.115847699999999</v>
      </c>
      <c r="W4843">
        <v>3.114275E-2</v>
      </c>
      <c r="X4843">
        <v>0.99277870000000001</v>
      </c>
      <c r="Y4843">
        <v>0.13587249999999901</v>
      </c>
      <c r="Z4843">
        <v>-3.1695220000000002E-4</v>
      </c>
      <c r="AA4843">
        <v>0.99072629999999995</v>
      </c>
      <c r="AB4843">
        <v>27</v>
      </c>
      <c r="AC4843">
        <v>84.1096</v>
      </c>
      <c r="AD4843">
        <v>-0.95939070000000004</v>
      </c>
      <c r="AE4843">
        <v>-14.998800999999901</v>
      </c>
      <c r="AF4843">
        <v>11.6273088367579</v>
      </c>
      <c r="AG4843">
        <v>-0.95939070000000004</v>
      </c>
      <c r="AH4843">
        <v>84.630691949868904</v>
      </c>
      <c r="AI4843">
        <v>90.6434449380899</v>
      </c>
      <c r="AJ4843">
        <v>82.177176900470698</v>
      </c>
      <c r="AK4843">
        <v>85.431076086013306</v>
      </c>
    </row>
    <row r="4844" spans="1:37" x14ac:dyDescent="0.2">
      <c r="A4844" t="str">
        <f>"20200111153529486"</f>
        <v>20200111153529486</v>
      </c>
      <c r="B4844" t="str">
        <f>"1578728129480337"</f>
        <v>1578728129480337</v>
      </c>
      <c r="C4844" t="s">
        <v>37</v>
      </c>
      <c r="D4844">
        <v>4.7845959999999996</v>
      </c>
      <c r="E4844">
        <v>0.59706579999999998</v>
      </c>
      <c r="F4844" t="s">
        <v>70</v>
      </c>
      <c r="G4844">
        <v>-279.02</v>
      </c>
      <c r="H4844">
        <v>0.16800470000000001</v>
      </c>
      <c r="I4844">
        <v>1.9906330000000001</v>
      </c>
      <c r="J4844">
        <v>-362.98070000000001</v>
      </c>
      <c r="K4844">
        <v>1.1049450000000001</v>
      </c>
      <c r="L4844">
        <v>16.925139999999999</v>
      </c>
      <c r="M4844">
        <v>0.99919530000000001</v>
      </c>
      <c r="N4844">
        <v>0</v>
      </c>
      <c r="O4844">
        <v>-3.9335250000000002E-2</v>
      </c>
      <c r="P4844">
        <v>0.99678219999999995</v>
      </c>
      <c r="Q4844">
        <v>2.3636979999999998E-2</v>
      </c>
      <c r="R4844">
        <v>7.6591690000000004E-2</v>
      </c>
      <c r="S4844">
        <v>3.0516969999999999</v>
      </c>
      <c r="T4844">
        <v>-3.3994320000000001E-2</v>
      </c>
      <c r="U4844">
        <v>-0.54205319999999901</v>
      </c>
      <c r="V4844">
        <v>-0.115801099999999</v>
      </c>
      <c r="W4844">
        <v>3.120566E-2</v>
      </c>
      <c r="X4844">
        <v>0.9927821</v>
      </c>
      <c r="Y4844">
        <v>0.13601469999999999</v>
      </c>
      <c r="Z4844">
        <v>-3.1734960000000002E-4</v>
      </c>
      <c r="AA4844">
        <v>0.99070669999999905</v>
      </c>
      <c r="AB4844">
        <v>27</v>
      </c>
      <c r="AC4844">
        <v>83.960700000000003</v>
      </c>
      <c r="AD4844">
        <v>-0.93694029999999995</v>
      </c>
      <c r="AE4844">
        <v>-14.934506999999901</v>
      </c>
      <c r="AF4844">
        <v>11.618828839813901</v>
      </c>
      <c r="AG4844">
        <v>-0.93694029999999995</v>
      </c>
      <c r="AH4844">
        <v>84.472990143656304</v>
      </c>
      <c r="AI4844">
        <v>90.629548888567797</v>
      </c>
      <c r="AJ4844">
        <v>82.168398754750996</v>
      </c>
      <c r="AK4844">
        <v>85.273449001109995</v>
      </c>
    </row>
    <row r="4845" spans="1:37" x14ac:dyDescent="0.2">
      <c r="A4845" t="str">
        <f>"20200111153529497"</f>
        <v>20200111153529497</v>
      </c>
      <c r="B4845" t="str">
        <f>"1578728129491074"</f>
        <v>1578728129491074</v>
      </c>
      <c r="C4845" t="s">
        <v>37</v>
      </c>
      <c r="D4845">
        <v>4.8045819999999999</v>
      </c>
      <c r="E4845">
        <v>0.59717769999999903</v>
      </c>
      <c r="F4845" t="s">
        <v>70</v>
      </c>
      <c r="G4845">
        <v>-279.02</v>
      </c>
      <c r="H4845">
        <v>0.19968720000000001</v>
      </c>
      <c r="I4845">
        <v>2.0229300000000001</v>
      </c>
      <c r="J4845">
        <v>-362.820999999999</v>
      </c>
      <c r="K4845">
        <v>1.104948</v>
      </c>
      <c r="L4845">
        <v>16.919460000000001</v>
      </c>
      <c r="M4845">
        <v>0.99921990000000005</v>
      </c>
      <c r="N4845">
        <v>0</v>
      </c>
      <c r="O4845">
        <v>-3.8705110000000001E-2</v>
      </c>
      <c r="P4845">
        <v>0.99671379999999998</v>
      </c>
      <c r="Q4845">
        <v>2.3985490000000002E-2</v>
      </c>
      <c r="R4845">
        <v>7.7371339999999997E-2</v>
      </c>
      <c r="S4845">
        <v>3.0520939999999999</v>
      </c>
      <c r="T4845">
        <v>-3.2907489999999998E-2</v>
      </c>
      <c r="U4845">
        <v>-0.54171749999999996</v>
      </c>
      <c r="V4845">
        <v>-0.1159517</v>
      </c>
      <c r="W4845">
        <v>3.1553579999999998E-2</v>
      </c>
      <c r="X4845">
        <v>0.99275349999999996</v>
      </c>
      <c r="Y4845">
        <v>0.13651199999999999</v>
      </c>
      <c r="Z4845">
        <v>-3.165536E-4</v>
      </c>
      <c r="AA4845">
        <v>0.99063840000000003</v>
      </c>
      <c r="AB4845">
        <v>27</v>
      </c>
      <c r="AC4845">
        <v>83.800999999999902</v>
      </c>
      <c r="AD4845">
        <v>-0.90526079999999998</v>
      </c>
      <c r="AE4845">
        <v>-14.896529999999901</v>
      </c>
      <c r="AF4845">
        <v>11.640423556255501</v>
      </c>
      <c r="AG4845">
        <v>-0.90526079999999998</v>
      </c>
      <c r="AH4845">
        <v>84.305255057449699</v>
      </c>
      <c r="AI4845">
        <v>90.609430883553301</v>
      </c>
      <c r="AJ4845">
        <v>82.138608602251907</v>
      </c>
      <c r="AK4845">
        <v>85.109899471134895</v>
      </c>
    </row>
    <row r="4846" spans="1:37" x14ac:dyDescent="0.2">
      <c r="A4846" t="str">
        <f>"20200111153529515"</f>
        <v>20200111153529515</v>
      </c>
      <c r="B4846" t="str">
        <f>"1578728129510593"</f>
        <v>1578728129510593</v>
      </c>
      <c r="C4846" t="s">
        <v>37</v>
      </c>
      <c r="D4846">
        <v>4.8037400000000003</v>
      </c>
      <c r="E4846">
        <v>0.59733029999999998</v>
      </c>
      <c r="F4846" t="s">
        <v>70</v>
      </c>
      <c r="G4846">
        <v>-279.02</v>
      </c>
      <c r="H4846">
        <v>0.23887910000000001</v>
      </c>
      <c r="I4846">
        <v>2.0890080000000002</v>
      </c>
      <c r="J4846">
        <v>-362.61149999999998</v>
      </c>
      <c r="K4846">
        <v>1.104962</v>
      </c>
      <c r="L4846">
        <v>16.912229999999902</v>
      </c>
      <c r="M4846">
        <v>0.99925169999999996</v>
      </c>
      <c r="N4846">
        <v>0</v>
      </c>
      <c r="O4846">
        <v>-3.7878269999999999E-2</v>
      </c>
      <c r="P4846">
        <v>0.99665490000000001</v>
      </c>
      <c r="Q4846">
        <v>2.4500899999999999E-2</v>
      </c>
      <c r="R4846">
        <v>7.7965889999999996E-2</v>
      </c>
      <c r="S4846">
        <v>3.0525820000000001</v>
      </c>
      <c r="T4846">
        <v>-3.1547899999999997E-2</v>
      </c>
      <c r="U4846">
        <v>-0.54022219999999999</v>
      </c>
      <c r="V4846">
        <v>-0.1157231</v>
      </c>
      <c r="W4846">
        <v>3.2074020000000002E-2</v>
      </c>
      <c r="X4846">
        <v>0.99276350000000002</v>
      </c>
      <c r="Y4846">
        <v>0.13683429999999999</v>
      </c>
      <c r="Z4846">
        <v>-3.1355309999999998E-4</v>
      </c>
      <c r="AA4846">
        <v>0.99059390000000003</v>
      </c>
      <c r="AB4846">
        <v>27</v>
      </c>
      <c r="AC4846">
        <v>83.591499999999996</v>
      </c>
      <c r="AD4846">
        <v>-0.86608289999999999</v>
      </c>
      <c r="AE4846">
        <v>-14.8232219999999</v>
      </c>
      <c r="AF4846">
        <v>11.6449732457677</v>
      </c>
      <c r="AG4846">
        <v>-0.86608289999999999</v>
      </c>
      <c r="AH4846">
        <v>84.084251889433304</v>
      </c>
      <c r="AI4846">
        <v>90.584557080647798</v>
      </c>
      <c r="AJ4846">
        <v>82.115163559211396</v>
      </c>
      <c r="AK4846">
        <v>84.891206360199604</v>
      </c>
    </row>
    <row r="4847" spans="1:37" x14ac:dyDescent="0.2">
      <c r="A4847" t="str">
        <f>"20200111153529532"</f>
        <v>20200111153529532</v>
      </c>
      <c r="B4847" t="str">
        <f>"1578728129520355"</f>
        <v>1578728129520355</v>
      </c>
      <c r="C4847" t="s">
        <v>37</v>
      </c>
      <c r="D4847">
        <v>4.8106330000000002</v>
      </c>
      <c r="E4847">
        <v>0.59742390000000001</v>
      </c>
      <c r="F4847" t="s">
        <v>70</v>
      </c>
      <c r="G4847">
        <v>-279.02</v>
      </c>
      <c r="H4847">
        <v>0.34605629999999998</v>
      </c>
      <c r="I4847">
        <v>2.138023</v>
      </c>
      <c r="J4847">
        <v>-362.41840000000002</v>
      </c>
      <c r="K4847">
        <v>1.104968</v>
      </c>
      <c r="L4847">
        <v>16.9057</v>
      </c>
      <c r="M4847">
        <v>0.99928019999999995</v>
      </c>
      <c r="N4847">
        <v>0</v>
      </c>
      <c r="O4847">
        <v>-3.711677E-2</v>
      </c>
      <c r="P4847">
        <v>0.99659419999999899</v>
      </c>
      <c r="Q4847">
        <v>2.4890639999999999E-2</v>
      </c>
      <c r="R4847">
        <v>7.8616969999999994E-2</v>
      </c>
      <c r="S4847">
        <v>3.0529169999999999</v>
      </c>
      <c r="T4847">
        <v>-2.7716640000000001E-2</v>
      </c>
      <c r="U4847">
        <v>-0.53958130000000004</v>
      </c>
      <c r="V4847">
        <v>-0.1156161</v>
      </c>
      <c r="W4847">
        <v>3.2469119999999997E-2</v>
      </c>
      <c r="X4847">
        <v>0.99276319999999996</v>
      </c>
      <c r="Y4847">
        <v>0.13736999999999999</v>
      </c>
      <c r="Z4847">
        <v>-2.8470900000000001E-4</v>
      </c>
      <c r="AA4847">
        <v>0.99051979999999995</v>
      </c>
      <c r="AB4847">
        <v>27</v>
      </c>
      <c r="AC4847">
        <v>83.398399999999995</v>
      </c>
      <c r="AD4847">
        <v>-0.75891169999999997</v>
      </c>
      <c r="AE4847">
        <v>-14.7676769999999</v>
      </c>
      <c r="AF4847">
        <v>11.6609899254023</v>
      </c>
      <c r="AG4847">
        <v>-0.75891169999999997</v>
      </c>
      <c r="AH4847">
        <v>83.8823400083227</v>
      </c>
      <c r="AI4847">
        <v>90.513422957135802</v>
      </c>
      <c r="AJ4847">
        <v>82.085690613889895</v>
      </c>
      <c r="AK4847">
        <v>84.692393981281398</v>
      </c>
    </row>
    <row r="4848" spans="1:37" x14ac:dyDescent="0.2">
      <c r="A4848" t="str">
        <f>"20200111153529547"</f>
        <v>20200111153529547</v>
      </c>
      <c r="B4848" t="str">
        <f>"1578728129540849"</f>
        <v>1578728129540849</v>
      </c>
      <c r="C4848" t="s">
        <v>37</v>
      </c>
      <c r="D4848">
        <v>5.1138599999999999</v>
      </c>
      <c r="E4848">
        <v>0.59754529999999995</v>
      </c>
      <c r="F4848" t="s">
        <v>70</v>
      </c>
      <c r="G4848">
        <v>-279.02</v>
      </c>
      <c r="H4848">
        <v>0.4004392</v>
      </c>
      <c r="I4848">
        <v>2.2002069999999998</v>
      </c>
      <c r="J4848">
        <v>-362.22289999999998</v>
      </c>
      <c r="K4848">
        <v>1.1049739999999999</v>
      </c>
      <c r="L4848">
        <v>16.899229999999999</v>
      </c>
      <c r="M4848">
        <v>0.99930849999999904</v>
      </c>
      <c r="N4848">
        <v>0</v>
      </c>
      <c r="O4848">
        <v>-3.6345490000000001E-2</v>
      </c>
      <c r="P4848">
        <v>0.99653329999999996</v>
      </c>
      <c r="Q4848">
        <v>2.498537E-2</v>
      </c>
      <c r="R4848">
        <v>7.9355800000000004E-2</v>
      </c>
      <c r="S4848">
        <v>3.0533450000000002</v>
      </c>
      <c r="T4848">
        <v>-2.579391E-2</v>
      </c>
      <c r="U4848">
        <v>-0.53839110000000001</v>
      </c>
      <c r="V4848">
        <v>-0.115585799999999</v>
      </c>
      <c r="W4848">
        <v>3.2569189999999998E-2</v>
      </c>
      <c r="X4848">
        <v>0.99276339999999996</v>
      </c>
      <c r="Y4848">
        <v>0.13773679999999999</v>
      </c>
      <c r="Z4848">
        <v>-2.7292050000000002E-4</v>
      </c>
      <c r="AA4848">
        <v>0.99046889999999999</v>
      </c>
      <c r="AB4848">
        <v>27</v>
      </c>
      <c r="AC4848">
        <v>83.2029</v>
      </c>
      <c r="AD4848">
        <v>-0.70453479999999902</v>
      </c>
      <c r="AE4848">
        <v>-14.699023</v>
      </c>
      <c r="AF4848">
        <v>11.664356285195501</v>
      </c>
      <c r="AG4848">
        <v>-0.70453479999999902</v>
      </c>
      <c r="AH4848">
        <v>83.676364661580493</v>
      </c>
      <c r="AI4848">
        <v>90.477785642688204</v>
      </c>
      <c r="AJ4848">
        <v>82.064195613718198</v>
      </c>
      <c r="AK4848">
        <v>84.488387248249694</v>
      </c>
    </row>
    <row r="4849" spans="1:37" x14ac:dyDescent="0.2">
      <c r="A4849" t="str">
        <f>"20200111153529564"</f>
        <v>20200111153529564</v>
      </c>
      <c r="B4849" t="str">
        <f>"1578728129550610"</f>
        <v>1578728129550610</v>
      </c>
      <c r="C4849" t="s">
        <v>37</v>
      </c>
      <c r="D4849">
        <v>5.9675000000000002</v>
      </c>
      <c r="E4849">
        <v>0.58270619999999995</v>
      </c>
      <c r="F4849" t="s">
        <v>70</v>
      </c>
      <c r="G4849">
        <v>-279.02</v>
      </c>
      <c r="H4849">
        <v>0.42432309999999901</v>
      </c>
      <c r="I4849">
        <v>2.2669929999999998</v>
      </c>
      <c r="J4849">
        <v>-362.04020000000003</v>
      </c>
      <c r="K4849">
        <v>1.1049799999999901</v>
      </c>
      <c r="L4849">
        <v>16.89331</v>
      </c>
      <c r="M4849">
        <v>0.99933449999999902</v>
      </c>
      <c r="N4849">
        <v>0</v>
      </c>
      <c r="O4849">
        <v>-3.5624999999999997E-2</v>
      </c>
      <c r="P4849">
        <v>0.9964615</v>
      </c>
      <c r="Q4849">
        <v>2.5037429999999999E-2</v>
      </c>
      <c r="R4849">
        <v>8.0236169999999996E-2</v>
      </c>
      <c r="S4849">
        <v>3.0538020000000001</v>
      </c>
      <c r="T4849">
        <v>-2.4981980000000001E-2</v>
      </c>
      <c r="U4849">
        <v>-0.53704830000000003</v>
      </c>
      <c r="V4849">
        <v>-0.115747499999999</v>
      </c>
      <c r="W4849">
        <v>3.2625429999999997E-2</v>
      </c>
      <c r="X4849">
        <v>0.99274269999999998</v>
      </c>
      <c r="Y4849">
        <v>0.1380033</v>
      </c>
      <c r="Z4849">
        <v>-2.7121939999999998E-4</v>
      </c>
      <c r="AA4849">
        <v>0.99043169999999903</v>
      </c>
      <c r="AB4849">
        <v>28</v>
      </c>
      <c r="AC4849">
        <v>83.020200000000003</v>
      </c>
      <c r="AD4849">
        <v>-0.68065689999999901</v>
      </c>
      <c r="AE4849">
        <v>-14.626317</v>
      </c>
      <c r="AF4849">
        <v>11.658586523500899</v>
      </c>
      <c r="AG4849">
        <v>-0.68065689999999901</v>
      </c>
      <c r="AH4849">
        <v>83.483133747319798</v>
      </c>
      <c r="AI4849">
        <v>90.462645684899798</v>
      </c>
      <c r="AJ4849">
        <v>82.049946227625597</v>
      </c>
      <c r="AK4849">
        <v>84.296023357062097</v>
      </c>
    </row>
    <row r="4850" spans="1:37" x14ac:dyDescent="0.2">
      <c r="A4850" t="str">
        <f>"20200111153529579"</f>
        <v>20200111153529579</v>
      </c>
      <c r="B4850" t="str">
        <f>"1578728129571106"</f>
        <v>1578728129571106</v>
      </c>
      <c r="C4850" t="s">
        <v>37</v>
      </c>
      <c r="D4850">
        <v>4.7600980000000002</v>
      </c>
      <c r="E4850">
        <v>0.50098089999999995</v>
      </c>
      <c r="F4850" t="s">
        <v>38</v>
      </c>
      <c r="G4850">
        <v>-316.34859999999998</v>
      </c>
      <c r="H4850">
        <v>-0.05</v>
      </c>
      <c r="I4850">
        <v>10.6503</v>
      </c>
      <c r="J4850">
        <v>-361.81659999999999</v>
      </c>
      <c r="K4850">
        <v>1.1049819999999999</v>
      </c>
      <c r="L4850">
        <v>16.88626</v>
      </c>
      <c r="M4850">
        <v>0.99936539999999996</v>
      </c>
      <c r="N4850">
        <v>0</v>
      </c>
      <c r="O4850">
        <v>-3.4743929999999999E-2</v>
      </c>
      <c r="P4850">
        <v>0.99636829999999998</v>
      </c>
      <c r="Q4850">
        <v>2.4877320000000001E-2</v>
      </c>
      <c r="R4850">
        <v>8.1435270000000004E-2</v>
      </c>
      <c r="S4850">
        <v>3.0460820000000002</v>
      </c>
      <c r="T4850">
        <v>-7.6998109999999995E-2</v>
      </c>
      <c r="U4850">
        <v>-0.41619869999999998</v>
      </c>
      <c r="V4850">
        <v>-0.11606760000000001</v>
      </c>
      <c r="W4850">
        <v>3.246959E-2</v>
      </c>
      <c r="X4850">
        <v>0.99271049999999905</v>
      </c>
      <c r="Y4850">
        <v>0.1008487</v>
      </c>
      <c r="Z4850">
        <v>-3.9509199999999999E-4</v>
      </c>
      <c r="AA4850">
        <v>0.9949017</v>
      </c>
      <c r="AB4850">
        <v>28</v>
      </c>
      <c r="AC4850">
        <v>45.468000000000004</v>
      </c>
      <c r="AD4850">
        <v>-1.154982</v>
      </c>
      <c r="AE4850">
        <v>-6.2359600000000004</v>
      </c>
      <c r="AF4850">
        <v>4.6494643292775404</v>
      </c>
      <c r="AG4850">
        <v>-1.154982</v>
      </c>
      <c r="AH4850">
        <v>45.628316517681903</v>
      </c>
      <c r="AI4850">
        <v>91.442542233990594</v>
      </c>
      <c r="AJ4850">
        <v>84.181719087180397</v>
      </c>
      <c r="AK4850">
        <v>45.879132186728597</v>
      </c>
    </row>
    <row r="4851" spans="1:37" x14ac:dyDescent="0.2">
      <c r="A4851" t="str">
        <f>"20200111153529592"</f>
        <v>20200111153529592</v>
      </c>
      <c r="B4851" t="str">
        <f>"1578728129580865"</f>
        <v>1578728129580865</v>
      </c>
      <c r="C4851" t="s">
        <v>37</v>
      </c>
      <c r="D4851">
        <v>4.8304210000000003</v>
      </c>
      <c r="E4851">
        <v>0.49101270000000002</v>
      </c>
      <c r="F4851" t="s">
        <v>39</v>
      </c>
      <c r="G4851">
        <v>-325.46179999999998</v>
      </c>
      <c r="H4851" s="1">
        <v>-2.1652750000000002E-6</v>
      </c>
      <c r="I4851">
        <v>19.764970000000002</v>
      </c>
      <c r="J4851">
        <v>-361.65589999999997</v>
      </c>
      <c r="K4851">
        <v>1.104983</v>
      </c>
      <c r="L4851">
        <v>16.881319999999999</v>
      </c>
      <c r="M4851">
        <v>0.99938709999999997</v>
      </c>
      <c r="N4851">
        <v>0</v>
      </c>
      <c r="O4851">
        <v>-3.4110460000000002E-2</v>
      </c>
      <c r="P4851">
        <v>0.99626729999999997</v>
      </c>
      <c r="Q4851">
        <v>2.497023E-2</v>
      </c>
      <c r="R4851">
        <v>8.2633090000000006E-2</v>
      </c>
      <c r="S4851">
        <v>2.993805</v>
      </c>
      <c r="T4851">
        <v>-9.0994950000000005E-2</v>
      </c>
      <c r="U4851">
        <v>0.23706050000000001</v>
      </c>
      <c r="V4851">
        <v>-0.116632399999999</v>
      </c>
      <c r="W4851">
        <v>3.2567289999999999E-2</v>
      </c>
      <c r="X4851">
        <v>0.992641</v>
      </c>
      <c r="Y4851">
        <v>-0.11282830000000001</v>
      </c>
      <c r="Z4851">
        <v>2.7467419999999999E-3</v>
      </c>
      <c r="AA4851">
        <v>0.99361069999999996</v>
      </c>
      <c r="AB4851">
        <v>28</v>
      </c>
      <c r="AC4851">
        <v>36.194099999999899</v>
      </c>
      <c r="AD4851">
        <v>-1.104985165275</v>
      </c>
      <c r="AE4851">
        <v>2.8836499999999901</v>
      </c>
      <c r="AF4851">
        <v>-4.1127982858004302</v>
      </c>
      <c r="AG4851">
        <v>-1.104985165275</v>
      </c>
      <c r="AH4851">
        <v>36.041290297456101</v>
      </c>
      <c r="AI4851">
        <v>91.744757454902299</v>
      </c>
      <c r="AJ4851">
        <v>96.510062419456403</v>
      </c>
      <c r="AK4851">
        <v>36.292019897777301</v>
      </c>
    </row>
    <row r="4852" spans="1:37" x14ac:dyDescent="0.2">
      <c r="A4852" t="str">
        <f>"20200111153529606"</f>
        <v>20200111153529606</v>
      </c>
      <c r="B4852" t="str">
        <f>"1578728129600386"</f>
        <v>1578728129600386</v>
      </c>
      <c r="C4852" t="s">
        <v>37</v>
      </c>
      <c r="D4852">
        <v>4.761037</v>
      </c>
      <c r="E4852">
        <v>0.47689330000000002</v>
      </c>
      <c r="F4852" t="s">
        <v>39</v>
      </c>
      <c r="G4852">
        <v>-330.76389999999998</v>
      </c>
      <c r="H4852" s="1">
        <v>-4.0972569999999996E-6</v>
      </c>
      <c r="I4852">
        <v>20.190079999999998</v>
      </c>
      <c r="J4852">
        <v>-361.49610000000001</v>
      </c>
      <c r="K4852">
        <v>1.104986</v>
      </c>
      <c r="L4852">
        <v>16.8765</v>
      </c>
      <c r="M4852">
        <v>0.99940839999999997</v>
      </c>
      <c r="N4852">
        <v>0</v>
      </c>
      <c r="O4852">
        <v>-3.3481289999999997E-2</v>
      </c>
      <c r="P4852">
        <v>0.99619679999999999</v>
      </c>
      <c r="Q4852">
        <v>2.4714170000000001E-2</v>
      </c>
      <c r="R4852">
        <v>8.3555240000000003E-2</v>
      </c>
      <c r="S4852">
        <v>2.9873660000000002</v>
      </c>
      <c r="T4852">
        <v>-0.10685599999999899</v>
      </c>
      <c r="U4852">
        <v>0.31997680000000001</v>
      </c>
      <c r="V4852">
        <v>-0.1169259</v>
      </c>
      <c r="W4852">
        <v>3.2318029999999998E-2</v>
      </c>
      <c r="X4852">
        <v>0.99261469999999896</v>
      </c>
      <c r="Y4852">
        <v>-0.13962349999999901</v>
      </c>
      <c r="Z4852">
        <v>3.6834189999999998E-3</v>
      </c>
      <c r="AA4852">
        <v>0.99019780000000002</v>
      </c>
      <c r="AB4852">
        <v>28</v>
      </c>
      <c r="AC4852">
        <v>30.732199999999999</v>
      </c>
      <c r="AD4852">
        <v>-1.1049900972569999</v>
      </c>
      <c r="AE4852">
        <v>3.3135799999999902</v>
      </c>
      <c r="AF4852">
        <v>-4.3351675571779102</v>
      </c>
      <c r="AG4852">
        <v>-1.1049900972569999</v>
      </c>
      <c r="AH4852">
        <v>30.564962267480201</v>
      </c>
      <c r="AI4852">
        <v>92.049966589512394</v>
      </c>
      <c r="AJ4852">
        <v>98.072675496796805</v>
      </c>
      <c r="AK4852">
        <v>30.890639347160299</v>
      </c>
    </row>
    <row r="4853" spans="1:37" x14ac:dyDescent="0.2">
      <c r="A4853" t="str">
        <f>"20200111153529617"</f>
        <v>20200111153529617</v>
      </c>
      <c r="B4853" t="str">
        <f>"1578728129611122"</f>
        <v>1578728129611122</v>
      </c>
      <c r="C4853" t="s">
        <v>37</v>
      </c>
      <c r="D4853">
        <v>4.7477390000000002</v>
      </c>
      <c r="E4853">
        <v>0.47275209999999901</v>
      </c>
      <c r="F4853" t="s">
        <v>39</v>
      </c>
      <c r="G4853">
        <v>-334.74430000000001</v>
      </c>
      <c r="H4853" s="1">
        <v>-2.5477709999999998E-6</v>
      </c>
      <c r="I4853">
        <v>20.784269999999999</v>
      </c>
      <c r="J4853">
        <v>-361.33850000000001</v>
      </c>
      <c r="K4853">
        <v>1.104989</v>
      </c>
      <c r="L4853">
        <v>16.871829999999999</v>
      </c>
      <c r="M4853">
        <v>0.99942880000000001</v>
      </c>
      <c r="N4853">
        <v>0</v>
      </c>
      <c r="O4853">
        <v>-3.2859989999999999E-2</v>
      </c>
      <c r="P4853">
        <v>0.99612219999999996</v>
      </c>
      <c r="Q4853">
        <v>2.449904E-2</v>
      </c>
      <c r="R4853">
        <v>8.4498630000000005E-2</v>
      </c>
      <c r="S4853">
        <v>2.9780579999999999</v>
      </c>
      <c r="T4853">
        <v>-0.12300899999999999</v>
      </c>
      <c r="U4853">
        <v>0.43502809999999997</v>
      </c>
      <c r="V4853">
        <v>-0.11724900000000001</v>
      </c>
      <c r="W4853">
        <v>3.2110239999999998E-2</v>
      </c>
      <c r="X4853">
        <v>0.99258329999999995</v>
      </c>
      <c r="Y4853">
        <v>-0.1768063</v>
      </c>
      <c r="Z4853">
        <v>4.9809229999999999E-3</v>
      </c>
      <c r="AA4853">
        <v>0.98423309999999997</v>
      </c>
      <c r="AB4853">
        <v>28</v>
      </c>
      <c r="AC4853">
        <v>26.594200000000001</v>
      </c>
      <c r="AD4853">
        <v>-1.1049915477709999</v>
      </c>
      <c r="AE4853">
        <v>3.9124400000000001</v>
      </c>
      <c r="AF4853">
        <v>-4.7761684333558003</v>
      </c>
      <c r="AG4853">
        <v>-1.1049915477709999</v>
      </c>
      <c r="AH4853">
        <v>26.406647625855999</v>
      </c>
      <c r="AI4853">
        <v>92.357941490110093</v>
      </c>
      <c r="AJ4853">
        <v>100.25224530817</v>
      </c>
      <c r="AK4853">
        <v>26.8578448513755</v>
      </c>
    </row>
    <row r="4854" spans="1:37" x14ac:dyDescent="0.2">
      <c r="A4854" t="str">
        <f>"20200111153529631"</f>
        <v>20200111153529631</v>
      </c>
      <c r="B4854" t="str">
        <f>"1578728129620881"</f>
        <v>1578728129620881</v>
      </c>
      <c r="C4854" t="s">
        <v>37</v>
      </c>
      <c r="D4854">
        <v>4.6770969999999998</v>
      </c>
      <c r="E4854">
        <v>0.47023869999999901</v>
      </c>
      <c r="F4854" t="s">
        <v>39</v>
      </c>
      <c r="G4854">
        <v>-336.9907</v>
      </c>
      <c r="H4854" s="1">
        <v>-1.568442E-6</v>
      </c>
      <c r="I4854">
        <v>20.7255</v>
      </c>
      <c r="J4854">
        <v>-361.17349999999999</v>
      </c>
      <c r="K4854">
        <v>1.104908</v>
      </c>
      <c r="L4854">
        <v>16.866969999999998</v>
      </c>
      <c r="M4854">
        <v>0.99946489999999999</v>
      </c>
      <c r="N4854">
        <v>0</v>
      </c>
      <c r="O4854">
        <v>-3.1787059999999999E-2</v>
      </c>
      <c r="P4854">
        <v>0.99599780000000004</v>
      </c>
      <c r="Q4854">
        <v>2.4666980000000002E-2</v>
      </c>
      <c r="R4854">
        <v>8.5908639999999994E-2</v>
      </c>
      <c r="S4854">
        <v>2.9750369999999999</v>
      </c>
      <c r="T4854">
        <v>-0.13501759999999999</v>
      </c>
      <c r="U4854">
        <v>0.47088619999999998</v>
      </c>
      <c r="V4854">
        <v>-0.1175865</v>
      </c>
      <c r="W4854">
        <v>3.2114530000000002E-2</v>
      </c>
      <c r="X4854">
        <v>0.99254319999999896</v>
      </c>
      <c r="Y4854">
        <v>-0.18743080000000001</v>
      </c>
      <c r="Z4854">
        <v>5.65841E-3</v>
      </c>
      <c r="AA4854">
        <v>0.98226150000000001</v>
      </c>
      <c r="AB4854">
        <v>28</v>
      </c>
      <c r="AC4854">
        <v>24.182799999999901</v>
      </c>
      <c r="AD4854">
        <v>-1.1049095684420001</v>
      </c>
      <c r="AE4854">
        <v>3.8585299999999898</v>
      </c>
      <c r="AF4854">
        <v>-4.6159062278432801</v>
      </c>
      <c r="AG4854">
        <v>-1.1049095684420001</v>
      </c>
      <c r="AH4854">
        <v>23.999067995417199</v>
      </c>
      <c r="AI4854">
        <v>92.588638075167395</v>
      </c>
      <c r="AJ4854">
        <v>100.887140580812</v>
      </c>
      <c r="AK4854">
        <v>24.463905659304199</v>
      </c>
    </row>
    <row r="4855" spans="1:37" x14ac:dyDescent="0.2">
      <c r="A4855" t="str">
        <f>"20200111153529649"</f>
        <v>20200111153529649</v>
      </c>
      <c r="B4855" t="str">
        <f>"1578728129640400"</f>
        <v>1578728129640400</v>
      </c>
      <c r="C4855" t="s">
        <v>37</v>
      </c>
      <c r="D4855">
        <v>4.6528070000000001</v>
      </c>
      <c r="E4855">
        <v>0.46773609999999999</v>
      </c>
      <c r="F4855" t="s">
        <v>39</v>
      </c>
      <c r="G4855">
        <v>-337.93459999999999</v>
      </c>
      <c r="H4855" s="1">
        <v>-1.1665580000000001E-6</v>
      </c>
      <c r="I4855">
        <v>20.736979999999999</v>
      </c>
      <c r="J4855">
        <v>-360.95159999999998</v>
      </c>
      <c r="K4855">
        <v>1.1049500000000001</v>
      </c>
      <c r="L4855">
        <v>16.860659999999999</v>
      </c>
      <c r="M4855">
        <v>0.99949829999999995</v>
      </c>
      <c r="N4855">
        <v>0</v>
      </c>
      <c r="O4855">
        <v>-3.0693729999999999E-2</v>
      </c>
      <c r="P4855">
        <v>0.995884199999999</v>
      </c>
      <c r="Q4855">
        <v>2.4248829999999999E-2</v>
      </c>
      <c r="R4855">
        <v>8.7331699999999998E-2</v>
      </c>
      <c r="S4855">
        <v>2.9728699999999999</v>
      </c>
      <c r="T4855">
        <v>-0.1413471</v>
      </c>
      <c r="U4855">
        <v>0.49508669999999999</v>
      </c>
      <c r="V4855">
        <v>-0.11792229999999999</v>
      </c>
      <c r="W4855">
        <v>3.1775200000000003E-2</v>
      </c>
      <c r="X4855">
        <v>0.99251429999999996</v>
      </c>
      <c r="Y4855">
        <v>-0.19422529999999999</v>
      </c>
      <c r="Z4855">
        <v>6.0325359999999998E-3</v>
      </c>
      <c r="AA4855">
        <v>0.98093839999999999</v>
      </c>
      <c r="AB4855">
        <v>28</v>
      </c>
      <c r="AC4855">
        <v>23.016999999999999</v>
      </c>
      <c r="AD4855">
        <v>-1.1049511665580001</v>
      </c>
      <c r="AE4855">
        <v>3.87631999999999</v>
      </c>
      <c r="AF4855">
        <v>-4.5707495882835598</v>
      </c>
      <c r="AG4855">
        <v>-1.1049511665580001</v>
      </c>
      <c r="AH4855">
        <v>22.835996662376299</v>
      </c>
      <c r="AI4855">
        <v>92.716380041709996</v>
      </c>
      <c r="AJ4855">
        <v>101.318497249475</v>
      </c>
      <c r="AK4855">
        <v>23.315132691952101</v>
      </c>
    </row>
    <row r="4856" spans="1:37" x14ac:dyDescent="0.2">
      <c r="A4856" t="str">
        <f>"20200111153529662"</f>
        <v>20200111153529662</v>
      </c>
      <c r="B4856" t="str">
        <f>"1578728129651137"</f>
        <v>1578728129651137</v>
      </c>
      <c r="C4856" t="s">
        <v>37</v>
      </c>
      <c r="D4856">
        <v>4.6564709999999998</v>
      </c>
      <c r="E4856">
        <v>0.46705559999999902</v>
      </c>
      <c r="F4856" t="s">
        <v>39</v>
      </c>
      <c r="G4856">
        <v>-338.32670000000002</v>
      </c>
      <c r="H4856" s="1">
        <v>-1.0194159999999999E-6</v>
      </c>
      <c r="I4856">
        <v>20.816120000000002</v>
      </c>
      <c r="J4856">
        <v>-360.78859999999997</v>
      </c>
      <c r="K4856">
        <v>1.105067</v>
      </c>
      <c r="L4856">
        <v>16.85614</v>
      </c>
      <c r="M4856">
        <v>0.99951179999999995</v>
      </c>
      <c r="N4856">
        <v>0</v>
      </c>
      <c r="O4856">
        <v>-3.0189480000000001E-2</v>
      </c>
      <c r="P4856">
        <v>0.99585069999999998</v>
      </c>
      <c r="Q4856">
        <v>2.393023E-2</v>
      </c>
      <c r="R4856">
        <v>8.7800169999999997E-2</v>
      </c>
      <c r="S4856">
        <v>2.9703979999999999</v>
      </c>
      <c r="T4856">
        <v>-0.14506739999999901</v>
      </c>
      <c r="U4856">
        <v>0.51931759999999905</v>
      </c>
      <c r="V4856">
        <v>-0.1178958</v>
      </c>
      <c r="W4856">
        <v>3.1658909999999998E-2</v>
      </c>
      <c r="X4856">
        <v>0.99252119999999999</v>
      </c>
      <c r="Y4856">
        <v>-0.20161129999999999</v>
      </c>
      <c r="Z4856">
        <v>6.346488E-3</v>
      </c>
      <c r="AA4856">
        <v>0.97944500000000001</v>
      </c>
      <c r="AB4856">
        <v>28</v>
      </c>
      <c r="AC4856">
        <v>22.461899999999901</v>
      </c>
      <c r="AD4856">
        <v>-1.1050680194160001</v>
      </c>
      <c r="AE4856">
        <v>3.9599799999999998</v>
      </c>
      <c r="AF4856">
        <v>-4.6254520211480497</v>
      </c>
      <c r="AG4856">
        <v>-1.1050680194160001</v>
      </c>
      <c r="AH4856">
        <v>22.279807207011501</v>
      </c>
      <c r="AI4856">
        <v>92.780327772610306</v>
      </c>
      <c r="AJ4856">
        <v>101.728418362657</v>
      </c>
      <c r="AK4856">
        <v>22.781698595782501</v>
      </c>
    </row>
    <row r="4857" spans="1:37" x14ac:dyDescent="0.2">
      <c r="A4857" t="str">
        <f>"20200111153529674"</f>
        <v>20200111153529674</v>
      </c>
      <c r="B4857" t="str">
        <f>"1578728129660897"</f>
        <v>1578728129660897</v>
      </c>
      <c r="C4857" t="s">
        <v>37</v>
      </c>
      <c r="D4857">
        <v>4.69712</v>
      </c>
      <c r="E4857">
        <v>0.46679910000000002</v>
      </c>
      <c r="F4857" t="s">
        <v>39</v>
      </c>
      <c r="G4857">
        <v>-338.53699999999998</v>
      </c>
      <c r="H4857" s="1">
        <v>-9.2459479999999999E-7</v>
      </c>
      <c r="I4857">
        <v>20.798839999999998</v>
      </c>
      <c r="J4857">
        <v>-360.63279999999997</v>
      </c>
      <c r="K4857">
        <v>1.105189</v>
      </c>
      <c r="L4857">
        <v>16.851990000000001</v>
      </c>
      <c r="M4857">
        <v>0.99951669999999904</v>
      </c>
      <c r="N4857">
        <v>0</v>
      </c>
      <c r="O4857">
        <v>-2.9977099999999899E-2</v>
      </c>
      <c r="P4857">
        <v>0.99585040000000002</v>
      </c>
      <c r="Q4857">
        <v>2.347875E-2</v>
      </c>
      <c r="R4857">
        <v>8.7925600000000007E-2</v>
      </c>
      <c r="S4857">
        <v>2.9696039999999999</v>
      </c>
      <c r="T4857">
        <v>-0.1474771</v>
      </c>
      <c r="U4857">
        <v>0.52618409999999904</v>
      </c>
      <c r="V4857">
        <v>-0.1178188</v>
      </c>
      <c r="W4857">
        <v>3.13615E-2</v>
      </c>
      <c r="X4857">
        <v>0.99253979999999997</v>
      </c>
      <c r="Y4857">
        <v>-0.2036326</v>
      </c>
      <c r="Z4857">
        <v>6.4915210000000001E-3</v>
      </c>
      <c r="AA4857">
        <v>0.97902579999999995</v>
      </c>
      <c r="AB4857">
        <v>28</v>
      </c>
      <c r="AC4857">
        <v>22.095800000000001</v>
      </c>
      <c r="AD4857">
        <v>-1.1051899245948</v>
      </c>
      <c r="AE4857">
        <v>3.9468499999999902</v>
      </c>
      <c r="AF4857">
        <v>-4.5963229773436503</v>
      </c>
      <c r="AG4857">
        <v>-1.1051899245948</v>
      </c>
      <c r="AH4857">
        <v>21.914419533488999</v>
      </c>
      <c r="AI4857">
        <v>92.825718855409207</v>
      </c>
      <c r="AJ4857">
        <v>101.845492206714</v>
      </c>
      <c r="AK4857">
        <v>22.4185060423581</v>
      </c>
    </row>
    <row r="4858" spans="1:37" x14ac:dyDescent="0.2">
      <c r="A4858" t="str">
        <f>"20200111153529687"</f>
        <v>20200111153529687</v>
      </c>
      <c r="B4858" t="str">
        <f>"1578728129680417"</f>
        <v>1578728129680417</v>
      </c>
      <c r="C4858" t="s">
        <v>37</v>
      </c>
      <c r="D4858">
        <v>4.67971</v>
      </c>
      <c r="E4858">
        <v>0.46621109999999999</v>
      </c>
      <c r="F4858" t="s">
        <v>39</v>
      </c>
      <c r="G4858">
        <v>-338.7885</v>
      </c>
      <c r="H4858" s="1">
        <v>-8.0118599999999999E-7</v>
      </c>
      <c r="I4858">
        <v>20.740559999999999</v>
      </c>
      <c r="J4858">
        <v>-360.4803</v>
      </c>
      <c r="K4858">
        <v>1.1052230000000001</v>
      </c>
      <c r="L4858">
        <v>16.848050000000001</v>
      </c>
      <c r="M4858">
        <v>0.99952389999999902</v>
      </c>
      <c r="N4858">
        <v>0</v>
      </c>
      <c r="O4858">
        <v>-2.9719260000000001E-2</v>
      </c>
      <c r="P4858">
        <v>0.99584899999999998</v>
      </c>
      <c r="Q4858">
        <v>2.3145869999999999E-2</v>
      </c>
      <c r="R4858">
        <v>8.8028399999999896E-2</v>
      </c>
      <c r="S4858">
        <v>2.96936</v>
      </c>
      <c r="T4858">
        <v>-0.15023139999999999</v>
      </c>
      <c r="U4858">
        <v>0.52859500000000004</v>
      </c>
      <c r="V4858">
        <v>-0.11766989999999899</v>
      </c>
      <c r="W4858">
        <v>3.1057439999999999E-2</v>
      </c>
      <c r="X4858">
        <v>0.99256699999999998</v>
      </c>
      <c r="Y4858">
        <v>-0.20415359999999999</v>
      </c>
      <c r="Z4858">
        <v>6.6128009999999997E-3</v>
      </c>
      <c r="AA4858">
        <v>0.97891649999999997</v>
      </c>
      <c r="AB4858">
        <v>28</v>
      </c>
      <c r="AC4858">
        <v>21.691800000000001</v>
      </c>
      <c r="AD4858">
        <v>-1.1052238011860001</v>
      </c>
      <c r="AE4858">
        <v>3.8925100000000001</v>
      </c>
      <c r="AF4858">
        <v>-4.5240986120767399</v>
      </c>
      <c r="AG4858">
        <v>-1.1052238011860001</v>
      </c>
      <c r="AH4858">
        <v>21.512426629565599</v>
      </c>
      <c r="AI4858">
        <v>92.878197044254904</v>
      </c>
      <c r="AJ4858">
        <v>101.876330869455</v>
      </c>
      <c r="AK4858">
        <v>22.010758446608499</v>
      </c>
    </row>
    <row r="4859" spans="1:37" x14ac:dyDescent="0.2">
      <c r="A4859" t="str">
        <f>"20200111153529704"</f>
        <v>20200111153529704</v>
      </c>
      <c r="B4859" t="str">
        <f>"1578728129700914"</f>
        <v>1578728129700914</v>
      </c>
      <c r="C4859" t="s">
        <v>37</v>
      </c>
      <c r="D4859">
        <v>4.6509830000000001</v>
      </c>
      <c r="E4859">
        <v>0.46573729999999902</v>
      </c>
      <c r="F4859" t="s">
        <v>39</v>
      </c>
      <c r="G4859">
        <v>-338.94580000000002</v>
      </c>
      <c r="H4859" s="1">
        <v>-7.2782010000000001E-7</v>
      </c>
      <c r="I4859">
        <v>20.718409999999999</v>
      </c>
      <c r="J4859">
        <v>-360.25790000000001</v>
      </c>
      <c r="K4859">
        <v>1.1051799999999901</v>
      </c>
      <c r="L4859">
        <v>16.842469999999999</v>
      </c>
      <c r="M4859">
        <v>0.99953989999999904</v>
      </c>
      <c r="N4859">
        <v>0</v>
      </c>
      <c r="O4859">
        <v>-2.9191700000000001E-2</v>
      </c>
      <c r="P4859">
        <v>0.99587639999999999</v>
      </c>
      <c r="Q4859">
        <v>2.312473E-2</v>
      </c>
      <c r="R4859">
        <v>8.772394E-2</v>
      </c>
      <c r="S4859">
        <v>2.9688720000000002</v>
      </c>
      <c r="T4859">
        <v>-0.15237200000000001</v>
      </c>
      <c r="U4859">
        <v>0.53359990000000002</v>
      </c>
      <c r="V4859">
        <v>-0.11684509999999999</v>
      </c>
      <c r="W4859">
        <v>3.1000719999999999E-2</v>
      </c>
      <c r="X4859">
        <v>0.99266620000000005</v>
      </c>
      <c r="Y4859">
        <v>-0.20525460000000001</v>
      </c>
      <c r="Z4859">
        <v>6.7081509999999999E-3</v>
      </c>
      <c r="AA4859">
        <v>0.97868559999999905</v>
      </c>
      <c r="AB4859">
        <v>28</v>
      </c>
      <c r="AC4859">
        <v>21.312099999999901</v>
      </c>
      <c r="AD4859">
        <v>-1.10518072782009</v>
      </c>
      <c r="AE4859">
        <v>3.8759399999999999</v>
      </c>
      <c r="AF4859">
        <v>-4.4847715393442602</v>
      </c>
      <c r="AG4859">
        <v>-1.10518072782009</v>
      </c>
      <c r="AH4859">
        <v>21.134852683039998</v>
      </c>
      <c r="AI4859">
        <v>92.928292070990395</v>
      </c>
      <c r="AJ4859">
        <v>101.980337553593</v>
      </c>
      <c r="AK4859">
        <v>21.633691273914899</v>
      </c>
    </row>
    <row r="4860" spans="1:37" x14ac:dyDescent="0.2">
      <c r="A4860" t="str">
        <f>"20200111153529721"</f>
        <v>20200111153529721</v>
      </c>
      <c r="B4860" t="str">
        <f>"1578728129710673"</f>
        <v>1578728129710673</v>
      </c>
      <c r="C4860" t="s">
        <v>37</v>
      </c>
      <c r="D4860">
        <v>4.6486859999999997</v>
      </c>
      <c r="E4860">
        <v>0.46552309999999902</v>
      </c>
      <c r="F4860" t="s">
        <v>39</v>
      </c>
      <c r="G4860">
        <v>-338.78870000000001</v>
      </c>
      <c r="H4860" s="1">
        <v>-7.9623229999999996E-7</v>
      </c>
      <c r="I4860">
        <v>20.72221</v>
      </c>
      <c r="J4860">
        <v>-360.05040000000002</v>
      </c>
      <c r="K4860">
        <v>1.105081</v>
      </c>
      <c r="L4860">
        <v>16.837340000000001</v>
      </c>
      <c r="M4860">
        <v>0.99956129999999999</v>
      </c>
      <c r="N4860">
        <v>0</v>
      </c>
      <c r="O4860">
        <v>-2.845019E-2</v>
      </c>
      <c r="P4860">
        <v>0.99583009999999905</v>
      </c>
      <c r="Q4860">
        <v>2.3410899999999998E-2</v>
      </c>
      <c r="R4860">
        <v>8.8173379999999996E-2</v>
      </c>
      <c r="S4860">
        <v>2.96875</v>
      </c>
      <c r="T4860">
        <v>-0.1528234</v>
      </c>
      <c r="U4860">
        <v>0.53649899999999995</v>
      </c>
      <c r="V4860">
        <v>-0.1165535</v>
      </c>
      <c r="W4860">
        <v>3.1269529999999997E-2</v>
      </c>
      <c r="X4860">
        <v>0.99269209999999997</v>
      </c>
      <c r="Y4860">
        <v>-0.20546030000000001</v>
      </c>
      <c r="Z4860">
        <v>6.6950680000000002E-3</v>
      </c>
      <c r="AA4860">
        <v>0.97864259999999903</v>
      </c>
      <c r="AB4860">
        <v>28</v>
      </c>
      <c r="AC4860">
        <v>21.261700000000001</v>
      </c>
      <c r="AD4860">
        <v>-1.1050817962323001</v>
      </c>
      <c r="AE4860">
        <v>3.8848699999999998</v>
      </c>
      <c r="AF4860">
        <v>-4.4765149697949402</v>
      </c>
      <c r="AG4860">
        <v>-1.1050817962323001</v>
      </c>
      <c r="AH4860">
        <v>21.087438155271499</v>
      </c>
      <c r="AI4860">
        <v>92.934551582215093</v>
      </c>
      <c r="AJ4860">
        <v>101.98502965025</v>
      </c>
      <c r="AK4860">
        <v>21.585653569062</v>
      </c>
    </row>
    <row r="4861" spans="1:37" x14ac:dyDescent="0.2">
      <c r="A4861" t="str">
        <f>"20200111153529734"</f>
        <v>20200111153529734</v>
      </c>
      <c r="B4861" t="str">
        <f>"1578728129720434"</f>
        <v>1578728129720434</v>
      </c>
      <c r="C4861" t="s">
        <v>37</v>
      </c>
      <c r="D4861">
        <v>4.693403</v>
      </c>
      <c r="E4861">
        <v>0.46543029999999902</v>
      </c>
      <c r="F4861" t="s">
        <v>39</v>
      </c>
      <c r="G4861">
        <v>-338.51170000000002</v>
      </c>
      <c r="H4861" s="1">
        <v>-9.2279709999999899E-7</v>
      </c>
      <c r="I4861">
        <v>20.751379999999902</v>
      </c>
      <c r="J4861">
        <v>-359.88630000000001</v>
      </c>
      <c r="K4861">
        <v>1.105003</v>
      </c>
      <c r="L4861">
        <v>16.833369999999999</v>
      </c>
      <c r="M4861">
        <v>0.99958230000000003</v>
      </c>
      <c r="N4861">
        <v>0</v>
      </c>
      <c r="O4861">
        <v>-2.770537E-2</v>
      </c>
      <c r="P4861">
        <v>0.99579359999999995</v>
      </c>
      <c r="Q4861">
        <v>2.349859E-2</v>
      </c>
      <c r="R4861">
        <v>8.8562269999999998E-2</v>
      </c>
      <c r="S4861">
        <v>2.9683839999999999</v>
      </c>
      <c r="T4861">
        <v>-0.15229819999999999</v>
      </c>
      <c r="U4861">
        <v>0.53942869999999998</v>
      </c>
      <c r="V4861">
        <v>-0.1161975</v>
      </c>
      <c r="W4861">
        <v>3.1397729999999999E-2</v>
      </c>
      <c r="X4861">
        <v>0.99272969999999905</v>
      </c>
      <c r="Y4861">
        <v>-0.20569009999999999</v>
      </c>
      <c r="Z4861">
        <v>6.640249E-3</v>
      </c>
      <c r="AA4861">
        <v>0.97859470000000004</v>
      </c>
      <c r="AB4861">
        <v>28</v>
      </c>
      <c r="AC4861">
        <v>21.374599999999901</v>
      </c>
      <c r="AD4861">
        <v>-1.1050039227971</v>
      </c>
      <c r="AE4861">
        <v>3.91800999999999</v>
      </c>
      <c r="AF4861">
        <v>-4.4970889780181</v>
      </c>
      <c r="AG4861">
        <v>-1.1050039227971</v>
      </c>
      <c r="AH4861">
        <v>21.203016060477601</v>
      </c>
      <c r="AI4861">
        <v>92.918488242915203</v>
      </c>
      <c r="AJ4861">
        <v>101.974786507537</v>
      </c>
      <c r="AK4861">
        <v>21.702827765212501</v>
      </c>
    </row>
    <row r="4862" spans="1:37" x14ac:dyDescent="0.2">
      <c r="A4862" t="str">
        <f>"20200111153529750"</f>
        <v>20200111153529750</v>
      </c>
      <c r="B4862" t="str">
        <f>"1578728129740928"</f>
        <v>1578728129740928</v>
      </c>
      <c r="C4862" t="s">
        <v>37</v>
      </c>
      <c r="D4862">
        <v>4.6690209999999999</v>
      </c>
      <c r="E4862">
        <v>0.46528659999999999</v>
      </c>
      <c r="F4862" t="s">
        <v>39</v>
      </c>
      <c r="G4862">
        <v>-338.32729999999998</v>
      </c>
      <c r="H4862" s="1">
        <v>-1.0057059999999999E-6</v>
      </c>
      <c r="I4862">
        <v>20.76568</v>
      </c>
      <c r="J4862">
        <v>-359.68869999999998</v>
      </c>
      <c r="K4862">
        <v>1.1049229999999901</v>
      </c>
      <c r="L4862">
        <v>16.828700000000001</v>
      </c>
      <c r="M4862">
        <v>0.99960759999999904</v>
      </c>
      <c r="N4862">
        <v>0</v>
      </c>
      <c r="O4862">
        <v>-2.6766169999999999E-2</v>
      </c>
      <c r="P4862">
        <v>0.99577019999999905</v>
      </c>
      <c r="Q4862">
        <v>2.4028239999999999E-2</v>
      </c>
      <c r="R4862">
        <v>8.8684070000000004E-2</v>
      </c>
      <c r="S4862">
        <v>2.9680789999999999</v>
      </c>
      <c r="T4862">
        <v>-0.15212870000000001</v>
      </c>
      <c r="U4862">
        <v>0.54138180000000002</v>
      </c>
      <c r="V4862">
        <v>-0.1153821</v>
      </c>
      <c r="W4862">
        <v>3.1974410000000002E-2</v>
      </c>
      <c r="X4862">
        <v>0.99280639999999998</v>
      </c>
      <c r="Y4862">
        <v>-0.20541390000000001</v>
      </c>
      <c r="Z4862">
        <v>6.578375E-3</v>
      </c>
      <c r="AA4862">
        <v>0.97865309999999905</v>
      </c>
      <c r="AB4862">
        <v>28</v>
      </c>
      <c r="AC4862">
        <v>21.3614</v>
      </c>
      <c r="AD4862">
        <v>-1.1049240057059999</v>
      </c>
      <c r="AE4862">
        <v>3.9369799999999899</v>
      </c>
      <c r="AF4862">
        <v>-4.4957185822274601</v>
      </c>
      <c r="AG4862">
        <v>-1.1049240057059999</v>
      </c>
      <c r="AH4862">
        <v>21.193524164162</v>
      </c>
      <c r="AI4862">
        <v>92.919564332915897</v>
      </c>
      <c r="AJ4862">
        <v>101.976449480277</v>
      </c>
      <c r="AK4862">
        <v>21.693266446662399</v>
      </c>
    </row>
    <row r="4863" spans="1:37" x14ac:dyDescent="0.2">
      <c r="A4863" t="str">
        <f>"20200111153529764"</f>
        <v>20200111153529764</v>
      </c>
      <c r="B4863" t="str">
        <f>"1578728129750688"</f>
        <v>1578728129750688</v>
      </c>
      <c r="C4863" t="s">
        <v>37</v>
      </c>
      <c r="D4863">
        <v>4.6488069999999997</v>
      </c>
      <c r="E4863">
        <v>0.46528000000000003</v>
      </c>
      <c r="F4863" t="s">
        <v>39</v>
      </c>
      <c r="G4863">
        <v>-338.0224</v>
      </c>
      <c r="H4863" s="1">
        <v>-1.1434600000000001E-6</v>
      </c>
      <c r="I4863">
        <v>20.79176</v>
      </c>
      <c r="J4863">
        <v>-359.51409999999998</v>
      </c>
      <c r="K4863">
        <v>1.1048750000000001</v>
      </c>
      <c r="L4863">
        <v>16.824649999999998</v>
      </c>
      <c r="M4863">
        <v>0.9996292</v>
      </c>
      <c r="N4863">
        <v>0</v>
      </c>
      <c r="O4863">
        <v>-2.5940029999999999E-2</v>
      </c>
      <c r="P4863">
        <v>0.99571849999999995</v>
      </c>
      <c r="Q4863">
        <v>2.3940050000000001E-2</v>
      </c>
      <c r="R4863">
        <v>8.9285439999999994E-2</v>
      </c>
      <c r="S4863">
        <v>2.968048</v>
      </c>
      <c r="T4863">
        <v>-0.15136279999999999</v>
      </c>
      <c r="U4863">
        <v>0.54290769999999899</v>
      </c>
      <c r="V4863">
        <v>-0.115158</v>
      </c>
      <c r="W4863">
        <v>3.1912450000000002E-2</v>
      </c>
      <c r="X4863">
        <v>0.99283440000000001</v>
      </c>
      <c r="Y4863">
        <v>-0.20509820000000001</v>
      </c>
      <c r="Z4863">
        <v>6.4952919999999997E-3</v>
      </c>
      <c r="AA4863">
        <v>0.97871980000000003</v>
      </c>
      <c r="AB4863">
        <v>28</v>
      </c>
      <c r="AC4863">
        <v>21.491699999999899</v>
      </c>
      <c r="AD4863">
        <v>-1.1048761434600001</v>
      </c>
      <c r="AE4863">
        <v>3.9671099999999999</v>
      </c>
      <c r="AF4863">
        <v>-4.5117580828217099</v>
      </c>
      <c r="AG4863">
        <v>-1.1048761434600001</v>
      </c>
      <c r="AH4863">
        <v>21.327048445998901</v>
      </c>
      <c r="AI4863">
        <v>92.901529649360796</v>
      </c>
      <c r="AJ4863">
        <v>101.944863935231</v>
      </c>
      <c r="AK4863">
        <v>21.827040745558701</v>
      </c>
    </row>
    <row r="4864" spans="1:37" x14ac:dyDescent="0.2">
      <c r="A4864" t="str">
        <f>"20200111153529777"</f>
        <v>20200111153529777</v>
      </c>
      <c r="B4864" t="str">
        <f>"1578728129771185"</f>
        <v>1578728129771185</v>
      </c>
      <c r="C4864" t="s">
        <v>37</v>
      </c>
      <c r="D4864">
        <v>4.6202519999999998</v>
      </c>
      <c r="E4864">
        <v>0.46508649999999901</v>
      </c>
      <c r="F4864" t="s">
        <v>39</v>
      </c>
      <c r="G4864">
        <v>-337.90530000000001</v>
      </c>
      <c r="H4864" s="1">
        <v>-1.193482E-6</v>
      </c>
      <c r="I4864">
        <v>20.790979999999902</v>
      </c>
      <c r="J4864">
        <v>-359.34589999999997</v>
      </c>
      <c r="K4864">
        <v>1.1048469999999999</v>
      </c>
      <c r="L4864">
        <v>16.820889999999999</v>
      </c>
      <c r="M4864">
        <v>0.9996488</v>
      </c>
      <c r="N4864">
        <v>0</v>
      </c>
      <c r="O4864">
        <v>-2.517426E-2</v>
      </c>
      <c r="P4864">
        <v>0.99567850000000002</v>
      </c>
      <c r="Q4864">
        <v>2.4124909999999999E-2</v>
      </c>
      <c r="R4864">
        <v>8.9680319999999994E-2</v>
      </c>
      <c r="S4864">
        <v>2.9677119999999899</v>
      </c>
      <c r="T4864">
        <v>-0.1517415</v>
      </c>
      <c r="U4864">
        <v>0.54473879999999997</v>
      </c>
      <c r="V4864">
        <v>-0.114789899999999</v>
      </c>
      <c r="W4864">
        <v>3.2104050000000002E-2</v>
      </c>
      <c r="X4864">
        <v>0.9928709</v>
      </c>
      <c r="Y4864">
        <v>-0.204952</v>
      </c>
      <c r="Z4864">
        <v>6.4693419999999899E-3</v>
      </c>
      <c r="AA4864">
        <v>0.97875059999999903</v>
      </c>
      <c r="AB4864">
        <v>28</v>
      </c>
      <c r="AC4864">
        <v>21.4405999999999</v>
      </c>
      <c r="AD4864">
        <v>-1.10484819348199</v>
      </c>
      <c r="AE4864">
        <v>3.9700899999999901</v>
      </c>
      <c r="AF4864">
        <v>-4.4970557837507998</v>
      </c>
      <c r="AG4864">
        <v>-1.10484819348199</v>
      </c>
      <c r="AH4864">
        <v>21.279225151061699</v>
      </c>
      <c r="AI4864">
        <v>92.908092584798197</v>
      </c>
      <c r="AJ4864">
        <v>101.933046225995</v>
      </c>
      <c r="AK4864">
        <v>21.777273091054901</v>
      </c>
    </row>
    <row r="4865" spans="1:37" x14ac:dyDescent="0.2">
      <c r="A4865" t="str">
        <f>"20200111153529793"</f>
        <v>20200111153529793</v>
      </c>
      <c r="B4865" t="str">
        <f>"1578728129780945"</f>
        <v>1578728129780945</v>
      </c>
      <c r="C4865" t="s">
        <v>37</v>
      </c>
      <c r="D4865">
        <v>4.6508310000000002</v>
      </c>
      <c r="E4865">
        <v>0.46503599999999901</v>
      </c>
      <c r="F4865" t="s">
        <v>39</v>
      </c>
      <c r="G4865">
        <v>-337.70599999999899</v>
      </c>
      <c r="H4865" s="1">
        <v>-1.2850270000000001E-6</v>
      </c>
      <c r="I4865">
        <v>20.813649999999999</v>
      </c>
      <c r="J4865">
        <v>-359.1395</v>
      </c>
      <c r="K4865">
        <v>1.1048480000000001</v>
      </c>
      <c r="L4865">
        <v>16.81644</v>
      </c>
      <c r="M4865">
        <v>0.99967030000000001</v>
      </c>
      <c r="N4865">
        <v>0</v>
      </c>
      <c r="O4865">
        <v>-2.4309500000000001E-2</v>
      </c>
      <c r="P4865">
        <v>0.99567050000000001</v>
      </c>
      <c r="Q4865">
        <v>2.4228199999999998E-2</v>
      </c>
      <c r="R4865">
        <v>8.9741230000000005E-2</v>
      </c>
      <c r="S4865">
        <v>2.9673769999999999</v>
      </c>
      <c r="T4865">
        <v>-0.151502</v>
      </c>
      <c r="U4865">
        <v>0.54751590000000006</v>
      </c>
      <c r="V4865">
        <v>-0.113991699999999</v>
      </c>
      <c r="W4865">
        <v>3.2203179999999998E-2</v>
      </c>
      <c r="X4865">
        <v>0.99295959999999905</v>
      </c>
      <c r="Y4865">
        <v>-0.2050129</v>
      </c>
      <c r="Z4865">
        <v>6.4170729999999997E-3</v>
      </c>
      <c r="AA4865">
        <v>0.9787382</v>
      </c>
      <c r="AB4865">
        <v>28</v>
      </c>
      <c r="AC4865">
        <v>21.433499999999999</v>
      </c>
      <c r="AD4865">
        <v>-1.104849285027</v>
      </c>
      <c r="AE4865">
        <v>3.9972099999999902</v>
      </c>
      <c r="AF4865">
        <v>-4.5055145922323501</v>
      </c>
      <c r="AG4865">
        <v>-1.104849285027</v>
      </c>
      <c r="AH4865">
        <v>21.275359833033999</v>
      </c>
      <c r="AI4865">
        <v>92.908366561493096</v>
      </c>
      <c r="AJ4865">
        <v>101.956956106666</v>
      </c>
      <c r="AK4865">
        <v>21.775244882860001</v>
      </c>
    </row>
    <row r="4866" spans="1:37" x14ac:dyDescent="0.2">
      <c r="A4866" t="str">
        <f>"20200111153529806"</f>
        <v>20200111153529806</v>
      </c>
      <c r="B4866" t="str">
        <f>"1578728129800465"</f>
        <v>1578728129800465</v>
      </c>
      <c r="C4866" t="s">
        <v>37</v>
      </c>
      <c r="D4866">
        <v>4.6343670000000001</v>
      </c>
      <c r="E4866">
        <v>0.464904599999999</v>
      </c>
      <c r="F4866" t="s">
        <v>39</v>
      </c>
      <c r="G4866">
        <v>-337.5215</v>
      </c>
      <c r="H4866" s="1">
        <v>-1.3632229999999999E-6</v>
      </c>
      <c r="I4866">
        <v>20.81006</v>
      </c>
      <c r="J4866">
        <v>-358.97579999999999</v>
      </c>
      <c r="K4866">
        <v>1.104857</v>
      </c>
      <c r="L4866">
        <v>16.813079999999999</v>
      </c>
      <c r="M4866">
        <v>0.99968590000000002</v>
      </c>
      <c r="N4866">
        <v>0</v>
      </c>
      <c r="O4866">
        <v>-2.365569E-2</v>
      </c>
      <c r="P4866">
        <v>0.99564739999999996</v>
      </c>
      <c r="Q4866">
        <v>2.4294570000000001E-2</v>
      </c>
      <c r="R4866">
        <v>8.9979089999999998E-2</v>
      </c>
      <c r="S4866">
        <v>2.967346</v>
      </c>
      <c r="T4866">
        <v>-0.1516546</v>
      </c>
      <c r="U4866">
        <v>0.54818730000000004</v>
      </c>
      <c r="V4866">
        <v>-0.11358</v>
      </c>
      <c r="W4866">
        <v>3.2263229999999997E-2</v>
      </c>
      <c r="X4866">
        <v>0.99300489999999997</v>
      </c>
      <c r="Y4866">
        <v>-0.20458950000000001</v>
      </c>
      <c r="Z4866">
        <v>6.37959599999999E-3</v>
      </c>
      <c r="AA4866">
        <v>0.97882709999999995</v>
      </c>
      <c r="AB4866">
        <v>28</v>
      </c>
      <c r="AC4866">
        <v>21.4542999999999</v>
      </c>
      <c r="AD4866">
        <v>-1.104858363223</v>
      </c>
      <c r="AE4866">
        <v>3.9969800000000002</v>
      </c>
      <c r="AF4866">
        <v>-4.4918819160232202</v>
      </c>
      <c r="AG4866">
        <v>-1.104858363223</v>
      </c>
      <c r="AH4866">
        <v>21.2991493943682</v>
      </c>
      <c r="AI4866">
        <v>92.905661870577902</v>
      </c>
      <c r="AJ4866">
        <v>101.908878418862</v>
      </c>
      <c r="AK4866">
        <v>21.795675719598499</v>
      </c>
    </row>
    <row r="4867" spans="1:37" x14ac:dyDescent="0.2">
      <c r="A4867" t="str">
        <f>"20200111153529818"</f>
        <v>20200111153529818</v>
      </c>
      <c r="B4867" t="str">
        <f>"1578728129811201"</f>
        <v>1578728129811201</v>
      </c>
      <c r="C4867" t="s">
        <v>37</v>
      </c>
      <c r="D4867">
        <v>4.6654780000000002</v>
      </c>
      <c r="E4867">
        <v>0.46490939999999997</v>
      </c>
      <c r="F4867" t="s">
        <v>39</v>
      </c>
      <c r="G4867">
        <v>-337.28199999999998</v>
      </c>
      <c r="H4867" s="1">
        <v>-1.472253E-6</v>
      </c>
      <c r="I4867">
        <v>20.833760000000002</v>
      </c>
      <c r="J4867">
        <v>-358.8236</v>
      </c>
      <c r="K4867">
        <v>1.1048690000000001</v>
      </c>
      <c r="L4867">
        <v>16.809999999999999</v>
      </c>
      <c r="M4867">
        <v>0.99969979999999903</v>
      </c>
      <c r="N4867">
        <v>0</v>
      </c>
      <c r="O4867">
        <v>-2.3063980000000001E-2</v>
      </c>
      <c r="P4867">
        <v>0.99561049999999995</v>
      </c>
      <c r="Q4867">
        <v>2.4603159999999999E-2</v>
      </c>
      <c r="R4867">
        <v>9.0302729999999998E-2</v>
      </c>
      <c r="S4867">
        <v>2.9671020000000001</v>
      </c>
      <c r="T4867">
        <v>-0.15111350000000001</v>
      </c>
      <c r="U4867">
        <v>0.54992680000000005</v>
      </c>
      <c r="V4867">
        <v>-0.1133161</v>
      </c>
      <c r="W4867">
        <v>3.2565860000000002E-2</v>
      </c>
      <c r="X4867">
        <v>0.99302509999999999</v>
      </c>
      <c r="Y4867">
        <v>-0.20458219999999999</v>
      </c>
      <c r="Z4867">
        <v>6.3269669999999898E-3</v>
      </c>
      <c r="AA4867">
        <v>0.9788289</v>
      </c>
      <c r="AB4867">
        <v>28</v>
      </c>
      <c r="AC4867">
        <v>21.541599999999999</v>
      </c>
      <c r="AD4867">
        <v>-1.1048704722530001</v>
      </c>
      <c r="AE4867">
        <v>4.0237600000000002</v>
      </c>
      <c r="AF4867">
        <v>-4.5080821241659201</v>
      </c>
      <c r="AG4867">
        <v>-1.1048704722530001</v>
      </c>
      <c r="AH4867">
        <v>21.388692596144999</v>
      </c>
      <c r="AI4867">
        <v>92.893622939216002</v>
      </c>
      <c r="AJ4867">
        <v>101.901994550637</v>
      </c>
      <c r="AK4867">
        <v>21.886519005339</v>
      </c>
    </row>
    <row r="4868" spans="1:37" x14ac:dyDescent="0.2">
      <c r="A4868" t="str">
        <f>"20200111153529831"</f>
        <v>20200111153529831</v>
      </c>
      <c r="B4868" t="str">
        <f>"1578728129820960"</f>
        <v>1578728129820960</v>
      </c>
      <c r="C4868" t="s">
        <v>37</v>
      </c>
      <c r="D4868">
        <v>4.6675529999999998</v>
      </c>
      <c r="E4868">
        <v>0.46466839999999998</v>
      </c>
      <c r="F4868" t="s">
        <v>39</v>
      </c>
      <c r="G4868">
        <v>-336.90839999999997</v>
      </c>
      <c r="H4868" s="1">
        <v>-1.644667E-6</v>
      </c>
      <c r="I4868">
        <v>20.87933</v>
      </c>
      <c r="J4868">
        <v>-358.654</v>
      </c>
      <c r="K4868">
        <v>1.10486</v>
      </c>
      <c r="L4868">
        <v>16.806819999999998</v>
      </c>
      <c r="M4868">
        <v>0.99970820000000005</v>
      </c>
      <c r="N4868">
        <v>0</v>
      </c>
      <c r="O4868">
        <v>-2.2751070000000002E-2</v>
      </c>
      <c r="P4868">
        <v>0.99562659999999903</v>
      </c>
      <c r="Q4868">
        <v>2.4661869999999999E-2</v>
      </c>
      <c r="R4868">
        <v>9.0110300000000004E-2</v>
      </c>
      <c r="S4868">
        <v>2.96698</v>
      </c>
      <c r="T4868">
        <v>-0.1495821</v>
      </c>
      <c r="U4868">
        <v>0.55093380000000003</v>
      </c>
      <c r="V4868">
        <v>-0.112815</v>
      </c>
      <c r="W4868">
        <v>3.2474360000000001E-2</v>
      </c>
      <c r="X4868">
        <v>0.993085199999999</v>
      </c>
      <c r="Y4868">
        <v>-0.2046104</v>
      </c>
      <c r="Z4868">
        <v>6.248048E-3</v>
      </c>
      <c r="AA4868">
        <v>0.97882349999999996</v>
      </c>
      <c r="AB4868">
        <v>28</v>
      </c>
      <c r="AC4868">
        <v>21.7456</v>
      </c>
      <c r="AD4868">
        <v>-1.1048616446670001</v>
      </c>
      <c r="AE4868">
        <v>4.0725099999999896</v>
      </c>
      <c r="AF4868">
        <v>-4.5548478480450196</v>
      </c>
      <c r="AG4868">
        <v>-1.1048616446670001</v>
      </c>
      <c r="AH4868">
        <v>21.593459261732601</v>
      </c>
      <c r="AI4868">
        <v>92.866109879797406</v>
      </c>
      <c r="AJ4868">
        <v>101.91115836297099</v>
      </c>
      <c r="AK4868">
        <v>22.096263056471901</v>
      </c>
    </row>
    <row r="4869" spans="1:37" x14ac:dyDescent="0.2">
      <c r="A4869" t="str">
        <f>"20200111153529844"</f>
        <v>20200111153529844</v>
      </c>
      <c r="B4869" t="str">
        <f>"1578728129840480"</f>
        <v>1578728129840480</v>
      </c>
      <c r="C4869" t="s">
        <v>37</v>
      </c>
      <c r="D4869">
        <v>4.6815709999999999</v>
      </c>
      <c r="E4869">
        <v>0.46405940000000001</v>
      </c>
      <c r="F4869" t="s">
        <v>39</v>
      </c>
      <c r="G4869">
        <v>-336.79289999999997</v>
      </c>
      <c r="H4869" s="1">
        <v>-1.6933959999999901E-6</v>
      </c>
      <c r="I4869">
        <v>20.876290000000001</v>
      </c>
      <c r="J4869">
        <v>-358.4948</v>
      </c>
      <c r="K4869">
        <v>1.104824</v>
      </c>
      <c r="L4869">
        <v>16.803920000000002</v>
      </c>
      <c r="M4869">
        <v>0.999718199999999</v>
      </c>
      <c r="N4869">
        <v>0</v>
      </c>
      <c r="O4869">
        <v>-2.2334320000000001E-2</v>
      </c>
      <c r="P4869">
        <v>0.9956197</v>
      </c>
      <c r="Q4869">
        <v>2.511468E-2</v>
      </c>
      <c r="R4869">
        <v>9.0060710000000002E-2</v>
      </c>
      <c r="S4869">
        <v>2.9669189999999999</v>
      </c>
      <c r="T4869">
        <v>-0.14994849999999901</v>
      </c>
      <c r="U4869">
        <v>0.55230709999999905</v>
      </c>
      <c r="V4869">
        <v>-0.11235099999999899</v>
      </c>
      <c r="W4869">
        <v>3.2854189999999998E-2</v>
      </c>
      <c r="X4869">
        <v>0.99312529999999999</v>
      </c>
      <c r="Y4869">
        <v>-0.20464299999999999</v>
      </c>
      <c r="Z4869">
        <v>6.2431259999999999E-3</v>
      </c>
      <c r="AA4869">
        <v>0.97881669999999998</v>
      </c>
      <c r="AB4869">
        <v>28</v>
      </c>
      <c r="AC4869">
        <v>21.701899999999998</v>
      </c>
      <c r="AD4869">
        <v>-1.1048256933959999</v>
      </c>
      <c r="AE4869">
        <v>4.0723699999999896</v>
      </c>
      <c r="AF4869">
        <v>-4.5446889560068797</v>
      </c>
      <c r="AG4869">
        <v>-1.1048256933959999</v>
      </c>
      <c r="AH4869">
        <v>21.551573518306501</v>
      </c>
      <c r="AI4869">
        <v>92.871613152213598</v>
      </c>
      <c r="AJ4869">
        <v>101.907789215823</v>
      </c>
      <c r="AK4869">
        <v>22.053234652417999</v>
      </c>
    </row>
    <row r="4870" spans="1:37" x14ac:dyDescent="0.2">
      <c r="A4870" t="str">
        <f>"20200111153529861"</f>
        <v>20200111153529861</v>
      </c>
      <c r="B4870" t="str">
        <f>"1578728129851219"</f>
        <v>1578728129851219</v>
      </c>
      <c r="C4870" t="s">
        <v>37</v>
      </c>
      <c r="D4870">
        <v>4.6998049999999996</v>
      </c>
      <c r="E4870">
        <v>0.46377459999999998</v>
      </c>
      <c r="F4870" t="s">
        <v>39</v>
      </c>
      <c r="G4870">
        <v>-336.5213</v>
      </c>
      <c r="H4870" s="1">
        <v>-1.8240240000000001E-6</v>
      </c>
      <c r="I4870">
        <v>20.929369999999999</v>
      </c>
      <c r="J4870">
        <v>-358.28019999999998</v>
      </c>
      <c r="K4870">
        <v>1.1047169999999999</v>
      </c>
      <c r="L4870">
        <v>16.800139999999999</v>
      </c>
      <c r="M4870">
        <v>0.99973650000000003</v>
      </c>
      <c r="N4870">
        <v>0</v>
      </c>
      <c r="O4870">
        <v>-2.1486979999999999E-2</v>
      </c>
      <c r="P4870">
        <v>0.99560550000000003</v>
      </c>
      <c r="Q4870">
        <v>2.5330740000000001E-2</v>
      </c>
      <c r="R4870">
        <v>9.0154559999999995E-2</v>
      </c>
      <c r="S4870">
        <v>2.966583</v>
      </c>
      <c r="T4870">
        <v>-0.14915980000000001</v>
      </c>
      <c r="U4870">
        <v>0.55697629999999998</v>
      </c>
      <c r="V4870">
        <v>-0.1115956</v>
      </c>
      <c r="W4870">
        <v>3.3113450000000003E-2</v>
      </c>
      <c r="X4870">
        <v>0.99320189999999997</v>
      </c>
      <c r="Y4870">
        <v>-0.20532500000000001</v>
      </c>
      <c r="Z4870">
        <v>6.1848759999999997E-3</v>
      </c>
      <c r="AA4870">
        <v>0.9786743</v>
      </c>
      <c r="AB4870">
        <v>29</v>
      </c>
      <c r="AC4870">
        <v>21.758899999999901</v>
      </c>
      <c r="AD4870">
        <v>-1.104718824024</v>
      </c>
      <c r="AE4870">
        <v>4.1292299999999997</v>
      </c>
      <c r="AF4870">
        <v>-4.5844185179937798</v>
      </c>
      <c r="AG4870">
        <v>-1.104718824024</v>
      </c>
      <c r="AH4870">
        <v>21.6113777522996</v>
      </c>
      <c r="AI4870">
        <v>92.862677267652302</v>
      </c>
      <c r="AJ4870">
        <v>101.976606547426</v>
      </c>
      <c r="AK4870">
        <v>22.119876699043001</v>
      </c>
    </row>
    <row r="4871" spans="1:37" x14ac:dyDescent="0.2">
      <c r="A4871" t="str">
        <f>"20200111153529875"</f>
        <v>20200111153529875</v>
      </c>
      <c r="B4871" t="str">
        <f>"1578728129870737"</f>
        <v>1578728129870737</v>
      </c>
      <c r="C4871" t="s">
        <v>37</v>
      </c>
      <c r="D4871">
        <v>4.6613470000000001</v>
      </c>
      <c r="E4871">
        <v>0.46338000000000001</v>
      </c>
      <c r="F4871" t="s">
        <v>39</v>
      </c>
      <c r="G4871">
        <v>-336.25119999999998</v>
      </c>
      <c r="H4871" s="1">
        <v>-1.9468530000000001E-6</v>
      </c>
      <c r="I4871">
        <v>20.955389999999898</v>
      </c>
      <c r="J4871">
        <v>-358.1003</v>
      </c>
      <c r="K4871">
        <v>1.104592</v>
      </c>
      <c r="L4871">
        <v>16.797059999999998</v>
      </c>
      <c r="M4871">
        <v>0.999756599999999</v>
      </c>
      <c r="N4871">
        <v>0</v>
      </c>
      <c r="O4871">
        <v>-2.0516719999999999E-2</v>
      </c>
      <c r="P4871">
        <v>0.99554409999999904</v>
      </c>
      <c r="Q4871">
        <v>2.5289829999999999E-2</v>
      </c>
      <c r="R4871">
        <v>9.0842320000000004E-2</v>
      </c>
      <c r="S4871">
        <v>2.9663390000000001</v>
      </c>
      <c r="T4871">
        <v>-0.1487571</v>
      </c>
      <c r="U4871">
        <v>0.55953980000000003</v>
      </c>
      <c r="V4871">
        <v>-0.1113079</v>
      </c>
      <c r="W4871">
        <v>3.3161099999999999E-2</v>
      </c>
      <c r="X4871">
        <v>0.99323249999999996</v>
      </c>
      <c r="Y4871">
        <v>-0.20520959999999999</v>
      </c>
      <c r="Z4871">
        <v>6.1171039999999999E-3</v>
      </c>
      <c r="AA4871">
        <v>0.97869899999999999</v>
      </c>
      <c r="AB4871">
        <v>29</v>
      </c>
      <c r="AC4871">
        <v>21.8491</v>
      </c>
      <c r="AD4871">
        <v>-1.1045939468529999</v>
      </c>
      <c r="AE4871">
        <v>4.1583299999999896</v>
      </c>
      <c r="AF4871">
        <v>-4.5944090490159404</v>
      </c>
      <c r="AG4871">
        <v>-1.1045939468529999</v>
      </c>
      <c r="AH4871">
        <v>21.7056450708033</v>
      </c>
      <c r="AI4871">
        <v>92.850209593653005</v>
      </c>
      <c r="AJ4871">
        <v>101.951328022903</v>
      </c>
      <c r="AK4871">
        <v>22.2140439865593</v>
      </c>
    </row>
    <row r="4872" spans="1:37" x14ac:dyDescent="0.2">
      <c r="A4872" t="str">
        <f>"20200111153529894"</f>
        <v>20200111153529894</v>
      </c>
      <c r="B4872" t="str">
        <f>"1578728129891235"</f>
        <v>1578728129891235</v>
      </c>
      <c r="C4872" t="s">
        <v>37</v>
      </c>
      <c r="D4872">
        <v>4.6865629999999996</v>
      </c>
      <c r="E4872">
        <v>0.463059</v>
      </c>
      <c r="F4872" t="s">
        <v>39</v>
      </c>
      <c r="G4872">
        <v>-335.99639999999999</v>
      </c>
      <c r="H4872" s="1">
        <v>-2.069361E-6</v>
      </c>
      <c r="I4872">
        <v>21.005050000000001</v>
      </c>
      <c r="J4872">
        <v>-357.8612</v>
      </c>
      <c r="K4872">
        <v>1.104479</v>
      </c>
      <c r="L4872">
        <v>16.793089999999999</v>
      </c>
      <c r="M4872">
        <v>0.99978219999999995</v>
      </c>
      <c r="N4872">
        <v>0</v>
      </c>
      <c r="O4872">
        <v>-1.921026E-2</v>
      </c>
      <c r="P4872">
        <v>0.99549279999999996</v>
      </c>
      <c r="Q4872">
        <v>2.5126289999999999E-2</v>
      </c>
      <c r="R4872">
        <v>9.1449050000000004E-2</v>
      </c>
      <c r="S4872">
        <v>2.9657290000000001</v>
      </c>
      <c r="T4872">
        <v>-0.14820559999999999</v>
      </c>
      <c r="U4872">
        <v>0.56460569999999999</v>
      </c>
      <c r="V4872">
        <v>-0.11060730000000001</v>
      </c>
      <c r="W4872">
        <v>3.3061979999999998E-2</v>
      </c>
      <c r="X4872">
        <v>0.99331409999999998</v>
      </c>
      <c r="Y4872">
        <v>-0.2055843</v>
      </c>
      <c r="Z4872">
        <v>6.0392830000000003E-3</v>
      </c>
      <c r="AA4872">
        <v>0.97862079999999996</v>
      </c>
      <c r="AB4872">
        <v>29</v>
      </c>
      <c r="AC4872">
        <v>21.864799999999999</v>
      </c>
      <c r="AD4872">
        <v>-1.1044810693610001</v>
      </c>
      <c r="AE4872">
        <v>4.2119600000000004</v>
      </c>
      <c r="AF4872">
        <v>-4.6198585798527203</v>
      </c>
      <c r="AG4872">
        <v>-1.1044810693610001</v>
      </c>
      <c r="AH4872">
        <v>21.726394329116101</v>
      </c>
      <c r="AI4872">
        <v>92.846642292983603</v>
      </c>
      <c r="AJ4872">
        <v>102.00446818889699</v>
      </c>
      <c r="AK4872">
        <v>22.239585928579402</v>
      </c>
    </row>
    <row r="4873" spans="1:37" x14ac:dyDescent="0.2">
      <c r="A4873" t="str">
        <f>"20200111153529905"</f>
        <v>20200111153529905</v>
      </c>
      <c r="B4873" t="str">
        <f>"1578728129900993"</f>
        <v>1578728129900993</v>
      </c>
      <c r="C4873" t="s">
        <v>37</v>
      </c>
      <c r="D4873">
        <v>4.6907370000000004</v>
      </c>
      <c r="E4873">
        <v>0.46295569999999903</v>
      </c>
      <c r="F4873" t="s">
        <v>39</v>
      </c>
      <c r="G4873">
        <v>-335.73180000000002</v>
      </c>
      <c r="H4873" s="1">
        <v>-2.1921819999999999E-6</v>
      </c>
      <c r="I4873">
        <v>21.040089999999999</v>
      </c>
      <c r="J4873">
        <v>-357.71559999999999</v>
      </c>
      <c r="K4873">
        <v>1.10444599999999</v>
      </c>
      <c r="L4873">
        <v>16.790769999999998</v>
      </c>
      <c r="M4873">
        <v>0.99979569999999995</v>
      </c>
      <c r="N4873">
        <v>0</v>
      </c>
      <c r="O4873">
        <v>-1.849518E-2</v>
      </c>
      <c r="P4873">
        <v>0.99546069999999998</v>
      </c>
      <c r="Q4873">
        <v>2.5149459999999998E-2</v>
      </c>
      <c r="R4873">
        <v>9.1791899999999996E-2</v>
      </c>
      <c r="S4873">
        <v>2.9650880000000002</v>
      </c>
      <c r="T4873">
        <v>-0.14798810000000001</v>
      </c>
      <c r="U4873">
        <v>0.56906129999999999</v>
      </c>
      <c r="V4873">
        <v>-0.1102378</v>
      </c>
      <c r="W4873">
        <v>3.3094390000000001E-2</v>
      </c>
      <c r="X4873">
        <v>0.99335409999999902</v>
      </c>
      <c r="Y4873">
        <v>-0.20634259999999999</v>
      </c>
      <c r="Z4873">
        <v>6.0142379999999999E-3</v>
      </c>
      <c r="AA4873">
        <v>0.97846129999999998</v>
      </c>
      <c r="AB4873">
        <v>29</v>
      </c>
      <c r="AC4873">
        <v>21.983799999999899</v>
      </c>
      <c r="AD4873">
        <v>-1.10444819218199</v>
      </c>
      <c r="AE4873">
        <v>4.2493199999999902</v>
      </c>
      <c r="AF4873">
        <v>-4.6439020171442502</v>
      </c>
      <c r="AG4873">
        <v>-1.10444819218199</v>
      </c>
      <c r="AH4873">
        <v>21.848286435407701</v>
      </c>
      <c r="AI4873">
        <v>92.830751929775303</v>
      </c>
      <c r="AJ4873">
        <v>101.999762575974</v>
      </c>
      <c r="AK4873">
        <v>22.363659179965801</v>
      </c>
    </row>
    <row r="4874" spans="1:37" x14ac:dyDescent="0.2">
      <c r="A4874" t="str">
        <f>"20200111153529917"</f>
        <v>20200111153529917</v>
      </c>
      <c r="B4874" t="str">
        <f>"1578728129910753"</f>
        <v>1578728129910753</v>
      </c>
      <c r="C4874" t="s">
        <v>37</v>
      </c>
      <c r="D4874">
        <v>4.7071639999999997</v>
      </c>
      <c r="E4874">
        <v>0.46274149999999997</v>
      </c>
      <c r="F4874" t="s">
        <v>39</v>
      </c>
      <c r="G4874">
        <v>-335.51049999999998</v>
      </c>
      <c r="H4874" s="1">
        <v>-2.2940910000000002E-6</v>
      </c>
      <c r="I4874">
        <v>21.066269999999999</v>
      </c>
      <c r="J4874">
        <v>-357.55509999999998</v>
      </c>
      <c r="K4874">
        <v>1.1044389999999999</v>
      </c>
      <c r="L4874">
        <v>16.7883</v>
      </c>
      <c r="M4874">
        <v>0.99980879999999905</v>
      </c>
      <c r="N4874">
        <v>0</v>
      </c>
      <c r="O4874">
        <v>-1.777902E-2</v>
      </c>
      <c r="P4874">
        <v>0.99544259999999996</v>
      </c>
      <c r="Q4874">
        <v>2.5101229999999999E-2</v>
      </c>
      <c r="R4874">
        <v>9.1999220000000007E-2</v>
      </c>
      <c r="S4874">
        <v>2.9647519999999998</v>
      </c>
      <c r="T4874">
        <v>-0.14746239999999999</v>
      </c>
      <c r="U4874">
        <v>0.57086179999999997</v>
      </c>
      <c r="V4874">
        <v>-0.109733</v>
      </c>
      <c r="W4874">
        <v>3.3036719999999999E-2</v>
      </c>
      <c r="X4874">
        <v>0.99341190000000001</v>
      </c>
      <c r="Y4874">
        <v>-0.20623820000000001</v>
      </c>
      <c r="Z4874">
        <v>5.9553519999999997E-3</v>
      </c>
      <c r="AA4874">
        <v>0.97848369999999996</v>
      </c>
      <c r="AB4874">
        <v>29</v>
      </c>
      <c r="AC4874">
        <v>22.044599999999999</v>
      </c>
      <c r="AD4874">
        <v>-1.104441294091</v>
      </c>
      <c r="AE4874">
        <v>4.2779699999999998</v>
      </c>
      <c r="AF4874">
        <v>-4.6579707763813296</v>
      </c>
      <c r="AG4874">
        <v>-1.104441294091</v>
      </c>
      <c r="AH4874">
        <v>21.9120507242149</v>
      </c>
      <c r="AI4874">
        <v>92.822496669786901</v>
      </c>
      <c r="AJ4874">
        <v>102.00105228109901</v>
      </c>
      <c r="AK4874">
        <v>22.4288753455514</v>
      </c>
    </row>
    <row r="4875" spans="1:37" x14ac:dyDescent="0.2">
      <c r="A4875" t="str">
        <f>"20200111153529930"</f>
        <v>20200111153529930</v>
      </c>
      <c r="B4875" t="str">
        <f>"1578728129920514"</f>
        <v>1578728129920514</v>
      </c>
      <c r="C4875" t="s">
        <v>37</v>
      </c>
      <c r="D4875">
        <v>4.8423129999999999</v>
      </c>
      <c r="E4875">
        <v>0.46254689999999998</v>
      </c>
      <c r="F4875" t="s">
        <v>39</v>
      </c>
      <c r="G4875">
        <v>-335.41989999999998</v>
      </c>
      <c r="H4875" s="1">
        <v>-2.3336189999999999E-6</v>
      </c>
      <c r="I4875">
        <v>21.068739999999998</v>
      </c>
      <c r="J4875">
        <v>-357.39440000000002</v>
      </c>
      <c r="K4875">
        <v>1.1044639999999999</v>
      </c>
      <c r="L4875">
        <v>16.78604</v>
      </c>
      <c r="M4875">
        <v>0.99981889999999995</v>
      </c>
      <c r="N4875">
        <v>0</v>
      </c>
      <c r="O4875">
        <v>-1.720269E-2</v>
      </c>
      <c r="P4875">
        <v>0.99541999999999997</v>
      </c>
      <c r="Q4875">
        <v>2.5181700000000001E-2</v>
      </c>
      <c r="R4875">
        <v>9.2222470000000001E-2</v>
      </c>
      <c r="S4875">
        <v>2.96447799999999</v>
      </c>
      <c r="T4875">
        <v>-0.147913299999999</v>
      </c>
      <c r="U4875">
        <v>0.57327269999999997</v>
      </c>
      <c r="V4875">
        <v>-0.1093861</v>
      </c>
      <c r="W4875">
        <v>3.3093909999999997E-2</v>
      </c>
      <c r="X4875">
        <v>0.99344829999999995</v>
      </c>
      <c r="Y4875">
        <v>-0.206457</v>
      </c>
      <c r="Z4875">
        <v>5.9505390000000003E-3</v>
      </c>
      <c r="AA4875">
        <v>0.97843760000000002</v>
      </c>
      <c r="AB4875">
        <v>29</v>
      </c>
      <c r="AC4875">
        <v>21.974499999999999</v>
      </c>
      <c r="AD4875">
        <v>-1.1044663336189999</v>
      </c>
      <c r="AE4875">
        <v>4.2826999999999904</v>
      </c>
      <c r="AF4875">
        <v>-4.6487852539162002</v>
      </c>
      <c r="AG4875">
        <v>-1.1044663336189999</v>
      </c>
      <c r="AH4875">
        <v>21.844407774858801</v>
      </c>
      <c r="AI4875">
        <v>92.831149885222203</v>
      </c>
      <c r="AJ4875">
        <v>102.01408532949699</v>
      </c>
      <c r="AK4875">
        <v>22.360885520332999</v>
      </c>
    </row>
    <row r="4876" spans="1:37" x14ac:dyDescent="0.2">
      <c r="A4876" t="str">
        <f>"20200111153529944"</f>
        <v>20200111153529944</v>
      </c>
      <c r="B4876" t="str">
        <f>"1578728129941008"</f>
        <v>1578728129941008</v>
      </c>
      <c r="C4876" t="s">
        <v>37</v>
      </c>
      <c r="D4876">
        <v>4.927403</v>
      </c>
      <c r="E4876">
        <v>0.49595709999999998</v>
      </c>
      <c r="F4876" t="s">
        <v>39</v>
      </c>
      <c r="G4876">
        <v>-335.22559999999999</v>
      </c>
      <c r="H4876" s="1">
        <v>-2.4227499999999998E-6</v>
      </c>
      <c r="I4876">
        <v>21.090450000000001</v>
      </c>
      <c r="J4876">
        <v>-357.21289999999999</v>
      </c>
      <c r="K4876">
        <v>1.1044959999999999</v>
      </c>
      <c r="L4876">
        <v>16.783539999999999</v>
      </c>
      <c r="M4876">
        <v>0.99982929999999903</v>
      </c>
      <c r="N4876">
        <v>0</v>
      </c>
      <c r="O4876">
        <v>-1.6596980000000001E-2</v>
      </c>
      <c r="P4876">
        <v>0.99537900000000001</v>
      </c>
      <c r="Q4876">
        <v>2.5303610000000001E-2</v>
      </c>
      <c r="R4876">
        <v>9.2630939999999995E-2</v>
      </c>
      <c r="S4876">
        <v>2.9642330000000001</v>
      </c>
      <c r="T4876">
        <v>-0.14768029999999999</v>
      </c>
      <c r="U4876">
        <v>0.57556149999999995</v>
      </c>
      <c r="V4876">
        <v>-0.1091953</v>
      </c>
      <c r="W4876">
        <v>3.3185890000000003E-2</v>
      </c>
      <c r="X4876">
        <v>0.99346619999999997</v>
      </c>
      <c r="Y4876">
        <v>-0.20660889999999901</v>
      </c>
      <c r="Z4876">
        <v>5.915071E-3</v>
      </c>
      <c r="AA4876">
        <v>0.97840569999999905</v>
      </c>
      <c r="AB4876">
        <v>29</v>
      </c>
      <c r="AC4876">
        <v>21.987300000000001</v>
      </c>
      <c r="AD4876">
        <v>-1.1044984227500001</v>
      </c>
      <c r="AE4876">
        <v>4.3069100000000002</v>
      </c>
      <c r="AF4876">
        <v>-4.6599271783228504</v>
      </c>
      <c r="AG4876">
        <v>-1.1044984227500001</v>
      </c>
      <c r="AH4876">
        <v>21.859664801596399</v>
      </c>
      <c r="AI4876">
        <v>92.829051296885893</v>
      </c>
      <c r="AJ4876">
        <v>102.033880714386</v>
      </c>
      <c r="AK4876">
        <v>22.3781094668715</v>
      </c>
    </row>
    <row r="4877" spans="1:37" x14ac:dyDescent="0.2">
      <c r="A4877" t="str">
        <f>"20200111153529961"</f>
        <v>20200111153529961</v>
      </c>
      <c r="B4877" t="str">
        <f>"1578728129950769"</f>
        <v>1578728129950769</v>
      </c>
      <c r="C4877" t="s">
        <v>37</v>
      </c>
      <c r="D4877">
        <v>4.8140589999999897</v>
      </c>
      <c r="E4877">
        <v>0.49595709999999998</v>
      </c>
      <c r="F4877" t="s">
        <v>39</v>
      </c>
      <c r="G4877">
        <v>-335.04039999999998</v>
      </c>
      <c r="H4877" s="1">
        <v>-2.2024700000000001E-6</v>
      </c>
      <c r="I4877">
        <v>19.094819999999999</v>
      </c>
      <c r="J4877">
        <v>-356.99250000000001</v>
      </c>
      <c r="K4877">
        <v>1.104535</v>
      </c>
      <c r="L4877">
        <v>16.7807</v>
      </c>
      <c r="M4877">
        <v>0.99984069999999903</v>
      </c>
      <c r="N4877">
        <v>0</v>
      </c>
      <c r="O4877">
        <v>-1.5916639999999999E-2</v>
      </c>
      <c r="P4877">
        <v>0.99533389999999999</v>
      </c>
      <c r="Q4877">
        <v>2.5076399999999999E-2</v>
      </c>
      <c r="R4877">
        <v>9.3176540000000002E-2</v>
      </c>
      <c r="S4877">
        <v>2.98867799999999</v>
      </c>
      <c r="T4877">
        <v>-0.1488777</v>
      </c>
      <c r="U4877">
        <v>0.311554</v>
      </c>
      <c r="V4877">
        <v>-0.10906639999999999</v>
      </c>
      <c r="W4877">
        <v>3.2924250000000002E-2</v>
      </c>
      <c r="X4877">
        <v>0.99348899999999996</v>
      </c>
      <c r="Y4877">
        <v>-0.119335199999999</v>
      </c>
      <c r="Z4877">
        <v>3.7528269999999998E-3</v>
      </c>
      <c r="AA4877">
        <v>0.99284689999999998</v>
      </c>
      <c r="AB4877">
        <v>29</v>
      </c>
      <c r="AC4877">
        <v>21.952100000000002</v>
      </c>
      <c r="AD4877">
        <v>-1.10453720247</v>
      </c>
      <c r="AE4877">
        <v>2.31412</v>
      </c>
      <c r="AF4877">
        <v>-2.65659018986188</v>
      </c>
      <c r="AG4877">
        <v>-1.10453720247</v>
      </c>
      <c r="AH4877">
        <v>21.857756131614298</v>
      </c>
      <c r="AI4877">
        <v>92.871767560873906</v>
      </c>
      <c r="AJ4877">
        <v>96.929736598642506</v>
      </c>
      <c r="AK4877">
        <v>22.046291683129699</v>
      </c>
    </row>
    <row r="4878" spans="1:37" x14ac:dyDescent="0.2">
      <c r="A4878" t="str">
        <f>"20200111153529974"</f>
        <v>20200111153529974</v>
      </c>
      <c r="B4878" t="str">
        <f>"1578728129971265"</f>
        <v>1578728129971265</v>
      </c>
      <c r="C4878" t="s">
        <v>37</v>
      </c>
      <c r="D4878">
        <v>5.1564809999999897</v>
      </c>
      <c r="E4878">
        <v>0.57582949999999999</v>
      </c>
      <c r="F4878" t="s">
        <v>39</v>
      </c>
      <c r="G4878">
        <v>-334.91699999999997</v>
      </c>
      <c r="H4878" s="1">
        <v>-2.2554859999999999E-6</v>
      </c>
      <c r="I4878">
        <v>19.09442</v>
      </c>
      <c r="J4878">
        <v>-356.82810000000001</v>
      </c>
      <c r="K4878">
        <v>1.1045499999999999</v>
      </c>
      <c r="L4878">
        <v>16.77872</v>
      </c>
      <c r="M4878">
        <v>0.99984879999999998</v>
      </c>
      <c r="N4878">
        <v>0</v>
      </c>
      <c r="O4878">
        <v>-1.540308E-2</v>
      </c>
      <c r="P4878">
        <v>0.99527479999999902</v>
      </c>
      <c r="Q4878">
        <v>2.499444E-2</v>
      </c>
      <c r="R4878">
        <v>9.3826789999999993E-2</v>
      </c>
      <c r="S4878">
        <v>2.9884949999999999</v>
      </c>
      <c r="T4878">
        <v>-0.14952739999999901</v>
      </c>
      <c r="U4878">
        <v>0.31323240000000002</v>
      </c>
      <c r="V4878">
        <v>-0.1092061</v>
      </c>
      <c r="W4878">
        <v>3.282417E-2</v>
      </c>
      <c r="X4878">
        <v>0.99347700000000005</v>
      </c>
      <c r="Y4878">
        <v>-0.11938219999999999</v>
      </c>
      <c r="Z4878">
        <v>3.7448590000000001E-3</v>
      </c>
      <c r="AA4878">
        <v>0.99284130000000004</v>
      </c>
      <c r="AB4878">
        <v>29</v>
      </c>
      <c r="AC4878">
        <v>21.911100000000001</v>
      </c>
      <c r="AD4878">
        <v>-1.1045522554859999</v>
      </c>
      <c r="AE4878">
        <v>2.3157000000000001</v>
      </c>
      <c r="AF4878">
        <v>-2.6462841401893602</v>
      </c>
      <c r="AG4878">
        <v>-1.1045522554859999</v>
      </c>
      <c r="AH4878">
        <v>21.817998219095202</v>
      </c>
      <c r="AI4878">
        <v>92.877117228367993</v>
      </c>
      <c r="AJ4878">
        <v>96.915570598343194</v>
      </c>
      <c r="AK4878">
        <v>22.005633408837799</v>
      </c>
    </row>
    <row r="4879" spans="1:37" x14ac:dyDescent="0.2">
      <c r="A4879" t="str">
        <f>"20200111153529985"</f>
        <v>20200111153529985</v>
      </c>
      <c r="B4879" t="str">
        <f>"1578728129981025"</f>
        <v>1578728129981025</v>
      </c>
      <c r="C4879" t="s">
        <v>37</v>
      </c>
      <c r="D4879">
        <v>5.20451</v>
      </c>
      <c r="E4879">
        <v>0.58047879999999996</v>
      </c>
      <c r="F4879" t="s">
        <v>39</v>
      </c>
      <c r="G4879">
        <v>-323.89339999999999</v>
      </c>
      <c r="H4879" s="1">
        <v>-4.0026940000000001E-6</v>
      </c>
      <c r="I4879">
        <v>13.32691</v>
      </c>
      <c r="J4879">
        <v>-356.67439999999999</v>
      </c>
      <c r="K4879">
        <v>1.1045590000000001</v>
      </c>
      <c r="L4879">
        <v>16.77692</v>
      </c>
      <c r="M4879">
        <v>0.99985650000000004</v>
      </c>
      <c r="N4879">
        <v>0</v>
      </c>
      <c r="O4879">
        <v>-1.4904870000000001E-2</v>
      </c>
      <c r="P4879">
        <v>0.99521700000000002</v>
      </c>
      <c r="Q4879">
        <v>2.4695040000000001E-2</v>
      </c>
      <c r="R4879">
        <v>9.4518649999999996E-2</v>
      </c>
      <c r="S4879">
        <v>3.046875</v>
      </c>
      <c r="T4879">
        <v>-0.1021851</v>
      </c>
      <c r="U4879">
        <v>-0.31933590000000001</v>
      </c>
      <c r="V4879">
        <v>-0.1094014</v>
      </c>
      <c r="W4879">
        <v>3.2513439999999998E-2</v>
      </c>
      <c r="X4879">
        <v>0.99346579999999995</v>
      </c>
      <c r="Y4879">
        <v>8.9359629999999995E-2</v>
      </c>
      <c r="Z4879">
        <v>-9.9567249999999992E-4</v>
      </c>
      <c r="AA4879">
        <v>0.99599889999999902</v>
      </c>
      <c r="AB4879">
        <v>29</v>
      </c>
      <c r="AC4879">
        <v>32.780999999999999</v>
      </c>
      <c r="AD4879">
        <v>-1.1045630026940001</v>
      </c>
      <c r="AE4879">
        <v>-3.4500099999999998</v>
      </c>
      <c r="AF4879">
        <v>2.9576930724785702</v>
      </c>
      <c r="AG4879">
        <v>-1.1045630026940001</v>
      </c>
      <c r="AH4879">
        <v>32.791958874297897</v>
      </c>
      <c r="AI4879">
        <v>91.921425344916898</v>
      </c>
      <c r="AJ4879">
        <v>84.846114007981299</v>
      </c>
      <c r="AK4879">
        <v>32.943596867244899</v>
      </c>
    </row>
    <row r="4880" spans="1:37" x14ac:dyDescent="0.2">
      <c r="A4880" t="str">
        <f>"20200111153529997"</f>
        <v>20200111153529997</v>
      </c>
      <c r="B4880" t="str">
        <f>"1578728129990785"</f>
        <v>1578728129990785</v>
      </c>
      <c r="C4880" t="s">
        <v>37</v>
      </c>
      <c r="D4880">
        <v>5.1737589999999898</v>
      </c>
      <c r="E4880">
        <v>0.58215589999999995</v>
      </c>
      <c r="F4880" t="s">
        <v>39</v>
      </c>
      <c r="G4880">
        <v>-330.72190000000001</v>
      </c>
      <c r="H4880" s="1">
        <v>-5.000161E-6</v>
      </c>
      <c r="I4880">
        <v>13.766859999999999</v>
      </c>
      <c r="J4880">
        <v>-356.5154</v>
      </c>
      <c r="K4880">
        <v>1.104565</v>
      </c>
      <c r="L4880">
        <v>16.775120000000001</v>
      </c>
      <c r="M4880">
        <v>0.99986430000000004</v>
      </c>
      <c r="N4880">
        <v>0</v>
      </c>
      <c r="O4880">
        <v>-1.4377050000000001E-2</v>
      </c>
      <c r="P4880">
        <v>0.99516659999999901</v>
      </c>
      <c r="Q4880">
        <v>2.4776099999999999E-2</v>
      </c>
      <c r="R4880">
        <v>9.5026349999999996E-2</v>
      </c>
      <c r="S4880">
        <v>3.0512389999999998</v>
      </c>
      <c r="T4880">
        <v>-0.12986349999999999</v>
      </c>
      <c r="U4880">
        <v>-0.35388179999999902</v>
      </c>
      <c r="V4880">
        <v>-0.1093831</v>
      </c>
      <c r="W4880">
        <v>3.2588260000000001E-2</v>
      </c>
      <c r="X4880">
        <v>0.9934653</v>
      </c>
      <c r="Y4880">
        <v>0.1008366</v>
      </c>
      <c r="Z4880">
        <v>-1.5282609999999999E-3</v>
      </c>
      <c r="AA4880">
        <v>0.99490179999999995</v>
      </c>
      <c r="AB4880">
        <v>29</v>
      </c>
      <c r="AC4880">
        <v>25.793499999999899</v>
      </c>
      <c r="AD4880">
        <v>-1.1045700001609999</v>
      </c>
      <c r="AE4880">
        <v>-3.0082599999999999</v>
      </c>
      <c r="AF4880">
        <v>2.63234006887203</v>
      </c>
      <c r="AG4880">
        <v>-1.1045700001609999</v>
      </c>
      <c r="AH4880">
        <v>25.7874293559513</v>
      </c>
      <c r="AI4880">
        <v>92.440024569403903</v>
      </c>
      <c r="AJ4880">
        <v>84.171525595716105</v>
      </c>
      <c r="AK4880">
        <v>25.944957157637099</v>
      </c>
    </row>
    <row r="4881" spans="1:37" x14ac:dyDescent="0.2">
      <c r="A4881" t="str">
        <f>"20200111153530010"</f>
        <v>20200111153530010</v>
      </c>
      <c r="B4881" t="str">
        <f>"1578728130000545"</f>
        <v>1578728130000545</v>
      </c>
      <c r="C4881" t="s">
        <v>37</v>
      </c>
      <c r="D4881">
        <v>4.889367</v>
      </c>
      <c r="E4881">
        <v>0.58535150000000002</v>
      </c>
      <c r="F4881" t="s">
        <v>39</v>
      </c>
      <c r="G4881">
        <v>-332.72089999999997</v>
      </c>
      <c r="H4881" s="1">
        <v>-4.1143770000000004E-6</v>
      </c>
      <c r="I4881">
        <v>13.92609</v>
      </c>
      <c r="J4881">
        <v>-356.35840000000002</v>
      </c>
      <c r="K4881">
        <v>1.104568</v>
      </c>
      <c r="L4881">
        <v>16.77347</v>
      </c>
      <c r="M4881">
        <v>0.99987179999999998</v>
      </c>
      <c r="N4881">
        <v>0</v>
      </c>
      <c r="O4881">
        <v>-1.383523E-2</v>
      </c>
      <c r="P4881">
        <v>0.99516209999999905</v>
      </c>
      <c r="Q4881">
        <v>2.4851930000000001E-2</v>
      </c>
      <c r="R4881">
        <v>9.5051620000000003E-2</v>
      </c>
      <c r="S4881">
        <v>3.0530089999999999</v>
      </c>
      <c r="T4881">
        <v>-0.14172390000000001</v>
      </c>
      <c r="U4881">
        <v>-0.36553959999999902</v>
      </c>
      <c r="V4881">
        <v>-0.1088693</v>
      </c>
      <c r="W4881">
        <v>3.2665939999999997E-2</v>
      </c>
      <c r="X4881">
        <v>0.99351919999999905</v>
      </c>
      <c r="Y4881">
        <v>0.10503609999999999</v>
      </c>
      <c r="Z4881">
        <v>-1.7884820000000001E-3</v>
      </c>
      <c r="AA4881">
        <v>0.99446679999999998</v>
      </c>
      <c r="AB4881">
        <v>29</v>
      </c>
      <c r="AC4881">
        <v>23.637499999999999</v>
      </c>
      <c r="AD4881">
        <v>-1.104572114377</v>
      </c>
      <c r="AE4881">
        <v>-2.8473799999999998</v>
      </c>
      <c r="AF4881">
        <v>2.5146539731689601</v>
      </c>
      <c r="AG4881">
        <v>-1.104572114377</v>
      </c>
      <c r="AH4881">
        <v>23.623784439524002</v>
      </c>
      <c r="AI4881">
        <v>92.661999628979203</v>
      </c>
      <c r="AJ4881">
        <v>83.923981289712302</v>
      </c>
      <c r="AK4881">
        <v>23.782908892852699</v>
      </c>
    </row>
    <row r="4882" spans="1:37" x14ac:dyDescent="0.2">
      <c r="A4882" t="str">
        <f>"20200111153530029"</f>
        <v>20200111153530029</v>
      </c>
      <c r="B4882" t="str">
        <f>"1578728130021043"</f>
        <v>1578728130021043</v>
      </c>
      <c r="C4882" t="s">
        <v>37</v>
      </c>
      <c r="D4882">
        <v>4.8655980000000003</v>
      </c>
      <c r="E4882">
        <v>0.58940550000000003</v>
      </c>
      <c r="F4882" t="s">
        <v>39</v>
      </c>
      <c r="G4882">
        <v>-330.3904</v>
      </c>
      <c r="H4882" s="1">
        <v>-5.198382E-6</v>
      </c>
      <c r="I4882">
        <v>13.4513</v>
      </c>
      <c r="J4882">
        <v>-356.11110000000002</v>
      </c>
      <c r="K4882">
        <v>1.1045799999999999</v>
      </c>
      <c r="L4882">
        <v>16.77094</v>
      </c>
      <c r="M4882">
        <v>0.99988339999999998</v>
      </c>
      <c r="N4882">
        <v>0</v>
      </c>
      <c r="O4882">
        <v>-1.297601E-2</v>
      </c>
      <c r="P4882">
        <v>0.99517330000000004</v>
      </c>
      <c r="Q4882">
        <v>2.598843E-2</v>
      </c>
      <c r="R4882">
        <v>9.4629550000000007E-2</v>
      </c>
      <c r="S4882">
        <v>3.0551149999999998</v>
      </c>
      <c r="T4882">
        <v>-0.1299516</v>
      </c>
      <c r="U4882">
        <v>-0.39083859999999998</v>
      </c>
      <c r="V4882">
        <v>-0.1075931</v>
      </c>
      <c r="W4882">
        <v>3.3808289999999998E-2</v>
      </c>
      <c r="X4882">
        <v>0.99361999999999995</v>
      </c>
      <c r="Y4882">
        <v>0.1139231</v>
      </c>
      <c r="Z4882">
        <v>-1.86264E-3</v>
      </c>
      <c r="AA4882">
        <v>0.99348780000000003</v>
      </c>
      <c r="AB4882">
        <v>29</v>
      </c>
      <c r="AC4882">
        <v>25.720700000000001</v>
      </c>
      <c r="AD4882">
        <v>-1.1045851983820001</v>
      </c>
      <c r="AE4882">
        <v>-3.3196400000000001</v>
      </c>
      <c r="AF4882">
        <v>2.98019129271559</v>
      </c>
      <c r="AG4882">
        <v>-1.1045851983820001</v>
      </c>
      <c r="AH4882">
        <v>25.714962284264502</v>
      </c>
      <c r="AI4882">
        <v>92.443292442494794</v>
      </c>
      <c r="AJ4882">
        <v>83.389295664878802</v>
      </c>
      <c r="AK4882">
        <v>25.910633606355699</v>
      </c>
    </row>
    <row r="4883" spans="1:37" x14ac:dyDescent="0.2">
      <c r="A4883" t="str">
        <f>"20200111153530043"</f>
        <v>20200111153530043</v>
      </c>
      <c r="B4883" t="str">
        <f>"1578728130030801"</f>
        <v>1578728130030801</v>
      </c>
      <c r="C4883" t="s">
        <v>37</v>
      </c>
      <c r="D4883">
        <v>4.8431499999999996</v>
      </c>
      <c r="E4883">
        <v>0.59056309999999901</v>
      </c>
      <c r="F4883" t="s">
        <v>39</v>
      </c>
      <c r="G4883">
        <v>-325.32510000000002</v>
      </c>
      <c r="H4883" s="1">
        <v>-3.6735609999999998E-6</v>
      </c>
      <c r="I4883">
        <v>12.497629999999999</v>
      </c>
      <c r="J4883">
        <v>-355.93599999999998</v>
      </c>
      <c r="K4883">
        <v>1.104592</v>
      </c>
      <c r="L4883">
        <v>16.769259999999999</v>
      </c>
      <c r="M4883">
        <v>0.99989110000000003</v>
      </c>
      <c r="N4883">
        <v>0</v>
      </c>
      <c r="O4883">
        <v>-1.2367670000000001E-2</v>
      </c>
      <c r="P4883">
        <v>0.99517489999999997</v>
      </c>
      <c r="Q4883">
        <v>2.6806920000000001E-2</v>
      </c>
      <c r="R4883">
        <v>9.4385449999999996E-2</v>
      </c>
      <c r="S4883">
        <v>3.0577700000000001</v>
      </c>
      <c r="T4883">
        <v>-0.109710899999999</v>
      </c>
      <c r="U4883">
        <v>-0.4244385</v>
      </c>
      <c r="V4883">
        <v>-0.1067453</v>
      </c>
      <c r="W4883">
        <v>3.4632259999999998E-2</v>
      </c>
      <c r="X4883">
        <v>0.99368310000000004</v>
      </c>
      <c r="Y4883">
        <v>0.12515609999999999</v>
      </c>
      <c r="Z4883">
        <v>-1.7924410000000001E-3</v>
      </c>
      <c r="AA4883">
        <v>0.99213549999999995</v>
      </c>
      <c r="AB4883">
        <v>29</v>
      </c>
      <c r="AC4883">
        <v>30.610899999999901</v>
      </c>
      <c r="AD4883">
        <v>-1.1045956735610001</v>
      </c>
      <c r="AE4883">
        <v>-4.2716299999999903</v>
      </c>
      <c r="AF4883">
        <v>3.8877398441072502</v>
      </c>
      <c r="AG4883">
        <v>-1.1045956735610001</v>
      </c>
      <c r="AH4883">
        <v>30.622277914736699</v>
      </c>
      <c r="AI4883">
        <v>92.049420456693397</v>
      </c>
      <c r="AJ4883">
        <v>82.7645572941518</v>
      </c>
      <c r="AK4883">
        <v>30.887838341083</v>
      </c>
    </row>
    <row r="4884" spans="1:37" x14ac:dyDescent="0.2">
      <c r="A4884" t="str">
        <f>"20200111153530055"</f>
        <v>20200111153530055</v>
      </c>
      <c r="B4884" t="str">
        <f>"1578728130050321"</f>
        <v>1578728130050321</v>
      </c>
      <c r="C4884" t="s">
        <v>37</v>
      </c>
      <c r="D4884">
        <v>4.8879799999999998</v>
      </c>
      <c r="E4884">
        <v>0.59221489999999999</v>
      </c>
      <c r="F4884" t="s">
        <v>39</v>
      </c>
      <c r="G4884">
        <v>-321.96660000000003</v>
      </c>
      <c r="H4884" s="1">
        <v>-5.1388309999999996E-6</v>
      </c>
      <c r="I4884">
        <v>11.943989999999999</v>
      </c>
      <c r="J4884">
        <v>-355.7758</v>
      </c>
      <c r="K4884">
        <v>1.104608</v>
      </c>
      <c r="L4884">
        <v>16.767759999999999</v>
      </c>
      <c r="M4884">
        <v>0.99989779999999995</v>
      </c>
      <c r="N4884">
        <v>0</v>
      </c>
      <c r="O4884">
        <v>-1.181626E-2</v>
      </c>
      <c r="P4884">
        <v>0.99517319999999998</v>
      </c>
      <c r="Q4884">
        <v>2.723619E-2</v>
      </c>
      <c r="R4884">
        <v>9.4279589999999996E-2</v>
      </c>
      <c r="S4884">
        <v>3.0584720000000001</v>
      </c>
      <c r="T4884">
        <v>-9.9453689999999997E-2</v>
      </c>
      <c r="U4884">
        <v>-0.43444820000000001</v>
      </c>
      <c r="V4884">
        <v>-0.1060912</v>
      </c>
      <c r="W4884">
        <v>3.5065440000000003E-2</v>
      </c>
      <c r="X4884">
        <v>0.99373789999999995</v>
      </c>
      <c r="Y4884">
        <v>0.12886610000000001</v>
      </c>
      <c r="Z4884">
        <v>-1.7020500000000001E-3</v>
      </c>
      <c r="AA4884">
        <v>0.99166049999999994</v>
      </c>
      <c r="AB4884">
        <v>29</v>
      </c>
      <c r="AC4884">
        <v>33.809199999999898</v>
      </c>
      <c r="AD4884">
        <v>-1.1046131388310001</v>
      </c>
      <c r="AE4884">
        <v>-4.8237699999999997</v>
      </c>
      <c r="AF4884">
        <v>4.4192986747618797</v>
      </c>
      <c r="AG4884">
        <v>-1.1046131388310001</v>
      </c>
      <c r="AH4884">
        <v>33.828450225412702</v>
      </c>
      <c r="AI4884">
        <v>91.854489509997606</v>
      </c>
      <c r="AJ4884">
        <v>82.557114308675693</v>
      </c>
      <c r="AK4884">
        <v>34.133772361349898</v>
      </c>
    </row>
    <row r="4885" spans="1:37" x14ac:dyDescent="0.2">
      <c r="A4885" t="str">
        <f>"20200111153530073"</f>
        <v>20200111153530073</v>
      </c>
      <c r="B4885" t="str">
        <f>"1578728130061060"</f>
        <v>1578728130061060</v>
      </c>
      <c r="C4885" t="s">
        <v>37</v>
      </c>
      <c r="D4885">
        <v>4.8643549999999998</v>
      </c>
      <c r="E4885">
        <v>0.59282819999999903</v>
      </c>
      <c r="F4885" t="s">
        <v>38</v>
      </c>
      <c r="G4885">
        <v>-315.5686</v>
      </c>
      <c r="H4885">
        <v>-0.05</v>
      </c>
      <c r="I4885">
        <v>10.88086</v>
      </c>
      <c r="J4885">
        <v>-355.53969999999998</v>
      </c>
      <c r="K4885">
        <v>1.1046400000000001</v>
      </c>
      <c r="L4885">
        <v>16.765750000000001</v>
      </c>
      <c r="M4885">
        <v>0.99990699999999999</v>
      </c>
      <c r="N4885">
        <v>0</v>
      </c>
      <c r="O4885">
        <v>-1.101543E-2</v>
      </c>
      <c r="P4885">
        <v>0.99519789999999997</v>
      </c>
      <c r="Q4885">
        <v>2.7933550000000001E-2</v>
      </c>
      <c r="R4885">
        <v>9.3814190000000006E-2</v>
      </c>
      <c r="S4885">
        <v>3.0593870000000001</v>
      </c>
      <c r="T4885">
        <v>-8.7854619999999994E-2</v>
      </c>
      <c r="U4885">
        <v>-0.44793699999999997</v>
      </c>
      <c r="V4885">
        <v>-0.10483099999999999</v>
      </c>
      <c r="W4885">
        <v>3.5768809999999998E-2</v>
      </c>
      <c r="X4885">
        <v>0.99384660000000002</v>
      </c>
      <c r="Y4885">
        <v>0.13391149999999999</v>
      </c>
      <c r="Z4885">
        <v>-1.597621E-3</v>
      </c>
      <c r="AA4885">
        <v>0.99099199999999998</v>
      </c>
      <c r="AB4885">
        <v>29</v>
      </c>
      <c r="AC4885">
        <v>39.9710999999999</v>
      </c>
      <c r="AD4885">
        <v>-1.1546400000000001</v>
      </c>
      <c r="AE4885">
        <v>-5.8848900000000004</v>
      </c>
      <c r="AF4885">
        <v>5.4397769199566497</v>
      </c>
      <c r="AG4885">
        <v>-1.1546400000000001</v>
      </c>
      <c r="AH4885">
        <v>40.000830849080998</v>
      </c>
      <c r="AI4885">
        <v>91.638334794526799</v>
      </c>
      <c r="AJ4885">
        <v>82.255762094864906</v>
      </c>
      <c r="AK4885">
        <v>40.385527544966997</v>
      </c>
    </row>
    <row r="4886" spans="1:37" x14ac:dyDescent="0.2">
      <c r="A4886" t="str">
        <f>"20200111153530084"</f>
        <v>20200111153530084</v>
      </c>
      <c r="B4886" t="str">
        <f>"1578728130080577"</f>
        <v>1578728130080577</v>
      </c>
      <c r="C4886" t="s">
        <v>37</v>
      </c>
      <c r="D4886">
        <v>4.861542</v>
      </c>
      <c r="E4886">
        <v>0.59374919999999998</v>
      </c>
      <c r="F4886" t="s">
        <v>38</v>
      </c>
      <c r="G4886">
        <v>-312.34089999999998</v>
      </c>
      <c r="H4886">
        <v>-0.05</v>
      </c>
      <c r="I4886">
        <v>10.35295</v>
      </c>
      <c r="J4886">
        <v>-355.38830000000002</v>
      </c>
      <c r="K4886">
        <v>1.1046609999999999</v>
      </c>
      <c r="L4886">
        <v>16.764559999999999</v>
      </c>
      <c r="M4886">
        <v>0.99991240000000003</v>
      </c>
      <c r="N4886">
        <v>0</v>
      </c>
      <c r="O4886">
        <v>-1.05089E-2</v>
      </c>
      <c r="P4886">
        <v>0.99519840000000004</v>
      </c>
      <c r="Q4886">
        <v>2.8340049999999999E-2</v>
      </c>
      <c r="R4886">
        <v>9.3686439999999996E-2</v>
      </c>
      <c r="S4886">
        <v>3.0596009999999998</v>
      </c>
      <c r="T4886">
        <v>-8.1778530000000002E-2</v>
      </c>
      <c r="U4886">
        <v>-0.45419309999999902</v>
      </c>
      <c r="V4886">
        <v>-0.1042005</v>
      </c>
      <c r="W4886">
        <v>3.6178149999999999E-2</v>
      </c>
      <c r="X4886">
        <v>0.99389810000000001</v>
      </c>
      <c r="Y4886">
        <v>0.13639200000000001</v>
      </c>
      <c r="Z4886">
        <v>-1.5332670000000001E-3</v>
      </c>
      <c r="AA4886">
        <v>0.99065380000000003</v>
      </c>
      <c r="AB4886">
        <v>29</v>
      </c>
      <c r="AC4886">
        <v>43.047400000000003</v>
      </c>
      <c r="AD4886">
        <v>-1.1546609999999999</v>
      </c>
      <c r="AE4886">
        <v>-6.4116099999999996</v>
      </c>
      <c r="AF4886">
        <v>5.9546692070332696</v>
      </c>
      <c r="AG4886">
        <v>-1.1546609999999999</v>
      </c>
      <c r="AH4886">
        <v>43.082080181242802</v>
      </c>
      <c r="AI4886">
        <v>91.520789927859298</v>
      </c>
      <c r="AJ4886">
        <v>82.130617304204705</v>
      </c>
      <c r="AK4886">
        <v>43.506975993892603</v>
      </c>
    </row>
    <row r="4887" spans="1:37" x14ac:dyDescent="0.2">
      <c r="A4887" t="str">
        <f>"20200111153530096"</f>
        <v>20200111153530096</v>
      </c>
      <c r="B4887" t="str">
        <f>"1578728130090337"</f>
        <v>1578728130090337</v>
      </c>
      <c r="C4887" t="s">
        <v>37</v>
      </c>
      <c r="D4887">
        <v>4.8830989999999996</v>
      </c>
      <c r="E4887">
        <v>0.59400299999999995</v>
      </c>
      <c r="F4887" t="s">
        <v>38</v>
      </c>
      <c r="G4887">
        <v>-309.66500000000002</v>
      </c>
      <c r="H4887">
        <v>-0.05</v>
      </c>
      <c r="I4887">
        <v>9.8633729999999993</v>
      </c>
      <c r="J4887">
        <v>-355.23070000000001</v>
      </c>
      <c r="K4887">
        <v>1.104687</v>
      </c>
      <c r="L4887">
        <v>16.763400000000001</v>
      </c>
      <c r="M4887">
        <v>0.99991759999999996</v>
      </c>
      <c r="N4887">
        <v>0</v>
      </c>
      <c r="O4887">
        <v>-9.9867329999999994E-3</v>
      </c>
      <c r="P4887">
        <v>0.99520249999999999</v>
      </c>
      <c r="Q4887">
        <v>2.9144030000000001E-2</v>
      </c>
      <c r="R4887">
        <v>9.339414E-2</v>
      </c>
      <c r="S4887">
        <v>3.060181</v>
      </c>
      <c r="T4887">
        <v>-7.727945E-2</v>
      </c>
      <c r="U4887">
        <v>-0.4618835</v>
      </c>
      <c r="V4887">
        <v>-0.10339130000000001</v>
      </c>
      <c r="W4887">
        <v>3.6985369999999997E-2</v>
      </c>
      <c r="X4887">
        <v>0.99395290000000003</v>
      </c>
      <c r="Y4887">
        <v>0.1393201</v>
      </c>
      <c r="Z4887">
        <v>-1.4982649999999999E-3</v>
      </c>
      <c r="AA4887">
        <v>0.99024630000000002</v>
      </c>
      <c r="AB4887">
        <v>29</v>
      </c>
      <c r="AC4887">
        <v>45.5656999999999</v>
      </c>
      <c r="AD4887">
        <v>-1.154687</v>
      </c>
      <c r="AE4887">
        <v>-6.9000269999999997</v>
      </c>
      <c r="AF4887">
        <v>6.4405723500690897</v>
      </c>
      <c r="AG4887">
        <v>-1.154687</v>
      </c>
      <c r="AH4887">
        <v>45.603709517001697</v>
      </c>
      <c r="AI4887">
        <v>91.436174626841407</v>
      </c>
      <c r="AJ4887">
        <v>81.961330947923599</v>
      </c>
      <c r="AK4887">
        <v>46.070734701928899</v>
      </c>
    </row>
    <row r="4888" spans="1:37" x14ac:dyDescent="0.2">
      <c r="A4888" t="str">
        <f>"20200111153530107"</f>
        <v>20200111153530107</v>
      </c>
      <c r="B4888" t="str">
        <f>"1578728130101073"</f>
        <v>1578728130101073</v>
      </c>
      <c r="C4888" t="s">
        <v>37</v>
      </c>
      <c r="D4888">
        <v>4.8828189999999996</v>
      </c>
      <c r="E4888">
        <v>0.59407069999999995</v>
      </c>
      <c r="F4888" t="s">
        <v>38</v>
      </c>
      <c r="G4888">
        <v>-306.83890000000002</v>
      </c>
      <c r="H4888">
        <v>-0.05</v>
      </c>
      <c r="I4888">
        <v>9.4146729999999899</v>
      </c>
      <c r="J4888">
        <v>-355.08260000000001</v>
      </c>
      <c r="K4888">
        <v>1.1047119999999999</v>
      </c>
      <c r="L4888">
        <v>16.76239</v>
      </c>
      <c r="M4888">
        <v>0.99992239999999999</v>
      </c>
      <c r="N4888">
        <v>0</v>
      </c>
      <c r="O4888">
        <v>-9.5035559999999998E-3</v>
      </c>
      <c r="P4888">
        <v>0.99524550000000001</v>
      </c>
      <c r="Q4888">
        <v>2.9269690000000001E-2</v>
      </c>
      <c r="R4888">
        <v>9.2896069999999997E-2</v>
      </c>
      <c r="S4888">
        <v>3.0602109999999998</v>
      </c>
      <c r="T4888">
        <v>-7.3020459999999995E-2</v>
      </c>
      <c r="U4888">
        <v>-0.46472170000000002</v>
      </c>
      <c r="V4888">
        <v>-0.102413899999999</v>
      </c>
      <c r="W4888">
        <v>3.7115460000000003E-2</v>
      </c>
      <c r="X4888">
        <v>0.99404919999999997</v>
      </c>
      <c r="Y4888">
        <v>0.14069860000000001</v>
      </c>
      <c r="Z4888">
        <v>-1.4434139999999901E-3</v>
      </c>
      <c r="AA4888">
        <v>0.99005140000000003</v>
      </c>
      <c r="AB4888">
        <v>29</v>
      </c>
      <c r="AC4888">
        <v>48.243699999999897</v>
      </c>
      <c r="AD4888">
        <v>-1.154712</v>
      </c>
      <c r="AE4888">
        <v>-7.3477170000000003</v>
      </c>
      <c r="AF4888">
        <v>6.8850286817786399</v>
      </c>
      <c r="AG4888">
        <v>-1.154712</v>
      </c>
      <c r="AH4888">
        <v>48.284318709115503</v>
      </c>
      <c r="AI4888">
        <v>91.3562449511426</v>
      </c>
      <c r="AJ4888">
        <v>81.884703235382105</v>
      </c>
      <c r="AK4888">
        <v>48.786395777463397</v>
      </c>
    </row>
    <row r="4889" spans="1:37" x14ac:dyDescent="0.2">
      <c r="A4889" t="str">
        <f>"20200111153530130"</f>
        <v>20200111153530130</v>
      </c>
      <c r="B4889" t="str">
        <f>"1578728130120592"</f>
        <v>1578728130120592</v>
      </c>
      <c r="C4889" t="s">
        <v>37</v>
      </c>
      <c r="D4889">
        <v>4.8741289999999999</v>
      </c>
      <c r="E4889">
        <v>0.59461889999999995</v>
      </c>
      <c r="F4889" t="s">
        <v>38</v>
      </c>
      <c r="G4889">
        <v>-306.96769999999998</v>
      </c>
      <c r="H4889">
        <v>-0.05</v>
      </c>
      <c r="I4889">
        <v>9.4264679999999998</v>
      </c>
      <c r="J4889">
        <v>-354.79610000000002</v>
      </c>
      <c r="K4889">
        <v>1.1047419999999999</v>
      </c>
      <c r="L4889">
        <v>16.760590000000001</v>
      </c>
      <c r="M4889">
        <v>0.99993069999999895</v>
      </c>
      <c r="N4889">
        <v>0</v>
      </c>
      <c r="O4889">
        <v>-8.5801439999999996E-3</v>
      </c>
      <c r="P4889">
        <v>0.9952742</v>
      </c>
      <c r="Q4889">
        <v>3.0205619999999999E-2</v>
      </c>
      <c r="R4889">
        <v>9.2287540000000001E-2</v>
      </c>
      <c r="S4889">
        <v>3.060028</v>
      </c>
      <c r="T4889">
        <v>-7.3437810000000006E-2</v>
      </c>
      <c r="U4889">
        <v>-0.46655269999999999</v>
      </c>
      <c r="V4889">
        <v>-0.1008896</v>
      </c>
      <c r="W4889">
        <v>3.8058929999999998E-2</v>
      </c>
      <c r="X4889">
        <v>0.99416939999999998</v>
      </c>
      <c r="Y4889">
        <v>0.14219949999999901</v>
      </c>
      <c r="Z4889">
        <v>-1.49161E-3</v>
      </c>
      <c r="AA4889">
        <v>0.98983690000000002</v>
      </c>
      <c r="AB4889">
        <v>29</v>
      </c>
      <c r="AC4889">
        <v>47.828400000000002</v>
      </c>
      <c r="AD4889">
        <v>-1.1547419999999999</v>
      </c>
      <c r="AE4889">
        <v>-7.3341219999999998</v>
      </c>
      <c r="AF4889">
        <v>6.9195233542658601</v>
      </c>
      <c r="AG4889">
        <v>-1.1547419999999999</v>
      </c>
      <c r="AH4889">
        <v>47.862310923510201</v>
      </c>
      <c r="AI4889">
        <v>91.367853600432497</v>
      </c>
      <c r="AJ4889">
        <v>81.773663114577403</v>
      </c>
      <c r="AK4889">
        <v>48.373691604792299</v>
      </c>
    </row>
    <row r="4890" spans="1:37" x14ac:dyDescent="0.2">
      <c r="A4890" t="str">
        <f>"20200111153530142"</f>
        <v>20200111153530142</v>
      </c>
      <c r="B4890" t="str">
        <f>"1578728130130353"</f>
        <v>1578728130130353</v>
      </c>
      <c r="C4890" t="s">
        <v>37</v>
      </c>
      <c r="D4890">
        <v>4.8987809999999996</v>
      </c>
      <c r="E4890">
        <v>0.59485100000000002</v>
      </c>
      <c r="F4890" t="s">
        <v>38</v>
      </c>
      <c r="G4890">
        <v>-304.12349999999998</v>
      </c>
      <c r="H4890">
        <v>-0.05</v>
      </c>
      <c r="I4890">
        <v>8.9361110000000004</v>
      </c>
      <c r="J4890">
        <v>-354.63249999999999</v>
      </c>
      <c r="K4890">
        <v>1.1047559999999901</v>
      </c>
      <c r="L4890">
        <v>16.75967</v>
      </c>
      <c r="M4890">
        <v>0.99993500000000002</v>
      </c>
      <c r="N4890">
        <v>0</v>
      </c>
      <c r="O4890">
        <v>-8.0588510000000006E-3</v>
      </c>
      <c r="P4890">
        <v>0.99528909999999904</v>
      </c>
      <c r="Q4890">
        <v>2.9899060000000002E-2</v>
      </c>
      <c r="R4890">
        <v>9.2229220000000001E-2</v>
      </c>
      <c r="S4890">
        <v>3.0602109999999998</v>
      </c>
      <c r="T4890">
        <v>-6.9736960000000001E-2</v>
      </c>
      <c r="U4890">
        <v>-0.47253420000000002</v>
      </c>
      <c r="V4890">
        <v>-0.10031329999999999</v>
      </c>
      <c r="W4890">
        <v>3.7757310000000002E-2</v>
      </c>
      <c r="X4890">
        <v>0.99423919999999999</v>
      </c>
      <c r="Y4890">
        <v>0.14459939999999999</v>
      </c>
      <c r="Z4890">
        <v>-1.455154E-3</v>
      </c>
      <c r="AA4890">
        <v>0.98948919999999996</v>
      </c>
      <c r="AB4890">
        <v>29</v>
      </c>
      <c r="AC4890">
        <v>50.509</v>
      </c>
      <c r="AD4890">
        <v>-1.1547559999999999</v>
      </c>
      <c r="AE4890">
        <v>-7.8235589999999897</v>
      </c>
      <c r="AF4890">
        <v>7.4124635521361899</v>
      </c>
      <c r="AG4890">
        <v>-1.1547559999999999</v>
      </c>
      <c r="AH4890">
        <v>50.544610575710102</v>
      </c>
      <c r="AI4890">
        <v>91.294921449645202</v>
      </c>
      <c r="AJ4890">
        <v>81.656936251053907</v>
      </c>
      <c r="AK4890">
        <v>51.098294840253402</v>
      </c>
    </row>
    <row r="4891" spans="1:37" x14ac:dyDescent="0.2">
      <c r="A4891" t="str">
        <f>"20200111153530154"</f>
        <v>20200111153530154</v>
      </c>
      <c r="B4891" t="str">
        <f>"1578728130150849"</f>
        <v>1578728130150849</v>
      </c>
      <c r="C4891" t="s">
        <v>37</v>
      </c>
      <c r="D4891">
        <v>5.0372969999999997</v>
      </c>
      <c r="E4891">
        <v>0.59325620000000001</v>
      </c>
      <c r="F4891" t="s">
        <v>38</v>
      </c>
      <c r="G4891">
        <v>-304.72190000000001</v>
      </c>
      <c r="H4891">
        <v>-0.05</v>
      </c>
      <c r="I4891">
        <v>9.0217289999999899</v>
      </c>
      <c r="J4891">
        <v>-354.46800000000002</v>
      </c>
      <c r="K4891">
        <v>1.1047629999999999</v>
      </c>
      <c r="L4891">
        <v>16.758849999999999</v>
      </c>
      <c r="M4891">
        <v>0.99993889999999996</v>
      </c>
      <c r="N4891">
        <v>0</v>
      </c>
      <c r="O4891">
        <v>-7.5400789999999999E-3</v>
      </c>
      <c r="P4891">
        <v>0.99531630000000004</v>
      </c>
      <c r="Q4891">
        <v>2.925707E-2</v>
      </c>
      <c r="R4891">
        <v>9.2138910000000004E-2</v>
      </c>
      <c r="S4891">
        <v>3.06030299999999</v>
      </c>
      <c r="T4891">
        <v>-7.0804599999999995E-2</v>
      </c>
      <c r="U4891">
        <v>-0.47445680000000001</v>
      </c>
      <c r="V4891">
        <v>-9.9705559999999999E-2</v>
      </c>
      <c r="W4891">
        <v>3.7121179999999997E-2</v>
      </c>
      <c r="X4891">
        <v>0.99432430000000005</v>
      </c>
      <c r="Y4891">
        <v>0.14571389999999901</v>
      </c>
      <c r="Z4891">
        <v>-1.5020509999999999E-3</v>
      </c>
      <c r="AA4891">
        <v>0.98932559999999903</v>
      </c>
      <c r="AB4891">
        <v>29</v>
      </c>
      <c r="AC4891">
        <v>49.746099999999998</v>
      </c>
      <c r="AD4891">
        <v>-1.154763</v>
      </c>
      <c r="AE4891">
        <v>-7.7371210000000001</v>
      </c>
      <c r="AF4891">
        <v>7.3579280920524104</v>
      </c>
      <c r="AG4891">
        <v>-1.154763</v>
      </c>
      <c r="AH4891">
        <v>49.7768374732795</v>
      </c>
      <c r="AI4891">
        <v>91.314674794646095</v>
      </c>
      <c r="AJ4891">
        <v>81.591524213498104</v>
      </c>
      <c r="AK4891">
        <v>50.330965937832602</v>
      </c>
    </row>
    <row r="4892" spans="1:37" x14ac:dyDescent="0.2">
      <c r="A4892" t="str">
        <f>"20200111153530166"</f>
        <v>20200111153530166</v>
      </c>
      <c r="B4892" t="str">
        <f>"1578728130160609"</f>
        <v>1578728130160609</v>
      </c>
      <c r="C4892" t="s">
        <v>37</v>
      </c>
      <c r="D4892">
        <v>5.0602640000000001</v>
      </c>
      <c r="E4892">
        <v>0.592553199999999</v>
      </c>
      <c r="F4892" t="s">
        <v>38</v>
      </c>
      <c r="G4892">
        <v>-314.34559999999999</v>
      </c>
      <c r="H4892">
        <v>-0.05</v>
      </c>
      <c r="I4892">
        <v>10.702059999999999</v>
      </c>
      <c r="J4892">
        <v>-354.31009999999998</v>
      </c>
      <c r="K4892">
        <v>1.1047639999999901</v>
      </c>
      <c r="L4892">
        <v>16.758150000000001</v>
      </c>
      <c r="M4892">
        <v>0.99994259999999902</v>
      </c>
      <c r="N4892">
        <v>0</v>
      </c>
      <c r="O4892">
        <v>-7.0487409999999999E-3</v>
      </c>
      <c r="P4892">
        <v>0.99533869999999902</v>
      </c>
      <c r="Q4892">
        <v>2.855135E-2</v>
      </c>
      <c r="R4892">
        <v>9.2120569999999999E-2</v>
      </c>
      <c r="S4892">
        <v>3.0594790000000001</v>
      </c>
      <c r="T4892">
        <v>-8.8054899999999894E-2</v>
      </c>
      <c r="U4892">
        <v>-0.46185299999999901</v>
      </c>
      <c r="V4892">
        <v>-9.9196980000000004E-2</v>
      </c>
      <c r="W4892">
        <v>3.64207E-2</v>
      </c>
      <c r="X4892">
        <v>0.99440110000000004</v>
      </c>
      <c r="Y4892">
        <v>0.14223839999999999</v>
      </c>
      <c r="Z4892">
        <v>-1.833274E-3</v>
      </c>
      <c r="AA4892">
        <v>0.98983069999999895</v>
      </c>
      <c r="AB4892">
        <v>29</v>
      </c>
      <c r="AC4892">
        <v>39.964500000000001</v>
      </c>
      <c r="AD4892">
        <v>-1.1547639999999999</v>
      </c>
      <c r="AE4892">
        <v>-6.0560899999999904</v>
      </c>
      <c r="AF4892">
        <v>5.76952208134575</v>
      </c>
      <c r="AG4892">
        <v>-1.1547639999999999</v>
      </c>
      <c r="AH4892">
        <v>39.973571306131198</v>
      </c>
      <c r="AI4892">
        <v>91.637749398860805</v>
      </c>
      <c r="AJ4892">
        <v>81.787022317144803</v>
      </c>
      <c r="AK4892">
        <v>40.4042976415776</v>
      </c>
    </row>
    <row r="4893" spans="1:37" x14ac:dyDescent="0.2">
      <c r="A4893" t="str">
        <f>"20200111153530179"</f>
        <v>20200111153530179</v>
      </c>
      <c r="B4893" t="str">
        <f>"1578728130170369"</f>
        <v>1578728130170369</v>
      </c>
      <c r="C4893" t="s">
        <v>37</v>
      </c>
      <c r="D4893">
        <v>5.0459100000000001</v>
      </c>
      <c r="E4893">
        <v>0.59189990000000003</v>
      </c>
      <c r="F4893" t="s">
        <v>39</v>
      </c>
      <c r="G4893">
        <v>-320.10509999999999</v>
      </c>
      <c r="H4893" s="1">
        <v>-6.0696299999999999E-6</v>
      </c>
      <c r="I4893">
        <v>11.65748</v>
      </c>
      <c r="J4893">
        <v>-354.14359999999999</v>
      </c>
      <c r="K4893">
        <v>1.1047629999999999</v>
      </c>
      <c r="L4893">
        <v>16.757449999999999</v>
      </c>
      <c r="M4893">
        <v>0.999945999999999</v>
      </c>
      <c r="N4893">
        <v>0</v>
      </c>
      <c r="O4893">
        <v>-6.5341679999999999E-3</v>
      </c>
      <c r="P4893">
        <v>0.99535469999999904</v>
      </c>
      <c r="Q4893">
        <v>2.722801E-2</v>
      </c>
      <c r="R4893">
        <v>9.2345269999999993E-2</v>
      </c>
      <c r="S4893">
        <v>3.059113</v>
      </c>
      <c r="T4893">
        <v>-9.8804829999999996E-2</v>
      </c>
      <c r="U4893">
        <v>-0.45617679999999999</v>
      </c>
      <c r="V4893">
        <v>-9.8907659999999994E-2</v>
      </c>
      <c r="W4893">
        <v>3.5103559999999999E-2</v>
      </c>
      <c r="X4893">
        <v>0.99447730000000001</v>
      </c>
      <c r="Y4893">
        <v>0.1409552</v>
      </c>
      <c r="Z4893">
        <v>-2.0534149999999998E-3</v>
      </c>
      <c r="AA4893">
        <v>0.99001380000000005</v>
      </c>
      <c r="AB4893">
        <v>30</v>
      </c>
      <c r="AC4893">
        <v>34.038499999999999</v>
      </c>
      <c r="AD4893">
        <v>-1.1047690696300001</v>
      </c>
      <c r="AE4893">
        <v>-5.0999699999999901</v>
      </c>
      <c r="AF4893">
        <v>4.8724205604691999</v>
      </c>
      <c r="AG4893">
        <v>-1.1047690696300001</v>
      </c>
      <c r="AH4893">
        <v>34.036031378887202</v>
      </c>
      <c r="AI4893">
        <v>91.840351400681897</v>
      </c>
      <c r="AJ4893">
        <v>81.853186096616696</v>
      </c>
      <c r="AK4893">
        <v>34.400762038650903</v>
      </c>
    </row>
    <row r="4894" spans="1:37" x14ac:dyDescent="0.2">
      <c r="A4894" t="str">
        <f>"20200111153530195"</f>
        <v>20200111153530195</v>
      </c>
      <c r="B4894" t="str">
        <f>"1578728130190865"</f>
        <v>1578728130190865</v>
      </c>
      <c r="C4894" t="s">
        <v>37</v>
      </c>
      <c r="D4894">
        <v>5.0343689999999999</v>
      </c>
      <c r="E4894">
        <v>0.5906458</v>
      </c>
      <c r="F4894" t="s">
        <v>39</v>
      </c>
      <c r="G4894">
        <v>-323.63339999999999</v>
      </c>
      <c r="H4894" s="1">
        <v>-4.3845850000000001E-6</v>
      </c>
      <c r="I4894">
        <v>12.26694</v>
      </c>
      <c r="J4894">
        <v>-353.92540000000002</v>
      </c>
      <c r="K4894">
        <v>1.1047480000000001</v>
      </c>
      <c r="L4894">
        <v>16.756679999999999</v>
      </c>
      <c r="M4894">
        <v>0.99995009999999995</v>
      </c>
      <c r="N4894">
        <v>0</v>
      </c>
      <c r="O4894">
        <v>-5.8745689999999996E-3</v>
      </c>
      <c r="P4894">
        <v>0.99547459999999899</v>
      </c>
      <c r="Q4894">
        <v>2.5133030000000001E-2</v>
      </c>
      <c r="R4894">
        <v>9.1646679999999994E-2</v>
      </c>
      <c r="S4894">
        <v>3.0588069999999998</v>
      </c>
      <c r="T4894">
        <v>-0.11075839999999899</v>
      </c>
      <c r="U4894">
        <v>-0.45019529999999902</v>
      </c>
      <c r="V4894">
        <v>-9.7549259999999999E-2</v>
      </c>
      <c r="W4894">
        <v>3.3023860000000002E-2</v>
      </c>
      <c r="X4894">
        <v>0.99468269999999903</v>
      </c>
      <c r="Y4894">
        <v>0.1397109</v>
      </c>
      <c r="Z4894">
        <v>-2.3035880000000001E-3</v>
      </c>
      <c r="AA4894">
        <v>0.99018969999999995</v>
      </c>
      <c r="AB4894">
        <v>30</v>
      </c>
      <c r="AC4894">
        <v>30.292000000000002</v>
      </c>
      <c r="AD4894">
        <v>-1.104752384585</v>
      </c>
      <c r="AE4894">
        <v>-4.4897399999999896</v>
      </c>
      <c r="AF4894">
        <v>4.3060999753017501</v>
      </c>
      <c r="AG4894">
        <v>-1.104752384585</v>
      </c>
      <c r="AH4894">
        <v>30.278446684510001</v>
      </c>
      <c r="AI4894">
        <v>92.068793254689098</v>
      </c>
      <c r="AJ4894">
        <v>81.905863116393704</v>
      </c>
      <c r="AK4894">
        <v>30.603060442629801</v>
      </c>
    </row>
    <row r="4895" spans="1:37" x14ac:dyDescent="0.2">
      <c r="A4895" t="str">
        <f>"20200111153530207"</f>
        <v>20200111153530207</v>
      </c>
      <c r="B4895" t="str">
        <f>"1578728130200624"</f>
        <v>1578728130200624</v>
      </c>
      <c r="C4895" t="s">
        <v>37</v>
      </c>
      <c r="D4895">
        <v>5.1239759999999999</v>
      </c>
      <c r="E4895">
        <v>0.59031359999999999</v>
      </c>
      <c r="F4895" t="s">
        <v>39</v>
      </c>
      <c r="G4895">
        <v>-328.32159999999999</v>
      </c>
      <c r="H4895" s="1">
        <v>-2.374773E-6</v>
      </c>
      <c r="I4895">
        <v>13.054130000000001</v>
      </c>
      <c r="J4895">
        <v>-353.77289999999999</v>
      </c>
      <c r="K4895">
        <v>1.104746</v>
      </c>
      <c r="L4895">
        <v>16.756229999999999</v>
      </c>
      <c r="M4895">
        <v>0.99995249999999902</v>
      </c>
      <c r="N4895">
        <v>0</v>
      </c>
      <c r="O4895">
        <v>-5.4202169999999997E-3</v>
      </c>
      <c r="P4895">
        <v>0.99552099999999899</v>
      </c>
      <c r="Q4895">
        <v>2.415376E-2</v>
      </c>
      <c r="R4895">
        <v>9.1403520000000002E-2</v>
      </c>
      <c r="S4895">
        <v>3.0576779999999899</v>
      </c>
      <c r="T4895">
        <v>-0.131932299999999</v>
      </c>
      <c r="U4895">
        <v>-0.44216919999999998</v>
      </c>
      <c r="V4895">
        <v>-9.6852209999999994E-2</v>
      </c>
      <c r="W4895">
        <v>3.2054010000000001E-2</v>
      </c>
      <c r="X4895">
        <v>0.99478250000000001</v>
      </c>
      <c r="Y4895">
        <v>0.13763359999999999</v>
      </c>
      <c r="Z4895">
        <v>-2.7200449999999999E-3</v>
      </c>
      <c r="AA4895">
        <v>0.99047949999999996</v>
      </c>
      <c r="AB4895">
        <v>30</v>
      </c>
      <c r="AC4895">
        <v>25.4513</v>
      </c>
      <c r="AD4895">
        <v>-1.104748374773</v>
      </c>
      <c r="AE4895">
        <v>-3.70209999999999</v>
      </c>
      <c r="AF4895">
        <v>3.5575256206847001</v>
      </c>
      <c r="AG4895">
        <v>-1.104748374773</v>
      </c>
      <c r="AH4895">
        <v>25.4240836334595</v>
      </c>
      <c r="AI4895">
        <v>92.464122176502798</v>
      </c>
      <c r="AJ4895">
        <v>82.034470019647202</v>
      </c>
      <c r="AK4895">
        <v>25.695534361334801</v>
      </c>
    </row>
    <row r="4896" spans="1:37" x14ac:dyDescent="0.2">
      <c r="A4896" t="str">
        <f>"20200111153530219"</f>
        <v>20200111153530219</v>
      </c>
      <c r="B4896" t="str">
        <f>"1578728130210356"</f>
        <v>1578728130210356</v>
      </c>
      <c r="C4896" t="s">
        <v>37</v>
      </c>
      <c r="D4896">
        <v>5.0422729999999998</v>
      </c>
      <c r="E4896">
        <v>0.58979619999999999</v>
      </c>
      <c r="F4896" t="s">
        <v>39</v>
      </c>
      <c r="G4896">
        <v>-329.13299999999998</v>
      </c>
      <c r="H4896" s="1">
        <v>-2.0223059999999998E-6</v>
      </c>
      <c r="I4896">
        <v>13.20778</v>
      </c>
      <c r="J4896">
        <v>-353.60860000000002</v>
      </c>
      <c r="K4896">
        <v>1.1047439999999999</v>
      </c>
      <c r="L4896">
        <v>16.755800000000001</v>
      </c>
      <c r="M4896">
        <v>0.99995489999999998</v>
      </c>
      <c r="N4896">
        <v>0</v>
      </c>
      <c r="O4896">
        <v>-4.9343989999999999E-3</v>
      </c>
      <c r="P4896">
        <v>0.99557019999999996</v>
      </c>
      <c r="Q4896">
        <v>2.3740569999999999E-2</v>
      </c>
      <c r="R4896">
        <v>9.0974659999999999E-2</v>
      </c>
      <c r="S4896">
        <v>3.05722</v>
      </c>
      <c r="T4896">
        <v>-0.13707279999999999</v>
      </c>
      <c r="U4896">
        <v>-0.44027709999999998</v>
      </c>
      <c r="V4896">
        <v>-9.5938860000000001E-2</v>
      </c>
      <c r="W4896">
        <v>3.1652710000000001E-2</v>
      </c>
      <c r="X4896">
        <v>0.99488379999999998</v>
      </c>
      <c r="Y4896">
        <v>0.13752529999999999</v>
      </c>
      <c r="Z4896">
        <v>-2.8457069999999998E-3</v>
      </c>
      <c r="AA4896">
        <v>0.99049419999999899</v>
      </c>
      <c r="AB4896">
        <v>30</v>
      </c>
      <c r="AC4896">
        <v>24.475599999999901</v>
      </c>
      <c r="AD4896">
        <v>-1.1047460223059999</v>
      </c>
      <c r="AE4896">
        <v>-3.5480200000000002</v>
      </c>
      <c r="AF4896">
        <v>3.4203754861584401</v>
      </c>
      <c r="AG4896">
        <v>-1.1047460223059999</v>
      </c>
      <c r="AH4896">
        <v>24.444034686617002</v>
      </c>
      <c r="AI4896">
        <v>92.562783235837401</v>
      </c>
      <c r="AJ4896">
        <v>82.0345032280662</v>
      </c>
      <c r="AK4896">
        <v>24.7068869751057</v>
      </c>
    </row>
    <row r="4897" spans="1:37" x14ac:dyDescent="0.2">
      <c r="A4897" t="str">
        <f>"20200111153530230"</f>
        <v>20200111153530230</v>
      </c>
      <c r="B4897" t="str">
        <f>"1578728130221094"</f>
        <v>1578728130221094</v>
      </c>
      <c r="C4897" t="s">
        <v>37</v>
      </c>
      <c r="D4897">
        <v>4.8414599999999997</v>
      </c>
      <c r="E4897">
        <v>0.59018210000000004</v>
      </c>
      <c r="F4897" t="s">
        <v>39</v>
      </c>
      <c r="G4897">
        <v>-330.16899999999998</v>
      </c>
      <c r="H4897" s="1">
        <v>-5.30221199999999E-6</v>
      </c>
      <c r="I4897">
        <v>13.401160000000001</v>
      </c>
      <c r="J4897">
        <v>-353.4486</v>
      </c>
      <c r="K4897">
        <v>1.1047450000000001</v>
      </c>
      <c r="L4897">
        <v>16.755489999999899</v>
      </c>
      <c r="M4897">
        <v>0.99995699999999998</v>
      </c>
      <c r="N4897">
        <v>0</v>
      </c>
      <c r="O4897">
        <v>-4.4683550000000002E-3</v>
      </c>
      <c r="P4897">
        <v>0.99561909999999898</v>
      </c>
      <c r="Q4897">
        <v>2.3263389999999998E-2</v>
      </c>
      <c r="R4897">
        <v>9.0561260000000005E-2</v>
      </c>
      <c r="S4897">
        <v>3.0567630000000001</v>
      </c>
      <c r="T4897">
        <v>-0.14407059999999999</v>
      </c>
      <c r="U4897">
        <v>-0.43746949999999901</v>
      </c>
      <c r="V4897">
        <v>-9.5061179999999995E-2</v>
      </c>
      <c r="W4897">
        <v>3.1186120000000001E-2</v>
      </c>
      <c r="X4897">
        <v>0.99498279999999995</v>
      </c>
      <c r="Y4897">
        <v>0.13710269999999999</v>
      </c>
      <c r="Z4897">
        <v>-3.003403E-3</v>
      </c>
      <c r="AA4897">
        <v>0.99055230000000005</v>
      </c>
      <c r="AB4897">
        <v>30</v>
      </c>
      <c r="AC4897">
        <v>23.279599999999899</v>
      </c>
      <c r="AD4897">
        <v>-1.104750302212</v>
      </c>
      <c r="AE4897">
        <v>-3.3543299999999898</v>
      </c>
      <c r="AF4897">
        <v>3.2431164635490299</v>
      </c>
      <c r="AG4897">
        <v>-1.104750302212</v>
      </c>
      <c r="AH4897">
        <v>23.243076589138202</v>
      </c>
      <c r="AI4897">
        <v>92.695167133519206</v>
      </c>
      <c r="AJ4897">
        <v>82.056778513550995</v>
      </c>
      <c r="AK4897">
        <v>23.494230929207401</v>
      </c>
    </row>
    <row r="4898" spans="1:37" x14ac:dyDescent="0.2">
      <c r="A4898" t="str">
        <f>"20200111153530244"</f>
        <v>20200111153530244</v>
      </c>
      <c r="B4898" t="str">
        <f>"1578728130240615"</f>
        <v>1578728130240615</v>
      </c>
      <c r="C4898" t="s">
        <v>37</v>
      </c>
      <c r="D4898">
        <v>4.8407679999999997</v>
      </c>
      <c r="E4898">
        <v>0.59088989999999997</v>
      </c>
      <c r="F4898" t="s">
        <v>39</v>
      </c>
      <c r="G4898">
        <v>-329.6782</v>
      </c>
      <c r="H4898" s="1">
        <v>-1.7834999999999999E-6</v>
      </c>
      <c r="I4898">
        <v>13.31846</v>
      </c>
      <c r="J4898">
        <v>-353.28129999999999</v>
      </c>
      <c r="K4898">
        <v>1.104749</v>
      </c>
      <c r="L4898">
        <v>16.755189999999999</v>
      </c>
      <c r="M4898">
        <v>0.99995919999999905</v>
      </c>
      <c r="N4898">
        <v>0</v>
      </c>
      <c r="O4898">
        <v>-3.9837140000000002E-3</v>
      </c>
      <c r="P4898">
        <v>0.99568670000000004</v>
      </c>
      <c r="Q4898">
        <v>2.3033319999999999E-2</v>
      </c>
      <c r="R4898">
        <v>8.9875910000000003E-2</v>
      </c>
      <c r="S4898">
        <v>3.0567630000000001</v>
      </c>
      <c r="T4898">
        <v>-0.142065</v>
      </c>
      <c r="U4898">
        <v>-0.44198609999999999</v>
      </c>
      <c r="V4898">
        <v>-9.3892229999999993E-2</v>
      </c>
      <c r="W4898">
        <v>3.0967829999999998E-2</v>
      </c>
      <c r="X4898">
        <v>0.995100599999999</v>
      </c>
      <c r="Y4898">
        <v>0.1390179</v>
      </c>
      <c r="Z4898">
        <v>-3.0279740000000001E-3</v>
      </c>
      <c r="AA4898">
        <v>0.99028519999999898</v>
      </c>
      <c r="AB4898">
        <v>30</v>
      </c>
      <c r="AC4898">
        <v>23.603099999999898</v>
      </c>
      <c r="AD4898">
        <v>-1.1047507834999899</v>
      </c>
      <c r="AE4898">
        <v>-3.4367299999999901</v>
      </c>
      <c r="AF4898">
        <v>3.3355160972301801</v>
      </c>
      <c r="AG4898">
        <v>-1.1047507834999899</v>
      </c>
      <c r="AH4898">
        <v>23.566048857792001</v>
      </c>
      <c r="AI4898">
        <v>92.657549733359602</v>
      </c>
      <c r="AJ4898">
        <v>81.943922166861299</v>
      </c>
      <c r="AK4898">
        <v>23.826556626931399</v>
      </c>
    </row>
    <row r="4899" spans="1:37" x14ac:dyDescent="0.2">
      <c r="A4899" t="str">
        <f>"20200111153530256"</f>
        <v>20200111153530256</v>
      </c>
      <c r="B4899" t="str">
        <f>"1578728130250372"</f>
        <v>1578728130250372</v>
      </c>
      <c r="C4899" t="s">
        <v>37</v>
      </c>
      <c r="D4899">
        <v>5.0364089999999999</v>
      </c>
      <c r="E4899">
        <v>0.59049759999999996</v>
      </c>
      <c r="F4899" t="s">
        <v>39</v>
      </c>
      <c r="G4899">
        <v>-328.49709999999999</v>
      </c>
      <c r="H4899" s="1">
        <v>-2.2930560000000002E-6</v>
      </c>
      <c r="I4899">
        <v>13.10798</v>
      </c>
      <c r="J4899">
        <v>-353.1071</v>
      </c>
      <c r="K4899">
        <v>1.1047559999999901</v>
      </c>
      <c r="L4899">
        <v>16.754939999999898</v>
      </c>
      <c r="M4899">
        <v>0.99996079999999998</v>
      </c>
      <c r="N4899">
        <v>0</v>
      </c>
      <c r="O4899">
        <v>-3.4832159999999999E-3</v>
      </c>
      <c r="P4899">
        <v>0.99573419999999901</v>
      </c>
      <c r="Q4899">
        <v>2.3111139999999999E-2</v>
      </c>
      <c r="R4899">
        <v>8.9327169999999997E-2</v>
      </c>
      <c r="S4899">
        <v>3.0567630000000001</v>
      </c>
      <c r="T4899">
        <v>-0.13625489999999901</v>
      </c>
      <c r="U4899">
        <v>-0.44982909999999998</v>
      </c>
      <c r="V4899">
        <v>-9.2846120000000004E-2</v>
      </c>
      <c r="W4899">
        <v>3.1059340000000001E-2</v>
      </c>
      <c r="X4899">
        <v>0.99519590000000002</v>
      </c>
      <c r="Y4899">
        <v>0.142009</v>
      </c>
      <c r="Z4899">
        <v>-2.9921769999999999E-3</v>
      </c>
      <c r="AA4899">
        <v>0.98986079999999999</v>
      </c>
      <c r="AB4899">
        <v>30</v>
      </c>
      <c r="AC4899">
        <v>24.61</v>
      </c>
      <c r="AD4899">
        <v>-1.10475829305599</v>
      </c>
      <c r="AE4899">
        <v>-3.6469599999999902</v>
      </c>
      <c r="AF4899">
        <v>3.5542046750507601</v>
      </c>
      <c r="AG4899">
        <v>-1.10475829305599</v>
      </c>
      <c r="AH4899">
        <v>24.5740974522583</v>
      </c>
      <c r="AI4899">
        <v>92.547595423578201</v>
      </c>
      <c r="AJ4899">
        <v>81.770255809549994</v>
      </c>
      <c r="AK4899">
        <v>24.854358317029899</v>
      </c>
    </row>
    <row r="4900" spans="1:37" x14ac:dyDescent="0.2">
      <c r="A4900" t="str">
        <f>"20200111153530273"</f>
        <v>20200111153530273</v>
      </c>
      <c r="B4900" t="str">
        <f>"1578728130261108"</f>
        <v>1578728130261108</v>
      </c>
      <c r="C4900" t="s">
        <v>37</v>
      </c>
      <c r="D4900">
        <v>5.0116129999999997</v>
      </c>
      <c r="E4900">
        <v>0.590138099999999</v>
      </c>
      <c r="F4900" t="s">
        <v>39</v>
      </c>
      <c r="G4900">
        <v>-329.05590000000001</v>
      </c>
      <c r="H4900" s="1">
        <v>-2.047196E-6</v>
      </c>
      <c r="I4900">
        <v>13.225479999999999</v>
      </c>
      <c r="J4900">
        <v>-352.88729999999998</v>
      </c>
      <c r="K4900">
        <v>1.1047750000000001</v>
      </c>
      <c r="L4900">
        <v>16.754819999999999</v>
      </c>
      <c r="M4900">
        <v>0.99996280000000004</v>
      </c>
      <c r="N4900">
        <v>0</v>
      </c>
      <c r="O4900">
        <v>-2.8559979999999998E-3</v>
      </c>
      <c r="P4900">
        <v>0.99582329999999997</v>
      </c>
      <c r="Q4900">
        <v>2.413649E-2</v>
      </c>
      <c r="R4900">
        <v>8.805441E-2</v>
      </c>
      <c r="S4900">
        <v>3.0563660000000001</v>
      </c>
      <c r="T4900">
        <v>-0.14039019999999999</v>
      </c>
      <c r="U4900">
        <v>-0.44851679999999999</v>
      </c>
      <c r="V4900">
        <v>-9.0950920000000005E-2</v>
      </c>
      <c r="W4900">
        <v>3.210358E-2</v>
      </c>
      <c r="X4900">
        <v>0.99533780000000005</v>
      </c>
      <c r="Y4900">
        <v>0.14222309999999999</v>
      </c>
      <c r="Z4900">
        <v>-3.1169150000000001E-3</v>
      </c>
      <c r="AA4900">
        <v>0.98982969999999904</v>
      </c>
      <c r="AB4900">
        <v>30</v>
      </c>
      <c r="AC4900">
        <v>23.831399999999899</v>
      </c>
      <c r="AD4900">
        <v>-1.1047770471959999</v>
      </c>
      <c r="AE4900">
        <v>-3.5293399999999999</v>
      </c>
      <c r="AF4900">
        <v>3.4539973525951599</v>
      </c>
      <c r="AG4900">
        <v>-1.1047770471959999</v>
      </c>
      <c r="AH4900">
        <v>23.791351013337099</v>
      </c>
      <c r="AI4900">
        <v>92.631137351915896</v>
      </c>
      <c r="AJ4900">
        <v>81.739585245471801</v>
      </c>
      <c r="AK4900">
        <v>24.066138308327801</v>
      </c>
    </row>
    <row r="4901" spans="1:37" x14ac:dyDescent="0.2">
      <c r="A4901" t="str">
        <f>"20200111153530285"</f>
        <v>20200111153530285</v>
      </c>
      <c r="B4901" t="str">
        <f>"1578728130280628"</f>
        <v>1578728130280628</v>
      </c>
      <c r="C4901" t="s">
        <v>37</v>
      </c>
      <c r="D4901">
        <v>5.0037570000000002</v>
      </c>
      <c r="E4901">
        <v>0.58947059999999996</v>
      </c>
      <c r="F4901" t="s">
        <v>39</v>
      </c>
      <c r="G4901">
        <v>-328.90780000000001</v>
      </c>
      <c r="H4901" s="1">
        <v>-2.1040459999999899E-6</v>
      </c>
      <c r="I4901">
        <v>13.225589999999899</v>
      </c>
      <c r="J4901">
        <v>-352.7371</v>
      </c>
      <c r="K4901">
        <v>1.104786</v>
      </c>
      <c r="L4901">
        <v>16.754819999999999</v>
      </c>
      <c r="M4901">
        <v>0.99996390000000002</v>
      </c>
      <c r="N4901">
        <v>0</v>
      </c>
      <c r="O4901">
        <v>-2.4280759999999999E-3</v>
      </c>
      <c r="P4901">
        <v>0.99584850000000003</v>
      </c>
      <c r="Q4901">
        <v>2.4774480000000002E-2</v>
      </c>
      <c r="R4901">
        <v>8.7592039999999996E-2</v>
      </c>
      <c r="S4901">
        <v>3.0557560000000001</v>
      </c>
      <c r="T4901">
        <v>-0.14078379999999999</v>
      </c>
      <c r="U4901">
        <v>-0.44973750000000001</v>
      </c>
      <c r="V4901">
        <v>-9.0063359999999995E-2</v>
      </c>
      <c r="W4901">
        <v>3.275459E-2</v>
      </c>
      <c r="X4901">
        <v>0.99539730000000004</v>
      </c>
      <c r="Y4901">
        <v>0.14305989999999999</v>
      </c>
      <c r="Z4901">
        <v>-3.164933E-3</v>
      </c>
      <c r="AA4901">
        <v>0.98970899999999995</v>
      </c>
      <c r="AB4901">
        <v>30</v>
      </c>
      <c r="AC4901">
        <v>23.8292999999999</v>
      </c>
      <c r="AD4901">
        <v>-1.1047881040459999</v>
      </c>
      <c r="AE4901">
        <v>-3.5292300000000001</v>
      </c>
      <c r="AF4901">
        <v>3.4640721600923299</v>
      </c>
      <c r="AG4901">
        <v>-1.1047881040459999</v>
      </c>
      <c r="AH4901">
        <v>23.787765209973401</v>
      </c>
      <c r="AI4901">
        <v>92.631393054747207</v>
      </c>
      <c r="AJ4901">
        <v>81.714593305781705</v>
      </c>
      <c r="AK4901">
        <v>24.064042186839401</v>
      </c>
    </row>
    <row r="4902" spans="1:37" x14ac:dyDescent="0.2">
      <c r="A4902" t="str">
        <f>"20200111153530297"</f>
        <v>20200111153530297</v>
      </c>
      <c r="B4902" t="str">
        <f>"1578728130290388"</f>
        <v>1578728130290388</v>
      </c>
      <c r="C4902" t="s">
        <v>37</v>
      </c>
      <c r="D4902">
        <v>4.8409379999999897</v>
      </c>
      <c r="E4902">
        <v>0.58985509999999997</v>
      </c>
      <c r="F4902" t="s">
        <v>39</v>
      </c>
      <c r="G4902">
        <v>-329.8066</v>
      </c>
      <c r="H4902" s="1">
        <v>-1.710126E-6</v>
      </c>
      <c r="I4902">
        <v>13.408849999999999</v>
      </c>
      <c r="J4902">
        <v>-352.5752</v>
      </c>
      <c r="K4902">
        <v>1.1048009999999999</v>
      </c>
      <c r="L4902">
        <v>16.754850000000001</v>
      </c>
      <c r="M4902">
        <v>0.99996479999999999</v>
      </c>
      <c r="N4902">
        <v>0</v>
      </c>
      <c r="O4902">
        <v>-1.9674929999999998E-3</v>
      </c>
      <c r="P4902">
        <v>0.99585970000000001</v>
      </c>
      <c r="Q4902">
        <v>2.5575859999999999E-2</v>
      </c>
      <c r="R4902">
        <v>8.7232599999999993E-2</v>
      </c>
      <c r="S4902">
        <v>3.0553590000000002</v>
      </c>
      <c r="T4902">
        <v>-0.1472067</v>
      </c>
      <c r="U4902">
        <v>-0.44583129999999999</v>
      </c>
      <c r="V4902">
        <v>-8.9246909999999999E-2</v>
      </c>
      <c r="W4902">
        <v>3.3571440000000001E-2</v>
      </c>
      <c r="X4902">
        <v>0.99544359999999998</v>
      </c>
      <c r="Y4902">
        <v>0.1422822</v>
      </c>
      <c r="Z4902">
        <v>-3.3133279999999999E-3</v>
      </c>
      <c r="AA4902">
        <v>0.98982060000000005</v>
      </c>
      <c r="AB4902">
        <v>30</v>
      </c>
      <c r="AC4902">
        <v>22.7685999999999</v>
      </c>
      <c r="AD4902">
        <v>-1.1048027101259901</v>
      </c>
      <c r="AE4902">
        <v>-3.3460000000000001</v>
      </c>
      <c r="AF4902">
        <v>3.2936041484099299</v>
      </c>
      <c r="AG4902">
        <v>-1.1048027101259901</v>
      </c>
      <c r="AH4902">
        <v>22.7227698376002</v>
      </c>
      <c r="AI4902">
        <v>92.754839553314099</v>
      </c>
      <c r="AJ4902">
        <v>81.752570073901097</v>
      </c>
      <c r="AK4902">
        <v>22.986793739172899</v>
      </c>
    </row>
    <row r="4903" spans="1:37" x14ac:dyDescent="0.2">
      <c r="A4903" t="str">
        <f>"20200111153530309"</f>
        <v>20200111153530309</v>
      </c>
      <c r="B4903" t="str">
        <f>"1578728130301124"</f>
        <v>1578728130301124</v>
      </c>
      <c r="C4903" t="s">
        <v>37</v>
      </c>
      <c r="D4903">
        <v>4.8282480000000003</v>
      </c>
      <c r="E4903">
        <v>0.59022159999999901</v>
      </c>
      <c r="F4903" t="s">
        <v>39</v>
      </c>
      <c r="G4903">
        <v>-328.74189999999999</v>
      </c>
      <c r="H4903" s="1">
        <v>-2.16266699999999E-6</v>
      </c>
      <c r="I4903">
        <v>13.24475</v>
      </c>
      <c r="J4903">
        <v>-352.4058</v>
      </c>
      <c r="K4903">
        <v>1.1048149999999901</v>
      </c>
      <c r="L4903">
        <v>16.754999999999999</v>
      </c>
      <c r="M4903">
        <v>0.9999654</v>
      </c>
      <c r="N4903">
        <v>0</v>
      </c>
      <c r="O4903">
        <v>-1.48569E-3</v>
      </c>
      <c r="P4903">
        <v>0.99585939999999995</v>
      </c>
      <c r="Q4903">
        <v>2.6334349999999999E-2</v>
      </c>
      <c r="R4903">
        <v>8.700977E-2</v>
      </c>
      <c r="S4903">
        <v>3.055542</v>
      </c>
      <c r="T4903">
        <v>-0.14164099999999999</v>
      </c>
      <c r="U4903">
        <v>-0.45001219999999997</v>
      </c>
      <c r="V4903">
        <v>-8.8545830000000006E-2</v>
      </c>
      <c r="W4903">
        <v>3.434537E-2</v>
      </c>
      <c r="X4903">
        <v>0.99547980000000003</v>
      </c>
      <c r="Y4903">
        <v>0.14408570000000001</v>
      </c>
      <c r="Z4903">
        <v>-3.2514449999999999E-3</v>
      </c>
      <c r="AA4903">
        <v>0.98955990000000005</v>
      </c>
      <c r="AB4903">
        <v>30</v>
      </c>
      <c r="AC4903">
        <v>23.663900000000002</v>
      </c>
      <c r="AD4903">
        <v>-1.10481716266699</v>
      </c>
      <c r="AE4903">
        <v>-3.5102499999999899</v>
      </c>
      <c r="AF4903">
        <v>3.4676917432660099</v>
      </c>
      <c r="AG4903">
        <v>-1.10481716266699</v>
      </c>
      <c r="AH4903">
        <v>23.618714577380601</v>
      </c>
      <c r="AI4903">
        <v>92.649817139813507</v>
      </c>
      <c r="AJ4903">
        <v>81.647527089099</v>
      </c>
      <c r="AK4903">
        <v>23.897472361674701</v>
      </c>
    </row>
    <row r="4904" spans="1:37" x14ac:dyDescent="0.2">
      <c r="A4904" t="str">
        <f>"20200111153530322"</f>
        <v>20200111153530322</v>
      </c>
      <c r="B4904" t="str">
        <f>"1578728130310445"</f>
        <v>1578728130310445</v>
      </c>
      <c r="C4904" t="s">
        <v>37</v>
      </c>
      <c r="D4904">
        <v>4.8283120000000004</v>
      </c>
      <c r="E4904">
        <v>0.59054830000000003</v>
      </c>
      <c r="F4904" t="s">
        <v>39</v>
      </c>
      <c r="G4904">
        <v>-327.68900000000002</v>
      </c>
      <c r="H4904" s="1">
        <v>-2.6093379999999999E-6</v>
      </c>
      <c r="I4904">
        <v>13.085610000000001</v>
      </c>
      <c r="J4904">
        <v>-352.23469999999998</v>
      </c>
      <c r="K4904">
        <v>1.1048309999999999</v>
      </c>
      <c r="L4904">
        <v>16.755220000000001</v>
      </c>
      <c r="M4904">
        <v>0.99996600000000002</v>
      </c>
      <c r="N4904">
        <v>0</v>
      </c>
      <c r="O4904">
        <v>-9.9852199999999995E-4</v>
      </c>
      <c r="P4904">
        <v>0.99586359999999996</v>
      </c>
      <c r="Q4904">
        <v>2.7264050000000001E-2</v>
      </c>
      <c r="R4904">
        <v>8.6676210000000004E-2</v>
      </c>
      <c r="S4904">
        <v>3.0557249999999998</v>
      </c>
      <c r="T4904">
        <v>-0.13658779999999901</v>
      </c>
      <c r="U4904">
        <v>-0.45364379999999999</v>
      </c>
      <c r="V4904">
        <v>-8.7728840000000002E-2</v>
      </c>
      <c r="W4904">
        <v>3.5290849999999999E-2</v>
      </c>
      <c r="X4904">
        <v>0.99551900000000004</v>
      </c>
      <c r="Y4904">
        <v>0.1457184</v>
      </c>
      <c r="Z4904">
        <v>-3.1930249999999999E-3</v>
      </c>
      <c r="AA4904">
        <v>0.98932089999999995</v>
      </c>
      <c r="AB4904">
        <v>30</v>
      </c>
      <c r="AC4904">
        <v>24.545699999999901</v>
      </c>
      <c r="AD4904">
        <v>-1.10483360933799</v>
      </c>
      <c r="AE4904">
        <v>-3.66961</v>
      </c>
      <c r="AF4904">
        <v>3.6378886385130098</v>
      </c>
      <c r="AG4904">
        <v>-1.10483360933799</v>
      </c>
      <c r="AH4904">
        <v>24.500798264040299</v>
      </c>
      <c r="AI4904">
        <v>92.553972329595098</v>
      </c>
      <c r="AJ4904">
        <v>81.554403374085993</v>
      </c>
      <c r="AK4904">
        <v>24.794031673484401</v>
      </c>
    </row>
    <row r="4905" spans="1:37" x14ac:dyDescent="0.2">
      <c r="A4905" t="str">
        <f>"20200111153530333"</f>
        <v>20200111153530333</v>
      </c>
      <c r="B4905" t="str">
        <f>"1578728130321181"</f>
        <v>1578728130321181</v>
      </c>
      <c r="C4905" t="s">
        <v>37</v>
      </c>
      <c r="D4905">
        <v>4.8422269999999896</v>
      </c>
      <c r="E4905">
        <v>0.59086539999999999</v>
      </c>
      <c r="F4905" t="s">
        <v>39</v>
      </c>
      <c r="G4905">
        <v>-326.6155</v>
      </c>
      <c r="H4905" s="1">
        <v>-3.0649320000000001E-6</v>
      </c>
      <c r="I4905">
        <v>12.922610000000001</v>
      </c>
      <c r="J4905">
        <v>-352.07650000000001</v>
      </c>
      <c r="K4905">
        <v>1.1048439999999999</v>
      </c>
      <c r="L4905">
        <v>16.755489999999899</v>
      </c>
      <c r="M4905">
        <v>0.99996620000000003</v>
      </c>
      <c r="N4905">
        <v>0</v>
      </c>
      <c r="O4905">
        <v>-5.4746910000000001E-4</v>
      </c>
      <c r="P4905">
        <v>0.99587190000000003</v>
      </c>
      <c r="Q4905">
        <v>2.7808220000000002E-2</v>
      </c>
      <c r="R4905">
        <v>8.6407319999999996E-2</v>
      </c>
      <c r="S4905">
        <v>3.055847</v>
      </c>
      <c r="T4905">
        <v>-0.13178429999999999</v>
      </c>
      <c r="U4905">
        <v>-0.45715329999999899</v>
      </c>
      <c r="V4905">
        <v>-8.7011710000000006E-2</v>
      </c>
      <c r="W4905">
        <v>3.5848869999999998E-2</v>
      </c>
      <c r="X4905">
        <v>0.99556209999999901</v>
      </c>
      <c r="Y4905">
        <v>0.1472782</v>
      </c>
      <c r="Z4905">
        <v>-3.1332249999999999E-3</v>
      </c>
      <c r="AA4905">
        <v>0.98909009999999997</v>
      </c>
      <c r="AB4905">
        <v>30</v>
      </c>
      <c r="AC4905">
        <v>25.460999999999999</v>
      </c>
      <c r="AD4905">
        <v>-1.1048470649319999</v>
      </c>
      <c r="AE4905">
        <v>-3.8328799999999901</v>
      </c>
      <c r="AF4905">
        <v>3.81192100862383</v>
      </c>
      <c r="AG4905">
        <v>-1.1048470649319999</v>
      </c>
      <c r="AH4905">
        <v>25.416295965987398</v>
      </c>
      <c r="AI4905">
        <v>92.461585194871105</v>
      </c>
      <c r="AJ4905">
        <v>81.470388296758898</v>
      </c>
      <c r="AK4905">
        <v>25.724298424710199</v>
      </c>
    </row>
    <row r="4906" spans="1:37" x14ac:dyDescent="0.2">
      <c r="A4906" t="str">
        <f>"20200111153530345"</f>
        <v>20200111153530345</v>
      </c>
      <c r="B4906" t="str">
        <f>"1578728130340701"</f>
        <v>1578728130340701</v>
      </c>
      <c r="C4906" t="s">
        <v>37</v>
      </c>
      <c r="D4906">
        <v>4.7917759999999996</v>
      </c>
      <c r="E4906">
        <v>0.59141889999999997</v>
      </c>
      <c r="F4906" t="s">
        <v>39</v>
      </c>
      <c r="G4906">
        <v>-325.67860000000002</v>
      </c>
      <c r="H4906" s="1">
        <v>-3.4634070000000001E-6</v>
      </c>
      <c r="I4906">
        <v>12.777229999999999</v>
      </c>
      <c r="J4906">
        <v>-351.92009999999999</v>
      </c>
      <c r="K4906">
        <v>1.104854</v>
      </c>
      <c r="L4906">
        <v>16.75583</v>
      </c>
      <c r="M4906">
        <v>0.99996609999999997</v>
      </c>
      <c r="N4906">
        <v>0</v>
      </c>
      <c r="O4906">
        <v>-1.004747E-4</v>
      </c>
      <c r="P4906">
        <v>0.99586109999999906</v>
      </c>
      <c r="Q4906">
        <v>2.826795E-2</v>
      </c>
      <c r="R4906">
        <v>8.6381470000000002E-2</v>
      </c>
      <c r="S4906">
        <v>3.055939</v>
      </c>
      <c r="T4906">
        <v>-0.12790199999999999</v>
      </c>
      <c r="U4906">
        <v>-0.46054079999999997</v>
      </c>
      <c r="V4906">
        <v>-8.6542140000000004E-2</v>
      </c>
      <c r="W4906">
        <v>3.632349E-2</v>
      </c>
      <c r="X4906">
        <v>0.99558579999999997</v>
      </c>
      <c r="Y4906">
        <v>0.14879419999999999</v>
      </c>
      <c r="Z4906">
        <v>-3.0907920000000002E-3</v>
      </c>
      <c r="AA4906">
        <v>0.9888633</v>
      </c>
      <c r="AB4906">
        <v>30</v>
      </c>
      <c r="AC4906">
        <v>26.241499999999899</v>
      </c>
      <c r="AD4906">
        <v>-1.1048574634070001</v>
      </c>
      <c r="AE4906">
        <v>-3.9786000000000001</v>
      </c>
      <c r="AF4906">
        <v>3.9690853893456999</v>
      </c>
      <c r="AG4906">
        <v>-1.1048574634070001</v>
      </c>
      <c r="AH4906">
        <v>26.196504589436099</v>
      </c>
      <c r="AI4906">
        <v>92.387841775832598</v>
      </c>
      <c r="AJ4906">
        <v>81.384527079288503</v>
      </c>
      <c r="AK4906">
        <v>26.518506774453002</v>
      </c>
    </row>
    <row r="4907" spans="1:37" x14ac:dyDescent="0.2">
      <c r="A4907" t="str">
        <f>"20200111153530363"</f>
        <v>20200111153530363</v>
      </c>
      <c r="B4907" t="str">
        <f>"1578728130350461"</f>
        <v>1578728130350461</v>
      </c>
      <c r="C4907" t="s">
        <v>37</v>
      </c>
      <c r="D4907">
        <v>4.8388220000000004</v>
      </c>
      <c r="E4907">
        <v>0.59164289999999997</v>
      </c>
      <c r="F4907" t="s">
        <v>39</v>
      </c>
      <c r="G4907">
        <v>-324.35250000000002</v>
      </c>
      <c r="H4907" s="1">
        <v>-4.030154E-6</v>
      </c>
      <c r="I4907">
        <v>12.56105</v>
      </c>
      <c r="J4907">
        <v>-351.68630000000002</v>
      </c>
      <c r="K4907">
        <v>1.1048659999999999</v>
      </c>
      <c r="L4907">
        <v>16.756499999999999</v>
      </c>
      <c r="M4907">
        <v>0.99996600000000002</v>
      </c>
      <c r="N4907">
        <v>0</v>
      </c>
      <c r="O4907">
        <v>5.6845989999999998E-4</v>
      </c>
      <c r="P4907">
        <v>0.99585409999999996</v>
      </c>
      <c r="Q4907">
        <v>2.850078E-2</v>
      </c>
      <c r="R4907">
        <v>8.6385760000000006E-2</v>
      </c>
      <c r="S4907">
        <v>3.056305</v>
      </c>
      <c r="T4907">
        <v>-0.122491</v>
      </c>
      <c r="U4907">
        <v>-0.46505740000000001</v>
      </c>
      <c r="V4907">
        <v>-8.5880479999999995E-2</v>
      </c>
      <c r="W4907">
        <v>3.6579849999999997E-2</v>
      </c>
      <c r="X4907">
        <v>0.99563369999999995</v>
      </c>
      <c r="Y4907">
        <v>0.15087490000000001</v>
      </c>
      <c r="Z4907">
        <v>-3.0275499999999999E-3</v>
      </c>
      <c r="AA4907">
        <v>0.98854819999999999</v>
      </c>
      <c r="AB4907">
        <v>30</v>
      </c>
      <c r="AC4907">
        <v>27.3338</v>
      </c>
      <c r="AD4907">
        <v>-1.104870030154</v>
      </c>
      <c r="AE4907">
        <v>-4.1954499999999904</v>
      </c>
      <c r="AF4907">
        <v>4.2042768078866102</v>
      </c>
      <c r="AG4907">
        <v>-1.104870030154</v>
      </c>
      <c r="AH4907">
        <v>27.287851465513299</v>
      </c>
      <c r="AI4907">
        <v>92.291597874004793</v>
      </c>
      <c r="AJ4907">
        <v>81.241232282052096</v>
      </c>
      <c r="AK4907">
        <v>27.631929336634801</v>
      </c>
    </row>
    <row r="4908" spans="1:37" x14ac:dyDescent="0.2">
      <c r="A4908" t="str">
        <f>"20200111153530374"</f>
        <v>20200111153530374</v>
      </c>
      <c r="B4908" t="str">
        <f>"1578728130370958"</f>
        <v>1578728130370958</v>
      </c>
      <c r="C4908" t="s">
        <v>37</v>
      </c>
      <c r="D4908">
        <v>4.7806439999999997</v>
      </c>
      <c r="E4908">
        <v>0.59205059999999998</v>
      </c>
      <c r="F4908" t="s">
        <v>39</v>
      </c>
      <c r="G4908">
        <v>-323.55439999999999</v>
      </c>
      <c r="H4908" s="1">
        <v>-4.3637009999999996E-6</v>
      </c>
      <c r="I4908">
        <v>12.45945</v>
      </c>
      <c r="J4908">
        <v>-351.52800000000002</v>
      </c>
      <c r="K4908">
        <v>1.10487</v>
      </c>
      <c r="L4908">
        <v>16.757020000000001</v>
      </c>
      <c r="M4908">
        <v>0.99996529999999995</v>
      </c>
      <c r="N4908">
        <v>0</v>
      </c>
      <c r="O4908">
        <v>1.0225989999999999E-3</v>
      </c>
      <c r="P4908">
        <v>0.99584349999999999</v>
      </c>
      <c r="Q4908">
        <v>2.8439570000000001E-2</v>
      </c>
      <c r="R4908">
        <v>8.6526649999999997E-2</v>
      </c>
      <c r="S4908">
        <v>3.0564269999999998</v>
      </c>
      <c r="T4908">
        <v>-0.1200397</v>
      </c>
      <c r="U4908">
        <v>-0.46685789999999999</v>
      </c>
      <c r="V4908">
        <v>-8.5568720000000001E-2</v>
      </c>
      <c r="W4908">
        <v>3.6534589999999999E-2</v>
      </c>
      <c r="X4908">
        <v>0.99566219999999905</v>
      </c>
      <c r="Y4908">
        <v>0.15189059999999999</v>
      </c>
      <c r="Z4908">
        <v>-3.0043119999999999E-3</v>
      </c>
      <c r="AA4908">
        <v>0.98839279999999996</v>
      </c>
      <c r="AB4908">
        <v>30</v>
      </c>
      <c r="AC4908">
        <v>27.973600000000001</v>
      </c>
      <c r="AD4908">
        <v>-1.1048743637009999</v>
      </c>
      <c r="AE4908">
        <v>-4.2975700000000003</v>
      </c>
      <c r="AF4908">
        <v>4.3195912522433497</v>
      </c>
      <c r="AG4908">
        <v>-1.1048743637009999</v>
      </c>
      <c r="AH4908">
        <v>27.926629078045099</v>
      </c>
      <c r="AI4908">
        <v>92.239039871158695</v>
      </c>
      <c r="AJ4908">
        <v>81.207372212226403</v>
      </c>
      <c r="AK4908">
        <v>28.2803151964177</v>
      </c>
    </row>
    <row r="4909" spans="1:37" x14ac:dyDescent="0.2">
      <c r="A4909" t="str">
        <f>"20200111153530385"</f>
        <v>20200111153530385</v>
      </c>
      <c r="B4909" t="str">
        <f>"1578728130380717"</f>
        <v>1578728130380717</v>
      </c>
      <c r="C4909" t="s">
        <v>37</v>
      </c>
      <c r="D4909">
        <v>4.8228609999999996</v>
      </c>
      <c r="E4909">
        <v>0.59224250000000001</v>
      </c>
      <c r="F4909" t="s">
        <v>39</v>
      </c>
      <c r="G4909">
        <v>-322.16890000000001</v>
      </c>
      <c r="H4909" s="1">
        <v>-4.9897650000000002E-6</v>
      </c>
      <c r="I4909">
        <v>12.2455199999999</v>
      </c>
      <c r="J4909">
        <v>-351.38279999999997</v>
      </c>
      <c r="K4909">
        <v>1.1048739999999999</v>
      </c>
      <c r="L4909">
        <v>16.757570000000001</v>
      </c>
      <c r="M4909">
        <v>0.99996469999999904</v>
      </c>
      <c r="N4909">
        <v>0</v>
      </c>
      <c r="O4909">
        <v>1.4393710000000001E-3</v>
      </c>
      <c r="P4909">
        <v>0.99585780000000002</v>
      </c>
      <c r="Q4909">
        <v>2.781604E-2</v>
      </c>
      <c r="R4909">
        <v>8.6566050000000005E-2</v>
      </c>
      <c r="S4909">
        <v>3.05661</v>
      </c>
      <c r="T4909">
        <v>-0.11502950000000001</v>
      </c>
      <c r="U4909">
        <v>-0.469696</v>
      </c>
      <c r="V4909">
        <v>-8.5192680000000007E-2</v>
      </c>
      <c r="W4909">
        <v>3.592559E-2</v>
      </c>
      <c r="X4909">
        <v>0.99571659999999995</v>
      </c>
      <c r="Y4909">
        <v>0.15319849999999999</v>
      </c>
      <c r="Z4909">
        <v>-2.9186839999999999E-3</v>
      </c>
      <c r="AA4909">
        <v>0.98819109999999999</v>
      </c>
      <c r="AB4909">
        <v>30</v>
      </c>
      <c r="AC4909">
        <v>29.213899999999899</v>
      </c>
      <c r="AD4909">
        <v>-1.104878989765</v>
      </c>
      <c r="AE4909">
        <v>-4.5120500000000003</v>
      </c>
      <c r="AF4909">
        <v>4.5477429797475803</v>
      </c>
      <c r="AG4909">
        <v>-1.104878989765</v>
      </c>
      <c r="AH4909">
        <v>29.166627743111299</v>
      </c>
      <c r="AI4909">
        <v>92.143543630466496</v>
      </c>
      <c r="AJ4909">
        <v>81.137640782194097</v>
      </c>
      <c r="AK4909">
        <v>29.539717292098398</v>
      </c>
    </row>
    <row r="4910" spans="1:37" x14ac:dyDescent="0.2">
      <c r="A4910" t="str">
        <f>"20200111153530396"</f>
        <v>20200111153530396</v>
      </c>
      <c r="B4910" t="str">
        <f>"1578728130390477"</f>
        <v>1578728130390477</v>
      </c>
      <c r="C4910" t="s">
        <v>37</v>
      </c>
      <c r="D4910">
        <v>4.8392549999999996</v>
      </c>
      <c r="E4910">
        <v>0.59245769999999998</v>
      </c>
      <c r="F4910" t="s">
        <v>39</v>
      </c>
      <c r="G4910">
        <v>-322.04520000000002</v>
      </c>
      <c r="H4910" s="1">
        <v>-5.0498959999999996E-6</v>
      </c>
      <c r="I4910">
        <v>12.23596</v>
      </c>
      <c r="J4910">
        <v>-351.22879999999998</v>
      </c>
      <c r="K4910">
        <v>1.1048739999999999</v>
      </c>
      <c r="L4910">
        <v>16.758209999999998</v>
      </c>
      <c r="M4910">
        <v>0.99996379999999996</v>
      </c>
      <c r="N4910">
        <v>0</v>
      </c>
      <c r="O4910">
        <v>1.8821899999999999E-3</v>
      </c>
      <c r="P4910">
        <v>0.99586649999999999</v>
      </c>
      <c r="Q4910">
        <v>2.7372279999999999E-2</v>
      </c>
      <c r="R4910">
        <v>8.66088E-2</v>
      </c>
      <c r="S4910">
        <v>3.0566409999999999</v>
      </c>
      <c r="T4910">
        <v>-0.1151156</v>
      </c>
      <c r="U4910">
        <v>-0.47109989999999902</v>
      </c>
      <c r="V4910">
        <v>-8.4794190000000005E-2</v>
      </c>
      <c r="W4910">
        <v>3.5497180000000003E-2</v>
      </c>
      <c r="X4910">
        <v>0.99576600000000004</v>
      </c>
      <c r="Y4910">
        <v>0.15407689999999999</v>
      </c>
      <c r="Z4910">
        <v>-2.9537500000000002E-3</v>
      </c>
      <c r="AA4910">
        <v>0.98805449999999995</v>
      </c>
      <c r="AB4910">
        <v>30</v>
      </c>
      <c r="AC4910">
        <v>29.183599999999899</v>
      </c>
      <c r="AD4910">
        <v>-1.1048790498959999</v>
      </c>
      <c r="AE4910">
        <v>-4.5222499999999997</v>
      </c>
      <c r="AF4910">
        <v>4.5707750746027402</v>
      </c>
      <c r="AG4910">
        <v>-1.1048790498959999</v>
      </c>
      <c r="AH4910">
        <v>29.134255962373501</v>
      </c>
      <c r="AI4910">
        <v>92.145607825167005</v>
      </c>
      <c r="AJ4910">
        <v>81.083737717108306</v>
      </c>
      <c r="AK4910">
        <v>29.5113133048769</v>
      </c>
    </row>
    <row r="4911" spans="1:37" x14ac:dyDescent="0.2">
      <c r="A4911" t="str">
        <f>"20200111153530409"</f>
        <v>20200111153530409</v>
      </c>
      <c r="B4911" t="str">
        <f>"1578728130401213"</f>
        <v>1578728130401213</v>
      </c>
      <c r="C4911" t="s">
        <v>37</v>
      </c>
      <c r="D4911">
        <v>4.8197190000000001</v>
      </c>
      <c r="E4911">
        <v>0.59265449999999997</v>
      </c>
      <c r="F4911" t="s">
        <v>39</v>
      </c>
      <c r="G4911">
        <v>-321.7235</v>
      </c>
      <c r="H4911" s="1">
        <v>-5.2091940000000003E-6</v>
      </c>
      <c r="I4911">
        <v>12.19524</v>
      </c>
      <c r="J4911">
        <v>-351.0591</v>
      </c>
      <c r="K4911">
        <v>1.1048789999999999</v>
      </c>
      <c r="L4911">
        <v>16.759</v>
      </c>
      <c r="M4911">
        <v>0.99996260000000003</v>
      </c>
      <c r="N4911">
        <v>0</v>
      </c>
      <c r="O4911">
        <v>2.3700000000000001E-3</v>
      </c>
      <c r="P4911">
        <v>0.99586010000000003</v>
      </c>
      <c r="Q4911">
        <v>2.689532E-2</v>
      </c>
      <c r="R4911">
        <v>8.6829459999999997E-2</v>
      </c>
      <c r="S4911">
        <v>3.056702</v>
      </c>
      <c r="T4911">
        <v>-0.11446389999999999</v>
      </c>
      <c r="U4911">
        <v>-0.47271729999999901</v>
      </c>
      <c r="V4911">
        <v>-8.4527290000000005E-2</v>
      </c>
      <c r="W4911">
        <v>3.5038279999999998E-2</v>
      </c>
      <c r="X4911">
        <v>0.99580489999999999</v>
      </c>
      <c r="Y4911">
        <v>0.1550667</v>
      </c>
      <c r="Z4911">
        <v>-2.973435E-3</v>
      </c>
      <c r="AA4911">
        <v>0.98789950000000004</v>
      </c>
      <c r="AB4911">
        <v>30</v>
      </c>
      <c r="AC4911">
        <v>29.335599999999999</v>
      </c>
      <c r="AD4911">
        <v>-1.1048842091940001</v>
      </c>
      <c r="AE4911">
        <v>-4.5637600000000003</v>
      </c>
      <c r="AF4911">
        <v>4.6268666294691903</v>
      </c>
      <c r="AG4911">
        <v>-1.1048842091940001</v>
      </c>
      <c r="AH4911">
        <v>29.284141829638301</v>
      </c>
      <c r="AI4911">
        <v>92.134281585273996</v>
      </c>
      <c r="AJ4911">
        <v>81.021542077446199</v>
      </c>
      <c r="AK4911">
        <v>29.6679899322653</v>
      </c>
    </row>
    <row r="4912" spans="1:37" x14ac:dyDescent="0.2">
      <c r="A4912" t="str">
        <f>"20200111153530421"</f>
        <v>20200111153530421</v>
      </c>
      <c r="B4912" t="str">
        <f>"1578728130410568"</f>
        <v>1578728130410568</v>
      </c>
      <c r="C4912" t="s">
        <v>37</v>
      </c>
      <c r="D4912">
        <v>4.8256030000000001</v>
      </c>
      <c r="E4912">
        <v>0.59282080000000004</v>
      </c>
      <c r="F4912" t="s">
        <v>39</v>
      </c>
      <c r="G4912">
        <v>-321.35399999999998</v>
      </c>
      <c r="H4912" s="1">
        <v>-5.39075399999999E-6</v>
      </c>
      <c r="I4912">
        <v>12.15645</v>
      </c>
      <c r="J4912">
        <v>-350.89339999999999</v>
      </c>
      <c r="K4912">
        <v>1.1048819999999999</v>
      </c>
      <c r="L4912">
        <v>16.759829999999901</v>
      </c>
      <c r="M4912">
        <v>0.9999614</v>
      </c>
      <c r="N4912">
        <v>0</v>
      </c>
      <c r="O4912">
        <v>2.8460669999999999E-3</v>
      </c>
      <c r="P4912">
        <v>0.99584039999999996</v>
      </c>
      <c r="Q4912">
        <v>2.6771530000000002E-2</v>
      </c>
      <c r="R4912">
        <v>8.7094950000000004E-2</v>
      </c>
      <c r="S4912">
        <v>3.056854</v>
      </c>
      <c r="T4912">
        <v>-0.11369990000000001</v>
      </c>
      <c r="U4912">
        <v>-0.47363279999999902</v>
      </c>
      <c r="V4912">
        <v>-8.4318669999999998E-2</v>
      </c>
      <c r="W4912">
        <v>3.4932489999999997E-2</v>
      </c>
      <c r="X4912">
        <v>0.99582630000000005</v>
      </c>
      <c r="Y4912">
        <v>0.15581909999999999</v>
      </c>
      <c r="Z4912">
        <v>-2.9848919999999998E-3</v>
      </c>
      <c r="AA4912">
        <v>0.98778109999999997</v>
      </c>
      <c r="AB4912">
        <v>30</v>
      </c>
      <c r="AC4912">
        <v>29.539399999999901</v>
      </c>
      <c r="AD4912">
        <v>-1.104887390754</v>
      </c>
      <c r="AE4912">
        <v>-4.6033799999999898</v>
      </c>
      <c r="AF4912">
        <v>4.6810416439094</v>
      </c>
      <c r="AG4912">
        <v>-1.104887390754</v>
      </c>
      <c r="AH4912">
        <v>29.485904256366101</v>
      </c>
      <c r="AI4912">
        <v>92.119449451143296</v>
      </c>
      <c r="AJ4912">
        <v>80.979276149018702</v>
      </c>
      <c r="AK4912">
        <v>29.875600024666401</v>
      </c>
    </row>
    <row r="4913" spans="1:37" x14ac:dyDescent="0.2">
      <c r="A4913" t="str">
        <f>"20200111153530433"</f>
        <v>20200111153530433</v>
      </c>
      <c r="B4913" t="str">
        <f>"1578728130420328"</f>
        <v>1578728130420328</v>
      </c>
      <c r="C4913" t="s">
        <v>37</v>
      </c>
      <c r="D4913">
        <v>4.8479279999999996</v>
      </c>
      <c r="E4913">
        <v>0.59297419999999901</v>
      </c>
      <c r="F4913" t="s">
        <v>39</v>
      </c>
      <c r="G4913">
        <v>-320.71660000000003</v>
      </c>
      <c r="H4913" s="1">
        <v>-5.7060019999999997E-6</v>
      </c>
      <c r="I4913">
        <v>12.07789</v>
      </c>
      <c r="J4913">
        <v>-350.73</v>
      </c>
      <c r="K4913">
        <v>1.1048849999999999</v>
      </c>
      <c r="L4913">
        <v>16.760770000000001</v>
      </c>
      <c r="M4913">
        <v>0.99995979999999995</v>
      </c>
      <c r="N4913">
        <v>0</v>
      </c>
      <c r="O4913">
        <v>3.3156979999999902E-3</v>
      </c>
      <c r="P4913">
        <v>0.99585159999999995</v>
      </c>
      <c r="Q4913">
        <v>2.6427840000000001E-2</v>
      </c>
      <c r="R4913">
        <v>8.7072040000000003E-2</v>
      </c>
      <c r="S4913">
        <v>3.0570680000000001</v>
      </c>
      <c r="T4913">
        <v>-0.11193069999999999</v>
      </c>
      <c r="U4913">
        <v>-0.47430420000000001</v>
      </c>
      <c r="V4913">
        <v>-8.3828130000000001E-2</v>
      </c>
      <c r="W4913">
        <v>3.4607480000000003E-2</v>
      </c>
      <c r="X4913">
        <v>0.99587909999999902</v>
      </c>
      <c r="Y4913">
        <v>0.15648699999999999</v>
      </c>
      <c r="Z4913">
        <v>-2.9674649999999999E-3</v>
      </c>
      <c r="AA4913">
        <v>0.98767549999999904</v>
      </c>
      <c r="AB4913">
        <v>30</v>
      </c>
      <c r="AC4913">
        <v>30.013399999999901</v>
      </c>
      <c r="AD4913">
        <v>-1.1048907060019999</v>
      </c>
      <c r="AE4913">
        <v>-4.6828799999999999</v>
      </c>
      <c r="AF4913">
        <v>4.7760543245714402</v>
      </c>
      <c r="AG4913">
        <v>-1.1048907060019999</v>
      </c>
      <c r="AH4913">
        <v>29.958072694734501</v>
      </c>
      <c r="AI4913">
        <v>92.085864398718897</v>
      </c>
      <c r="AJ4913">
        <v>80.941869978926604</v>
      </c>
      <c r="AK4913">
        <v>30.356508329622901</v>
      </c>
    </row>
    <row r="4914" spans="1:37" x14ac:dyDescent="0.2">
      <c r="A4914" t="str">
        <f>"20200111153530447"</f>
        <v>20200111153530447</v>
      </c>
      <c r="B4914" t="str">
        <f>"1578728130440824"</f>
        <v>1578728130440824</v>
      </c>
      <c r="C4914" t="s">
        <v>37</v>
      </c>
      <c r="D4914">
        <v>4.8082260000000003</v>
      </c>
      <c r="E4914">
        <v>0.59327299999999905</v>
      </c>
      <c r="F4914" t="s">
        <v>39</v>
      </c>
      <c r="G4914">
        <v>-320.26780000000002</v>
      </c>
      <c r="H4914" s="1">
        <v>-5.9285460000000001E-6</v>
      </c>
      <c r="I4914">
        <v>12.019349999999999</v>
      </c>
      <c r="J4914">
        <v>-350.54509999999999</v>
      </c>
      <c r="K4914">
        <v>1.1048879999999901</v>
      </c>
      <c r="L4914">
        <v>16.761900000000001</v>
      </c>
      <c r="M4914">
        <v>0.99995769999999995</v>
      </c>
      <c r="N4914">
        <v>0</v>
      </c>
      <c r="O4914">
        <v>3.8471949999999999E-3</v>
      </c>
      <c r="P4914">
        <v>0.99584169999999905</v>
      </c>
      <c r="Q4914">
        <v>2.607373E-2</v>
      </c>
      <c r="R4914">
        <v>8.7288889999999994E-2</v>
      </c>
      <c r="S4914">
        <v>3.0570680000000001</v>
      </c>
      <c r="T4914">
        <v>-0.1108823</v>
      </c>
      <c r="U4914">
        <v>-0.47583009999999898</v>
      </c>
      <c r="V4914">
        <v>-8.3514260000000007E-2</v>
      </c>
      <c r="W4914">
        <v>3.4272469999999999E-2</v>
      </c>
      <c r="X4914">
        <v>0.99591700000000005</v>
      </c>
      <c r="Y4914">
        <v>0.1574942</v>
      </c>
      <c r="Z4914">
        <v>-2.9768859999999898E-3</v>
      </c>
      <c r="AA4914">
        <v>0.98751540000000004</v>
      </c>
      <c r="AB4914">
        <v>30</v>
      </c>
      <c r="AC4914">
        <v>30.277299999999901</v>
      </c>
      <c r="AD4914">
        <v>-1.10489392854599</v>
      </c>
      <c r="AE4914">
        <v>-4.7425499999999996</v>
      </c>
      <c r="AF4914">
        <v>4.8526940607203004</v>
      </c>
      <c r="AG4914">
        <v>-1.10489392854599</v>
      </c>
      <c r="AH4914">
        <v>30.219550081213999</v>
      </c>
      <c r="AI4914">
        <v>92.067465247685405</v>
      </c>
      <c r="AJ4914">
        <v>80.877252408692101</v>
      </c>
      <c r="AK4914">
        <v>30.6266328111872</v>
      </c>
    </row>
    <row r="4915" spans="1:37" x14ac:dyDescent="0.2">
      <c r="A4915" t="str">
        <f>"20200111153530463"</f>
        <v>20200111153530463</v>
      </c>
      <c r="B4915" t="str">
        <f>"1578728130450584"</f>
        <v>1578728130450584</v>
      </c>
      <c r="C4915" t="s">
        <v>37</v>
      </c>
      <c r="D4915">
        <v>4.8099020000000001</v>
      </c>
      <c r="E4915">
        <v>0.5934275</v>
      </c>
      <c r="F4915" t="s">
        <v>38</v>
      </c>
      <c r="G4915">
        <v>-317.88619999999997</v>
      </c>
      <c r="H4915">
        <v>-0.05</v>
      </c>
      <c r="I4915">
        <v>11.659269999999999</v>
      </c>
      <c r="J4915">
        <v>-350.32499999999999</v>
      </c>
      <c r="K4915">
        <v>1.1048879999999901</v>
      </c>
      <c r="L4915">
        <v>16.763369999999998</v>
      </c>
      <c r="M4915">
        <v>0.99995480000000003</v>
      </c>
      <c r="N4915">
        <v>0</v>
      </c>
      <c r="O4915">
        <v>4.4797150000000004E-3</v>
      </c>
      <c r="P4915">
        <v>0.9958863</v>
      </c>
      <c r="Q4915">
        <v>2.5116860000000001E-2</v>
      </c>
      <c r="R4915">
        <v>8.7061780000000005E-2</v>
      </c>
      <c r="S4915">
        <v>3.05722</v>
      </c>
      <c r="T4915">
        <v>-0.10810979999999901</v>
      </c>
      <c r="U4915">
        <v>-0.47766110000000001</v>
      </c>
      <c r="V4915">
        <v>-8.2656350000000003E-2</v>
      </c>
      <c r="W4915">
        <v>3.3338390000000002E-2</v>
      </c>
      <c r="X4915">
        <v>0.99602029999999997</v>
      </c>
      <c r="Y4915">
        <v>0.15869259999999999</v>
      </c>
      <c r="Z4915">
        <v>-2.9455089999999998E-3</v>
      </c>
      <c r="AA4915">
        <v>0.98732359999999897</v>
      </c>
      <c r="AB4915">
        <v>30</v>
      </c>
      <c r="AC4915">
        <v>32.438800000000001</v>
      </c>
      <c r="AD4915">
        <v>-1.1548879999999999</v>
      </c>
      <c r="AE4915">
        <v>-5.1040999999999999</v>
      </c>
      <c r="AF4915">
        <v>5.2428856291472998</v>
      </c>
      <c r="AG4915">
        <v>-1.1548879999999999</v>
      </c>
      <c r="AH4915">
        <v>32.375563947803599</v>
      </c>
      <c r="AI4915">
        <v>92.016715239165805</v>
      </c>
      <c r="AJ4915">
        <v>80.801399454953895</v>
      </c>
      <c r="AK4915">
        <v>32.8176592241309</v>
      </c>
    </row>
    <row r="4916" spans="1:37" x14ac:dyDescent="0.2">
      <c r="A4916" t="str">
        <f>"20200111153530474"</f>
        <v>20200111153530474</v>
      </c>
      <c r="B4916" t="str">
        <f>"1578728130471080"</f>
        <v>1578728130471080</v>
      </c>
      <c r="C4916" t="s">
        <v>37</v>
      </c>
      <c r="D4916">
        <v>4.8006060000000002</v>
      </c>
      <c r="E4916">
        <v>0.59376229999999997</v>
      </c>
      <c r="F4916" t="s">
        <v>38</v>
      </c>
      <c r="G4916">
        <v>-317.90839999999997</v>
      </c>
      <c r="H4916">
        <v>-0.05</v>
      </c>
      <c r="I4916">
        <v>11.67638</v>
      </c>
      <c r="J4916">
        <v>-350.16180000000003</v>
      </c>
      <c r="K4916">
        <v>1.1048899999999999</v>
      </c>
      <c r="L4916">
        <v>16.764530000000001</v>
      </c>
      <c r="M4916">
        <v>0.99995239999999996</v>
      </c>
      <c r="N4916">
        <v>0</v>
      </c>
      <c r="O4916">
        <v>4.9484009999999998E-3</v>
      </c>
      <c r="P4916">
        <v>0.99592539999999996</v>
      </c>
      <c r="Q4916">
        <v>2.460963E-2</v>
      </c>
      <c r="R4916">
        <v>8.6759489999999995E-2</v>
      </c>
      <c r="S4916">
        <v>3.0570979999999999</v>
      </c>
      <c r="T4916">
        <v>-0.1089135</v>
      </c>
      <c r="U4916">
        <v>-0.4797363</v>
      </c>
      <c r="V4916">
        <v>-8.1885869999999999E-2</v>
      </c>
      <c r="W4916">
        <v>3.2847519999999998E-2</v>
      </c>
      <c r="X4916">
        <v>0.99610019999999999</v>
      </c>
      <c r="Y4916">
        <v>0.15981300000000001</v>
      </c>
      <c r="Z4916">
        <v>-3.0037789999999998E-3</v>
      </c>
      <c r="AA4916">
        <v>0.98714269999999904</v>
      </c>
      <c r="AB4916">
        <v>30</v>
      </c>
      <c r="AC4916">
        <v>32.253399999999999</v>
      </c>
      <c r="AD4916">
        <v>-1.15489</v>
      </c>
      <c r="AE4916">
        <v>-5.0881499999999997</v>
      </c>
      <c r="AF4916">
        <v>5.2411394785378498</v>
      </c>
      <c r="AG4916">
        <v>-1.15489</v>
      </c>
      <c r="AH4916">
        <v>32.187559621639402</v>
      </c>
      <c r="AI4916">
        <v>92.028202476302695</v>
      </c>
      <c r="AJ4916">
        <v>80.751625664876997</v>
      </c>
      <c r="AK4916">
        <v>32.631921615837697</v>
      </c>
    </row>
    <row r="4917" spans="1:37" x14ac:dyDescent="0.2">
      <c r="A4917" t="str">
        <f>"20200111153530486"</f>
        <v>20200111153530486</v>
      </c>
      <c r="B4917" t="str">
        <f>"1578728130480840"</f>
        <v>1578728130480840</v>
      </c>
      <c r="C4917" t="s">
        <v>37</v>
      </c>
      <c r="D4917">
        <v>4.8121559999999999</v>
      </c>
      <c r="E4917">
        <v>0.59392630000000002</v>
      </c>
      <c r="F4917" t="s">
        <v>38</v>
      </c>
      <c r="G4917">
        <v>-317.26690000000002</v>
      </c>
      <c r="H4917">
        <v>-0.05</v>
      </c>
      <c r="I4917">
        <v>11.56329</v>
      </c>
      <c r="J4917">
        <v>-350.01940000000002</v>
      </c>
      <c r="K4917">
        <v>1.1048899999999999</v>
      </c>
      <c r="L4917">
        <v>16.76566</v>
      </c>
      <c r="M4917">
        <v>0.99995009999999995</v>
      </c>
      <c r="N4917">
        <v>0</v>
      </c>
      <c r="O4917">
        <v>5.35731199999999E-3</v>
      </c>
      <c r="P4917">
        <v>0.99593189999999998</v>
      </c>
      <c r="Q4917">
        <v>2.4355040000000001E-2</v>
      </c>
      <c r="R4917">
        <v>8.6755910000000006E-2</v>
      </c>
      <c r="S4917">
        <v>3.0570369999999998</v>
      </c>
      <c r="T4917">
        <v>-0.1073279</v>
      </c>
      <c r="U4917">
        <v>-0.48336790000000002</v>
      </c>
      <c r="V4917">
        <v>-8.1474229999999995E-2</v>
      </c>
      <c r="W4917">
        <v>3.2605889999999998E-2</v>
      </c>
      <c r="X4917">
        <v>0.99614199999999997</v>
      </c>
      <c r="Y4917">
        <v>0.1613655</v>
      </c>
      <c r="Z4917">
        <v>-3.0012049999999998E-3</v>
      </c>
      <c r="AA4917">
        <v>0.98689009999999999</v>
      </c>
      <c r="AB4917">
        <v>30</v>
      </c>
      <c r="AC4917">
        <v>32.752499999999998</v>
      </c>
      <c r="AD4917">
        <v>-1.15489</v>
      </c>
      <c r="AE4917">
        <v>-5.2023699999999904</v>
      </c>
      <c r="AF4917">
        <v>5.3712529526962198</v>
      </c>
      <c r="AG4917">
        <v>-1.15489</v>
      </c>
      <c r="AH4917">
        <v>32.684520105338002</v>
      </c>
      <c r="AI4917">
        <v>91.996910795357294</v>
      </c>
      <c r="AJ4917">
        <v>80.667638456014998</v>
      </c>
      <c r="AK4917">
        <v>33.143053325096503</v>
      </c>
    </row>
    <row r="4918" spans="1:37" x14ac:dyDescent="0.2">
      <c r="A4918" t="str">
        <f>"20200111153530498"</f>
        <v>20200111153530498</v>
      </c>
      <c r="B4918" t="str">
        <f>"1578728130490600"</f>
        <v>1578728130490600</v>
      </c>
      <c r="C4918" t="s">
        <v>37</v>
      </c>
      <c r="D4918">
        <v>4.7808299999999999</v>
      </c>
      <c r="E4918">
        <v>0.59409089999999998</v>
      </c>
      <c r="F4918" t="s">
        <v>38</v>
      </c>
      <c r="G4918">
        <v>-316.93209999999999</v>
      </c>
      <c r="H4918">
        <v>-0.05</v>
      </c>
      <c r="I4918">
        <v>11.51953</v>
      </c>
      <c r="J4918">
        <v>-349.84570000000002</v>
      </c>
      <c r="K4918">
        <v>1.1048899999999999</v>
      </c>
      <c r="L4918">
        <v>16.767029999999998</v>
      </c>
      <c r="M4918">
        <v>0.99994729999999998</v>
      </c>
      <c r="N4918">
        <v>0</v>
      </c>
      <c r="O4918">
        <v>5.856099E-3</v>
      </c>
      <c r="P4918">
        <v>0.99593140000000002</v>
      </c>
      <c r="Q4918">
        <v>2.415838E-2</v>
      </c>
      <c r="R4918">
        <v>8.6816110000000002E-2</v>
      </c>
      <c r="S4918">
        <v>3.0570680000000001</v>
      </c>
      <c r="T4918">
        <v>-0.1067051</v>
      </c>
      <c r="U4918">
        <v>-0.48471069999999999</v>
      </c>
      <c r="V4918">
        <v>-8.1037230000000002E-2</v>
      </c>
      <c r="W4918">
        <v>3.2424799999999997E-2</v>
      </c>
      <c r="X4918">
        <v>0.996183499999999</v>
      </c>
      <c r="Y4918">
        <v>0.16227939999999999</v>
      </c>
      <c r="Z4918">
        <v>-3.0168149999999999E-3</v>
      </c>
      <c r="AA4918">
        <v>0.98674019999999996</v>
      </c>
      <c r="AB4918">
        <v>31</v>
      </c>
      <c r="AC4918">
        <v>32.913600000000002</v>
      </c>
      <c r="AD4918">
        <v>-1.15489</v>
      </c>
      <c r="AE4918">
        <v>-5.2474999999999898</v>
      </c>
      <c r="AF4918">
        <v>5.4336380773566404</v>
      </c>
      <c r="AG4918">
        <v>-1.15489</v>
      </c>
      <c r="AH4918">
        <v>32.842870661194503</v>
      </c>
      <c r="AI4918">
        <v>91.986937628579199</v>
      </c>
      <c r="AJ4918">
        <v>80.605881828013395</v>
      </c>
      <c r="AK4918">
        <v>33.309343237832699</v>
      </c>
    </row>
    <row r="4919" spans="1:37" x14ac:dyDescent="0.2">
      <c r="A4919" t="str">
        <f>"20200111153530511"</f>
        <v>20200111153530511</v>
      </c>
      <c r="B4919" t="str">
        <f>"1578728130500360"</f>
        <v>1578728130500360</v>
      </c>
      <c r="C4919" t="s">
        <v>37</v>
      </c>
      <c r="D4919">
        <v>4.8265849999999997</v>
      </c>
      <c r="E4919">
        <v>0.59426349999999994</v>
      </c>
      <c r="F4919" t="s">
        <v>38</v>
      </c>
      <c r="G4919">
        <v>-316.43430000000001</v>
      </c>
      <c r="H4919">
        <v>-0.05</v>
      </c>
      <c r="I4919">
        <v>11.45692</v>
      </c>
      <c r="J4919">
        <v>-349.6746</v>
      </c>
      <c r="K4919">
        <v>1.1048929999999999</v>
      </c>
      <c r="L4919">
        <v>16.768550000000001</v>
      </c>
      <c r="M4919">
        <v>0.99994430000000001</v>
      </c>
      <c r="N4919">
        <v>0</v>
      </c>
      <c r="O4919">
        <v>6.3476089999999997E-3</v>
      </c>
      <c r="P4919">
        <v>0.99592329999999996</v>
      </c>
      <c r="Q4919">
        <v>2.414094E-2</v>
      </c>
      <c r="R4919">
        <v>8.6916160000000006E-2</v>
      </c>
      <c r="S4919">
        <v>3.0571290000000002</v>
      </c>
      <c r="T4919">
        <v>-0.1056719</v>
      </c>
      <c r="U4919">
        <v>-0.48587039999999998</v>
      </c>
      <c r="V4919">
        <v>-8.0647709999999997E-2</v>
      </c>
      <c r="W4919">
        <v>3.242432E-2</v>
      </c>
      <c r="X4919">
        <v>0.99621519999999997</v>
      </c>
      <c r="Y4919">
        <v>0.16312760000000001</v>
      </c>
      <c r="Z4919">
        <v>-3.01892E-3</v>
      </c>
      <c r="AA4919">
        <v>0.98660029999999999</v>
      </c>
      <c r="AB4919">
        <v>31</v>
      </c>
      <c r="AC4919">
        <v>33.240299999999898</v>
      </c>
      <c r="AD4919">
        <v>-1.1548929999999999</v>
      </c>
      <c r="AE4919">
        <v>-5.3116300000000001</v>
      </c>
      <c r="AF4919">
        <v>5.5160341373279698</v>
      </c>
      <c r="AG4919">
        <v>-1.1548929999999999</v>
      </c>
      <c r="AH4919">
        <v>33.166873104658201</v>
      </c>
      <c r="AI4919">
        <v>91.967272458173497</v>
      </c>
      <c r="AJ4919">
        <v>80.557475601778407</v>
      </c>
      <c r="AK4919">
        <v>33.6422633303129</v>
      </c>
    </row>
    <row r="4920" spans="1:37" x14ac:dyDescent="0.2">
      <c r="A4920" t="str">
        <f>"20200111153530523"</f>
        <v>20200111153530523</v>
      </c>
      <c r="B4920" t="str">
        <f>"1578728130520856"</f>
        <v>1578728130520856</v>
      </c>
      <c r="C4920" t="s">
        <v>37</v>
      </c>
      <c r="D4920">
        <v>4.8216229999999998</v>
      </c>
      <c r="E4920">
        <v>0.59454960000000001</v>
      </c>
      <c r="F4920" t="s">
        <v>38</v>
      </c>
      <c r="G4920">
        <v>-316.0025</v>
      </c>
      <c r="H4920">
        <v>-0.05</v>
      </c>
      <c r="I4920">
        <v>11.40598</v>
      </c>
      <c r="J4920">
        <v>-349.50369999999998</v>
      </c>
      <c r="K4920">
        <v>1.104897</v>
      </c>
      <c r="L4920">
        <v>16.77008</v>
      </c>
      <c r="M4920">
        <v>0.99994079999999996</v>
      </c>
      <c r="N4920">
        <v>0</v>
      </c>
      <c r="O4920">
        <v>6.8394140000000003E-3</v>
      </c>
      <c r="P4920">
        <v>0.99591260000000004</v>
      </c>
      <c r="Q4920">
        <v>2.4166900000000002E-2</v>
      </c>
      <c r="R4920">
        <v>8.7029280000000001E-2</v>
      </c>
      <c r="S4920">
        <v>3.0573429999999999</v>
      </c>
      <c r="T4920">
        <v>-0.10486139999999999</v>
      </c>
      <c r="U4920">
        <v>-0.48690800000000001</v>
      </c>
      <c r="V4920">
        <v>-8.027136E-2</v>
      </c>
      <c r="W4920">
        <v>3.2469119999999997E-2</v>
      </c>
      <c r="X4920">
        <v>0.99624409999999897</v>
      </c>
      <c r="Y4920">
        <v>0.16392950000000001</v>
      </c>
      <c r="Z4920">
        <v>-3.0259169999999999E-3</v>
      </c>
      <c r="AA4920">
        <v>0.98646739999999999</v>
      </c>
      <c r="AB4920">
        <v>31</v>
      </c>
      <c r="AC4920">
        <v>33.501199999999898</v>
      </c>
      <c r="AD4920">
        <v>-1.1548969999999901</v>
      </c>
      <c r="AE4920">
        <v>-5.3640999999999996</v>
      </c>
      <c r="AF4920">
        <v>5.5866380597906904</v>
      </c>
      <c r="AG4920">
        <v>-1.1548969999999901</v>
      </c>
      <c r="AH4920">
        <v>33.424998137808402</v>
      </c>
      <c r="AI4920">
        <v>91.951836758608394</v>
      </c>
      <c r="AJ4920">
        <v>80.511319686048793</v>
      </c>
      <c r="AK4920">
        <v>33.908329543110902</v>
      </c>
    </row>
    <row r="4921" spans="1:37" x14ac:dyDescent="0.2">
      <c r="A4921" t="str">
        <f>"20200111153530537"</f>
        <v>20200111153530537</v>
      </c>
      <c r="B4921" t="str">
        <f>"1578728130530617"</f>
        <v>1578728130530617</v>
      </c>
      <c r="C4921" t="s">
        <v>37</v>
      </c>
      <c r="D4921">
        <v>4.7923229999999997</v>
      </c>
      <c r="E4921">
        <v>0.59471419999999997</v>
      </c>
      <c r="F4921" t="s">
        <v>38</v>
      </c>
      <c r="G4921">
        <v>-314.98110000000003</v>
      </c>
      <c r="H4921">
        <v>-0.05</v>
      </c>
      <c r="I4921">
        <v>11.249969999999999</v>
      </c>
      <c r="J4921">
        <v>-349.31180000000001</v>
      </c>
      <c r="K4921">
        <v>1.1049020000000001</v>
      </c>
      <c r="L4921">
        <v>16.771909999999998</v>
      </c>
      <c r="M4921">
        <v>0.99993670000000001</v>
      </c>
      <c r="N4921">
        <v>0</v>
      </c>
      <c r="O4921">
        <v>7.3916469999999899E-3</v>
      </c>
      <c r="P4921">
        <v>0.99589589999999995</v>
      </c>
      <c r="Q4921">
        <v>2.4466660000000001E-2</v>
      </c>
      <c r="R4921">
        <v>8.7137539999999999E-2</v>
      </c>
      <c r="S4921">
        <v>3.05752599999999</v>
      </c>
      <c r="T4921">
        <v>-0.1022844</v>
      </c>
      <c r="U4921">
        <v>-0.48889159999999998</v>
      </c>
      <c r="V4921">
        <v>-7.9830129999999999E-2</v>
      </c>
      <c r="W4921">
        <v>3.2791760000000003E-2</v>
      </c>
      <c r="X4921">
        <v>0.99626899999999996</v>
      </c>
      <c r="Y4921">
        <v>0.16509289999999999</v>
      </c>
      <c r="Z4921">
        <v>-2.9889629999999999E-3</v>
      </c>
      <c r="AA4921">
        <v>0.98627350000000003</v>
      </c>
      <c r="AB4921">
        <v>31</v>
      </c>
      <c r="AC4921">
        <v>34.330699999999901</v>
      </c>
      <c r="AD4921">
        <v>-1.1549020000000001</v>
      </c>
      <c r="AE4921">
        <v>-5.5219399999999998</v>
      </c>
      <c r="AF4921">
        <v>5.7691944336162102</v>
      </c>
      <c r="AG4921">
        <v>-1.1549020000000001</v>
      </c>
      <c r="AH4921">
        <v>34.2511604155602</v>
      </c>
      <c r="AI4921">
        <v>91.904397148241102</v>
      </c>
      <c r="AJ4921">
        <v>80.438963399164294</v>
      </c>
      <c r="AK4921">
        <v>34.752832875247897</v>
      </c>
    </row>
    <row r="4922" spans="1:37" x14ac:dyDescent="0.2">
      <c r="A4922" t="str">
        <f>"20200111153530554"</f>
        <v>20200111153530554</v>
      </c>
      <c r="B4922" t="str">
        <f>"1578728130551112"</f>
        <v>1578728130551112</v>
      </c>
      <c r="C4922" t="s">
        <v>37</v>
      </c>
      <c r="D4922">
        <v>5.1545730000000001</v>
      </c>
      <c r="E4922">
        <v>0.59488359999999996</v>
      </c>
      <c r="F4922" t="s">
        <v>38</v>
      </c>
      <c r="G4922">
        <v>-314.07499999999999</v>
      </c>
      <c r="H4922">
        <v>-0.05</v>
      </c>
      <c r="I4922">
        <v>11.12665</v>
      </c>
      <c r="J4922">
        <v>-349.08839999999998</v>
      </c>
      <c r="K4922">
        <v>1.1049149999999901</v>
      </c>
      <c r="L4922">
        <v>16.7742</v>
      </c>
      <c r="M4922">
        <v>0.99993140000000003</v>
      </c>
      <c r="N4922">
        <v>0</v>
      </c>
      <c r="O4922">
        <v>8.0363080000000007E-3</v>
      </c>
      <c r="P4922">
        <v>0.99594819999999995</v>
      </c>
      <c r="Q4922">
        <v>2.4486379999999999E-2</v>
      </c>
      <c r="R4922">
        <v>8.6531350000000007E-2</v>
      </c>
      <c r="S4922">
        <v>3.0576779999999899</v>
      </c>
      <c r="T4922">
        <v>-0.10021669999999901</v>
      </c>
      <c r="U4922">
        <v>-0.48986819999999998</v>
      </c>
      <c r="V4922">
        <v>-7.8581479999999995E-2</v>
      </c>
      <c r="W4922">
        <v>3.2843230000000001E-2</v>
      </c>
      <c r="X4922">
        <v>0.99636659999999899</v>
      </c>
      <c r="Y4922">
        <v>0.16603099999999901</v>
      </c>
      <c r="Z4922">
        <v>-2.9646239999999999E-3</v>
      </c>
      <c r="AA4922">
        <v>0.98611610000000005</v>
      </c>
      <c r="AB4922">
        <v>31</v>
      </c>
      <c r="AC4922">
        <v>35.013399999999898</v>
      </c>
      <c r="AD4922">
        <v>-1.1549149999999999</v>
      </c>
      <c r="AE4922">
        <v>-5.6475499999999998</v>
      </c>
      <c r="AF4922">
        <v>5.9224760013401196</v>
      </c>
      <c r="AG4922">
        <v>-1.1549149999999999</v>
      </c>
      <c r="AH4922">
        <v>34.929841948074902</v>
      </c>
      <c r="AI4922">
        <v>91.867100458158603</v>
      </c>
      <c r="AJ4922">
        <v>80.376822036195705</v>
      </c>
      <c r="AK4922">
        <v>35.4471918374526</v>
      </c>
    </row>
    <row r="4923" spans="1:37" x14ac:dyDescent="0.2">
      <c r="A4923" t="str">
        <f>"20200111153530566"</f>
        <v>20200111153530566</v>
      </c>
      <c r="B4923" t="str">
        <f>"1578728130560873"</f>
        <v>1578728130560873</v>
      </c>
      <c r="C4923" t="s">
        <v>37</v>
      </c>
      <c r="D4923">
        <v>4.8940289999999997</v>
      </c>
      <c r="E4923">
        <v>0.59488359999999996</v>
      </c>
      <c r="F4923" t="s">
        <v>38</v>
      </c>
      <c r="G4923">
        <v>-313.63049999999998</v>
      </c>
      <c r="H4923">
        <v>-0.05</v>
      </c>
      <c r="I4923">
        <v>11.057359999999999</v>
      </c>
      <c r="J4923">
        <v>-348.92239999999998</v>
      </c>
      <c r="K4923">
        <v>1.1049229999999901</v>
      </c>
      <c r="L4923">
        <v>16.776</v>
      </c>
      <c r="M4923">
        <v>0.99992729999999996</v>
      </c>
      <c r="N4923">
        <v>0</v>
      </c>
      <c r="O4923">
        <v>8.5172549999999996E-3</v>
      </c>
      <c r="P4923">
        <v>0.99595250000000002</v>
      </c>
      <c r="Q4923">
        <v>2.469704E-2</v>
      </c>
      <c r="R4923">
        <v>8.6421860000000003E-2</v>
      </c>
      <c r="S4923">
        <v>3.0574650000000001</v>
      </c>
      <c r="T4923">
        <v>-9.9585770000000004E-2</v>
      </c>
      <c r="U4923">
        <v>-0.49295040000000001</v>
      </c>
      <c r="V4923">
        <v>-7.7993170000000001E-2</v>
      </c>
      <c r="W4923">
        <v>3.3078660000000003E-2</v>
      </c>
      <c r="X4923">
        <v>0.99640490000000004</v>
      </c>
      <c r="Y4923">
        <v>0.1674851</v>
      </c>
      <c r="Z4923">
        <v>-2.9850269999999999E-3</v>
      </c>
      <c r="AA4923">
        <v>0.98587009999999897</v>
      </c>
      <c r="AB4923">
        <v>31</v>
      </c>
      <c r="AC4923">
        <v>35.291899999999998</v>
      </c>
      <c r="AD4923">
        <v>-1.1549229999999999</v>
      </c>
      <c r="AE4923">
        <v>-5.71863999999999</v>
      </c>
      <c r="AF4923">
        <v>6.0127591925292201</v>
      </c>
      <c r="AG4923">
        <v>-1.1549229999999999</v>
      </c>
      <c r="AH4923">
        <v>35.2051736476336</v>
      </c>
      <c r="AI4923">
        <v>91.852142197997793</v>
      </c>
      <c r="AJ4923">
        <v>80.3078612691031</v>
      </c>
      <c r="AK4923">
        <v>35.733616830700299</v>
      </c>
    </row>
    <row r="4924" spans="1:37" x14ac:dyDescent="0.2">
      <c r="A4924" t="str">
        <f>"20200111153530587"</f>
        <v>20200111153530587</v>
      </c>
      <c r="B4924" t="str">
        <f>"1578728130580392"</f>
        <v>1578728130580392</v>
      </c>
      <c r="C4924" t="s">
        <v>37</v>
      </c>
      <c r="D4924">
        <v>4.9063809999999997</v>
      </c>
      <c r="E4924">
        <v>0.56120879999999995</v>
      </c>
      <c r="F4924" t="s">
        <v>38</v>
      </c>
      <c r="G4924">
        <v>-313.31259999999997</v>
      </c>
      <c r="H4924">
        <v>-0.05</v>
      </c>
      <c r="I4924">
        <v>11.03125</v>
      </c>
      <c r="J4924">
        <v>-348.63</v>
      </c>
      <c r="K4924">
        <v>1.1049389999999999</v>
      </c>
      <c r="L4924">
        <v>16.77936</v>
      </c>
      <c r="M4924">
        <v>0.99991929999999996</v>
      </c>
      <c r="N4924">
        <v>0</v>
      </c>
      <c r="O4924">
        <v>9.3700339999999993E-3</v>
      </c>
      <c r="P4924">
        <v>0.99602219999999997</v>
      </c>
      <c r="Q4924">
        <v>2.5000890000000001E-2</v>
      </c>
      <c r="R4924">
        <v>8.5527420000000007E-2</v>
      </c>
      <c r="S4924">
        <v>3.05752599999999</v>
      </c>
      <c r="T4924">
        <v>-9.9163890000000005E-2</v>
      </c>
      <c r="U4924">
        <v>-0.49325559999999902</v>
      </c>
      <c r="V4924">
        <v>-7.6249410000000004E-2</v>
      </c>
      <c r="W4924">
        <v>3.3428939999999997E-2</v>
      </c>
      <c r="X4924">
        <v>0.99652830000000003</v>
      </c>
      <c r="Y4924">
        <v>0.1684185</v>
      </c>
      <c r="Z4924">
        <v>-3.0148240000000001E-3</v>
      </c>
      <c r="AA4924">
        <v>0.985711</v>
      </c>
      <c r="AB4924">
        <v>31</v>
      </c>
      <c r="AC4924">
        <v>35.317399999999999</v>
      </c>
      <c r="AD4924">
        <v>-1.1549389999999999</v>
      </c>
      <c r="AE4924">
        <v>-5.7481099999999996</v>
      </c>
      <c r="AF4924">
        <v>6.0724687335081402</v>
      </c>
      <c r="AG4924">
        <v>-1.1549389999999999</v>
      </c>
      <c r="AH4924">
        <v>35.225289633734803</v>
      </c>
      <c r="AI4924">
        <v>91.850618353203799</v>
      </c>
      <c r="AJ4924">
        <v>80.218946791234501</v>
      </c>
      <c r="AK4924">
        <v>35.763525978203802</v>
      </c>
    </row>
    <row r="4925" spans="1:37" x14ac:dyDescent="0.2">
      <c r="A4925" t="str">
        <f>"20200111153530598"</f>
        <v>20200111153530598</v>
      </c>
      <c r="B4925" t="str">
        <f>"1578728130591128"</f>
        <v>1578728130591128</v>
      </c>
      <c r="C4925" t="s">
        <v>37</v>
      </c>
      <c r="D4925">
        <v>4.8682910000000001</v>
      </c>
      <c r="E4925">
        <v>0.55816460000000001</v>
      </c>
      <c r="F4925" t="s">
        <v>39</v>
      </c>
      <c r="G4925">
        <v>-323.28469999999999</v>
      </c>
      <c r="H4925" s="1">
        <v>-3.9958459999999999E-6</v>
      </c>
      <c r="I4925">
        <v>14.875</v>
      </c>
      <c r="J4925">
        <v>-348.46050000000002</v>
      </c>
      <c r="K4925">
        <v>1.104949</v>
      </c>
      <c r="L4925">
        <v>16.781400000000001</v>
      </c>
      <c r="M4925">
        <v>0.99991419999999998</v>
      </c>
      <c r="N4925">
        <v>0</v>
      </c>
      <c r="O4925">
        <v>9.8679179999999998E-3</v>
      </c>
      <c r="P4925">
        <v>0.99606510000000004</v>
      </c>
      <c r="Q4925">
        <v>2.4846320000000002E-2</v>
      </c>
      <c r="R4925">
        <v>8.5068290000000005E-2</v>
      </c>
      <c r="S4925">
        <v>3.03485099999999</v>
      </c>
      <c r="T4925">
        <v>-0.13230610000000001</v>
      </c>
      <c r="U4925">
        <v>-0.22802729999999899</v>
      </c>
      <c r="V4925">
        <v>-7.5293639999999995E-2</v>
      </c>
      <c r="W4925">
        <v>3.3300740000000002E-2</v>
      </c>
      <c r="X4925">
        <v>0.99660519999999997</v>
      </c>
      <c r="Y4925">
        <v>8.4672639999999993E-2</v>
      </c>
      <c r="Z4925">
        <v>-2.2716469999999999E-3</v>
      </c>
      <c r="AA4925">
        <v>0.99640629999999997</v>
      </c>
      <c r="AB4925">
        <v>31</v>
      </c>
      <c r="AC4925">
        <v>25.175799999999999</v>
      </c>
      <c r="AD4925">
        <v>-1.104952995846</v>
      </c>
      <c r="AE4925">
        <v>-1.9064000000000001</v>
      </c>
      <c r="AF4925">
        <v>2.1506300097248698</v>
      </c>
      <c r="AG4925">
        <v>-1.104952995846</v>
      </c>
      <c r="AH4925">
        <v>25.107672380189801</v>
      </c>
      <c r="AI4925">
        <v>92.510698076312295</v>
      </c>
      <c r="AJ4925">
        <v>85.1042063658807</v>
      </c>
      <c r="AK4925">
        <v>25.2238249064789</v>
      </c>
    </row>
    <row r="4926" spans="1:37" x14ac:dyDescent="0.2">
      <c r="A4926" t="str">
        <f>"20200111153530610"</f>
        <v>20200111153530610</v>
      </c>
      <c r="B4926" t="str">
        <f>"1578728130600888"</f>
        <v>1578728130600888</v>
      </c>
      <c r="C4926" t="s">
        <v>37</v>
      </c>
      <c r="D4926">
        <v>4.7644690000000001</v>
      </c>
      <c r="E4926">
        <v>0.55672959999999905</v>
      </c>
      <c r="F4926" t="s">
        <v>39</v>
      </c>
      <c r="G4926">
        <v>-323.85160000000002</v>
      </c>
      <c r="H4926" s="1">
        <v>-3.685126E-6</v>
      </c>
      <c r="I4926">
        <v>15.116110000000001</v>
      </c>
      <c r="J4926">
        <v>-348.29820000000001</v>
      </c>
      <c r="K4926">
        <v>1.104956</v>
      </c>
      <c r="L4926">
        <v>16.783479999999901</v>
      </c>
      <c r="M4926">
        <v>0.99990919999999905</v>
      </c>
      <c r="N4926">
        <v>0</v>
      </c>
      <c r="O4926">
        <v>1.034912E-2</v>
      </c>
      <c r="P4926">
        <v>0.9961042</v>
      </c>
      <c r="Q4926">
        <v>2.4928840000000001E-2</v>
      </c>
      <c r="R4926">
        <v>8.4586869999999995E-2</v>
      </c>
      <c r="S4926">
        <v>3.0328059999999999</v>
      </c>
      <c r="T4926">
        <v>-0.1361743</v>
      </c>
      <c r="U4926">
        <v>-0.20523069999999999</v>
      </c>
      <c r="V4926">
        <v>-7.4332449999999994E-2</v>
      </c>
      <c r="W4926">
        <v>3.3407489999999998E-2</v>
      </c>
      <c r="X4926">
        <v>0.99667380000000005</v>
      </c>
      <c r="Y4926">
        <v>7.7749739999999998E-2</v>
      </c>
      <c r="Z4926">
        <v>-2.2065990000000001E-3</v>
      </c>
      <c r="AA4926">
        <v>0.99697049999999998</v>
      </c>
      <c r="AB4926">
        <v>31</v>
      </c>
      <c r="AC4926">
        <v>24.446599999999901</v>
      </c>
      <c r="AD4926">
        <v>-1.104959685126</v>
      </c>
      <c r="AE4926">
        <v>-1.66736999999999</v>
      </c>
      <c r="AF4926">
        <v>1.91639396724569</v>
      </c>
      <c r="AG4926">
        <v>-1.104959685126</v>
      </c>
      <c r="AH4926">
        <v>24.378461082234899</v>
      </c>
      <c r="AI4926">
        <v>92.587198322158599</v>
      </c>
      <c r="AJ4926">
        <v>85.505214767999306</v>
      </c>
      <c r="AK4926">
        <v>24.4786206000561</v>
      </c>
    </row>
    <row r="4927" spans="1:37" x14ac:dyDescent="0.2">
      <c r="A4927" t="str">
        <f>"20200111153530623"</f>
        <v>20200111153530623</v>
      </c>
      <c r="B4927" t="str">
        <f>"1578728130610648"</f>
        <v>1578728130610648</v>
      </c>
      <c r="C4927" t="s">
        <v>37</v>
      </c>
      <c r="D4927">
        <v>4.7533099999999999</v>
      </c>
      <c r="E4927">
        <v>0.55653609999999998</v>
      </c>
      <c r="F4927" t="s">
        <v>39</v>
      </c>
      <c r="G4927">
        <v>-323.71690000000001</v>
      </c>
      <c r="H4927" s="1">
        <v>-3.7338970000000001E-6</v>
      </c>
      <c r="I4927">
        <v>15.20013</v>
      </c>
      <c r="J4927">
        <v>-348.13619999999997</v>
      </c>
      <c r="K4927">
        <v>1.1049639999999901</v>
      </c>
      <c r="L4927">
        <v>16.78558</v>
      </c>
      <c r="M4927">
        <v>0.99990380000000001</v>
      </c>
      <c r="N4927">
        <v>0</v>
      </c>
      <c r="O4927">
        <v>1.08305E-2</v>
      </c>
      <c r="P4927">
        <v>0.99618430000000002</v>
      </c>
      <c r="Q4927">
        <v>2.459689E-2</v>
      </c>
      <c r="R4927">
        <v>8.3736640000000001E-2</v>
      </c>
      <c r="S4927">
        <v>3.0317379999999998</v>
      </c>
      <c r="T4927">
        <v>-0.13628019999999999</v>
      </c>
      <c r="U4927">
        <v>-0.19528199999999901</v>
      </c>
      <c r="V4927">
        <v>-7.3001940000000001E-2</v>
      </c>
      <c r="W4927">
        <v>3.3102489999999998E-2</v>
      </c>
      <c r="X4927">
        <v>0.99678230000000001</v>
      </c>
      <c r="Y4927">
        <v>7.4997750000000002E-2</v>
      </c>
      <c r="Z4927">
        <v>-2.1691760000000001E-3</v>
      </c>
      <c r="AA4927">
        <v>0.9971814</v>
      </c>
      <c r="AB4927">
        <v>31</v>
      </c>
      <c r="AC4927">
        <v>24.4192999999999</v>
      </c>
      <c r="AD4927">
        <v>-1.1049677338969901</v>
      </c>
      <c r="AE4927">
        <v>-1.58544999999999</v>
      </c>
      <c r="AF4927">
        <v>1.84607611186218</v>
      </c>
      <c r="AG4927">
        <v>-1.1049677338969901</v>
      </c>
      <c r="AH4927">
        <v>24.351045314787001</v>
      </c>
      <c r="AI4927">
        <v>92.5906817864212</v>
      </c>
      <c r="AJ4927">
        <v>85.664644816021493</v>
      </c>
      <c r="AK4927">
        <v>24.445906786751699</v>
      </c>
    </row>
    <row r="4928" spans="1:37" x14ac:dyDescent="0.2">
      <c r="A4928" t="str">
        <f>"20200111153530634"</f>
        <v>20200111153530634</v>
      </c>
      <c r="B4928" t="str">
        <f>"1578728130631144"</f>
        <v>1578728130631144</v>
      </c>
      <c r="C4928" t="s">
        <v>37</v>
      </c>
      <c r="D4928">
        <v>4.7884449999999896</v>
      </c>
      <c r="E4928">
        <v>0.55671130000000002</v>
      </c>
      <c r="F4928" t="s">
        <v>39</v>
      </c>
      <c r="G4928">
        <v>-324.96769999999998</v>
      </c>
      <c r="H4928" s="1">
        <v>-3.127471E-6</v>
      </c>
      <c r="I4928">
        <v>15.285439999999999</v>
      </c>
      <c r="J4928">
        <v>-347.97609999999997</v>
      </c>
      <c r="K4928">
        <v>1.1049709999999999</v>
      </c>
      <c r="L4928">
        <v>16.787779999999898</v>
      </c>
      <c r="M4928">
        <v>0.99989830000000002</v>
      </c>
      <c r="N4928">
        <v>0</v>
      </c>
      <c r="O4928">
        <v>1.1307940000000001E-2</v>
      </c>
      <c r="P4928">
        <v>0.99622199999999905</v>
      </c>
      <c r="Q4928">
        <v>2.4286249999999999E-2</v>
      </c>
      <c r="R4928">
        <v>8.337907E-2</v>
      </c>
      <c r="S4928">
        <v>3.0315249999999998</v>
      </c>
      <c r="T4928">
        <v>-0.14458189999999899</v>
      </c>
      <c r="U4928">
        <v>-0.19628909999999999</v>
      </c>
      <c r="V4928">
        <v>-7.2167480000000006E-2</v>
      </c>
      <c r="W4928">
        <v>3.282036E-2</v>
      </c>
      <c r="X4928">
        <v>0.99685239999999997</v>
      </c>
      <c r="Y4928">
        <v>7.5795970000000004E-2</v>
      </c>
      <c r="Z4928">
        <v>-2.3430479999999999E-3</v>
      </c>
      <c r="AA4928">
        <v>0.99712060000000002</v>
      </c>
      <c r="AB4928">
        <v>31</v>
      </c>
      <c r="AC4928">
        <v>23.008399999999899</v>
      </c>
      <c r="AD4928">
        <v>-1.1049741274709901</v>
      </c>
      <c r="AE4928">
        <v>-1.50233999999999</v>
      </c>
      <c r="AF4928">
        <v>1.7583930593307999</v>
      </c>
      <c r="AG4928">
        <v>-1.1049741274709901</v>
      </c>
      <c r="AH4928">
        <v>22.9372622766214</v>
      </c>
      <c r="AI4928">
        <v>92.749964462027606</v>
      </c>
      <c r="AJ4928">
        <v>85.616223520017599</v>
      </c>
      <c r="AK4928">
        <v>23.031085834584601</v>
      </c>
    </row>
    <row r="4929" spans="1:37" x14ac:dyDescent="0.2">
      <c r="A4929" t="str">
        <f>"20200111153530647"</f>
        <v>20200111153530647</v>
      </c>
      <c r="B4929" t="str">
        <f>"1578728130640904"</f>
        <v>1578728130640904</v>
      </c>
      <c r="C4929" t="s">
        <v>37</v>
      </c>
      <c r="D4929">
        <v>4.766025</v>
      </c>
      <c r="E4929">
        <v>0.55664230000000003</v>
      </c>
      <c r="F4929" t="s">
        <v>39</v>
      </c>
      <c r="G4929">
        <v>-324.43729999999999</v>
      </c>
      <c r="H4929" s="1">
        <v>-3.3854339999999999E-6</v>
      </c>
      <c r="I4929">
        <v>15.24469</v>
      </c>
      <c r="J4929">
        <v>-347.80259999999998</v>
      </c>
      <c r="K4929">
        <v>1.1049799999999901</v>
      </c>
      <c r="L4929">
        <v>16.79025</v>
      </c>
      <c r="M4929">
        <v>0.99989209999999995</v>
      </c>
      <c r="N4929">
        <v>0</v>
      </c>
      <c r="O4929">
        <v>1.18278999999999E-2</v>
      </c>
      <c r="P4929">
        <v>0.99629380000000001</v>
      </c>
      <c r="Q4929">
        <v>2.380728E-2</v>
      </c>
      <c r="R4929">
        <v>8.2657930000000004E-2</v>
      </c>
      <c r="S4929">
        <v>3.0314939999999999</v>
      </c>
      <c r="T4929">
        <v>-0.142306399999999</v>
      </c>
      <c r="U4929">
        <v>-0.1987305</v>
      </c>
      <c r="V4929">
        <v>-7.0926870000000003E-2</v>
      </c>
      <c r="W4929">
        <v>3.2378079999999997E-2</v>
      </c>
      <c r="X4929">
        <v>0.99695590000000001</v>
      </c>
      <c r="Y4929">
        <v>7.7115790000000004E-2</v>
      </c>
      <c r="Z4929">
        <v>-2.3614769999999998E-3</v>
      </c>
      <c r="AA4929">
        <v>0.9970194</v>
      </c>
      <c r="AB4929">
        <v>31</v>
      </c>
      <c r="AC4929">
        <v>23.365299999999898</v>
      </c>
      <c r="AD4929">
        <v>-1.1049833854340001</v>
      </c>
      <c r="AE4929">
        <v>-1.54556</v>
      </c>
      <c r="AF4929">
        <v>1.8177770494249299</v>
      </c>
      <c r="AG4929">
        <v>-1.1049833854340001</v>
      </c>
      <c r="AH4929">
        <v>23.293515024956299</v>
      </c>
      <c r="AI4929">
        <v>92.707705791219794</v>
      </c>
      <c r="AJ4929">
        <v>85.537801029748493</v>
      </c>
      <c r="AK4929">
        <v>23.390449843929201</v>
      </c>
    </row>
    <row r="4930" spans="1:37" x14ac:dyDescent="0.2">
      <c r="A4930" t="str">
        <f>"20200111153530659"</f>
        <v>20200111153530659</v>
      </c>
      <c r="B4930" t="str">
        <f>"1578728130650664"</f>
        <v>1578728130650664</v>
      </c>
      <c r="C4930" t="s">
        <v>37</v>
      </c>
      <c r="D4930">
        <v>4.810346</v>
      </c>
      <c r="E4930">
        <v>0.55686000000000002</v>
      </c>
      <c r="F4930" t="s">
        <v>39</v>
      </c>
      <c r="G4930">
        <v>-324.43939999999998</v>
      </c>
      <c r="H4930" s="1">
        <v>-3.384189E-6</v>
      </c>
      <c r="I4930">
        <v>15.2463</v>
      </c>
      <c r="J4930">
        <v>-347.62560000000002</v>
      </c>
      <c r="K4930">
        <v>1.1049899999999999</v>
      </c>
      <c r="L4930">
        <v>16.792819999999999</v>
      </c>
      <c r="M4930">
        <v>0.99988539999999904</v>
      </c>
      <c r="N4930">
        <v>0</v>
      </c>
      <c r="O4930">
        <v>1.2359169999999999E-2</v>
      </c>
      <c r="P4930">
        <v>0.99635669999999898</v>
      </c>
      <c r="Q4930">
        <v>2.3522069999999999E-2</v>
      </c>
      <c r="R4930">
        <v>8.1977629999999996E-2</v>
      </c>
      <c r="S4930">
        <v>3.0312189999999899</v>
      </c>
      <c r="T4930">
        <v>-0.14336399999999999</v>
      </c>
      <c r="U4930">
        <v>-0.20031740000000001</v>
      </c>
      <c r="V4930">
        <v>-6.9715609999999997E-2</v>
      </c>
      <c r="W4930">
        <v>3.2133599999999998E-2</v>
      </c>
      <c r="X4930">
        <v>0.99704919999999997</v>
      </c>
      <c r="Y4930">
        <v>7.8167860000000006E-2</v>
      </c>
      <c r="Z4930">
        <v>-2.4291109999999999E-3</v>
      </c>
      <c r="AA4930">
        <v>0.99693729999999903</v>
      </c>
      <c r="AB4930">
        <v>31</v>
      </c>
      <c r="AC4930">
        <v>23.186199999999999</v>
      </c>
      <c r="AD4930">
        <v>-1.1049933841889901</v>
      </c>
      <c r="AE4930">
        <v>-1.5465199999999999</v>
      </c>
      <c r="AF4930">
        <v>1.8288397025825001</v>
      </c>
      <c r="AG4930">
        <v>-1.1049933841889901</v>
      </c>
      <c r="AH4930">
        <v>23.113052090823299</v>
      </c>
      <c r="AI4930">
        <v>92.728608435884794</v>
      </c>
      <c r="AJ4930">
        <v>85.475849253947601</v>
      </c>
      <c r="AK4930">
        <v>23.211610068884902</v>
      </c>
    </row>
    <row r="4931" spans="1:37" x14ac:dyDescent="0.2">
      <c r="A4931" t="str">
        <f>"20200111153530675"</f>
        <v>20200111153530675</v>
      </c>
      <c r="B4931" t="str">
        <f>"1578728130671160"</f>
        <v>1578728130671160</v>
      </c>
      <c r="C4931" t="s">
        <v>37</v>
      </c>
      <c r="D4931">
        <v>4.7926089999999997</v>
      </c>
      <c r="E4931">
        <v>0.55672330000000003</v>
      </c>
      <c r="F4931" t="s">
        <v>39</v>
      </c>
      <c r="G4931">
        <v>-324.24</v>
      </c>
      <c r="H4931" s="1">
        <v>-3.4833580000000001E-6</v>
      </c>
      <c r="I4931">
        <v>15.218589999999899</v>
      </c>
      <c r="J4931">
        <v>-347.40629999999999</v>
      </c>
      <c r="K4931">
        <v>1.1050059999999999</v>
      </c>
      <c r="L4931">
        <v>16.79617</v>
      </c>
      <c r="M4931">
        <v>0.9998764</v>
      </c>
      <c r="N4931">
        <v>0</v>
      </c>
      <c r="O4931">
        <v>1.302085E-2</v>
      </c>
      <c r="P4931">
        <v>0.99647030000000003</v>
      </c>
      <c r="Q4931">
        <v>2.3670389999999999E-2</v>
      </c>
      <c r="R4931">
        <v>8.0540680000000003E-2</v>
      </c>
      <c r="S4931">
        <v>3.0310969999999999</v>
      </c>
      <c r="T4931">
        <v>-0.14322209999999999</v>
      </c>
      <c r="U4931">
        <v>-0.20404049999999899</v>
      </c>
      <c r="V4931">
        <v>-6.761789E-2</v>
      </c>
      <c r="W4931">
        <v>3.2341389999999998E-2</v>
      </c>
      <c r="X4931">
        <v>0.99718700000000005</v>
      </c>
      <c r="Y4931">
        <v>8.0046610000000004E-2</v>
      </c>
      <c r="Z4931">
        <v>-2.5022379999999999E-3</v>
      </c>
      <c r="AA4931">
        <v>0.99678799999999901</v>
      </c>
      <c r="AB4931">
        <v>31</v>
      </c>
      <c r="AC4931">
        <v>23.1662999999999</v>
      </c>
      <c r="AD4931">
        <v>-1.105009483358</v>
      </c>
      <c r="AE4931">
        <v>-1.57758</v>
      </c>
      <c r="AF4931">
        <v>1.87485690338392</v>
      </c>
      <c r="AG4931">
        <v>-1.105009483358</v>
      </c>
      <c r="AH4931">
        <v>23.091498542210498</v>
      </c>
      <c r="AI4931">
        <v>92.730742338305802</v>
      </c>
      <c r="AJ4931">
        <v>85.358193484647302</v>
      </c>
      <c r="AK4931">
        <v>23.1938233004261</v>
      </c>
    </row>
    <row r="4932" spans="1:37" x14ac:dyDescent="0.2">
      <c r="A4932" t="str">
        <f>"20200111153530687"</f>
        <v>20200111153530687</v>
      </c>
      <c r="B4932" t="str">
        <f>"1578728130680919"</f>
        <v>1578728130680919</v>
      </c>
      <c r="C4932" t="s">
        <v>37</v>
      </c>
      <c r="D4932">
        <v>4.7827019999999996</v>
      </c>
      <c r="E4932">
        <v>0.55667699999999998</v>
      </c>
      <c r="F4932" t="s">
        <v>39</v>
      </c>
      <c r="G4932">
        <v>-324.19380000000001</v>
      </c>
      <c r="H4932" s="1">
        <v>-3.5067919999999998E-6</v>
      </c>
      <c r="I4932">
        <v>15.20961</v>
      </c>
      <c r="J4932">
        <v>-347.24099999999999</v>
      </c>
      <c r="K4932">
        <v>1.1050180000000001</v>
      </c>
      <c r="L4932">
        <v>16.7988</v>
      </c>
      <c r="M4932">
        <v>0.99986929999999996</v>
      </c>
      <c r="N4932">
        <v>0</v>
      </c>
      <c r="O4932">
        <v>1.352044E-2</v>
      </c>
      <c r="P4932">
        <v>0.99651100000000004</v>
      </c>
      <c r="Q4932">
        <v>2.383646E-2</v>
      </c>
      <c r="R4932">
        <v>7.9985390000000003E-2</v>
      </c>
      <c r="S4932">
        <v>3.0307919999999999</v>
      </c>
      <c r="T4932">
        <v>-0.1442782</v>
      </c>
      <c r="U4932">
        <v>-0.20715329999999901</v>
      </c>
      <c r="V4932">
        <v>-6.656463E-2</v>
      </c>
      <c r="W4932">
        <v>3.2552989999999997E-2</v>
      </c>
      <c r="X4932">
        <v>0.997251</v>
      </c>
      <c r="Y4932">
        <v>8.1566529999999998E-2</v>
      </c>
      <c r="Z4932">
        <v>-2.5806959999999999E-3</v>
      </c>
      <c r="AA4932">
        <v>0.99666460000000001</v>
      </c>
      <c r="AB4932">
        <v>31</v>
      </c>
      <c r="AC4932">
        <v>23.047199999999901</v>
      </c>
      <c r="AD4932">
        <v>-1.105021506792</v>
      </c>
      <c r="AE4932">
        <v>-1.5891899999999901</v>
      </c>
      <c r="AF4932">
        <v>1.8963265706230299</v>
      </c>
      <c r="AG4932">
        <v>-1.105021506792</v>
      </c>
      <c r="AH4932">
        <v>22.9710493645639</v>
      </c>
      <c r="AI4932">
        <v>92.7447657994487</v>
      </c>
      <c r="AJ4932">
        <v>85.280768744205204</v>
      </c>
      <c r="AK4932">
        <v>23.0756632819548</v>
      </c>
    </row>
    <row r="4933" spans="1:37" x14ac:dyDescent="0.2">
      <c r="A4933" t="str">
        <f>"20200111153530699"</f>
        <v>20200111153530699</v>
      </c>
      <c r="B4933" t="str">
        <f>"1578728130690680"</f>
        <v>1578728130690680</v>
      </c>
      <c r="C4933" t="s">
        <v>37</v>
      </c>
      <c r="D4933">
        <v>4.7664980000000003</v>
      </c>
      <c r="E4933">
        <v>0.55674590000000002</v>
      </c>
      <c r="F4933" t="s">
        <v>39</v>
      </c>
      <c r="G4933">
        <v>-324.17579999999998</v>
      </c>
      <c r="H4933" s="1">
        <v>-3.5147809999999999E-6</v>
      </c>
      <c r="I4933">
        <v>15.2125</v>
      </c>
      <c r="J4933">
        <v>-347.0772</v>
      </c>
      <c r="K4933">
        <v>1.1050260000000001</v>
      </c>
      <c r="L4933">
        <v>16.801449999999999</v>
      </c>
      <c r="M4933">
        <v>0.99986209999999898</v>
      </c>
      <c r="N4933">
        <v>0</v>
      </c>
      <c r="O4933">
        <v>1.401584E-2</v>
      </c>
      <c r="P4933">
        <v>0.99657390000000001</v>
      </c>
      <c r="Q4933">
        <v>2.4031360000000002E-2</v>
      </c>
      <c r="R4933">
        <v>7.9138929999999996E-2</v>
      </c>
      <c r="S4933">
        <v>3.0307009999999899</v>
      </c>
      <c r="T4933">
        <v>-0.14519649999999901</v>
      </c>
      <c r="U4933">
        <v>-0.20843510000000001</v>
      </c>
      <c r="V4933">
        <v>-6.5223550000000005E-2</v>
      </c>
      <c r="W4933">
        <v>3.2794619999999997E-2</v>
      </c>
      <c r="X4933">
        <v>0.99733159999999899</v>
      </c>
      <c r="Y4933">
        <v>8.2478910000000003E-2</v>
      </c>
      <c r="Z4933">
        <v>-2.6426599999999998E-3</v>
      </c>
      <c r="AA4933">
        <v>0.99658930000000001</v>
      </c>
      <c r="AB4933">
        <v>31</v>
      </c>
      <c r="AC4933">
        <v>22.901399999999999</v>
      </c>
      <c r="AD4933">
        <v>-1.1050295147810001</v>
      </c>
      <c r="AE4933">
        <v>-1.5889499999999901</v>
      </c>
      <c r="AF4933">
        <v>1.90537412803142</v>
      </c>
      <c r="AG4933">
        <v>-1.1050295147810001</v>
      </c>
      <c r="AH4933">
        <v>22.8239942806585</v>
      </c>
      <c r="AI4933">
        <v>92.7622319260675</v>
      </c>
      <c r="AJ4933">
        <v>85.227945461028099</v>
      </c>
      <c r="AK4933">
        <v>22.930029562123099</v>
      </c>
    </row>
    <row r="4934" spans="1:37" x14ac:dyDescent="0.2">
      <c r="A4934" t="str">
        <f>"20200111153530711"</f>
        <v>20200111153530711</v>
      </c>
      <c r="B4934" t="str">
        <f>"1578728130700443"</f>
        <v>1578728130700443</v>
      </c>
      <c r="C4934" t="s">
        <v>37</v>
      </c>
      <c r="D4934">
        <v>4.8054750000000004</v>
      </c>
      <c r="E4934">
        <v>0.55676530000000002</v>
      </c>
      <c r="F4934" t="s">
        <v>39</v>
      </c>
      <c r="G4934">
        <v>-323.8809</v>
      </c>
      <c r="H4934" s="1">
        <v>-3.6595689999999999E-6</v>
      </c>
      <c r="I4934">
        <v>15.182029999999999</v>
      </c>
      <c r="J4934">
        <v>-346.90370000000001</v>
      </c>
      <c r="K4934">
        <v>1.1050409999999999</v>
      </c>
      <c r="L4934">
        <v>16.804410000000001</v>
      </c>
      <c r="M4934">
        <v>0.99985400000000002</v>
      </c>
      <c r="N4934">
        <v>0</v>
      </c>
      <c r="O4934">
        <v>1.4540869999999999E-2</v>
      </c>
      <c r="P4934">
        <v>0.99661829999999996</v>
      </c>
      <c r="Q4934">
        <v>2.4337060000000001E-2</v>
      </c>
      <c r="R4934">
        <v>7.8483549999999999E-2</v>
      </c>
      <c r="S4934">
        <v>3.0306090000000001</v>
      </c>
      <c r="T4934">
        <v>-0.14437259999999999</v>
      </c>
      <c r="U4934">
        <v>-0.2115784</v>
      </c>
      <c r="V4934">
        <v>-6.404427E-2</v>
      </c>
      <c r="W4934">
        <v>3.3165399999999998E-2</v>
      </c>
      <c r="X4934">
        <v>0.99739580000000005</v>
      </c>
      <c r="Y4934">
        <v>8.4031809999999998E-2</v>
      </c>
      <c r="Z4934">
        <v>-2.6895619999999999E-3</v>
      </c>
      <c r="AA4934">
        <v>0.9964594</v>
      </c>
      <c r="AB4934">
        <v>31</v>
      </c>
      <c r="AC4934">
        <v>23.0228</v>
      </c>
      <c r="AD4934">
        <v>-1.105044659569</v>
      </c>
      <c r="AE4934">
        <v>-1.6223799999999999</v>
      </c>
      <c r="AF4934">
        <v>1.9525175171601801</v>
      </c>
      <c r="AG4934">
        <v>-1.105044659569</v>
      </c>
      <c r="AH4934">
        <v>22.944176537842701</v>
      </c>
      <c r="AI4934">
        <v>92.747451731080403</v>
      </c>
      <c r="AJ4934">
        <v>85.1359277530496</v>
      </c>
      <c r="AK4934">
        <v>23.053604606528499</v>
      </c>
    </row>
    <row r="4935" spans="1:37" x14ac:dyDescent="0.2">
      <c r="A4935" t="str">
        <f>"20200111153530723"</f>
        <v>20200111153530723</v>
      </c>
      <c r="B4935" t="str">
        <f>"1578728130711150"</f>
        <v>1578728130711150</v>
      </c>
      <c r="C4935" t="s">
        <v>37</v>
      </c>
      <c r="D4935">
        <v>4.8273739999999998</v>
      </c>
      <c r="E4935">
        <v>0.55671380000000004</v>
      </c>
      <c r="F4935" t="s">
        <v>39</v>
      </c>
      <c r="G4935">
        <v>-323.66449999999998</v>
      </c>
      <c r="H4935" s="1">
        <v>-3.7648520000000001E-6</v>
      </c>
      <c r="I4935">
        <v>15.1653299999999</v>
      </c>
      <c r="J4935">
        <v>-346.74380000000002</v>
      </c>
      <c r="K4935">
        <v>1.105056</v>
      </c>
      <c r="L4935">
        <v>16.807189999999999</v>
      </c>
      <c r="M4935">
        <v>0.99984640000000002</v>
      </c>
      <c r="N4935">
        <v>0</v>
      </c>
      <c r="O4935">
        <v>1.5024579999999999E-2</v>
      </c>
      <c r="P4935">
        <v>0.99667109999999903</v>
      </c>
      <c r="Q4935">
        <v>2.4426690000000001E-2</v>
      </c>
      <c r="R4935">
        <v>7.7783110000000003E-2</v>
      </c>
      <c r="S4935">
        <v>3.0305179999999998</v>
      </c>
      <c r="T4935">
        <v>-0.1441035</v>
      </c>
      <c r="U4935">
        <v>-0.21374509999999999</v>
      </c>
      <c r="V4935">
        <v>-6.286158E-2</v>
      </c>
      <c r="W4935">
        <v>3.3318849999999997E-2</v>
      </c>
      <c r="X4935">
        <v>0.99746590000000002</v>
      </c>
      <c r="Y4935">
        <v>8.5223389999999996E-2</v>
      </c>
      <c r="Z4935">
        <v>-2.735814E-3</v>
      </c>
      <c r="AA4935">
        <v>0.99635810000000002</v>
      </c>
      <c r="AB4935">
        <v>31</v>
      </c>
      <c r="AC4935">
        <v>23.0793</v>
      </c>
      <c r="AD4935">
        <v>-1.105059764852</v>
      </c>
      <c r="AE4935">
        <v>-1.6418599999999901</v>
      </c>
      <c r="AF4935">
        <v>1.9839201574771099</v>
      </c>
      <c r="AG4935">
        <v>-1.105059764852</v>
      </c>
      <c r="AH4935">
        <v>22.999562399986502</v>
      </c>
      <c r="AI4935">
        <v>92.7406129300402</v>
      </c>
      <c r="AJ4935">
        <v>85.0699245435069</v>
      </c>
      <c r="AK4935">
        <v>23.111403394558501</v>
      </c>
    </row>
    <row r="4936" spans="1:37" x14ac:dyDescent="0.2">
      <c r="A4936" t="str">
        <f>"20200111153530735"</f>
        <v>20200111153530735</v>
      </c>
      <c r="B4936" t="str">
        <f>"1578728130730670"</f>
        <v>1578728130730670</v>
      </c>
      <c r="C4936" t="s">
        <v>37</v>
      </c>
      <c r="D4936">
        <v>4.8311440000000001</v>
      </c>
      <c r="E4936">
        <v>0.55655909999999997</v>
      </c>
      <c r="F4936" t="s">
        <v>39</v>
      </c>
      <c r="G4936">
        <v>-323.37049999999999</v>
      </c>
      <c r="H4936" s="1">
        <v>-3.907442E-6</v>
      </c>
      <c r="I4936">
        <v>15.144909999999999</v>
      </c>
      <c r="J4936">
        <v>-346.57249999999999</v>
      </c>
      <c r="K4936">
        <v>1.105073</v>
      </c>
      <c r="L4936">
        <v>16.81024</v>
      </c>
      <c r="M4936">
        <v>0.99983789999999995</v>
      </c>
      <c r="N4936">
        <v>0</v>
      </c>
      <c r="O4936">
        <v>1.5542759999999999E-2</v>
      </c>
      <c r="P4936">
        <v>0.99672680000000002</v>
      </c>
      <c r="Q4936">
        <v>2.444029E-2</v>
      </c>
      <c r="R4936">
        <v>7.7062350000000002E-2</v>
      </c>
      <c r="S4936">
        <v>3.0303650000000002</v>
      </c>
      <c r="T4936">
        <v>-0.14327139999999999</v>
      </c>
      <c r="U4936">
        <v>-0.21551509999999999</v>
      </c>
      <c r="V4936">
        <v>-6.1623289999999997E-2</v>
      </c>
      <c r="W4936">
        <v>3.3408930000000003E-2</v>
      </c>
      <c r="X4936">
        <v>0.99754019999999999</v>
      </c>
      <c r="Y4936">
        <v>8.6321789999999995E-2</v>
      </c>
      <c r="Z4936">
        <v>-2.7704929999999902E-3</v>
      </c>
      <c r="AA4936">
        <v>0.99626340000000002</v>
      </c>
      <c r="AB4936">
        <v>31</v>
      </c>
      <c r="AC4936">
        <v>23.201999999999899</v>
      </c>
      <c r="AD4936">
        <v>-1.1050769074419999</v>
      </c>
      <c r="AE4936">
        <v>-1.66532999999999</v>
      </c>
      <c r="AF4936">
        <v>2.0212052740601898</v>
      </c>
      <c r="AG4936">
        <v>-1.1050769074419999</v>
      </c>
      <c r="AH4936">
        <v>23.121131258120698</v>
      </c>
      <c r="AI4936">
        <v>92.725995131979602</v>
      </c>
      <c r="AJ4936">
        <v>85.004012527987996</v>
      </c>
      <c r="AK4936">
        <v>23.2356014853607</v>
      </c>
    </row>
    <row r="4937" spans="1:37" x14ac:dyDescent="0.2">
      <c r="A4937" t="str">
        <f>"20200111153530747"</f>
        <v>20200111153530747</v>
      </c>
      <c r="B4937" t="str">
        <f>"1578728130740430"</f>
        <v>1578728130740430</v>
      </c>
      <c r="C4937" t="s">
        <v>37</v>
      </c>
      <c r="D4937">
        <v>4.885675</v>
      </c>
      <c r="E4937">
        <v>0.55658890000000005</v>
      </c>
      <c r="F4937" t="s">
        <v>39</v>
      </c>
      <c r="G4937">
        <v>-323.4228</v>
      </c>
      <c r="H4937" s="1">
        <v>-3.8807150000000002E-6</v>
      </c>
      <c r="I4937">
        <v>15.156079999999999</v>
      </c>
      <c r="J4937">
        <v>-346.41289999999998</v>
      </c>
      <c r="K4937">
        <v>1.105089</v>
      </c>
      <c r="L4937">
        <v>16.813199999999998</v>
      </c>
      <c r="M4937">
        <v>0.99982939999999998</v>
      </c>
      <c r="N4937">
        <v>0</v>
      </c>
      <c r="O4937">
        <v>1.602495E-2</v>
      </c>
      <c r="P4937">
        <v>0.99676600000000004</v>
      </c>
      <c r="Q4937">
        <v>2.4305750000000001E-2</v>
      </c>
      <c r="R4937">
        <v>7.6595140000000006E-2</v>
      </c>
      <c r="S4937">
        <v>3.0301819999999999</v>
      </c>
      <c r="T4937">
        <v>-0.14464939999999901</v>
      </c>
      <c r="U4937">
        <v>-0.2165222</v>
      </c>
      <c r="V4937">
        <v>-6.0673930000000001E-2</v>
      </c>
      <c r="W4937">
        <v>3.3361269999999998E-2</v>
      </c>
      <c r="X4937">
        <v>0.99760000000000004</v>
      </c>
      <c r="Y4937">
        <v>8.7132290000000001E-2</v>
      </c>
      <c r="Z4937">
        <v>-2.839538E-3</v>
      </c>
      <c r="AA4937">
        <v>0.99619269999999904</v>
      </c>
      <c r="AB4937">
        <v>31</v>
      </c>
      <c r="AC4937">
        <v>22.990099999999899</v>
      </c>
      <c r="AD4937">
        <v>-1.105092880715</v>
      </c>
      <c r="AE4937">
        <v>-1.6571199999999899</v>
      </c>
      <c r="AF4937">
        <v>2.0206931551955001</v>
      </c>
      <c r="AG4937">
        <v>-1.105092880715</v>
      </c>
      <c r="AH4937">
        <v>22.907934847725301</v>
      </c>
      <c r="AI4937">
        <v>92.751176549815696</v>
      </c>
      <c r="AJ4937">
        <v>84.9590261417992</v>
      </c>
      <c r="AK4937">
        <v>23.023420903290901</v>
      </c>
    </row>
    <row r="4938" spans="1:37" x14ac:dyDescent="0.2">
      <c r="A4938" t="str">
        <f>"20200111153530759"</f>
        <v>20200111153530759</v>
      </c>
      <c r="B4938" t="str">
        <f>"1578728130751166"</f>
        <v>1578728130751166</v>
      </c>
      <c r="C4938" t="s">
        <v>37</v>
      </c>
      <c r="D4938">
        <v>4.8062620000000003</v>
      </c>
      <c r="E4938">
        <v>0.55642009999999997</v>
      </c>
      <c r="F4938" t="s">
        <v>39</v>
      </c>
      <c r="G4938">
        <v>-323.36509999999998</v>
      </c>
      <c r="H4938" s="1">
        <v>-3.9084160000000002E-6</v>
      </c>
      <c r="I4938">
        <v>15.153700000000001</v>
      </c>
      <c r="J4938">
        <v>-346.23669999999998</v>
      </c>
      <c r="K4938">
        <v>1.10511</v>
      </c>
      <c r="L4938">
        <v>16.816500000000001</v>
      </c>
      <c r="M4938">
        <v>0.99981989999999998</v>
      </c>
      <c r="N4938">
        <v>0</v>
      </c>
      <c r="O4938">
        <v>1.6557329999999999E-2</v>
      </c>
      <c r="P4938">
        <v>0.9968108</v>
      </c>
      <c r="Q4938">
        <v>2.4068050000000001E-2</v>
      </c>
      <c r="R4938">
        <v>7.6086329999999994E-2</v>
      </c>
      <c r="S4938">
        <v>3.0300289999999999</v>
      </c>
      <c r="T4938">
        <v>-0.14528339999999901</v>
      </c>
      <c r="U4938">
        <v>-0.21817020000000001</v>
      </c>
      <c r="V4938">
        <v>-5.963334E-2</v>
      </c>
      <c r="W4938">
        <v>3.322783E-2</v>
      </c>
      <c r="X4938">
        <v>0.99766719999999898</v>
      </c>
      <c r="Y4938">
        <v>8.8202399999999903E-2</v>
      </c>
      <c r="Z4938">
        <v>-2.9031500000000002E-3</v>
      </c>
      <c r="AA4938">
        <v>0.99609829999999999</v>
      </c>
      <c r="AB4938">
        <v>31</v>
      </c>
      <c r="AC4938">
        <v>22.871600000000001</v>
      </c>
      <c r="AD4938">
        <v>-1.105113908416</v>
      </c>
      <c r="AE4938">
        <v>-1.6628000000000001</v>
      </c>
      <c r="AF4938">
        <v>2.03655133091311</v>
      </c>
      <c r="AG4938">
        <v>-1.105113908416</v>
      </c>
      <c r="AH4938">
        <v>22.788009524241101</v>
      </c>
      <c r="AI4938">
        <v>92.765402952191707</v>
      </c>
      <c r="AJ4938">
        <v>84.893076388517699</v>
      </c>
      <c r="AK4938">
        <v>22.905505804302202</v>
      </c>
    </row>
    <row r="4939" spans="1:37" x14ac:dyDescent="0.2">
      <c r="A4939" t="str">
        <f>"20200111153530776"</f>
        <v>20200111153530776</v>
      </c>
      <c r="B4939" t="str">
        <f>"1578728130770686"</f>
        <v>1578728130770686</v>
      </c>
      <c r="C4939" t="s">
        <v>37</v>
      </c>
      <c r="D4939">
        <v>4.8820269999999999</v>
      </c>
      <c r="E4939">
        <v>0.55617689999999997</v>
      </c>
      <c r="F4939" t="s">
        <v>40</v>
      </c>
      <c r="G4939">
        <v>-345.23989999999998</v>
      </c>
      <c r="H4939">
        <v>1.0550389999999901</v>
      </c>
      <c r="I4939">
        <v>16.744350000000001</v>
      </c>
      <c r="J4939">
        <v>-346.0068</v>
      </c>
      <c r="K4939">
        <v>1.1051489999999999</v>
      </c>
      <c r="L4939">
        <v>16.821010000000001</v>
      </c>
      <c r="M4939">
        <v>0.99980650000000004</v>
      </c>
      <c r="N4939">
        <v>0</v>
      </c>
      <c r="O4939">
        <v>1.7252219999999999E-2</v>
      </c>
      <c r="P4939">
        <v>0.99691689999999999</v>
      </c>
      <c r="Q4939">
        <v>2.3842349999999998E-2</v>
      </c>
      <c r="R4939">
        <v>7.4756520000000007E-2</v>
      </c>
      <c r="S4939">
        <v>3.0298769999999999</v>
      </c>
      <c r="T4939">
        <v>-0.15225169999999999</v>
      </c>
      <c r="U4939">
        <v>-0.21823119999999999</v>
      </c>
      <c r="V4939">
        <v>-5.7608619999999999E-2</v>
      </c>
      <c r="W4939">
        <v>3.3181120000000001E-2</v>
      </c>
      <c r="X4939">
        <v>0.99778770000000006</v>
      </c>
      <c r="Y4939">
        <v>8.8904750000000005E-2</v>
      </c>
      <c r="Z4939">
        <v>-3.0948490000000002E-3</v>
      </c>
      <c r="AA4939">
        <v>0.99603529999999996</v>
      </c>
      <c r="AB4939">
        <v>31</v>
      </c>
      <c r="AC4939">
        <v>0.76690000000002101</v>
      </c>
      <c r="AD4939">
        <v>-5.0110000000000099E-2</v>
      </c>
      <c r="AE4939">
        <v>-7.6660000000000394E-2</v>
      </c>
      <c r="AF4939">
        <v>8.9501566611322095E-2</v>
      </c>
      <c r="AG4939">
        <v>-5.0110000000000099E-2</v>
      </c>
      <c r="AH4939">
        <v>0.762241087929169</v>
      </c>
      <c r="AI4939">
        <v>93.735642232384293</v>
      </c>
      <c r="AJ4939">
        <v>83.303053414812595</v>
      </c>
      <c r="AK4939">
        <v>0.76911183754596002</v>
      </c>
    </row>
    <row r="4940" spans="1:37" x14ac:dyDescent="0.2">
      <c r="A4940" t="str">
        <f>"20200111153530790"</f>
        <v>20200111153530790</v>
      </c>
      <c r="B4940" t="str">
        <f>"1578728130780447"</f>
        <v>1578728130780447</v>
      </c>
      <c r="C4940" t="s">
        <v>37</v>
      </c>
      <c r="D4940">
        <v>4.8681809999999999</v>
      </c>
      <c r="E4940">
        <v>0.55610219999999999</v>
      </c>
      <c r="F4940" t="s">
        <v>39</v>
      </c>
      <c r="G4940">
        <v>-324.42959999999999</v>
      </c>
      <c r="H4940" s="1">
        <v>-3.3877490000000001E-6</v>
      </c>
      <c r="I4940">
        <v>15.25215</v>
      </c>
      <c r="J4940">
        <v>-345.82139999999998</v>
      </c>
      <c r="K4940">
        <v>1.105183</v>
      </c>
      <c r="L4940">
        <v>16.824770000000001</v>
      </c>
      <c r="M4940">
        <v>0.99979509999999905</v>
      </c>
      <c r="N4940">
        <v>0</v>
      </c>
      <c r="O4940">
        <v>1.78111E-2</v>
      </c>
      <c r="P4940">
        <v>0.99694229999999995</v>
      </c>
      <c r="Q4940">
        <v>2.3779020000000001E-2</v>
      </c>
      <c r="R4940">
        <v>7.4436909999999995E-2</v>
      </c>
      <c r="S4940">
        <v>3.029541</v>
      </c>
      <c r="T4940">
        <v>-0.15516869999999999</v>
      </c>
      <c r="U4940">
        <v>-0.2202759</v>
      </c>
      <c r="V4940">
        <v>-5.6731089999999998E-2</v>
      </c>
      <c r="W4940">
        <v>3.3271679999999998E-2</v>
      </c>
      <c r="X4940">
        <v>0.99783489999999997</v>
      </c>
      <c r="Y4940">
        <v>9.0130630000000003E-2</v>
      </c>
      <c r="Z4940">
        <v>-3.2142479999999998E-3</v>
      </c>
      <c r="AA4940">
        <v>0.99592479999999906</v>
      </c>
      <c r="AB4940">
        <v>31</v>
      </c>
      <c r="AC4940">
        <v>21.3917999999999</v>
      </c>
      <c r="AD4940">
        <v>-1.105186387749</v>
      </c>
      <c r="AE4940">
        <v>-1.5726199999999999</v>
      </c>
      <c r="AF4940">
        <v>1.9482274290253601</v>
      </c>
      <c r="AG4940">
        <v>-1.105186387749</v>
      </c>
      <c r="AH4940">
        <v>21.303836993875802</v>
      </c>
      <c r="AI4940">
        <v>92.957371952124902</v>
      </c>
      <c r="AJ4940">
        <v>84.774857392393002</v>
      </c>
      <c r="AK4940">
        <v>21.4212627482252</v>
      </c>
    </row>
    <row r="4941" spans="1:37" x14ac:dyDescent="0.2">
      <c r="A4941" t="str">
        <f>"20200111153530802"</f>
        <v>20200111153530802</v>
      </c>
      <c r="B4941" t="str">
        <f>"1578728130791182"</f>
        <v>1578728130791182</v>
      </c>
      <c r="C4941" t="s">
        <v>37</v>
      </c>
      <c r="D4941">
        <v>4.8608320000000003</v>
      </c>
      <c r="E4941">
        <v>0.55605799999999905</v>
      </c>
      <c r="F4941" t="s">
        <v>39</v>
      </c>
      <c r="G4941">
        <v>-324.37779999999998</v>
      </c>
      <c r="H4941" s="1">
        <v>-3.4103179999999998E-6</v>
      </c>
      <c r="I4941">
        <v>15.26295</v>
      </c>
      <c r="J4941">
        <v>-345.64010000000002</v>
      </c>
      <c r="K4941">
        <v>1.10521</v>
      </c>
      <c r="L4941">
        <v>16.828520000000001</v>
      </c>
      <c r="M4941">
        <v>0.99978369999999905</v>
      </c>
      <c r="N4941">
        <v>0</v>
      </c>
      <c r="O4941">
        <v>1.835527E-2</v>
      </c>
      <c r="P4941">
        <v>0.99697669999999905</v>
      </c>
      <c r="Q4941">
        <v>2.3910150000000002E-2</v>
      </c>
      <c r="R4941">
        <v>7.3934269999999996E-2</v>
      </c>
      <c r="S4941">
        <v>3.029388</v>
      </c>
      <c r="T4941">
        <v>-0.15613250000000001</v>
      </c>
      <c r="U4941">
        <v>-0.22064210000000001</v>
      </c>
      <c r="V4941">
        <v>-5.5685640000000002E-2</v>
      </c>
      <c r="W4941">
        <v>3.3567149999999997E-2</v>
      </c>
      <c r="X4941">
        <v>0.99788390000000005</v>
      </c>
      <c r="Y4941">
        <v>9.0792730000000002E-2</v>
      </c>
      <c r="Z4941">
        <v>-3.279363E-3</v>
      </c>
      <c r="AA4941">
        <v>0.99586439999999998</v>
      </c>
      <c r="AB4941">
        <v>31</v>
      </c>
      <c r="AC4941">
        <v>21.2623</v>
      </c>
      <c r="AD4941">
        <v>-1.105213410318</v>
      </c>
      <c r="AE4941">
        <v>-1.5655699999999999</v>
      </c>
      <c r="AF4941">
        <v>1.95035885151342</v>
      </c>
      <c r="AG4941">
        <v>-1.105213410318</v>
      </c>
      <c r="AH4941">
        <v>21.173080321158</v>
      </c>
      <c r="AI4941">
        <v>92.975495539951197</v>
      </c>
      <c r="AJ4941">
        <v>84.737049917277901</v>
      </c>
      <c r="AK4941">
        <v>21.291423780908399</v>
      </c>
    </row>
    <row r="4942" spans="1:37" x14ac:dyDescent="0.2">
      <c r="A4942" t="str">
        <f>"20200111153530816"</f>
        <v>20200111153530816</v>
      </c>
      <c r="B4942" t="str">
        <f>"1578728130810704"</f>
        <v>1578728130810704</v>
      </c>
      <c r="C4942" t="s">
        <v>37</v>
      </c>
      <c r="D4942">
        <v>4.8006070000000003</v>
      </c>
      <c r="E4942">
        <v>0.55593309999999996</v>
      </c>
      <c r="F4942" t="s">
        <v>40</v>
      </c>
      <c r="G4942">
        <v>-344.67689999999999</v>
      </c>
      <c r="H4942">
        <v>1.0555649999999901</v>
      </c>
      <c r="I4942">
        <v>16.757719999999999</v>
      </c>
      <c r="J4942">
        <v>-345.44920000000002</v>
      </c>
      <c r="K4942">
        <v>1.105248</v>
      </c>
      <c r="L4942">
        <v>16.832639999999898</v>
      </c>
      <c r="M4942">
        <v>0.99977119999999997</v>
      </c>
      <c r="N4942">
        <v>0</v>
      </c>
      <c r="O4942">
        <v>1.8922930000000001E-2</v>
      </c>
      <c r="P4942">
        <v>0.99699629999999995</v>
      </c>
      <c r="Q4942">
        <v>2.3976620000000001E-2</v>
      </c>
      <c r="R4942">
        <v>7.3644550000000003E-2</v>
      </c>
      <c r="S4942">
        <v>3.0293269999999999</v>
      </c>
      <c r="T4942">
        <v>-0.156248</v>
      </c>
      <c r="U4942">
        <v>-0.22174070000000001</v>
      </c>
      <c r="V4942">
        <v>-5.4829589999999997E-2</v>
      </c>
      <c r="W4942">
        <v>3.383212E-2</v>
      </c>
      <c r="X4942">
        <v>0.99792239999999999</v>
      </c>
      <c r="Y4942">
        <v>9.171667E-2</v>
      </c>
      <c r="Z4942">
        <v>-3.3348190000000002E-3</v>
      </c>
      <c r="AA4942">
        <v>0.99577959999999999</v>
      </c>
      <c r="AB4942">
        <v>31</v>
      </c>
      <c r="AC4942">
        <v>0.77230000000002896</v>
      </c>
      <c r="AD4942">
        <v>-4.9683000000000102E-2</v>
      </c>
      <c r="AE4942">
        <v>-7.4919999999995199E-2</v>
      </c>
      <c r="AF4942">
        <v>8.9155957116868495E-2</v>
      </c>
      <c r="AG4942">
        <v>-4.9683000000000102E-2</v>
      </c>
      <c r="AH4942">
        <v>0.76759683842584803</v>
      </c>
      <c r="AI4942">
        <v>93.678663401380604</v>
      </c>
      <c r="AJ4942">
        <v>83.3748126047564</v>
      </c>
      <c r="AK4942">
        <v>0.77435269195617995</v>
      </c>
    </row>
    <row r="4943" spans="1:37" x14ac:dyDescent="0.2">
      <c r="A4943" t="str">
        <f>"20200111153530832"</f>
        <v>20200111153530832</v>
      </c>
      <c r="B4943" t="str">
        <f>"1578728130820463"</f>
        <v>1578728130820463</v>
      </c>
      <c r="C4943" t="s">
        <v>37</v>
      </c>
      <c r="D4943">
        <v>4.9043779999999897</v>
      </c>
      <c r="E4943">
        <v>0.55584999999999996</v>
      </c>
      <c r="F4943" t="s">
        <v>39</v>
      </c>
      <c r="G4943">
        <v>-324.61430000000001</v>
      </c>
      <c r="H4943" s="1">
        <v>-3.29033399999999E-6</v>
      </c>
      <c r="I4943">
        <v>15.309229999999999</v>
      </c>
      <c r="J4943">
        <v>-345.23379999999997</v>
      </c>
      <c r="K4943">
        <v>1.1052899999999899</v>
      </c>
      <c r="L4943">
        <v>16.83737</v>
      </c>
      <c r="M4943">
        <v>0.99975650000000005</v>
      </c>
      <c r="N4943">
        <v>0</v>
      </c>
      <c r="O4943">
        <v>1.9562860000000001E-2</v>
      </c>
      <c r="P4943">
        <v>0.99706519999999998</v>
      </c>
      <c r="Q4943">
        <v>2.3794679999999999E-2</v>
      </c>
      <c r="R4943">
        <v>7.2768109999999997E-2</v>
      </c>
      <c r="S4943">
        <v>3.0292970000000001</v>
      </c>
      <c r="T4943">
        <v>-0.1606986</v>
      </c>
      <c r="U4943">
        <v>-0.22149659999999999</v>
      </c>
      <c r="V4943">
        <v>-5.3312890000000002E-2</v>
      </c>
      <c r="W4943">
        <v>3.389884E-2</v>
      </c>
      <c r="X4943">
        <v>0.99800230000000001</v>
      </c>
      <c r="Y4943">
        <v>9.2264860000000004E-2</v>
      </c>
      <c r="Z4943">
        <v>-3.4781209999999998E-3</v>
      </c>
      <c r="AA4943">
        <v>0.99572839999999996</v>
      </c>
      <c r="AB4943">
        <v>31</v>
      </c>
      <c r="AC4943">
        <v>20.619499999999899</v>
      </c>
      <c r="AD4943">
        <v>-1.10529329033399</v>
      </c>
      <c r="AE4943">
        <v>-1.5281400000000001</v>
      </c>
      <c r="AF4943">
        <v>1.9257417097968099</v>
      </c>
      <c r="AG4943">
        <v>-1.10529329033399</v>
      </c>
      <c r="AH4943">
        <v>20.526996816471801</v>
      </c>
      <c r="AI4943">
        <v>93.068713848274498</v>
      </c>
      <c r="AJ4943">
        <v>84.640479041149007</v>
      </c>
      <c r="AK4943">
        <v>20.646737095578899</v>
      </c>
    </row>
    <row r="4944" spans="1:37" x14ac:dyDescent="0.2">
      <c r="A4944" t="str">
        <f>"20200111153530847"</f>
        <v>20200111153530847</v>
      </c>
      <c r="B4944" t="str">
        <f>"1578728130840960"</f>
        <v>1578728130840960</v>
      </c>
      <c r="C4944" t="s">
        <v>37</v>
      </c>
      <c r="D4944">
        <v>4.9052429999999996</v>
      </c>
      <c r="E4944">
        <v>0.55565410000000004</v>
      </c>
      <c r="F4944" t="s">
        <v>39</v>
      </c>
      <c r="G4944">
        <v>-324.59969999999998</v>
      </c>
      <c r="H4944" s="1">
        <v>-3.2960779999999999E-6</v>
      </c>
      <c r="I4944">
        <v>15.315629999999899</v>
      </c>
      <c r="J4944">
        <v>-345.03379999999999</v>
      </c>
      <c r="K4944">
        <v>1.1053230000000001</v>
      </c>
      <c r="L4944">
        <v>16.841889999999999</v>
      </c>
      <c r="M4944">
        <v>0.99974200000000002</v>
      </c>
      <c r="N4944">
        <v>0</v>
      </c>
      <c r="O4944">
        <v>2.0160299999999999E-2</v>
      </c>
      <c r="P4944">
        <v>0.99708549999999996</v>
      </c>
      <c r="Q4944">
        <v>2.3673969999999999E-2</v>
      </c>
      <c r="R4944">
        <v>7.2525309999999996E-2</v>
      </c>
      <c r="S4944">
        <v>3.0290219999999999</v>
      </c>
      <c r="T4944">
        <v>-0.16225410000000001</v>
      </c>
      <c r="U4944">
        <v>-0.2233887</v>
      </c>
      <c r="V4944">
        <v>-5.2473199999999998E-2</v>
      </c>
      <c r="W4944">
        <v>3.4010350000000002E-2</v>
      </c>
      <c r="X4944">
        <v>0.99804300000000001</v>
      </c>
      <c r="Y4944">
        <v>9.3479450000000006E-2</v>
      </c>
      <c r="Z4944">
        <v>-3.5763919999999999E-3</v>
      </c>
      <c r="AA4944">
        <v>0.99561480000000002</v>
      </c>
      <c r="AB4944">
        <v>31</v>
      </c>
      <c r="AC4944">
        <v>20.434100000000001</v>
      </c>
      <c r="AD4944">
        <v>-1.1053262960779999</v>
      </c>
      <c r="AE4944">
        <v>-1.52626</v>
      </c>
      <c r="AF4944">
        <v>1.9323074039306101</v>
      </c>
      <c r="AG4944">
        <v>-1.1053262960779999</v>
      </c>
      <c r="AH4944">
        <v>20.339990946647401</v>
      </c>
      <c r="AI4944">
        <v>93.096622415309497</v>
      </c>
      <c r="AJ4944">
        <v>84.573164430757799</v>
      </c>
      <c r="AK4944">
        <v>20.461446425748701</v>
      </c>
    </row>
    <row r="4945" spans="1:37" x14ac:dyDescent="0.2">
      <c r="A4945" t="str">
        <f>"20200111153530861"</f>
        <v>20200111153530861</v>
      </c>
      <c r="B4945" t="str">
        <f>"1578728130850720"</f>
        <v>1578728130850720</v>
      </c>
      <c r="C4945" t="s">
        <v>37</v>
      </c>
      <c r="D4945">
        <v>4.8935909999999998</v>
      </c>
      <c r="E4945">
        <v>0.55556799999999995</v>
      </c>
      <c r="F4945" t="s">
        <v>39</v>
      </c>
      <c r="G4945">
        <v>-324.66719999999998</v>
      </c>
      <c r="H4945" s="1">
        <v>-3.2588250000000001E-6</v>
      </c>
      <c r="I4945">
        <v>15.345739999999999</v>
      </c>
      <c r="J4945">
        <v>-344.83049999999997</v>
      </c>
      <c r="K4945">
        <v>1.1053519999999999</v>
      </c>
      <c r="L4945">
        <v>16.846620000000001</v>
      </c>
      <c r="M4945">
        <v>0.99972709999999998</v>
      </c>
      <c r="N4945">
        <v>0</v>
      </c>
      <c r="O4945">
        <v>2.0770219999999999E-2</v>
      </c>
      <c r="P4945">
        <v>0.99710789999999905</v>
      </c>
      <c r="Q4945">
        <v>2.326224E-2</v>
      </c>
      <c r="R4945">
        <v>7.2351620000000005E-2</v>
      </c>
      <c r="S4945">
        <v>3.02887</v>
      </c>
      <c r="T4945">
        <v>-0.16438220000000001</v>
      </c>
      <c r="U4945">
        <v>-0.2225037</v>
      </c>
      <c r="V4945">
        <v>-5.1688730000000002E-2</v>
      </c>
      <c r="W4945">
        <v>3.3831640000000003E-2</v>
      </c>
      <c r="X4945">
        <v>0.99808999999999903</v>
      </c>
      <c r="Y4945">
        <v>9.379556E-2</v>
      </c>
      <c r="Z4945">
        <v>-3.6650540000000001E-3</v>
      </c>
      <c r="AA4945">
        <v>0.99558469999999999</v>
      </c>
      <c r="AB4945">
        <v>31</v>
      </c>
      <c r="AC4945">
        <v>20.1632999999999</v>
      </c>
      <c r="AD4945">
        <v>-1.105355258825</v>
      </c>
      <c r="AE4945">
        <v>-1.50088</v>
      </c>
      <c r="AF4945">
        <v>1.91365697742227</v>
      </c>
      <c r="AG4945">
        <v>-1.105355258825</v>
      </c>
      <c r="AH4945">
        <v>20.067797972999902</v>
      </c>
      <c r="AI4945">
        <v>93.138516519462399</v>
      </c>
      <c r="AJ4945">
        <v>84.552769509899903</v>
      </c>
      <c r="AK4945">
        <v>20.189116096565201</v>
      </c>
    </row>
    <row r="4946" spans="1:37" x14ac:dyDescent="0.2">
      <c r="A4946" t="str">
        <f>"20200111153530878"</f>
        <v>20200111153530878</v>
      </c>
      <c r="B4946" t="str">
        <f>"1578728130871216"</f>
        <v>1578728130871216</v>
      </c>
      <c r="C4946" t="s">
        <v>37</v>
      </c>
      <c r="D4946">
        <v>4.9257540000000004</v>
      </c>
      <c r="E4946">
        <v>0.55539320000000003</v>
      </c>
      <c r="F4946" t="s">
        <v>40</v>
      </c>
      <c r="G4946">
        <v>-343.85419999999999</v>
      </c>
      <c r="H4946">
        <v>1.0517049999999999</v>
      </c>
      <c r="I4946">
        <v>16.774850000000001</v>
      </c>
      <c r="J4946">
        <v>-344.5949</v>
      </c>
      <c r="K4946">
        <v>1.1053789999999999</v>
      </c>
      <c r="L4946">
        <v>16.852229999999999</v>
      </c>
      <c r="M4946">
        <v>0.99970949999999903</v>
      </c>
      <c r="N4946">
        <v>0</v>
      </c>
      <c r="O4946">
        <v>2.1478870000000001E-2</v>
      </c>
      <c r="P4946">
        <v>0.99716569999999904</v>
      </c>
      <c r="Q4946">
        <v>2.3091469999999999E-2</v>
      </c>
      <c r="R4946">
        <v>7.1608000000000005E-2</v>
      </c>
      <c r="S4946">
        <v>3.0287169999999999</v>
      </c>
      <c r="T4946">
        <v>-0.1664757</v>
      </c>
      <c r="U4946">
        <v>-0.2223511</v>
      </c>
      <c r="V4946">
        <v>-5.023648E-2</v>
      </c>
      <c r="W4946">
        <v>3.391885E-2</v>
      </c>
      <c r="X4946">
        <v>0.99816119999999997</v>
      </c>
      <c r="Y4946">
        <v>9.4448710000000005E-2</v>
      </c>
      <c r="Z4946">
        <v>-3.7686509999999901E-3</v>
      </c>
      <c r="AA4946">
        <v>0.99552260000000004</v>
      </c>
      <c r="AB4946">
        <v>31</v>
      </c>
      <c r="AC4946">
        <v>0.74070000000000302</v>
      </c>
      <c r="AD4946">
        <v>-5.3674000000000201E-2</v>
      </c>
      <c r="AE4946">
        <v>-7.7379999999997895E-2</v>
      </c>
      <c r="AF4946">
        <v>9.2790512649708001E-2</v>
      </c>
      <c r="AG4946">
        <v>-5.3674000000000201E-2</v>
      </c>
      <c r="AH4946">
        <v>0.73504888454211603</v>
      </c>
      <c r="AI4946">
        <v>94.143612813572204</v>
      </c>
      <c r="AJ4946">
        <v>82.805198563021904</v>
      </c>
      <c r="AK4946">
        <v>0.74282423235944905</v>
      </c>
    </row>
    <row r="4947" spans="1:37" x14ac:dyDescent="0.2">
      <c r="A4947" t="str">
        <f>"20200111153530889"</f>
        <v>20200111153530889</v>
      </c>
      <c r="B4947" t="str">
        <f>"1578728130880975"</f>
        <v>1578728130880975</v>
      </c>
      <c r="C4947" t="s">
        <v>37</v>
      </c>
      <c r="D4947">
        <v>4.9029189999999998</v>
      </c>
      <c r="E4947">
        <v>0.55530380000000001</v>
      </c>
      <c r="F4947" t="s">
        <v>39</v>
      </c>
      <c r="G4947">
        <v>-324.7878</v>
      </c>
      <c r="H4947" s="1">
        <v>-3.1932129999999999E-6</v>
      </c>
      <c r="I4947">
        <v>15.39437</v>
      </c>
      <c r="J4947">
        <v>-344.43680000000001</v>
      </c>
      <c r="K4947">
        <v>1.1053949999999999</v>
      </c>
      <c r="L4947">
        <v>16.85614</v>
      </c>
      <c r="M4947">
        <v>0.99969750000000002</v>
      </c>
      <c r="N4947">
        <v>0</v>
      </c>
      <c r="O4947">
        <v>2.1952820000000001E-2</v>
      </c>
      <c r="P4947">
        <v>0.99719950000000002</v>
      </c>
      <c r="Q4947">
        <v>2.2678190000000001E-2</v>
      </c>
      <c r="R4947">
        <v>7.1267620000000004E-2</v>
      </c>
      <c r="S4947">
        <v>3.0284119999999999</v>
      </c>
      <c r="T4947">
        <v>-0.169007399999999</v>
      </c>
      <c r="U4947">
        <v>-0.2229004</v>
      </c>
      <c r="V4947">
        <v>-4.9421090000000001E-2</v>
      </c>
      <c r="W4947">
        <v>3.3669129999999999E-2</v>
      </c>
      <c r="X4947">
        <v>0.99821039999999905</v>
      </c>
      <c r="Y4947">
        <v>9.5100519999999994E-2</v>
      </c>
      <c r="Z4947">
        <v>-3.870788E-3</v>
      </c>
      <c r="AA4947">
        <v>0.99546019999999902</v>
      </c>
      <c r="AB4947">
        <v>31</v>
      </c>
      <c r="AC4947">
        <v>19.649000000000001</v>
      </c>
      <c r="AD4947">
        <v>-1.1053981932129999</v>
      </c>
      <c r="AE4947">
        <v>-1.46176999999999</v>
      </c>
      <c r="AF4947">
        <v>1.8868563715366899</v>
      </c>
      <c r="AG4947">
        <v>-1.1053981932129999</v>
      </c>
      <c r="AH4947">
        <v>19.5506374495254</v>
      </c>
      <c r="AI4947">
        <v>93.221138035047602</v>
      </c>
      <c r="AJ4947">
        <v>84.487386249015003</v>
      </c>
      <c r="AK4947">
        <v>19.6725584715144</v>
      </c>
    </row>
    <row r="4948" spans="1:37" x14ac:dyDescent="0.2">
      <c r="A4948" t="str">
        <f>"20200111153530902"</f>
        <v>20200111153530902</v>
      </c>
      <c r="B4948" t="str">
        <f>"1578728130890735"</f>
        <v>1578728130890735</v>
      </c>
      <c r="C4948" t="s">
        <v>37</v>
      </c>
      <c r="D4948">
        <v>4.9532230000000004</v>
      </c>
      <c r="E4948">
        <v>0.55525990000000003</v>
      </c>
      <c r="F4948" t="s">
        <v>39</v>
      </c>
      <c r="G4948">
        <v>-324.77140000000003</v>
      </c>
      <c r="H4948" s="1">
        <v>-3.198792E-6</v>
      </c>
      <c r="I4948">
        <v>15.40667</v>
      </c>
      <c r="J4948">
        <v>-344.267</v>
      </c>
      <c r="K4948">
        <v>1.105407</v>
      </c>
      <c r="L4948">
        <v>16.860379999999999</v>
      </c>
      <c r="M4948">
        <v>0.99968429999999997</v>
      </c>
      <c r="N4948">
        <v>0</v>
      </c>
      <c r="O4948">
        <v>2.24607E-2</v>
      </c>
      <c r="P4948">
        <v>0.99722029999999995</v>
      </c>
      <c r="Q4948">
        <v>2.2339370000000001E-2</v>
      </c>
      <c r="R4948">
        <v>7.1083110000000005E-2</v>
      </c>
      <c r="S4948">
        <v>3.0282900000000001</v>
      </c>
      <c r="T4948">
        <v>-0.17022119999999999</v>
      </c>
      <c r="U4948">
        <v>-0.2232056</v>
      </c>
      <c r="V4948">
        <v>-4.8728790000000001E-2</v>
      </c>
      <c r="W4948">
        <v>3.350185E-2</v>
      </c>
      <c r="X4948">
        <v>0.99824999999999997</v>
      </c>
      <c r="Y4948">
        <v>9.5704620000000004E-2</v>
      </c>
      <c r="Z4948">
        <v>-3.9441249999999997E-3</v>
      </c>
      <c r="AA4948">
        <v>0.99540200000000001</v>
      </c>
      <c r="AB4948">
        <v>31</v>
      </c>
      <c r="AC4948">
        <v>19.4955999999999</v>
      </c>
      <c r="AD4948">
        <v>-1.105410198792</v>
      </c>
      <c r="AE4948">
        <v>-1.4537099999999901</v>
      </c>
      <c r="AF4948">
        <v>1.88522841722061</v>
      </c>
      <c r="AG4948">
        <v>-1.105410198792</v>
      </c>
      <c r="AH4948">
        <v>19.396015387962599</v>
      </c>
      <c r="AI4948">
        <v>93.246583841730299</v>
      </c>
      <c r="AJ4948">
        <v>84.448478388433699</v>
      </c>
      <c r="AK4948">
        <v>19.5187456262633</v>
      </c>
    </row>
    <row r="4949" spans="1:37" x14ac:dyDescent="0.2">
      <c r="A4949" t="str">
        <f>"20200111153530915"</f>
        <v>20200111153530915</v>
      </c>
      <c r="B4949" t="str">
        <f>"1578728130900495"</f>
        <v>1578728130900495</v>
      </c>
      <c r="C4949" t="s">
        <v>37</v>
      </c>
      <c r="D4949">
        <v>4.9564589999999997</v>
      </c>
      <c r="E4949">
        <v>0.55518100000000004</v>
      </c>
      <c r="F4949" t="s">
        <v>40</v>
      </c>
      <c r="G4949">
        <v>-343.30149999999998</v>
      </c>
      <c r="H4949">
        <v>1.050508</v>
      </c>
      <c r="I4949">
        <v>16.788979999999999</v>
      </c>
      <c r="J4949">
        <v>-344.08890000000002</v>
      </c>
      <c r="K4949">
        <v>1.105421</v>
      </c>
      <c r="L4949">
        <v>16.864899999999999</v>
      </c>
      <c r="M4949">
        <v>0.99967030000000001</v>
      </c>
      <c r="N4949">
        <v>0</v>
      </c>
      <c r="O4949">
        <v>2.2990690000000001E-2</v>
      </c>
      <c r="P4949">
        <v>0.99726429999999999</v>
      </c>
      <c r="Q4949">
        <v>2.184583E-2</v>
      </c>
      <c r="R4949">
        <v>7.0617360000000004E-2</v>
      </c>
      <c r="S4949">
        <v>3.0281370000000001</v>
      </c>
      <c r="T4949">
        <v>-0.17220479999999999</v>
      </c>
      <c r="U4949">
        <v>-0.22332759999999999</v>
      </c>
      <c r="V4949">
        <v>-4.7731580000000003E-2</v>
      </c>
      <c r="W4949">
        <v>3.3179220000000002E-2</v>
      </c>
      <c r="X4949">
        <v>0.998309</v>
      </c>
      <c r="Y4949">
        <v>9.6269850000000004E-2</v>
      </c>
      <c r="Z4949">
        <v>-4.0363309999999998E-3</v>
      </c>
      <c r="AA4949">
        <v>0.99534709999999904</v>
      </c>
      <c r="AB4949">
        <v>31</v>
      </c>
      <c r="AC4949">
        <v>0.78740000000004695</v>
      </c>
      <c r="AD4949">
        <v>-5.4912999999999899E-2</v>
      </c>
      <c r="AE4949">
        <v>-7.5919999999999904E-2</v>
      </c>
      <c r="AF4949">
        <v>9.35531668559514E-2</v>
      </c>
      <c r="AG4949">
        <v>-5.4912999999999899E-2</v>
      </c>
      <c r="AH4949">
        <v>0.78167950617885695</v>
      </c>
      <c r="AI4949">
        <v>93.990046028407207</v>
      </c>
      <c r="AJ4949">
        <v>83.175174209102295</v>
      </c>
      <c r="AK4949">
        <v>0.78917075653992597</v>
      </c>
    </row>
    <row r="4950" spans="1:37" x14ac:dyDescent="0.2">
      <c r="A4950" t="str">
        <f>"20200111153530926"</f>
        <v>20200111153530926</v>
      </c>
      <c r="B4950" t="str">
        <f>"1578728130920992"</f>
        <v>1578728130920992</v>
      </c>
      <c r="C4950" t="s">
        <v>37</v>
      </c>
      <c r="D4950">
        <v>4.9382890000000002</v>
      </c>
      <c r="E4950">
        <v>0.55504919999999902</v>
      </c>
      <c r="F4950" t="s">
        <v>39</v>
      </c>
      <c r="G4950">
        <v>-324.9153</v>
      </c>
      <c r="H4950" s="1">
        <v>-3.12374199999999E-6</v>
      </c>
      <c r="I4950">
        <v>15.44631</v>
      </c>
      <c r="J4950">
        <v>-343.92450000000002</v>
      </c>
      <c r="K4950">
        <v>1.1054299999999999</v>
      </c>
      <c r="L4950">
        <v>16.86917</v>
      </c>
      <c r="M4950">
        <v>0.99965720000000002</v>
      </c>
      <c r="N4950">
        <v>0</v>
      </c>
      <c r="O4950">
        <v>2.3478760000000001E-2</v>
      </c>
      <c r="P4950">
        <v>0.99732069999999995</v>
      </c>
      <c r="Q4950">
        <v>2.1215290000000001E-2</v>
      </c>
      <c r="R4950">
        <v>7.0011500000000004E-2</v>
      </c>
      <c r="S4950">
        <v>3.0279849999999899</v>
      </c>
      <c r="T4950">
        <v>-0.17457320000000001</v>
      </c>
      <c r="U4950">
        <v>-0.22402949999999999</v>
      </c>
      <c r="V4950">
        <v>-4.6636469999999999E-2</v>
      </c>
      <c r="W4950">
        <v>3.2698350000000001E-2</v>
      </c>
      <c r="X4950">
        <v>0.99837659999999995</v>
      </c>
      <c r="Y4950">
        <v>9.6981639999999994E-2</v>
      </c>
      <c r="Z4950">
        <v>-4.1404850000000002E-3</v>
      </c>
      <c r="AA4950">
        <v>0.99527759999999998</v>
      </c>
      <c r="AB4950">
        <v>31</v>
      </c>
      <c r="AC4950">
        <v>19.0092</v>
      </c>
      <c r="AD4950">
        <v>-1.1054331237420001</v>
      </c>
      <c r="AE4950">
        <v>-1.42286</v>
      </c>
      <c r="AF4950">
        <v>1.8625466047905499</v>
      </c>
      <c r="AG4950">
        <v>-1.1054331237420001</v>
      </c>
      <c r="AH4950">
        <v>18.906968124530302</v>
      </c>
      <c r="AI4950">
        <v>93.330018856061898</v>
      </c>
      <c r="AJ4950">
        <v>84.373881177862401</v>
      </c>
      <c r="AK4950">
        <v>19.030620218692</v>
      </c>
    </row>
    <row r="4951" spans="1:37" x14ac:dyDescent="0.2">
      <c r="A4951" t="str">
        <f>"20200111153530938"</f>
        <v>20200111153530938</v>
      </c>
      <c r="B4951" t="str">
        <f>"1578728130930751"</f>
        <v>1578728130930751</v>
      </c>
      <c r="C4951" t="s">
        <v>37</v>
      </c>
      <c r="D4951">
        <v>4.9604210000000002</v>
      </c>
      <c r="E4951">
        <v>0.55512079999999997</v>
      </c>
      <c r="F4951" t="s">
        <v>40</v>
      </c>
      <c r="G4951">
        <v>-343.02339999999998</v>
      </c>
      <c r="H4951">
        <v>1.0525089999999999</v>
      </c>
      <c r="I4951">
        <v>16.802</v>
      </c>
      <c r="J4951">
        <v>-343.75369999999998</v>
      </c>
      <c r="K4951">
        <v>1.1054409999999999</v>
      </c>
      <c r="L4951">
        <v>16.87369</v>
      </c>
      <c r="M4951">
        <v>0.99964349999999902</v>
      </c>
      <c r="N4951">
        <v>0</v>
      </c>
      <c r="O4951">
        <v>2.3985699999999999E-2</v>
      </c>
      <c r="P4951">
        <v>0.99740830000000003</v>
      </c>
      <c r="Q4951">
        <v>2.0364409999999999E-2</v>
      </c>
      <c r="R4951">
        <v>6.9007109999999997E-2</v>
      </c>
      <c r="S4951">
        <v>3.0276489999999998</v>
      </c>
      <c r="T4951">
        <v>-0.17789669999999999</v>
      </c>
      <c r="U4951">
        <v>-0.22460939999999999</v>
      </c>
      <c r="V4951">
        <v>-4.5121649999999999E-2</v>
      </c>
      <c r="W4951">
        <v>3.1998720000000001E-2</v>
      </c>
      <c r="X4951">
        <v>0.99846889999999999</v>
      </c>
      <c r="Y4951">
        <v>9.7674330000000004E-2</v>
      </c>
      <c r="Z4951">
        <v>-4.2696499999999998E-3</v>
      </c>
      <c r="AA4951">
        <v>0.99520929999999996</v>
      </c>
      <c r="AB4951">
        <v>31</v>
      </c>
      <c r="AC4951">
        <v>0.73029999999999895</v>
      </c>
      <c r="AD4951">
        <v>-5.2931999999999903E-2</v>
      </c>
      <c r="AE4951">
        <v>-7.1690000000000198E-2</v>
      </c>
      <c r="AF4951">
        <v>8.8725677859266702E-2</v>
      </c>
      <c r="AG4951">
        <v>-5.2931999999999903E-2</v>
      </c>
      <c r="AH4951">
        <v>0.72459998637920298</v>
      </c>
      <c r="AI4951">
        <v>94.147167949143693</v>
      </c>
      <c r="AJ4951">
        <v>83.019008896296</v>
      </c>
      <c r="AK4951">
        <v>0.73192840004766002</v>
      </c>
    </row>
    <row r="4952" spans="1:37" x14ac:dyDescent="0.2">
      <c r="A4952" t="str">
        <f>"20200111153530955"</f>
        <v>20200111153530955</v>
      </c>
      <c r="B4952" t="str">
        <f>"1578728130951249"</f>
        <v>1578728130951249</v>
      </c>
      <c r="C4952" t="s">
        <v>37</v>
      </c>
      <c r="D4952">
        <v>5.1959609999999996</v>
      </c>
      <c r="E4952">
        <v>0.59426080000000003</v>
      </c>
      <c r="F4952" t="s">
        <v>40</v>
      </c>
      <c r="G4952">
        <v>-342.75189999999998</v>
      </c>
      <c r="H4952">
        <v>1.045901</v>
      </c>
      <c r="I4952">
        <v>16.798010000000001</v>
      </c>
      <c r="J4952">
        <v>-343.52780000000001</v>
      </c>
      <c r="K4952">
        <v>1.105445</v>
      </c>
      <c r="L4952">
        <v>16.879850000000001</v>
      </c>
      <c r="M4952">
        <v>0.99962510000000004</v>
      </c>
      <c r="N4952">
        <v>0</v>
      </c>
      <c r="O4952">
        <v>2.4655719999999999E-2</v>
      </c>
      <c r="P4952">
        <v>0.99757600000000002</v>
      </c>
      <c r="Q4952">
        <v>1.930364E-2</v>
      </c>
      <c r="R4952">
        <v>6.6857520000000004E-2</v>
      </c>
      <c r="S4952">
        <v>3.0272830000000002</v>
      </c>
      <c r="T4952">
        <v>-0.17992649999999999</v>
      </c>
      <c r="U4952">
        <v>-0.22811889999999899</v>
      </c>
      <c r="V4952">
        <v>-4.2297899999999999E-2</v>
      </c>
      <c r="W4952">
        <v>3.1123209999999998E-2</v>
      </c>
      <c r="X4952">
        <v>0.99862019999999996</v>
      </c>
      <c r="Y4952">
        <v>9.9488289999999993E-2</v>
      </c>
      <c r="Z4952">
        <v>-4.4121500000000001E-3</v>
      </c>
      <c r="AA4952">
        <v>0.99502900000000005</v>
      </c>
      <c r="AB4952">
        <v>31</v>
      </c>
      <c r="AC4952">
        <v>0.77590000000003501</v>
      </c>
      <c r="AD4952">
        <v>-5.9544E-2</v>
      </c>
      <c r="AE4952">
        <v>-8.1839999999999594E-2</v>
      </c>
      <c r="AF4952">
        <v>0.100362285243594</v>
      </c>
      <c r="AG4952">
        <v>-5.9544E-2</v>
      </c>
      <c r="AH4952">
        <v>0.76916611078639097</v>
      </c>
      <c r="AI4952">
        <v>94.389587430850597</v>
      </c>
      <c r="AJ4952">
        <v>82.565935403468302</v>
      </c>
      <c r="AK4952">
        <v>0.77796823985146002</v>
      </c>
    </row>
    <row r="4953" spans="1:37" x14ac:dyDescent="0.2">
      <c r="A4953" t="str">
        <f>"20200111153530967"</f>
        <v>20200111153530967</v>
      </c>
      <c r="B4953" t="str">
        <f>"1578728130961007"</f>
        <v>1578728130961007</v>
      </c>
      <c r="C4953" t="s">
        <v>37</v>
      </c>
      <c r="D4953">
        <v>5.277253</v>
      </c>
      <c r="E4953">
        <v>0.59542189999999995</v>
      </c>
      <c r="F4953" t="s">
        <v>39</v>
      </c>
      <c r="G4953">
        <v>-324.4282</v>
      </c>
      <c r="H4953" s="1">
        <v>-3.76273599999999E-6</v>
      </c>
      <c r="I4953">
        <v>13.45697</v>
      </c>
      <c r="J4953">
        <v>-343.3639</v>
      </c>
      <c r="K4953">
        <v>1.105443</v>
      </c>
      <c r="L4953">
        <v>16.884399999999999</v>
      </c>
      <c r="M4953">
        <v>0.99961160000000004</v>
      </c>
      <c r="N4953">
        <v>0</v>
      </c>
      <c r="O4953">
        <v>2.5142629999999999E-2</v>
      </c>
      <c r="P4953">
        <v>0.9976642</v>
      </c>
      <c r="Q4953">
        <v>1.8602509999999999E-2</v>
      </c>
      <c r="R4953">
        <v>6.5728709999999996E-2</v>
      </c>
      <c r="S4953">
        <v>3.0473020000000002</v>
      </c>
      <c r="T4953">
        <v>-0.17637159999999999</v>
      </c>
      <c r="U4953">
        <v>-0.54611209999999999</v>
      </c>
      <c r="V4953">
        <v>-4.0679559999999997E-2</v>
      </c>
      <c r="W4953">
        <v>3.0546029999999998E-2</v>
      </c>
      <c r="X4953">
        <v>0.99870519999999996</v>
      </c>
      <c r="Y4953">
        <v>0.20072899999999999</v>
      </c>
      <c r="Z4953">
        <v>-7.2016010000000002E-3</v>
      </c>
      <c r="AA4953">
        <v>0.9796203</v>
      </c>
      <c r="AB4953">
        <v>31</v>
      </c>
      <c r="AC4953">
        <v>18.935700000000001</v>
      </c>
      <c r="AD4953">
        <v>-1.1054467627359901</v>
      </c>
      <c r="AE4953">
        <v>-3.42742999999999</v>
      </c>
      <c r="AF4953">
        <v>3.8896382782992101</v>
      </c>
      <c r="AG4953">
        <v>-1.1054467627359901</v>
      </c>
      <c r="AH4953">
        <v>18.781553310156799</v>
      </c>
      <c r="AI4953">
        <v>93.298599045039495</v>
      </c>
      <c r="AJ4953">
        <v>78.299515680337294</v>
      </c>
      <c r="AK4953">
        <v>19.211924505981099</v>
      </c>
    </row>
    <row r="4954" spans="1:37" x14ac:dyDescent="0.2">
      <c r="A4954" t="str">
        <f>"20200111153530980"</f>
        <v>20200111153530980</v>
      </c>
      <c r="B4954" t="str">
        <f>"1578728130970767"</f>
        <v>1578728130970767</v>
      </c>
      <c r="C4954" t="s">
        <v>37</v>
      </c>
      <c r="D4954">
        <v>5.2468690000000002</v>
      </c>
      <c r="E4954">
        <v>0.59484110000000001</v>
      </c>
      <c r="F4954" t="s">
        <v>39</v>
      </c>
      <c r="G4954">
        <v>-328.68619999999999</v>
      </c>
      <c r="H4954" s="1">
        <v>-1.9306179999999999E-6</v>
      </c>
      <c r="I4954">
        <v>14.197289999999899</v>
      </c>
      <c r="J4954">
        <v>-343.18699999999899</v>
      </c>
      <c r="K4954">
        <v>1.105443</v>
      </c>
      <c r="L4954">
        <v>16.889340000000001</v>
      </c>
      <c r="M4954">
        <v>0.99959669999999901</v>
      </c>
      <c r="N4954">
        <v>0</v>
      </c>
      <c r="O4954">
        <v>2.566854E-2</v>
      </c>
      <c r="P4954">
        <v>0.99774560000000001</v>
      </c>
      <c r="Q4954">
        <v>1.8454459999999999E-2</v>
      </c>
      <c r="R4954">
        <v>6.4523230000000001E-2</v>
      </c>
      <c r="S4954">
        <v>3.048035</v>
      </c>
      <c r="T4954">
        <v>-0.22956089999999901</v>
      </c>
      <c r="U4954">
        <v>-0.55801389999999995</v>
      </c>
      <c r="V4954">
        <v>-3.8946080000000001E-2</v>
      </c>
      <c r="W4954">
        <v>3.052649E-2</v>
      </c>
      <c r="X4954">
        <v>0.99877490000000002</v>
      </c>
      <c r="Y4954">
        <v>0.20463999999999999</v>
      </c>
      <c r="Z4954">
        <v>-9.5478479999999994E-3</v>
      </c>
      <c r="AA4954">
        <v>0.97879079999999996</v>
      </c>
      <c r="AB4954">
        <v>31</v>
      </c>
      <c r="AC4954">
        <v>14.5007999999999</v>
      </c>
      <c r="AD4954">
        <v>-1.1054449306180001</v>
      </c>
      <c r="AE4954">
        <v>-2.6920500000000001</v>
      </c>
      <c r="AF4954">
        <v>3.0462909206930502</v>
      </c>
      <c r="AG4954">
        <v>-1.1054449306180001</v>
      </c>
      <c r="AH4954">
        <v>14.346319063331901</v>
      </c>
      <c r="AI4954">
        <v>94.310447805985106</v>
      </c>
      <c r="AJ4954">
        <v>78.011896947246697</v>
      </c>
      <c r="AK4954">
        <v>14.7077791503356</v>
      </c>
    </row>
    <row r="4955" spans="1:37" x14ac:dyDescent="0.2">
      <c r="A4955" t="str">
        <f>"20200111153530993"</f>
        <v>20200111153530993</v>
      </c>
      <c r="B4955" t="str">
        <f>"1578728130980528"</f>
        <v>1578728130980528</v>
      </c>
      <c r="C4955" t="s">
        <v>37</v>
      </c>
      <c r="D4955">
        <v>5.1983300000000003</v>
      </c>
      <c r="E4955">
        <v>0.5941324</v>
      </c>
      <c r="F4955" t="s">
        <v>39</v>
      </c>
      <c r="G4955">
        <v>-329.95850000000002</v>
      </c>
      <c r="H4955" s="1">
        <v>-5.2024749999999997E-6</v>
      </c>
      <c r="I4955">
        <v>14.472619999999999</v>
      </c>
      <c r="J4955">
        <v>-343.00229999999999</v>
      </c>
      <c r="K4955">
        <v>1.105445</v>
      </c>
      <c r="L4955">
        <v>16.89471</v>
      </c>
      <c r="M4955">
        <v>0.99958089999999999</v>
      </c>
      <c r="N4955">
        <v>0</v>
      </c>
      <c r="O4955">
        <v>2.6218729999999999E-2</v>
      </c>
      <c r="P4955">
        <v>0.99782499999999996</v>
      </c>
      <c r="Q4955">
        <v>1.7971460000000002E-2</v>
      </c>
      <c r="R4955">
        <v>6.3422069999999997E-2</v>
      </c>
      <c r="S4955">
        <v>3.0475159999999999</v>
      </c>
      <c r="T4955">
        <v>-0.25466689999999997</v>
      </c>
      <c r="U4955">
        <v>-0.55673219999999901</v>
      </c>
      <c r="V4955">
        <v>-3.7292890000000002E-2</v>
      </c>
      <c r="W4955">
        <v>3.0164739999999999E-2</v>
      </c>
      <c r="X4955">
        <v>0.99884899999999999</v>
      </c>
      <c r="Y4955">
        <v>0.20466210000000001</v>
      </c>
      <c r="Z4955">
        <v>-1.063733E-2</v>
      </c>
      <c r="AA4955">
        <v>0.9787749</v>
      </c>
      <c r="AB4955">
        <v>31</v>
      </c>
      <c r="AC4955">
        <v>13.0437999999999</v>
      </c>
      <c r="AD4955">
        <v>-1.1054502024749999</v>
      </c>
      <c r="AE4955">
        <v>-2.4220899999999901</v>
      </c>
      <c r="AF4955">
        <v>2.7442216976378999</v>
      </c>
      <c r="AG4955">
        <v>-1.1054502024749999</v>
      </c>
      <c r="AH4955">
        <v>12.8863363791026</v>
      </c>
      <c r="AI4955">
        <v>94.796069079527399</v>
      </c>
      <c r="AJ4955">
        <v>77.978109004664503</v>
      </c>
      <c r="AK4955">
        <v>13.2215898496104</v>
      </c>
    </row>
    <row r="4956" spans="1:37" x14ac:dyDescent="0.2">
      <c r="A4956" t="str">
        <f>"20200111153531006"</f>
        <v>20200111153531006</v>
      </c>
      <c r="B4956" t="str">
        <f>"1578728131001024"</f>
        <v>1578728131001024</v>
      </c>
      <c r="C4956" t="s">
        <v>37</v>
      </c>
      <c r="D4956">
        <v>5.1959200000000001</v>
      </c>
      <c r="E4956">
        <v>0.59288629999999998</v>
      </c>
      <c r="F4956" t="s">
        <v>39</v>
      </c>
      <c r="G4956">
        <v>-330.41419999999999</v>
      </c>
      <c r="H4956" s="1">
        <v>-4.9834579999999999E-6</v>
      </c>
      <c r="I4956">
        <v>14.605119999999999</v>
      </c>
      <c r="J4956">
        <v>-342.82339999999999</v>
      </c>
      <c r="K4956">
        <v>1.10545</v>
      </c>
      <c r="L4956">
        <v>16.899929999999902</v>
      </c>
      <c r="M4956">
        <v>0.9995655</v>
      </c>
      <c r="N4956">
        <v>0</v>
      </c>
      <c r="O4956">
        <v>2.6751919999999998E-2</v>
      </c>
      <c r="P4956">
        <v>0.99792150000000002</v>
      </c>
      <c r="Q4956">
        <v>1.759666E-2</v>
      </c>
      <c r="R4956">
        <v>6.1994760000000003E-2</v>
      </c>
      <c r="S4956">
        <v>3.04657</v>
      </c>
      <c r="T4956">
        <v>-0.26754109999999998</v>
      </c>
      <c r="U4956">
        <v>-0.55410769999999998</v>
      </c>
      <c r="V4956">
        <v>-3.5329840000000001E-2</v>
      </c>
      <c r="W4956">
        <v>2.9901649999999998E-2</v>
      </c>
      <c r="X4956">
        <v>0.99892819999999904</v>
      </c>
      <c r="Y4956">
        <v>0.20433970000000001</v>
      </c>
      <c r="Z4956">
        <v>-1.1209749999999999E-2</v>
      </c>
      <c r="AA4956">
        <v>0.97883589999999998</v>
      </c>
      <c r="AB4956">
        <v>31</v>
      </c>
      <c r="AC4956">
        <v>12.409199999999901</v>
      </c>
      <c r="AD4956">
        <v>-1.1054549834580001</v>
      </c>
      <c r="AE4956">
        <v>-2.2948099999999898</v>
      </c>
      <c r="AF4956">
        <v>2.6059870058394998</v>
      </c>
      <c r="AG4956">
        <v>-1.1054549834580001</v>
      </c>
      <c r="AH4956">
        <v>12.249367916378599</v>
      </c>
      <c r="AI4956">
        <v>95.044447712958998</v>
      </c>
      <c r="AJ4956">
        <v>77.989691739925703</v>
      </c>
      <c r="AK4956">
        <v>12.5722000201183</v>
      </c>
    </row>
    <row r="4957" spans="1:37" x14ac:dyDescent="0.2">
      <c r="A4957" t="str">
        <f>"20200111153531022"</f>
        <v>20200111153531022</v>
      </c>
      <c r="B4957" t="str">
        <f>"1578728131010784"</f>
        <v>1578728131010784</v>
      </c>
      <c r="C4957" t="s">
        <v>37</v>
      </c>
      <c r="D4957">
        <v>5.210871</v>
      </c>
      <c r="E4957">
        <v>0.59237700000000004</v>
      </c>
      <c r="F4957" t="s">
        <v>39</v>
      </c>
      <c r="G4957">
        <v>-330.88080000000002</v>
      </c>
      <c r="H4957" s="1">
        <v>-4.7576960000000001E-6</v>
      </c>
      <c r="I4957">
        <v>14.7495799999999</v>
      </c>
      <c r="J4957">
        <v>-342.6069</v>
      </c>
      <c r="K4957">
        <v>1.1054489999999999</v>
      </c>
      <c r="L4957">
        <v>16.906400000000001</v>
      </c>
      <c r="M4957">
        <v>0.9995465</v>
      </c>
      <c r="N4957">
        <v>0</v>
      </c>
      <c r="O4957">
        <v>2.739757E-2</v>
      </c>
      <c r="P4957">
        <v>0.9981101</v>
      </c>
      <c r="Q4957">
        <v>1.747758E-2</v>
      </c>
      <c r="R4957">
        <v>5.891445E-2</v>
      </c>
      <c r="S4957">
        <v>3.0453189999999899</v>
      </c>
      <c r="T4957">
        <v>-0.281885099999999</v>
      </c>
      <c r="U4957">
        <v>-0.5483093</v>
      </c>
      <c r="V4957">
        <v>-3.1599960000000003E-2</v>
      </c>
      <c r="W4957">
        <v>2.9910699999999998E-2</v>
      </c>
      <c r="X4957">
        <v>0.99905290000000002</v>
      </c>
      <c r="Y4957">
        <v>0.2031444</v>
      </c>
      <c r="Z4957">
        <v>-1.18195E-2</v>
      </c>
      <c r="AA4957">
        <v>0.97907749999999905</v>
      </c>
      <c r="AB4957">
        <v>31</v>
      </c>
      <c r="AC4957">
        <v>11.726099999999899</v>
      </c>
      <c r="AD4957">
        <v>-1.105453757696</v>
      </c>
      <c r="AE4957">
        <v>-2.1568200000000002</v>
      </c>
      <c r="AF4957">
        <v>2.4561872339595001</v>
      </c>
      <c r="AG4957">
        <v>-1.105453757696</v>
      </c>
      <c r="AH4957">
        <v>11.5631976657914</v>
      </c>
      <c r="AI4957">
        <v>95.342456972877002</v>
      </c>
      <c r="AJ4957">
        <v>78.007805055964994</v>
      </c>
      <c r="AK4957">
        <v>11.872759746446199</v>
      </c>
    </row>
    <row r="4958" spans="1:37" x14ac:dyDescent="0.2">
      <c r="A4958" t="str">
        <f>"20200111153531037"</f>
        <v>20200111153531037</v>
      </c>
      <c r="B4958" t="str">
        <f>"1578728131031279"</f>
        <v>1578728131031279</v>
      </c>
      <c r="C4958" t="s">
        <v>37</v>
      </c>
      <c r="D4958">
        <v>5.2987890000000002</v>
      </c>
      <c r="E4958">
        <v>0.59200569999999997</v>
      </c>
      <c r="F4958" t="s">
        <v>39</v>
      </c>
      <c r="G4958">
        <v>-330.8177</v>
      </c>
      <c r="H4958" s="1">
        <v>-4.782385E-6</v>
      </c>
      <c r="I4958">
        <v>14.76299</v>
      </c>
      <c r="J4958">
        <v>-342.40010000000001</v>
      </c>
      <c r="K4958">
        <v>1.1054489999999999</v>
      </c>
      <c r="L4958">
        <v>16.91272</v>
      </c>
      <c r="M4958">
        <v>0.99952809999999903</v>
      </c>
      <c r="N4958">
        <v>0</v>
      </c>
      <c r="O4958">
        <v>2.801414E-2</v>
      </c>
      <c r="P4958">
        <v>0.99818069999999903</v>
      </c>
      <c r="Q4958">
        <v>1.728265E-2</v>
      </c>
      <c r="R4958">
        <v>5.7763870000000002E-2</v>
      </c>
      <c r="S4958">
        <v>3.043304</v>
      </c>
      <c r="T4958">
        <v>-0.28536450000000002</v>
      </c>
      <c r="U4958">
        <v>-0.55328369999999905</v>
      </c>
      <c r="V4958">
        <v>-2.983069E-2</v>
      </c>
      <c r="W4958">
        <v>2.9825379999999999E-2</v>
      </c>
      <c r="X4958">
        <v>0.9991099</v>
      </c>
      <c r="Y4958">
        <v>0.20537349999999999</v>
      </c>
      <c r="Z4958">
        <v>-1.213156E-2</v>
      </c>
      <c r="AA4958">
        <v>0.97860849999999899</v>
      </c>
      <c r="AB4958">
        <v>31</v>
      </c>
      <c r="AC4958">
        <v>11.5824</v>
      </c>
      <c r="AD4958">
        <v>-1.1054537823849999</v>
      </c>
      <c r="AE4958">
        <v>-2.1497299999999999</v>
      </c>
      <c r="AF4958">
        <v>2.4517925826046998</v>
      </c>
      <c r="AG4958">
        <v>-1.1054537823849999</v>
      </c>
      <c r="AH4958">
        <v>11.4170878158371</v>
      </c>
      <c r="AI4958">
        <v>95.407860958208403</v>
      </c>
      <c r="AJ4958">
        <v>77.879941255609097</v>
      </c>
      <c r="AK4958">
        <v>11.729586912063001</v>
      </c>
    </row>
    <row r="4959" spans="1:37" x14ac:dyDescent="0.2">
      <c r="A4959" t="str">
        <f>"20200111153531050"</f>
        <v>20200111153531050</v>
      </c>
      <c r="B4959" t="str">
        <f>"1578728131041040"</f>
        <v>1578728131041040</v>
      </c>
      <c r="C4959" t="s">
        <v>37</v>
      </c>
      <c r="D4959">
        <v>5.287064</v>
      </c>
      <c r="E4959">
        <v>0.59215850000000003</v>
      </c>
      <c r="F4959" t="s">
        <v>39</v>
      </c>
      <c r="G4959">
        <v>-330.10770000000002</v>
      </c>
      <c r="H4959" s="1">
        <v>-5.1027159999999999E-6</v>
      </c>
      <c r="I4959">
        <v>14.674110000000001</v>
      </c>
      <c r="J4959">
        <v>-342.21789999999999</v>
      </c>
      <c r="K4959">
        <v>1.105451</v>
      </c>
      <c r="L4959">
        <v>16.918399999999998</v>
      </c>
      <c r="M4959">
        <v>0.99951159999999994</v>
      </c>
      <c r="N4959">
        <v>0</v>
      </c>
      <c r="O4959">
        <v>2.8557409999999998E-2</v>
      </c>
      <c r="P4959">
        <v>0.99824999999999997</v>
      </c>
      <c r="Q4959">
        <v>1.7046720000000001E-2</v>
      </c>
      <c r="R4959">
        <v>5.662739E-2</v>
      </c>
      <c r="S4959">
        <v>3.0422669999999998</v>
      </c>
      <c r="T4959">
        <v>-0.27359</v>
      </c>
      <c r="U4959">
        <v>-0.55401610000000001</v>
      </c>
      <c r="V4959">
        <v>-2.8149520000000001E-2</v>
      </c>
      <c r="W4959">
        <v>2.9675719999999999E-2</v>
      </c>
      <c r="X4959">
        <v>0.99916319999999903</v>
      </c>
      <c r="Y4959">
        <v>0.2062659</v>
      </c>
      <c r="Z4959">
        <v>-1.1724780000000001E-2</v>
      </c>
      <c r="AA4959">
        <v>0.97842569999999995</v>
      </c>
      <c r="AB4959">
        <v>31</v>
      </c>
      <c r="AC4959">
        <v>12.110199999999899</v>
      </c>
      <c r="AD4959">
        <v>-1.1054561027159999</v>
      </c>
      <c r="AE4959">
        <v>-2.2442899999999901</v>
      </c>
      <c r="AF4959">
        <v>2.56854631631106</v>
      </c>
      <c r="AG4959">
        <v>-1.1054561027159999</v>
      </c>
      <c r="AH4959">
        <v>11.9449363673435</v>
      </c>
      <c r="AI4959">
        <v>95.169921791206505</v>
      </c>
      <c r="AJ4959">
        <v>77.864354732508701</v>
      </c>
      <c r="AK4959">
        <v>12.2678836069614</v>
      </c>
    </row>
    <row r="4960" spans="1:37" x14ac:dyDescent="0.2">
      <c r="A4960" t="str">
        <f>"20200111153531068"</f>
        <v>20200111153531068</v>
      </c>
      <c r="B4960" t="str">
        <f>"1578728131060559"</f>
        <v>1578728131060559</v>
      </c>
      <c r="C4960" t="s">
        <v>37</v>
      </c>
      <c r="D4960">
        <v>5.2795800000000002</v>
      </c>
      <c r="E4960">
        <v>0.59237689999999998</v>
      </c>
      <c r="F4960" t="s">
        <v>39</v>
      </c>
      <c r="G4960">
        <v>-329.50850000000003</v>
      </c>
      <c r="H4960" s="1">
        <v>-1.512233E-6</v>
      </c>
      <c r="I4960">
        <v>14.582939999999899</v>
      </c>
      <c r="J4960">
        <v>-341.98140000000001</v>
      </c>
      <c r="K4960">
        <v>1.105453</v>
      </c>
      <c r="L4960">
        <v>16.925899999999999</v>
      </c>
      <c r="M4960">
        <v>0.99948999999999999</v>
      </c>
      <c r="N4960">
        <v>0</v>
      </c>
      <c r="O4960">
        <v>2.9262159999999999E-2</v>
      </c>
      <c r="P4960">
        <v>0.99840609999999996</v>
      </c>
      <c r="Q4960">
        <v>1.656701E-2</v>
      </c>
      <c r="R4960">
        <v>5.3952529999999999E-2</v>
      </c>
      <c r="S4960">
        <v>3.0415040000000002</v>
      </c>
      <c r="T4960">
        <v>-0.26454620000000001</v>
      </c>
      <c r="U4960">
        <v>-0.55889889999999998</v>
      </c>
      <c r="V4960">
        <v>-2.4765490000000001E-2</v>
      </c>
      <c r="W4960">
        <v>2.9303470000000002E-2</v>
      </c>
      <c r="X4960">
        <v>0.99926369999999898</v>
      </c>
      <c r="Y4960">
        <v>0.208566799999999</v>
      </c>
      <c r="Z4960">
        <v>-1.149963E-2</v>
      </c>
      <c r="AA4960">
        <v>0.97794049999999999</v>
      </c>
      <c r="AB4960">
        <v>31</v>
      </c>
      <c r="AC4960">
        <v>12.4728999999999</v>
      </c>
      <c r="AD4960">
        <v>-1.105454512233</v>
      </c>
      <c r="AE4960">
        <v>-2.3429599999999899</v>
      </c>
      <c r="AF4960">
        <v>2.6865864282869798</v>
      </c>
      <c r="AG4960">
        <v>-1.105454512233</v>
      </c>
      <c r="AH4960">
        <v>12.3056258238053</v>
      </c>
      <c r="AI4960">
        <v>95.0157664870258</v>
      </c>
      <c r="AJ4960">
        <v>77.684328270844006</v>
      </c>
      <c r="AK4960">
        <v>12.643899842642501</v>
      </c>
    </row>
    <row r="4961" spans="1:37" x14ac:dyDescent="0.2">
      <c r="A4961" t="str">
        <f>"20200111153531080"</f>
        <v>20200111153531080</v>
      </c>
      <c r="B4961" t="str">
        <f>"1578728131070319"</f>
        <v>1578728131070319</v>
      </c>
      <c r="C4961" t="s">
        <v>37</v>
      </c>
      <c r="D4961">
        <v>5.1894070000000001</v>
      </c>
      <c r="E4961">
        <v>0.59206719999999902</v>
      </c>
      <c r="F4961" t="s">
        <v>39</v>
      </c>
      <c r="G4961">
        <v>-328.74650000000003</v>
      </c>
      <c r="H4961" s="1">
        <v>-1.840721E-6</v>
      </c>
      <c r="I4961">
        <v>14.44811</v>
      </c>
      <c r="J4961">
        <v>-341.8168</v>
      </c>
      <c r="K4961">
        <v>1.1054580000000001</v>
      </c>
      <c r="L4961">
        <v>16.931179999999902</v>
      </c>
      <c r="M4961">
        <v>0.99947459999999899</v>
      </c>
      <c r="N4961">
        <v>0</v>
      </c>
      <c r="O4961">
        <v>2.975301E-2</v>
      </c>
      <c r="P4961">
        <v>0.99846829999999998</v>
      </c>
      <c r="Q4961">
        <v>1.6137490000000001E-2</v>
      </c>
      <c r="R4961">
        <v>5.292293E-2</v>
      </c>
      <c r="S4961">
        <v>3.0397639999999999</v>
      </c>
      <c r="T4961">
        <v>-0.2538975</v>
      </c>
      <c r="U4961">
        <v>-0.56909180000000004</v>
      </c>
      <c r="V4961">
        <v>-2.3242390000000002E-2</v>
      </c>
      <c r="W4961">
        <v>2.8941709999999999E-2</v>
      </c>
      <c r="X4961">
        <v>0.9993109</v>
      </c>
      <c r="Y4961">
        <v>0.21236869999999999</v>
      </c>
      <c r="Z4961">
        <v>-1.1239000000000001E-2</v>
      </c>
      <c r="AA4961">
        <v>0.97712500000000002</v>
      </c>
      <c r="AB4961">
        <v>31</v>
      </c>
      <c r="AC4961">
        <v>13.0702999999999</v>
      </c>
      <c r="AD4961">
        <v>-1.1054598407209999</v>
      </c>
      <c r="AE4961">
        <v>-2.4830699999999899</v>
      </c>
      <c r="AF4961">
        <v>2.8511980340879401</v>
      </c>
      <c r="AG4961">
        <v>-1.1054598407209999</v>
      </c>
      <c r="AH4961">
        <v>12.9015520925175</v>
      </c>
      <c r="AI4961">
        <v>94.782542652431701</v>
      </c>
      <c r="AJ4961">
        <v>77.538132715906301</v>
      </c>
      <c r="AK4961">
        <v>13.259012711547401</v>
      </c>
    </row>
    <row r="4962" spans="1:37" x14ac:dyDescent="0.2">
      <c r="A4962" t="str">
        <f>"20200111153531091"</f>
        <v>20200111153531091</v>
      </c>
      <c r="B4962" t="str">
        <f>"1578728131081055"</f>
        <v>1578728131081055</v>
      </c>
      <c r="C4962" t="s">
        <v>37</v>
      </c>
      <c r="D4962">
        <v>5.2253959999999999</v>
      </c>
      <c r="E4962">
        <v>0.59177519999999995</v>
      </c>
      <c r="F4962" t="s">
        <v>39</v>
      </c>
      <c r="G4962">
        <v>-328.84210000000002</v>
      </c>
      <c r="H4962" s="1">
        <v>-1.790599E-6</v>
      </c>
      <c r="I4962">
        <v>14.49846</v>
      </c>
      <c r="J4962">
        <v>-341.64830000000001</v>
      </c>
      <c r="K4962">
        <v>1.105459</v>
      </c>
      <c r="L4962">
        <v>16.93674</v>
      </c>
      <c r="M4962">
        <v>0.99945890000000004</v>
      </c>
      <c r="N4962">
        <v>0</v>
      </c>
      <c r="O4962">
        <v>3.0254929999999999E-2</v>
      </c>
      <c r="P4962">
        <v>0.99853999999999998</v>
      </c>
      <c r="Q4962">
        <v>1.5994330000000001E-2</v>
      </c>
      <c r="R4962">
        <v>5.1596839999999998E-2</v>
      </c>
      <c r="S4962">
        <v>3.0389400000000002</v>
      </c>
      <c r="T4962">
        <v>-0.25892159999999997</v>
      </c>
      <c r="U4962">
        <v>-0.56979369999999996</v>
      </c>
      <c r="V4962">
        <v>-2.14125999999999E-2</v>
      </c>
      <c r="W4962">
        <v>2.8861629999999999E-2</v>
      </c>
      <c r="X4962">
        <v>0.99935409999999902</v>
      </c>
      <c r="Y4962">
        <v>0.213088</v>
      </c>
      <c r="Z4962">
        <v>-1.153612E-2</v>
      </c>
      <c r="AA4962">
        <v>0.97696489999999903</v>
      </c>
      <c r="AB4962">
        <v>31</v>
      </c>
      <c r="AC4962">
        <v>12.806199999999899</v>
      </c>
      <c r="AD4962">
        <v>-1.1054607905989999</v>
      </c>
      <c r="AE4962">
        <v>-2.43827999999999</v>
      </c>
      <c r="AF4962">
        <v>2.8044799312733999</v>
      </c>
      <c r="AG4962">
        <v>-1.1054607905989999</v>
      </c>
      <c r="AH4962">
        <v>12.635698838024499</v>
      </c>
      <c r="AI4962">
        <v>94.881712399690997</v>
      </c>
      <c r="AJ4962">
        <v>77.486114367044607</v>
      </c>
      <c r="AK4962">
        <v>12.990305476382</v>
      </c>
    </row>
    <row r="4963" spans="1:37" x14ac:dyDescent="0.2">
      <c r="A4963" t="str">
        <f>"20200111153531104"</f>
        <v>20200111153531104</v>
      </c>
      <c r="B4963" t="str">
        <f>"1578728131100575"</f>
        <v>1578728131100575</v>
      </c>
      <c r="C4963" t="s">
        <v>37</v>
      </c>
      <c r="D4963">
        <v>5.2214660000000004</v>
      </c>
      <c r="E4963">
        <v>0.59118300000000001</v>
      </c>
      <c r="F4963" t="s">
        <v>39</v>
      </c>
      <c r="G4963">
        <v>-328.88630000000001</v>
      </c>
      <c r="H4963" s="1">
        <v>-1.7636120000000001E-6</v>
      </c>
      <c r="I4963">
        <v>14.53609</v>
      </c>
      <c r="J4963">
        <v>-341.4862</v>
      </c>
      <c r="K4963">
        <v>1.1054600000000001</v>
      </c>
      <c r="L4963">
        <v>16.942139999999998</v>
      </c>
      <c r="M4963">
        <v>0.99944339999999998</v>
      </c>
      <c r="N4963">
        <v>0</v>
      </c>
      <c r="O4963">
        <v>3.0737919999999998E-2</v>
      </c>
      <c r="P4963">
        <v>0.99860439999999995</v>
      </c>
      <c r="Q4963">
        <v>1.5854199999999999E-2</v>
      </c>
      <c r="R4963">
        <v>5.0379689999999998E-2</v>
      </c>
      <c r="S4963">
        <v>3.0381469999999999</v>
      </c>
      <c r="T4963">
        <v>-0.26316849999999897</v>
      </c>
      <c r="U4963">
        <v>-0.57150269999999903</v>
      </c>
      <c r="V4963">
        <v>-1.971094E-2</v>
      </c>
      <c r="W4963">
        <v>2.8779180000000001E-2</v>
      </c>
      <c r="X4963">
        <v>0.99939140000000004</v>
      </c>
      <c r="Y4963">
        <v>0.21410309999999999</v>
      </c>
      <c r="Z4963">
        <v>-1.181201E-2</v>
      </c>
      <c r="AA4963">
        <v>0.97673960000000004</v>
      </c>
      <c r="AB4963">
        <v>31</v>
      </c>
      <c r="AC4963">
        <v>12.5998999999999</v>
      </c>
      <c r="AD4963">
        <v>-1.1054617636120001</v>
      </c>
      <c r="AE4963">
        <v>-2.4060499999999898</v>
      </c>
      <c r="AF4963">
        <v>2.7716557798524102</v>
      </c>
      <c r="AG4963">
        <v>-1.1054617636120001</v>
      </c>
      <c r="AH4963">
        <v>12.427684811287399</v>
      </c>
      <c r="AI4963">
        <v>94.961897893217198</v>
      </c>
      <c r="AJ4963">
        <v>77.427494196592605</v>
      </c>
      <c r="AK4963">
        <v>12.7809025988582</v>
      </c>
    </row>
    <row r="4964" spans="1:37" x14ac:dyDescent="0.2">
      <c r="A4964" t="str">
        <f>"20200111153531116"</f>
        <v>20200111153531116</v>
      </c>
      <c r="B4964" t="str">
        <f>"1578728131110337"</f>
        <v>1578728131110337</v>
      </c>
      <c r="C4964" t="s">
        <v>37</v>
      </c>
      <c r="D4964">
        <v>5.2138019999999896</v>
      </c>
      <c r="E4964">
        <v>0.59090669999999901</v>
      </c>
      <c r="F4964" t="s">
        <v>39</v>
      </c>
      <c r="G4964">
        <v>-329.0847</v>
      </c>
      <c r="H4964" s="1">
        <v>-1.666921E-6</v>
      </c>
      <c r="I4964">
        <v>14.61322</v>
      </c>
      <c r="J4964">
        <v>-341.31549999999999</v>
      </c>
      <c r="K4964">
        <v>1.105461</v>
      </c>
      <c r="L4964">
        <v>16.94791</v>
      </c>
      <c r="M4964">
        <v>0.99942699999999995</v>
      </c>
      <c r="N4964">
        <v>0</v>
      </c>
      <c r="O4964">
        <v>3.1246900000000001E-2</v>
      </c>
      <c r="P4964">
        <v>0.99866219999999895</v>
      </c>
      <c r="Q4964">
        <v>1.5962460000000001E-2</v>
      </c>
      <c r="R4964">
        <v>4.9185239999999998E-2</v>
      </c>
      <c r="S4964">
        <v>3.0372619999999899</v>
      </c>
      <c r="T4964">
        <v>-0.27073750000000002</v>
      </c>
      <c r="U4964">
        <v>-0.57037349999999998</v>
      </c>
      <c r="V4964">
        <v>-1.8006210000000002E-2</v>
      </c>
      <c r="W4964">
        <v>2.8943139999999999E-2</v>
      </c>
      <c r="X4964">
        <v>0.9994189</v>
      </c>
      <c r="Y4964">
        <v>0.21424670000000001</v>
      </c>
      <c r="Z4964">
        <v>-1.22056E-2</v>
      </c>
      <c r="AA4964">
        <v>0.97670330000000005</v>
      </c>
      <c r="AB4964">
        <v>31</v>
      </c>
      <c r="AC4964">
        <v>12.230799999999901</v>
      </c>
      <c r="AD4964">
        <v>-1.1054626669209999</v>
      </c>
      <c r="AE4964">
        <v>-2.3346899999999899</v>
      </c>
      <c r="AF4964">
        <v>2.6945185691491198</v>
      </c>
      <c r="AG4964">
        <v>-1.1054626669209999</v>
      </c>
      <c r="AH4964">
        <v>12.056836900626701</v>
      </c>
      <c r="AI4964">
        <v>95.113224691059102</v>
      </c>
      <c r="AJ4964">
        <v>77.402280121338507</v>
      </c>
      <c r="AK4964">
        <v>12.403620200399599</v>
      </c>
    </row>
    <row r="4965" spans="1:37" x14ac:dyDescent="0.2">
      <c r="A4965" t="str">
        <f>"20200111153531129"</f>
        <v>20200111153531129</v>
      </c>
      <c r="B4965" t="str">
        <f>"1578728131121072"</f>
        <v>1578728131121072</v>
      </c>
      <c r="C4965" t="s">
        <v>37</v>
      </c>
      <c r="D4965">
        <v>5.2010550000000002</v>
      </c>
      <c r="E4965">
        <v>0.59068669999999901</v>
      </c>
      <c r="F4965" t="s">
        <v>39</v>
      </c>
      <c r="G4965">
        <v>-329.00790000000001</v>
      </c>
      <c r="H4965" s="1">
        <v>-1.6918369999999901E-6</v>
      </c>
      <c r="I4965">
        <v>14.63039</v>
      </c>
      <c r="J4965">
        <v>-341.13409999999999</v>
      </c>
      <c r="K4965">
        <v>1.105464</v>
      </c>
      <c r="L4965">
        <v>16.954160000000002</v>
      </c>
      <c r="M4965">
        <v>0.99940910000000005</v>
      </c>
      <c r="N4965">
        <v>0</v>
      </c>
      <c r="O4965">
        <v>3.1787900000000001E-2</v>
      </c>
      <c r="P4965">
        <v>0.99872309999999997</v>
      </c>
      <c r="Q4965">
        <v>1.5795940000000001E-2</v>
      </c>
      <c r="R4965">
        <v>4.7985359999999998E-2</v>
      </c>
      <c r="S4965">
        <v>3.03653</v>
      </c>
      <c r="T4965">
        <v>-0.27273979999999998</v>
      </c>
      <c r="U4965">
        <v>-0.57177730000000004</v>
      </c>
      <c r="V4965">
        <v>-1.626346E-2</v>
      </c>
      <c r="W4965">
        <v>2.8830649999999999E-2</v>
      </c>
      <c r="X4965">
        <v>0.99945200000000001</v>
      </c>
      <c r="Y4965">
        <v>0.215233799999999</v>
      </c>
      <c r="Z4965">
        <v>-1.2389900000000001E-2</v>
      </c>
      <c r="AA4965">
        <v>0.97648389999999996</v>
      </c>
      <c r="AB4965">
        <v>31</v>
      </c>
      <c r="AC4965">
        <v>12.1261999999999</v>
      </c>
      <c r="AD4965">
        <v>-1.1054656918370001</v>
      </c>
      <c r="AE4965">
        <v>-2.3237700000000001</v>
      </c>
      <c r="AF4965">
        <v>2.6865583647828299</v>
      </c>
      <c r="AG4965">
        <v>-1.1054656918370001</v>
      </c>
      <c r="AH4965">
        <v>11.9503977828019</v>
      </c>
      <c r="AI4965">
        <v>95.157086216105697</v>
      </c>
      <c r="AJ4965">
        <v>77.330026767165194</v>
      </c>
      <c r="AK4965">
        <v>12.298441259379601</v>
      </c>
    </row>
    <row r="4966" spans="1:37" x14ac:dyDescent="0.2">
      <c r="A4966" t="str">
        <f>"20200111153531144"</f>
        <v>20200111153531144</v>
      </c>
      <c r="B4966" t="str">
        <f>"1578728131140592"</f>
        <v>1578728131140592</v>
      </c>
      <c r="C4966" t="s">
        <v>37</v>
      </c>
      <c r="D4966">
        <v>5.229908</v>
      </c>
      <c r="E4966">
        <v>0.59043519999999905</v>
      </c>
      <c r="F4966" t="s">
        <v>39</v>
      </c>
      <c r="G4966">
        <v>-328.92070000000001</v>
      </c>
      <c r="H4966" s="1">
        <v>-1.7210849999999999E-6</v>
      </c>
      <c r="I4966">
        <v>14.6462</v>
      </c>
      <c r="J4966">
        <v>-340.93259999999998</v>
      </c>
      <c r="K4966">
        <v>1.105459</v>
      </c>
      <c r="L4966">
        <v>16.961210000000001</v>
      </c>
      <c r="M4966">
        <v>0.99938930000000004</v>
      </c>
      <c r="N4966">
        <v>0</v>
      </c>
      <c r="O4966">
        <v>3.2388489999999999E-2</v>
      </c>
      <c r="P4966">
        <v>0.99885820000000003</v>
      </c>
      <c r="Q4966">
        <v>1.5230530000000001E-2</v>
      </c>
      <c r="R4966">
        <v>4.5284199999999997E-2</v>
      </c>
      <c r="S4966">
        <v>3.0357669999999999</v>
      </c>
      <c r="T4966">
        <v>-0.27477600000000002</v>
      </c>
      <c r="U4966">
        <v>-0.5736694</v>
      </c>
      <c r="V4966">
        <v>-1.295756E-2</v>
      </c>
      <c r="W4966">
        <v>2.8324459999999999E-2</v>
      </c>
      <c r="X4966">
        <v>0.99951480000000004</v>
      </c>
      <c r="Y4966">
        <v>0.21643080000000001</v>
      </c>
      <c r="Z4966">
        <v>-1.259184E-2</v>
      </c>
      <c r="AA4966">
        <v>0.97621669999999905</v>
      </c>
      <c r="AB4966">
        <v>31</v>
      </c>
      <c r="AC4966">
        <v>12.011899999999899</v>
      </c>
      <c r="AD4966">
        <v>-1.105460721085</v>
      </c>
      <c r="AE4966">
        <v>-2.31501</v>
      </c>
      <c r="AF4966">
        <v>2.6809823426094099</v>
      </c>
      <c r="AG4966">
        <v>-1.105460721085</v>
      </c>
      <c r="AH4966">
        <v>11.8339712583268</v>
      </c>
      <c r="AI4966">
        <v>95.205587073571294</v>
      </c>
      <c r="AJ4966">
        <v>77.235133161840906</v>
      </c>
      <c r="AK4966">
        <v>12.1841120099148</v>
      </c>
    </row>
    <row r="4967" spans="1:37" x14ac:dyDescent="0.2">
      <c r="A4967" t="str">
        <f>"20200111153531156"</f>
        <v>20200111153531156</v>
      </c>
      <c r="B4967" t="str">
        <f>"1578728131150351"</f>
        <v>1578728131150351</v>
      </c>
      <c r="C4967" t="s">
        <v>37</v>
      </c>
      <c r="D4967">
        <v>5.3210419999999896</v>
      </c>
      <c r="E4967">
        <v>0.59055179999999996</v>
      </c>
      <c r="F4967" t="s">
        <v>39</v>
      </c>
      <c r="G4967">
        <v>-328.9692</v>
      </c>
      <c r="H4967" s="1">
        <v>-1.694758E-6</v>
      </c>
      <c r="I4967">
        <v>14.67521</v>
      </c>
      <c r="J4967">
        <v>-340.7713</v>
      </c>
      <c r="K4967">
        <v>1.105459</v>
      </c>
      <c r="L4967">
        <v>16.966919999999998</v>
      </c>
      <c r="M4967">
        <v>0.99937310000000001</v>
      </c>
      <c r="N4967">
        <v>0</v>
      </c>
      <c r="O4967">
        <v>3.2869710000000003E-2</v>
      </c>
      <c r="P4967">
        <v>0.99889609999999995</v>
      </c>
      <c r="Q4967">
        <v>1.50920999999999E-2</v>
      </c>
      <c r="R4967">
        <v>4.4488390000000003E-2</v>
      </c>
      <c r="S4967">
        <v>3.0339969999999998</v>
      </c>
      <c r="T4967">
        <v>-0.28035090000000001</v>
      </c>
      <c r="U4967">
        <v>-0.57974239999999999</v>
      </c>
      <c r="V4967">
        <v>-1.167932E-2</v>
      </c>
      <c r="W4967">
        <v>2.8226749999999998E-2</v>
      </c>
      <c r="X4967">
        <v>0.99953329999999996</v>
      </c>
      <c r="Y4967">
        <v>0.21883710000000001</v>
      </c>
      <c r="Z4967">
        <v>-1.300524E-2</v>
      </c>
      <c r="AA4967">
        <v>0.97567469999999901</v>
      </c>
      <c r="AB4967">
        <v>31</v>
      </c>
      <c r="AC4967">
        <v>11.8020999999999</v>
      </c>
      <c r="AD4967">
        <v>-1.1054606947579999</v>
      </c>
      <c r="AE4967">
        <v>-2.2917100000000001</v>
      </c>
      <c r="AF4967">
        <v>2.6559813009064599</v>
      </c>
      <c r="AG4967">
        <v>-1.1054606947579999</v>
      </c>
      <c r="AH4967">
        <v>11.6221265587619</v>
      </c>
      <c r="AI4967">
        <v>95.297682405372299</v>
      </c>
      <c r="AJ4967">
        <v>77.127363366355794</v>
      </c>
      <c r="AK4967">
        <v>11.972890451611899</v>
      </c>
    </row>
    <row r="4968" spans="1:37" x14ac:dyDescent="0.2">
      <c r="A4968" t="str">
        <f>"20200111153531168"</f>
        <v>20200111153531168</v>
      </c>
      <c r="B4968" t="str">
        <f>"1578728131161088"</f>
        <v>1578728131161088</v>
      </c>
      <c r="C4968" t="s">
        <v>37</v>
      </c>
      <c r="D4968">
        <v>5.3144729999999996</v>
      </c>
      <c r="E4968">
        <v>0.59068019999999999</v>
      </c>
      <c r="F4968" t="s">
        <v>39</v>
      </c>
      <c r="G4968">
        <v>-328.61070000000001</v>
      </c>
      <c r="H4968" s="1">
        <v>-1.84475E-6</v>
      </c>
      <c r="I4968">
        <v>14.62889</v>
      </c>
      <c r="J4968">
        <v>-340.5985</v>
      </c>
      <c r="K4968">
        <v>1.1054629999999901</v>
      </c>
      <c r="L4968">
        <v>16.973140000000001</v>
      </c>
      <c r="M4968">
        <v>0.99935549999999995</v>
      </c>
      <c r="N4968">
        <v>0</v>
      </c>
      <c r="O4968">
        <v>3.3385159999999997E-2</v>
      </c>
      <c r="P4968">
        <v>0.99894079999999996</v>
      </c>
      <c r="Q4968">
        <v>1.4904840000000001E-2</v>
      </c>
      <c r="R4968">
        <v>4.3534389999999999E-2</v>
      </c>
      <c r="S4968">
        <v>3.0334469999999998</v>
      </c>
      <c r="T4968">
        <v>-0.27575699999999997</v>
      </c>
      <c r="U4968">
        <v>-0.5832214</v>
      </c>
      <c r="V4968">
        <v>-1.020852E-2</v>
      </c>
      <c r="W4968">
        <v>2.8079460000000001E-2</v>
      </c>
      <c r="X4968">
        <v>0.99955360000000004</v>
      </c>
      <c r="Y4968">
        <v>0.2204768</v>
      </c>
      <c r="Z4968">
        <v>-1.291401E-2</v>
      </c>
      <c r="AA4968">
        <v>0.97530669999999897</v>
      </c>
      <c r="AB4968">
        <v>31</v>
      </c>
      <c r="AC4968">
        <v>11.987799999999901</v>
      </c>
      <c r="AD4968">
        <v>-1.10546484475</v>
      </c>
      <c r="AE4968">
        <v>-2.3442500000000002</v>
      </c>
      <c r="AF4968">
        <v>2.7209067360135801</v>
      </c>
      <c r="AG4968">
        <v>-1.10546484475</v>
      </c>
      <c r="AH4968">
        <v>11.8061476194985</v>
      </c>
      <c r="AI4968">
        <v>95.213396297233999</v>
      </c>
      <c r="AJ4968">
        <v>77.0219206215111</v>
      </c>
      <c r="AK4968">
        <v>12.165956912732</v>
      </c>
    </row>
    <row r="4969" spans="1:37" x14ac:dyDescent="0.2">
      <c r="A4969" t="str">
        <f>"20200111153531181"</f>
        <v>20200111153531181</v>
      </c>
      <c r="B4969" t="str">
        <f>"1578728131170847"</f>
        <v>1578728131170847</v>
      </c>
      <c r="C4969" t="s">
        <v>37</v>
      </c>
      <c r="D4969">
        <v>5.2084539999999997</v>
      </c>
      <c r="E4969">
        <v>0.5906034</v>
      </c>
      <c r="F4969" t="s">
        <v>39</v>
      </c>
      <c r="G4969">
        <v>-328.27940000000001</v>
      </c>
      <c r="H4969" s="1">
        <v>-1.9829629999999999E-6</v>
      </c>
      <c r="I4969">
        <v>14.58765</v>
      </c>
      <c r="J4969">
        <v>-340.42329999999998</v>
      </c>
      <c r="K4969">
        <v>1.1054649999999999</v>
      </c>
      <c r="L4969">
        <v>16.979520000000001</v>
      </c>
      <c r="M4969">
        <v>0.99933739999999904</v>
      </c>
      <c r="N4969">
        <v>0</v>
      </c>
      <c r="O4969">
        <v>3.3907949999999999E-2</v>
      </c>
      <c r="P4969">
        <v>0.99898019999999998</v>
      </c>
      <c r="Q4969">
        <v>1.4646650000000001E-2</v>
      </c>
      <c r="R4969">
        <v>4.2709120000000003E-2</v>
      </c>
      <c r="S4969">
        <v>3.0328369999999998</v>
      </c>
      <c r="T4969">
        <v>-0.27215250000000002</v>
      </c>
      <c r="U4969">
        <v>-0.58728029999999998</v>
      </c>
      <c r="V4969">
        <v>-8.8582890000000001E-3</v>
      </c>
      <c r="W4969">
        <v>2.7859720000000001E-2</v>
      </c>
      <c r="X4969">
        <v>0.99957260000000003</v>
      </c>
      <c r="Y4969">
        <v>0.22229829999999901</v>
      </c>
      <c r="Z4969">
        <v>-1.287408E-2</v>
      </c>
      <c r="AA4969">
        <v>0.97489369999999997</v>
      </c>
      <c r="AB4969">
        <v>31</v>
      </c>
      <c r="AC4969">
        <v>12.143899999999901</v>
      </c>
      <c r="AD4969">
        <v>-1.1054669829629999</v>
      </c>
      <c r="AE4969">
        <v>-2.3918699999999999</v>
      </c>
      <c r="AF4969">
        <v>2.78012772543177</v>
      </c>
      <c r="AG4969">
        <v>-1.1054669829629999</v>
      </c>
      <c r="AH4969">
        <v>11.960395567485</v>
      </c>
      <c r="AI4969">
        <v>95.144309479834007</v>
      </c>
      <c r="AJ4969">
        <v>76.914286093201994</v>
      </c>
      <c r="AK4969">
        <v>12.3289184258332</v>
      </c>
    </row>
    <row r="4970" spans="1:37" x14ac:dyDescent="0.2">
      <c r="A4970" t="str">
        <f>"20200111153531193"</f>
        <v>20200111153531193</v>
      </c>
      <c r="B4970" t="str">
        <f>"1578728131180608"</f>
        <v>1578728131180608</v>
      </c>
      <c r="C4970" t="s">
        <v>37</v>
      </c>
      <c r="D4970">
        <v>5.3082330000000004</v>
      </c>
      <c r="E4970">
        <v>0.59073869999999995</v>
      </c>
      <c r="F4970" t="s">
        <v>39</v>
      </c>
      <c r="G4970">
        <v>-328.14830000000001</v>
      </c>
      <c r="H4970" s="1">
        <v>-2.0316350000000001E-6</v>
      </c>
      <c r="I4970">
        <v>14.593970000000001</v>
      </c>
      <c r="J4970">
        <v>-340.25790000000001</v>
      </c>
      <c r="K4970">
        <v>1.1054649999999999</v>
      </c>
      <c r="L4970">
        <v>16.985659999999999</v>
      </c>
      <c r="M4970">
        <v>0.99932009999999905</v>
      </c>
      <c r="N4970">
        <v>0</v>
      </c>
      <c r="O4970">
        <v>3.4401500000000002E-2</v>
      </c>
      <c r="P4970">
        <v>0.99899509999999903</v>
      </c>
      <c r="Q4970">
        <v>1.4902159999999999E-2</v>
      </c>
      <c r="R4970">
        <v>4.2268430000000003E-2</v>
      </c>
      <c r="S4970">
        <v>3.032257</v>
      </c>
      <c r="T4970">
        <v>-0.27307959999999998</v>
      </c>
      <c r="U4970">
        <v>-0.5892944</v>
      </c>
      <c r="V4970">
        <v>-7.9244959999999996E-3</v>
      </c>
      <c r="W4970">
        <v>2.8147140000000001E-2</v>
      </c>
      <c r="X4970">
        <v>0.99957240000000003</v>
      </c>
      <c r="Y4970">
        <v>0.22342509999999999</v>
      </c>
      <c r="Z4970">
        <v>-1.301356E-2</v>
      </c>
      <c r="AA4970">
        <v>0.97463419999999901</v>
      </c>
      <c r="AB4970">
        <v>31</v>
      </c>
      <c r="AC4970">
        <v>12.1096</v>
      </c>
      <c r="AD4970">
        <v>-1.1054670316349999</v>
      </c>
      <c r="AE4970">
        <v>-2.3916899999999899</v>
      </c>
      <c r="AF4970">
        <v>2.7845649268861101</v>
      </c>
      <c r="AG4970">
        <v>-1.1054670316349999</v>
      </c>
      <c r="AH4970">
        <v>11.924502952035001</v>
      </c>
      <c r="AI4970">
        <v>95.158495254423201</v>
      </c>
      <c r="AJ4970">
        <v>76.856040179437898</v>
      </c>
      <c r="AK4970">
        <v>12.2951059305387</v>
      </c>
    </row>
    <row r="4971" spans="1:37" x14ac:dyDescent="0.2">
      <c r="A4971" t="str">
        <f>"20200111153531205"</f>
        <v>20200111153531205</v>
      </c>
      <c r="B4971" t="str">
        <f>"1578728131201103"</f>
        <v>1578728131201103</v>
      </c>
      <c r="C4971" t="s">
        <v>37</v>
      </c>
      <c r="D4971">
        <v>5.3255520000000001</v>
      </c>
      <c r="E4971">
        <v>0.59097529999999998</v>
      </c>
      <c r="F4971" t="s">
        <v>39</v>
      </c>
      <c r="G4971">
        <v>-327.72739999999999</v>
      </c>
      <c r="H4971" s="1">
        <v>-2.2078369999999998E-6</v>
      </c>
      <c r="I4971">
        <v>14.539179999999901</v>
      </c>
      <c r="J4971">
        <v>-340.09460000000001</v>
      </c>
      <c r="K4971">
        <v>1.1054679999999999</v>
      </c>
      <c r="L4971">
        <v>16.991789999999899</v>
      </c>
      <c r="M4971">
        <v>0.99930289999999999</v>
      </c>
      <c r="N4971">
        <v>0</v>
      </c>
      <c r="O4971">
        <v>3.4888570000000001E-2</v>
      </c>
      <c r="P4971">
        <v>0.99901909999999905</v>
      </c>
      <c r="Q4971">
        <v>1.480305E-2</v>
      </c>
      <c r="R4971">
        <v>4.1735410000000001E-2</v>
      </c>
      <c r="S4971">
        <v>3.0320429999999998</v>
      </c>
      <c r="T4971">
        <v>-0.26749319999999999</v>
      </c>
      <c r="U4971">
        <v>-0.59197999999999995</v>
      </c>
      <c r="V4971">
        <v>-6.9035569999999899E-3</v>
      </c>
      <c r="W4971">
        <v>2.8077080000000001E-2</v>
      </c>
      <c r="X4971">
        <v>0.99958189999999902</v>
      </c>
      <c r="Y4971">
        <v>0.22477829999999999</v>
      </c>
      <c r="Z4971">
        <v>-1.284974E-2</v>
      </c>
      <c r="AA4971">
        <v>0.9743252</v>
      </c>
      <c r="AB4971">
        <v>31</v>
      </c>
      <c r="AC4971">
        <v>12.3672</v>
      </c>
      <c r="AD4971">
        <v>-1.105470207837</v>
      </c>
      <c r="AE4971">
        <v>-2.45261</v>
      </c>
      <c r="AF4971">
        <v>2.8606368057123301</v>
      </c>
      <c r="AG4971">
        <v>-1.105470207837</v>
      </c>
      <c r="AH4971">
        <v>12.180453953587101</v>
      </c>
      <c r="AI4971">
        <v>95.049186692383998</v>
      </c>
      <c r="AJ4971">
        <v>76.783338686638004</v>
      </c>
      <c r="AK4971">
        <v>12.560603720763901</v>
      </c>
    </row>
    <row r="4972" spans="1:37" x14ac:dyDescent="0.2">
      <c r="A4972" t="str">
        <f>"20200111153531217"</f>
        <v>20200111153531217</v>
      </c>
      <c r="B4972" t="str">
        <f>"1578728131210864"</f>
        <v>1578728131210864</v>
      </c>
      <c r="C4972" t="s">
        <v>37</v>
      </c>
      <c r="D4972">
        <v>5.2934890000000001</v>
      </c>
      <c r="E4972">
        <v>0.59109219999999996</v>
      </c>
      <c r="F4972" t="s">
        <v>39</v>
      </c>
      <c r="G4972">
        <v>-327.17410000000001</v>
      </c>
      <c r="H4972" s="1">
        <v>-2.443493E-6</v>
      </c>
      <c r="I4972">
        <v>14.451969999999999</v>
      </c>
      <c r="J4972">
        <v>-339.9178</v>
      </c>
      <c r="K4972">
        <v>1.1054660000000001</v>
      </c>
      <c r="L4972">
        <v>16.9985</v>
      </c>
      <c r="M4972">
        <v>0.99928410000000001</v>
      </c>
      <c r="N4972">
        <v>0</v>
      </c>
      <c r="O4972">
        <v>3.5415990000000001E-2</v>
      </c>
      <c r="P4972">
        <v>0.99902919999999995</v>
      </c>
      <c r="Q4972">
        <v>1.499523E-2</v>
      </c>
      <c r="R4972">
        <v>4.1428470000000002E-2</v>
      </c>
      <c r="S4972">
        <v>3.0316770000000002</v>
      </c>
      <c r="T4972">
        <v>-0.259389799999999</v>
      </c>
      <c r="U4972">
        <v>-0.59594729999999996</v>
      </c>
      <c r="V4972">
        <v>-6.0689239999999998E-3</v>
      </c>
      <c r="W4972">
        <v>2.82992E-2</v>
      </c>
      <c r="X4972">
        <v>0.9995811</v>
      </c>
      <c r="Y4972">
        <v>0.22659189999999901</v>
      </c>
      <c r="Z4972">
        <v>-1.2583209999999999E-2</v>
      </c>
      <c r="AA4972">
        <v>0.97390849999999995</v>
      </c>
      <c r="AB4972">
        <v>31</v>
      </c>
      <c r="AC4972">
        <v>12.743699999999899</v>
      </c>
      <c r="AD4972">
        <v>-1.105468443493</v>
      </c>
      <c r="AE4972">
        <v>-2.54652999999999</v>
      </c>
      <c r="AF4972">
        <v>2.97477744405872</v>
      </c>
      <c r="AG4972">
        <v>-1.105468443493</v>
      </c>
      <c r="AH4972">
        <v>12.5546627867142</v>
      </c>
      <c r="AI4972">
        <v>94.897146738076302</v>
      </c>
      <c r="AJ4972">
        <v>76.669830954439007</v>
      </c>
      <c r="AK4972">
        <v>12.949552849783901</v>
      </c>
    </row>
    <row r="4973" spans="1:37" x14ac:dyDescent="0.2">
      <c r="A4973" t="str">
        <f>"20200111153531236"</f>
        <v>20200111153531236</v>
      </c>
      <c r="B4973" t="str">
        <f>"1578728131230384"</f>
        <v>1578728131230384</v>
      </c>
      <c r="C4973" t="s">
        <v>37</v>
      </c>
      <c r="D4973">
        <v>5.2507549999999998</v>
      </c>
      <c r="E4973">
        <v>0.59115759999999995</v>
      </c>
      <c r="F4973" t="s">
        <v>39</v>
      </c>
      <c r="G4973">
        <v>-326.7509</v>
      </c>
      <c r="H4973" s="1">
        <v>-2.6197570000000002E-6</v>
      </c>
      <c r="I4973">
        <v>14.40034</v>
      </c>
      <c r="J4973">
        <v>-339.70890000000003</v>
      </c>
      <c r="K4973">
        <v>1.1054619999999999</v>
      </c>
      <c r="L4973">
        <v>17.00656</v>
      </c>
      <c r="M4973">
        <v>0.99926130000000002</v>
      </c>
      <c r="N4973">
        <v>0</v>
      </c>
      <c r="O4973">
        <v>3.603953E-2</v>
      </c>
      <c r="P4973">
        <v>0.99905219999999995</v>
      </c>
      <c r="Q4973">
        <v>1.4529830000000001E-2</v>
      </c>
      <c r="R4973">
        <v>4.1036360000000001E-2</v>
      </c>
      <c r="S4973">
        <v>3.031555</v>
      </c>
      <c r="T4973">
        <v>-0.2545249</v>
      </c>
      <c r="U4973">
        <v>-0.5982056</v>
      </c>
      <c r="V4973">
        <v>-5.0513620000000002E-3</v>
      </c>
      <c r="W4973">
        <v>2.7864969999999999E-2</v>
      </c>
      <c r="X4973">
        <v>0.99959889999999996</v>
      </c>
      <c r="Y4973">
        <v>0.22793279999999999</v>
      </c>
      <c r="Z4973">
        <v>-1.245514E-2</v>
      </c>
      <c r="AA4973">
        <v>0.97359719999999905</v>
      </c>
      <c r="AB4973">
        <v>31</v>
      </c>
      <c r="AC4973">
        <v>12.958</v>
      </c>
      <c r="AD4973">
        <v>-1.1054646197569999</v>
      </c>
      <c r="AE4973">
        <v>-2.60622</v>
      </c>
      <c r="AF4973">
        <v>3.05023185162382</v>
      </c>
      <c r="AG4973">
        <v>-1.1054646197569999</v>
      </c>
      <c r="AH4973">
        <v>12.7663438838487</v>
      </c>
      <c r="AI4973">
        <v>94.814176259224695</v>
      </c>
      <c r="AJ4973">
        <v>76.562378641338995</v>
      </c>
      <c r="AK4973">
        <v>13.172148744031</v>
      </c>
    </row>
    <row r="4974" spans="1:37" x14ac:dyDescent="0.2">
      <c r="A4974" t="str">
        <f>"20200111153531247"</f>
        <v>20200111153531247</v>
      </c>
      <c r="B4974" t="str">
        <f>"1578728131241119"</f>
        <v>1578728131241119</v>
      </c>
      <c r="C4974" t="s">
        <v>37</v>
      </c>
      <c r="D4974">
        <v>5.3450800000000003</v>
      </c>
      <c r="E4974">
        <v>0.59130419999999995</v>
      </c>
      <c r="F4974" t="s">
        <v>39</v>
      </c>
      <c r="G4974">
        <v>-326.50470000000001</v>
      </c>
      <c r="H4974" s="1">
        <v>-2.716931E-6</v>
      </c>
      <c r="I4974">
        <v>14.3904</v>
      </c>
      <c r="J4974">
        <v>-339.510999999999</v>
      </c>
      <c r="K4974">
        <v>1.1054600000000001</v>
      </c>
      <c r="L4974">
        <v>17.014309999999998</v>
      </c>
      <c r="M4974">
        <v>0.99923960000000001</v>
      </c>
      <c r="N4974">
        <v>0</v>
      </c>
      <c r="O4974">
        <v>3.6627510000000002E-2</v>
      </c>
      <c r="P4974">
        <v>0.9990523</v>
      </c>
      <c r="Q4974">
        <v>1.4093140000000001E-2</v>
      </c>
      <c r="R4974">
        <v>4.1183829999999998E-2</v>
      </c>
      <c r="S4974">
        <v>3.03125</v>
      </c>
      <c r="T4974">
        <v>-0.25377929999999999</v>
      </c>
      <c r="U4974">
        <v>-0.60058590000000001</v>
      </c>
      <c r="V4974">
        <v>-4.6090870000000004E-3</v>
      </c>
      <c r="W4974">
        <v>2.745361E-2</v>
      </c>
      <c r="X4974">
        <v>0.99961250000000001</v>
      </c>
      <c r="Y4974">
        <v>0.22925860000000001</v>
      </c>
      <c r="Z4974">
        <v>-1.252268E-2</v>
      </c>
      <c r="AA4974">
        <v>0.97328499999999996</v>
      </c>
      <c r="AB4974">
        <v>31</v>
      </c>
      <c r="AC4974">
        <v>13.0062999999999</v>
      </c>
      <c r="AD4974">
        <v>-1.1054627169310001</v>
      </c>
      <c r="AE4974">
        <v>-2.62391</v>
      </c>
      <c r="AF4974">
        <v>3.0772193374080099</v>
      </c>
      <c r="AG4974">
        <v>-1.1054627169310001</v>
      </c>
      <c r="AH4974">
        <v>12.8125166938127</v>
      </c>
      <c r="AI4974">
        <v>94.795553347337105</v>
      </c>
      <c r="AJ4974">
        <v>76.494899982641897</v>
      </c>
      <c r="AK4974">
        <v>13.2231581212005</v>
      </c>
    </row>
    <row r="4975" spans="1:37" x14ac:dyDescent="0.2">
      <c r="A4975" t="str">
        <f>"20200111153531259"</f>
        <v>20200111153531259</v>
      </c>
      <c r="B4975" t="str">
        <f>"1578728131250880"</f>
        <v>1578728131250880</v>
      </c>
      <c r="C4975" t="s">
        <v>37</v>
      </c>
      <c r="D4975">
        <v>5.1995740000000001</v>
      </c>
      <c r="E4975">
        <v>0.59126869999999998</v>
      </c>
      <c r="F4975" t="s">
        <v>39</v>
      </c>
      <c r="G4975">
        <v>-326.22930000000002</v>
      </c>
      <c r="H4975" s="1">
        <v>-2.825872E-6</v>
      </c>
      <c r="I4975">
        <v>14.37846</v>
      </c>
      <c r="J4975">
        <v>-339.35129999999998</v>
      </c>
      <c r="K4975">
        <v>1.1054580000000001</v>
      </c>
      <c r="L4975">
        <v>17.020600000000002</v>
      </c>
      <c r="M4975">
        <v>0.9992219</v>
      </c>
      <c r="N4975">
        <v>0</v>
      </c>
      <c r="O4975">
        <v>3.7100180000000003E-2</v>
      </c>
      <c r="P4975">
        <v>0.99906399999999995</v>
      </c>
      <c r="Q4975">
        <v>1.364172E-2</v>
      </c>
      <c r="R4975">
        <v>4.1051030000000002E-2</v>
      </c>
      <c r="S4975">
        <v>3.0311889999999999</v>
      </c>
      <c r="T4975">
        <v>-0.25229229999999903</v>
      </c>
      <c r="U4975">
        <v>-0.6015625</v>
      </c>
      <c r="V4975">
        <v>-4.002355E-3</v>
      </c>
      <c r="W4975">
        <v>2.7023189999999999E-2</v>
      </c>
      <c r="X4975">
        <v>0.99962680000000004</v>
      </c>
      <c r="Y4975">
        <v>0.2300306</v>
      </c>
      <c r="Z4975">
        <v>-1.2520130000000001E-2</v>
      </c>
      <c r="AA4975">
        <v>0.97310289999999999</v>
      </c>
      <c r="AB4975">
        <v>31</v>
      </c>
      <c r="AC4975">
        <v>13.1219999999999</v>
      </c>
      <c r="AD4975">
        <v>-1.105460825872</v>
      </c>
      <c r="AE4975">
        <v>-2.6421399999999999</v>
      </c>
      <c r="AF4975">
        <v>3.1060078348132598</v>
      </c>
      <c r="AG4975">
        <v>-1.105460825872</v>
      </c>
      <c r="AH4975">
        <v>12.9267627736796</v>
      </c>
      <c r="AI4975">
        <v>94.753245256440493</v>
      </c>
      <c r="AJ4975">
        <v>76.489244113693402</v>
      </c>
      <c r="AK4975">
        <v>13.3405593628771</v>
      </c>
    </row>
    <row r="4976" spans="1:37" x14ac:dyDescent="0.2">
      <c r="A4976" t="str">
        <f>"20200111153531271"</f>
        <v>20200111153531271</v>
      </c>
      <c r="B4976" t="str">
        <f>"1578728131260640"</f>
        <v>1578728131260640</v>
      </c>
      <c r="C4976" t="s">
        <v>37</v>
      </c>
      <c r="D4976">
        <v>5.2466889999999999</v>
      </c>
      <c r="E4976">
        <v>0.59123099999999995</v>
      </c>
      <c r="F4976" t="s">
        <v>39</v>
      </c>
      <c r="G4976">
        <v>-326.23</v>
      </c>
      <c r="H4976" s="1">
        <v>-2.81580699999999E-6</v>
      </c>
      <c r="I4976">
        <v>14.415279999999999</v>
      </c>
      <c r="J4976">
        <v>-339.19009999999997</v>
      </c>
      <c r="K4976">
        <v>1.1054520000000001</v>
      </c>
      <c r="L4976">
        <v>17.02713</v>
      </c>
      <c r="M4976">
        <v>0.99920399999999998</v>
      </c>
      <c r="N4976">
        <v>0</v>
      </c>
      <c r="O4976">
        <v>3.7570739999999998E-2</v>
      </c>
      <c r="P4976">
        <v>0.99906839999999997</v>
      </c>
      <c r="Q4976">
        <v>1.300228E-2</v>
      </c>
      <c r="R4976">
        <v>4.1148360000000002E-2</v>
      </c>
      <c r="S4976">
        <v>3.03106699999999</v>
      </c>
      <c r="T4976">
        <v>-0.25536500000000001</v>
      </c>
      <c r="U4976">
        <v>-0.60183719999999996</v>
      </c>
      <c r="V4976">
        <v>-3.6272829999999998E-3</v>
      </c>
      <c r="W4976">
        <v>2.640114E-2</v>
      </c>
      <c r="X4976">
        <v>0.99964489999999995</v>
      </c>
      <c r="Y4976">
        <v>0.23055580000000001</v>
      </c>
      <c r="Z4976">
        <v>-1.2733609999999999E-2</v>
      </c>
      <c r="AA4976">
        <v>0.97297579999999995</v>
      </c>
      <c r="AB4976">
        <v>31</v>
      </c>
      <c r="AC4976">
        <v>12.960099999999899</v>
      </c>
      <c r="AD4976">
        <v>-1.1054548158069999</v>
      </c>
      <c r="AE4976">
        <v>-2.61185</v>
      </c>
      <c r="AF4976">
        <v>3.0754675698477199</v>
      </c>
      <c r="AG4976">
        <v>-1.1054548158069999</v>
      </c>
      <c r="AH4976">
        <v>12.7635726136999</v>
      </c>
      <c r="AI4976">
        <v>94.8129683724557</v>
      </c>
      <c r="AJ4976">
        <v>76.452451745443895</v>
      </c>
      <c r="AK4976">
        <v>13.1753298625942</v>
      </c>
    </row>
    <row r="4977" spans="1:37" x14ac:dyDescent="0.2">
      <c r="A4977" t="str">
        <f>"20200111153531284"</f>
        <v>20200111153531284</v>
      </c>
      <c r="B4977" t="str">
        <f>"1578728131270400"</f>
        <v>1578728131270400</v>
      </c>
      <c r="C4977" t="s">
        <v>37</v>
      </c>
      <c r="D4977">
        <v>5.2204329999999999</v>
      </c>
      <c r="E4977">
        <v>0.59122839999999999</v>
      </c>
      <c r="F4977" t="s">
        <v>39</v>
      </c>
      <c r="G4977">
        <v>-326.27510000000001</v>
      </c>
      <c r="H4977" s="1">
        <v>-2.7853299999999998E-6</v>
      </c>
      <c r="I4977">
        <v>14.464779999999999</v>
      </c>
      <c r="J4977">
        <v>-339.03469999999999</v>
      </c>
      <c r="K4977">
        <v>1.105443</v>
      </c>
      <c r="L4977">
        <v>17.03342</v>
      </c>
      <c r="M4977">
        <v>0.99918680000000004</v>
      </c>
      <c r="N4977">
        <v>0</v>
      </c>
      <c r="O4977">
        <v>3.8019480000000001E-2</v>
      </c>
      <c r="P4977">
        <v>0.99907549999999901</v>
      </c>
      <c r="Q4977">
        <v>1.264681E-2</v>
      </c>
      <c r="R4977">
        <v>4.1089689999999998E-2</v>
      </c>
      <c r="S4977">
        <v>3.0309750000000002</v>
      </c>
      <c r="T4977">
        <v>-0.25943539999999998</v>
      </c>
      <c r="U4977">
        <v>-0.60134889999999996</v>
      </c>
      <c r="V4977">
        <v>-3.1182290000000001E-3</v>
      </c>
      <c r="W4977">
        <v>2.6062700000000001E-2</v>
      </c>
      <c r="X4977">
        <v>0.99965539999999997</v>
      </c>
      <c r="Y4977">
        <v>0.23081550000000001</v>
      </c>
      <c r="Z4977">
        <v>-1.2985460000000001E-2</v>
      </c>
      <c r="AA4977">
        <v>0.97291090000000002</v>
      </c>
      <c r="AB4977">
        <v>31</v>
      </c>
      <c r="AC4977">
        <v>12.759599999999899</v>
      </c>
      <c r="AD4977">
        <v>-1.1054457853299999</v>
      </c>
      <c r="AE4977">
        <v>-2.5686399999999998</v>
      </c>
      <c r="AF4977">
        <v>3.0300820291827</v>
      </c>
      <c r="AG4977">
        <v>-1.1054457853299999</v>
      </c>
      <c r="AH4977">
        <v>12.5620889461359</v>
      </c>
      <c r="AI4977">
        <v>94.889473419797199</v>
      </c>
      <c r="AJ4977">
        <v>76.438816464362503</v>
      </c>
      <c r="AK4977">
        <v>12.969559983997501</v>
      </c>
    </row>
    <row r="4978" spans="1:37" x14ac:dyDescent="0.2">
      <c r="A4978" t="str">
        <f>"20200111153531294"</f>
        <v>20200111153531294</v>
      </c>
      <c r="B4978" t="str">
        <f>"1578728131290897"</f>
        <v>1578728131290897</v>
      </c>
      <c r="C4978" t="s">
        <v>37</v>
      </c>
      <c r="D4978">
        <v>5.2159420000000001</v>
      </c>
      <c r="E4978">
        <v>0.5912539</v>
      </c>
      <c r="F4978" t="s">
        <v>39</v>
      </c>
      <c r="G4978">
        <v>-326.20920000000001</v>
      </c>
      <c r="H4978" s="1">
        <v>-2.8045250000000001E-6</v>
      </c>
      <c r="I4978">
        <v>14.4877799999999</v>
      </c>
      <c r="J4978">
        <v>-338.87849999999997</v>
      </c>
      <c r="K4978">
        <v>1.1054349999999999</v>
      </c>
      <c r="L4978">
        <v>17.039829999999998</v>
      </c>
      <c r="M4978">
        <v>0.9991698</v>
      </c>
      <c r="N4978">
        <v>0</v>
      </c>
      <c r="O4978">
        <v>3.846318E-2</v>
      </c>
      <c r="P4978">
        <v>0.9990734</v>
      </c>
      <c r="Q4978">
        <v>1.239578E-2</v>
      </c>
      <c r="R4978">
        <v>4.1219199999999998E-2</v>
      </c>
      <c r="S4978">
        <v>3.0308229999999998</v>
      </c>
      <c r="T4978">
        <v>-0.261229299999999</v>
      </c>
      <c r="U4978">
        <v>-0.6015625</v>
      </c>
      <c r="V4978">
        <v>-2.8022120000000001E-3</v>
      </c>
      <c r="W4978">
        <v>2.5826269999999998E-2</v>
      </c>
      <c r="X4978">
        <v>0.99966250000000001</v>
      </c>
      <c r="Y4978">
        <v>0.23130619999999999</v>
      </c>
      <c r="Z4978">
        <v>-1.313425E-2</v>
      </c>
      <c r="AA4978">
        <v>0.97279230000000005</v>
      </c>
      <c r="AB4978">
        <v>31</v>
      </c>
      <c r="AC4978">
        <v>12.6692999999999</v>
      </c>
      <c r="AD4978">
        <v>-1.105437804525</v>
      </c>
      <c r="AE4978">
        <v>-2.5520499999999902</v>
      </c>
      <c r="AF4978">
        <v>3.0154448957396398</v>
      </c>
      <c r="AG4978">
        <v>-1.105437804525</v>
      </c>
      <c r="AH4978">
        <v>12.470516841418201</v>
      </c>
      <c r="AI4978">
        <v>94.924497741000195</v>
      </c>
      <c r="AJ4978">
        <v>76.406470239612901</v>
      </c>
      <c r="AK4978">
        <v>12.877448930242799</v>
      </c>
    </row>
    <row r="4979" spans="1:37" x14ac:dyDescent="0.2">
      <c r="A4979" t="str">
        <f>"20200111153531312"</f>
        <v>20200111153531312</v>
      </c>
      <c r="B4979" t="str">
        <f>"1578728131300655"</f>
        <v>1578728131300655</v>
      </c>
      <c r="C4979" t="s">
        <v>37</v>
      </c>
      <c r="D4979">
        <v>5.3342169999999998</v>
      </c>
      <c r="E4979">
        <v>0.59143449999999997</v>
      </c>
      <c r="F4979" t="s">
        <v>39</v>
      </c>
      <c r="G4979">
        <v>-326.2201</v>
      </c>
      <c r="H4979" s="1">
        <v>-2.7894649999999998E-6</v>
      </c>
      <c r="I4979">
        <v>14.52857</v>
      </c>
      <c r="J4979">
        <v>-338.64550000000003</v>
      </c>
      <c r="K4979">
        <v>1.1054200000000001</v>
      </c>
      <c r="L4979">
        <v>17.049469999999999</v>
      </c>
      <c r="M4979">
        <v>0.99914459999999905</v>
      </c>
      <c r="N4979">
        <v>0</v>
      </c>
      <c r="O4979">
        <v>3.9102720000000001E-2</v>
      </c>
      <c r="P4979">
        <v>0.99908140000000001</v>
      </c>
      <c r="Q4979">
        <v>1.2524810000000001E-2</v>
      </c>
      <c r="R4979">
        <v>4.0981719999999999E-2</v>
      </c>
      <c r="S4979">
        <v>3.0308839999999999</v>
      </c>
      <c r="T4979">
        <v>-0.26468320000000001</v>
      </c>
      <c r="U4979">
        <v>-0.60128780000000004</v>
      </c>
      <c r="V4979">
        <v>-1.92369E-3</v>
      </c>
      <c r="W4979">
        <v>2.5975950000000001E-2</v>
      </c>
      <c r="X4979">
        <v>0.99966069999999996</v>
      </c>
      <c r="Y4979">
        <v>0.2318105</v>
      </c>
      <c r="Z4979">
        <v>-1.3384180000000001E-2</v>
      </c>
      <c r="AA4979">
        <v>0.97266889999999995</v>
      </c>
      <c r="AB4979">
        <v>31</v>
      </c>
      <c r="AC4979">
        <v>12.4254</v>
      </c>
      <c r="AD4979">
        <v>-1.1054227894649999</v>
      </c>
      <c r="AE4979">
        <v>-2.5208999999999899</v>
      </c>
      <c r="AF4979">
        <v>2.9822123189071399</v>
      </c>
      <c r="AG4979">
        <v>-1.1054227894649999</v>
      </c>
      <c r="AH4979">
        <v>12.224384653087601</v>
      </c>
      <c r="AI4979">
        <v>95.020616221475706</v>
      </c>
      <c r="AJ4979">
        <v>76.290141033991702</v>
      </c>
      <c r="AK4979">
        <v>12.6313550344037</v>
      </c>
    </row>
    <row r="4980" spans="1:37" x14ac:dyDescent="0.2">
      <c r="A4980" t="str">
        <f>"20200111153531324"</f>
        <v>20200111153531324</v>
      </c>
      <c r="B4980" t="str">
        <f>"1578728131310417"</f>
        <v>1578728131310417</v>
      </c>
      <c r="C4980" t="s">
        <v>37</v>
      </c>
      <c r="D4980">
        <v>5.2473169999999998</v>
      </c>
      <c r="E4980">
        <v>0.59142299999999903</v>
      </c>
      <c r="F4980" t="s">
        <v>39</v>
      </c>
      <c r="G4980">
        <v>-325.89030000000002</v>
      </c>
      <c r="H4980" s="1">
        <v>-2.92097899999999E-6</v>
      </c>
      <c r="I4980">
        <v>14.510389999999999</v>
      </c>
      <c r="J4980">
        <v>-338.4853</v>
      </c>
      <c r="K4980">
        <v>1.1054079999999999</v>
      </c>
      <c r="L4980">
        <v>17.05621</v>
      </c>
      <c r="M4980">
        <v>0.99912789999999996</v>
      </c>
      <c r="N4980">
        <v>0</v>
      </c>
      <c r="O4980">
        <v>3.9525369999999997E-2</v>
      </c>
      <c r="P4980">
        <v>0.99907209999999902</v>
      </c>
      <c r="Q4980">
        <v>1.318018E-2</v>
      </c>
      <c r="R4980">
        <v>4.1010119999999997E-2</v>
      </c>
      <c r="S4980">
        <v>3.0307309999999998</v>
      </c>
      <c r="T4980">
        <v>-0.26265569999999999</v>
      </c>
      <c r="U4980">
        <v>-0.603302</v>
      </c>
      <c r="V4980">
        <v>-1.529929E-3</v>
      </c>
      <c r="W4980">
        <v>2.6643759999999999E-2</v>
      </c>
      <c r="X4980">
        <v>0.99964379999999997</v>
      </c>
      <c r="Y4980">
        <v>0.23286270000000001</v>
      </c>
      <c r="Z4980">
        <v>-1.3363180000000001E-2</v>
      </c>
      <c r="AA4980">
        <v>0.9724178</v>
      </c>
      <c r="AB4980">
        <v>30</v>
      </c>
      <c r="AC4980">
        <v>12.594999999999899</v>
      </c>
      <c r="AD4980">
        <v>-1.105410920979</v>
      </c>
      <c r="AE4980">
        <v>-2.54582</v>
      </c>
      <c r="AF4980">
        <v>3.0193527076208402</v>
      </c>
      <c r="AG4980">
        <v>-1.105410920979</v>
      </c>
      <c r="AH4980">
        <v>12.3928096317001</v>
      </c>
      <c r="AI4980">
        <v>94.953033406607105</v>
      </c>
      <c r="AJ4980">
        <v>76.307369393240904</v>
      </c>
      <c r="AK4980">
        <v>12.803130657960001</v>
      </c>
    </row>
    <row r="4981" spans="1:37" x14ac:dyDescent="0.2">
      <c r="A4981" t="str">
        <f>"20200111153531334"</f>
        <v>20200111153531334</v>
      </c>
      <c r="B4981" t="str">
        <f>"1578728131330911"</f>
        <v>1578728131330911</v>
      </c>
      <c r="C4981" t="s">
        <v>37</v>
      </c>
      <c r="D4981">
        <v>5.24796</v>
      </c>
      <c r="E4981">
        <v>0.59135749999999998</v>
      </c>
      <c r="F4981" t="s">
        <v>39</v>
      </c>
      <c r="G4981">
        <v>-325.7047</v>
      </c>
      <c r="H4981" s="1">
        <v>-2.99134999999999E-6</v>
      </c>
      <c r="I4981">
        <v>14.51365</v>
      </c>
      <c r="J4981">
        <v>-338.33080000000001</v>
      </c>
      <c r="K4981">
        <v>1.105399</v>
      </c>
      <c r="L4981">
        <v>17.062709999999999</v>
      </c>
      <c r="M4981">
        <v>0.99911219999999901</v>
      </c>
      <c r="N4981">
        <v>0</v>
      </c>
      <c r="O4981">
        <v>3.9916159999999999E-2</v>
      </c>
      <c r="P4981">
        <v>0.99904729999999997</v>
      </c>
      <c r="Q4981">
        <v>1.427491E-2</v>
      </c>
      <c r="R4981">
        <v>4.1245709999999998E-2</v>
      </c>
      <c r="S4981">
        <v>3.0310359999999998</v>
      </c>
      <c r="T4981">
        <v>-0.26216020000000001</v>
      </c>
      <c r="U4981">
        <v>-0.6029968</v>
      </c>
      <c r="V4981">
        <v>-1.3754469999999999E-3</v>
      </c>
      <c r="W4981">
        <v>2.7749139999999999E-2</v>
      </c>
      <c r="X4981">
        <v>0.999613999999999</v>
      </c>
      <c r="Y4981">
        <v>0.23313159999999999</v>
      </c>
      <c r="Z4981">
        <v>-1.3381830000000001E-2</v>
      </c>
      <c r="AA4981">
        <v>0.97235309999999897</v>
      </c>
      <c r="AB4981">
        <v>30</v>
      </c>
      <c r="AC4981">
        <v>12.626099999999999</v>
      </c>
      <c r="AD4981">
        <v>-1.1054019913499999</v>
      </c>
      <c r="AE4981">
        <v>-2.5490599999999901</v>
      </c>
      <c r="AF4981">
        <v>3.0287535858693699</v>
      </c>
      <c r="AG4981">
        <v>-1.1054019913499999</v>
      </c>
      <c r="AH4981">
        <v>12.422788209298901</v>
      </c>
      <c r="AI4981">
        <v>94.940909384942103</v>
      </c>
      <c r="AJ4981">
        <v>76.298240115711906</v>
      </c>
      <c r="AK4981">
        <v>12.834365147505</v>
      </c>
    </row>
    <row r="4982" spans="1:37" x14ac:dyDescent="0.2">
      <c r="A4982" t="str">
        <f>"20200111153531347"</f>
        <v>20200111153531347</v>
      </c>
      <c r="B4982" t="str">
        <f>"1578728131340672"</f>
        <v>1578728131340672</v>
      </c>
      <c r="C4982" t="s">
        <v>37</v>
      </c>
      <c r="D4982">
        <v>5.2932410000000001</v>
      </c>
      <c r="E4982">
        <v>0.59137119999999999</v>
      </c>
      <c r="F4982" t="s">
        <v>39</v>
      </c>
      <c r="G4982">
        <v>-325.55610000000001</v>
      </c>
      <c r="H4982" s="1">
        <v>-3.0448989999999899E-6</v>
      </c>
      <c r="I4982">
        <v>14.526910000000001</v>
      </c>
      <c r="J4982">
        <v>-338.16719999999998</v>
      </c>
      <c r="K4982">
        <v>1.105378</v>
      </c>
      <c r="L4982">
        <v>17.069669999999999</v>
      </c>
      <c r="M4982">
        <v>0.99909650000000005</v>
      </c>
      <c r="N4982">
        <v>0</v>
      </c>
      <c r="O4982">
        <v>4.0303810000000002E-2</v>
      </c>
      <c r="P4982">
        <v>0.99903679999999995</v>
      </c>
      <c r="Q4982">
        <v>1.531069E-2</v>
      </c>
      <c r="R4982">
        <v>4.1123930000000003E-2</v>
      </c>
      <c r="S4982">
        <v>3.0314329999999998</v>
      </c>
      <c r="T4982">
        <v>-0.26231109999999902</v>
      </c>
      <c r="U4982">
        <v>-0.60174559999999999</v>
      </c>
      <c r="V4982">
        <v>-8.6587899999999995E-4</v>
      </c>
      <c r="W4982">
        <v>2.8795379999999999E-2</v>
      </c>
      <c r="X4982">
        <v>0.99958499999999995</v>
      </c>
      <c r="Y4982">
        <v>0.2330961</v>
      </c>
      <c r="Z4982">
        <v>-1.342E-2</v>
      </c>
      <c r="AA4982">
        <v>0.97236109999999898</v>
      </c>
      <c r="AB4982">
        <v>30</v>
      </c>
      <c r="AC4982">
        <v>12.611099999999899</v>
      </c>
      <c r="AD4982">
        <v>-1.105381044899</v>
      </c>
      <c r="AE4982">
        <v>-2.5427599999999999</v>
      </c>
      <c r="AF4982">
        <v>3.02667032594925</v>
      </c>
      <c r="AG4982">
        <v>-1.105381044899</v>
      </c>
      <c r="AH4982">
        <v>12.4067643536413</v>
      </c>
      <c r="AI4982">
        <v>94.946999307927896</v>
      </c>
      <c r="AJ4982">
        <v>76.290291933250103</v>
      </c>
      <c r="AK4982">
        <v>12.8183619173117</v>
      </c>
    </row>
    <row r="4983" spans="1:37" x14ac:dyDescent="0.2">
      <c r="A4983" t="str">
        <f>"20200111153531359"</f>
        <v>20200111153531359</v>
      </c>
      <c r="B4983" t="str">
        <f>"1578728131350431"</f>
        <v>1578728131350431</v>
      </c>
      <c r="C4983" t="s">
        <v>37</v>
      </c>
      <c r="D4983">
        <v>5.3059240000000001</v>
      </c>
      <c r="E4983">
        <v>0.59136860000000002</v>
      </c>
      <c r="F4983" t="s">
        <v>39</v>
      </c>
      <c r="G4983">
        <v>-325.34140000000002</v>
      </c>
      <c r="H4983" s="1">
        <v>-3.128393E-6</v>
      </c>
      <c r="I4983">
        <v>14.52305</v>
      </c>
      <c r="J4983">
        <v>-337.9991</v>
      </c>
      <c r="K4983">
        <v>1.105353</v>
      </c>
      <c r="L4983">
        <v>17.076809999999998</v>
      </c>
      <c r="M4983">
        <v>0.99908069999999904</v>
      </c>
      <c r="N4983">
        <v>0</v>
      </c>
      <c r="O4983">
        <v>4.0686699999999999E-2</v>
      </c>
      <c r="P4983">
        <v>0.99903449999999905</v>
      </c>
      <c r="Q4983">
        <v>1.614498E-2</v>
      </c>
      <c r="R4983">
        <v>4.0856440000000001E-2</v>
      </c>
      <c r="S4983">
        <v>3.0317080000000001</v>
      </c>
      <c r="T4983">
        <v>-0.26128509999999999</v>
      </c>
      <c r="U4983">
        <v>-0.60195919999999903</v>
      </c>
      <c r="V4983">
        <v>-2.143077E-4</v>
      </c>
      <c r="W4983">
        <v>2.9640449999999999E-2</v>
      </c>
      <c r="X4983">
        <v>0.99956060000000002</v>
      </c>
      <c r="Y4983">
        <v>0.2335227</v>
      </c>
      <c r="Z4983">
        <v>-1.341727E-2</v>
      </c>
      <c r="AA4983">
        <v>0.97225869999999903</v>
      </c>
      <c r="AB4983">
        <v>30</v>
      </c>
      <c r="AC4983">
        <v>12.657699999999901</v>
      </c>
      <c r="AD4983">
        <v>-1.105356128393</v>
      </c>
      <c r="AE4983">
        <v>-2.55376</v>
      </c>
      <c r="AF4983">
        <v>3.04438368484647</v>
      </c>
      <c r="AG4983">
        <v>-1.105356128393</v>
      </c>
      <c r="AH4983">
        <v>12.4520585531371</v>
      </c>
      <c r="AI4983">
        <v>94.928378018895302</v>
      </c>
      <c r="AJ4983">
        <v>76.261356066023097</v>
      </c>
      <c r="AK4983">
        <v>12.8663843562164</v>
      </c>
    </row>
    <row r="4984" spans="1:37" x14ac:dyDescent="0.2">
      <c r="A4984" t="str">
        <f>"20200111153531370"</f>
        <v>20200111153531370</v>
      </c>
      <c r="B4984" t="str">
        <f>"1578728131361168"</f>
        <v>1578728131361168</v>
      </c>
      <c r="C4984" t="s">
        <v>37</v>
      </c>
      <c r="D4984">
        <v>5.3040469999999997</v>
      </c>
      <c r="E4984">
        <v>0.59136889999999998</v>
      </c>
      <c r="F4984" t="s">
        <v>39</v>
      </c>
      <c r="G4984">
        <v>-325.14839999999998</v>
      </c>
      <c r="H4984" s="1">
        <v>-3.2025779999999999E-6</v>
      </c>
      <c r="I4984">
        <v>14.52272</v>
      </c>
      <c r="J4984">
        <v>-337.84120000000001</v>
      </c>
      <c r="K4984">
        <v>1.105318</v>
      </c>
      <c r="L4984">
        <v>17.08362</v>
      </c>
      <c r="M4984">
        <v>0.99906790000000001</v>
      </c>
      <c r="N4984">
        <v>0</v>
      </c>
      <c r="O4984">
        <v>4.1001089999999997E-2</v>
      </c>
      <c r="P4984">
        <v>0.99903829999999905</v>
      </c>
      <c r="Q4984">
        <v>1.6895540000000001E-2</v>
      </c>
      <c r="R4984">
        <v>4.0461829999999997E-2</v>
      </c>
      <c r="S4984">
        <v>3.0317689999999899</v>
      </c>
      <c r="T4984">
        <v>-0.26077889999999998</v>
      </c>
      <c r="U4984">
        <v>-0.60256960000000004</v>
      </c>
      <c r="V4984">
        <v>4.9654300000000001E-4</v>
      </c>
      <c r="W4984">
        <v>3.039971E-2</v>
      </c>
      <c r="X4984">
        <v>0.99953769999999997</v>
      </c>
      <c r="Y4984">
        <v>0.2340141</v>
      </c>
      <c r="Z4984">
        <v>-1.3438510000000001E-2</v>
      </c>
      <c r="AA4984">
        <v>0.97214029999999996</v>
      </c>
      <c r="AB4984">
        <v>30</v>
      </c>
      <c r="AC4984">
        <v>12.6928</v>
      </c>
      <c r="AD4984">
        <v>-1.1053212025779999</v>
      </c>
      <c r="AE4984">
        <v>-2.56089999999999</v>
      </c>
      <c r="AF4984">
        <v>3.0569370910029399</v>
      </c>
      <c r="AG4984">
        <v>-1.1053212025779999</v>
      </c>
      <c r="AH4984">
        <v>12.4861321724521</v>
      </c>
      <c r="AI4984">
        <v>94.914458510068698</v>
      </c>
      <c r="AJ4984">
        <v>76.243073041954702</v>
      </c>
      <c r="AK4984">
        <v>12.902329090794501</v>
      </c>
    </row>
    <row r="4985" spans="1:37" x14ac:dyDescent="0.2">
      <c r="A4985" t="str">
        <f>"20200111153531392"</f>
        <v>20200111153531392</v>
      </c>
      <c r="B4985" t="str">
        <f>"1578728131380688"</f>
        <v>1578728131380688</v>
      </c>
      <c r="C4985" t="s">
        <v>37</v>
      </c>
      <c r="D4985">
        <v>5.24078</v>
      </c>
      <c r="E4985">
        <v>0.59148100000000003</v>
      </c>
      <c r="F4985" t="s">
        <v>39</v>
      </c>
      <c r="G4985">
        <v>-324.96570000000003</v>
      </c>
      <c r="H4985" s="1">
        <v>-3.2733049999999898E-6</v>
      </c>
      <c r="I4985">
        <v>14.52055</v>
      </c>
      <c r="J4985">
        <v>-337.55840000000001</v>
      </c>
      <c r="K4985">
        <v>1.1052519999999999</v>
      </c>
      <c r="L4985">
        <v>17.095829999999999</v>
      </c>
      <c r="M4985">
        <v>0.99904680000000001</v>
      </c>
      <c r="N4985">
        <v>0</v>
      </c>
      <c r="O4985">
        <v>4.1508679999999999E-2</v>
      </c>
      <c r="P4985">
        <v>0.99904029999999999</v>
      </c>
      <c r="Q4985">
        <v>1.7016030000000001E-2</v>
      </c>
      <c r="R4985">
        <v>4.0365499999999999E-2</v>
      </c>
      <c r="S4985">
        <v>3.0317379999999998</v>
      </c>
      <c r="T4985">
        <v>-0.26026559999999999</v>
      </c>
      <c r="U4985">
        <v>-0.60351560000000004</v>
      </c>
      <c r="V4985">
        <v>1.1058750000000001E-3</v>
      </c>
      <c r="W4985">
        <v>3.0533640000000001E-2</v>
      </c>
      <c r="X4985">
        <v>0.99953309999999995</v>
      </c>
      <c r="Y4985">
        <v>0.23480090000000001</v>
      </c>
      <c r="Z4985">
        <v>-1.3488409999999999E-2</v>
      </c>
      <c r="AA4985">
        <v>0.97194990000000003</v>
      </c>
      <c r="AB4985">
        <v>30</v>
      </c>
      <c r="AC4985">
        <v>12.592699999999899</v>
      </c>
      <c r="AD4985">
        <v>-1.1052552733050001</v>
      </c>
      <c r="AE4985">
        <v>-2.5752799999999998</v>
      </c>
      <c r="AF4985">
        <v>3.0730909559200201</v>
      </c>
      <c r="AG4985">
        <v>-1.1052552733050001</v>
      </c>
      <c r="AH4985">
        <v>12.383373020900599</v>
      </c>
      <c r="AI4985">
        <v>94.950922708644001</v>
      </c>
      <c r="AJ4985">
        <v>76.062877923242695</v>
      </c>
      <c r="AK4985">
        <v>12.8067718265492</v>
      </c>
    </row>
    <row r="4986" spans="1:37" x14ac:dyDescent="0.2">
      <c r="A4986" t="str">
        <f>"20200111153531404"</f>
        <v>20200111153531404</v>
      </c>
      <c r="B4986" t="str">
        <f>"1578728131401184"</f>
        <v>1578728131401184</v>
      </c>
      <c r="C4986" t="s">
        <v>37</v>
      </c>
      <c r="D4986">
        <v>5.2752480000000004</v>
      </c>
      <c r="E4986">
        <v>0.59165819999999902</v>
      </c>
      <c r="F4986" t="s">
        <v>39</v>
      </c>
      <c r="G4986">
        <v>-324.79539999999997</v>
      </c>
      <c r="H4986" s="1">
        <v>-3.3391389999999999E-6</v>
      </c>
      <c r="I4986">
        <v>14.551329999999901</v>
      </c>
      <c r="J4986">
        <v>-337.40499999999997</v>
      </c>
      <c r="K4986">
        <v>1.1052090000000001</v>
      </c>
      <c r="L4986">
        <v>17.102450000000001</v>
      </c>
      <c r="M4986">
        <v>0.99903690000000001</v>
      </c>
      <c r="N4986">
        <v>0</v>
      </c>
      <c r="O4986">
        <v>4.1743479999999999E-2</v>
      </c>
      <c r="P4986">
        <v>0.99908629999999998</v>
      </c>
      <c r="Q4986">
        <v>1.7106420000000001E-2</v>
      </c>
      <c r="R4986">
        <v>3.9169799999999998E-2</v>
      </c>
      <c r="S4986">
        <v>3.0317689999999899</v>
      </c>
      <c r="T4986">
        <v>-0.26254759999999999</v>
      </c>
      <c r="U4986">
        <v>-0.60443119999999995</v>
      </c>
      <c r="V4986">
        <v>2.540666E-3</v>
      </c>
      <c r="W4986">
        <v>3.0631820000000001E-2</v>
      </c>
      <c r="X4986">
        <v>0.99952750000000001</v>
      </c>
      <c r="Y4986">
        <v>0.2352899</v>
      </c>
      <c r="Z4986">
        <v>-1.3646790000000001E-2</v>
      </c>
      <c r="AA4986">
        <v>0.97182939999999995</v>
      </c>
      <c r="AB4986">
        <v>30</v>
      </c>
      <c r="AC4986">
        <v>12.6096</v>
      </c>
      <c r="AD4986">
        <v>-1.1052123391390001</v>
      </c>
      <c r="AE4986">
        <v>-2.5511200000000001</v>
      </c>
      <c r="AF4986">
        <v>3.0527825604599301</v>
      </c>
      <c r="AG4986">
        <v>-1.1052123391390001</v>
      </c>
      <c r="AH4986">
        <v>12.400586125493801</v>
      </c>
      <c r="AI4986">
        <v>94.946165305912302</v>
      </c>
      <c r="AJ4986">
        <v>76.169908834808098</v>
      </c>
      <c r="AK4986">
        <v>12.818561227057501</v>
      </c>
    </row>
    <row r="4987" spans="1:37" x14ac:dyDescent="0.2">
      <c r="A4987" t="str">
        <f>"20200111153531414"</f>
        <v>20200111153531414</v>
      </c>
      <c r="B4987" t="str">
        <f>"1578728131410944"</f>
        <v>1578728131410944</v>
      </c>
      <c r="C4987" t="s">
        <v>37</v>
      </c>
      <c r="D4987">
        <v>5.269863</v>
      </c>
      <c r="E4987">
        <v>0.59175679999999997</v>
      </c>
      <c r="F4987" t="s">
        <v>39</v>
      </c>
      <c r="G4987">
        <v>-324.77499999999998</v>
      </c>
      <c r="H4987" s="1">
        <v>-3.3464929999999899E-6</v>
      </c>
      <c r="I4987">
        <v>14.56448</v>
      </c>
      <c r="J4987">
        <v>-337.24189999999999</v>
      </c>
      <c r="K4987">
        <v>1.105159</v>
      </c>
      <c r="L4987">
        <v>17.109529999999999</v>
      </c>
      <c r="M4987">
        <v>0.99902780000000002</v>
      </c>
      <c r="N4987">
        <v>0</v>
      </c>
      <c r="O4987">
        <v>4.1956840000000002E-2</v>
      </c>
      <c r="P4987">
        <v>0.99910350000000003</v>
      </c>
      <c r="Q4987">
        <v>1.7024589999999999E-2</v>
      </c>
      <c r="R4987">
        <v>3.8762270000000001E-2</v>
      </c>
      <c r="S4987">
        <v>3.031158</v>
      </c>
      <c r="T4987">
        <v>-0.26524629999999999</v>
      </c>
      <c r="U4987">
        <v>-0.60910030000000004</v>
      </c>
      <c r="V4987">
        <v>3.165808E-3</v>
      </c>
      <c r="W4987">
        <v>3.055652E-2</v>
      </c>
      <c r="X4987">
        <v>0.99952809999999903</v>
      </c>
      <c r="Y4987">
        <v>0.2369464</v>
      </c>
      <c r="Z4987">
        <v>-1.387734E-2</v>
      </c>
      <c r="AA4987">
        <v>0.97142359999999905</v>
      </c>
      <c r="AB4987">
        <v>30</v>
      </c>
      <c r="AC4987">
        <v>12.466900000000001</v>
      </c>
      <c r="AD4987">
        <v>-1.105162346493</v>
      </c>
      <c r="AE4987">
        <v>-2.5450499999999998</v>
      </c>
      <c r="AF4987">
        <v>3.0429718489601001</v>
      </c>
      <c r="AG4987">
        <v>-1.105162346493</v>
      </c>
      <c r="AH4987">
        <v>12.256663363510301</v>
      </c>
      <c r="AI4987">
        <v>95.001302897035899</v>
      </c>
      <c r="AJ4987">
        <v>76.057041260577904</v>
      </c>
      <c r="AK4987">
        <v>12.677020876060899</v>
      </c>
    </row>
    <row r="4988" spans="1:37" x14ac:dyDescent="0.2">
      <c r="A4988" t="str">
        <f>"20200111153531426"</f>
        <v>20200111153531426</v>
      </c>
      <c r="B4988" t="str">
        <f>"1578728131420704"</f>
        <v>1578728131420704</v>
      </c>
      <c r="C4988" t="s">
        <v>37</v>
      </c>
      <c r="D4988">
        <v>5.285774</v>
      </c>
      <c r="E4988">
        <v>0.59184049999999999</v>
      </c>
      <c r="F4988" t="s">
        <v>39</v>
      </c>
      <c r="G4988">
        <v>-324.666</v>
      </c>
      <c r="H4988" s="1">
        <v>-3.396323E-6</v>
      </c>
      <c r="I4988">
        <v>14.574009999999999</v>
      </c>
      <c r="J4988">
        <v>-337.0872</v>
      </c>
      <c r="K4988">
        <v>1.105108</v>
      </c>
      <c r="L4988">
        <v>17.116239999999902</v>
      </c>
      <c r="M4988">
        <v>0.99902119999999905</v>
      </c>
      <c r="N4988">
        <v>0</v>
      </c>
      <c r="O4988">
        <v>4.21138E-2</v>
      </c>
      <c r="P4988">
        <v>0.9991331</v>
      </c>
      <c r="Q4988">
        <v>1.663067E-2</v>
      </c>
      <c r="R4988">
        <v>3.8168019999999997E-2</v>
      </c>
      <c r="S4988">
        <v>3.0309140000000001</v>
      </c>
      <c r="T4988">
        <v>-0.2663546</v>
      </c>
      <c r="U4988">
        <v>-0.61108399999999996</v>
      </c>
      <c r="V4988">
        <v>3.9218739999999997E-3</v>
      </c>
      <c r="W4988">
        <v>3.0168070000000002E-2</v>
      </c>
      <c r="X4988">
        <v>0.99953719999999902</v>
      </c>
      <c r="Y4988">
        <v>0.23771300000000001</v>
      </c>
      <c r="Z4988">
        <v>-1.398227E-2</v>
      </c>
      <c r="AA4988">
        <v>0.97123479999999995</v>
      </c>
      <c r="AB4988">
        <v>30</v>
      </c>
      <c r="AC4988">
        <v>12.421200000000001</v>
      </c>
      <c r="AD4988">
        <v>-1.1051113963229999</v>
      </c>
      <c r="AE4988">
        <v>-2.5422299999999902</v>
      </c>
      <c r="AF4988">
        <v>3.0400297536148799</v>
      </c>
      <c r="AG4988">
        <v>-1.1051113963229999</v>
      </c>
      <c r="AH4988">
        <v>12.210338879739201</v>
      </c>
      <c r="AI4988">
        <v>95.019130534315295</v>
      </c>
      <c r="AJ4988">
        <v>76.019217376352103</v>
      </c>
      <c r="AK4988">
        <v>12.631525151747001</v>
      </c>
    </row>
    <row r="4989" spans="1:37" x14ac:dyDescent="0.2">
      <c r="A4989" t="str">
        <f>"20200111153531437"</f>
        <v>20200111153531437</v>
      </c>
      <c r="B4989" t="str">
        <f>"1578728131430466"</f>
        <v>1578728131430466</v>
      </c>
      <c r="C4989" t="s">
        <v>37</v>
      </c>
      <c r="D4989">
        <v>5.2821150000000001</v>
      </c>
      <c r="E4989">
        <v>0.5919276</v>
      </c>
      <c r="F4989" t="s">
        <v>39</v>
      </c>
      <c r="G4989">
        <v>-324.60750000000002</v>
      </c>
      <c r="H4989" s="1">
        <v>-3.4212069999999999E-6</v>
      </c>
      <c r="I4989">
        <v>14.58961</v>
      </c>
      <c r="J4989">
        <v>-336.93349999999998</v>
      </c>
      <c r="K4989">
        <v>1.105057</v>
      </c>
      <c r="L4989">
        <v>17.122889999999899</v>
      </c>
      <c r="M4989">
        <v>0.99901530000000005</v>
      </c>
      <c r="N4989">
        <v>0</v>
      </c>
      <c r="O4989">
        <v>4.2250410000000002E-2</v>
      </c>
      <c r="P4989">
        <v>0.99916249999999995</v>
      </c>
      <c r="Q4989">
        <v>1.6287650000000001E-2</v>
      </c>
      <c r="R4989">
        <v>3.7536779999999999E-2</v>
      </c>
      <c r="S4989">
        <v>3.0305179999999998</v>
      </c>
      <c r="T4989">
        <v>-0.26836079999999901</v>
      </c>
      <c r="U4989">
        <v>-0.61355590000000004</v>
      </c>
      <c r="V4989">
        <v>4.694536E-3</v>
      </c>
      <c r="W4989">
        <v>2.983015E-2</v>
      </c>
      <c r="X4989">
        <v>0.99954399999999999</v>
      </c>
      <c r="Y4989">
        <v>0.23861189999999999</v>
      </c>
      <c r="Z4989">
        <v>-1.4139179999999999E-2</v>
      </c>
      <c r="AA4989">
        <v>0.97101209999999905</v>
      </c>
      <c r="AB4989">
        <v>30</v>
      </c>
      <c r="AC4989">
        <v>12.325999999999899</v>
      </c>
      <c r="AD4989">
        <v>-1.1050604212070001</v>
      </c>
      <c r="AE4989">
        <v>-2.5332799999999902</v>
      </c>
      <c r="AF4989">
        <v>3.0284884691004601</v>
      </c>
      <c r="AG4989">
        <v>-1.1050604212070001</v>
      </c>
      <c r="AH4989">
        <v>12.114523871107099</v>
      </c>
      <c r="AI4989">
        <v>95.057188880120805</v>
      </c>
      <c r="AJ4989">
        <v>75.964390838886004</v>
      </c>
      <c r="AK4989">
        <v>12.5361313636072</v>
      </c>
    </row>
    <row r="4990" spans="1:37" x14ac:dyDescent="0.2">
      <c r="A4990" t="str">
        <f>"20200111153531449"</f>
        <v>20200111153531449</v>
      </c>
      <c r="B4990" t="str">
        <f>"1578728131441200"</f>
        <v>1578728131441200</v>
      </c>
      <c r="C4990" t="s">
        <v>37</v>
      </c>
      <c r="D4990">
        <v>5.3030089999999896</v>
      </c>
      <c r="E4990">
        <v>0.59202219999999905</v>
      </c>
      <c r="F4990" t="s">
        <v>39</v>
      </c>
      <c r="G4990">
        <v>-324.54570000000001</v>
      </c>
      <c r="H4990" s="1">
        <v>-3.4478629999999899E-6</v>
      </c>
      <c r="I4990">
        <v>14.603910000000001</v>
      </c>
      <c r="J4990">
        <v>-336.78359999999998</v>
      </c>
      <c r="K4990">
        <v>1.1050009999999999</v>
      </c>
      <c r="L4990">
        <v>17.12933</v>
      </c>
      <c r="M4990">
        <v>0.99901189999999995</v>
      </c>
      <c r="N4990">
        <v>0</v>
      </c>
      <c r="O4990">
        <v>4.2332210000000002E-2</v>
      </c>
      <c r="P4990">
        <v>0.99920959999999903</v>
      </c>
      <c r="Q4990">
        <v>1.5723279999999999E-2</v>
      </c>
      <c r="R4990">
        <v>3.651252E-2</v>
      </c>
      <c r="S4990">
        <v>3.03009</v>
      </c>
      <c r="T4990">
        <v>-0.2703004</v>
      </c>
      <c r="U4990">
        <v>-0.61614990000000003</v>
      </c>
      <c r="V4990">
        <v>5.8057849999999999E-3</v>
      </c>
      <c r="W4990">
        <v>2.9269630000000001E-2</v>
      </c>
      <c r="X4990">
        <v>0.99955469999999902</v>
      </c>
      <c r="Y4990">
        <v>0.23949719999999999</v>
      </c>
      <c r="Z4990">
        <v>-1.4288E-2</v>
      </c>
      <c r="AA4990">
        <v>0.97079190000000004</v>
      </c>
      <c r="AB4990">
        <v>30</v>
      </c>
      <c r="AC4990">
        <v>12.2378999999999</v>
      </c>
      <c r="AD4990">
        <v>-1.1050044478629999</v>
      </c>
      <c r="AE4990">
        <v>-2.5254199999999898</v>
      </c>
      <c r="AF4990">
        <v>3.01766267575031</v>
      </c>
      <c r="AG4990">
        <v>-1.1050044478629999</v>
      </c>
      <c r="AH4990">
        <v>12.025969164549</v>
      </c>
      <c r="AI4990">
        <v>95.092853035712494</v>
      </c>
      <c r="AJ4990">
        <v>75.913678561869105</v>
      </c>
      <c r="AK4990">
        <v>12.447941886155199</v>
      </c>
    </row>
    <row r="4991" spans="1:37" x14ac:dyDescent="0.2">
      <c r="A4991" t="str">
        <f>"20200111153531463"</f>
        <v>20200111153531463</v>
      </c>
      <c r="B4991" t="str">
        <f>"1578728131450960"</f>
        <v>1578728131450960</v>
      </c>
      <c r="C4991" t="s">
        <v>37</v>
      </c>
      <c r="D4991">
        <v>5.2853159999999999</v>
      </c>
      <c r="E4991">
        <v>0.59213419999999894</v>
      </c>
      <c r="F4991" t="s">
        <v>39</v>
      </c>
      <c r="G4991">
        <v>-324.529</v>
      </c>
      <c r="H4991" s="1">
        <v>-3.4527269999999899E-6</v>
      </c>
      <c r="I4991">
        <v>14.62115</v>
      </c>
      <c r="J4991">
        <v>-336.59980000000002</v>
      </c>
      <c r="K4991">
        <v>1.1049389999999999</v>
      </c>
      <c r="L4991">
        <v>17.137270000000001</v>
      </c>
      <c r="M4991">
        <v>0.99900849999999997</v>
      </c>
      <c r="N4991">
        <v>0</v>
      </c>
      <c r="O4991">
        <v>4.2409120000000002E-2</v>
      </c>
      <c r="P4991">
        <v>0.99926099999999995</v>
      </c>
      <c r="Q4991">
        <v>1.4889060000000001E-2</v>
      </c>
      <c r="R4991">
        <v>3.5442000000000001E-2</v>
      </c>
      <c r="S4991">
        <v>3.0293580000000002</v>
      </c>
      <c r="T4991">
        <v>-0.27315809999999902</v>
      </c>
      <c r="U4991">
        <v>-0.62002559999999995</v>
      </c>
      <c r="V4991">
        <v>6.9589559999999996E-3</v>
      </c>
      <c r="W4991">
        <v>2.8440279999999998E-2</v>
      </c>
      <c r="X4991">
        <v>0.99957129999999905</v>
      </c>
      <c r="Y4991">
        <v>0.24078150000000001</v>
      </c>
      <c r="Z4991">
        <v>-1.450414E-2</v>
      </c>
      <c r="AA4991">
        <v>0.97047099999999897</v>
      </c>
      <c r="AB4991">
        <v>30</v>
      </c>
      <c r="AC4991">
        <v>12.0708</v>
      </c>
      <c r="AD4991">
        <v>-1.104942452727</v>
      </c>
      <c r="AE4991">
        <v>-2.5161199999999999</v>
      </c>
      <c r="AF4991">
        <v>3.00171003792763</v>
      </c>
      <c r="AG4991">
        <v>-1.104942452727</v>
      </c>
      <c r="AH4991">
        <v>11.85799792043</v>
      </c>
      <c r="AI4991">
        <v>95.161630491651593</v>
      </c>
      <c r="AJ4991">
        <v>75.794663116049307</v>
      </c>
      <c r="AK4991">
        <v>12.281827048796799</v>
      </c>
    </row>
    <row r="4992" spans="1:37" x14ac:dyDescent="0.2">
      <c r="A4992" t="str">
        <f>"20200111153531475"</f>
        <v>20200111153531475</v>
      </c>
      <c r="B4992" t="str">
        <f>"1578728131470479"</f>
        <v>1578728131470479</v>
      </c>
      <c r="C4992" t="s">
        <v>37</v>
      </c>
      <c r="D4992">
        <v>5.3777029999999897</v>
      </c>
      <c r="E4992">
        <v>0.59231690000000004</v>
      </c>
      <c r="F4992" t="s">
        <v>39</v>
      </c>
      <c r="G4992">
        <v>-324.51220000000001</v>
      </c>
      <c r="H4992" s="1">
        <v>-3.4561880000000001E-6</v>
      </c>
      <c r="I4992">
        <v>14.646229999999999</v>
      </c>
      <c r="J4992">
        <v>-336.43009999999998</v>
      </c>
      <c r="K4992">
        <v>1.1048799999999901</v>
      </c>
      <c r="L4992">
        <v>17.14453</v>
      </c>
      <c r="M4992">
        <v>0.99900719999999998</v>
      </c>
      <c r="N4992">
        <v>0</v>
      </c>
      <c r="O4992">
        <v>4.2437059999999999E-2</v>
      </c>
      <c r="P4992">
        <v>0.99931700000000001</v>
      </c>
      <c r="Q4992">
        <v>1.3967729999999999E-2</v>
      </c>
      <c r="R4992">
        <v>3.421159E-2</v>
      </c>
      <c r="S4992">
        <v>3.028473</v>
      </c>
      <c r="T4992">
        <v>-0.276837099999999</v>
      </c>
      <c r="U4992">
        <v>-0.62411499999999998</v>
      </c>
      <c r="V4992">
        <v>8.2228209999999999E-3</v>
      </c>
      <c r="W4992">
        <v>2.7523209999999999E-2</v>
      </c>
      <c r="X4992">
        <v>0.99958740000000001</v>
      </c>
      <c r="Y4992">
        <v>0.242086</v>
      </c>
      <c r="Z4992">
        <v>-1.476238E-2</v>
      </c>
      <c r="AA4992">
        <v>0.97014249999999902</v>
      </c>
      <c r="AB4992">
        <v>30</v>
      </c>
      <c r="AC4992">
        <v>11.9178999999999</v>
      </c>
      <c r="AD4992">
        <v>-1.1048834561880001</v>
      </c>
      <c r="AE4992">
        <v>-2.4983</v>
      </c>
      <c r="AF4992">
        <v>2.9773436841307199</v>
      </c>
      <c r="AG4992">
        <v>-1.1048834561880001</v>
      </c>
      <c r="AH4992">
        <v>11.704766422623701</v>
      </c>
      <c r="AI4992">
        <v>95.227026357921901</v>
      </c>
      <c r="AJ4992">
        <v>75.728335404059393</v>
      </c>
      <c r="AK4992">
        <v>12.127938813886299</v>
      </c>
    </row>
    <row r="4993" spans="1:37" x14ac:dyDescent="0.2">
      <c r="A4993" t="str">
        <f>"20200111153531491"</f>
        <v>20200111153531491</v>
      </c>
      <c r="B4993" t="str">
        <f>"1578728131481219"</f>
        <v>1578728131481219</v>
      </c>
      <c r="C4993" t="s">
        <v>37</v>
      </c>
      <c r="D4993">
        <v>5.2476099999999999</v>
      </c>
      <c r="E4993">
        <v>0.59231690000000004</v>
      </c>
      <c r="F4993" t="s">
        <v>39</v>
      </c>
      <c r="G4993">
        <v>-324.48200000000003</v>
      </c>
      <c r="H4993" s="1">
        <v>-3.467819E-6</v>
      </c>
      <c r="I4993">
        <v>14.661110000000001</v>
      </c>
      <c r="J4993">
        <v>-336.21100000000001</v>
      </c>
      <c r="K4993">
        <v>1.1048089999999999</v>
      </c>
      <c r="L4993">
        <v>17.1539</v>
      </c>
      <c r="M4993">
        <v>0.99900809999999995</v>
      </c>
      <c r="N4993">
        <v>0</v>
      </c>
      <c r="O4993">
        <v>4.2415679999999997E-2</v>
      </c>
      <c r="P4993">
        <v>0.99942589999999998</v>
      </c>
      <c r="Q4993">
        <v>1.2710630000000001E-2</v>
      </c>
      <c r="R4993">
        <v>3.1407669999999999E-2</v>
      </c>
      <c r="S4993">
        <v>3.02749599999999</v>
      </c>
      <c r="T4993">
        <v>-0.27996520000000003</v>
      </c>
      <c r="U4993">
        <v>-0.62927250000000001</v>
      </c>
      <c r="V4993">
        <v>1.1012070000000001E-2</v>
      </c>
      <c r="W4993">
        <v>2.6269580000000001E-2</v>
      </c>
      <c r="X4993">
        <v>0.99959419999999899</v>
      </c>
      <c r="Y4993">
        <v>0.24367900000000001</v>
      </c>
      <c r="Z4993">
        <v>-1.5001469999999999E-2</v>
      </c>
      <c r="AA4993">
        <v>0.96973989999999999</v>
      </c>
      <c r="AB4993">
        <v>30</v>
      </c>
      <c r="AC4993">
        <v>11.7289999999999</v>
      </c>
      <c r="AD4993">
        <v>-1.1048124678190001</v>
      </c>
      <c r="AE4993">
        <v>-2.4927899999999901</v>
      </c>
      <c r="AF4993">
        <v>2.9629324077216701</v>
      </c>
      <c r="AG4993">
        <v>-1.1048124678190001</v>
      </c>
      <c r="AH4993">
        <v>11.5149464312783</v>
      </c>
      <c r="AI4993">
        <v>95.308633944022205</v>
      </c>
      <c r="AJ4993">
        <v>75.570144078037899</v>
      </c>
      <c r="AK4993">
        <v>11.9412549741216</v>
      </c>
    </row>
    <row r="4994" spans="1:37" x14ac:dyDescent="0.2">
      <c r="A4994" t="str">
        <f>"20200111153531505"</f>
        <v>20200111153531505</v>
      </c>
      <c r="B4994" t="str">
        <f>"1578728131500736"</f>
        <v>1578728131500736</v>
      </c>
      <c r="C4994" t="s">
        <v>37</v>
      </c>
      <c r="D4994">
        <v>5.1393269999999998</v>
      </c>
      <c r="E4994">
        <v>0.5488982</v>
      </c>
      <c r="F4994" t="s">
        <v>39</v>
      </c>
      <c r="G4994">
        <v>-324.42529999999999</v>
      </c>
      <c r="H4994" s="1">
        <v>-3.49318199999999E-6</v>
      </c>
      <c r="I4994">
        <v>14.669429999999901</v>
      </c>
      <c r="J4994">
        <v>-336.02659999999997</v>
      </c>
      <c r="K4994">
        <v>1.1047530000000001</v>
      </c>
      <c r="L4994">
        <v>17.161709999999999</v>
      </c>
      <c r="M4994">
        <v>0.99901059999999997</v>
      </c>
      <c r="N4994">
        <v>0</v>
      </c>
      <c r="O4994">
        <v>4.2353830000000002E-2</v>
      </c>
      <c r="P4994">
        <v>0.99947529999999996</v>
      </c>
      <c r="Q4994">
        <v>1.241071E-2</v>
      </c>
      <c r="R4994">
        <v>2.9922580000000001E-2</v>
      </c>
      <c r="S4994">
        <v>3.02536</v>
      </c>
      <c r="T4994">
        <v>-0.28360239999999998</v>
      </c>
      <c r="U4994">
        <v>-0.63775630000000005</v>
      </c>
      <c r="V4994">
        <v>1.243959E-2</v>
      </c>
      <c r="W4994">
        <v>2.5971660000000001E-2</v>
      </c>
      <c r="X4994">
        <v>0.99958530000000001</v>
      </c>
      <c r="Y4994">
        <v>0.24631729999999999</v>
      </c>
      <c r="Z4994">
        <v>-1.5318089999999999E-2</v>
      </c>
      <c r="AA4994">
        <v>0.96906819999999905</v>
      </c>
      <c r="AB4994">
        <v>30</v>
      </c>
      <c r="AC4994">
        <v>11.601299999999901</v>
      </c>
      <c r="AD4994">
        <v>-1.104756493182</v>
      </c>
      <c r="AE4994">
        <v>-2.4922800000000001</v>
      </c>
      <c r="AF4994">
        <v>2.95582640276485</v>
      </c>
      <c r="AG4994">
        <v>-1.104756493182</v>
      </c>
      <c r="AH4994">
        <v>11.3866199062447</v>
      </c>
      <c r="AI4994">
        <v>95.364902462842394</v>
      </c>
      <c r="AJ4994">
        <v>75.447913598320795</v>
      </c>
      <c r="AK4994">
        <v>11.815773758912201</v>
      </c>
    </row>
    <row r="4995" spans="1:37" x14ac:dyDescent="0.2">
      <c r="A4995" t="str">
        <f>"20200111153531525"</f>
        <v>20200111153531525</v>
      </c>
      <c r="B4995" t="str">
        <f>"1578728131521233"</f>
        <v>1578728131521233</v>
      </c>
      <c r="C4995" t="s">
        <v>37</v>
      </c>
      <c r="D4995">
        <v>4.9753099999999897</v>
      </c>
      <c r="E4995">
        <v>0.54645909999999998</v>
      </c>
      <c r="F4995" t="s">
        <v>40</v>
      </c>
      <c r="G4995">
        <v>-335.12549999999999</v>
      </c>
      <c r="H4995">
        <v>1.021663</v>
      </c>
      <c r="I4995">
        <v>17.072900000000001</v>
      </c>
      <c r="J4995">
        <v>-335.76240000000001</v>
      </c>
      <c r="K4995">
        <v>1.1046689999999999</v>
      </c>
      <c r="L4995">
        <v>17.172820000000002</v>
      </c>
      <c r="M4995">
        <v>0.999017499999999</v>
      </c>
      <c r="N4995">
        <v>0</v>
      </c>
      <c r="O4995">
        <v>4.2190650000000003E-2</v>
      </c>
      <c r="P4995">
        <v>0.99956270000000003</v>
      </c>
      <c r="Q4995">
        <v>1.227311E-2</v>
      </c>
      <c r="R4995">
        <v>2.6906309999999999E-2</v>
      </c>
      <c r="S4995">
        <v>3.013855</v>
      </c>
      <c r="T4995">
        <v>-0.27787319999999999</v>
      </c>
      <c r="U4995">
        <v>-0.29629519999999998</v>
      </c>
      <c r="V4995">
        <v>1.5298569999999999E-2</v>
      </c>
      <c r="W4995">
        <v>2.5834849999999999E-2</v>
      </c>
      <c r="X4995">
        <v>0.99954920000000003</v>
      </c>
      <c r="Y4995">
        <v>0.13898250000000001</v>
      </c>
      <c r="Z4995">
        <v>-1.025206E-2</v>
      </c>
      <c r="AA4995">
        <v>0.99024179999999995</v>
      </c>
      <c r="AB4995">
        <v>30</v>
      </c>
      <c r="AC4995">
        <v>0.636900000000025</v>
      </c>
      <c r="AD4995">
        <v>-8.3006000000000094E-2</v>
      </c>
      <c r="AE4995">
        <v>-9.9920000000000897E-2</v>
      </c>
      <c r="AF4995">
        <v>0.12463852604084499</v>
      </c>
      <c r="AG4995">
        <v>-8.3006000000000094E-2</v>
      </c>
      <c r="AH4995">
        <v>0.62180873033218498</v>
      </c>
      <c r="AI4995">
        <v>97.456921797898204</v>
      </c>
      <c r="AJ4995">
        <v>78.665546990955406</v>
      </c>
      <c r="AK4995">
        <v>0.63958647212629305</v>
      </c>
    </row>
    <row r="4996" spans="1:37" x14ac:dyDescent="0.2">
      <c r="A4996" t="str">
        <f>"20200111153531537"</f>
        <v>20200111153531537</v>
      </c>
      <c r="B4996" t="str">
        <f>"1578728131530993"</f>
        <v>1578728131530993</v>
      </c>
      <c r="C4996" t="s">
        <v>37</v>
      </c>
      <c r="D4996">
        <v>4.9612480000000003</v>
      </c>
      <c r="E4996">
        <v>0.54669389999999995</v>
      </c>
      <c r="F4996" t="s">
        <v>40</v>
      </c>
      <c r="G4996">
        <v>-334.8553</v>
      </c>
      <c r="H4996">
        <v>1.023015</v>
      </c>
      <c r="I4996">
        <v>17.086469999999998</v>
      </c>
      <c r="J4996">
        <v>-335.58760000000001</v>
      </c>
      <c r="K4996">
        <v>1.1046180000000001</v>
      </c>
      <c r="L4996">
        <v>17.180109999999999</v>
      </c>
      <c r="M4996">
        <v>0.99902369999999996</v>
      </c>
      <c r="N4996">
        <v>0</v>
      </c>
      <c r="O4996">
        <v>4.204426E-2</v>
      </c>
      <c r="P4996">
        <v>0.99960709999999997</v>
      </c>
      <c r="Q4996">
        <v>1.218522E-2</v>
      </c>
      <c r="R4996">
        <v>2.525173E-2</v>
      </c>
      <c r="S4996">
        <v>3.0123599999999899</v>
      </c>
      <c r="T4996">
        <v>-0.27116099999999999</v>
      </c>
      <c r="U4996">
        <v>-0.28601070000000001</v>
      </c>
      <c r="V4996">
        <v>1.6810309999999998E-2</v>
      </c>
      <c r="W4996">
        <v>2.5746660000000001E-2</v>
      </c>
      <c r="X4996">
        <v>0.99952719999999995</v>
      </c>
      <c r="Y4996">
        <v>0.1355845</v>
      </c>
      <c r="Z4996">
        <v>-9.8464920000000001E-3</v>
      </c>
      <c r="AA4996">
        <v>0.99071690000000001</v>
      </c>
      <c r="AB4996">
        <v>30</v>
      </c>
      <c r="AC4996">
        <v>0.73230000000000905</v>
      </c>
      <c r="AD4996">
        <v>-8.1602999999999995E-2</v>
      </c>
      <c r="AE4996">
        <v>-9.3639999999997003E-2</v>
      </c>
      <c r="AF4996">
        <v>0.122848102253171</v>
      </c>
      <c r="AG4996">
        <v>-8.1602999999999995E-2</v>
      </c>
      <c r="AH4996">
        <v>0.71893125075415998</v>
      </c>
      <c r="AI4996">
        <v>96.383948504180907</v>
      </c>
      <c r="AJ4996">
        <v>80.303179979559701</v>
      </c>
      <c r="AK4996">
        <v>0.73390247931666397</v>
      </c>
    </row>
    <row r="4997" spans="1:37" x14ac:dyDescent="0.2">
      <c r="A4997" t="str">
        <f>"20200111153531550"</f>
        <v>20200111153531550</v>
      </c>
      <c r="B4997" t="str">
        <f>"1578728131540751"</f>
        <v>1578728131540751</v>
      </c>
      <c r="C4997" t="s">
        <v>37</v>
      </c>
      <c r="D4997">
        <v>4.9547879999999997</v>
      </c>
      <c r="E4997">
        <v>0.54711279999999995</v>
      </c>
      <c r="F4997" t="s">
        <v>40</v>
      </c>
      <c r="G4997">
        <v>-334.84899999999999</v>
      </c>
      <c r="H4997">
        <v>1.0382069999999901</v>
      </c>
      <c r="I4997">
        <v>17.108049999999999</v>
      </c>
      <c r="J4997">
        <v>-335.42579999999998</v>
      </c>
      <c r="K4997">
        <v>1.104573</v>
      </c>
      <c r="L4997">
        <v>17.186769999999999</v>
      </c>
      <c r="M4997">
        <v>0.999031</v>
      </c>
      <c r="N4997">
        <v>0</v>
      </c>
      <c r="O4997">
        <v>4.1868120000000002E-2</v>
      </c>
      <c r="P4997">
        <v>0.99964419999999898</v>
      </c>
      <c r="Q4997">
        <v>1.236488E-2</v>
      </c>
      <c r="R4997">
        <v>2.3641949999999998E-2</v>
      </c>
      <c r="S4997">
        <v>3.0119020000000001</v>
      </c>
      <c r="T4997">
        <v>-0.27080890000000002</v>
      </c>
      <c r="U4997">
        <v>-0.29293819999999998</v>
      </c>
      <c r="V4997">
        <v>1.8247139999999998E-2</v>
      </c>
      <c r="W4997">
        <v>2.592494E-2</v>
      </c>
      <c r="X4997">
        <v>0.99949739999999998</v>
      </c>
      <c r="Y4997">
        <v>0.13767570000000001</v>
      </c>
      <c r="Z4997">
        <v>-9.9120419999999994E-3</v>
      </c>
      <c r="AA4997">
        <v>0.99042779999999997</v>
      </c>
      <c r="AB4997">
        <v>30</v>
      </c>
      <c r="AC4997">
        <v>0.57679999999999099</v>
      </c>
      <c r="AD4997">
        <v>-6.6366000000000105E-2</v>
      </c>
      <c r="AE4997">
        <v>-7.8720000000004106E-2</v>
      </c>
      <c r="AF4997">
        <v>0.101483783653025</v>
      </c>
      <c r="AG4997">
        <v>-6.6366000000000105E-2</v>
      </c>
      <c r="AH4997">
        <v>0.56564655655241902</v>
      </c>
      <c r="AI4997">
        <v>96.587551068203197</v>
      </c>
      <c r="AJ4997">
        <v>79.828661883871007</v>
      </c>
      <c r="AK4997">
        <v>0.57849756372878802</v>
      </c>
    </row>
    <row r="4998" spans="1:37" x14ac:dyDescent="0.2">
      <c r="A4998" t="str">
        <f>"20200111153531564"</f>
        <v>20200111153531564</v>
      </c>
      <c r="B4998" t="str">
        <f>"1578728131561248"</f>
        <v>1578728131561248</v>
      </c>
      <c r="C4998" t="s">
        <v>37</v>
      </c>
      <c r="D4998">
        <v>4.9319230000000003</v>
      </c>
      <c r="E4998">
        <v>0.54785340000000005</v>
      </c>
      <c r="F4998" t="s">
        <v>40</v>
      </c>
      <c r="G4998">
        <v>-334.58280000000002</v>
      </c>
      <c r="H4998">
        <v>1.0295019999999999</v>
      </c>
      <c r="I4998">
        <v>17.102529999999899</v>
      </c>
      <c r="J4998">
        <v>-335.23899999999998</v>
      </c>
      <c r="K4998">
        <v>1.104517</v>
      </c>
      <c r="L4998">
        <v>17.194430000000001</v>
      </c>
      <c r="M4998">
        <v>0.999040699999999</v>
      </c>
      <c r="N4998">
        <v>0</v>
      </c>
      <c r="O4998">
        <v>4.1638420000000002E-2</v>
      </c>
      <c r="P4998">
        <v>0.99969079999999999</v>
      </c>
      <c r="Q4998">
        <v>1.224837E-2</v>
      </c>
      <c r="R4998">
        <v>2.1651299999999998E-2</v>
      </c>
      <c r="S4998">
        <v>3.0114749999999999</v>
      </c>
      <c r="T4998">
        <v>-0.26815549999999999</v>
      </c>
      <c r="U4998">
        <v>-0.30120849999999999</v>
      </c>
      <c r="V4998">
        <v>2.0011729999999998E-2</v>
      </c>
      <c r="W4998">
        <v>2.580673E-2</v>
      </c>
      <c r="X4998">
        <v>0.99946669999999904</v>
      </c>
      <c r="Y4998">
        <v>0.14015999999999901</v>
      </c>
      <c r="Z4998">
        <v>-9.9051690000000001E-3</v>
      </c>
      <c r="AA4998">
        <v>0.9900793</v>
      </c>
      <c r="AB4998">
        <v>30</v>
      </c>
      <c r="AC4998">
        <v>0.656200000000012</v>
      </c>
      <c r="AD4998">
        <v>-7.5014999999999804E-2</v>
      </c>
      <c r="AE4998">
        <v>-9.1900000000002494E-2</v>
      </c>
      <c r="AF4998">
        <v>0.117638154508624</v>
      </c>
      <c r="AG4998">
        <v>-7.5014999999999804E-2</v>
      </c>
      <c r="AH4998">
        <v>0.64355539704062203</v>
      </c>
      <c r="AI4998">
        <v>96.541165443334805</v>
      </c>
      <c r="AJ4998">
        <v>79.641034015697201</v>
      </c>
      <c r="AK4998">
        <v>0.65850553124579503</v>
      </c>
    </row>
    <row r="4999" spans="1:37" x14ac:dyDescent="0.2">
      <c r="A4999" t="str">
        <f>"20200111153531580"</f>
        <v>20200111153531580</v>
      </c>
      <c r="B4999" t="str">
        <f>"1578728131571010"</f>
        <v>1578728131571010</v>
      </c>
      <c r="C4999" t="s">
        <v>37</v>
      </c>
      <c r="D4999">
        <v>4.9116019999999896</v>
      </c>
      <c r="E4999">
        <v>0.5479446</v>
      </c>
      <c r="F4999" t="s">
        <v>40</v>
      </c>
      <c r="G4999">
        <v>-334.31580000000002</v>
      </c>
      <c r="H4999">
        <v>1.0230049999999999</v>
      </c>
      <c r="I4999">
        <v>17.098179999999999</v>
      </c>
      <c r="J4999">
        <v>-335.01319999999998</v>
      </c>
      <c r="K4999">
        <v>1.1044510000000001</v>
      </c>
      <c r="L4999">
        <v>17.203520000000001</v>
      </c>
      <c r="M4999">
        <v>0.99905440000000001</v>
      </c>
      <c r="N4999">
        <v>0</v>
      </c>
      <c r="O4999">
        <v>4.1304269999999997E-2</v>
      </c>
      <c r="P4999">
        <v>0.999758499999999</v>
      </c>
      <c r="Q4999">
        <v>1.2506720000000001E-2</v>
      </c>
      <c r="R4999">
        <v>1.80715999999999E-2</v>
      </c>
      <c r="S4999">
        <v>3.0109560000000002</v>
      </c>
      <c r="T4999">
        <v>-0.26579759999999902</v>
      </c>
      <c r="U4999">
        <v>-0.31301879999999999</v>
      </c>
      <c r="V4999">
        <v>2.326158E-2</v>
      </c>
      <c r="W4999">
        <v>2.6060320000000001E-2</v>
      </c>
      <c r="X4999">
        <v>0.99938969999999905</v>
      </c>
      <c r="Y4999">
        <v>0.1436886</v>
      </c>
      <c r="Z4999">
        <v>-9.9438779999999997E-3</v>
      </c>
      <c r="AA4999">
        <v>0.98957299999999904</v>
      </c>
      <c r="AB4999">
        <v>30</v>
      </c>
      <c r="AC4999">
        <v>0.69739999999995905</v>
      </c>
      <c r="AD4999">
        <v>-8.1446000000000102E-2</v>
      </c>
      <c r="AE4999">
        <v>-0.105340000000001</v>
      </c>
      <c r="AF4999">
        <v>0.132294255077612</v>
      </c>
      <c r="AG4999">
        <v>-8.1446000000000102E-2</v>
      </c>
      <c r="AH4999">
        <v>0.68334129509836605</v>
      </c>
      <c r="AI4999">
        <v>96.674122848307107</v>
      </c>
      <c r="AJ4999">
        <v>79.043137040903105</v>
      </c>
      <c r="AK4999">
        <v>0.70077852880154101</v>
      </c>
    </row>
    <row r="5000" spans="1:37" x14ac:dyDescent="0.2">
      <c r="A5000" t="str">
        <f>"20200111153531592"</f>
        <v>20200111153531592</v>
      </c>
      <c r="B5000" t="str">
        <f>"1578728131580768"</f>
        <v>1578728131580768</v>
      </c>
      <c r="C5000" t="s">
        <v>37</v>
      </c>
      <c r="D5000">
        <v>4.9139699999999999</v>
      </c>
      <c r="E5000">
        <v>0.54798719999999901</v>
      </c>
      <c r="F5000" t="s">
        <v>40</v>
      </c>
      <c r="G5000">
        <v>-334.04750000000001</v>
      </c>
      <c r="H5000">
        <v>1.0198389999999999</v>
      </c>
      <c r="I5000">
        <v>17.099250000000001</v>
      </c>
      <c r="J5000">
        <v>-334.84780000000001</v>
      </c>
      <c r="K5000">
        <v>1.104403</v>
      </c>
      <c r="L5000">
        <v>17.210079999999898</v>
      </c>
      <c r="M5000">
        <v>0.99906659999999903</v>
      </c>
      <c r="N5000">
        <v>0</v>
      </c>
      <c r="O5000">
        <v>4.1008459999999997E-2</v>
      </c>
      <c r="P5000">
        <v>0.99978690000000003</v>
      </c>
      <c r="Q5000">
        <v>1.309536E-2</v>
      </c>
      <c r="R5000">
        <v>1.5969540000000001E-2</v>
      </c>
      <c r="S5000">
        <v>3.0098880000000001</v>
      </c>
      <c r="T5000">
        <v>-0.26367209999999902</v>
      </c>
      <c r="U5000">
        <v>-0.3244629</v>
      </c>
      <c r="V5000">
        <v>2.5070869999999999E-2</v>
      </c>
      <c r="W5000">
        <v>2.664567E-2</v>
      </c>
      <c r="X5000">
        <v>0.99933050000000001</v>
      </c>
      <c r="Y5000">
        <v>0.147150799999999</v>
      </c>
      <c r="Z5000">
        <v>-9.9913599999999995E-3</v>
      </c>
      <c r="AA5000">
        <v>0.98906360000000004</v>
      </c>
      <c r="AB5000">
        <v>30</v>
      </c>
      <c r="AC5000">
        <v>0.80029999999999202</v>
      </c>
      <c r="AD5000">
        <v>-8.4564E-2</v>
      </c>
      <c r="AE5000">
        <v>-0.110829999999996</v>
      </c>
      <c r="AF5000">
        <v>0.142003191457443</v>
      </c>
      <c r="AG5000">
        <v>-8.4564E-2</v>
      </c>
      <c r="AH5000">
        <v>0.78646549021104095</v>
      </c>
      <c r="AI5000">
        <v>96.040168834477697</v>
      </c>
      <c r="AJ5000">
        <v>79.765022411991893</v>
      </c>
      <c r="AK5000">
        <v>0.80364416489699797</v>
      </c>
    </row>
    <row r="5001" spans="1:37" x14ac:dyDescent="0.2">
      <c r="A5001" t="str">
        <f>"20200111153531605"</f>
        <v>20200111153531605</v>
      </c>
      <c r="B5001" t="str">
        <f>"1578728131600289"</f>
        <v>1578728131600289</v>
      </c>
      <c r="C5001" t="s">
        <v>37</v>
      </c>
      <c r="D5001">
        <v>4.9118979999999999</v>
      </c>
      <c r="E5001">
        <v>0.54833339999999997</v>
      </c>
      <c r="F5001" t="s">
        <v>40</v>
      </c>
      <c r="G5001">
        <v>-334.04160000000002</v>
      </c>
      <c r="H5001">
        <v>1.0346409999999999</v>
      </c>
      <c r="I5001">
        <v>17.12115</v>
      </c>
      <c r="J5001">
        <v>-334.6807</v>
      </c>
      <c r="K5001">
        <v>1.1043510000000001</v>
      </c>
      <c r="L5001">
        <v>17.216609999999999</v>
      </c>
      <c r="M5001">
        <v>0.99907990000000002</v>
      </c>
      <c r="N5001">
        <v>0</v>
      </c>
      <c r="O5001">
        <v>4.0680460000000002E-2</v>
      </c>
      <c r="P5001">
        <v>0.9998127</v>
      </c>
      <c r="Q5001">
        <v>1.34745E-2</v>
      </c>
      <c r="R5001">
        <v>1.388181E-2</v>
      </c>
      <c r="S5001">
        <v>3.0093380000000001</v>
      </c>
      <c r="T5001">
        <v>-0.26035259999999999</v>
      </c>
      <c r="U5001">
        <v>-0.33126830000000002</v>
      </c>
      <c r="V5001">
        <v>2.6833949999999999E-2</v>
      </c>
      <c r="W5001">
        <v>2.7020329999999999E-2</v>
      </c>
      <c r="X5001">
        <v>0.99927469999999996</v>
      </c>
      <c r="Y5001">
        <v>0.14906749999999999</v>
      </c>
      <c r="Z5001">
        <v>-9.9209169999999996E-3</v>
      </c>
      <c r="AA5001">
        <v>0.98877729999999997</v>
      </c>
      <c r="AB5001">
        <v>30</v>
      </c>
      <c r="AC5001">
        <v>0.63909999999998401</v>
      </c>
      <c r="AD5001">
        <v>-6.9710000000000105E-2</v>
      </c>
      <c r="AE5001">
        <v>-9.5459999999999198E-2</v>
      </c>
      <c r="AF5001">
        <v>0.11998587632930401</v>
      </c>
      <c r="AG5001">
        <v>-6.9710000000000105E-2</v>
      </c>
      <c r="AH5001">
        <v>0.62738577343407498</v>
      </c>
      <c r="AI5001">
        <v>96.228266973755893</v>
      </c>
      <c r="AJ5001">
        <v>79.173070069500497</v>
      </c>
      <c r="AK5001">
        <v>0.64254883341733904</v>
      </c>
    </row>
    <row r="5002" spans="1:37" x14ac:dyDescent="0.2">
      <c r="A5002" t="str">
        <f>"20200111153531616"</f>
        <v>20200111153531616</v>
      </c>
      <c r="B5002" t="str">
        <f>"1578728131611024"</f>
        <v>1578728131611024</v>
      </c>
      <c r="C5002" t="s">
        <v>37</v>
      </c>
      <c r="D5002">
        <v>4.9147460000000001</v>
      </c>
      <c r="E5002">
        <v>0.54843730000000002</v>
      </c>
      <c r="F5002" t="s">
        <v>40</v>
      </c>
      <c r="G5002">
        <v>-333.7756</v>
      </c>
      <c r="H5002">
        <v>1.0264279999999999</v>
      </c>
      <c r="I5002">
        <v>17.113969999999998</v>
      </c>
      <c r="J5002">
        <v>-334.51350000000002</v>
      </c>
      <c r="K5002">
        <v>1.1042989999999999</v>
      </c>
      <c r="L5002">
        <v>17.22308</v>
      </c>
      <c r="M5002">
        <v>0.99909439999999905</v>
      </c>
      <c r="N5002">
        <v>0</v>
      </c>
      <c r="O5002">
        <v>4.0323850000000001E-2</v>
      </c>
      <c r="P5002">
        <v>0.99984169999999895</v>
      </c>
      <c r="Q5002">
        <v>1.368523E-2</v>
      </c>
      <c r="R5002">
        <v>1.138374E-2</v>
      </c>
      <c r="S5002">
        <v>3.0088200000000001</v>
      </c>
      <c r="T5002">
        <v>-0.2590094</v>
      </c>
      <c r="U5002">
        <v>-0.34054570000000001</v>
      </c>
      <c r="V5002">
        <v>2.897781E-2</v>
      </c>
      <c r="W5002">
        <v>2.7225289999999999E-2</v>
      </c>
      <c r="X5002">
        <v>0.99920919999999902</v>
      </c>
      <c r="Y5002">
        <v>0.1517425</v>
      </c>
      <c r="Z5002">
        <v>-9.9539869999999992E-3</v>
      </c>
      <c r="AA5002">
        <v>0.98836990000000002</v>
      </c>
      <c r="AB5002">
        <v>30</v>
      </c>
      <c r="AC5002">
        <v>0.73790000000002398</v>
      </c>
      <c r="AD5002">
        <v>-7.7870999999999801E-2</v>
      </c>
      <c r="AE5002">
        <v>-0.109109999999997</v>
      </c>
      <c r="AF5002">
        <v>0.137282788006895</v>
      </c>
      <c r="AG5002">
        <v>-7.7870999999999801E-2</v>
      </c>
      <c r="AH5002">
        <v>0.72499825595740497</v>
      </c>
      <c r="AI5002">
        <v>96.024308955316201</v>
      </c>
      <c r="AJ5002">
        <v>79.277648578626597</v>
      </c>
      <c r="AK5002">
        <v>0.74197906147358705</v>
      </c>
    </row>
    <row r="5003" spans="1:37" x14ac:dyDescent="0.2">
      <c r="A5003" t="str">
        <f>"20200111153531628"</f>
        <v>20200111153531628</v>
      </c>
      <c r="B5003" t="str">
        <f>"1578728131620784"</f>
        <v>1578728131620784</v>
      </c>
      <c r="C5003" t="s">
        <v>37</v>
      </c>
      <c r="D5003">
        <v>4.8796839999999904</v>
      </c>
      <c r="E5003">
        <v>0.5483536</v>
      </c>
      <c r="F5003" t="s">
        <v>40</v>
      </c>
      <c r="G5003">
        <v>-333.76909999999998</v>
      </c>
      <c r="H5003">
        <v>1.040564</v>
      </c>
      <c r="I5003">
        <v>17.136479999999999</v>
      </c>
      <c r="J5003">
        <v>-334.36239999999998</v>
      </c>
      <c r="K5003">
        <v>1.10425</v>
      </c>
      <c r="L5003">
        <v>17.228819999999999</v>
      </c>
      <c r="M5003">
        <v>0.99910959999999904</v>
      </c>
      <c r="N5003">
        <v>0</v>
      </c>
      <c r="O5003">
        <v>3.9944029999999998E-2</v>
      </c>
      <c r="P5003">
        <v>0.99987599999999999</v>
      </c>
      <c r="Q5003">
        <v>1.3536579999999999E-2</v>
      </c>
      <c r="R5003">
        <v>8.0741349999999996E-3</v>
      </c>
      <c r="S5003">
        <v>3.007965</v>
      </c>
      <c r="T5003">
        <v>-0.25747049999999999</v>
      </c>
      <c r="U5003">
        <v>-0.34912109999999902</v>
      </c>
      <c r="V5003">
        <v>3.1909390000000003E-2</v>
      </c>
      <c r="W5003">
        <v>2.7069429999999998E-2</v>
      </c>
      <c r="X5003">
        <v>0.99912409999999996</v>
      </c>
      <c r="Y5003">
        <v>0.1541797</v>
      </c>
      <c r="Z5003">
        <v>-9.9677059999999998E-3</v>
      </c>
      <c r="AA5003">
        <v>0.98799249999999905</v>
      </c>
      <c r="AB5003">
        <v>30</v>
      </c>
      <c r="AC5003">
        <v>0.59329999999999905</v>
      </c>
      <c r="AD5003">
        <v>-6.3685999999999895E-2</v>
      </c>
      <c r="AE5003">
        <v>-9.23400000000036E-2</v>
      </c>
      <c r="AF5003">
        <v>0.114677176027272</v>
      </c>
      <c r="AG5003">
        <v>-6.3685999999999895E-2</v>
      </c>
      <c r="AH5003">
        <v>0.58258369126921306</v>
      </c>
      <c r="AI5003">
        <v>96.1220408898199</v>
      </c>
      <c r="AJ5003">
        <v>78.864131106915394</v>
      </c>
      <c r="AK5003">
        <v>0.59716875222206001</v>
      </c>
    </row>
    <row r="5004" spans="1:37" x14ac:dyDescent="0.2">
      <c r="A5004" t="str">
        <f>"20200111153531640"</f>
        <v>20200111153531640</v>
      </c>
      <c r="B5004" t="str">
        <f>"1578728131630543"</f>
        <v>1578728131630543</v>
      </c>
      <c r="C5004" t="s">
        <v>37</v>
      </c>
      <c r="D5004">
        <v>4.9224680000000003</v>
      </c>
      <c r="E5004">
        <v>0.54834740000000004</v>
      </c>
      <c r="F5004" t="s">
        <v>40</v>
      </c>
      <c r="G5004">
        <v>-333.50479999999999</v>
      </c>
      <c r="H5004">
        <v>1.03064</v>
      </c>
      <c r="I5004">
        <v>17.126329999999999</v>
      </c>
      <c r="J5004">
        <v>-334.20699999999999</v>
      </c>
      <c r="K5004">
        <v>1.1041939999999999</v>
      </c>
      <c r="L5004">
        <v>17.234679999999901</v>
      </c>
      <c r="M5004">
        <v>0.99912590000000001</v>
      </c>
      <c r="N5004">
        <v>0</v>
      </c>
      <c r="O5004">
        <v>3.9535830000000001E-2</v>
      </c>
      <c r="P5004">
        <v>0.99989989999999995</v>
      </c>
      <c r="Q5004">
        <v>1.338257E-2</v>
      </c>
      <c r="R5004">
        <v>4.6081940000000004E-3</v>
      </c>
      <c r="S5004">
        <v>3.0067750000000002</v>
      </c>
      <c r="T5004">
        <v>-0.2580153</v>
      </c>
      <c r="U5004">
        <v>-0.35870359999999901</v>
      </c>
      <c r="V5004">
        <v>3.4968859999999997E-2</v>
      </c>
      <c r="W5004">
        <v>2.6906409999999999E-2</v>
      </c>
      <c r="X5004">
        <v>0.99902610000000003</v>
      </c>
      <c r="Y5004">
        <v>0.15691429999999901</v>
      </c>
      <c r="Z5004">
        <v>-1.0072680000000001E-2</v>
      </c>
      <c r="AA5004">
        <v>0.98756089999999996</v>
      </c>
      <c r="AB5004">
        <v>30</v>
      </c>
      <c r="AC5004">
        <v>0.70220000000000404</v>
      </c>
      <c r="AD5004">
        <v>-7.3554000000000105E-2</v>
      </c>
      <c r="AE5004">
        <v>-0.108349999999997</v>
      </c>
      <c r="AF5004">
        <v>0.13458751976452701</v>
      </c>
      <c r="AG5004">
        <v>-7.3554000000000105E-2</v>
      </c>
      <c r="AH5004">
        <v>0.68997236911954096</v>
      </c>
      <c r="AI5004">
        <v>95.973252094589498</v>
      </c>
      <c r="AJ5004">
        <v>78.962358468232495</v>
      </c>
      <c r="AK5004">
        <v>0.70681388041039495</v>
      </c>
    </row>
    <row r="5005" spans="1:37" x14ac:dyDescent="0.2">
      <c r="A5005" t="str">
        <f>"20200111153531652"</f>
        <v>20200111153531652</v>
      </c>
      <c r="B5005" t="str">
        <f>"1578728131641281"</f>
        <v>1578728131641281</v>
      </c>
      <c r="C5005" t="s">
        <v>37</v>
      </c>
      <c r="D5005">
        <v>4.9221149999999998</v>
      </c>
      <c r="E5005">
        <v>0.54826049999999904</v>
      </c>
      <c r="F5005" t="s">
        <v>40</v>
      </c>
      <c r="G5005">
        <v>-333.2396</v>
      </c>
      <c r="H5005">
        <v>1.0213030000000001</v>
      </c>
      <c r="I5005">
        <v>17.11544</v>
      </c>
      <c r="J5005">
        <v>-334.05270000000002</v>
      </c>
      <c r="K5005">
        <v>1.104131</v>
      </c>
      <c r="L5005">
        <v>17.240300000000001</v>
      </c>
      <c r="M5005">
        <v>0.99914439999999904</v>
      </c>
      <c r="N5005">
        <v>0</v>
      </c>
      <c r="O5005">
        <v>3.906333E-2</v>
      </c>
      <c r="P5005">
        <v>0.99991559999999902</v>
      </c>
      <c r="Q5005">
        <v>1.2987169999999999E-2</v>
      </c>
      <c r="R5005">
        <v>4.0881269999999898E-4</v>
      </c>
      <c r="S5005">
        <v>3.005493</v>
      </c>
      <c r="T5005">
        <v>-0.25744610000000001</v>
      </c>
      <c r="U5005">
        <v>-0.36938480000000001</v>
      </c>
      <c r="V5005">
        <v>3.8696309999999998E-2</v>
      </c>
      <c r="W5005">
        <v>2.6499809999999999E-2</v>
      </c>
      <c r="X5005">
        <v>0.998899599999999</v>
      </c>
      <c r="Y5005">
        <v>0.1599486</v>
      </c>
      <c r="Z5005">
        <v>-1.014167E-2</v>
      </c>
      <c r="AA5005">
        <v>0.98707319999999998</v>
      </c>
      <c r="AB5005">
        <v>30</v>
      </c>
      <c r="AC5005">
        <v>0.81310000000001903</v>
      </c>
      <c r="AD5005">
        <v>-8.2827999999999902E-2</v>
      </c>
      <c r="AE5005">
        <v>-0.124860000000001</v>
      </c>
      <c r="AF5005">
        <v>0.15495905983168201</v>
      </c>
      <c r="AG5005">
        <v>-8.2827999999999902E-2</v>
      </c>
      <c r="AH5005">
        <v>0.79949623507135703</v>
      </c>
      <c r="AI5005">
        <v>95.807437858453</v>
      </c>
      <c r="AJ5005">
        <v>79.030889453572996</v>
      </c>
      <c r="AK5005">
        <v>0.81857621374016998</v>
      </c>
    </row>
    <row r="5006" spans="1:37" x14ac:dyDescent="0.2">
      <c r="A5006" t="str">
        <f>"20200111153531664"</f>
        <v>20200111153531664</v>
      </c>
      <c r="B5006" t="str">
        <f>"1578728131660801"</f>
        <v>1578728131660801</v>
      </c>
      <c r="C5006" t="s">
        <v>37</v>
      </c>
      <c r="D5006">
        <v>5.0275639999999999</v>
      </c>
      <c r="E5006">
        <v>0.54812260000000002</v>
      </c>
      <c r="F5006" t="s">
        <v>40</v>
      </c>
      <c r="G5006">
        <v>-333.23360000000002</v>
      </c>
      <c r="H5006">
        <v>1.033757</v>
      </c>
      <c r="I5006">
        <v>17.135860000000001</v>
      </c>
      <c r="J5006">
        <v>-333.88720000000001</v>
      </c>
      <c r="K5006">
        <v>1.10406</v>
      </c>
      <c r="L5006">
        <v>17.24625</v>
      </c>
      <c r="M5006">
        <v>0.99916539999999998</v>
      </c>
      <c r="N5006">
        <v>0</v>
      </c>
      <c r="O5006">
        <v>3.8521609999999998E-2</v>
      </c>
      <c r="P5006">
        <v>0.99991529999999995</v>
      </c>
      <c r="Q5006">
        <v>1.2220719999999999E-2</v>
      </c>
      <c r="R5006">
        <v>-4.4849599999999996E-3</v>
      </c>
      <c r="S5006">
        <v>3.0037539999999998</v>
      </c>
      <c r="T5006">
        <v>-0.25794429999999902</v>
      </c>
      <c r="U5006">
        <v>-0.38171389999999999</v>
      </c>
      <c r="V5006">
        <v>4.3047679999999998E-2</v>
      </c>
      <c r="W5006">
        <v>2.5718540000000002E-2</v>
      </c>
      <c r="X5006">
        <v>0.99874189999999996</v>
      </c>
      <c r="Y5006">
        <v>0.16345689999999999</v>
      </c>
      <c r="Z5006">
        <v>-1.0268029999999999E-2</v>
      </c>
      <c r="AA5006">
        <v>0.98649699999999996</v>
      </c>
      <c r="AB5006">
        <v>30</v>
      </c>
      <c r="AC5006">
        <v>0.65359999999998297</v>
      </c>
      <c r="AD5006">
        <v>-7.0302999999999893E-2</v>
      </c>
      <c r="AE5006">
        <v>-0.110389999999998</v>
      </c>
      <c r="AF5006">
        <v>0.133980965085225</v>
      </c>
      <c r="AG5006">
        <v>-7.0302999999999893E-2</v>
      </c>
      <c r="AH5006">
        <v>0.64164422806765997</v>
      </c>
      <c r="AI5006">
        <v>96.121782451852297</v>
      </c>
      <c r="AJ5006">
        <v>78.205604194535695</v>
      </c>
      <c r="AK5006">
        <v>0.65924253975810099</v>
      </c>
    </row>
    <row r="5007" spans="1:37" x14ac:dyDescent="0.2">
      <c r="A5007" t="str">
        <f>"20200111153531677"</f>
        <v>20200111153531677</v>
      </c>
      <c r="B5007" t="str">
        <f>"1578728131670559"</f>
        <v>1578728131670559</v>
      </c>
      <c r="C5007" t="s">
        <v>37</v>
      </c>
      <c r="D5007">
        <v>5.4509619999999996</v>
      </c>
      <c r="E5007">
        <v>0.54812260000000002</v>
      </c>
      <c r="F5007" t="s">
        <v>40</v>
      </c>
      <c r="G5007">
        <v>-332.96820000000002</v>
      </c>
      <c r="H5007">
        <v>1.0250699999999999</v>
      </c>
      <c r="I5007">
        <v>17.124890000000001</v>
      </c>
      <c r="J5007">
        <v>-333.70260000000002</v>
      </c>
      <c r="K5007">
        <v>1.103977</v>
      </c>
      <c r="L5007">
        <v>17.252749999999999</v>
      </c>
      <c r="M5007">
        <v>0.99919040000000003</v>
      </c>
      <c r="N5007">
        <v>0</v>
      </c>
      <c r="O5007">
        <v>3.7868119999999998E-2</v>
      </c>
      <c r="P5007">
        <v>0.99989430000000001</v>
      </c>
      <c r="Q5007">
        <v>1.1216439999999999E-2</v>
      </c>
      <c r="R5007">
        <v>-9.2717730000000005E-3</v>
      </c>
      <c r="S5007">
        <v>3.0016479999999999</v>
      </c>
      <c r="T5007">
        <v>-0.25793369999999999</v>
      </c>
      <c r="U5007">
        <v>-0.39575199999999999</v>
      </c>
      <c r="V5007">
        <v>4.717971E-2</v>
      </c>
      <c r="W5007">
        <v>2.4697480000000001E-2</v>
      </c>
      <c r="X5007">
        <v>0.9985811</v>
      </c>
      <c r="Y5007">
        <v>0.16742209999999999</v>
      </c>
      <c r="Z5007">
        <v>-1.0385210000000001E-2</v>
      </c>
      <c r="AA5007">
        <v>0.9858306</v>
      </c>
      <c r="AB5007">
        <v>30</v>
      </c>
      <c r="AC5007">
        <v>0.73439999999999295</v>
      </c>
      <c r="AD5007">
        <v>-7.8906999999999797E-2</v>
      </c>
      <c r="AE5007">
        <v>-0.127859999999998</v>
      </c>
      <c r="AF5007">
        <v>0.153857275896361</v>
      </c>
      <c r="AG5007">
        <v>-7.8906999999999797E-2</v>
      </c>
      <c r="AH5007">
        <v>0.72095288057579299</v>
      </c>
      <c r="AI5007">
        <v>96.109559636033595</v>
      </c>
      <c r="AJ5007">
        <v>77.953320627511303</v>
      </c>
      <c r="AK5007">
        <v>0.74139829511928501</v>
      </c>
    </row>
    <row r="5008" spans="1:37" x14ac:dyDescent="0.2">
      <c r="A5008" t="str">
        <f>"20200111153531692"</f>
        <v>20200111153531692</v>
      </c>
      <c r="B5008" t="str">
        <f>"1578728131680319"</f>
        <v>1578728131680319</v>
      </c>
      <c r="C5008" t="s">
        <v>37</v>
      </c>
      <c r="D5008">
        <v>5.192259</v>
      </c>
      <c r="E5008">
        <v>0.55098630000000004</v>
      </c>
      <c r="F5008" t="s">
        <v>40</v>
      </c>
      <c r="G5008">
        <v>-332.96129999999999</v>
      </c>
      <c r="H5008">
        <v>1.0396289999999999</v>
      </c>
      <c r="I5008">
        <v>17.151060000000001</v>
      </c>
      <c r="J5008">
        <v>-333.5197</v>
      </c>
      <c r="K5008">
        <v>1.1038809999999999</v>
      </c>
      <c r="L5008">
        <v>17.25891</v>
      </c>
      <c r="M5008">
        <v>0.99921789999999999</v>
      </c>
      <c r="N5008">
        <v>0</v>
      </c>
      <c r="O5008">
        <v>3.7132949999999998E-2</v>
      </c>
      <c r="P5008">
        <v>0.99977359999999904</v>
      </c>
      <c r="Q5008">
        <v>8.7196700000000005E-3</v>
      </c>
      <c r="R5008">
        <v>-1.941816E-2</v>
      </c>
      <c r="S5008">
        <v>2.9994200000000002</v>
      </c>
      <c r="T5008">
        <v>-0.2602527</v>
      </c>
      <c r="U5008">
        <v>-0.41061399999999998</v>
      </c>
      <c r="V5008">
        <v>5.6579240000000003E-2</v>
      </c>
      <c r="W5008">
        <v>2.2167599999999999E-2</v>
      </c>
      <c r="X5008">
        <v>0.99815200000000004</v>
      </c>
      <c r="Y5008">
        <v>0.17156170000000001</v>
      </c>
      <c r="Z5008">
        <v>-1.0597580000000001E-2</v>
      </c>
      <c r="AA5008">
        <v>0.9851164</v>
      </c>
      <c r="AB5008">
        <v>30</v>
      </c>
      <c r="AC5008">
        <v>0.558400000000006</v>
      </c>
      <c r="AD5008">
        <v>-6.4251999999999698E-2</v>
      </c>
      <c r="AE5008">
        <v>-0.107849999999999</v>
      </c>
      <c r="AF5008">
        <v>0.126892936973171</v>
      </c>
      <c r="AG5008">
        <v>-6.4251999999999698E-2</v>
      </c>
      <c r="AH5008">
        <v>0.54702756421802501</v>
      </c>
      <c r="AI5008">
        <v>96.527314571853793</v>
      </c>
      <c r="AJ5008">
        <v>76.940184082641295</v>
      </c>
      <c r="AK5008">
        <v>0.56521614712601997</v>
      </c>
    </row>
    <row r="5009" spans="1:37" x14ac:dyDescent="0.2">
      <c r="A5009" t="str">
        <f>"20200111153531702"</f>
        <v>20200111153531702</v>
      </c>
      <c r="B5009" t="str">
        <f>"1578728131691057"</f>
        <v>1578728131691057</v>
      </c>
      <c r="C5009" t="s">
        <v>37</v>
      </c>
      <c r="D5009">
        <v>5.2186589999999997</v>
      </c>
      <c r="E5009">
        <v>0.55098630000000004</v>
      </c>
      <c r="F5009" t="s">
        <v>39</v>
      </c>
      <c r="G5009">
        <v>-320.83229999999998</v>
      </c>
      <c r="H5009" s="1">
        <v>-5.0817019999999996E-6</v>
      </c>
      <c r="I5009">
        <v>15.28905</v>
      </c>
      <c r="J5009">
        <v>-333.36970000000002</v>
      </c>
      <c r="K5009">
        <v>1.1038049999999999</v>
      </c>
      <c r="L5009">
        <v>17.263850000000001</v>
      </c>
      <c r="M5009">
        <v>0.9992415</v>
      </c>
      <c r="N5009">
        <v>0</v>
      </c>
      <c r="O5009">
        <v>3.649558E-2</v>
      </c>
      <c r="P5009">
        <v>0.99966239999999995</v>
      </c>
      <c r="Q5009">
        <v>7.1326119999999896E-3</v>
      </c>
      <c r="R5009">
        <v>-2.4989569999999999E-2</v>
      </c>
      <c r="S5009">
        <v>2.9939580000000001</v>
      </c>
      <c r="T5009">
        <v>-0.26049290000000003</v>
      </c>
      <c r="U5009">
        <v>-0.46484379999999997</v>
      </c>
      <c r="V5009">
        <v>6.1505980000000002E-2</v>
      </c>
      <c r="W5009">
        <v>2.0557209999999999E-2</v>
      </c>
      <c r="X5009">
        <v>0.99789499999999998</v>
      </c>
      <c r="Y5009">
        <v>0.18855569999999999</v>
      </c>
      <c r="Z5009">
        <v>-1.129138E-2</v>
      </c>
      <c r="AA5009">
        <v>0.98199760000000003</v>
      </c>
      <c r="AB5009">
        <v>30</v>
      </c>
      <c r="AC5009">
        <v>12.5374</v>
      </c>
      <c r="AD5009">
        <v>-1.103810081702</v>
      </c>
      <c r="AE5009">
        <v>-1.9748000000000001</v>
      </c>
      <c r="AF5009">
        <v>2.4128362724638701</v>
      </c>
      <c r="AG5009">
        <v>-1.103810081702</v>
      </c>
      <c r="AH5009">
        <v>12.3634554974354</v>
      </c>
      <c r="AI5009">
        <v>95.007862140225896</v>
      </c>
      <c r="AJ5009">
        <v>78.957029855158495</v>
      </c>
      <c r="AK5009">
        <v>12.6449676714197</v>
      </c>
    </row>
    <row r="5010" spans="1:37" x14ac:dyDescent="0.2">
      <c r="A5010" t="str">
        <f>"20200111153531714"</f>
        <v>20200111153531714</v>
      </c>
      <c r="B5010" t="str">
        <f>"1578728131710576"</f>
        <v>1578728131710576</v>
      </c>
      <c r="C5010" t="s">
        <v>37</v>
      </c>
      <c r="D5010">
        <v>5.2946439999999999</v>
      </c>
      <c r="E5010">
        <v>0.60639460000000001</v>
      </c>
      <c r="F5010" t="s">
        <v>39</v>
      </c>
      <c r="G5010">
        <v>-320.88929999999999</v>
      </c>
      <c r="H5010" s="1">
        <v>-5.0612509999999901E-6</v>
      </c>
      <c r="I5010">
        <v>15.252420000000001</v>
      </c>
      <c r="J5010">
        <v>-333.21559999999999</v>
      </c>
      <c r="K5010">
        <v>1.103726</v>
      </c>
      <c r="L5010">
        <v>17.268799999999999</v>
      </c>
      <c r="M5010">
        <v>0.99926709999999996</v>
      </c>
      <c r="N5010">
        <v>0</v>
      </c>
      <c r="O5010">
        <v>3.5784509999999999E-2</v>
      </c>
      <c r="P5010">
        <v>0.99952280000000004</v>
      </c>
      <c r="Q5010">
        <v>5.6836019999999899E-3</v>
      </c>
      <c r="R5010">
        <v>-3.03644E-2</v>
      </c>
      <c r="S5010">
        <v>2.9908450000000002</v>
      </c>
      <c r="T5010">
        <v>-0.26452059999999999</v>
      </c>
      <c r="U5010">
        <v>-0.48202509999999998</v>
      </c>
      <c r="V5010">
        <v>6.6162429999999994E-2</v>
      </c>
      <c r="W5010">
        <v>1.9083599999999999E-2</v>
      </c>
      <c r="X5010">
        <v>0.99762640000000002</v>
      </c>
      <c r="Y5010">
        <v>0.19347010000000001</v>
      </c>
      <c r="Z5010">
        <v>-1.1625129999999999E-2</v>
      </c>
      <c r="AA5010">
        <v>0.9810373</v>
      </c>
      <c r="AB5010">
        <v>30</v>
      </c>
      <c r="AC5010">
        <v>12.3263</v>
      </c>
      <c r="AD5010">
        <v>-1.1037310612510001</v>
      </c>
      <c r="AE5010">
        <v>-2.0163799999999901</v>
      </c>
      <c r="AF5010">
        <v>2.4371878192393401</v>
      </c>
      <c r="AG5010">
        <v>-1.1037310612510001</v>
      </c>
      <c r="AH5010">
        <v>12.1513528395491</v>
      </c>
      <c r="AI5010">
        <v>95.089237660871106</v>
      </c>
      <c r="AJ5010">
        <v>78.658709361567603</v>
      </c>
      <c r="AK5010">
        <v>12.442406622235</v>
      </c>
    </row>
    <row r="5011" spans="1:37" x14ac:dyDescent="0.2">
      <c r="A5011" t="str">
        <f>"20200111153531725"</f>
        <v>20200111153531725</v>
      </c>
      <c r="B5011" t="str">
        <f>"1578728131720336"</f>
        <v>1578728131720336</v>
      </c>
      <c r="C5011" t="s">
        <v>37</v>
      </c>
      <c r="D5011">
        <v>5.2696160000000001</v>
      </c>
      <c r="E5011">
        <v>0.60524389999999995</v>
      </c>
      <c r="F5011" t="s">
        <v>39</v>
      </c>
      <c r="G5011">
        <v>-324.98419999999999</v>
      </c>
      <c r="H5011" s="1">
        <v>-3.22953199999999E-6</v>
      </c>
      <c r="I5011">
        <v>14.666309999999999</v>
      </c>
      <c r="J5011">
        <v>-333.0668</v>
      </c>
      <c r="K5011">
        <v>1.103648</v>
      </c>
      <c r="L5011">
        <v>17.273409999999998</v>
      </c>
      <c r="M5011">
        <v>0.99929310000000005</v>
      </c>
      <c r="N5011">
        <v>0</v>
      </c>
      <c r="O5011">
        <v>3.5051840000000001E-2</v>
      </c>
      <c r="P5011">
        <v>0.99935409999999902</v>
      </c>
      <c r="Q5011">
        <v>4.720274E-3</v>
      </c>
      <c r="R5011">
        <v>-3.563206E-2</v>
      </c>
      <c r="S5011">
        <v>2.9750669999999899</v>
      </c>
      <c r="T5011">
        <v>-0.39891949999999998</v>
      </c>
      <c r="U5011">
        <v>-0.94061280000000003</v>
      </c>
      <c r="V5011">
        <v>7.0689970000000005E-2</v>
      </c>
      <c r="W5011">
        <v>1.8094809999999999E-2</v>
      </c>
      <c r="X5011">
        <v>0.99733419999999895</v>
      </c>
      <c r="Y5011">
        <v>0.33170259999999901</v>
      </c>
      <c r="Z5011">
        <v>-2.6193859999999999E-2</v>
      </c>
      <c r="AA5011">
        <v>0.94302030000000003</v>
      </c>
      <c r="AB5011">
        <v>30</v>
      </c>
      <c r="AC5011">
        <v>8.08260000000001</v>
      </c>
      <c r="AD5011">
        <v>-1.103651229532</v>
      </c>
      <c r="AE5011">
        <v>-2.6071</v>
      </c>
      <c r="AF5011">
        <v>2.8408576888833501</v>
      </c>
      <c r="AG5011">
        <v>-1.103651229532</v>
      </c>
      <c r="AH5011">
        <v>7.85360927130791</v>
      </c>
      <c r="AI5011">
        <v>97.527908786104504</v>
      </c>
      <c r="AJ5011">
        <v>70.113605860056893</v>
      </c>
      <c r="AK5011">
        <v>8.4242327265638099</v>
      </c>
    </row>
    <row r="5012" spans="1:37" x14ac:dyDescent="0.2">
      <c r="A5012" t="str">
        <f>"20200111153531736"</f>
        <v>20200111153531736</v>
      </c>
      <c r="B5012" t="str">
        <f>"1578728131731071"</f>
        <v>1578728131731071</v>
      </c>
      <c r="C5012" t="s">
        <v>37</v>
      </c>
      <c r="D5012">
        <v>5.2662559999999896</v>
      </c>
      <c r="E5012">
        <v>0.60428389999999998</v>
      </c>
      <c r="F5012" t="s">
        <v>39</v>
      </c>
      <c r="G5012">
        <v>-324.62759999999997</v>
      </c>
      <c r="H5012" s="1">
        <v>-3.413125E-6</v>
      </c>
      <c r="I5012">
        <v>14.58164</v>
      </c>
      <c r="J5012">
        <v>-332.90989999999999</v>
      </c>
      <c r="K5012">
        <v>1.1035729999999999</v>
      </c>
      <c r="L5012">
        <v>17.27814</v>
      </c>
      <c r="M5012">
        <v>0.99932099999999902</v>
      </c>
      <c r="N5012">
        <v>0</v>
      </c>
      <c r="O5012">
        <v>3.4245299999999999E-2</v>
      </c>
      <c r="P5012">
        <v>0.99917109999999998</v>
      </c>
      <c r="Q5012">
        <v>3.7724830000000001E-3</v>
      </c>
      <c r="R5012">
        <v>-4.0534670000000002E-2</v>
      </c>
      <c r="S5012">
        <v>2.9699709999999899</v>
      </c>
      <c r="T5012">
        <v>-0.3884013</v>
      </c>
      <c r="U5012">
        <v>-0.94729609999999997</v>
      </c>
      <c r="V5012">
        <v>7.4778890000000001E-2</v>
      </c>
      <c r="W5012">
        <v>1.7120779999999999E-2</v>
      </c>
      <c r="X5012">
        <v>0.99705309999999903</v>
      </c>
      <c r="Y5012">
        <v>0.33347490000000002</v>
      </c>
      <c r="Z5012">
        <v>-2.5551649999999999E-2</v>
      </c>
      <c r="AA5012">
        <v>0.94241260000000004</v>
      </c>
      <c r="AB5012">
        <v>30</v>
      </c>
      <c r="AC5012">
        <v>8.28230000000001</v>
      </c>
      <c r="AD5012">
        <v>-1.1035764131250001</v>
      </c>
      <c r="AE5012">
        <v>-2.6964999999999999</v>
      </c>
      <c r="AF5012">
        <v>2.9315153801309402</v>
      </c>
      <c r="AG5012">
        <v>-1.1035764131250001</v>
      </c>
      <c r="AH5012">
        <v>8.0557731824365693</v>
      </c>
      <c r="AI5012">
        <v>97.3355228257671</v>
      </c>
      <c r="AJ5012">
        <v>70.003430881042206</v>
      </c>
      <c r="AK5012">
        <v>8.6433295025941401</v>
      </c>
    </row>
    <row r="5013" spans="1:37" x14ac:dyDescent="0.2">
      <c r="A5013" t="str">
        <f>"20200111153531748"</f>
        <v>20200111153531748</v>
      </c>
      <c r="B5013" t="str">
        <f>"1578728131740831"</f>
        <v>1578728131740831</v>
      </c>
      <c r="C5013" t="s">
        <v>37</v>
      </c>
      <c r="D5013">
        <v>5.2742279999999999</v>
      </c>
      <c r="E5013">
        <v>0.6025971</v>
      </c>
      <c r="F5013" t="s">
        <v>39</v>
      </c>
      <c r="G5013">
        <v>-324.24950000000001</v>
      </c>
      <c r="H5013" s="1">
        <v>-3.6078250000000001E-6</v>
      </c>
      <c r="I5013">
        <v>14.49147</v>
      </c>
      <c r="J5013">
        <v>-332.75740000000002</v>
      </c>
      <c r="K5013">
        <v>1.103504</v>
      </c>
      <c r="L5013">
        <v>17.282499999999999</v>
      </c>
      <c r="M5013">
        <v>0.99934979999999995</v>
      </c>
      <c r="N5013">
        <v>0</v>
      </c>
      <c r="O5013">
        <v>3.3397709999999997E-2</v>
      </c>
      <c r="P5013">
        <v>0.99897630000000004</v>
      </c>
      <c r="Q5013">
        <v>3.1002389999999999E-3</v>
      </c>
      <c r="R5013">
        <v>-4.5132039999999998E-2</v>
      </c>
      <c r="S5013">
        <v>2.9652400000000001</v>
      </c>
      <c r="T5013">
        <v>-0.37785599999999903</v>
      </c>
      <c r="U5013">
        <v>-0.95413210000000004</v>
      </c>
      <c r="V5013">
        <v>7.8522359999999999E-2</v>
      </c>
      <c r="W5013">
        <v>1.642279E-2</v>
      </c>
      <c r="X5013">
        <v>0.99677709999999997</v>
      </c>
      <c r="Y5013">
        <v>0.33522069999999998</v>
      </c>
      <c r="Z5013">
        <v>-2.4895130000000001E-2</v>
      </c>
      <c r="AA5013">
        <v>0.9418107</v>
      </c>
      <c r="AB5013">
        <v>30</v>
      </c>
      <c r="AC5013">
        <v>8.5078999999999994</v>
      </c>
      <c r="AD5013">
        <v>-1.1035076078249999</v>
      </c>
      <c r="AE5013">
        <v>-2.7910299999999899</v>
      </c>
      <c r="AF5013">
        <v>3.0276576212506701</v>
      </c>
      <c r="AG5013">
        <v>-1.1035076078249999</v>
      </c>
      <c r="AH5013">
        <v>8.2841068294227806</v>
      </c>
      <c r="AI5013">
        <v>97.131427682310402</v>
      </c>
      <c r="AJ5013">
        <v>69.923761094224204</v>
      </c>
      <c r="AK5013">
        <v>8.8888056381796297</v>
      </c>
    </row>
    <row r="5014" spans="1:37" x14ac:dyDescent="0.2">
      <c r="A5014" t="str">
        <f>"20200111153531761"</f>
        <v>20200111153531761</v>
      </c>
      <c r="B5014" t="str">
        <f>"1578728131750593"</f>
        <v>1578728131750593</v>
      </c>
      <c r="C5014" t="s">
        <v>37</v>
      </c>
      <c r="D5014">
        <v>5.2792269999999997</v>
      </c>
      <c r="E5014">
        <v>0.6014178</v>
      </c>
      <c r="F5014" t="s">
        <v>39</v>
      </c>
      <c r="G5014">
        <v>-324.15570000000002</v>
      </c>
      <c r="H5014" s="1">
        <v>-3.6488599999999899E-6</v>
      </c>
      <c r="I5014">
        <v>14.510179999999901</v>
      </c>
      <c r="J5014">
        <v>-332.59589999999997</v>
      </c>
      <c r="K5014">
        <v>1.1034349999999999</v>
      </c>
      <c r="L5014">
        <v>17.287050000000001</v>
      </c>
      <c r="M5014">
        <v>0.99937999999999905</v>
      </c>
      <c r="N5014">
        <v>0</v>
      </c>
      <c r="O5014">
        <v>3.2477760000000001E-2</v>
      </c>
      <c r="P5014">
        <v>0.99878630000000002</v>
      </c>
      <c r="Q5014">
        <v>2.74719E-3</v>
      </c>
      <c r="R5014">
        <v>-4.9177730000000003E-2</v>
      </c>
      <c r="S5014">
        <v>2.9611509999999899</v>
      </c>
      <c r="T5014">
        <v>-0.37988470000000002</v>
      </c>
      <c r="U5014">
        <v>-0.95437619999999901</v>
      </c>
      <c r="V5014">
        <v>8.1643709999999994E-2</v>
      </c>
      <c r="W5014">
        <v>1.604471E-2</v>
      </c>
      <c r="X5014">
        <v>0.99653239999999998</v>
      </c>
      <c r="Y5014">
        <v>0.33477809999999902</v>
      </c>
      <c r="Z5014">
        <v>-2.491763E-2</v>
      </c>
      <c r="AA5014">
        <v>0.94196749999999996</v>
      </c>
      <c r="AB5014">
        <v>30</v>
      </c>
      <c r="AC5014">
        <v>8.4401999999999404</v>
      </c>
      <c r="AD5014">
        <v>-1.1034386488600001</v>
      </c>
      <c r="AE5014">
        <v>-2.7768700000000002</v>
      </c>
      <c r="AF5014">
        <v>3.0032315395651299</v>
      </c>
      <c r="AG5014">
        <v>-1.1034386488600001</v>
      </c>
      <c r="AH5014">
        <v>8.2187972031715297</v>
      </c>
      <c r="AI5014">
        <v>97.187217205827906</v>
      </c>
      <c r="AJ5014">
        <v>69.927185770137498</v>
      </c>
      <c r="AK5014">
        <v>8.8196147307519599</v>
      </c>
    </row>
    <row r="5015" spans="1:37" x14ac:dyDescent="0.2">
      <c r="A5015" t="str">
        <f>"20200111153531773"</f>
        <v>20200111153531773</v>
      </c>
      <c r="B5015" t="str">
        <f>"1578728131760352"</f>
        <v>1578728131760352</v>
      </c>
      <c r="C5015" t="s">
        <v>37</v>
      </c>
      <c r="D5015">
        <v>5.2396989999999999</v>
      </c>
      <c r="E5015">
        <v>0.60102239999999996</v>
      </c>
      <c r="F5015" t="s">
        <v>39</v>
      </c>
      <c r="G5015">
        <v>-323.99360000000001</v>
      </c>
      <c r="H5015" s="1">
        <v>-3.7265010000000001E-6</v>
      </c>
      <c r="I5015">
        <v>14.50436</v>
      </c>
      <c r="J5015">
        <v>-332.43029999999999</v>
      </c>
      <c r="K5015">
        <v>1.1033679999999999</v>
      </c>
      <c r="L5015">
        <v>17.29138</v>
      </c>
      <c r="M5015">
        <v>0.99941239999999998</v>
      </c>
      <c r="N5015">
        <v>0</v>
      </c>
      <c r="O5015">
        <v>3.1469770000000001E-2</v>
      </c>
      <c r="P5015">
        <v>0.99857999999999902</v>
      </c>
      <c r="Q5015">
        <v>2.2625259999999999E-3</v>
      </c>
      <c r="R5015">
        <v>-5.3226299999999997E-2</v>
      </c>
      <c r="S5015">
        <v>2.9575809999999998</v>
      </c>
      <c r="T5015">
        <v>-0.37937769999999998</v>
      </c>
      <c r="U5015">
        <v>-0.95672610000000002</v>
      </c>
      <c r="V5015">
        <v>8.4679420000000005E-2</v>
      </c>
      <c r="W5015">
        <v>1.553503E-2</v>
      </c>
      <c r="X5015">
        <v>0.99628709999999898</v>
      </c>
      <c r="Y5015">
        <v>0.33484740000000002</v>
      </c>
      <c r="Z5015">
        <v>-2.478853E-2</v>
      </c>
      <c r="AA5015">
        <v>0.94194630000000001</v>
      </c>
      <c r="AB5015">
        <v>30</v>
      </c>
      <c r="AC5015">
        <v>8.4366999999999699</v>
      </c>
      <c r="AD5015">
        <v>-1.1033717265009999</v>
      </c>
      <c r="AE5015">
        <v>-2.7870200000000001</v>
      </c>
      <c r="AF5015">
        <v>3.0048269448998699</v>
      </c>
      <c r="AG5015">
        <v>-1.1033717265009999</v>
      </c>
      <c r="AH5015">
        <v>8.21807339984076</v>
      </c>
      <c r="AI5015">
        <v>97.186893227954897</v>
      </c>
      <c r="AJ5015">
        <v>69.915747052276501</v>
      </c>
      <c r="AK5015">
        <v>8.8194752984975509</v>
      </c>
    </row>
    <row r="5016" spans="1:37" x14ac:dyDescent="0.2">
      <c r="A5016" t="str">
        <f>"20200111153531783"</f>
        <v>20200111153531783</v>
      </c>
      <c r="B5016" t="str">
        <f>"1578728131771088"</f>
        <v>1578728131771088</v>
      </c>
      <c r="C5016" t="s">
        <v>37</v>
      </c>
      <c r="D5016">
        <v>5.3494269999999897</v>
      </c>
      <c r="E5016">
        <v>0.60061560000000003</v>
      </c>
      <c r="F5016" t="s">
        <v>39</v>
      </c>
      <c r="G5016">
        <v>-323.66910000000001</v>
      </c>
      <c r="H5016" s="1">
        <v>-3.8935479999999997E-6</v>
      </c>
      <c r="I5016">
        <v>14.427379999999999</v>
      </c>
      <c r="J5016">
        <v>-332.28280000000001</v>
      </c>
      <c r="K5016">
        <v>1.1033139999999999</v>
      </c>
      <c r="L5016">
        <v>17.29514</v>
      </c>
      <c r="M5016">
        <v>0.99944089999999997</v>
      </c>
      <c r="N5016">
        <v>0</v>
      </c>
      <c r="O5016">
        <v>3.0546980000000001E-2</v>
      </c>
      <c r="P5016">
        <v>0.99838890000000002</v>
      </c>
      <c r="Q5016">
        <v>1.93059999999999E-3</v>
      </c>
      <c r="R5016">
        <v>-5.6711669999999999E-2</v>
      </c>
      <c r="S5016">
        <v>2.9536739999999999</v>
      </c>
      <c r="T5016">
        <v>-0.37198229999999999</v>
      </c>
      <c r="U5016">
        <v>-0.96554569999999995</v>
      </c>
      <c r="V5016">
        <v>8.7238129999999997E-2</v>
      </c>
      <c r="W5016">
        <v>1.518126E-2</v>
      </c>
      <c r="X5016">
        <v>0.99607179999999995</v>
      </c>
      <c r="Y5016">
        <v>0.33697820000000001</v>
      </c>
      <c r="Z5016">
        <v>-2.434563E-2</v>
      </c>
      <c r="AA5016">
        <v>0.94119759999999997</v>
      </c>
      <c r="AB5016">
        <v>30</v>
      </c>
      <c r="AC5016">
        <v>8.6136999999999908</v>
      </c>
      <c r="AD5016">
        <v>-1.1033178935479999</v>
      </c>
      <c r="AE5016">
        <v>-2.8677600000000001</v>
      </c>
      <c r="AF5016">
        <v>3.0840185080096498</v>
      </c>
      <c r="AG5016">
        <v>-1.1033178935479999</v>
      </c>
      <c r="AH5016">
        <v>8.39803422987573</v>
      </c>
      <c r="AI5016">
        <v>97.030519319394799</v>
      </c>
      <c r="AJ5016">
        <v>69.835199788743196</v>
      </c>
      <c r="AK5016">
        <v>9.0141810198228107</v>
      </c>
    </row>
    <row r="5017" spans="1:37" x14ac:dyDescent="0.2">
      <c r="A5017" t="str">
        <f>"20200111153531795"</f>
        <v>20200111153531795</v>
      </c>
      <c r="B5017" t="str">
        <f>"1578728131790607"</f>
        <v>1578728131790607</v>
      </c>
      <c r="C5017" t="s">
        <v>37</v>
      </c>
      <c r="D5017">
        <v>5.3303129999999896</v>
      </c>
      <c r="E5017">
        <v>0.59994569999999903</v>
      </c>
      <c r="F5017" t="s">
        <v>39</v>
      </c>
      <c r="G5017">
        <v>-323.17320000000001</v>
      </c>
      <c r="H5017" s="1">
        <v>-4.1517450000000002E-6</v>
      </c>
      <c r="I5017">
        <v>14.293339999999899</v>
      </c>
      <c r="J5017">
        <v>-332.12650000000002</v>
      </c>
      <c r="K5017">
        <v>1.1032549999999901</v>
      </c>
      <c r="L5017">
        <v>17.298950000000001</v>
      </c>
      <c r="M5017">
        <v>0.9994712</v>
      </c>
      <c r="N5017">
        <v>0</v>
      </c>
      <c r="O5017">
        <v>2.9537609999999999E-2</v>
      </c>
      <c r="P5017">
        <v>0.99816680000000002</v>
      </c>
      <c r="Q5017">
        <v>1.577485E-3</v>
      </c>
      <c r="R5017">
        <v>-6.0505049999999998E-2</v>
      </c>
      <c r="S5017">
        <v>2.950348</v>
      </c>
      <c r="T5017">
        <v>-0.3573345</v>
      </c>
      <c r="U5017">
        <v>-0.97219849999999997</v>
      </c>
      <c r="V5017">
        <v>9.0017940000000005E-2</v>
      </c>
      <c r="W5017">
        <v>1.4804599999999999E-2</v>
      </c>
      <c r="X5017">
        <v>0.99583009999999905</v>
      </c>
      <c r="Y5017">
        <v>0.33845349999999902</v>
      </c>
      <c r="Z5017">
        <v>-2.3378299999999901E-2</v>
      </c>
      <c r="AA5017">
        <v>0.94069269999999905</v>
      </c>
      <c r="AB5017">
        <v>30</v>
      </c>
      <c r="AC5017">
        <v>8.9533000000000094</v>
      </c>
      <c r="AD5017">
        <v>-1.1032591517450001</v>
      </c>
      <c r="AE5017">
        <v>-3.0056099999999999</v>
      </c>
      <c r="AF5017">
        <v>3.2247757601967302</v>
      </c>
      <c r="AG5017">
        <v>-1.1032591517450001</v>
      </c>
      <c r="AH5017">
        <v>8.7413197263519802</v>
      </c>
      <c r="AI5017">
        <v>96.753021260526097</v>
      </c>
      <c r="AJ5017">
        <v>69.750388524827997</v>
      </c>
      <c r="AK5017">
        <v>9.3822721138203899</v>
      </c>
    </row>
    <row r="5018" spans="1:37" x14ac:dyDescent="0.2">
      <c r="A5018" t="str">
        <f>"20200111153531807"</f>
        <v>20200111153531807</v>
      </c>
      <c r="B5018" t="str">
        <f>"1578728131801344"</f>
        <v>1578728131801344</v>
      </c>
      <c r="C5018" t="s">
        <v>37</v>
      </c>
      <c r="D5018">
        <v>5.2986219999999999</v>
      </c>
      <c r="E5018">
        <v>0.59946529999999998</v>
      </c>
      <c r="F5018" t="s">
        <v>39</v>
      </c>
      <c r="G5018">
        <v>-322.45069999999998</v>
      </c>
      <c r="H5018" s="1">
        <v>-4.5296060000000004E-6</v>
      </c>
      <c r="I5018">
        <v>14.08841</v>
      </c>
      <c r="J5018">
        <v>-331.9778</v>
      </c>
      <c r="K5018">
        <v>1.103213</v>
      </c>
      <c r="L5018">
        <v>17.302309999999999</v>
      </c>
      <c r="M5018">
        <v>0.99950000000000006</v>
      </c>
      <c r="N5018">
        <v>0</v>
      </c>
      <c r="O5018">
        <v>2.8545270000000001E-2</v>
      </c>
      <c r="P5018">
        <v>0.9979538</v>
      </c>
      <c r="Q5018">
        <v>1.731404E-3</v>
      </c>
      <c r="R5018">
        <v>-6.3915529999999998E-2</v>
      </c>
      <c r="S5018">
        <v>2.946777</v>
      </c>
      <c r="T5018">
        <v>-0.33600219999999997</v>
      </c>
      <c r="U5018">
        <v>-0.97778319999999996</v>
      </c>
      <c r="V5018">
        <v>9.2434349999999998E-2</v>
      </c>
      <c r="W5018">
        <v>1.493715E-2</v>
      </c>
      <c r="X5018">
        <v>0.99560669999999996</v>
      </c>
      <c r="Y5018">
        <v>0.33974140000000003</v>
      </c>
      <c r="Z5018">
        <v>-2.1971270000000001E-2</v>
      </c>
      <c r="AA5018">
        <v>0.94026219999999905</v>
      </c>
      <c r="AB5018">
        <v>30</v>
      </c>
      <c r="AC5018">
        <v>9.5271000000000097</v>
      </c>
      <c r="AD5018">
        <v>-1.1032175296060001</v>
      </c>
      <c r="AE5018">
        <v>-3.2139000000000002</v>
      </c>
      <c r="AF5018">
        <v>3.44311690263739</v>
      </c>
      <c r="AG5018">
        <v>-1.1032175296060001</v>
      </c>
      <c r="AH5018">
        <v>9.3192713527703592</v>
      </c>
      <c r="AI5018">
        <v>96.336378383228606</v>
      </c>
      <c r="AJ5018">
        <v>69.722642891336704</v>
      </c>
      <c r="AK5018">
        <v>9.9960472922762609</v>
      </c>
    </row>
    <row r="5019" spans="1:37" x14ac:dyDescent="0.2">
      <c r="A5019" t="str">
        <f>"20200111153531818"</f>
        <v>20200111153531818</v>
      </c>
      <c r="B5019" t="str">
        <f>"1578728131811104"</f>
        <v>1578728131811104</v>
      </c>
      <c r="C5019" t="s">
        <v>37</v>
      </c>
      <c r="D5019">
        <v>5.2495370000000001</v>
      </c>
      <c r="E5019">
        <v>0.59915359999999995</v>
      </c>
      <c r="F5019" t="s">
        <v>39</v>
      </c>
      <c r="G5019">
        <v>-322.06610000000001</v>
      </c>
      <c r="H5019" s="1">
        <v>-4.7287570000000002E-6</v>
      </c>
      <c r="I5019">
        <v>13.9906399999999</v>
      </c>
      <c r="J5019">
        <v>-331.81310000000002</v>
      </c>
      <c r="K5019">
        <v>1.1031690000000001</v>
      </c>
      <c r="L5019">
        <v>17.305999999999901</v>
      </c>
      <c r="M5019">
        <v>0.99953130000000001</v>
      </c>
      <c r="N5019">
        <v>0</v>
      </c>
      <c r="O5019">
        <v>2.7429729999999999E-2</v>
      </c>
      <c r="P5019">
        <v>0.99772450000000001</v>
      </c>
      <c r="Q5019">
        <v>2.1290359999999999E-3</v>
      </c>
      <c r="R5019">
        <v>-6.7392419999999995E-2</v>
      </c>
      <c r="S5019">
        <v>2.9437259999999998</v>
      </c>
      <c r="T5019">
        <v>-0.32765109999999997</v>
      </c>
      <c r="U5019">
        <v>-0.98355099999999995</v>
      </c>
      <c r="V5019">
        <v>9.4795500000000005E-2</v>
      </c>
      <c r="W5019">
        <v>1.5312849999999999E-2</v>
      </c>
      <c r="X5019">
        <v>0.99537900000000001</v>
      </c>
      <c r="Y5019">
        <v>0.34074579999999999</v>
      </c>
      <c r="Z5019">
        <v>-2.137638E-2</v>
      </c>
      <c r="AA5019">
        <v>0.93991239999999998</v>
      </c>
      <c r="AB5019">
        <v>30</v>
      </c>
      <c r="AC5019">
        <v>9.7470000000000105</v>
      </c>
      <c r="AD5019">
        <v>-1.103173728757</v>
      </c>
      <c r="AE5019">
        <v>-3.3153599999999899</v>
      </c>
      <c r="AF5019">
        <v>3.5408403201137402</v>
      </c>
      <c r="AG5019">
        <v>-1.103173728757</v>
      </c>
      <c r="AH5019">
        <v>9.5428178427555999</v>
      </c>
      <c r="AI5019">
        <v>96.185696753312499</v>
      </c>
      <c r="AJ5019">
        <v>69.642745431196204</v>
      </c>
      <c r="AK5019">
        <v>10.2381597383698</v>
      </c>
    </row>
    <row r="5020" spans="1:37" x14ac:dyDescent="0.2">
      <c r="A5020" t="str">
        <f>"20200111153531830"</f>
        <v>20200111153531830</v>
      </c>
      <c r="B5020" t="str">
        <f>"1578728131820864"</f>
        <v>1578728131820864</v>
      </c>
      <c r="C5020" t="s">
        <v>37</v>
      </c>
      <c r="D5020">
        <v>5.2423989999999998</v>
      </c>
      <c r="E5020">
        <v>0.59857369999999899</v>
      </c>
      <c r="F5020" t="s">
        <v>39</v>
      </c>
      <c r="G5020">
        <v>-321.68169999999998</v>
      </c>
      <c r="H5020" s="1">
        <v>-4.9280390000000001E-6</v>
      </c>
      <c r="I5020">
        <v>13.891739999999899</v>
      </c>
      <c r="J5020">
        <v>-331.65190000000001</v>
      </c>
      <c r="K5020">
        <v>1.1031340000000001</v>
      </c>
      <c r="L5020">
        <v>17.309229999999999</v>
      </c>
      <c r="M5020">
        <v>0.99956160000000005</v>
      </c>
      <c r="N5020">
        <v>0</v>
      </c>
      <c r="O5020">
        <v>2.6295579999999999E-2</v>
      </c>
      <c r="P5020">
        <v>0.99747129999999995</v>
      </c>
      <c r="Q5020">
        <v>2.749114E-3</v>
      </c>
      <c r="R5020">
        <v>-7.1016839999999998E-2</v>
      </c>
      <c r="S5020">
        <v>2.940582</v>
      </c>
      <c r="T5020">
        <v>-0.32018909999999901</v>
      </c>
      <c r="U5020">
        <v>-0.99096679999999904</v>
      </c>
      <c r="V5020">
        <v>9.7286289999999997E-2</v>
      </c>
      <c r="W5020">
        <v>1.5911209999999999E-2</v>
      </c>
      <c r="X5020">
        <v>0.99512919999999905</v>
      </c>
      <c r="Y5020">
        <v>0.34220020000000001</v>
      </c>
      <c r="Z5020">
        <v>-2.0861959999999999E-2</v>
      </c>
      <c r="AA5020">
        <v>0.93939549999999905</v>
      </c>
      <c r="AB5020">
        <v>30</v>
      </c>
      <c r="AC5020">
        <v>9.9702000000000304</v>
      </c>
      <c r="AD5020">
        <v>-1.103138928039</v>
      </c>
      <c r="AE5020">
        <v>-3.4174899999999999</v>
      </c>
      <c r="AF5020">
        <v>3.6386435416882801</v>
      </c>
      <c r="AG5020">
        <v>-1.103138928039</v>
      </c>
      <c r="AH5020">
        <v>9.7698508391126602</v>
      </c>
      <c r="AI5020">
        <v>96.040120635830903</v>
      </c>
      <c r="AJ5020">
        <v>69.572861077530902</v>
      </c>
      <c r="AK5020">
        <v>10.483636188676799</v>
      </c>
    </row>
    <row r="5021" spans="1:37" x14ac:dyDescent="0.2">
      <c r="A5021" t="str">
        <f>"20200111153531843"</f>
        <v>20200111153531843</v>
      </c>
      <c r="B5021" t="str">
        <f>"1578728131830623"</f>
        <v>1578728131830623</v>
      </c>
      <c r="C5021" t="s">
        <v>37</v>
      </c>
      <c r="D5021">
        <v>5.2489549999999996</v>
      </c>
      <c r="E5021">
        <v>0.59831210000000001</v>
      </c>
      <c r="F5021" t="s">
        <v>39</v>
      </c>
      <c r="G5021">
        <v>-321.45819999999998</v>
      </c>
      <c r="H5021" s="1">
        <v>-5.0409390000000003E-6</v>
      </c>
      <c r="I5021">
        <v>13.850779999999901</v>
      </c>
      <c r="J5021">
        <v>-331.49849999999998</v>
      </c>
      <c r="K5021">
        <v>1.1031010000000001</v>
      </c>
      <c r="L5021">
        <v>17.312190000000001</v>
      </c>
      <c r="M5021">
        <v>0.99958989999999903</v>
      </c>
      <c r="N5021">
        <v>0</v>
      </c>
      <c r="O5021">
        <v>2.5204890000000001E-2</v>
      </c>
      <c r="P5021">
        <v>0.99724919999999995</v>
      </c>
      <c r="Q5021">
        <v>3.1218940000000001E-3</v>
      </c>
      <c r="R5021">
        <v>-7.4057860000000003E-2</v>
      </c>
      <c r="S5021">
        <v>2.9375</v>
      </c>
      <c r="T5021">
        <v>-0.31788860000000002</v>
      </c>
      <c r="U5021">
        <v>-0.99661250000000001</v>
      </c>
      <c r="V5021">
        <v>9.9237590000000001E-2</v>
      </c>
      <c r="W5021">
        <v>1.6265459999999999E-2</v>
      </c>
      <c r="X5021">
        <v>0.9949308</v>
      </c>
      <c r="Y5021">
        <v>0.34312049999999999</v>
      </c>
      <c r="Z5021">
        <v>-2.06608E-2</v>
      </c>
      <c r="AA5021">
        <v>0.93906409999999996</v>
      </c>
      <c r="AB5021">
        <v>30</v>
      </c>
      <c r="AC5021">
        <v>10.0403</v>
      </c>
      <c r="AD5021">
        <v>-1.1031060409390001</v>
      </c>
      <c r="AE5021">
        <v>-3.4614099999999999</v>
      </c>
      <c r="AF5021">
        <v>3.6737631528059</v>
      </c>
      <c r="AG5021">
        <v>-1.1031060409390001</v>
      </c>
      <c r="AH5021">
        <v>9.8436571988213597</v>
      </c>
      <c r="AI5021">
        <v>95.993476245038295</v>
      </c>
      <c r="AJ5021">
        <v>69.533862242799898</v>
      </c>
      <c r="AK5021">
        <v>10.5646091119538</v>
      </c>
    </row>
    <row r="5022" spans="1:37" x14ac:dyDescent="0.2">
      <c r="A5022" t="str">
        <f>"20200111153531855"</f>
        <v>20200111153531855</v>
      </c>
      <c r="B5022" t="str">
        <f>"1578728131851119"</f>
        <v>1578728131851119</v>
      </c>
      <c r="C5022" t="s">
        <v>37</v>
      </c>
      <c r="D5022">
        <v>5.0394379999999996</v>
      </c>
      <c r="E5022">
        <v>0.59822799999999998</v>
      </c>
      <c r="F5022" t="s">
        <v>39</v>
      </c>
      <c r="G5022">
        <v>-321.0994</v>
      </c>
      <c r="H5022" s="1">
        <v>-5.2270689999999997E-6</v>
      </c>
      <c r="I5022">
        <v>13.757629999999899</v>
      </c>
      <c r="J5022">
        <v>-331.33300000000003</v>
      </c>
      <c r="K5022">
        <v>1.1030709999999999</v>
      </c>
      <c r="L5022">
        <v>17.315190000000001</v>
      </c>
      <c r="M5022">
        <v>0.99961939999999905</v>
      </c>
      <c r="N5022">
        <v>0</v>
      </c>
      <c r="O5022">
        <v>2.400528E-2</v>
      </c>
      <c r="P5022">
        <v>0.99700979999999995</v>
      </c>
      <c r="Q5022">
        <v>3.2758209999999999E-3</v>
      </c>
      <c r="R5022">
        <v>-7.7208440000000003E-2</v>
      </c>
      <c r="S5022">
        <v>2.93475299999999</v>
      </c>
      <c r="T5022">
        <v>-0.31131059999999999</v>
      </c>
      <c r="U5022">
        <v>-1.0031429999999999</v>
      </c>
      <c r="V5022">
        <v>0.1011893</v>
      </c>
      <c r="W5022">
        <v>1.640086E-2</v>
      </c>
      <c r="X5022">
        <v>0.99473199999999995</v>
      </c>
      <c r="Y5022">
        <v>0.34421170000000001</v>
      </c>
      <c r="Z5022">
        <v>-2.017882E-2</v>
      </c>
      <c r="AA5022">
        <v>0.93867520000000004</v>
      </c>
      <c r="AB5022">
        <v>30</v>
      </c>
      <c r="AC5022">
        <v>10.233599999999999</v>
      </c>
      <c r="AD5022">
        <v>-1.103076227069</v>
      </c>
      <c r="AE5022">
        <v>-3.5575600000000001</v>
      </c>
      <c r="AF5022">
        <v>3.7632087639814502</v>
      </c>
      <c r="AG5022">
        <v>-1.103076227069</v>
      </c>
      <c r="AH5022">
        <v>10.0411568175239</v>
      </c>
      <c r="AI5022">
        <v>95.873266240449894</v>
      </c>
      <c r="AJ5022">
        <v>69.455086594896997</v>
      </c>
      <c r="AK5022">
        <v>10.7797656559936</v>
      </c>
    </row>
    <row r="5023" spans="1:37" x14ac:dyDescent="0.2">
      <c r="A5023" t="str">
        <f>"20200111153531870"</f>
        <v>20200111153531870</v>
      </c>
      <c r="B5023" t="str">
        <f>"1578728131860879"</f>
        <v>1578728131860879</v>
      </c>
      <c r="C5023" t="s">
        <v>37</v>
      </c>
      <c r="D5023">
        <v>5.0223500000000003</v>
      </c>
      <c r="E5023">
        <v>0.59858789999999995</v>
      </c>
      <c r="F5023" t="s">
        <v>39</v>
      </c>
      <c r="G5023">
        <v>-320.41289999999998</v>
      </c>
      <c r="H5023" s="1">
        <v>-5.5887709999999996E-6</v>
      </c>
      <c r="I5023">
        <v>13.54791</v>
      </c>
      <c r="J5023">
        <v>-331.1241</v>
      </c>
      <c r="K5023">
        <v>1.103029</v>
      </c>
      <c r="L5023">
        <v>17.318570000000001</v>
      </c>
      <c r="M5023">
        <v>0.99965519999999997</v>
      </c>
      <c r="N5023">
        <v>0</v>
      </c>
      <c r="O5023">
        <v>2.2460609999999999E-2</v>
      </c>
      <c r="P5023">
        <v>0.99659259999999905</v>
      </c>
      <c r="Q5023">
        <v>3.9502599999999997E-3</v>
      </c>
      <c r="R5023">
        <v>-8.2389539999999997E-2</v>
      </c>
      <c r="S5023">
        <v>2.9316709999999899</v>
      </c>
      <c r="T5023">
        <v>-0.29613829999999902</v>
      </c>
      <c r="U5023">
        <v>-1.0113829999999999</v>
      </c>
      <c r="V5023">
        <v>0.10482660000000001</v>
      </c>
      <c r="W5023">
        <v>1.704545E-2</v>
      </c>
      <c r="X5023">
        <v>0.99434439999999902</v>
      </c>
      <c r="Y5023">
        <v>0.34559859999999998</v>
      </c>
      <c r="Z5023">
        <v>-1.9126959999999998E-2</v>
      </c>
      <c r="AA5023">
        <v>0.93818749999999995</v>
      </c>
      <c r="AB5023">
        <v>30</v>
      </c>
      <c r="AC5023">
        <v>10.7112</v>
      </c>
      <c r="AD5023">
        <v>-1.103034588771</v>
      </c>
      <c r="AE5023">
        <v>-3.7706599999999999</v>
      </c>
      <c r="AF5023">
        <v>3.9728253607362798</v>
      </c>
      <c r="AG5023">
        <v>-1.103034588771</v>
      </c>
      <c r="AH5023">
        <v>10.5244943907788</v>
      </c>
      <c r="AI5023">
        <v>95.600122206497403</v>
      </c>
      <c r="AJ5023">
        <v>69.319294436047798</v>
      </c>
      <c r="AK5023">
        <v>11.303318487615501</v>
      </c>
    </row>
    <row r="5024" spans="1:37" x14ac:dyDescent="0.2">
      <c r="A5024" t="str">
        <f>"20200111153531882"</f>
        <v>20200111153531882</v>
      </c>
      <c r="B5024" t="str">
        <f>"1578728131870640"</f>
        <v>1578728131870640</v>
      </c>
      <c r="C5024" t="s">
        <v>37</v>
      </c>
      <c r="D5024">
        <v>5.0363009999999999</v>
      </c>
      <c r="E5024">
        <v>0.5988909</v>
      </c>
      <c r="F5024" t="s">
        <v>38</v>
      </c>
      <c r="G5024">
        <v>-319.24509999999998</v>
      </c>
      <c r="H5024">
        <v>-0.05</v>
      </c>
      <c r="I5024">
        <v>13.140610000000001</v>
      </c>
      <c r="J5024">
        <v>-330.97300000000001</v>
      </c>
      <c r="K5024">
        <v>1.1029979999999999</v>
      </c>
      <c r="L5024">
        <v>17.320889999999999</v>
      </c>
      <c r="M5024">
        <v>0.99967999999999901</v>
      </c>
      <c r="N5024">
        <v>0</v>
      </c>
      <c r="O5024">
        <v>2.1325599999999899E-2</v>
      </c>
      <c r="P5024">
        <v>0.99637439999999999</v>
      </c>
      <c r="Q5024">
        <v>3.9718619999999996E-3</v>
      </c>
      <c r="R5024">
        <v>-8.4986930000000002E-2</v>
      </c>
      <c r="S5024">
        <v>2.9262999999999999</v>
      </c>
      <c r="T5024">
        <v>-0.28403809999999902</v>
      </c>
      <c r="U5024">
        <v>-1.0292049999999999</v>
      </c>
      <c r="V5024">
        <v>0.10629089999999999</v>
      </c>
      <c r="W5024">
        <v>1.7051650000000002E-2</v>
      </c>
      <c r="X5024">
        <v>0.99418879999999998</v>
      </c>
      <c r="Y5024">
        <v>0.35027259999999999</v>
      </c>
      <c r="Z5024">
        <v>-1.8475640000000002E-2</v>
      </c>
      <c r="AA5024">
        <v>0.93646559999999901</v>
      </c>
      <c r="AB5024">
        <v>30</v>
      </c>
      <c r="AC5024">
        <v>11.7279</v>
      </c>
      <c r="AD5024">
        <v>-1.152998</v>
      </c>
      <c r="AE5024">
        <v>-4.18027999999999</v>
      </c>
      <c r="AF5024">
        <v>4.3917937345743701</v>
      </c>
      <c r="AG5024">
        <v>-1.152998</v>
      </c>
      <c r="AH5024">
        <v>11.537137142142701</v>
      </c>
      <c r="AI5024">
        <v>95.335928719504295</v>
      </c>
      <c r="AJ5024">
        <v>69.159881426860807</v>
      </c>
      <c r="AK5024">
        <v>12.398499507265299</v>
      </c>
    </row>
    <row r="5025" spans="1:37" x14ac:dyDescent="0.2">
      <c r="A5025" t="str">
        <f>"20200111153531893"</f>
        <v>20200111153531893</v>
      </c>
      <c r="B5025" t="str">
        <f>"1578728131881376"</f>
        <v>1578728131881376</v>
      </c>
      <c r="C5025" t="s">
        <v>37</v>
      </c>
      <c r="D5025">
        <v>5.006068</v>
      </c>
      <c r="E5025">
        <v>0.59918519999999997</v>
      </c>
      <c r="F5025" t="s">
        <v>38</v>
      </c>
      <c r="G5025">
        <v>-318.71530000000001</v>
      </c>
      <c r="H5025">
        <v>-0.05</v>
      </c>
      <c r="I5025">
        <v>12.964309999999999</v>
      </c>
      <c r="J5025">
        <v>-330.82510000000002</v>
      </c>
      <c r="K5025">
        <v>1.1029629999999999</v>
      </c>
      <c r="L5025">
        <v>17.32291</v>
      </c>
      <c r="M5025">
        <v>0.99970369999999997</v>
      </c>
      <c r="N5025">
        <v>0</v>
      </c>
      <c r="O5025">
        <v>2.0190099999999999E-2</v>
      </c>
      <c r="P5025">
        <v>0.99610319999999997</v>
      </c>
      <c r="Q5025">
        <v>3.6846499999999998E-3</v>
      </c>
      <c r="R5025">
        <v>-8.8120039999999997E-2</v>
      </c>
      <c r="S5025">
        <v>2.92334</v>
      </c>
      <c r="T5025">
        <v>-0.27497849999999902</v>
      </c>
      <c r="U5025">
        <v>-1.0390010000000001</v>
      </c>
      <c r="V5025">
        <v>0.1082886</v>
      </c>
      <c r="W5025">
        <v>1.6745570000000001E-2</v>
      </c>
      <c r="X5025">
        <v>0.99397839999999904</v>
      </c>
      <c r="Y5025">
        <v>0.35238740000000002</v>
      </c>
      <c r="Z5025">
        <v>-1.7888859999999999E-2</v>
      </c>
      <c r="AA5025">
        <v>0.9356833</v>
      </c>
      <c r="AB5025">
        <v>30</v>
      </c>
      <c r="AC5025">
        <v>12.1098</v>
      </c>
      <c r="AD5025">
        <v>-1.152963</v>
      </c>
      <c r="AE5025">
        <v>-4.3585999999999903</v>
      </c>
      <c r="AF5025">
        <v>4.5655924728750001</v>
      </c>
      <c r="AG5025">
        <v>-1.152963</v>
      </c>
      <c r="AH5025">
        <v>11.9236333826322</v>
      </c>
      <c r="AI5025">
        <v>95.159936232095205</v>
      </c>
      <c r="AJ5025">
        <v>69.048017597170997</v>
      </c>
      <c r="AK5025">
        <v>12.819789052521999</v>
      </c>
    </row>
    <row r="5026" spans="1:37" x14ac:dyDescent="0.2">
      <c r="A5026" t="str">
        <f>"20200111153531903"</f>
        <v>20200111153531903</v>
      </c>
      <c r="B5026" t="str">
        <f>"1578728131891136"</f>
        <v>1578728131891136</v>
      </c>
      <c r="C5026" t="s">
        <v>37</v>
      </c>
      <c r="D5026">
        <v>5.045426</v>
      </c>
      <c r="E5026">
        <v>0.59942569999999995</v>
      </c>
      <c r="F5026" t="s">
        <v>38</v>
      </c>
      <c r="G5026">
        <v>-318.2552</v>
      </c>
      <c r="H5026">
        <v>-0.05</v>
      </c>
      <c r="I5026">
        <v>12.801069999999999</v>
      </c>
      <c r="J5026">
        <v>-330.68650000000002</v>
      </c>
      <c r="K5026">
        <v>1.1029279999999999</v>
      </c>
      <c r="L5026">
        <v>17.324649999999998</v>
      </c>
      <c r="M5026">
        <v>0.99972490000000003</v>
      </c>
      <c r="N5026">
        <v>0</v>
      </c>
      <c r="O5026">
        <v>1.911034E-2</v>
      </c>
      <c r="P5026">
        <v>0.99582119999999996</v>
      </c>
      <c r="Q5026">
        <v>3.0357520000000001E-3</v>
      </c>
      <c r="R5026">
        <v>-9.1275099999999998E-2</v>
      </c>
      <c r="S5026">
        <v>2.9198300000000001</v>
      </c>
      <c r="T5026">
        <v>-0.26781659999999902</v>
      </c>
      <c r="U5026">
        <v>-1.050354</v>
      </c>
      <c r="V5026">
        <v>0.11036219999999999</v>
      </c>
      <c r="W5026">
        <v>1.6077600000000001E-2</v>
      </c>
      <c r="X5026">
        <v>0.99376139999999902</v>
      </c>
      <c r="Y5026">
        <v>0.35502430000000001</v>
      </c>
      <c r="Z5026">
        <v>-1.745443E-2</v>
      </c>
      <c r="AA5026">
        <v>0.93469409999999897</v>
      </c>
      <c r="AB5026">
        <v>30</v>
      </c>
      <c r="AC5026">
        <v>12.4313</v>
      </c>
      <c r="AD5026">
        <v>-1.152928</v>
      </c>
      <c r="AE5026">
        <v>-4.5235799999999902</v>
      </c>
      <c r="AF5026">
        <v>4.72445665840812</v>
      </c>
      <c r="AG5026">
        <v>-1.152928</v>
      </c>
      <c r="AH5026">
        <v>12.2495307934807</v>
      </c>
      <c r="AI5026">
        <v>95.018563840862299</v>
      </c>
      <c r="AJ5026">
        <v>68.909135911545405</v>
      </c>
      <c r="AK5026">
        <v>13.179557593136099</v>
      </c>
    </row>
    <row r="5027" spans="1:37" x14ac:dyDescent="0.2">
      <c r="A5027" t="str">
        <f>"20200111153531914"</f>
        <v>20200111153531914</v>
      </c>
      <c r="B5027" t="str">
        <f>"1578728131910655"</f>
        <v>1578728131910655</v>
      </c>
      <c r="C5027" t="s">
        <v>37</v>
      </c>
      <c r="D5027">
        <v>5.0451449999999998</v>
      </c>
      <c r="E5027">
        <v>0.59987869999999999</v>
      </c>
      <c r="F5027" t="s">
        <v>38</v>
      </c>
      <c r="G5027">
        <v>-317.87200000000001</v>
      </c>
      <c r="H5027">
        <v>-0.05</v>
      </c>
      <c r="I5027">
        <v>12.65953</v>
      </c>
      <c r="J5027">
        <v>-330.53550000000001</v>
      </c>
      <c r="K5027">
        <v>1.102889</v>
      </c>
      <c r="L5027">
        <v>17.32639</v>
      </c>
      <c r="M5027">
        <v>0.99974689999999999</v>
      </c>
      <c r="N5027">
        <v>0</v>
      </c>
      <c r="O5027">
        <v>1.7913660000000001E-2</v>
      </c>
      <c r="P5027">
        <v>0.99549159999999903</v>
      </c>
      <c r="Q5027">
        <v>2.1362629999999998E-3</v>
      </c>
      <c r="R5027">
        <v>-9.4825510000000002E-2</v>
      </c>
      <c r="S5027">
        <v>2.9160459999999899</v>
      </c>
      <c r="T5027">
        <v>-0.26235799999999998</v>
      </c>
      <c r="U5027">
        <v>-1.0615840000000001</v>
      </c>
      <c r="V5027">
        <v>0.11271389999999901</v>
      </c>
      <c r="W5027">
        <v>1.515504E-2</v>
      </c>
      <c r="X5027">
        <v>0.9935119</v>
      </c>
      <c r="Y5027">
        <v>0.3575238</v>
      </c>
      <c r="Z5027">
        <v>-1.7114440000000002E-2</v>
      </c>
      <c r="AA5027">
        <v>0.9337472</v>
      </c>
      <c r="AB5027">
        <v>30</v>
      </c>
      <c r="AC5027">
        <v>12.663500000000001</v>
      </c>
      <c r="AD5027">
        <v>-1.1528890000000001</v>
      </c>
      <c r="AE5027">
        <v>-4.6668599999999998</v>
      </c>
      <c r="AF5027">
        <v>4.8575348963284002</v>
      </c>
      <c r="AG5027">
        <v>-1.1528890000000001</v>
      </c>
      <c r="AH5027">
        <v>12.4867401740081</v>
      </c>
      <c r="AI5027">
        <v>94.918040870240503</v>
      </c>
      <c r="AJ5027">
        <v>68.743195750431596</v>
      </c>
      <c r="AK5027">
        <v>13.4478057127754</v>
      </c>
    </row>
    <row r="5028" spans="1:37" x14ac:dyDescent="0.2">
      <c r="A5028" t="str">
        <f>"20200111153531926"</f>
        <v>20200111153531926</v>
      </c>
      <c r="B5028" t="str">
        <f>"1578728131920415"</f>
        <v>1578728131920415</v>
      </c>
      <c r="C5028" t="s">
        <v>37</v>
      </c>
      <c r="D5028">
        <v>5.0132199999999996</v>
      </c>
      <c r="E5028">
        <v>0.6000723</v>
      </c>
      <c r="F5028" t="s">
        <v>38</v>
      </c>
      <c r="G5028">
        <v>-317.40719999999999</v>
      </c>
      <c r="H5028">
        <v>-0.05</v>
      </c>
      <c r="I5028">
        <v>12.47725</v>
      </c>
      <c r="J5028">
        <v>-330.38400000000001</v>
      </c>
      <c r="K5028">
        <v>1.1028439999999999</v>
      </c>
      <c r="L5028">
        <v>17.327819999999999</v>
      </c>
      <c r="M5028">
        <v>0.99976810000000005</v>
      </c>
      <c r="N5028">
        <v>0</v>
      </c>
      <c r="O5028">
        <v>1.6683030000000001E-2</v>
      </c>
      <c r="P5028">
        <v>0.99516459999999995</v>
      </c>
      <c r="Q5028">
        <v>1.2609069999999999E-3</v>
      </c>
      <c r="R5028">
        <v>-9.8212289999999994E-2</v>
      </c>
      <c r="S5028">
        <v>2.9116819999999999</v>
      </c>
      <c r="T5028">
        <v>-0.25569560000000002</v>
      </c>
      <c r="U5028">
        <v>-1.0754699999999999</v>
      </c>
      <c r="V5028">
        <v>0.114868899999999</v>
      </c>
      <c r="W5028">
        <v>1.4257250000000001E-2</v>
      </c>
      <c r="X5028">
        <v>0.99327829999999995</v>
      </c>
      <c r="Y5028">
        <v>0.36080619999999902</v>
      </c>
      <c r="Z5028">
        <v>-1.6726270000000001E-2</v>
      </c>
      <c r="AA5028">
        <v>0.93249079999999995</v>
      </c>
      <c r="AB5028">
        <v>30</v>
      </c>
      <c r="AC5028">
        <v>12.976800000000001</v>
      </c>
      <c r="AD5028">
        <v>-1.152844</v>
      </c>
      <c r="AE5028">
        <v>-4.8505700000000003</v>
      </c>
      <c r="AF5028">
        <v>5.0315645356840299</v>
      </c>
      <c r="AG5028">
        <v>-1.152844</v>
      </c>
      <c r="AH5028">
        <v>12.8053888994625</v>
      </c>
      <c r="AI5028">
        <v>94.789726434482901</v>
      </c>
      <c r="AJ5028">
        <v>68.548868116846094</v>
      </c>
      <c r="AK5028">
        <v>13.806653317569999</v>
      </c>
    </row>
    <row r="5029" spans="1:37" x14ac:dyDescent="0.2">
      <c r="A5029" t="str">
        <f>"20200111153531937"</f>
        <v>20200111153531937</v>
      </c>
      <c r="B5029" t="str">
        <f>"1578728131931151"</f>
        <v>1578728131931151</v>
      </c>
      <c r="C5029" t="s">
        <v>37</v>
      </c>
      <c r="D5029">
        <v>5.0480419999999997</v>
      </c>
      <c r="E5029">
        <v>0.60026740000000001</v>
      </c>
      <c r="F5029" t="s">
        <v>38</v>
      </c>
      <c r="G5029">
        <v>-317.08420000000001</v>
      </c>
      <c r="H5029">
        <v>-0.05</v>
      </c>
      <c r="I5029">
        <v>12.355589999999999</v>
      </c>
      <c r="J5029">
        <v>-330.22059999999999</v>
      </c>
      <c r="K5029">
        <v>1.102795</v>
      </c>
      <c r="L5029">
        <v>17.329279999999901</v>
      </c>
      <c r="M5029">
        <v>0.99978979999999995</v>
      </c>
      <c r="N5029">
        <v>0</v>
      </c>
      <c r="O5029">
        <v>1.533761E-2</v>
      </c>
      <c r="P5029">
        <v>0.99481960000000003</v>
      </c>
      <c r="Q5029">
        <v>2.8338049999999899E-4</v>
      </c>
      <c r="R5029">
        <v>-0.10165589999999999</v>
      </c>
      <c r="S5029">
        <v>2.9076230000000001</v>
      </c>
      <c r="T5029">
        <v>-0.2520365</v>
      </c>
      <c r="U5029">
        <v>-1.0870359999999999</v>
      </c>
      <c r="V5029">
        <v>0.1169668</v>
      </c>
      <c r="W5029">
        <v>1.325551E-2</v>
      </c>
      <c r="X5029">
        <v>0.99304740000000002</v>
      </c>
      <c r="Y5029">
        <v>0.36326389999999997</v>
      </c>
      <c r="Z5029">
        <v>-1.6488309999999999E-2</v>
      </c>
      <c r="AA5029">
        <v>0.93154040000000005</v>
      </c>
      <c r="AB5029">
        <v>30</v>
      </c>
      <c r="AC5029">
        <v>13.136399999999901</v>
      </c>
      <c r="AD5029">
        <v>-1.152795</v>
      </c>
      <c r="AE5029">
        <v>-4.9736899999999897</v>
      </c>
      <c r="AF5029">
        <v>5.1399839933832903</v>
      </c>
      <c r="AG5029">
        <v>-1.152795</v>
      </c>
      <c r="AH5029">
        <v>12.971195133795099</v>
      </c>
      <c r="AI5029">
        <v>94.723222164562102</v>
      </c>
      <c r="AJ5029">
        <v>68.383488393201006</v>
      </c>
      <c r="AK5029">
        <v>14.0000098201127</v>
      </c>
    </row>
    <row r="5030" spans="1:37" x14ac:dyDescent="0.2">
      <c r="A5030" t="str">
        <f>"20200111153531949"</f>
        <v>20200111153531949</v>
      </c>
      <c r="B5030" t="str">
        <f>"1578728131940911"</f>
        <v>1578728131940911</v>
      </c>
      <c r="C5030" t="s">
        <v>37</v>
      </c>
      <c r="D5030">
        <v>5.0152739999999998</v>
      </c>
      <c r="E5030">
        <v>0.60039240000000005</v>
      </c>
      <c r="F5030" t="s">
        <v>38</v>
      </c>
      <c r="G5030">
        <v>-316.79340000000002</v>
      </c>
      <c r="H5030">
        <v>-0.05</v>
      </c>
      <c r="I5030">
        <v>12.247249999999999</v>
      </c>
      <c r="J5030">
        <v>-330.07819999999998</v>
      </c>
      <c r="K5030">
        <v>1.102743</v>
      </c>
      <c r="L5030">
        <v>17.330200000000001</v>
      </c>
      <c r="M5030">
        <v>0.99980769999999997</v>
      </c>
      <c r="N5030">
        <v>0</v>
      </c>
      <c r="O5030">
        <v>1.4112609999999999E-2</v>
      </c>
      <c r="P5030">
        <v>0.99449240000000005</v>
      </c>
      <c r="Q5030">
        <v>-5.2571019999999896E-4</v>
      </c>
      <c r="R5030">
        <v>-0.104808199999999</v>
      </c>
      <c r="S5030">
        <v>2.9034119999999999</v>
      </c>
      <c r="T5030">
        <v>-0.24927249999999901</v>
      </c>
      <c r="U5030">
        <v>-1.0989070000000001</v>
      </c>
      <c r="V5030">
        <v>0.1188946</v>
      </c>
      <c r="W5030">
        <v>1.2422539999999999E-2</v>
      </c>
      <c r="X5030">
        <v>0.99282909999999902</v>
      </c>
      <c r="Y5030">
        <v>0.36592209999999997</v>
      </c>
      <c r="Z5030">
        <v>-1.6327359999999999E-2</v>
      </c>
      <c r="AA5030">
        <v>0.9305023</v>
      </c>
      <c r="AB5030">
        <v>30</v>
      </c>
      <c r="AC5030">
        <v>13.284799999999899</v>
      </c>
      <c r="AD5030">
        <v>-1.1527430000000001</v>
      </c>
      <c r="AE5030">
        <v>-5.0829500000000003</v>
      </c>
      <c r="AF5030">
        <v>5.2355580854242501</v>
      </c>
      <c r="AG5030">
        <v>-1.1527430000000001</v>
      </c>
      <c r="AH5030">
        <v>13.1255302863285</v>
      </c>
      <c r="AI5030">
        <v>94.663540439726006</v>
      </c>
      <c r="AJ5030">
        <v>68.253756568743498</v>
      </c>
      <c r="AK5030">
        <v>14.178132112067001</v>
      </c>
    </row>
    <row r="5031" spans="1:37" x14ac:dyDescent="0.2">
      <c r="A5031" t="str">
        <f>"20200111153531960"</f>
        <v>20200111153531960</v>
      </c>
      <c r="B5031" t="str">
        <f>"1578728131950671"</f>
        <v>1578728131950671</v>
      </c>
      <c r="C5031" t="s">
        <v>37</v>
      </c>
      <c r="D5031">
        <v>5.0129250000000001</v>
      </c>
      <c r="E5031">
        <v>0.60052649999999996</v>
      </c>
      <c r="F5031" t="s">
        <v>38</v>
      </c>
      <c r="G5031">
        <v>-316.50349999999997</v>
      </c>
      <c r="H5031">
        <v>-0.05</v>
      </c>
      <c r="I5031">
        <v>12.137269999999999</v>
      </c>
      <c r="J5031">
        <v>-329.92590000000001</v>
      </c>
      <c r="K5031">
        <v>1.102684</v>
      </c>
      <c r="L5031">
        <v>17.33109</v>
      </c>
      <c r="M5031">
        <v>0.99982559999999998</v>
      </c>
      <c r="N5031">
        <v>0</v>
      </c>
      <c r="O5031">
        <v>1.278927E-2</v>
      </c>
      <c r="P5031">
        <v>0.99416109999999902</v>
      </c>
      <c r="Q5031">
        <v>-1.010929E-3</v>
      </c>
      <c r="R5031">
        <v>-0.10790139999999999</v>
      </c>
      <c r="S5031">
        <v>2.899597</v>
      </c>
      <c r="T5031">
        <v>-0.246228899999999</v>
      </c>
      <c r="U5031">
        <v>-1.1092219999999999</v>
      </c>
      <c r="V5031">
        <v>0.1206682</v>
      </c>
      <c r="W5031">
        <v>1.191189E-2</v>
      </c>
      <c r="X5031">
        <v>0.99262139999999999</v>
      </c>
      <c r="Y5031">
        <v>0.36801250000000002</v>
      </c>
      <c r="Z5031">
        <v>-1.61157E-2</v>
      </c>
      <c r="AA5031">
        <v>0.92968119999999999</v>
      </c>
      <c r="AB5031">
        <v>30</v>
      </c>
      <c r="AC5031">
        <v>13.4224</v>
      </c>
      <c r="AD5031">
        <v>-1.152684</v>
      </c>
      <c r="AE5031">
        <v>-5.1938199999999997</v>
      </c>
      <c r="AF5031">
        <v>5.3308787426881397</v>
      </c>
      <c r="AG5031">
        <v>-1.152684</v>
      </c>
      <c r="AH5031">
        <v>13.2697517139729</v>
      </c>
      <c r="AI5031">
        <v>94.608328924126894</v>
      </c>
      <c r="AJ5031">
        <v>68.113112270943304</v>
      </c>
      <c r="AK5031">
        <v>14.3468902248392</v>
      </c>
    </row>
    <row r="5032" spans="1:37" x14ac:dyDescent="0.2">
      <c r="A5032" t="str">
        <f>"20200111153531971"</f>
        <v>20200111153531971</v>
      </c>
      <c r="B5032" t="str">
        <f>"1578728131961408"</f>
        <v>1578728131961408</v>
      </c>
      <c r="C5032" t="s">
        <v>37</v>
      </c>
      <c r="D5032">
        <v>5.047993</v>
      </c>
      <c r="E5032">
        <v>0.60061350000000002</v>
      </c>
      <c r="F5032" t="s">
        <v>38</v>
      </c>
      <c r="G5032">
        <v>-316.1857</v>
      </c>
      <c r="H5032">
        <v>-0.05</v>
      </c>
      <c r="I5032">
        <v>12.019959999999999</v>
      </c>
      <c r="J5032">
        <v>-329.78050000000002</v>
      </c>
      <c r="K5032">
        <v>1.1026260000000001</v>
      </c>
      <c r="L5032">
        <v>17.331569999999999</v>
      </c>
      <c r="M5032">
        <v>0.99984150000000005</v>
      </c>
      <c r="N5032">
        <v>0</v>
      </c>
      <c r="O5032">
        <v>1.146807E-2</v>
      </c>
      <c r="P5032">
        <v>0.99382159999999997</v>
      </c>
      <c r="Q5032">
        <v>-1.663365E-3</v>
      </c>
      <c r="R5032">
        <v>-0.1109771</v>
      </c>
      <c r="S5032">
        <v>2.895905</v>
      </c>
      <c r="T5032">
        <v>-0.24294250000000001</v>
      </c>
      <c r="U5032">
        <v>-1.1193850000000001</v>
      </c>
      <c r="V5032">
        <v>0.1224261</v>
      </c>
      <c r="W5032">
        <v>1.1233399999999999E-2</v>
      </c>
      <c r="X5032">
        <v>0.99241409999999997</v>
      </c>
      <c r="Y5032">
        <v>0.37004949999999998</v>
      </c>
      <c r="Z5032">
        <v>-1.5885940000000001E-2</v>
      </c>
      <c r="AA5032">
        <v>0.92887619999999904</v>
      </c>
      <c r="AB5032">
        <v>30</v>
      </c>
      <c r="AC5032">
        <v>13.594799999999999</v>
      </c>
      <c r="AD5032">
        <v>-1.1526259999999999</v>
      </c>
      <c r="AE5032">
        <v>-5.3116099999999999</v>
      </c>
      <c r="AF5032">
        <v>5.4332971251319</v>
      </c>
      <c r="AG5032">
        <v>-1.1526259999999999</v>
      </c>
      <c r="AH5032">
        <v>13.449112523327599</v>
      </c>
      <c r="AI5032">
        <v>94.543360939636898</v>
      </c>
      <c r="AJ5032">
        <v>68.001820392631203</v>
      </c>
      <c r="AK5032">
        <v>14.5508725515335</v>
      </c>
    </row>
    <row r="5033" spans="1:37" x14ac:dyDescent="0.2">
      <c r="A5033" t="str">
        <f>"20200111153531982"</f>
        <v>20200111153531982</v>
      </c>
      <c r="B5033" t="str">
        <f>"1578728131971168"</f>
        <v>1578728131971168</v>
      </c>
      <c r="C5033" t="s">
        <v>37</v>
      </c>
      <c r="D5033">
        <v>5.4327139999999998</v>
      </c>
      <c r="E5033">
        <v>0.60029270000000001</v>
      </c>
      <c r="F5033" t="s">
        <v>38</v>
      </c>
      <c r="G5033">
        <v>-315.91559999999998</v>
      </c>
      <c r="H5033">
        <v>-0.05</v>
      </c>
      <c r="I5033">
        <v>11.918049999999999</v>
      </c>
      <c r="J5033">
        <v>-329.6284</v>
      </c>
      <c r="K5033">
        <v>1.1025639999999901</v>
      </c>
      <c r="L5033">
        <v>17.331969999999998</v>
      </c>
      <c r="M5033">
        <v>0.99985679999999999</v>
      </c>
      <c r="N5033">
        <v>0</v>
      </c>
      <c r="O5033">
        <v>1.0060700000000001E-2</v>
      </c>
      <c r="P5033">
        <v>0.99346769999999995</v>
      </c>
      <c r="Q5033">
        <v>-2.2758359999999998E-3</v>
      </c>
      <c r="R5033">
        <v>-0.114091899999999</v>
      </c>
      <c r="S5033">
        <v>2.8921509999999899</v>
      </c>
      <c r="T5033">
        <v>-0.24043329999999999</v>
      </c>
      <c r="U5033">
        <v>-1.1292420000000001</v>
      </c>
      <c r="V5033">
        <v>0.1241385</v>
      </c>
      <c r="W5033">
        <v>1.0593999999999999E-2</v>
      </c>
      <c r="X5033">
        <v>0.99220839999999999</v>
      </c>
      <c r="Y5033">
        <v>0.3719189</v>
      </c>
      <c r="Z5033">
        <v>-1.5694059999999999E-2</v>
      </c>
      <c r="AA5033">
        <v>0.92813250000000003</v>
      </c>
      <c r="AB5033">
        <v>30</v>
      </c>
      <c r="AC5033">
        <v>13.7128</v>
      </c>
      <c r="AD5033">
        <v>-1.1525639999999999</v>
      </c>
      <c r="AE5033">
        <v>-5.4139200000000001</v>
      </c>
      <c r="AF5033">
        <v>5.5178949377155897</v>
      </c>
      <c r="AG5033">
        <v>-1.1525639999999999</v>
      </c>
      <c r="AH5033">
        <v>13.5746676300462</v>
      </c>
      <c r="AI5033">
        <v>94.497378661737599</v>
      </c>
      <c r="AJ5033">
        <v>67.879009360521195</v>
      </c>
      <c r="AK5033">
        <v>14.6985431109341</v>
      </c>
    </row>
    <row r="5034" spans="1:37" x14ac:dyDescent="0.2">
      <c r="A5034" t="str">
        <f>"20200111153531993"</f>
        <v>20200111153531993</v>
      </c>
      <c r="B5034" t="str">
        <f>"1578728131980928"</f>
        <v>1578728131980928</v>
      </c>
      <c r="C5034" t="s">
        <v>37</v>
      </c>
      <c r="D5034">
        <v>5.3767509999999996</v>
      </c>
      <c r="E5034">
        <v>0.60029270000000001</v>
      </c>
      <c r="F5034" t="s">
        <v>38</v>
      </c>
      <c r="G5034">
        <v>-315.82960000000003</v>
      </c>
      <c r="H5034">
        <v>-0.05</v>
      </c>
      <c r="I5034">
        <v>11.904999999999999</v>
      </c>
      <c r="J5034">
        <v>-329.48180000000002</v>
      </c>
      <c r="K5034">
        <v>1.102501</v>
      </c>
      <c r="L5034">
        <v>17.33203</v>
      </c>
      <c r="M5034">
        <v>0.99986980000000003</v>
      </c>
      <c r="N5034">
        <v>0</v>
      </c>
      <c r="O5034">
        <v>8.6599850000000003E-3</v>
      </c>
      <c r="P5034">
        <v>0.99315290000000001</v>
      </c>
      <c r="Q5034">
        <v>-2.8529419999999998E-3</v>
      </c>
      <c r="R5034">
        <v>-0.11678769999999999</v>
      </c>
      <c r="S5034">
        <v>2.8887019999999999</v>
      </c>
      <c r="T5034">
        <v>-0.24128369999999999</v>
      </c>
      <c r="U5034">
        <v>-1.1361079999999999</v>
      </c>
      <c r="V5034">
        <v>0.12543959999999901</v>
      </c>
      <c r="W5034">
        <v>9.9922589999999999E-3</v>
      </c>
      <c r="X5034">
        <v>0.99205089999999996</v>
      </c>
      <c r="Y5034">
        <v>0.37289850000000002</v>
      </c>
      <c r="Z5034">
        <v>-1.5686950000000002E-2</v>
      </c>
      <c r="AA5034">
        <v>0.9277396</v>
      </c>
      <c r="AB5034">
        <v>30</v>
      </c>
      <c r="AC5034">
        <v>13.652199999999899</v>
      </c>
      <c r="AD5034">
        <v>-1.152501</v>
      </c>
      <c r="AE5034">
        <v>-5.4270300000000002</v>
      </c>
      <c r="AF5034">
        <v>5.5111494316407601</v>
      </c>
      <c r="AG5034">
        <v>-1.152501</v>
      </c>
      <c r="AH5034">
        <v>13.521473924158199</v>
      </c>
      <c r="AI5034">
        <v>94.513025632209207</v>
      </c>
      <c r="AJ5034">
        <v>67.824929779508693</v>
      </c>
      <c r="AK5034">
        <v>14.6468864846617</v>
      </c>
    </row>
    <row r="5035" spans="1:37" x14ac:dyDescent="0.2">
      <c r="A5035" t="str">
        <f>"20200111153532005"</f>
        <v>20200111153532005</v>
      </c>
      <c r="B5035" t="str">
        <f>"1578728132000448"</f>
        <v>1578728132000448</v>
      </c>
      <c r="C5035" t="s">
        <v>37</v>
      </c>
      <c r="D5035">
        <v>5.3493360000000001</v>
      </c>
      <c r="E5035">
        <v>0.59847079999999997</v>
      </c>
      <c r="F5035" t="s">
        <v>38</v>
      </c>
      <c r="G5035">
        <v>-315.75920000000002</v>
      </c>
      <c r="H5035">
        <v>-0.05</v>
      </c>
      <c r="I5035">
        <v>11.89142</v>
      </c>
      <c r="J5035">
        <v>-329.33600000000001</v>
      </c>
      <c r="K5035">
        <v>1.102438</v>
      </c>
      <c r="L5035">
        <v>17.331879999999899</v>
      </c>
      <c r="M5035">
        <v>0.99988120000000003</v>
      </c>
      <c r="N5035">
        <v>0</v>
      </c>
      <c r="O5035">
        <v>7.2245310000000002E-3</v>
      </c>
      <c r="P5035">
        <v>0.99282890000000001</v>
      </c>
      <c r="Q5035">
        <v>-3.3047089999999999E-3</v>
      </c>
      <c r="R5035">
        <v>-0.11949949999999999</v>
      </c>
      <c r="S5035">
        <v>2.8854679999999999</v>
      </c>
      <c r="T5035">
        <v>-0.2423389</v>
      </c>
      <c r="U5035">
        <v>-1.144012</v>
      </c>
      <c r="V5035">
        <v>0.12672359999999999</v>
      </c>
      <c r="W5035">
        <v>9.5149689999999999E-3</v>
      </c>
      <c r="X5035">
        <v>0.99189249999999995</v>
      </c>
      <c r="Y5035">
        <v>0.37410890000000002</v>
      </c>
      <c r="Z5035">
        <v>-1.5696930000000001E-2</v>
      </c>
      <c r="AA5035">
        <v>0.92725190000000002</v>
      </c>
      <c r="AB5035">
        <v>30</v>
      </c>
      <c r="AC5035">
        <v>13.576799999999899</v>
      </c>
      <c r="AD5035">
        <v>-1.1524380000000001</v>
      </c>
      <c r="AE5035">
        <v>-5.4404599999999901</v>
      </c>
      <c r="AF5035">
        <v>5.5042415402462197</v>
      </c>
      <c r="AG5035">
        <v>-1.1524380000000001</v>
      </c>
      <c r="AH5035">
        <v>13.4536141659369</v>
      </c>
      <c r="AI5035">
        <v>94.533010105022697</v>
      </c>
      <c r="AJ5035">
        <v>67.749187679681299</v>
      </c>
      <c r="AK5035">
        <v>14.5816501947864</v>
      </c>
    </row>
    <row r="5036" spans="1:37" x14ac:dyDescent="0.2">
      <c r="A5036" t="str">
        <f>"20200111153532016"</f>
        <v>20200111153532016</v>
      </c>
      <c r="B5036" t="str">
        <f>"1578728132011184"</f>
        <v>1578728132011184</v>
      </c>
      <c r="C5036" t="s">
        <v>37</v>
      </c>
      <c r="D5036">
        <v>5.3235849999999996</v>
      </c>
      <c r="E5036">
        <v>0.59887690000000005</v>
      </c>
      <c r="F5036" t="s">
        <v>39</v>
      </c>
      <c r="G5036">
        <v>-321.18239999999997</v>
      </c>
      <c r="H5036" s="1">
        <v>-5.1242179999999899E-6</v>
      </c>
      <c r="I5036">
        <v>14.116300000000001</v>
      </c>
      <c r="J5036">
        <v>-329.1902</v>
      </c>
      <c r="K5036">
        <v>1.102373</v>
      </c>
      <c r="L5036">
        <v>17.33154</v>
      </c>
      <c r="M5036">
        <v>0.99989069999999902</v>
      </c>
      <c r="N5036">
        <v>0</v>
      </c>
      <c r="O5036">
        <v>5.7545180000000001E-3</v>
      </c>
      <c r="P5036">
        <v>0.99249229999999999</v>
      </c>
      <c r="Q5036">
        <v>-3.7542140000000001E-3</v>
      </c>
      <c r="R5036">
        <v>-0.1222521</v>
      </c>
      <c r="S5036">
        <v>2.8834840000000002</v>
      </c>
      <c r="T5036">
        <v>-0.38987450000000001</v>
      </c>
      <c r="U5036">
        <v>-1.1371770000000001</v>
      </c>
      <c r="V5036">
        <v>0.12801469999999901</v>
      </c>
      <c r="W5036">
        <v>9.0386279999999999E-3</v>
      </c>
      <c r="X5036">
        <v>0.99173109999999998</v>
      </c>
      <c r="Y5036">
        <v>0.36926709999999902</v>
      </c>
      <c r="Z5036">
        <v>-2.4711739999999999E-2</v>
      </c>
      <c r="AA5036">
        <v>0.92899469999999995</v>
      </c>
      <c r="AB5036">
        <v>30</v>
      </c>
      <c r="AC5036">
        <v>8.0078000000000298</v>
      </c>
      <c r="AD5036">
        <v>-1.102378124218</v>
      </c>
      <c r="AE5036">
        <v>-3.2152400000000001</v>
      </c>
      <c r="AF5036">
        <v>3.2089024496116898</v>
      </c>
      <c r="AG5036">
        <v>-1.102378124218</v>
      </c>
      <c r="AH5036">
        <v>7.8608732792947702</v>
      </c>
      <c r="AI5036">
        <v>97.397617530383101</v>
      </c>
      <c r="AJ5036">
        <v>67.794130181353793</v>
      </c>
      <c r="AK5036">
        <v>8.5618701913197004</v>
      </c>
    </row>
    <row r="5037" spans="1:37" x14ac:dyDescent="0.2">
      <c r="A5037" t="str">
        <f>"20200111153532027"</f>
        <v>20200111153532027</v>
      </c>
      <c r="B5037" t="str">
        <f>"1578728132020943"</f>
        <v>1578728132020943</v>
      </c>
      <c r="C5037" t="s">
        <v>37</v>
      </c>
      <c r="D5037">
        <v>5.3175089999999896</v>
      </c>
      <c r="E5037">
        <v>0.59881600000000001</v>
      </c>
      <c r="F5037" t="s">
        <v>39</v>
      </c>
      <c r="G5037">
        <v>-320.87670000000003</v>
      </c>
      <c r="H5037" s="1">
        <v>-5.2864160000000003E-6</v>
      </c>
      <c r="I5037">
        <v>14.016500000000001</v>
      </c>
      <c r="J5037">
        <v>-329.03989999999999</v>
      </c>
      <c r="K5037">
        <v>1.102306</v>
      </c>
      <c r="L5037">
        <v>17.330779999999901</v>
      </c>
      <c r="M5037">
        <v>0.99989859999999897</v>
      </c>
      <c r="N5037">
        <v>0</v>
      </c>
      <c r="O5037">
        <v>4.1746420000000001E-3</v>
      </c>
      <c r="P5037">
        <v>0.99220309999999901</v>
      </c>
      <c r="Q5037">
        <v>-3.7827149999999999E-3</v>
      </c>
      <c r="R5037">
        <v>-0.1245752</v>
      </c>
      <c r="S5037">
        <v>2.8798219999999999</v>
      </c>
      <c r="T5037">
        <v>-0.38186909999999902</v>
      </c>
      <c r="U5037">
        <v>-1.1483459999999901</v>
      </c>
      <c r="V5037">
        <v>0.12877069999999999</v>
      </c>
      <c r="W5037">
        <v>8.9861790000000004E-3</v>
      </c>
      <c r="X5037">
        <v>0.99163369999999995</v>
      </c>
      <c r="Y5037">
        <v>0.37142950000000002</v>
      </c>
      <c r="Z5037">
        <v>-2.415668E-2</v>
      </c>
      <c r="AA5037">
        <v>0.92814680000000005</v>
      </c>
      <c r="AB5037">
        <v>30</v>
      </c>
      <c r="AC5037">
        <v>8.1631999999999501</v>
      </c>
      <c r="AD5037">
        <v>-1.1023112864160001</v>
      </c>
      <c r="AE5037">
        <v>-3.3142799999999899</v>
      </c>
      <c r="AF5037">
        <v>3.2967261461272801</v>
      </c>
      <c r="AG5037">
        <v>-1.1023112864160001</v>
      </c>
      <c r="AH5037">
        <v>8.0236897398543707</v>
      </c>
      <c r="AI5037">
        <v>97.241990781844905</v>
      </c>
      <c r="AJ5037">
        <v>67.663509981900404</v>
      </c>
      <c r="AK5037">
        <v>8.74431761180732</v>
      </c>
    </row>
    <row r="5038" spans="1:37" x14ac:dyDescent="0.2">
      <c r="A5038" t="str">
        <f>"20200111153532039"</f>
        <v>20200111153532039</v>
      </c>
      <c r="B5038" t="str">
        <f>"1578728132030703"</f>
        <v>1578728132030703</v>
      </c>
      <c r="C5038" t="s">
        <v>37</v>
      </c>
      <c r="D5038">
        <v>5.2533320000000003</v>
      </c>
      <c r="E5038">
        <v>0.59897889999999998</v>
      </c>
      <c r="F5038" t="s">
        <v>39</v>
      </c>
      <c r="G5038">
        <v>-320.53579999999999</v>
      </c>
      <c r="H5038" s="1">
        <v>-5.4650559999999899E-6</v>
      </c>
      <c r="I5038">
        <v>13.917960000000001</v>
      </c>
      <c r="J5038">
        <v>-328.8852</v>
      </c>
      <c r="K5038">
        <v>1.1022369999999999</v>
      </c>
      <c r="L5038">
        <v>17.329899999999999</v>
      </c>
      <c r="M5038">
        <v>0.99990400000000002</v>
      </c>
      <c r="N5038">
        <v>0</v>
      </c>
      <c r="O5038">
        <v>2.5240459999999998E-3</v>
      </c>
      <c r="P5038">
        <v>0.99189950000000005</v>
      </c>
      <c r="Q5038">
        <v>-4.0358759999999999E-3</v>
      </c>
      <c r="R5038">
        <v>-0.12696109999999999</v>
      </c>
      <c r="S5038">
        <v>2.8771969999999998</v>
      </c>
      <c r="T5038">
        <v>-0.3729461</v>
      </c>
      <c r="U5038">
        <v>-1.154663</v>
      </c>
      <c r="V5038">
        <v>0.12951869999999999</v>
      </c>
      <c r="W5038">
        <v>8.7077159999999904E-3</v>
      </c>
      <c r="X5038">
        <v>0.99153880000000005</v>
      </c>
      <c r="Y5038">
        <v>0.37208269999999999</v>
      </c>
      <c r="Z5038">
        <v>-2.3442459999999998E-2</v>
      </c>
      <c r="AA5038">
        <v>0.92790349999999999</v>
      </c>
      <c r="AB5038">
        <v>30</v>
      </c>
      <c r="AC5038">
        <v>8.3493999999999993</v>
      </c>
      <c r="AD5038">
        <v>-1.1022424650560001</v>
      </c>
      <c r="AE5038">
        <v>-3.4119399999999902</v>
      </c>
      <c r="AF5038">
        <v>3.3824912076076101</v>
      </c>
      <c r="AG5038">
        <v>-1.1022424650560001</v>
      </c>
      <c r="AH5038">
        <v>8.2180325492665602</v>
      </c>
      <c r="AI5038">
        <v>97.070275674447103</v>
      </c>
      <c r="AJ5038">
        <v>67.628238286098806</v>
      </c>
      <c r="AK5038">
        <v>8.9550122390826594</v>
      </c>
    </row>
    <row r="5039" spans="1:37" x14ac:dyDescent="0.2">
      <c r="A5039" t="str">
        <f>"20200111153532049"</f>
        <v>20200111153532049</v>
      </c>
      <c r="B5039" t="str">
        <f>"1578728132041441"</f>
        <v>1578728132041441</v>
      </c>
      <c r="C5039" t="s">
        <v>37</v>
      </c>
      <c r="D5039">
        <v>5.3097580000000004</v>
      </c>
      <c r="E5039">
        <v>0.59930039999999996</v>
      </c>
      <c r="F5039" t="s">
        <v>39</v>
      </c>
      <c r="G5039">
        <v>-320.1422</v>
      </c>
      <c r="H5039" s="1">
        <v>-5.6734889999999999E-6</v>
      </c>
      <c r="I5039">
        <v>13.7918</v>
      </c>
      <c r="J5039">
        <v>-328.73880000000003</v>
      </c>
      <c r="K5039">
        <v>1.102169</v>
      </c>
      <c r="L5039">
        <v>17.32855</v>
      </c>
      <c r="M5039">
        <v>0.99990669999999904</v>
      </c>
      <c r="N5039">
        <v>0</v>
      </c>
      <c r="O5039">
        <v>8.7438539999999904E-4</v>
      </c>
      <c r="P5039">
        <v>0.99165000000000003</v>
      </c>
      <c r="Q5039">
        <v>-3.6129929999999901E-3</v>
      </c>
      <c r="R5039">
        <v>-0.1289073</v>
      </c>
      <c r="S5039">
        <v>2.8741150000000002</v>
      </c>
      <c r="T5039">
        <v>-0.36234309999999997</v>
      </c>
      <c r="U5039">
        <v>-1.1630860000000001</v>
      </c>
      <c r="V5039">
        <v>0.1298327</v>
      </c>
      <c r="W5039">
        <v>9.109196E-3</v>
      </c>
      <c r="X5039">
        <v>0.99149409999999905</v>
      </c>
      <c r="Y5039">
        <v>0.37338769999999999</v>
      </c>
      <c r="Z5039">
        <v>-2.2670760000000002E-2</v>
      </c>
      <c r="AA5039">
        <v>0.92739830000000001</v>
      </c>
      <c r="AB5039">
        <v>30</v>
      </c>
      <c r="AC5039">
        <v>8.59660000000002</v>
      </c>
      <c r="AD5039">
        <v>-1.1021746734889999</v>
      </c>
      <c r="AE5039">
        <v>-3.5367500000000001</v>
      </c>
      <c r="AF5039">
        <v>3.4951301177818799</v>
      </c>
      <c r="AG5039">
        <v>-1.1021746734889999</v>
      </c>
      <c r="AH5039">
        <v>8.4743678113644005</v>
      </c>
      <c r="AI5039">
        <v>96.856048852672203</v>
      </c>
      <c r="AJ5039">
        <v>67.587010828571096</v>
      </c>
      <c r="AK5039">
        <v>9.23285618611032</v>
      </c>
    </row>
    <row r="5040" spans="1:37" x14ac:dyDescent="0.2">
      <c r="A5040" t="str">
        <f>"20200111153532062"</f>
        <v>20200111153532062</v>
      </c>
      <c r="B5040" t="str">
        <f>"1578728132051199"</f>
        <v>1578728132051199</v>
      </c>
      <c r="C5040" t="s">
        <v>37</v>
      </c>
      <c r="D5040">
        <v>5.2867470000000001</v>
      </c>
      <c r="E5040">
        <v>0.59932810000000003</v>
      </c>
      <c r="F5040" t="s">
        <v>38</v>
      </c>
      <c r="G5040">
        <v>-319.34930000000003</v>
      </c>
      <c r="H5040">
        <v>-0.05</v>
      </c>
      <c r="I5040">
        <v>13.498339999999899</v>
      </c>
      <c r="J5040">
        <v>-328.57650000000001</v>
      </c>
      <c r="K5040">
        <v>1.1020920000000001</v>
      </c>
      <c r="L5040">
        <v>17.326899999999998</v>
      </c>
      <c r="M5040">
        <v>0.99990650000000003</v>
      </c>
      <c r="N5040">
        <v>0</v>
      </c>
      <c r="O5040">
        <v>-9.7973520000000009E-4</v>
      </c>
      <c r="P5040">
        <v>0.99141619999999997</v>
      </c>
      <c r="Q5040">
        <v>-3.1737659999999902E-3</v>
      </c>
      <c r="R5040">
        <v>-0.13070570000000001</v>
      </c>
      <c r="S5040">
        <v>2.8717039999999998</v>
      </c>
      <c r="T5040">
        <v>-0.35238370000000002</v>
      </c>
      <c r="U5040">
        <v>-1.171448</v>
      </c>
      <c r="V5040">
        <v>0.129797</v>
      </c>
      <c r="W5040">
        <v>9.5278419999999999E-3</v>
      </c>
      <c r="X5040">
        <v>0.99149480000000001</v>
      </c>
      <c r="Y5040">
        <v>0.37440029999999902</v>
      </c>
      <c r="Z5040">
        <v>-2.1898839999999999E-2</v>
      </c>
      <c r="AA5040">
        <v>0.92700859999999996</v>
      </c>
      <c r="AB5040">
        <v>30</v>
      </c>
      <c r="AC5040">
        <v>9.2271999999999803</v>
      </c>
      <c r="AD5040">
        <v>-1.1520919999999999</v>
      </c>
      <c r="AE5040">
        <v>-3.82856</v>
      </c>
      <c r="AF5040">
        <v>3.7693847424611899</v>
      </c>
      <c r="AG5040">
        <v>-1.1520919999999999</v>
      </c>
      <c r="AH5040">
        <v>9.1097878067427303</v>
      </c>
      <c r="AI5040">
        <v>96.665292042282303</v>
      </c>
      <c r="AJ5040">
        <v>67.521546310299897</v>
      </c>
      <c r="AK5040">
        <v>9.92591613892853</v>
      </c>
    </row>
    <row r="5041" spans="1:37" x14ac:dyDescent="0.2">
      <c r="A5041" t="str">
        <f>"20200111153532075"</f>
        <v>20200111153532075</v>
      </c>
      <c r="B5041" t="str">
        <f>"1578728132070721"</f>
        <v>1578728132070721</v>
      </c>
      <c r="C5041" t="s">
        <v>37</v>
      </c>
      <c r="D5041">
        <v>5.3226069999999996</v>
      </c>
      <c r="E5041">
        <v>0.5988772</v>
      </c>
      <c r="F5041" t="s">
        <v>38</v>
      </c>
      <c r="G5041">
        <v>-319.04910000000001</v>
      </c>
      <c r="H5041">
        <v>-0.05</v>
      </c>
      <c r="I5041">
        <v>13.41925</v>
      </c>
      <c r="J5041">
        <v>-328.40269999999998</v>
      </c>
      <c r="K5041">
        <v>1.1020110000000001</v>
      </c>
      <c r="L5041">
        <v>17.32471</v>
      </c>
      <c r="M5041">
        <v>0.99990249999999903</v>
      </c>
      <c r="N5041">
        <v>0</v>
      </c>
      <c r="O5041">
        <v>-3.0349840000000001E-3</v>
      </c>
      <c r="P5041">
        <v>0.99113449999999903</v>
      </c>
      <c r="Q5041">
        <v>-2.7415870000000002E-3</v>
      </c>
      <c r="R5041">
        <v>-0.13283529999999999</v>
      </c>
      <c r="S5041">
        <v>2.8696899999999999</v>
      </c>
      <c r="T5041">
        <v>-0.34701490000000002</v>
      </c>
      <c r="U5041">
        <v>-1.1770020000000001</v>
      </c>
      <c r="V5041">
        <v>0.12989400000000001</v>
      </c>
      <c r="W5041">
        <v>9.936472E-3</v>
      </c>
      <c r="X5041">
        <v>0.99147809999999903</v>
      </c>
      <c r="Y5041">
        <v>0.37434590000000001</v>
      </c>
      <c r="Z5041">
        <v>-2.1332529999999999E-2</v>
      </c>
      <c r="AA5041">
        <v>0.92704370000000003</v>
      </c>
      <c r="AB5041">
        <v>30</v>
      </c>
      <c r="AC5041">
        <v>9.3535999999999699</v>
      </c>
      <c r="AD5041">
        <v>-1.1520109999999999</v>
      </c>
      <c r="AE5041">
        <v>-3.9054599999999899</v>
      </c>
      <c r="AF5041">
        <v>3.8276099185114698</v>
      </c>
      <c r="AG5041">
        <v>-1.1520109999999999</v>
      </c>
      <c r="AH5041">
        <v>9.2459802367300892</v>
      </c>
      <c r="AI5041">
        <v>96.567053496716795</v>
      </c>
      <c r="AJ5041">
        <v>67.511640104755202</v>
      </c>
      <c r="AK5041">
        <v>10.0730272297066</v>
      </c>
    </row>
    <row r="5042" spans="1:37" x14ac:dyDescent="0.2">
      <c r="A5042" t="str">
        <f>"20200111153532088"</f>
        <v>20200111153532088</v>
      </c>
      <c r="B5042" t="str">
        <f>"1578728132080480"</f>
        <v>1578728132080480</v>
      </c>
      <c r="C5042" t="s">
        <v>37</v>
      </c>
      <c r="D5042">
        <v>5.330749</v>
      </c>
      <c r="E5042">
        <v>0.59886159999999999</v>
      </c>
      <c r="F5042" t="s">
        <v>38</v>
      </c>
      <c r="G5042">
        <v>-318.7756</v>
      </c>
      <c r="H5042">
        <v>-0.05</v>
      </c>
      <c r="I5042">
        <v>13.36449</v>
      </c>
      <c r="J5042">
        <v>-328.23059999999998</v>
      </c>
      <c r="K5042">
        <v>1.101931</v>
      </c>
      <c r="L5042">
        <v>17.322050000000001</v>
      </c>
      <c r="M5042">
        <v>0.9998937</v>
      </c>
      <c r="N5042">
        <v>0</v>
      </c>
      <c r="O5042">
        <v>-5.1405180000000002E-3</v>
      </c>
      <c r="P5042">
        <v>0.99090909999999999</v>
      </c>
      <c r="Q5042">
        <v>-2.294641E-3</v>
      </c>
      <c r="R5042">
        <v>-0.1345152</v>
      </c>
      <c r="S5042">
        <v>2.86776699999999</v>
      </c>
      <c r="T5042">
        <v>-0.34316639999999998</v>
      </c>
      <c r="U5042">
        <v>-1.1796879999999901</v>
      </c>
      <c r="V5042">
        <v>0.12949150000000001</v>
      </c>
      <c r="W5042">
        <v>1.036465E-2</v>
      </c>
      <c r="X5042">
        <v>0.99152640000000003</v>
      </c>
      <c r="Y5042">
        <v>0.37342389999999998</v>
      </c>
      <c r="Z5042">
        <v>-2.081276E-2</v>
      </c>
      <c r="AA5042">
        <v>0.92742729999999995</v>
      </c>
      <c r="AB5042">
        <v>30</v>
      </c>
      <c r="AC5042">
        <v>9.4549999999999805</v>
      </c>
      <c r="AD5042">
        <v>-1.151931</v>
      </c>
      <c r="AE5042">
        <v>-3.95756</v>
      </c>
      <c r="AF5042">
        <v>3.8601442664195602</v>
      </c>
      <c r="AG5042">
        <v>-1.151931</v>
      </c>
      <c r="AH5042">
        <v>9.3570373760985497</v>
      </c>
      <c r="AI5042">
        <v>96.492595231781493</v>
      </c>
      <c r="AJ5042">
        <v>67.581935489524497</v>
      </c>
      <c r="AK5042">
        <v>10.187335630283201</v>
      </c>
    </row>
    <row r="5043" spans="1:37" x14ac:dyDescent="0.2">
      <c r="A5043" t="str">
        <f>"20200111153532100"</f>
        <v>20200111153532100</v>
      </c>
      <c r="B5043" t="str">
        <f>"1578728132091216"</f>
        <v>1578728132091216</v>
      </c>
      <c r="C5043" t="s">
        <v>37</v>
      </c>
      <c r="D5043">
        <v>5.3341430000000001</v>
      </c>
      <c r="E5043">
        <v>0.5988059</v>
      </c>
      <c r="F5043" t="s">
        <v>38</v>
      </c>
      <c r="G5043">
        <v>-318.59679999999997</v>
      </c>
      <c r="H5043">
        <v>-0.05</v>
      </c>
      <c r="I5043">
        <v>13.340909999999999</v>
      </c>
      <c r="J5043">
        <v>-328.06560000000002</v>
      </c>
      <c r="K5043">
        <v>1.101855</v>
      </c>
      <c r="L5043">
        <v>17.319269999999999</v>
      </c>
      <c r="M5043">
        <v>0.99988099999999902</v>
      </c>
      <c r="N5043">
        <v>0</v>
      </c>
      <c r="O5043">
        <v>-7.1973419999999998E-3</v>
      </c>
      <c r="P5043">
        <v>0.99071379999999998</v>
      </c>
      <c r="Q5043">
        <v>-1.742625E-3</v>
      </c>
      <c r="R5043">
        <v>-0.1359532</v>
      </c>
      <c r="S5043">
        <v>2.8659669999999999</v>
      </c>
      <c r="T5043">
        <v>-0.34269080000000002</v>
      </c>
      <c r="U5043">
        <v>-1.1843569999999899</v>
      </c>
      <c r="V5043">
        <v>0.12889680000000001</v>
      </c>
      <c r="W5043">
        <v>1.0901539999999999E-2</v>
      </c>
      <c r="X5043">
        <v>0.99159809999999904</v>
      </c>
      <c r="Y5043">
        <v>0.37303439999999999</v>
      </c>
      <c r="Z5043">
        <v>-2.0532269999999998E-2</v>
      </c>
      <c r="AA5043">
        <v>0.92759029999999998</v>
      </c>
      <c r="AB5043">
        <v>30</v>
      </c>
      <c r="AC5043">
        <v>9.4688000000000407</v>
      </c>
      <c r="AD5043">
        <v>-1.1518550000000001</v>
      </c>
      <c r="AE5043">
        <v>-3.9783599999999901</v>
      </c>
      <c r="AF5043">
        <v>3.8615310485337102</v>
      </c>
      <c r="AG5043">
        <v>-1.1518550000000001</v>
      </c>
      <c r="AH5043">
        <v>9.3792215324199297</v>
      </c>
      <c r="AI5043">
        <v>96.478818878691499</v>
      </c>
      <c r="AJ5043">
        <v>67.622483635814007</v>
      </c>
      <c r="AK5043">
        <v>10.208231410681501</v>
      </c>
    </row>
    <row r="5044" spans="1:37" x14ac:dyDescent="0.2">
      <c r="A5044" t="str">
        <f>"20200111153532121"</f>
        <v>20200111153532121</v>
      </c>
      <c r="B5044" t="str">
        <f>"1578728132110735"</f>
        <v>1578728132110735</v>
      </c>
      <c r="C5044" t="s">
        <v>37</v>
      </c>
      <c r="D5044">
        <v>5.3173599999999999</v>
      </c>
      <c r="E5044">
        <v>0.59906630000000005</v>
      </c>
      <c r="F5044" t="s">
        <v>38</v>
      </c>
      <c r="G5044">
        <v>-318.38819999999998</v>
      </c>
      <c r="H5044">
        <v>-0.05</v>
      </c>
      <c r="I5044">
        <v>13.305249999999999</v>
      </c>
      <c r="J5044">
        <v>-327.80959999999999</v>
      </c>
      <c r="K5044">
        <v>1.1017399999999999</v>
      </c>
      <c r="L5044">
        <v>17.314</v>
      </c>
      <c r="M5044">
        <v>0.99985159999999995</v>
      </c>
      <c r="N5044">
        <v>0</v>
      </c>
      <c r="O5044">
        <v>-1.0521600000000001E-2</v>
      </c>
      <c r="P5044">
        <v>0.99042209999999997</v>
      </c>
      <c r="Q5044">
        <v>-1.4206449999999999E-3</v>
      </c>
      <c r="R5044">
        <v>-0.1380672</v>
      </c>
      <c r="S5044">
        <v>2.8644409999999998</v>
      </c>
      <c r="T5044">
        <v>-0.34093839999999997</v>
      </c>
      <c r="U5044">
        <v>-1.18811</v>
      </c>
      <c r="V5044">
        <v>0.12772159999999999</v>
      </c>
      <c r="W5044">
        <v>1.120288E-2</v>
      </c>
      <c r="X5044">
        <v>0.99174680000000004</v>
      </c>
      <c r="Y5044">
        <v>0.37121749999999998</v>
      </c>
      <c r="Z5044">
        <v>-1.995106E-2</v>
      </c>
      <c r="AA5044">
        <v>0.92833159999999904</v>
      </c>
      <c r="AB5044">
        <v>29</v>
      </c>
      <c r="AC5044">
        <v>9.4214000000000002</v>
      </c>
      <c r="AD5044">
        <v>-1.15174</v>
      </c>
      <c r="AE5044">
        <v>-4.00875</v>
      </c>
      <c r="AF5044">
        <v>3.8605411839413999</v>
      </c>
      <c r="AG5044">
        <v>-1.15174</v>
      </c>
      <c r="AH5044">
        <v>9.3448159320586601</v>
      </c>
      <c r="AI5044">
        <v>96.498622329811894</v>
      </c>
      <c r="AJ5044">
        <v>67.553444644351302</v>
      </c>
      <c r="AK5044">
        <v>10.1762403698303</v>
      </c>
    </row>
    <row r="5045" spans="1:37" x14ac:dyDescent="0.2">
      <c r="A5045" t="str">
        <f>"20200111153532132"</f>
        <v>20200111153532132</v>
      </c>
      <c r="B5045" t="str">
        <f>"1578728132121003"</f>
        <v>1578728132121003</v>
      </c>
      <c r="C5045" t="s">
        <v>37</v>
      </c>
      <c r="D5045">
        <v>5.3708799999999997</v>
      </c>
      <c r="E5045">
        <v>0.59909419999999902</v>
      </c>
      <c r="F5045" t="s">
        <v>38</v>
      </c>
      <c r="G5045">
        <v>-318.12920000000003</v>
      </c>
      <c r="H5045">
        <v>-0.05</v>
      </c>
      <c r="I5045">
        <v>13.2682</v>
      </c>
      <c r="J5045">
        <v>-327.63670000000002</v>
      </c>
      <c r="K5045">
        <v>1.1016649999999999</v>
      </c>
      <c r="L5045">
        <v>17.309809999999999</v>
      </c>
      <c r="M5045">
        <v>0.99982409999999999</v>
      </c>
      <c r="N5045">
        <v>0</v>
      </c>
      <c r="O5045">
        <v>-1.284945E-2</v>
      </c>
      <c r="P5045">
        <v>0.99016389999999999</v>
      </c>
      <c r="Q5045">
        <v>-1.690565E-3</v>
      </c>
      <c r="R5045">
        <v>-0.139902</v>
      </c>
      <c r="S5045">
        <v>2.8617859999999999</v>
      </c>
      <c r="T5045">
        <v>-0.34048600000000001</v>
      </c>
      <c r="U5045">
        <v>-1.196045</v>
      </c>
      <c r="V5045">
        <v>0.12725029999999901</v>
      </c>
      <c r="W5045">
        <v>1.091727E-2</v>
      </c>
      <c r="X5045">
        <v>0.99181059999999999</v>
      </c>
      <c r="Y5045">
        <v>0.37157279999999998</v>
      </c>
      <c r="Z5045">
        <v>-1.968715E-2</v>
      </c>
      <c r="AA5045">
        <v>0.92819509999999905</v>
      </c>
      <c r="AB5045">
        <v>29</v>
      </c>
      <c r="AC5045">
        <v>9.5074999999999896</v>
      </c>
      <c r="AD5045">
        <v>-1.1516649999999999</v>
      </c>
      <c r="AE5045">
        <v>-4.0416099999999897</v>
      </c>
      <c r="AF5045">
        <v>3.8709926724272399</v>
      </c>
      <c r="AG5045">
        <v>-1.1516649999999999</v>
      </c>
      <c r="AH5045">
        <v>9.4413219559048898</v>
      </c>
      <c r="AI5045">
        <v>96.439338160980796</v>
      </c>
      <c r="AJ5045">
        <v>67.706107592823798</v>
      </c>
      <c r="AK5045">
        <v>10.268859567511001</v>
      </c>
    </row>
    <row r="5046" spans="1:37" x14ac:dyDescent="0.2">
      <c r="A5046" t="str">
        <f>"20200111153532150"</f>
        <v>20200111153532150</v>
      </c>
      <c r="B5046" t="str">
        <f>"1578728132140523"</f>
        <v>1578728132140523</v>
      </c>
      <c r="C5046" t="s">
        <v>37</v>
      </c>
      <c r="D5046">
        <v>5.3616769999999896</v>
      </c>
      <c r="E5046">
        <v>0.59933840000000005</v>
      </c>
      <c r="F5046" t="s">
        <v>38</v>
      </c>
      <c r="G5046">
        <v>-318.01209999999998</v>
      </c>
      <c r="H5046">
        <v>-0.05</v>
      </c>
      <c r="I5046">
        <v>13.264849999999999</v>
      </c>
      <c r="J5046">
        <v>-327.41800000000001</v>
      </c>
      <c r="K5046">
        <v>1.101572</v>
      </c>
      <c r="L5046">
        <v>17.303889999999999</v>
      </c>
      <c r="M5046">
        <v>0.99978089999999997</v>
      </c>
      <c r="N5046">
        <v>0</v>
      </c>
      <c r="O5046">
        <v>-1.5857900000000001E-2</v>
      </c>
      <c r="P5046">
        <v>0.98986700000000005</v>
      </c>
      <c r="Q5046">
        <v>-1.8853189999999899E-3</v>
      </c>
      <c r="R5046">
        <v>-0.14198569999999999</v>
      </c>
      <c r="S5046">
        <v>2.8594059999999999</v>
      </c>
      <c r="T5046">
        <v>-0.34214909999999998</v>
      </c>
      <c r="U5046">
        <v>-1.20172099999999</v>
      </c>
      <c r="V5046">
        <v>0.1263543</v>
      </c>
      <c r="W5046">
        <v>1.0707950000000001E-2</v>
      </c>
      <c r="X5046">
        <v>0.99192739999999902</v>
      </c>
      <c r="Y5046">
        <v>0.37062590000000001</v>
      </c>
      <c r="Z5046">
        <v>-1.9392639999999999E-2</v>
      </c>
      <c r="AA5046">
        <v>0.92857969999999901</v>
      </c>
      <c r="AB5046">
        <v>29</v>
      </c>
      <c r="AC5046">
        <v>9.4059000000000292</v>
      </c>
      <c r="AD5046">
        <v>-1.151572</v>
      </c>
      <c r="AE5046">
        <v>-4.03904</v>
      </c>
      <c r="AF5046">
        <v>3.8407531067534899</v>
      </c>
      <c r="AG5046">
        <v>-1.151572</v>
      </c>
      <c r="AH5046">
        <v>9.3504379900154593</v>
      </c>
      <c r="AI5046">
        <v>96.499172977239596</v>
      </c>
      <c r="AJ5046">
        <v>67.669274459275101</v>
      </c>
      <c r="AK5046">
        <v>10.173897635780699</v>
      </c>
    </row>
    <row r="5047" spans="1:37" x14ac:dyDescent="0.2">
      <c r="A5047" t="str">
        <f>"20200111153532161"</f>
        <v>20200111153532161</v>
      </c>
      <c r="B5047" t="str">
        <f>"1578728132151261"</f>
        <v>1578728132151261</v>
      </c>
      <c r="C5047" t="s">
        <v>37</v>
      </c>
      <c r="D5047">
        <v>5.3585510000000003</v>
      </c>
      <c r="E5047">
        <v>0.59939560000000003</v>
      </c>
      <c r="F5047" t="s">
        <v>38</v>
      </c>
      <c r="G5047">
        <v>-317.83049999999997</v>
      </c>
      <c r="H5047">
        <v>-0.05</v>
      </c>
      <c r="I5047">
        <v>13.2446299999999</v>
      </c>
      <c r="J5047">
        <v>-327.26400000000001</v>
      </c>
      <c r="K5047">
        <v>1.1015079999999999</v>
      </c>
      <c r="L5047">
        <v>17.299410000000002</v>
      </c>
      <c r="M5047">
        <v>0.99974430000000003</v>
      </c>
      <c r="N5047">
        <v>0</v>
      </c>
      <c r="O5047">
        <v>-1.801647E-2</v>
      </c>
      <c r="P5047">
        <v>0.98959490000000006</v>
      </c>
      <c r="Q5047">
        <v>-2.037184E-3</v>
      </c>
      <c r="R5047">
        <v>-0.14386740000000001</v>
      </c>
      <c r="S5047">
        <v>2.8565669999999899</v>
      </c>
      <c r="T5047">
        <v>-0.34310639999999998</v>
      </c>
      <c r="U5047">
        <v>-1.2094419999999999</v>
      </c>
      <c r="V5047">
        <v>0.12609899999999999</v>
      </c>
      <c r="W5047">
        <v>1.054298E-2</v>
      </c>
      <c r="X5047">
        <v>0.99196169999999995</v>
      </c>
      <c r="Y5047">
        <v>0.37108000000000002</v>
      </c>
      <c r="Z5047">
        <v>-1.9233239999999999E-2</v>
      </c>
      <c r="AA5047">
        <v>0.9284017</v>
      </c>
      <c r="AB5047">
        <v>29</v>
      </c>
      <c r="AC5047">
        <v>9.4335000000000306</v>
      </c>
      <c r="AD5047">
        <v>-1.151508</v>
      </c>
      <c r="AE5047">
        <v>-4.0547800000000001</v>
      </c>
      <c r="AF5047">
        <v>3.8359051327901401</v>
      </c>
      <c r="AG5047">
        <v>-1.151508</v>
      </c>
      <c r="AH5047">
        <v>9.3869726733840295</v>
      </c>
      <c r="AI5047">
        <v>96.478500811261398</v>
      </c>
      <c r="AJ5047">
        <v>67.7730452169112</v>
      </c>
      <c r="AK5047">
        <v>10.205655041823</v>
      </c>
    </row>
    <row r="5048" spans="1:37" x14ac:dyDescent="0.2">
      <c r="A5048" t="str">
        <f>"20200111153532173"</f>
        <v>20200111153532173</v>
      </c>
      <c r="B5048" t="str">
        <f>"1578728132161019"</f>
        <v>1578728132161019</v>
      </c>
      <c r="C5048" t="s">
        <v>37</v>
      </c>
      <c r="D5048">
        <v>5.3162739999999999</v>
      </c>
      <c r="E5048">
        <v>0.59960409999999997</v>
      </c>
      <c r="F5048" t="s">
        <v>38</v>
      </c>
      <c r="G5048">
        <v>-317.7079</v>
      </c>
      <c r="H5048">
        <v>-0.05</v>
      </c>
      <c r="I5048">
        <v>13.23016</v>
      </c>
      <c r="J5048">
        <v>-327.10430000000002</v>
      </c>
      <c r="K5048">
        <v>1.1014440000000001</v>
      </c>
      <c r="L5048">
        <v>17.294250000000002</v>
      </c>
      <c r="M5048">
        <v>0.99970029999999999</v>
      </c>
      <c r="N5048">
        <v>0</v>
      </c>
      <c r="O5048">
        <v>-2.031084E-2</v>
      </c>
      <c r="P5048">
        <v>0.98929129999999998</v>
      </c>
      <c r="Q5048">
        <v>-2.2349000000000002E-3</v>
      </c>
      <c r="R5048">
        <v>-0.14593900000000001</v>
      </c>
      <c r="S5048">
        <v>2.854187</v>
      </c>
      <c r="T5048">
        <v>-0.34392919999999999</v>
      </c>
      <c r="U5048">
        <v>-1.2153929999999999</v>
      </c>
      <c r="V5048">
        <v>0.12589929999999999</v>
      </c>
      <c r="W5048">
        <v>1.033127E-2</v>
      </c>
      <c r="X5048">
        <v>0.99198929999999996</v>
      </c>
      <c r="Y5048">
        <v>0.37087300000000001</v>
      </c>
      <c r="Z5048">
        <v>-1.9010829999999999E-2</v>
      </c>
      <c r="AA5048">
        <v>0.92848899999999901</v>
      </c>
      <c r="AB5048">
        <v>29</v>
      </c>
      <c r="AC5048">
        <v>9.3964000000000194</v>
      </c>
      <c r="AD5048">
        <v>-1.1514439999999999</v>
      </c>
      <c r="AE5048">
        <v>-4.0640900000000002</v>
      </c>
      <c r="AF5048">
        <v>3.8240115870421199</v>
      </c>
      <c r="AG5048">
        <v>-1.1514439999999999</v>
      </c>
      <c r="AH5048">
        <v>9.3586285535697105</v>
      </c>
      <c r="AI5048">
        <v>96.497671325727396</v>
      </c>
      <c r="AJ5048">
        <v>67.774676625765593</v>
      </c>
      <c r="AK5048">
        <v>10.1751076803471</v>
      </c>
    </row>
    <row r="5049" spans="1:37" x14ac:dyDescent="0.2">
      <c r="A5049" t="str">
        <f>"20200111153532183"</f>
        <v>20200111153532183</v>
      </c>
      <c r="B5049" t="str">
        <f>"1578728132180539"</f>
        <v>1578728132180539</v>
      </c>
      <c r="C5049" t="s">
        <v>37</v>
      </c>
      <c r="D5049">
        <v>5.3229369999999996</v>
      </c>
      <c r="E5049">
        <v>0.59984159999999997</v>
      </c>
      <c r="F5049" t="s">
        <v>38</v>
      </c>
      <c r="G5049">
        <v>-317.5299</v>
      </c>
      <c r="H5049">
        <v>-0.05</v>
      </c>
      <c r="I5049">
        <v>13.18709</v>
      </c>
      <c r="J5049">
        <v>-326.97239999999999</v>
      </c>
      <c r="K5049">
        <v>1.1013899999999901</v>
      </c>
      <c r="L5049">
        <v>17.2897</v>
      </c>
      <c r="M5049">
        <v>0.99965939999999998</v>
      </c>
      <c r="N5049">
        <v>0</v>
      </c>
      <c r="O5049">
        <v>-2.2234050000000002E-2</v>
      </c>
      <c r="P5049">
        <v>0.98902710000000005</v>
      </c>
      <c r="Q5049">
        <v>-2.39755E-3</v>
      </c>
      <c r="R5049">
        <v>-0.14771670000000001</v>
      </c>
      <c r="S5049">
        <v>2.8512569999999999</v>
      </c>
      <c r="T5049">
        <v>-0.34289920000000002</v>
      </c>
      <c r="U5049">
        <v>-1.223114</v>
      </c>
      <c r="V5049">
        <v>0.12577379999999999</v>
      </c>
      <c r="W5049">
        <v>1.015771E-2</v>
      </c>
      <c r="X5049">
        <v>0.99200699999999997</v>
      </c>
      <c r="Y5049">
        <v>0.37157669999999998</v>
      </c>
      <c r="Z5049">
        <v>-1.8782549999999999E-2</v>
      </c>
      <c r="AA5049">
        <v>0.92821229999999999</v>
      </c>
      <c r="AB5049">
        <v>29</v>
      </c>
      <c r="AC5049">
        <v>9.4424999999999901</v>
      </c>
      <c r="AD5049">
        <v>-1.1513899999999999</v>
      </c>
      <c r="AE5049">
        <v>-4.1026099999999897</v>
      </c>
      <c r="AF5049">
        <v>3.84355765043553</v>
      </c>
      <c r="AG5049">
        <v>-1.1513899999999999</v>
      </c>
      <c r="AH5049">
        <v>9.4136501205674001</v>
      </c>
      <c r="AI5049">
        <v>96.460414223417601</v>
      </c>
      <c r="AJ5049">
        <v>67.789992464200907</v>
      </c>
      <c r="AK5049">
        <v>10.2330563829571</v>
      </c>
    </row>
    <row r="5050" spans="1:37" x14ac:dyDescent="0.2">
      <c r="A5050" t="str">
        <f>"20200111153532194"</f>
        <v>20200111153532194</v>
      </c>
      <c r="B5050" t="str">
        <f>"1578728132191276"</f>
        <v>1578728132191276</v>
      </c>
      <c r="C5050" t="s">
        <v>37</v>
      </c>
      <c r="D5050">
        <v>5.394298</v>
      </c>
      <c r="E5050">
        <v>0.59990749999999904</v>
      </c>
      <c r="F5050" t="s">
        <v>38</v>
      </c>
      <c r="G5050">
        <v>-317.4273</v>
      </c>
      <c r="H5050">
        <v>-0.05</v>
      </c>
      <c r="I5050">
        <v>13.16774</v>
      </c>
      <c r="J5050">
        <v>-326.82780000000002</v>
      </c>
      <c r="K5050">
        <v>1.101329</v>
      </c>
      <c r="L5050">
        <v>17.28436</v>
      </c>
      <c r="M5050">
        <v>0.99960939999999998</v>
      </c>
      <c r="N5050">
        <v>0</v>
      </c>
      <c r="O5050">
        <v>-2.4376120000000001E-2</v>
      </c>
      <c r="P5050">
        <v>0.98874709999999999</v>
      </c>
      <c r="Q5050">
        <v>-2.875837E-3</v>
      </c>
      <c r="R5050">
        <v>-0.14957029999999999</v>
      </c>
      <c r="S5050">
        <v>2.8487239999999998</v>
      </c>
      <c r="T5050">
        <v>-0.34363059999999901</v>
      </c>
      <c r="U5050">
        <v>-1.230194</v>
      </c>
      <c r="V5050">
        <v>0.1255047</v>
      </c>
      <c r="W5050">
        <v>9.6689789999999994E-3</v>
      </c>
      <c r="X5050">
        <v>0.99204590000000004</v>
      </c>
      <c r="Y5050">
        <v>0.3718361</v>
      </c>
      <c r="Z5050">
        <v>-1.8597869999999999E-2</v>
      </c>
      <c r="AA5050">
        <v>0.928112099999999</v>
      </c>
      <c r="AB5050">
        <v>29</v>
      </c>
      <c r="AC5050">
        <v>9.4005000000000205</v>
      </c>
      <c r="AD5050">
        <v>-1.151329</v>
      </c>
      <c r="AE5050">
        <v>-4.1166199999999904</v>
      </c>
      <c r="AF5050">
        <v>3.8379214575018499</v>
      </c>
      <c r="AG5050">
        <v>-1.151329</v>
      </c>
      <c r="AH5050">
        <v>9.3800014850790401</v>
      </c>
      <c r="AI5050">
        <v>96.481107694511095</v>
      </c>
      <c r="AJ5050">
        <v>67.747585065096203</v>
      </c>
      <c r="AK5050">
        <v>10.1999817372522</v>
      </c>
    </row>
    <row r="5051" spans="1:37" x14ac:dyDescent="0.2">
      <c r="A5051" t="str">
        <f>"20200111153532205"</f>
        <v>20200111153532205</v>
      </c>
      <c r="B5051" t="str">
        <f>"1578728132201037"</f>
        <v>1578728132201037</v>
      </c>
      <c r="C5051" t="s">
        <v>37</v>
      </c>
      <c r="D5051">
        <v>5.3265419999999999</v>
      </c>
      <c r="E5051">
        <v>0.60004969999999902</v>
      </c>
      <c r="F5051" t="s">
        <v>38</v>
      </c>
      <c r="G5051">
        <v>-317.35320000000002</v>
      </c>
      <c r="H5051">
        <v>-0.05</v>
      </c>
      <c r="I5051">
        <v>13.169189999999899</v>
      </c>
      <c r="J5051">
        <v>-326.6823</v>
      </c>
      <c r="K5051">
        <v>1.101272</v>
      </c>
      <c r="L5051">
        <v>17.278659999999999</v>
      </c>
      <c r="M5051">
        <v>0.99955339999999904</v>
      </c>
      <c r="N5051">
        <v>0</v>
      </c>
      <c r="O5051">
        <v>-2.6566940000000001E-2</v>
      </c>
      <c r="P5051">
        <v>0.9883885</v>
      </c>
      <c r="Q5051">
        <v>-3.2213739999999999E-3</v>
      </c>
      <c r="R5051">
        <v>-0.151914299999999</v>
      </c>
      <c r="S5051">
        <v>2.8461910000000001</v>
      </c>
      <c r="T5051">
        <v>-0.34586220000000001</v>
      </c>
      <c r="U5051">
        <v>-1.2362059999999999</v>
      </c>
      <c r="V5051">
        <v>0.1256814</v>
      </c>
      <c r="W5051">
        <v>9.3085080000000001E-3</v>
      </c>
      <c r="X5051">
        <v>0.99202699999999999</v>
      </c>
      <c r="Y5051">
        <v>0.37174040000000003</v>
      </c>
      <c r="Z5051">
        <v>-1.8466880000000001E-2</v>
      </c>
      <c r="AA5051">
        <v>0.92815300000000001</v>
      </c>
      <c r="AB5051">
        <v>29</v>
      </c>
      <c r="AC5051">
        <v>9.3290999999999809</v>
      </c>
      <c r="AD5051">
        <v>-1.1512720000000001</v>
      </c>
      <c r="AE5051">
        <v>-4.10947</v>
      </c>
      <c r="AF5051">
        <v>3.8115368269798702</v>
      </c>
      <c r="AG5051">
        <v>-1.1512720000000001</v>
      </c>
      <c r="AH5051">
        <v>9.3161713673849196</v>
      </c>
      <c r="AI5051">
        <v>96.524876519238305</v>
      </c>
      <c r="AJ5051">
        <v>67.748996422095999</v>
      </c>
      <c r="AK5051">
        <v>10.131351792721899</v>
      </c>
    </row>
    <row r="5052" spans="1:37" x14ac:dyDescent="0.2">
      <c r="A5052" t="str">
        <f>"20200111153532216"</f>
        <v>20200111153532216</v>
      </c>
      <c r="B5052" t="str">
        <f>"1578728132210795"</f>
        <v>1578728132210795</v>
      </c>
      <c r="C5052" t="s">
        <v>37</v>
      </c>
      <c r="D5052">
        <v>5.3349900000000003</v>
      </c>
      <c r="E5052">
        <v>0.60018800000000005</v>
      </c>
      <c r="F5052" t="s">
        <v>38</v>
      </c>
      <c r="G5052">
        <v>-317.267</v>
      </c>
      <c r="H5052">
        <v>-0.05</v>
      </c>
      <c r="I5052">
        <v>13.1577</v>
      </c>
      <c r="J5052">
        <v>-326.53730000000002</v>
      </c>
      <c r="K5052">
        <v>1.101218</v>
      </c>
      <c r="L5052">
        <v>17.272670000000002</v>
      </c>
      <c r="M5052">
        <v>0.9994923</v>
      </c>
      <c r="N5052">
        <v>0</v>
      </c>
      <c r="O5052">
        <v>-2.8773469999999999E-2</v>
      </c>
      <c r="P5052">
        <v>0.98801949999999905</v>
      </c>
      <c r="Q5052">
        <v>-3.9040939999999999E-3</v>
      </c>
      <c r="R5052">
        <v>-0.15428059999999999</v>
      </c>
      <c r="S5052">
        <v>2.8428650000000002</v>
      </c>
      <c r="T5052">
        <v>-0.34761799999999998</v>
      </c>
      <c r="U5052">
        <v>-1.2442930000000001</v>
      </c>
      <c r="V5052">
        <v>0.12586240000000001</v>
      </c>
      <c r="W5052">
        <v>8.61187699999999E-3</v>
      </c>
      <c r="X5052">
        <v>0.99201039999999996</v>
      </c>
      <c r="Y5052">
        <v>0.3722953</v>
      </c>
      <c r="Z5052">
        <v>-1.8345810000000001E-2</v>
      </c>
      <c r="AA5052">
        <v>0.92793300000000001</v>
      </c>
      <c r="AB5052">
        <v>29</v>
      </c>
      <c r="AC5052">
        <v>9.2703000000000095</v>
      </c>
      <c r="AD5052">
        <v>-1.1512180000000001</v>
      </c>
      <c r="AE5052">
        <v>-4.1149699999999996</v>
      </c>
      <c r="AF5052">
        <v>3.7975776706077</v>
      </c>
      <c r="AG5052">
        <v>-1.1512180000000001</v>
      </c>
      <c r="AH5052">
        <v>9.2655056187324192</v>
      </c>
      <c r="AI5052">
        <v>96.558274728550899</v>
      </c>
      <c r="AJ5052">
        <v>67.713145383120093</v>
      </c>
      <c r="AK5052">
        <v>10.0795085901339</v>
      </c>
    </row>
    <row r="5053" spans="1:37" x14ac:dyDescent="0.2">
      <c r="A5053" t="str">
        <f>"20200111153532227"</f>
        <v>20200111153532227</v>
      </c>
      <c r="B5053" t="str">
        <f>"1578728132221063"</f>
        <v>1578728132221063</v>
      </c>
      <c r="C5053" t="s">
        <v>37</v>
      </c>
      <c r="D5053">
        <v>5.357119</v>
      </c>
      <c r="E5053">
        <v>0.600352</v>
      </c>
      <c r="F5053" t="s">
        <v>38</v>
      </c>
      <c r="G5053">
        <v>-317.19560000000001</v>
      </c>
      <c r="H5053">
        <v>-0.05</v>
      </c>
      <c r="I5053">
        <v>13.153379999999901</v>
      </c>
      <c r="J5053">
        <v>-326.3811</v>
      </c>
      <c r="K5053">
        <v>1.1011580000000001</v>
      </c>
      <c r="L5053">
        <v>17.265720000000002</v>
      </c>
      <c r="M5053">
        <v>0.99941959999999996</v>
      </c>
      <c r="N5053">
        <v>0</v>
      </c>
      <c r="O5053">
        <v>-3.1199310000000001E-2</v>
      </c>
      <c r="P5053">
        <v>0.98761100000000002</v>
      </c>
      <c r="Q5053">
        <v>-4.382197E-3</v>
      </c>
      <c r="R5053">
        <v>-0.1568619</v>
      </c>
      <c r="S5053">
        <v>2.8394469999999998</v>
      </c>
      <c r="T5053">
        <v>-0.3499177</v>
      </c>
      <c r="U5053">
        <v>-1.252075</v>
      </c>
      <c r="V5053">
        <v>0.12604399999999999</v>
      </c>
      <c r="W5053">
        <v>8.1193189999999998E-3</v>
      </c>
      <c r="X5053">
        <v>0.99199139999999997</v>
      </c>
      <c r="Y5053">
        <v>0.37257030000000002</v>
      </c>
      <c r="Z5053">
        <v>-1.8209369999999999E-2</v>
      </c>
      <c r="AA5053">
        <v>0.92782529999999996</v>
      </c>
      <c r="AB5053">
        <v>29</v>
      </c>
      <c r="AC5053">
        <v>9.1854999999999905</v>
      </c>
      <c r="AD5053">
        <v>-1.1511579999999999</v>
      </c>
      <c r="AE5053">
        <v>-4.1123399999999997</v>
      </c>
      <c r="AF5053">
        <v>3.7743477069419802</v>
      </c>
      <c r="AG5053">
        <v>-1.1511579999999999</v>
      </c>
      <c r="AH5053">
        <v>9.1891153698027495</v>
      </c>
      <c r="AI5053">
        <v>96.609948837722001</v>
      </c>
      <c r="AJ5053">
        <v>67.670027164963301</v>
      </c>
      <c r="AK5053">
        <v>10.0005353173421</v>
      </c>
    </row>
    <row r="5054" spans="1:37" x14ac:dyDescent="0.2">
      <c r="A5054" t="str">
        <f>"20200111153532240"</f>
        <v>20200111153532240</v>
      </c>
      <c r="B5054" t="str">
        <f>"1578728132230823"</f>
        <v>1578728132230823</v>
      </c>
      <c r="C5054" t="s">
        <v>37</v>
      </c>
      <c r="D5054">
        <v>5.2987489999999999</v>
      </c>
      <c r="E5054">
        <v>0.60055269999999905</v>
      </c>
      <c r="F5054" t="s">
        <v>38</v>
      </c>
      <c r="G5054">
        <v>-317.08089999999999</v>
      </c>
      <c r="H5054">
        <v>-0.05</v>
      </c>
      <c r="I5054">
        <v>13.1304</v>
      </c>
      <c r="J5054">
        <v>-326.22070000000002</v>
      </c>
      <c r="K5054">
        <v>1.1010979999999999</v>
      </c>
      <c r="L5054">
        <v>17.258329999999901</v>
      </c>
      <c r="M5054">
        <v>0.9993379</v>
      </c>
      <c r="N5054">
        <v>0</v>
      </c>
      <c r="O5054">
        <v>-3.3710759999999999E-2</v>
      </c>
      <c r="P5054">
        <v>0.98718790000000001</v>
      </c>
      <c r="Q5054">
        <v>-4.7529629999999998E-3</v>
      </c>
      <c r="R5054">
        <v>-0.15949279999999999</v>
      </c>
      <c r="S5054">
        <v>2.8358460000000001</v>
      </c>
      <c r="T5054">
        <v>-0.35101589999999999</v>
      </c>
      <c r="U5054">
        <v>-1.260956</v>
      </c>
      <c r="V5054">
        <v>0.1261922</v>
      </c>
      <c r="W5054">
        <v>7.7335700000000004E-3</v>
      </c>
      <c r="X5054">
        <v>0.99197570000000002</v>
      </c>
      <c r="Y5054">
        <v>0.37310189999999999</v>
      </c>
      <c r="Z5054">
        <v>-1.801285E-2</v>
      </c>
      <c r="AA5054">
        <v>0.92761550000000004</v>
      </c>
      <c r="AB5054">
        <v>29</v>
      </c>
      <c r="AC5054">
        <v>9.1398000000000295</v>
      </c>
      <c r="AD5054">
        <v>-1.151098</v>
      </c>
      <c r="AE5054">
        <v>-4.1279299999999903</v>
      </c>
      <c r="AF5054">
        <v>3.76780626123483</v>
      </c>
      <c r="AG5054">
        <v>-1.151098</v>
      </c>
      <c r="AH5054">
        <v>9.1531850871356095</v>
      </c>
      <c r="AI5054">
        <v>96.633246086950905</v>
      </c>
      <c r="AJ5054">
        <v>67.626032571746293</v>
      </c>
      <c r="AK5054">
        <v>9.9650483123347797</v>
      </c>
    </row>
    <row r="5055" spans="1:37" x14ac:dyDescent="0.2">
      <c r="A5055" t="str">
        <f>"20200111153532253"</f>
        <v>20200111153532253</v>
      </c>
      <c r="B5055" t="str">
        <f>"1578728132240582"</f>
        <v>1578728132240582</v>
      </c>
      <c r="C5055" t="s">
        <v>37</v>
      </c>
      <c r="D5055">
        <v>5.295687</v>
      </c>
      <c r="E5055">
        <v>0.600778699999999</v>
      </c>
      <c r="F5055" t="s">
        <v>38</v>
      </c>
      <c r="G5055">
        <v>-316.93650000000002</v>
      </c>
      <c r="H5055">
        <v>-0.05</v>
      </c>
      <c r="I5055">
        <v>13.09393</v>
      </c>
      <c r="J5055">
        <v>-326.05180000000001</v>
      </c>
      <c r="K5055">
        <v>1.101037</v>
      </c>
      <c r="L5055">
        <v>17.249849999999999</v>
      </c>
      <c r="M5055">
        <v>0.99924329999999995</v>
      </c>
      <c r="N5055">
        <v>0</v>
      </c>
      <c r="O5055">
        <v>-3.6407839999999997E-2</v>
      </c>
      <c r="P5055">
        <v>0.9867051</v>
      </c>
      <c r="Q5055">
        <v>-5.1857220000000002E-3</v>
      </c>
      <c r="R5055">
        <v>-0.162439</v>
      </c>
      <c r="S5055">
        <v>2.832001</v>
      </c>
      <c r="T5055">
        <v>-0.3511263</v>
      </c>
      <c r="U5055">
        <v>-1.270294</v>
      </c>
      <c r="V5055">
        <v>0.12647339999999899</v>
      </c>
      <c r="W5055">
        <v>7.2853569999999897E-3</v>
      </c>
      <c r="X5055">
        <v>0.99194319999999903</v>
      </c>
      <c r="Y5055">
        <v>0.37362840000000003</v>
      </c>
      <c r="Z5055">
        <v>-1.774359E-2</v>
      </c>
      <c r="AA5055">
        <v>0.92740879999999903</v>
      </c>
      <c r="AB5055">
        <v>29</v>
      </c>
      <c r="AC5055">
        <v>9.1152999999999906</v>
      </c>
      <c r="AD5055">
        <v>-1.1510370000000001</v>
      </c>
      <c r="AE5055">
        <v>-4.1559199999999903</v>
      </c>
      <c r="AF5055">
        <v>3.7714763540980698</v>
      </c>
      <c r="AG5055">
        <v>-1.1510370000000001</v>
      </c>
      <c r="AH5055">
        <v>9.1399190883362404</v>
      </c>
      <c r="AI5055">
        <v>96.640122438552794</v>
      </c>
      <c r="AJ5055">
        <v>67.577104244459093</v>
      </c>
      <c r="AK5055">
        <v>9.9542473852232103</v>
      </c>
    </row>
    <row r="5056" spans="1:37" x14ac:dyDescent="0.2">
      <c r="A5056" t="str">
        <f>"20200111153532265"</f>
        <v>20200111153532265</v>
      </c>
      <c r="B5056" t="str">
        <f>"1578728132261080"</f>
        <v>1578728132261080</v>
      </c>
      <c r="C5056" t="s">
        <v>37</v>
      </c>
      <c r="D5056">
        <v>5.3452440000000001</v>
      </c>
      <c r="E5056">
        <v>0.60127469999999905</v>
      </c>
      <c r="F5056" t="s">
        <v>38</v>
      </c>
      <c r="G5056">
        <v>-316.79689999999999</v>
      </c>
      <c r="H5056">
        <v>-0.05</v>
      </c>
      <c r="I5056">
        <v>13.059100000000001</v>
      </c>
      <c r="J5056">
        <v>-325.88780000000003</v>
      </c>
      <c r="K5056">
        <v>1.100984</v>
      </c>
      <c r="L5056">
        <v>17.241209999999999</v>
      </c>
      <c r="M5056">
        <v>0.99914309999999995</v>
      </c>
      <c r="N5056">
        <v>0</v>
      </c>
      <c r="O5056">
        <v>-3.9058320000000001E-2</v>
      </c>
      <c r="P5056">
        <v>0.98619369999999995</v>
      </c>
      <c r="Q5056">
        <v>-5.6634759999999998E-3</v>
      </c>
      <c r="R5056">
        <v>-0.16550010000000001</v>
      </c>
      <c r="S5056">
        <v>2.8277890000000001</v>
      </c>
      <c r="T5056">
        <v>-0.35169229999999901</v>
      </c>
      <c r="U5056">
        <v>-1.280457</v>
      </c>
      <c r="V5056">
        <v>0.126917</v>
      </c>
      <c r="W5056">
        <v>6.7904119999999896E-3</v>
      </c>
      <c r="X5056">
        <v>0.9918901</v>
      </c>
      <c r="Y5056">
        <v>0.37445859999999997</v>
      </c>
      <c r="Z5056">
        <v>-1.7520890000000001E-2</v>
      </c>
      <c r="AA5056">
        <v>0.92707809999999902</v>
      </c>
      <c r="AB5056">
        <v>29</v>
      </c>
      <c r="AC5056">
        <v>9.0909000000000297</v>
      </c>
      <c r="AD5056">
        <v>-1.150984</v>
      </c>
      <c r="AE5056">
        <v>-4.18210999999999</v>
      </c>
      <c r="AF5056">
        <v>3.7738817168381602</v>
      </c>
      <c r="AG5056">
        <v>-1.150984</v>
      </c>
      <c r="AH5056">
        <v>9.1265799839700694</v>
      </c>
      <c r="AI5056">
        <v>96.647422164564802</v>
      </c>
      <c r="AJ5056">
        <v>67.534686335662698</v>
      </c>
      <c r="AK5056">
        <v>9.9429075015683708</v>
      </c>
    </row>
    <row r="5057" spans="1:37" x14ac:dyDescent="0.2">
      <c r="A5057" t="str">
        <f>"20200111153532278"</f>
        <v>20200111153532278</v>
      </c>
      <c r="B5057" t="str">
        <f>"1578728132270838"</f>
        <v>1578728132270838</v>
      </c>
      <c r="C5057" t="s">
        <v>37</v>
      </c>
      <c r="D5057">
        <v>5.337701</v>
      </c>
      <c r="E5057">
        <v>0.60149049999999904</v>
      </c>
      <c r="F5057" t="s">
        <v>38</v>
      </c>
      <c r="G5057">
        <v>-316.64580000000001</v>
      </c>
      <c r="H5057">
        <v>-0.05</v>
      </c>
      <c r="I5057">
        <v>13.00745</v>
      </c>
      <c r="J5057">
        <v>-325.71379999999999</v>
      </c>
      <c r="K5057">
        <v>1.1009309999999899</v>
      </c>
      <c r="L5057">
        <v>17.23169</v>
      </c>
      <c r="M5057">
        <v>0.99902809999999898</v>
      </c>
      <c r="N5057">
        <v>0</v>
      </c>
      <c r="O5057">
        <v>-4.1895380000000003E-2</v>
      </c>
      <c r="P5057">
        <v>0.98562799999999995</v>
      </c>
      <c r="Q5057">
        <v>-6.0597209999999997E-3</v>
      </c>
      <c r="R5057">
        <v>-0.16882339999999901</v>
      </c>
      <c r="S5057">
        <v>2.8229679999999999</v>
      </c>
      <c r="T5057">
        <v>-0.35157040000000001</v>
      </c>
      <c r="U5057">
        <v>-1.2932129999999999</v>
      </c>
      <c r="V5057">
        <v>0.1274411</v>
      </c>
      <c r="W5057">
        <v>6.3765250000000001E-3</v>
      </c>
      <c r="X5057">
        <v>0.99182559999999997</v>
      </c>
      <c r="Y5057">
        <v>0.37590020000000002</v>
      </c>
      <c r="Z5057">
        <v>-1.7277979999999998E-2</v>
      </c>
      <c r="AA5057">
        <v>0.92649910000000002</v>
      </c>
      <c r="AB5057">
        <v>29</v>
      </c>
      <c r="AC5057">
        <v>9.0679999999999801</v>
      </c>
      <c r="AD5057">
        <v>-1.1509309999999999</v>
      </c>
      <c r="AE5057">
        <v>-4.22424</v>
      </c>
      <c r="AF5057">
        <v>3.7904145915349399</v>
      </c>
      <c r="AG5057">
        <v>-1.1509309999999999</v>
      </c>
      <c r="AH5057">
        <v>9.1163583305732203</v>
      </c>
      <c r="AI5057">
        <v>96.649193712228595</v>
      </c>
      <c r="AJ5057">
        <v>67.423354757657904</v>
      </c>
      <c r="AK5057">
        <v>9.9398125814269598</v>
      </c>
    </row>
    <row r="5058" spans="1:37" x14ac:dyDescent="0.2">
      <c r="A5058" t="str">
        <f>"20200111153532291"</f>
        <v>20200111153532291</v>
      </c>
      <c r="B5058" t="str">
        <f>"1578728132280599"</f>
        <v>1578728132280599</v>
      </c>
      <c r="C5058" t="s">
        <v>37</v>
      </c>
      <c r="D5058">
        <v>5.3510299999999997</v>
      </c>
      <c r="E5058">
        <v>0.60166229999999998</v>
      </c>
      <c r="F5058" t="s">
        <v>38</v>
      </c>
      <c r="G5058">
        <v>-316.50200000000001</v>
      </c>
      <c r="H5058">
        <v>-0.05</v>
      </c>
      <c r="I5058">
        <v>12.9682</v>
      </c>
      <c r="J5058">
        <v>-325.5437</v>
      </c>
      <c r="K5058">
        <v>1.1008849999999999</v>
      </c>
      <c r="L5058">
        <v>17.221589999999999</v>
      </c>
      <c r="M5058">
        <v>0.99890540000000005</v>
      </c>
      <c r="N5058">
        <v>0</v>
      </c>
      <c r="O5058">
        <v>-4.4724099999999899E-2</v>
      </c>
      <c r="P5058">
        <v>0.98499499999999995</v>
      </c>
      <c r="Q5058">
        <v>-6.3317019999999998E-3</v>
      </c>
      <c r="R5058">
        <v>-0.1724676</v>
      </c>
      <c r="S5058">
        <v>2.8182070000000001</v>
      </c>
      <c r="T5058">
        <v>-0.35210999999999998</v>
      </c>
      <c r="U5058">
        <v>-1.304352</v>
      </c>
      <c r="V5058">
        <v>0.12829930000000001</v>
      </c>
      <c r="W5058">
        <v>6.084707E-3</v>
      </c>
      <c r="X5058">
        <v>0.99171679999999995</v>
      </c>
      <c r="Y5058">
        <v>0.37689499999999998</v>
      </c>
      <c r="Z5058">
        <v>-1.704288E-2</v>
      </c>
      <c r="AA5058">
        <v>0.92609920000000001</v>
      </c>
      <c r="AB5058">
        <v>29</v>
      </c>
      <c r="AC5058">
        <v>9.0416999999999899</v>
      </c>
      <c r="AD5058">
        <v>-1.1508849999999999</v>
      </c>
      <c r="AE5058">
        <v>-4.2533899999999996</v>
      </c>
      <c r="AF5058">
        <v>3.79437670695676</v>
      </c>
      <c r="AG5058">
        <v>-1.1508849999999999</v>
      </c>
      <c r="AH5058">
        <v>9.1021478412959205</v>
      </c>
      <c r="AI5058">
        <v>96.656678810497894</v>
      </c>
      <c r="AJ5058">
        <v>67.370400277895399</v>
      </c>
      <c r="AK5058">
        <v>9.9282891880892095</v>
      </c>
    </row>
    <row r="5059" spans="1:37" x14ac:dyDescent="0.2">
      <c r="A5059" t="str">
        <f>"20200111153532305"</f>
        <v>20200111153532305</v>
      </c>
      <c r="B5059" t="str">
        <f>"1578728132301095"</f>
        <v>1578728132301095</v>
      </c>
      <c r="C5059" t="s">
        <v>37</v>
      </c>
      <c r="D5059">
        <v>5.3482419999999999</v>
      </c>
      <c r="E5059">
        <v>0.60207349999999904</v>
      </c>
      <c r="F5059" t="s">
        <v>38</v>
      </c>
      <c r="G5059">
        <v>-316.37180000000001</v>
      </c>
      <c r="H5059">
        <v>-0.05</v>
      </c>
      <c r="I5059">
        <v>12.931179999999999</v>
      </c>
      <c r="J5059">
        <v>-325.3603</v>
      </c>
      <c r="K5059">
        <v>1.1008389999999999</v>
      </c>
      <c r="L5059">
        <v>17.210239999999999</v>
      </c>
      <c r="M5059">
        <v>0.9987627</v>
      </c>
      <c r="N5059">
        <v>0</v>
      </c>
      <c r="O5059">
        <v>-4.780334E-2</v>
      </c>
      <c r="P5059">
        <v>0.98416999999999999</v>
      </c>
      <c r="Q5059">
        <v>-5.9002129999999996E-3</v>
      </c>
      <c r="R5059">
        <v>-0.17712839999999999</v>
      </c>
      <c r="S5059">
        <v>2.8129879999999998</v>
      </c>
      <c r="T5059">
        <v>-0.35297249999999902</v>
      </c>
      <c r="U5059">
        <v>-1.3158570000000001</v>
      </c>
      <c r="V5059">
        <v>0.129941</v>
      </c>
      <c r="W5059">
        <v>6.4871490000000002E-3</v>
      </c>
      <c r="X5059">
        <v>0.99150049999999901</v>
      </c>
      <c r="Y5059">
        <v>0.37781100000000001</v>
      </c>
      <c r="Z5059">
        <v>-1.6789660000000001E-2</v>
      </c>
      <c r="AA5059">
        <v>0.92573050000000001</v>
      </c>
      <c r="AB5059">
        <v>29</v>
      </c>
      <c r="AC5059">
        <v>8.9884999999999806</v>
      </c>
      <c r="AD5059">
        <v>-1.1508389999999999</v>
      </c>
      <c r="AE5059">
        <v>-4.2790599999999896</v>
      </c>
      <c r="AF5059">
        <v>3.7937463559929898</v>
      </c>
      <c r="AG5059">
        <v>-1.1508389999999999</v>
      </c>
      <c r="AH5059">
        <v>9.0616931871897606</v>
      </c>
      <c r="AI5059">
        <v>96.681642952673002</v>
      </c>
      <c r="AJ5059">
        <v>67.283008257326003</v>
      </c>
      <c r="AK5059">
        <v>9.8909668504293506</v>
      </c>
    </row>
    <row r="5060" spans="1:37" x14ac:dyDescent="0.2">
      <c r="A5060" t="str">
        <f>"20200111153532317"</f>
        <v>20200111153532317</v>
      </c>
      <c r="B5060" t="str">
        <f>"1578728132310855"</f>
        <v>1578728132310855</v>
      </c>
      <c r="C5060" t="s">
        <v>37</v>
      </c>
      <c r="D5060">
        <v>5.3458079999999999</v>
      </c>
      <c r="E5060">
        <v>0.6022151</v>
      </c>
      <c r="F5060" t="s">
        <v>38</v>
      </c>
      <c r="G5060">
        <v>-316.17219999999998</v>
      </c>
      <c r="H5060">
        <v>-0.05</v>
      </c>
      <c r="I5060">
        <v>12.848509999999999</v>
      </c>
      <c r="J5060">
        <v>-325.2079</v>
      </c>
      <c r="K5060">
        <v>1.1008009999999999</v>
      </c>
      <c r="L5060">
        <v>17.200469999999999</v>
      </c>
      <c r="M5060">
        <v>0.99863579999999996</v>
      </c>
      <c r="N5060">
        <v>0</v>
      </c>
      <c r="O5060">
        <v>-5.0384600000000002E-2</v>
      </c>
      <c r="P5060">
        <v>0.98354580000000003</v>
      </c>
      <c r="Q5060">
        <v>-5.1457969999999997E-3</v>
      </c>
      <c r="R5060">
        <v>-0.1805871</v>
      </c>
      <c r="S5060">
        <v>2.8063959999999999</v>
      </c>
      <c r="T5060">
        <v>-0.35151250000000001</v>
      </c>
      <c r="U5060">
        <v>-1.3322449999999999</v>
      </c>
      <c r="V5060">
        <v>0.13087119999999999</v>
      </c>
      <c r="W5060">
        <v>7.2219390000000001E-3</v>
      </c>
      <c r="X5060">
        <v>0.99137310000000001</v>
      </c>
      <c r="Y5060">
        <v>0.38068759999999902</v>
      </c>
      <c r="Z5060">
        <v>-1.6603070000000001E-2</v>
      </c>
      <c r="AA5060">
        <v>0.9245546</v>
      </c>
      <c r="AB5060">
        <v>29</v>
      </c>
      <c r="AC5060">
        <v>9.0357000000000198</v>
      </c>
      <c r="AD5060">
        <v>-1.150801</v>
      </c>
      <c r="AE5060">
        <v>-4.3519600000000001</v>
      </c>
      <c r="AF5060">
        <v>3.8405613955534399</v>
      </c>
      <c r="AG5060">
        <v>-1.150801</v>
      </c>
      <c r="AH5060">
        <v>9.1233897467312293</v>
      </c>
      <c r="AI5060">
        <v>96.631248312105001</v>
      </c>
      <c r="AJ5060">
        <v>67.170964846069893</v>
      </c>
      <c r="AK5060">
        <v>9.9654651294044907</v>
      </c>
    </row>
    <row r="5061" spans="1:37" x14ac:dyDescent="0.2">
      <c r="A5061" t="str">
        <f>"20200111153532328"</f>
        <v>20200111153532328</v>
      </c>
      <c r="B5061" t="str">
        <f>"1578728132321122"</f>
        <v>1578728132321122</v>
      </c>
      <c r="C5061" t="s">
        <v>37</v>
      </c>
      <c r="D5061">
        <v>5.3411759999999999</v>
      </c>
      <c r="E5061">
        <v>0.60236109999999998</v>
      </c>
      <c r="F5061" t="s">
        <v>38</v>
      </c>
      <c r="G5061">
        <v>-315.97559999999999</v>
      </c>
      <c r="H5061">
        <v>-0.05</v>
      </c>
      <c r="I5061">
        <v>12.773539999999899</v>
      </c>
      <c r="J5061">
        <v>-325.06229999999999</v>
      </c>
      <c r="K5061">
        <v>1.10076</v>
      </c>
      <c r="L5061">
        <v>17.190550000000002</v>
      </c>
      <c r="M5061">
        <v>0.99850589999999995</v>
      </c>
      <c r="N5061">
        <v>0</v>
      </c>
      <c r="O5061">
        <v>-5.2892870000000002E-2</v>
      </c>
      <c r="P5061">
        <v>0.98293629999999999</v>
      </c>
      <c r="Q5061">
        <v>-4.7283239999999999E-3</v>
      </c>
      <c r="R5061">
        <v>-0.18388599999999999</v>
      </c>
      <c r="S5061">
        <v>2.801666</v>
      </c>
      <c r="T5061">
        <v>-0.3492265</v>
      </c>
      <c r="U5061">
        <v>-1.3434139999999899</v>
      </c>
      <c r="V5061">
        <v>0.13171179999999999</v>
      </c>
      <c r="W5061">
        <v>7.6215160000000001E-3</v>
      </c>
      <c r="X5061">
        <v>0.99125869999999905</v>
      </c>
      <c r="Y5061">
        <v>0.38200590000000001</v>
      </c>
      <c r="Z5061">
        <v>-1.6291750000000001E-2</v>
      </c>
      <c r="AA5061">
        <v>0.92401619999999995</v>
      </c>
      <c r="AB5061">
        <v>29</v>
      </c>
      <c r="AC5061">
        <v>9.0867000000000004</v>
      </c>
      <c r="AD5061">
        <v>-1.15076</v>
      </c>
      <c r="AE5061">
        <v>-4.4170100000000003</v>
      </c>
      <c r="AF5061">
        <v>3.8798263818515402</v>
      </c>
      <c r="AG5061">
        <v>-1.15076</v>
      </c>
      <c r="AH5061">
        <v>9.1884277824331093</v>
      </c>
      <c r="AI5061">
        <v>96.581469955410995</v>
      </c>
      <c r="AJ5061">
        <v>67.108030130051702</v>
      </c>
      <c r="AK5061">
        <v>10.0401447421787</v>
      </c>
    </row>
    <row r="5062" spans="1:37" x14ac:dyDescent="0.2">
      <c r="A5062" t="str">
        <f>"20200111153532339"</f>
        <v>20200111153532339</v>
      </c>
      <c r="B5062" t="str">
        <f>"1578728132330884"</f>
        <v>1578728132330884</v>
      </c>
      <c r="C5062" t="s">
        <v>37</v>
      </c>
      <c r="D5062">
        <v>5.3444989999999999</v>
      </c>
      <c r="E5062">
        <v>0.60254929999999995</v>
      </c>
      <c r="F5062" t="s">
        <v>38</v>
      </c>
      <c r="G5062">
        <v>-315.8048</v>
      </c>
      <c r="H5062">
        <v>-0.05</v>
      </c>
      <c r="I5062">
        <v>12.709439999999899</v>
      </c>
      <c r="J5062">
        <v>-324.91570000000002</v>
      </c>
      <c r="K5062">
        <v>1.100725</v>
      </c>
      <c r="L5062">
        <v>17.18036</v>
      </c>
      <c r="M5062">
        <v>0.99836840000000004</v>
      </c>
      <c r="N5062">
        <v>0</v>
      </c>
      <c r="O5062">
        <v>-5.5427150000000001E-2</v>
      </c>
      <c r="P5062">
        <v>0.98235980000000001</v>
      </c>
      <c r="Q5062">
        <v>-4.5377400000000002E-3</v>
      </c>
      <c r="R5062">
        <v>-0.18694520000000001</v>
      </c>
      <c r="S5062">
        <v>2.7971499999999998</v>
      </c>
      <c r="T5062">
        <v>-0.3477035</v>
      </c>
      <c r="U5062">
        <v>-1.3539729999999901</v>
      </c>
      <c r="V5062">
        <v>0.13228429999999999</v>
      </c>
      <c r="W5062">
        <v>7.7965109999999999E-3</v>
      </c>
      <c r="X5062">
        <v>0.99118109999999904</v>
      </c>
      <c r="Y5062">
        <v>0.38309929999999998</v>
      </c>
      <c r="Z5062">
        <v>-1.6001109999999999E-2</v>
      </c>
      <c r="AA5062">
        <v>0.92356849999999902</v>
      </c>
      <c r="AB5062">
        <v>29</v>
      </c>
      <c r="AC5062">
        <v>9.1109000000000098</v>
      </c>
      <c r="AD5062">
        <v>-1.150725</v>
      </c>
      <c r="AE5062">
        <v>-4.4709199999999996</v>
      </c>
      <c r="AF5062">
        <v>3.9087548087074602</v>
      </c>
      <c r="AG5062">
        <v>-1.150725</v>
      </c>
      <c r="AH5062">
        <v>9.2261115503682092</v>
      </c>
      <c r="AI5062">
        <v>96.551336876585395</v>
      </c>
      <c r="AJ5062">
        <v>67.039462249716095</v>
      </c>
      <c r="AK5062">
        <v>10.0858151143106</v>
      </c>
    </row>
    <row r="5063" spans="1:37" x14ac:dyDescent="0.2">
      <c r="A5063" t="str">
        <f>"20200111153532350"</f>
        <v>20200111153532350</v>
      </c>
      <c r="B5063" t="str">
        <f>"1578728132340643"</f>
        <v>1578728132340643</v>
      </c>
      <c r="C5063" t="s">
        <v>37</v>
      </c>
      <c r="D5063">
        <v>5.3443239999999896</v>
      </c>
      <c r="E5063">
        <v>0.60270009999999996</v>
      </c>
      <c r="F5063" t="s">
        <v>38</v>
      </c>
      <c r="G5063">
        <v>-315.63589999999999</v>
      </c>
      <c r="H5063">
        <v>-0.05</v>
      </c>
      <c r="I5063">
        <v>12.647089999999899</v>
      </c>
      <c r="J5063">
        <v>-324.77269999999999</v>
      </c>
      <c r="K5063">
        <v>1.1006849999999999</v>
      </c>
      <c r="L5063">
        <v>17.169799999999999</v>
      </c>
      <c r="M5063">
        <v>0.99822529999999998</v>
      </c>
      <c r="N5063">
        <v>0</v>
      </c>
      <c r="O5063">
        <v>-5.7949729999999998E-2</v>
      </c>
      <c r="P5063">
        <v>0.98172819999999905</v>
      </c>
      <c r="Q5063">
        <v>-4.0233659999999996E-3</v>
      </c>
      <c r="R5063">
        <v>-0.19024759999999999</v>
      </c>
      <c r="S5063">
        <v>2.792694</v>
      </c>
      <c r="T5063">
        <v>-0.34630229999999901</v>
      </c>
      <c r="U5063">
        <v>-1.364258</v>
      </c>
      <c r="V5063">
        <v>0.13311829999999999</v>
      </c>
      <c r="W5063">
        <v>8.2914519999999995E-3</v>
      </c>
      <c r="X5063">
        <v>0.99106550000000004</v>
      </c>
      <c r="Y5063">
        <v>0.38411899999999999</v>
      </c>
      <c r="Z5063">
        <v>-1.5714659999999998E-2</v>
      </c>
      <c r="AA5063">
        <v>0.92314989999999997</v>
      </c>
      <c r="AB5063">
        <v>29</v>
      </c>
      <c r="AC5063">
        <v>9.1367999999999903</v>
      </c>
      <c r="AD5063">
        <v>-1.150685</v>
      </c>
      <c r="AE5063">
        <v>-4.52271</v>
      </c>
      <c r="AF5063">
        <v>3.9354482726526099</v>
      </c>
      <c r="AG5063">
        <v>-1.150685</v>
      </c>
      <c r="AH5063">
        <v>9.2655206237261893</v>
      </c>
      <c r="AI5063">
        <v>96.520979749664207</v>
      </c>
      <c r="AJ5063">
        <v>66.9870691325753</v>
      </c>
      <c r="AK5063">
        <v>10.1322110866604</v>
      </c>
    </row>
    <row r="5064" spans="1:37" x14ac:dyDescent="0.2">
      <c r="A5064" t="str">
        <f>"20200111153532362"</f>
        <v>20200111153532362</v>
      </c>
      <c r="B5064" t="str">
        <f>"1578728132351379"</f>
        <v>1578728132351379</v>
      </c>
      <c r="C5064" t="s">
        <v>37</v>
      </c>
      <c r="D5064">
        <v>5.3188649999999997</v>
      </c>
      <c r="E5064">
        <v>0.60288199999999903</v>
      </c>
      <c r="F5064" t="s">
        <v>38</v>
      </c>
      <c r="G5064">
        <v>-315.46109999999999</v>
      </c>
      <c r="H5064">
        <v>-0.05</v>
      </c>
      <c r="I5064">
        <v>12.57741</v>
      </c>
      <c r="J5064">
        <v>-324.62389999999999</v>
      </c>
      <c r="K5064">
        <v>1.100638</v>
      </c>
      <c r="L5064">
        <v>17.1586</v>
      </c>
      <c r="M5064">
        <v>0.99806830000000002</v>
      </c>
      <c r="N5064">
        <v>0</v>
      </c>
      <c r="O5064">
        <v>-6.0591470000000001E-2</v>
      </c>
      <c r="P5064">
        <v>0.98110450000000005</v>
      </c>
      <c r="Q5064">
        <v>-3.34016E-3</v>
      </c>
      <c r="R5064">
        <v>-0.19345009999999899</v>
      </c>
      <c r="S5064">
        <v>2.7879330000000002</v>
      </c>
      <c r="T5064">
        <v>-0.34451769999999998</v>
      </c>
      <c r="U5064">
        <v>-1.3749690000000001</v>
      </c>
      <c r="V5064">
        <v>0.13373689999999999</v>
      </c>
      <c r="W5064">
        <v>8.9570929999999993E-3</v>
      </c>
      <c r="X5064">
        <v>0.99097639999999998</v>
      </c>
      <c r="Y5064">
        <v>0.3851849</v>
      </c>
      <c r="Z5064">
        <v>-1.540264E-2</v>
      </c>
      <c r="AA5064">
        <v>0.9227109</v>
      </c>
      <c r="AB5064">
        <v>29</v>
      </c>
      <c r="AC5064">
        <v>9.1628000000000007</v>
      </c>
      <c r="AD5064">
        <v>-1.1506379999999901</v>
      </c>
      <c r="AE5064">
        <v>-4.5811899999999897</v>
      </c>
      <c r="AF5064">
        <v>3.9674779588572799</v>
      </c>
      <c r="AG5064">
        <v>-1.1506379999999901</v>
      </c>
      <c r="AH5064">
        <v>9.3061629097733896</v>
      </c>
      <c r="AI5064">
        <v>96.488802641031995</v>
      </c>
      <c r="AJ5064">
        <v>66.9100902008161</v>
      </c>
      <c r="AK5064">
        <v>10.181822885137199</v>
      </c>
    </row>
    <row r="5065" spans="1:37" x14ac:dyDescent="0.2">
      <c r="A5065" t="str">
        <f>"20200111153532373"</f>
        <v>20200111153532373</v>
      </c>
      <c r="B5065" t="str">
        <f>"1578728132361139"</f>
        <v>1578728132361139</v>
      </c>
      <c r="C5065" t="s">
        <v>37</v>
      </c>
      <c r="D5065">
        <v>5.3331269999999904</v>
      </c>
      <c r="E5065">
        <v>0.60301359999999904</v>
      </c>
      <c r="F5065" t="s">
        <v>38</v>
      </c>
      <c r="G5065">
        <v>-315.26670000000001</v>
      </c>
      <c r="H5065">
        <v>-0.05</v>
      </c>
      <c r="I5065">
        <v>12.50122</v>
      </c>
      <c r="J5065">
        <v>-324.4753</v>
      </c>
      <c r="K5065">
        <v>1.100592</v>
      </c>
      <c r="L5065">
        <v>17.146879999999999</v>
      </c>
      <c r="M5065">
        <v>0.99790190000000001</v>
      </c>
      <c r="N5065">
        <v>0</v>
      </c>
      <c r="O5065">
        <v>-6.3268710000000006E-2</v>
      </c>
      <c r="P5065">
        <v>0.98044880000000001</v>
      </c>
      <c r="Q5065">
        <v>-3.023502E-3</v>
      </c>
      <c r="R5065">
        <v>-0.19675039999999999</v>
      </c>
      <c r="S5065">
        <v>2.7834469999999998</v>
      </c>
      <c r="T5065">
        <v>-0.34227529999999901</v>
      </c>
      <c r="U5065">
        <v>-1.3854059999999999</v>
      </c>
      <c r="V5065">
        <v>0.13441710000000001</v>
      </c>
      <c r="W5065">
        <v>9.2551040000000001E-3</v>
      </c>
      <c r="X5065">
        <v>0.99088159999999903</v>
      </c>
      <c r="Y5065">
        <v>0.38611309999999999</v>
      </c>
      <c r="Z5065">
        <v>-1.5059619999999999E-2</v>
      </c>
      <c r="AA5065">
        <v>0.9223285</v>
      </c>
      <c r="AB5065">
        <v>29</v>
      </c>
      <c r="AC5065">
        <v>9.2085999999999899</v>
      </c>
      <c r="AD5065">
        <v>-1.1505920000000001</v>
      </c>
      <c r="AE5065">
        <v>-4.6456599999999897</v>
      </c>
      <c r="AF5065">
        <v>4.0038531875276702</v>
      </c>
      <c r="AG5065">
        <v>-1.1505920000000001</v>
      </c>
      <c r="AH5065">
        <v>9.3675249560298308</v>
      </c>
      <c r="AI5065">
        <v>96.443884775154601</v>
      </c>
      <c r="AJ5065">
        <v>66.857241782888593</v>
      </c>
      <c r="AK5065">
        <v>10.2520839881255</v>
      </c>
    </row>
    <row r="5066" spans="1:37" x14ac:dyDescent="0.2">
      <c r="A5066" t="str">
        <f>"20200111153532384"</f>
        <v>20200111153532384</v>
      </c>
      <c r="B5066" t="str">
        <f>"1578728132380659"</f>
        <v>1578728132380659</v>
      </c>
      <c r="C5066" t="s">
        <v>37</v>
      </c>
      <c r="D5066">
        <v>5.3658859999999997</v>
      </c>
      <c r="E5066">
        <v>0.60332229999999998</v>
      </c>
      <c r="F5066" t="s">
        <v>38</v>
      </c>
      <c r="G5066">
        <v>-315.11520000000002</v>
      </c>
      <c r="H5066">
        <v>-0.05</v>
      </c>
      <c r="I5066">
        <v>12.444850000000001</v>
      </c>
      <c r="J5066">
        <v>-324.3381</v>
      </c>
      <c r="K5066">
        <v>1.100549</v>
      </c>
      <c r="L5066">
        <v>17.13571</v>
      </c>
      <c r="M5066">
        <v>0.99774030000000002</v>
      </c>
      <c r="N5066">
        <v>0</v>
      </c>
      <c r="O5066">
        <v>-6.5768149999999997E-2</v>
      </c>
      <c r="P5066">
        <v>0.97982999999999998</v>
      </c>
      <c r="Q5066">
        <v>-2.9716389999999999E-3</v>
      </c>
      <c r="R5066">
        <v>-0.1998114</v>
      </c>
      <c r="S5066">
        <v>2.7786249999999999</v>
      </c>
      <c r="T5066">
        <v>-0.34156419999999998</v>
      </c>
      <c r="U5066">
        <v>-1.3958440000000001</v>
      </c>
      <c r="V5066">
        <v>0.13503090000000001</v>
      </c>
      <c r="W5066">
        <v>9.2889559999999993E-3</v>
      </c>
      <c r="X5066">
        <v>0.99079779999999995</v>
      </c>
      <c r="Y5066">
        <v>0.38722770000000001</v>
      </c>
      <c r="Z5066">
        <v>-1.4818120000000001E-2</v>
      </c>
      <c r="AA5066">
        <v>0.92186499999999905</v>
      </c>
      <c r="AB5066">
        <v>29</v>
      </c>
      <c r="AC5066">
        <v>9.2228999999999797</v>
      </c>
      <c r="AD5066">
        <v>-1.150549</v>
      </c>
      <c r="AE5066">
        <v>-4.69085999999999</v>
      </c>
      <c r="AF5066">
        <v>4.0243151239800801</v>
      </c>
      <c r="AG5066">
        <v>-1.150549</v>
      </c>
      <c r="AH5066">
        <v>9.3953029524108</v>
      </c>
      <c r="AI5066">
        <v>96.422648220652206</v>
      </c>
      <c r="AJ5066">
        <v>66.812967994075706</v>
      </c>
      <c r="AK5066">
        <v>10.2854554000333</v>
      </c>
    </row>
    <row r="5067" spans="1:37" x14ac:dyDescent="0.2">
      <c r="A5067" t="str">
        <f>"20200111153532394"</f>
        <v>20200111153532394</v>
      </c>
      <c r="B5067" t="str">
        <f>"1578728132390419"</f>
        <v>1578728132390419</v>
      </c>
      <c r="C5067" t="s">
        <v>37</v>
      </c>
      <c r="D5067">
        <v>5.3820930000000002</v>
      </c>
      <c r="E5067">
        <v>0.60345130000000002</v>
      </c>
      <c r="F5067" t="s">
        <v>38</v>
      </c>
      <c r="G5067">
        <v>-315.00110000000001</v>
      </c>
      <c r="H5067">
        <v>-0.05</v>
      </c>
      <c r="I5067">
        <v>12.399839999999999</v>
      </c>
      <c r="J5067">
        <v>-324.1968</v>
      </c>
      <c r="K5067">
        <v>1.100498</v>
      </c>
      <c r="L5067">
        <v>17.123839999999898</v>
      </c>
      <c r="M5067">
        <v>0.99756529999999999</v>
      </c>
      <c r="N5067">
        <v>0</v>
      </c>
      <c r="O5067">
        <v>-6.8369979999999997E-2</v>
      </c>
      <c r="P5067">
        <v>0.97919149999999999</v>
      </c>
      <c r="Q5067">
        <v>-2.8576509999999901E-3</v>
      </c>
      <c r="R5067">
        <v>-0.20291819999999999</v>
      </c>
      <c r="S5067">
        <v>2.7738040000000002</v>
      </c>
      <c r="T5067">
        <v>-0.34180250000000001</v>
      </c>
      <c r="U5067">
        <v>-1.4069209999999901</v>
      </c>
      <c r="V5067">
        <v>0.13559179999999901</v>
      </c>
      <c r="W5067">
        <v>9.3847959999999904E-3</v>
      </c>
      <c r="X5067">
        <v>0.9907203</v>
      </c>
      <c r="Y5067">
        <v>0.38840540000000001</v>
      </c>
      <c r="Z5067">
        <v>-1.460878E-2</v>
      </c>
      <c r="AA5067">
        <v>0.92137279999999999</v>
      </c>
      <c r="AB5067">
        <v>29</v>
      </c>
      <c r="AC5067">
        <v>9.1956999999999791</v>
      </c>
      <c r="AD5067">
        <v>-1.150498</v>
      </c>
      <c r="AE5067">
        <v>-4.7239999999999904</v>
      </c>
      <c r="AF5067">
        <v>4.0342119627178397</v>
      </c>
      <c r="AG5067">
        <v>-1.150498</v>
      </c>
      <c r="AH5067">
        <v>9.3810072157486104</v>
      </c>
      <c r="AI5067">
        <v>96.428124586284497</v>
      </c>
      <c r="AJ5067">
        <v>66.7303423628545</v>
      </c>
      <c r="AK5067">
        <v>10.276274042184101</v>
      </c>
    </row>
    <row r="5068" spans="1:37" x14ac:dyDescent="0.2">
      <c r="A5068" t="str">
        <f>"20200111153532407"</f>
        <v>20200111153532407</v>
      </c>
      <c r="B5068" t="str">
        <f>"1578728132401154"</f>
        <v>1578728132401154</v>
      </c>
      <c r="C5068" t="s">
        <v>37</v>
      </c>
      <c r="D5068">
        <v>5.3739910000000002</v>
      </c>
      <c r="E5068">
        <v>0.60358140000000005</v>
      </c>
      <c r="F5068" t="s">
        <v>38</v>
      </c>
      <c r="G5068">
        <v>-314.86919999999998</v>
      </c>
      <c r="H5068">
        <v>-0.05</v>
      </c>
      <c r="I5068">
        <v>12.35172</v>
      </c>
      <c r="J5068">
        <v>-324.0385</v>
      </c>
      <c r="K5068">
        <v>1.100441</v>
      </c>
      <c r="L5068">
        <v>17.109950000000001</v>
      </c>
      <c r="M5068">
        <v>0.99735739999999995</v>
      </c>
      <c r="N5068">
        <v>0</v>
      </c>
      <c r="O5068">
        <v>-7.133834E-2</v>
      </c>
      <c r="P5068">
        <v>0.97848819999999903</v>
      </c>
      <c r="Q5068">
        <v>-2.9146440000000001E-3</v>
      </c>
      <c r="R5068">
        <v>-0.20628199999999999</v>
      </c>
      <c r="S5068">
        <v>2.7691650000000001</v>
      </c>
      <c r="T5068">
        <v>-0.34155949999999902</v>
      </c>
      <c r="U5068">
        <v>-1.4167479999999999</v>
      </c>
      <c r="V5068">
        <v>0.13604920000000001</v>
      </c>
      <c r="W5068">
        <v>9.3080300000000001E-3</v>
      </c>
      <c r="X5068">
        <v>0.99065829999999999</v>
      </c>
      <c r="Y5068">
        <v>0.3888992</v>
      </c>
      <c r="Z5068">
        <v>-1.429765E-2</v>
      </c>
      <c r="AA5068">
        <v>0.92116929999999997</v>
      </c>
      <c r="AB5068">
        <v>29</v>
      </c>
      <c r="AC5068">
        <v>9.1693000000000193</v>
      </c>
      <c r="AD5068">
        <v>-1.150441</v>
      </c>
      <c r="AE5068">
        <v>-4.7582300000000002</v>
      </c>
      <c r="AF5068">
        <v>4.0417932879015801</v>
      </c>
      <c r="AG5068">
        <v>-1.150441</v>
      </c>
      <c r="AH5068">
        <v>9.3692120557280703</v>
      </c>
      <c r="AI5068">
        <v>96.432702381869106</v>
      </c>
      <c r="AJ5068">
        <v>66.665069845783506</v>
      </c>
      <c r="AK5068">
        <v>10.2684829464632</v>
      </c>
    </row>
    <row r="5069" spans="1:37" x14ac:dyDescent="0.2">
      <c r="A5069" t="str">
        <f>"20200111153532418"</f>
        <v>20200111153532418</v>
      </c>
      <c r="B5069" t="str">
        <f>"1578728132410915"</f>
        <v>1578728132410915</v>
      </c>
      <c r="C5069" t="s">
        <v>37</v>
      </c>
      <c r="D5069">
        <v>5.3818960000000002</v>
      </c>
      <c r="E5069">
        <v>0.60374130000000004</v>
      </c>
      <c r="F5069" t="s">
        <v>38</v>
      </c>
      <c r="G5069">
        <v>-314.7353</v>
      </c>
      <c r="H5069">
        <v>-0.05</v>
      </c>
      <c r="I5069">
        <v>12.305910000000001</v>
      </c>
      <c r="J5069">
        <v>-323.88979999999998</v>
      </c>
      <c r="K5069">
        <v>1.100382</v>
      </c>
      <c r="L5069">
        <v>17.09665</v>
      </c>
      <c r="M5069">
        <v>0.99715219999999904</v>
      </c>
      <c r="N5069">
        <v>0</v>
      </c>
      <c r="O5069">
        <v>-7.4150019999999997E-2</v>
      </c>
      <c r="P5069">
        <v>0.97778410000000004</v>
      </c>
      <c r="Q5069">
        <v>-2.658461E-3</v>
      </c>
      <c r="R5069">
        <v>-0.20959829999999899</v>
      </c>
      <c r="S5069">
        <v>2.7640380000000002</v>
      </c>
      <c r="T5069">
        <v>-0.34180329999999998</v>
      </c>
      <c r="U5069">
        <v>-1.4273069999999899</v>
      </c>
      <c r="V5069">
        <v>0.1366185</v>
      </c>
      <c r="W5069">
        <v>9.5435769999999993E-3</v>
      </c>
      <c r="X5069">
        <v>0.99057779999999995</v>
      </c>
      <c r="Y5069">
        <v>0.38978620000000003</v>
      </c>
      <c r="Z5069">
        <v>-1.4048639999999999E-2</v>
      </c>
      <c r="AA5069">
        <v>0.92079820000000001</v>
      </c>
      <c r="AB5069">
        <v>29</v>
      </c>
      <c r="AC5069">
        <v>9.1544999999999792</v>
      </c>
      <c r="AD5069">
        <v>-1.150382</v>
      </c>
      <c r="AE5069">
        <v>-4.7907400000000004</v>
      </c>
      <c r="AF5069">
        <v>4.0484921876087601</v>
      </c>
      <c r="AG5069">
        <v>-1.150382</v>
      </c>
      <c r="AH5069">
        <v>9.3684271591697605</v>
      </c>
      <c r="AI5069">
        <v>96.431166009514101</v>
      </c>
      <c r="AJ5069">
        <v>66.628792555228799</v>
      </c>
      <c r="AK5069">
        <v>10.2703989784098</v>
      </c>
    </row>
    <row r="5070" spans="1:37" x14ac:dyDescent="0.2">
      <c r="A5070" t="str">
        <f>"20200111153532430"</f>
        <v>20200111153532430</v>
      </c>
      <c r="B5070" t="str">
        <f>"1578728132420675"</f>
        <v>1578728132420675</v>
      </c>
      <c r="C5070" t="s">
        <v>37</v>
      </c>
      <c r="D5070">
        <v>5.35527</v>
      </c>
      <c r="E5070">
        <v>0.60385279999999997</v>
      </c>
      <c r="F5070" t="s">
        <v>38</v>
      </c>
      <c r="G5070">
        <v>-314.57740000000001</v>
      </c>
      <c r="H5070">
        <v>-0.05</v>
      </c>
      <c r="I5070">
        <v>12.24333</v>
      </c>
      <c r="J5070">
        <v>-323.74299999999999</v>
      </c>
      <c r="K5070">
        <v>1.1003270000000001</v>
      </c>
      <c r="L5070">
        <v>17.08276</v>
      </c>
      <c r="M5070">
        <v>0.9969363</v>
      </c>
      <c r="N5070">
        <v>0</v>
      </c>
      <c r="O5070">
        <v>-7.6998929999999993E-2</v>
      </c>
      <c r="P5070">
        <v>0.97707809999999995</v>
      </c>
      <c r="Q5070">
        <v>-2.6508249999999999E-3</v>
      </c>
      <c r="R5070">
        <v>-0.212865</v>
      </c>
      <c r="S5070">
        <v>2.758972</v>
      </c>
      <c r="T5070">
        <v>-0.34082469999999998</v>
      </c>
      <c r="U5070">
        <v>-1.437897</v>
      </c>
      <c r="V5070">
        <v>0.13710029999999901</v>
      </c>
      <c r="W5070">
        <v>9.5307020000000003E-3</v>
      </c>
      <c r="X5070">
        <v>0.99051129999999998</v>
      </c>
      <c r="Y5070">
        <v>0.39065059999999902</v>
      </c>
      <c r="Z5070">
        <v>-1.3744080000000001E-2</v>
      </c>
      <c r="AA5070">
        <v>0.92043639999999904</v>
      </c>
      <c r="AB5070">
        <v>29</v>
      </c>
      <c r="AC5070">
        <v>9.16559999999998</v>
      </c>
      <c r="AD5070">
        <v>-1.1503270000000001</v>
      </c>
      <c r="AE5070">
        <v>-4.8394300000000001</v>
      </c>
      <c r="AF5070">
        <v>4.0691300383748397</v>
      </c>
      <c r="AG5070">
        <v>-1.1503270000000001</v>
      </c>
      <c r="AH5070">
        <v>9.3953227272201705</v>
      </c>
      <c r="AI5070">
        <v>96.410382095884003</v>
      </c>
      <c r="AJ5070">
        <v>66.582482678495893</v>
      </c>
      <c r="AK5070">
        <v>10.3030655935383</v>
      </c>
    </row>
    <row r="5071" spans="1:37" x14ac:dyDescent="0.2">
      <c r="A5071" t="str">
        <f>"20200111153532442"</f>
        <v>20200111153532442</v>
      </c>
      <c r="B5071" t="str">
        <f>"1578728132430434"</f>
        <v>1578728132430434</v>
      </c>
      <c r="C5071" t="s">
        <v>37</v>
      </c>
      <c r="D5071">
        <v>5.3645829999999997</v>
      </c>
      <c r="E5071">
        <v>0.60390269999999902</v>
      </c>
      <c r="F5071" t="s">
        <v>38</v>
      </c>
      <c r="G5071">
        <v>-314.4556</v>
      </c>
      <c r="H5071">
        <v>-0.05</v>
      </c>
      <c r="I5071">
        <v>12.198259999999999</v>
      </c>
      <c r="J5071">
        <v>-323.58960000000002</v>
      </c>
      <c r="K5071">
        <v>1.1002609999999999</v>
      </c>
      <c r="L5071">
        <v>17.068020000000001</v>
      </c>
      <c r="M5071">
        <v>0.99670000000000003</v>
      </c>
      <c r="N5071">
        <v>0</v>
      </c>
      <c r="O5071">
        <v>-7.9998689999999997E-2</v>
      </c>
      <c r="P5071">
        <v>0.97633510000000001</v>
      </c>
      <c r="Q5071">
        <v>-2.908299E-3</v>
      </c>
      <c r="R5071">
        <v>-0.21624450000000001</v>
      </c>
      <c r="S5071">
        <v>2.7539060000000002</v>
      </c>
      <c r="T5071">
        <v>-0.34109809999999902</v>
      </c>
      <c r="U5071">
        <v>-1.448364</v>
      </c>
      <c r="V5071">
        <v>0.13754559999999999</v>
      </c>
      <c r="W5071">
        <v>9.2522430000000003E-3</v>
      </c>
      <c r="X5071">
        <v>0.99045219999999901</v>
      </c>
      <c r="Y5071">
        <v>0.39133069999999998</v>
      </c>
      <c r="Z5071">
        <v>-1.346208E-2</v>
      </c>
      <c r="AA5071">
        <v>0.92015170000000002</v>
      </c>
      <c r="AB5071">
        <v>29</v>
      </c>
      <c r="AC5071">
        <v>9.1340000000000092</v>
      </c>
      <c r="AD5071">
        <v>-1.150261</v>
      </c>
      <c r="AE5071">
        <v>-4.8697599999999897</v>
      </c>
      <c r="AF5071">
        <v>4.0730747311694504</v>
      </c>
      <c r="AG5071">
        <v>-1.150261</v>
      </c>
      <c r="AH5071">
        <v>9.3785180638115797</v>
      </c>
      <c r="AI5071">
        <v>96.418626140882694</v>
      </c>
      <c r="AJ5071">
        <v>66.524774282851396</v>
      </c>
      <c r="AK5071">
        <v>10.2892973135706</v>
      </c>
    </row>
    <row r="5072" spans="1:37" x14ac:dyDescent="0.2">
      <c r="A5072" t="str">
        <f>"20200111153532453"</f>
        <v>20200111153532453</v>
      </c>
      <c r="B5072" t="str">
        <f>"1578728132450930"</f>
        <v>1578728132450930</v>
      </c>
      <c r="C5072" t="s">
        <v>37</v>
      </c>
      <c r="D5072">
        <v>5.3509699999999896</v>
      </c>
      <c r="E5072">
        <v>0.60408859999999998</v>
      </c>
      <c r="F5072" t="s">
        <v>38</v>
      </c>
      <c r="G5072">
        <v>-314.32940000000002</v>
      </c>
      <c r="H5072">
        <v>-0.05</v>
      </c>
      <c r="I5072">
        <v>12.15494</v>
      </c>
      <c r="J5072">
        <v>-323.42290000000003</v>
      </c>
      <c r="K5072">
        <v>1.1001840000000001</v>
      </c>
      <c r="L5072">
        <v>17.051210000000001</v>
      </c>
      <c r="M5072">
        <v>0.99642600000000003</v>
      </c>
      <c r="N5072">
        <v>0</v>
      </c>
      <c r="O5072">
        <v>-8.3338699999999905E-2</v>
      </c>
      <c r="P5072">
        <v>0.97550859999999995</v>
      </c>
      <c r="Q5072">
        <v>-2.887185E-3</v>
      </c>
      <c r="R5072">
        <v>-0.21994250000000001</v>
      </c>
      <c r="S5072">
        <v>2.748688</v>
      </c>
      <c r="T5072">
        <v>-0.34142909999999999</v>
      </c>
      <c r="U5072">
        <v>-1.4583440000000001</v>
      </c>
      <c r="V5072">
        <v>0.1379811</v>
      </c>
      <c r="W5072">
        <v>9.2489040000000005E-3</v>
      </c>
      <c r="X5072">
        <v>0.99039169999999999</v>
      </c>
      <c r="Y5072">
        <v>0.3915923</v>
      </c>
      <c r="Z5072">
        <v>-1.311932E-2</v>
      </c>
      <c r="AA5072">
        <v>0.92004529999999995</v>
      </c>
      <c r="AB5072">
        <v>29</v>
      </c>
      <c r="AC5072">
        <v>9.0935000000000006</v>
      </c>
      <c r="AD5072">
        <v>-1.1501840000000001</v>
      </c>
      <c r="AE5072">
        <v>-4.8962700000000003</v>
      </c>
      <c r="AF5072">
        <v>4.0708327639760302</v>
      </c>
      <c r="AG5072">
        <v>-1.1501840000000001</v>
      </c>
      <c r="AH5072">
        <v>9.3539348786891505</v>
      </c>
      <c r="AI5072">
        <v>96.432823043039505</v>
      </c>
      <c r="AJ5072">
        <v>66.481323093025594</v>
      </c>
      <c r="AK5072">
        <v>10.265997289151899</v>
      </c>
    </row>
    <row r="5073" spans="1:37" x14ac:dyDescent="0.2">
      <c r="A5073" t="str">
        <f>"20200111153532466"</f>
        <v>20200111153532466</v>
      </c>
      <c r="B5073" t="str">
        <f>"1578728132460691"</f>
        <v>1578728132460691</v>
      </c>
      <c r="C5073" t="s">
        <v>37</v>
      </c>
      <c r="D5073">
        <v>5.3410970000000004</v>
      </c>
      <c r="E5073">
        <v>0.60421269999999905</v>
      </c>
      <c r="F5073" t="s">
        <v>38</v>
      </c>
      <c r="G5073">
        <v>-314.18430000000001</v>
      </c>
      <c r="H5073">
        <v>-0.05</v>
      </c>
      <c r="I5073">
        <v>12.098269999999999</v>
      </c>
      <c r="J5073">
        <v>-323.26569999999998</v>
      </c>
      <c r="K5073">
        <v>1.100112</v>
      </c>
      <c r="L5073">
        <v>17.03482</v>
      </c>
      <c r="M5073">
        <v>0.9961525</v>
      </c>
      <c r="N5073">
        <v>0</v>
      </c>
      <c r="O5073">
        <v>-8.6546570000000003E-2</v>
      </c>
      <c r="P5073">
        <v>0.97474799999999995</v>
      </c>
      <c r="Q5073">
        <v>-2.8364649999999998E-3</v>
      </c>
      <c r="R5073">
        <v>-0.223290299999999</v>
      </c>
      <c r="S5073">
        <v>2.74276699999999</v>
      </c>
      <c r="T5073">
        <v>-0.34146679999999902</v>
      </c>
      <c r="U5073">
        <v>-1.4704280000000001</v>
      </c>
      <c r="V5073">
        <v>0.1381947</v>
      </c>
      <c r="W5073">
        <v>9.2794219999999903E-3</v>
      </c>
      <c r="X5073">
        <v>0.99036159999999995</v>
      </c>
      <c r="Y5073">
        <v>0.39261929999999901</v>
      </c>
      <c r="Z5073">
        <v>-1.282501E-2</v>
      </c>
      <c r="AA5073">
        <v>0.91961170000000003</v>
      </c>
      <c r="AB5073">
        <v>29</v>
      </c>
      <c r="AC5073">
        <v>9.0813999999999702</v>
      </c>
      <c r="AD5073">
        <v>-1.150112</v>
      </c>
      <c r="AE5073">
        <v>-4.9365500000000004</v>
      </c>
      <c r="AF5073">
        <v>4.0814541700737097</v>
      </c>
      <c r="AG5073">
        <v>-1.150112</v>
      </c>
      <c r="AH5073">
        <v>9.3587338549775101</v>
      </c>
      <c r="AI5073">
        <v>96.427024886035397</v>
      </c>
      <c r="AJ5073">
        <v>66.437416552805402</v>
      </c>
      <c r="AK5073">
        <v>10.2745766396118</v>
      </c>
    </row>
    <row r="5074" spans="1:37" x14ac:dyDescent="0.2">
      <c r="A5074" t="str">
        <f>"20200111153532479"</f>
        <v>20200111153532479</v>
      </c>
      <c r="B5074" t="str">
        <f>"1578728132470450"</f>
        <v>1578728132470450</v>
      </c>
      <c r="C5074" t="s">
        <v>37</v>
      </c>
      <c r="D5074">
        <v>5.3556599999999897</v>
      </c>
      <c r="E5074">
        <v>0.60428959999999998</v>
      </c>
      <c r="F5074" t="s">
        <v>38</v>
      </c>
      <c r="G5074">
        <v>-314.03980000000001</v>
      </c>
      <c r="H5074">
        <v>-0.05</v>
      </c>
      <c r="I5074">
        <v>12.04402</v>
      </c>
      <c r="J5074">
        <v>-323.1003</v>
      </c>
      <c r="K5074">
        <v>1.100034</v>
      </c>
      <c r="L5074">
        <v>17.01718</v>
      </c>
      <c r="M5074">
        <v>0.99585009999999996</v>
      </c>
      <c r="N5074">
        <v>0</v>
      </c>
      <c r="O5074">
        <v>-8.9957739999999994E-2</v>
      </c>
      <c r="P5074">
        <v>0.97388600000000003</v>
      </c>
      <c r="Q5074">
        <v>-2.7111100000000001E-3</v>
      </c>
      <c r="R5074">
        <v>-0.22702159999999999</v>
      </c>
      <c r="S5074">
        <v>2.7374879999999999</v>
      </c>
      <c r="T5074">
        <v>-0.34126040000000002</v>
      </c>
      <c r="U5074">
        <v>-1.4808649999999901</v>
      </c>
      <c r="V5074">
        <v>0.1385989</v>
      </c>
      <c r="W5074">
        <v>9.3805060000000003E-3</v>
      </c>
      <c r="X5074">
        <v>0.99030419999999997</v>
      </c>
      <c r="Y5074">
        <v>0.39294620000000002</v>
      </c>
      <c r="Z5074">
        <v>-1.245637E-2</v>
      </c>
      <c r="AA5074">
        <v>0.91947710000000005</v>
      </c>
      <c r="AB5074">
        <v>29</v>
      </c>
      <c r="AC5074">
        <v>9.0604999999999905</v>
      </c>
      <c r="AD5074">
        <v>-1.150034</v>
      </c>
      <c r="AE5074">
        <v>-4.97316</v>
      </c>
      <c r="AF5074">
        <v>4.0872498708032197</v>
      </c>
      <c r="AG5074">
        <v>-1.150034</v>
      </c>
      <c r="AH5074">
        <v>9.3553480898060801</v>
      </c>
      <c r="AI5074">
        <v>96.427082334418301</v>
      </c>
      <c r="AJ5074">
        <v>66.400006223744498</v>
      </c>
      <c r="AK5074">
        <v>10.273788375714901</v>
      </c>
    </row>
    <row r="5075" spans="1:37" x14ac:dyDescent="0.2">
      <c r="A5075" t="str">
        <f>"20200111153532490"</f>
        <v>20200111153532490</v>
      </c>
      <c r="B5075" t="str">
        <f>"1578728132481188"</f>
        <v>1578728132481188</v>
      </c>
      <c r="C5075" t="s">
        <v>37</v>
      </c>
      <c r="D5075">
        <v>5.3502980000000004</v>
      </c>
      <c r="E5075">
        <v>0.60442320000000005</v>
      </c>
      <c r="F5075" t="s">
        <v>38</v>
      </c>
      <c r="G5075">
        <v>-313.8956</v>
      </c>
      <c r="H5075">
        <v>-0.05</v>
      </c>
      <c r="I5075">
        <v>11.98981</v>
      </c>
      <c r="J5075">
        <v>-322.94209999999998</v>
      </c>
      <c r="K5075">
        <v>1.099958</v>
      </c>
      <c r="L5075">
        <v>16.999359999999999</v>
      </c>
      <c r="M5075">
        <v>0.9955408</v>
      </c>
      <c r="N5075">
        <v>0</v>
      </c>
      <c r="O5075">
        <v>-9.3317289999999997E-2</v>
      </c>
      <c r="P5075">
        <v>0.9730394</v>
      </c>
      <c r="Q5075">
        <v>-2.5302020000000001E-3</v>
      </c>
      <c r="R5075">
        <v>-0.23062550000000001</v>
      </c>
      <c r="S5075">
        <v>2.7317200000000001</v>
      </c>
      <c r="T5075">
        <v>-0.3413022</v>
      </c>
      <c r="U5075">
        <v>-1.4920040000000001</v>
      </c>
      <c r="V5075">
        <v>0.13892760000000001</v>
      </c>
      <c r="W5075">
        <v>9.5388079999999993E-3</v>
      </c>
      <c r="X5075">
        <v>0.99025659999999904</v>
      </c>
      <c r="Y5075">
        <v>0.393565</v>
      </c>
      <c r="Z5075">
        <v>-1.212067E-2</v>
      </c>
      <c r="AA5075">
        <v>0.9192169</v>
      </c>
      <c r="AB5075">
        <v>29</v>
      </c>
      <c r="AC5075">
        <v>9.0464999999999804</v>
      </c>
      <c r="AD5075">
        <v>-1.149958</v>
      </c>
      <c r="AE5075">
        <v>-5.0095499999999902</v>
      </c>
      <c r="AF5075">
        <v>4.0927976379886504</v>
      </c>
      <c r="AG5075">
        <v>-1.149958</v>
      </c>
      <c r="AH5075">
        <v>9.3588042954363608</v>
      </c>
      <c r="AI5075">
        <v>96.423299028441903</v>
      </c>
      <c r="AJ5075">
        <v>66.379251738944902</v>
      </c>
      <c r="AK5075">
        <v>10.279134873498201</v>
      </c>
    </row>
    <row r="5076" spans="1:37" x14ac:dyDescent="0.2">
      <c r="A5076" t="str">
        <f>"20200111153532502"</f>
        <v>20200111153532502</v>
      </c>
      <c r="B5076" t="str">
        <f>"1578728132490948"</f>
        <v>1578728132490948</v>
      </c>
      <c r="C5076" t="s">
        <v>37</v>
      </c>
      <c r="D5076">
        <v>5.3606199999999999</v>
      </c>
      <c r="E5076">
        <v>0.60455239999999999</v>
      </c>
      <c r="F5076" t="s">
        <v>38</v>
      </c>
      <c r="G5076">
        <v>-313.7475</v>
      </c>
      <c r="H5076">
        <v>-0.05</v>
      </c>
      <c r="I5076">
        <v>11.928599999999999</v>
      </c>
      <c r="J5076">
        <v>-322.79480000000001</v>
      </c>
      <c r="K5076">
        <v>1.0998859999999999</v>
      </c>
      <c r="L5076">
        <v>16.982479999999999</v>
      </c>
      <c r="M5076">
        <v>0.99523989999999996</v>
      </c>
      <c r="N5076">
        <v>0</v>
      </c>
      <c r="O5076">
        <v>-9.6473669999999997E-2</v>
      </c>
      <c r="P5076">
        <v>0.97223110000000001</v>
      </c>
      <c r="Q5076">
        <v>-2.2693969999999998E-3</v>
      </c>
      <c r="R5076">
        <v>-0.23401239999999901</v>
      </c>
      <c r="S5076">
        <v>2.7259220000000002</v>
      </c>
      <c r="T5076">
        <v>-0.34092739999999999</v>
      </c>
      <c r="U5076">
        <v>-1.5033259999999999</v>
      </c>
      <c r="V5076">
        <v>0.13924049999999999</v>
      </c>
      <c r="W5076">
        <v>9.7786479999999992E-3</v>
      </c>
      <c r="X5076">
        <v>0.99021029999999999</v>
      </c>
      <c r="Y5076">
        <v>0.39442290000000002</v>
      </c>
      <c r="Z5076">
        <v>-1.1807349999999999E-2</v>
      </c>
      <c r="AA5076">
        <v>0.91885319999999904</v>
      </c>
      <c r="AB5076">
        <v>29</v>
      </c>
      <c r="AC5076">
        <v>9.0472999999999999</v>
      </c>
      <c r="AD5076">
        <v>-1.149886</v>
      </c>
      <c r="AE5076">
        <v>-5.0538800000000004</v>
      </c>
      <c r="AF5076">
        <v>4.1068297691596998</v>
      </c>
      <c r="AG5076">
        <v>-1.149886</v>
      </c>
      <c r="AH5076">
        <v>9.3772523740147697</v>
      </c>
      <c r="AI5076">
        <v>96.408884659253701</v>
      </c>
      <c r="AJ5076">
        <v>66.348666617914603</v>
      </c>
      <c r="AK5076">
        <v>10.301512056577799</v>
      </c>
    </row>
    <row r="5077" spans="1:37" x14ac:dyDescent="0.2">
      <c r="A5077" t="str">
        <f>"20200111153532518"</f>
        <v>20200111153532518</v>
      </c>
      <c r="B5077" t="str">
        <f>"1578728132510466"</f>
        <v>1578728132510466</v>
      </c>
      <c r="C5077" t="s">
        <v>37</v>
      </c>
      <c r="D5077">
        <v>5.3243549999999997</v>
      </c>
      <c r="E5077">
        <v>0.60467799999999905</v>
      </c>
      <c r="F5077" t="s">
        <v>38</v>
      </c>
      <c r="G5077">
        <v>-313.60300000000001</v>
      </c>
      <c r="H5077">
        <v>-0.05</v>
      </c>
      <c r="I5077">
        <v>11.86815</v>
      </c>
      <c r="J5077">
        <v>-322.5874</v>
      </c>
      <c r="K5077">
        <v>1.099791</v>
      </c>
      <c r="L5077">
        <v>16.957789999999999</v>
      </c>
      <c r="M5077">
        <v>0.99479010000000001</v>
      </c>
      <c r="N5077">
        <v>0</v>
      </c>
      <c r="O5077">
        <v>-0.1010038</v>
      </c>
      <c r="P5077">
        <v>0.97093320000000005</v>
      </c>
      <c r="Q5077">
        <v>-2.1389410000000001E-3</v>
      </c>
      <c r="R5077">
        <v>-0.2393419</v>
      </c>
      <c r="S5077">
        <v>2.7205810000000001</v>
      </c>
      <c r="T5077">
        <v>-0.34034179999999897</v>
      </c>
      <c r="U5077">
        <v>-1.513733</v>
      </c>
      <c r="V5077">
        <v>0.1401675</v>
      </c>
      <c r="W5077">
        <v>9.8721009999999994E-3</v>
      </c>
      <c r="X5077">
        <v>0.99007860000000003</v>
      </c>
      <c r="Y5077">
        <v>0.39372869999999999</v>
      </c>
      <c r="Z5077">
        <v>-1.1238980000000001E-2</v>
      </c>
      <c r="AA5077">
        <v>0.91915800000000003</v>
      </c>
      <c r="AB5077">
        <v>29</v>
      </c>
      <c r="AC5077">
        <v>8.9843999999999902</v>
      </c>
      <c r="AD5077">
        <v>-1.149791</v>
      </c>
      <c r="AE5077">
        <v>-5.0896399999999904</v>
      </c>
      <c r="AF5077">
        <v>4.1051621214861704</v>
      </c>
      <c r="AG5077">
        <v>-1.149791</v>
      </c>
      <c r="AH5077">
        <v>9.3368012830412699</v>
      </c>
      <c r="AI5077">
        <v>96.431855916935802</v>
      </c>
      <c r="AJ5077">
        <v>66.266087528235303</v>
      </c>
      <c r="AK5077">
        <v>10.2640261879228</v>
      </c>
    </row>
    <row r="5078" spans="1:37" x14ac:dyDescent="0.2">
      <c r="A5078" t="str">
        <f>"20200111153532530"</f>
        <v>20200111153532530</v>
      </c>
      <c r="B5078" t="str">
        <f>"1578728132521040"</f>
        <v>1578728132521040</v>
      </c>
      <c r="C5078" t="s">
        <v>37</v>
      </c>
      <c r="D5078">
        <v>5.3567410000000004</v>
      </c>
      <c r="E5078">
        <v>0.60486399999999996</v>
      </c>
      <c r="F5078" t="s">
        <v>38</v>
      </c>
      <c r="G5078">
        <v>-313.44380000000001</v>
      </c>
      <c r="H5078">
        <v>-0.05</v>
      </c>
      <c r="I5078">
        <v>11.80026</v>
      </c>
      <c r="J5078">
        <v>-322.44</v>
      </c>
      <c r="K5078">
        <v>1.0997209999999999</v>
      </c>
      <c r="L5078">
        <v>16.939329999999899</v>
      </c>
      <c r="M5078">
        <v>0.99444849999999996</v>
      </c>
      <c r="N5078">
        <v>0</v>
      </c>
      <c r="O5078">
        <v>-0.1043137</v>
      </c>
      <c r="P5078">
        <v>0.96997619999999896</v>
      </c>
      <c r="Q5078">
        <v>-1.7410479999999901E-3</v>
      </c>
      <c r="R5078">
        <v>-0.24319389999999999</v>
      </c>
      <c r="S5078">
        <v>2.7119749999999998</v>
      </c>
      <c r="T5078">
        <v>-0.34102830000000001</v>
      </c>
      <c r="U5078">
        <v>-1.5297240000000001</v>
      </c>
      <c r="V5078">
        <v>0.1408095</v>
      </c>
      <c r="W5078">
        <v>1.024449E-2</v>
      </c>
      <c r="X5078">
        <v>0.98998369999999902</v>
      </c>
      <c r="Y5078">
        <v>0.39602769999999998</v>
      </c>
      <c r="Z5078">
        <v>-1.103287E-2</v>
      </c>
      <c r="AA5078">
        <v>0.91817229999999905</v>
      </c>
      <c r="AB5078">
        <v>29</v>
      </c>
      <c r="AC5078">
        <v>8.9961999999999804</v>
      </c>
      <c r="AD5078">
        <v>-1.149721</v>
      </c>
      <c r="AE5078">
        <v>-5.1390699999999896</v>
      </c>
      <c r="AF5078">
        <v>4.1217543625494599</v>
      </c>
      <c r="AG5078">
        <v>-1.149721</v>
      </c>
      <c r="AH5078">
        <v>9.3678772154300702</v>
      </c>
      <c r="AI5078">
        <v>96.409578047382595</v>
      </c>
      <c r="AJ5078">
        <v>66.251077428554396</v>
      </c>
      <c r="AK5078">
        <v>10.298924260640501</v>
      </c>
    </row>
    <row r="5079" spans="1:37" x14ac:dyDescent="0.2">
      <c r="A5079" t="str">
        <f>"20200111153532543"</f>
        <v>20200111153532543</v>
      </c>
      <c r="B5079" t="str">
        <f>"1578728132530802"</f>
        <v>1578728132530802</v>
      </c>
      <c r="C5079" t="s">
        <v>37</v>
      </c>
      <c r="D5079">
        <v>5.3306889999999996</v>
      </c>
      <c r="E5079">
        <v>0.60496119999999898</v>
      </c>
      <c r="F5079" t="s">
        <v>38</v>
      </c>
      <c r="G5079">
        <v>-313.33940000000001</v>
      </c>
      <c r="H5079">
        <v>-0.05</v>
      </c>
      <c r="I5079">
        <v>11.75394</v>
      </c>
      <c r="J5079">
        <v>-322.27440000000001</v>
      </c>
      <c r="K5079">
        <v>1.099642</v>
      </c>
      <c r="L5079">
        <v>16.918240000000001</v>
      </c>
      <c r="M5079">
        <v>0.99404729999999997</v>
      </c>
      <c r="N5079">
        <v>0</v>
      </c>
      <c r="O5079">
        <v>-0.10806880000000001</v>
      </c>
      <c r="P5079">
        <v>0.96885200000000005</v>
      </c>
      <c r="Q5079">
        <v>-1.317073E-3</v>
      </c>
      <c r="R5079">
        <v>-0.24763769999999999</v>
      </c>
      <c r="S5079">
        <v>2.70571899999999</v>
      </c>
      <c r="T5079">
        <v>-0.34182760000000001</v>
      </c>
      <c r="U5079">
        <v>-1.541687</v>
      </c>
      <c r="V5079">
        <v>0.14161579999999999</v>
      </c>
      <c r="W5079">
        <v>1.063738E-2</v>
      </c>
      <c r="X5079">
        <v>0.98986450000000004</v>
      </c>
      <c r="Y5079">
        <v>0.39655029999999902</v>
      </c>
      <c r="Z5079">
        <v>-1.0669039999999999E-2</v>
      </c>
      <c r="AA5079">
        <v>0.91795099999999996</v>
      </c>
      <c r="AB5079">
        <v>29</v>
      </c>
      <c r="AC5079">
        <v>8.9350000000000005</v>
      </c>
      <c r="AD5079">
        <v>-1.1496420000000001</v>
      </c>
      <c r="AE5079">
        <v>-5.1642999999999999</v>
      </c>
      <c r="AF5079">
        <v>4.1172683201112301</v>
      </c>
      <c r="AG5079">
        <v>-1.1496420000000001</v>
      </c>
      <c r="AH5079">
        <v>9.3250935879319794</v>
      </c>
      <c r="AI5079">
        <v>96.434678310579898</v>
      </c>
      <c r="AJ5079">
        <v>66.177310096841794</v>
      </c>
      <c r="AK5079">
        <v>10.258213566291399</v>
      </c>
    </row>
    <row r="5080" spans="1:37" x14ac:dyDescent="0.2">
      <c r="A5080" t="str">
        <f>"20200111153532555"</f>
        <v>20200111153532555</v>
      </c>
      <c r="B5080" t="str">
        <f>"1578728132551296"</f>
        <v>1578728132551296</v>
      </c>
      <c r="C5080" t="s">
        <v>37</v>
      </c>
      <c r="D5080">
        <v>5.3420129999999997</v>
      </c>
      <c r="E5080">
        <v>0.60516719999999902</v>
      </c>
      <c r="F5080" t="s">
        <v>38</v>
      </c>
      <c r="G5080">
        <v>-313.200999999999</v>
      </c>
      <c r="H5080">
        <v>-0.05</v>
      </c>
      <c r="I5080">
        <v>11.69055</v>
      </c>
      <c r="J5080">
        <v>-322.10820000000001</v>
      </c>
      <c r="K5080">
        <v>1.0995600000000001</v>
      </c>
      <c r="L5080">
        <v>16.896329999999999</v>
      </c>
      <c r="M5080">
        <v>0.99362159999999999</v>
      </c>
      <c r="N5080">
        <v>0</v>
      </c>
      <c r="O5080">
        <v>-0.1119124</v>
      </c>
      <c r="P5080">
        <v>0.96767610000000004</v>
      </c>
      <c r="Q5080">
        <v>-9.0760069999999997E-4</v>
      </c>
      <c r="R5080">
        <v>-0.25219429999999998</v>
      </c>
      <c r="S5080">
        <v>2.6985779999999999</v>
      </c>
      <c r="T5080">
        <v>-0.34192449999999902</v>
      </c>
      <c r="U5080">
        <v>-1.55481</v>
      </c>
      <c r="V5080">
        <v>0.1424532</v>
      </c>
      <c r="W5080">
        <v>1.101502E-2</v>
      </c>
      <c r="X5080">
        <v>0.98974030000000002</v>
      </c>
      <c r="Y5080">
        <v>0.39742</v>
      </c>
      <c r="Z5080">
        <v>-1.029414E-2</v>
      </c>
      <c r="AA5080">
        <v>0.91757909999999998</v>
      </c>
      <c r="AB5080">
        <v>29</v>
      </c>
      <c r="AC5080">
        <v>8.9072000000000404</v>
      </c>
      <c r="AD5080">
        <v>-1.1495599999999999</v>
      </c>
      <c r="AE5080">
        <v>-5.2057799999999901</v>
      </c>
      <c r="AF5080">
        <v>4.1249364352646598</v>
      </c>
      <c r="AG5080">
        <v>-1.1495599999999999</v>
      </c>
      <c r="AH5080">
        <v>9.3181918221427598</v>
      </c>
      <c r="AI5080">
        <v>96.4362341239366</v>
      </c>
      <c r="AJ5080">
        <v>66.122195358621198</v>
      </c>
      <c r="AK5080">
        <v>10.2550128046152</v>
      </c>
    </row>
    <row r="5081" spans="1:37" x14ac:dyDescent="0.2">
      <c r="A5081" t="str">
        <f>"20200111153532568"</f>
        <v>20200111153532568</v>
      </c>
      <c r="B5081" t="str">
        <f>"1578728132561059"</f>
        <v>1578728132561059</v>
      </c>
      <c r="C5081" t="s">
        <v>37</v>
      </c>
      <c r="D5081">
        <v>5.3422269999999896</v>
      </c>
      <c r="E5081">
        <v>0.60530289999999998</v>
      </c>
      <c r="F5081" t="s">
        <v>38</v>
      </c>
      <c r="G5081">
        <v>-313.05930000000001</v>
      </c>
      <c r="H5081">
        <v>-0.05</v>
      </c>
      <c r="I5081">
        <v>11.62088</v>
      </c>
      <c r="J5081">
        <v>-321.94330000000002</v>
      </c>
      <c r="K5081">
        <v>1.0994729999999999</v>
      </c>
      <c r="L5081">
        <v>16.873719999999999</v>
      </c>
      <c r="M5081">
        <v>0.99317489999999997</v>
      </c>
      <c r="N5081">
        <v>0</v>
      </c>
      <c r="O5081">
        <v>-0.115809</v>
      </c>
      <c r="P5081">
        <v>0.96639929999999996</v>
      </c>
      <c r="Q5081">
        <v>-5.0785769999999895E-4</v>
      </c>
      <c r="R5081">
        <v>-0.257046</v>
      </c>
      <c r="S5081">
        <v>2.6910400000000001</v>
      </c>
      <c r="T5081">
        <v>-0.34186319999999998</v>
      </c>
      <c r="U5081">
        <v>-1.568848</v>
      </c>
      <c r="V5081">
        <v>0.14354330000000001</v>
      </c>
      <c r="W5081">
        <v>1.13792999999999E-2</v>
      </c>
      <c r="X5081">
        <v>0.98957859999999997</v>
      </c>
      <c r="Y5081">
        <v>0.39852969999999999</v>
      </c>
      <c r="Z5081">
        <v>-9.9224810000000004E-3</v>
      </c>
      <c r="AA5081">
        <v>0.91710170000000002</v>
      </c>
      <c r="AB5081">
        <v>29</v>
      </c>
      <c r="AC5081">
        <v>8.8840000000000092</v>
      </c>
      <c r="AD5081">
        <v>-1.149473</v>
      </c>
      <c r="AE5081">
        <v>-5.25284</v>
      </c>
      <c r="AF5081">
        <v>4.1372238425014602</v>
      </c>
      <c r="AG5081">
        <v>-1.149473</v>
      </c>
      <c r="AH5081">
        <v>9.3170250141370605</v>
      </c>
      <c r="AI5081">
        <v>96.433301154229198</v>
      </c>
      <c r="AJ5081">
        <v>66.0563916819995</v>
      </c>
      <c r="AK5081">
        <v>10.258891968178</v>
      </c>
    </row>
    <row r="5082" spans="1:37" x14ac:dyDescent="0.2">
      <c r="A5082" t="str">
        <f>"20200111153532580"</f>
        <v>20200111153532580</v>
      </c>
      <c r="B5082" t="str">
        <f>"1578728132570816"</f>
        <v>1578728132570816</v>
      </c>
      <c r="C5082" t="s">
        <v>37</v>
      </c>
      <c r="D5082">
        <v>5.3385489999999898</v>
      </c>
      <c r="E5082">
        <v>0.6054001</v>
      </c>
      <c r="F5082" t="s">
        <v>38</v>
      </c>
      <c r="G5082">
        <v>-312.91039999999998</v>
      </c>
      <c r="H5082">
        <v>-0.05</v>
      </c>
      <c r="I5082">
        <v>11.54341</v>
      </c>
      <c r="J5082">
        <v>-321.77949999999998</v>
      </c>
      <c r="K5082">
        <v>1.0993889999999999</v>
      </c>
      <c r="L5082">
        <v>16.8508</v>
      </c>
      <c r="M5082">
        <v>0.99271069999999995</v>
      </c>
      <c r="N5082">
        <v>0</v>
      </c>
      <c r="O5082">
        <v>-0.1197221</v>
      </c>
      <c r="P5082">
        <v>0.96511780000000003</v>
      </c>
      <c r="Q5082" s="1">
        <v>6.0772410000000002E-5</v>
      </c>
      <c r="R5082">
        <v>-0.26181670000000001</v>
      </c>
      <c r="S5082">
        <v>2.6829830000000001</v>
      </c>
      <c r="T5082">
        <v>-0.34142030000000001</v>
      </c>
      <c r="U5082">
        <v>-1.583221</v>
      </c>
      <c r="V5082">
        <v>0.1445417</v>
      </c>
      <c r="W5082">
        <v>1.19137999999999E-2</v>
      </c>
      <c r="X5082">
        <v>0.98942699999999995</v>
      </c>
      <c r="Y5082">
        <v>0.39978579999999903</v>
      </c>
      <c r="Z5082">
        <v>-9.5479129999999999E-3</v>
      </c>
      <c r="AA5082">
        <v>0.91655889999999995</v>
      </c>
      <c r="AB5082">
        <v>29</v>
      </c>
      <c r="AC5082">
        <v>8.8690999999999995</v>
      </c>
      <c r="AD5082">
        <v>-1.149389</v>
      </c>
      <c r="AE5082">
        <v>-5.3073899999999998</v>
      </c>
      <c r="AF5082">
        <v>4.1558862736459599</v>
      </c>
      <c r="AG5082">
        <v>-1.149389</v>
      </c>
      <c r="AH5082">
        <v>9.3254468171799498</v>
      </c>
      <c r="AI5082">
        <v>96.423287833333205</v>
      </c>
      <c r="AJ5082">
        <v>65.979852509070298</v>
      </c>
      <c r="AK5082">
        <v>10.2740665820721</v>
      </c>
    </row>
    <row r="5083" spans="1:37" x14ac:dyDescent="0.2">
      <c r="A5083" t="str">
        <f>"20200111153532596"</f>
        <v>20200111153532596</v>
      </c>
      <c r="B5083" t="str">
        <f>"1578728132591312"</f>
        <v>1578728132591312</v>
      </c>
      <c r="C5083" t="s">
        <v>37</v>
      </c>
      <c r="D5083">
        <v>5.3490089999999997</v>
      </c>
      <c r="E5083">
        <v>0.60561659999999995</v>
      </c>
      <c r="F5083" t="s">
        <v>38</v>
      </c>
      <c r="G5083">
        <v>-312.75380000000001</v>
      </c>
      <c r="H5083">
        <v>-0.05</v>
      </c>
      <c r="I5083">
        <v>11.460850000000001</v>
      </c>
      <c r="J5083">
        <v>-321.584</v>
      </c>
      <c r="K5083">
        <v>1.0992899999999901</v>
      </c>
      <c r="L5083">
        <v>16.822329999999901</v>
      </c>
      <c r="M5083">
        <v>0.99212259999999997</v>
      </c>
      <c r="N5083">
        <v>0</v>
      </c>
      <c r="O5083">
        <v>-0.1245006</v>
      </c>
      <c r="P5083">
        <v>0.96321449999999997</v>
      </c>
      <c r="Q5083">
        <v>1.276433E-3</v>
      </c>
      <c r="R5083">
        <v>-0.26873140000000001</v>
      </c>
      <c r="S5083">
        <v>2.6750790000000002</v>
      </c>
      <c r="T5083">
        <v>-0.3406613</v>
      </c>
      <c r="U5083">
        <v>-1.597504</v>
      </c>
      <c r="V5083">
        <v>0.14689240000000001</v>
      </c>
      <c r="W5083">
        <v>1.306908E-2</v>
      </c>
      <c r="X5083">
        <v>0.98906609999999995</v>
      </c>
      <c r="Y5083">
        <v>0.40020659999999902</v>
      </c>
      <c r="Z5083">
        <v>-9.0166840000000005E-3</v>
      </c>
      <c r="AA5083">
        <v>0.91638059999999999</v>
      </c>
      <c r="AB5083">
        <v>29</v>
      </c>
      <c r="AC5083">
        <v>8.8301999999999907</v>
      </c>
      <c r="AD5083">
        <v>-1.1492899999999999</v>
      </c>
      <c r="AE5083">
        <v>-5.3614799999999896</v>
      </c>
      <c r="AF5083">
        <v>4.1686895251282801</v>
      </c>
      <c r="AG5083">
        <v>-1.1492899999999999</v>
      </c>
      <c r="AH5083">
        <v>9.3137769610722891</v>
      </c>
      <c r="AI5083">
        <v>96.426131117590202</v>
      </c>
      <c r="AJ5083">
        <v>65.887515491350001</v>
      </c>
      <c r="AK5083">
        <v>10.268655274261301</v>
      </c>
    </row>
    <row r="5084" spans="1:37" x14ac:dyDescent="0.2">
      <c r="A5084" t="str">
        <f>"20200111153532608"</f>
        <v>20200111153532608</v>
      </c>
      <c r="B5084" t="str">
        <f>"1578728132601072"</f>
        <v>1578728132601072</v>
      </c>
      <c r="C5084" t="s">
        <v>37</v>
      </c>
      <c r="D5084">
        <v>5.3423299999999996</v>
      </c>
      <c r="E5084">
        <v>0.60571390000000003</v>
      </c>
      <c r="F5084" t="s">
        <v>38</v>
      </c>
      <c r="G5084">
        <v>-312.53500000000003</v>
      </c>
      <c r="H5084">
        <v>-0.05</v>
      </c>
      <c r="I5084">
        <v>11.32375</v>
      </c>
      <c r="J5084">
        <v>-321.42309999999998</v>
      </c>
      <c r="K5084">
        <v>1.0992029999999999</v>
      </c>
      <c r="L5084">
        <v>16.797910000000002</v>
      </c>
      <c r="M5084">
        <v>0.99160979999999999</v>
      </c>
      <c r="N5084">
        <v>0</v>
      </c>
      <c r="O5084">
        <v>-0.12851949999999901</v>
      </c>
      <c r="P5084">
        <v>0.96167029999999998</v>
      </c>
      <c r="Q5084">
        <v>2.2261350000000002E-3</v>
      </c>
      <c r="R5084">
        <v>-0.27419959999999999</v>
      </c>
      <c r="S5084">
        <v>2.6634829999999998</v>
      </c>
      <c r="T5084">
        <v>-0.338279099999999</v>
      </c>
      <c r="U5084">
        <v>-1.618439</v>
      </c>
      <c r="V5084">
        <v>0.14852000000000001</v>
      </c>
      <c r="W5084">
        <v>1.3973080000000001E-2</v>
      </c>
      <c r="X5084">
        <v>0.98881070000000004</v>
      </c>
      <c r="Y5084">
        <v>0.40355000000000002</v>
      </c>
      <c r="Z5084">
        <v>-8.7094169999999901E-3</v>
      </c>
      <c r="AA5084">
        <v>0.91491619999999996</v>
      </c>
      <c r="AB5084">
        <v>29</v>
      </c>
      <c r="AC5084">
        <v>8.8880999999999499</v>
      </c>
      <c r="AD5084">
        <v>-1.149203</v>
      </c>
      <c r="AE5084">
        <v>-5.4741600000000004</v>
      </c>
      <c r="AF5084">
        <v>4.2350206119444103</v>
      </c>
      <c r="AG5084">
        <v>-1.149203</v>
      </c>
      <c r="AH5084">
        <v>9.4040028842202403</v>
      </c>
      <c r="AI5084">
        <v>96.358002219833594</v>
      </c>
      <c r="AJ5084">
        <v>65.755945488259201</v>
      </c>
      <c r="AK5084">
        <v>10.377443681621401</v>
      </c>
    </row>
    <row r="5085" spans="1:37" x14ac:dyDescent="0.2">
      <c r="A5085" t="str">
        <f>"20200111153532621"</f>
        <v>20200111153532621</v>
      </c>
      <c r="B5085" t="str">
        <f>"1578728132610833"</f>
        <v>1578728132610833</v>
      </c>
      <c r="C5085" t="s">
        <v>37</v>
      </c>
      <c r="D5085">
        <v>5.3203500000000004</v>
      </c>
      <c r="E5085">
        <v>0.60580869999999998</v>
      </c>
      <c r="F5085" t="s">
        <v>38</v>
      </c>
      <c r="G5085">
        <v>-312.34039999999999</v>
      </c>
      <c r="H5085">
        <v>-0.05</v>
      </c>
      <c r="I5085">
        <v>11.20532</v>
      </c>
      <c r="J5085">
        <v>-321.26339999999999</v>
      </c>
      <c r="K5085">
        <v>1.0991139999999999</v>
      </c>
      <c r="L5085">
        <v>16.773350000000001</v>
      </c>
      <c r="M5085">
        <v>0.99106399999999994</v>
      </c>
      <c r="N5085">
        <v>0</v>
      </c>
      <c r="O5085">
        <v>-0.13266749999999999</v>
      </c>
      <c r="P5085">
        <v>0.95997239999999995</v>
      </c>
      <c r="Q5085">
        <v>2.8218219999999999E-3</v>
      </c>
      <c r="R5085">
        <v>-0.28008040000000001</v>
      </c>
      <c r="S5085">
        <v>2.6543580000000002</v>
      </c>
      <c r="T5085">
        <v>-0.33584779999999997</v>
      </c>
      <c r="U5085">
        <v>-1.6343989999999999</v>
      </c>
      <c r="V5085">
        <v>0.15044479999999999</v>
      </c>
      <c r="W5085">
        <v>1.4467509999999999E-2</v>
      </c>
      <c r="X5085">
        <v>0.98851250000000002</v>
      </c>
      <c r="Y5085">
        <v>0.40515299999999999</v>
      </c>
      <c r="Z5085">
        <v>-8.2849789999999996E-3</v>
      </c>
      <c r="AA5085">
        <v>0.91421140000000001</v>
      </c>
      <c r="AB5085">
        <v>29</v>
      </c>
      <c r="AC5085">
        <v>8.923</v>
      </c>
      <c r="AD5085">
        <v>-1.149114</v>
      </c>
      <c r="AE5085">
        <v>-5.5680300000000003</v>
      </c>
      <c r="AF5085">
        <v>4.2837633884509296</v>
      </c>
      <c r="AG5085">
        <v>-1.149114</v>
      </c>
      <c r="AH5085">
        <v>9.4698403587838893</v>
      </c>
      <c r="AI5085">
        <v>96.308939553667102</v>
      </c>
      <c r="AJ5085">
        <v>65.659974901489903</v>
      </c>
      <c r="AK5085">
        <v>10.4570056982905</v>
      </c>
    </row>
    <row r="5086" spans="1:37" x14ac:dyDescent="0.2">
      <c r="A5086" t="str">
        <f>"20200111153532632"</f>
        <v>20200111153532632</v>
      </c>
      <c r="B5086" t="str">
        <f>"1578728132630961"</f>
        <v>1578728132630961</v>
      </c>
      <c r="C5086" t="s">
        <v>37</v>
      </c>
      <c r="D5086">
        <v>5.3080230000000004</v>
      </c>
      <c r="E5086">
        <v>0.61316110000000001</v>
      </c>
      <c r="F5086" t="s">
        <v>38</v>
      </c>
      <c r="G5086">
        <v>-312.16730000000001</v>
      </c>
      <c r="H5086">
        <v>-0.05</v>
      </c>
      <c r="I5086">
        <v>11.09085</v>
      </c>
      <c r="J5086">
        <v>-321.10539999999997</v>
      </c>
      <c r="K5086">
        <v>1.099002</v>
      </c>
      <c r="L5086">
        <v>16.748200000000001</v>
      </c>
      <c r="M5086">
        <v>0.99042459999999899</v>
      </c>
      <c r="N5086">
        <v>0</v>
      </c>
      <c r="O5086">
        <v>-0.1373867</v>
      </c>
      <c r="P5086">
        <v>0.95818250000000005</v>
      </c>
      <c r="Q5086">
        <v>3.2440440000000002E-3</v>
      </c>
      <c r="R5086">
        <v>-0.28614010000000001</v>
      </c>
      <c r="S5086">
        <v>2.6441349999999999</v>
      </c>
      <c r="T5086">
        <v>-0.3340322</v>
      </c>
      <c r="U5086">
        <v>-1.6518250000000001</v>
      </c>
      <c r="V5086">
        <v>0.1519855</v>
      </c>
      <c r="W5086">
        <v>1.457336E-2</v>
      </c>
      <c r="X5086">
        <v>0.98827529999999997</v>
      </c>
      <c r="Y5086">
        <v>0.4067558</v>
      </c>
      <c r="Z5086">
        <v>-7.8172309999999991E-3</v>
      </c>
      <c r="AA5086">
        <v>0.91350350000000002</v>
      </c>
      <c r="AB5086">
        <v>29</v>
      </c>
      <c r="AC5086">
        <v>8.9380999999999595</v>
      </c>
      <c r="AD5086">
        <v>-1.1490020000000001</v>
      </c>
      <c r="AE5086">
        <v>-5.6573500000000001</v>
      </c>
      <c r="AF5086">
        <v>4.3245811934732403</v>
      </c>
      <c r="AG5086">
        <v>-1.1490020000000001</v>
      </c>
      <c r="AH5086">
        <v>9.51834188204095</v>
      </c>
      <c r="AI5086">
        <v>96.271799992922894</v>
      </c>
      <c r="AJ5086">
        <v>65.565713426229493</v>
      </c>
      <c r="AK5086">
        <v>10.5176537439849</v>
      </c>
    </row>
    <row r="5087" spans="1:37" x14ac:dyDescent="0.2">
      <c r="A5087" t="str">
        <f>"20200111153532645"</f>
        <v>20200111153532645</v>
      </c>
      <c r="B5087" t="str">
        <f>"1578728132640722"</f>
        <v>1578728132640722</v>
      </c>
      <c r="C5087" t="s">
        <v>37</v>
      </c>
      <c r="D5087">
        <v>5.2878230000000004</v>
      </c>
      <c r="E5087">
        <v>0.61300669999999902</v>
      </c>
      <c r="F5087" t="s">
        <v>38</v>
      </c>
      <c r="G5087">
        <v>-313.1386</v>
      </c>
      <c r="H5087">
        <v>-0.05</v>
      </c>
      <c r="I5087">
        <v>11.494870000000001</v>
      </c>
      <c r="J5087">
        <v>-320.9529</v>
      </c>
      <c r="K5087">
        <v>1.0988100000000001</v>
      </c>
      <c r="L5087">
        <v>16.723299999999998</v>
      </c>
      <c r="M5087">
        <v>0.98979740000000005</v>
      </c>
      <c r="N5087">
        <v>0</v>
      </c>
      <c r="O5087">
        <v>-0.14185889999999901</v>
      </c>
      <c r="P5087">
        <v>0.95640709999999995</v>
      </c>
      <c r="Q5087">
        <v>3.5264770000000001E-3</v>
      </c>
      <c r="R5087">
        <v>-0.29201519999999997</v>
      </c>
      <c r="S5087">
        <v>2.6169129999999998</v>
      </c>
      <c r="T5087">
        <v>-0.37741839999999999</v>
      </c>
      <c r="U5087">
        <v>-1.7255860000000001</v>
      </c>
      <c r="V5087">
        <v>0.15359159999999999</v>
      </c>
      <c r="W5087">
        <v>1.454428E-2</v>
      </c>
      <c r="X5087">
        <v>0.988027399999999</v>
      </c>
      <c r="Y5087">
        <v>0.42448279999999899</v>
      </c>
      <c r="Z5087">
        <v>-9.4389920000000002E-3</v>
      </c>
      <c r="AA5087">
        <v>0.90538680000000005</v>
      </c>
      <c r="AB5087">
        <v>29</v>
      </c>
      <c r="AC5087">
        <v>7.8143000000000002</v>
      </c>
      <c r="AD5087">
        <v>-1.1488100000000001</v>
      </c>
      <c r="AE5087">
        <v>-5.2284299999999897</v>
      </c>
      <c r="AF5087">
        <v>4.0070947533636598</v>
      </c>
      <c r="AG5087">
        <v>-1.1488100000000001</v>
      </c>
      <c r="AH5087">
        <v>8.3523279842896603</v>
      </c>
      <c r="AI5087">
        <v>97.069188750139503</v>
      </c>
      <c r="AJ5087">
        <v>64.370272297530207</v>
      </c>
      <c r="AK5087">
        <v>9.3347713167320094</v>
      </c>
    </row>
    <row r="5088" spans="1:37" x14ac:dyDescent="0.2">
      <c r="A5088" t="str">
        <f>"20200111153532656"</f>
        <v>20200111153532656</v>
      </c>
      <c r="B5088" t="str">
        <f>"1578728132650481"</f>
        <v>1578728132650481</v>
      </c>
      <c r="C5088" t="s">
        <v>37</v>
      </c>
      <c r="D5088">
        <v>5.290006</v>
      </c>
      <c r="E5088">
        <v>0.61263069999999997</v>
      </c>
      <c r="F5088" t="s">
        <v>38</v>
      </c>
      <c r="G5088">
        <v>-312.9076</v>
      </c>
      <c r="H5088">
        <v>-0.05</v>
      </c>
      <c r="I5088">
        <v>11.35075</v>
      </c>
      <c r="J5088">
        <v>-320.79689999999999</v>
      </c>
      <c r="K5088">
        <v>1.098541</v>
      </c>
      <c r="L5088">
        <v>16.697299999999998</v>
      </c>
      <c r="M5088">
        <v>0.98914519999999995</v>
      </c>
      <c r="N5088">
        <v>0</v>
      </c>
      <c r="O5088">
        <v>-0.14635989999999999</v>
      </c>
      <c r="P5088">
        <v>0.95461399999999996</v>
      </c>
      <c r="Q5088">
        <v>3.6060490000000001E-3</v>
      </c>
      <c r="R5088">
        <v>-0.29782419999999998</v>
      </c>
      <c r="S5088">
        <v>2.6066590000000001</v>
      </c>
      <c r="T5088">
        <v>-0.37221120000000002</v>
      </c>
      <c r="U5088">
        <v>-1.7406919999999999</v>
      </c>
      <c r="V5088">
        <v>0.15510829999999901</v>
      </c>
      <c r="W5088">
        <v>1.430064E-2</v>
      </c>
      <c r="X5088">
        <v>0.98779399999999995</v>
      </c>
      <c r="Y5088">
        <v>0.4257148</v>
      </c>
      <c r="Z5088">
        <v>-8.8436859999999999E-3</v>
      </c>
      <c r="AA5088">
        <v>0.90481420000000001</v>
      </c>
      <c r="AB5088">
        <v>29</v>
      </c>
      <c r="AC5088">
        <v>7.8892999999999898</v>
      </c>
      <c r="AD5088">
        <v>-1.148541</v>
      </c>
      <c r="AE5088">
        <v>-5.3465499999999899</v>
      </c>
      <c r="AF5088">
        <v>4.0750051897115398</v>
      </c>
      <c r="AG5088">
        <v>-1.148541</v>
      </c>
      <c r="AH5088">
        <v>8.46398694697222</v>
      </c>
      <c r="AI5088">
        <v>96.970670546251398</v>
      </c>
      <c r="AJ5088">
        <v>64.291407909646693</v>
      </c>
      <c r="AK5088">
        <v>9.4638199878998694</v>
      </c>
    </row>
    <row r="5089" spans="1:37" x14ac:dyDescent="0.2">
      <c r="A5089" t="str">
        <f>"20200111153532668"</f>
        <v>20200111153532668</v>
      </c>
      <c r="B5089" t="str">
        <f>"1578728132661218"</f>
        <v>1578728132661218</v>
      </c>
      <c r="C5089" t="s">
        <v>37</v>
      </c>
      <c r="D5089">
        <v>5.2898449999999997</v>
      </c>
      <c r="E5089">
        <v>0.61234929999999999</v>
      </c>
      <c r="F5089" t="s">
        <v>38</v>
      </c>
      <c r="G5089">
        <v>-312.82089999999999</v>
      </c>
      <c r="H5089">
        <v>-0.05</v>
      </c>
      <c r="I5089">
        <v>11.307589999999999</v>
      </c>
      <c r="J5089">
        <v>-320.66000000000003</v>
      </c>
      <c r="K5089">
        <v>1.0982620000000001</v>
      </c>
      <c r="L5089">
        <v>16.673579999999902</v>
      </c>
      <c r="M5089">
        <v>0.98858550000000001</v>
      </c>
      <c r="N5089">
        <v>0</v>
      </c>
      <c r="O5089">
        <v>-0.1500882</v>
      </c>
      <c r="P5089">
        <v>0.95307019999999998</v>
      </c>
      <c r="Q5089">
        <v>3.7623409999999898E-3</v>
      </c>
      <c r="R5089">
        <v>-0.30272659999999901</v>
      </c>
      <c r="S5089">
        <v>2.596619</v>
      </c>
      <c r="T5089">
        <v>-0.37391160000000001</v>
      </c>
      <c r="U5089">
        <v>-1.7546389999999901</v>
      </c>
      <c r="V5089">
        <v>0.1564702</v>
      </c>
      <c r="W5089">
        <v>1.440934E-2</v>
      </c>
      <c r="X5089">
        <v>0.98757759999999895</v>
      </c>
      <c r="Y5089">
        <v>0.42725770000000002</v>
      </c>
      <c r="Z5089">
        <v>-8.5323640000000006E-3</v>
      </c>
      <c r="AA5089">
        <v>0.90408960000000005</v>
      </c>
      <c r="AB5089">
        <v>29</v>
      </c>
      <c r="AC5089">
        <v>7.8391000000000197</v>
      </c>
      <c r="AD5089">
        <v>-1.1482619999999999</v>
      </c>
      <c r="AE5089">
        <v>-5.3659899999999903</v>
      </c>
      <c r="AF5089">
        <v>4.0690887226049597</v>
      </c>
      <c r="AG5089">
        <v>-1.1482619999999999</v>
      </c>
      <c r="AH5089">
        <v>8.4325280116257701</v>
      </c>
      <c r="AI5089">
        <v>96.991771655824294</v>
      </c>
      <c r="AJ5089">
        <v>64.240519532910497</v>
      </c>
      <c r="AK5089">
        <v>9.4331075113097391</v>
      </c>
    </row>
    <row r="5090" spans="1:37" x14ac:dyDescent="0.2">
      <c r="A5090" t="str">
        <f>"20200111153532679"</f>
        <v>20200111153532679</v>
      </c>
      <c r="B5090" t="str">
        <f>"1578728132670978"</f>
        <v>1578728132670978</v>
      </c>
      <c r="C5090" t="s">
        <v>37</v>
      </c>
      <c r="D5090">
        <v>5.3183299999999996</v>
      </c>
      <c r="E5090">
        <v>0.61215580000000003</v>
      </c>
      <c r="F5090" t="s">
        <v>38</v>
      </c>
      <c r="G5090">
        <v>-312.7022</v>
      </c>
      <c r="H5090">
        <v>-0.05</v>
      </c>
      <c r="I5090">
        <v>11.242139999999999</v>
      </c>
      <c r="J5090">
        <v>-320.50529999999998</v>
      </c>
      <c r="K5090">
        <v>1.097931</v>
      </c>
      <c r="L5090">
        <v>16.646509999999999</v>
      </c>
      <c r="M5090">
        <v>0.98794219999999899</v>
      </c>
      <c r="N5090">
        <v>0</v>
      </c>
      <c r="O5090">
        <v>-0.15425620000000001</v>
      </c>
      <c r="P5090">
        <v>0.9514608</v>
      </c>
      <c r="Q5090">
        <v>3.9216659999999999E-3</v>
      </c>
      <c r="R5090">
        <v>-0.30774559999999901</v>
      </c>
      <c r="S5090">
        <v>2.5881349999999999</v>
      </c>
      <c r="T5090">
        <v>-0.37345149999999999</v>
      </c>
      <c r="U5090">
        <v>-1.7664789999999999</v>
      </c>
      <c r="V5090">
        <v>0.15752260000000001</v>
      </c>
      <c r="W5090">
        <v>1.4582899999999999E-2</v>
      </c>
      <c r="X5090">
        <v>0.987407699999999</v>
      </c>
      <c r="Y5090">
        <v>0.42767659999999902</v>
      </c>
      <c r="Z5090">
        <v>-8.0390800000000005E-3</v>
      </c>
      <c r="AA5090">
        <v>0.90389599999999903</v>
      </c>
      <c r="AB5090">
        <v>29</v>
      </c>
      <c r="AC5090">
        <v>7.8030999999999704</v>
      </c>
      <c r="AD5090">
        <v>-1.147931</v>
      </c>
      <c r="AE5090">
        <v>-5.4043700000000001</v>
      </c>
      <c r="AF5090">
        <v>4.0762711402032403</v>
      </c>
      <c r="AG5090">
        <v>-1.147931</v>
      </c>
      <c r="AH5090">
        <v>8.4202624773654708</v>
      </c>
      <c r="AI5090">
        <v>96.995633445983202</v>
      </c>
      <c r="AJ5090">
        <v>64.168254237123804</v>
      </c>
      <c r="AK5090">
        <v>9.4252083359968104</v>
      </c>
    </row>
    <row r="5091" spans="1:37" x14ac:dyDescent="0.2">
      <c r="A5091" t="str">
        <f>"20200111153532691"</f>
        <v>20200111153532691</v>
      </c>
      <c r="B5091" t="str">
        <f>"1578728132680738"</f>
        <v>1578728132680738</v>
      </c>
      <c r="C5091" t="s">
        <v>37</v>
      </c>
      <c r="D5091">
        <v>5.2683019999999896</v>
      </c>
      <c r="E5091">
        <v>0.61246290000000003</v>
      </c>
      <c r="F5091" t="s">
        <v>38</v>
      </c>
      <c r="G5091">
        <v>-312.59339999999997</v>
      </c>
      <c r="H5091">
        <v>-0.05</v>
      </c>
      <c r="I5091">
        <v>11.187010000000001</v>
      </c>
      <c r="J5091">
        <v>-320.3501</v>
      </c>
      <c r="K5091">
        <v>1.09749599999999</v>
      </c>
      <c r="L5091">
        <v>16.618230000000001</v>
      </c>
      <c r="M5091">
        <v>0.9872689</v>
      </c>
      <c r="N5091">
        <v>0</v>
      </c>
      <c r="O5091">
        <v>-0.15848470000000001</v>
      </c>
      <c r="P5091">
        <v>0.94985370000000002</v>
      </c>
      <c r="Q5091">
        <v>4.0002170000000004E-3</v>
      </c>
      <c r="R5091">
        <v>-0.31266939999999999</v>
      </c>
      <c r="S5091">
        <v>2.5790099999999998</v>
      </c>
      <c r="T5091">
        <v>-0.37419039999999998</v>
      </c>
      <c r="U5091">
        <v>-1.779633</v>
      </c>
      <c r="V5091">
        <v>0.15842290000000001</v>
      </c>
      <c r="W5091">
        <v>1.4819860000000001E-2</v>
      </c>
      <c r="X5091">
        <v>0.98726019999999903</v>
      </c>
      <c r="Y5091">
        <v>0.4284406</v>
      </c>
      <c r="Z5091">
        <v>-7.5858590000000004E-3</v>
      </c>
      <c r="AA5091">
        <v>0.90353809999999901</v>
      </c>
      <c r="AB5091">
        <v>29</v>
      </c>
      <c r="AC5091">
        <v>7.7567000000000199</v>
      </c>
      <c r="AD5091">
        <v>-1.1474959999999901</v>
      </c>
      <c r="AE5091">
        <v>-5.4312199999999997</v>
      </c>
      <c r="AF5091">
        <v>4.0733162370763401</v>
      </c>
      <c r="AG5091">
        <v>-1.1474959999999901</v>
      </c>
      <c r="AH5091">
        <v>8.3961920662581999</v>
      </c>
      <c r="AI5091">
        <v>97.010035071558903</v>
      </c>
      <c r="AJ5091">
        <v>64.120189642446107</v>
      </c>
      <c r="AK5091">
        <v>9.4023770106682605</v>
      </c>
    </row>
    <row r="5092" spans="1:37" x14ac:dyDescent="0.2">
      <c r="A5092" t="str">
        <f>"20200111153532703"</f>
        <v>20200111153532703</v>
      </c>
      <c r="B5092" t="str">
        <f>"1578728132690498"</f>
        <v>1578728132690498</v>
      </c>
      <c r="C5092" t="s">
        <v>37</v>
      </c>
      <c r="D5092">
        <v>5.2549109999999999</v>
      </c>
      <c r="E5092">
        <v>0.61247320000000005</v>
      </c>
      <c r="F5092" t="s">
        <v>38</v>
      </c>
      <c r="G5092">
        <v>-312.42579999999998</v>
      </c>
      <c r="H5092">
        <v>-0.05</v>
      </c>
      <c r="I5092">
        <v>11.07738</v>
      </c>
      <c r="J5092">
        <v>-320.20859999999999</v>
      </c>
      <c r="K5092">
        <v>1.0970489999999999</v>
      </c>
      <c r="L5092">
        <v>16.592040000000001</v>
      </c>
      <c r="M5092">
        <v>0.98663429999999996</v>
      </c>
      <c r="N5092">
        <v>0</v>
      </c>
      <c r="O5092">
        <v>-0.1623637</v>
      </c>
      <c r="P5092">
        <v>0.94839189999999995</v>
      </c>
      <c r="Q5092">
        <v>3.8310499999999999E-3</v>
      </c>
      <c r="R5092">
        <v>-0.31707809999999997</v>
      </c>
      <c r="S5092">
        <v>2.5687259999999998</v>
      </c>
      <c r="T5092">
        <v>-0.37197019999999997</v>
      </c>
      <c r="U5092">
        <v>-1.7961119999999999</v>
      </c>
      <c r="V5092">
        <v>0.1591378</v>
      </c>
      <c r="W5092">
        <v>1.4837019999999999E-2</v>
      </c>
      <c r="X5092">
        <v>0.98714489999999999</v>
      </c>
      <c r="Y5092">
        <v>0.43051640000000002</v>
      </c>
      <c r="Z5092">
        <v>-7.2040219999999896E-3</v>
      </c>
      <c r="AA5092">
        <v>0.90255399999999997</v>
      </c>
      <c r="AB5092">
        <v>29</v>
      </c>
      <c r="AC5092">
        <v>7.7827999999999999</v>
      </c>
      <c r="AD5092">
        <v>-1.147049</v>
      </c>
      <c r="AE5092">
        <v>-5.5146600000000001</v>
      </c>
      <c r="AF5092">
        <v>4.1181539845148496</v>
      </c>
      <c r="AG5092">
        <v>-1.147049</v>
      </c>
      <c r="AH5092">
        <v>8.4527400897021501</v>
      </c>
      <c r="AI5092">
        <v>96.955336178429803</v>
      </c>
      <c r="AJ5092">
        <v>64.024771159026002</v>
      </c>
      <c r="AK5092">
        <v>9.4722610116399597</v>
      </c>
    </row>
    <row r="5093" spans="1:37" x14ac:dyDescent="0.2">
      <c r="A5093" t="str">
        <f>"20200111153532714"</f>
        <v>20200111153532714</v>
      </c>
      <c r="B5093" t="str">
        <f>"1578728132710994"</f>
        <v>1578728132710994</v>
      </c>
      <c r="C5093" t="s">
        <v>37</v>
      </c>
      <c r="D5093">
        <v>5.3062129999999996</v>
      </c>
      <c r="E5093">
        <v>0.6122438</v>
      </c>
      <c r="F5093" t="s">
        <v>38</v>
      </c>
      <c r="G5093">
        <v>-312.25170000000003</v>
      </c>
      <c r="H5093">
        <v>-0.05</v>
      </c>
      <c r="I5093">
        <v>10.9693</v>
      </c>
      <c r="J5093">
        <v>-320.05849999999998</v>
      </c>
      <c r="K5093">
        <v>1.0964929999999999</v>
      </c>
      <c r="L5093">
        <v>16.563510000000001</v>
      </c>
      <c r="M5093">
        <v>0.98593489999999995</v>
      </c>
      <c r="N5093">
        <v>0</v>
      </c>
      <c r="O5093">
        <v>-0.16652610000000001</v>
      </c>
      <c r="P5093">
        <v>0.94680119999999901</v>
      </c>
      <c r="Q5093">
        <v>3.272119E-3</v>
      </c>
      <c r="R5093">
        <v>-0.32180300000000001</v>
      </c>
      <c r="S5093">
        <v>2.5599369999999899</v>
      </c>
      <c r="T5093">
        <v>-0.36903239999999998</v>
      </c>
      <c r="U5093">
        <v>-1.8089599999999999</v>
      </c>
      <c r="V5093">
        <v>0.15989900000000001</v>
      </c>
      <c r="W5093">
        <v>1.4552860000000001E-2</v>
      </c>
      <c r="X5093">
        <v>0.98702610000000002</v>
      </c>
      <c r="Y5093">
        <v>0.43124089999999998</v>
      </c>
      <c r="Z5093">
        <v>-6.6887350000000003E-3</v>
      </c>
      <c r="AA5093">
        <v>0.90221200000000001</v>
      </c>
      <c r="AB5093">
        <v>29</v>
      </c>
      <c r="AC5093">
        <v>7.8067999999999502</v>
      </c>
      <c r="AD5093">
        <v>-1.146493</v>
      </c>
      <c r="AE5093">
        <v>-5.5942100000000003</v>
      </c>
      <c r="AF5093">
        <v>4.1566824851595001</v>
      </c>
      <c r="AG5093">
        <v>-1.146493</v>
      </c>
      <c r="AH5093">
        <v>8.5082050989894995</v>
      </c>
      <c r="AI5093">
        <v>96.903472410438297</v>
      </c>
      <c r="AJ5093">
        <v>63.962184126779299</v>
      </c>
      <c r="AK5093">
        <v>9.5384490085103302</v>
      </c>
    </row>
    <row r="5094" spans="1:37" x14ac:dyDescent="0.2">
      <c r="A5094" t="str">
        <f>"20200111153532730"</f>
        <v>20200111153532730</v>
      </c>
      <c r="B5094" t="str">
        <f>"1578728132721282"</f>
        <v>1578728132721282</v>
      </c>
      <c r="C5094" t="s">
        <v>37</v>
      </c>
      <c r="D5094">
        <v>5.3315589999999897</v>
      </c>
      <c r="E5094">
        <v>0.61074629999999996</v>
      </c>
      <c r="F5094" t="s">
        <v>38</v>
      </c>
      <c r="G5094">
        <v>-312.11149999999998</v>
      </c>
      <c r="H5094">
        <v>-0.05</v>
      </c>
      <c r="I5094">
        <v>10.891489999999999</v>
      </c>
      <c r="J5094">
        <v>-319.8655</v>
      </c>
      <c r="K5094">
        <v>1.095674</v>
      </c>
      <c r="L5094">
        <v>16.52563</v>
      </c>
      <c r="M5094">
        <v>0.98501879999999997</v>
      </c>
      <c r="N5094">
        <v>0</v>
      </c>
      <c r="O5094">
        <v>-0.17180309999999999</v>
      </c>
      <c r="P5094">
        <v>0.94472389999999995</v>
      </c>
      <c r="Q5094">
        <v>3.3090620000000002E-3</v>
      </c>
      <c r="R5094">
        <v>-0.32785059999999999</v>
      </c>
      <c r="S5094">
        <v>2.5509949999999999</v>
      </c>
      <c r="T5094">
        <v>-0.36802289999999999</v>
      </c>
      <c r="U5094">
        <v>-1.8207089999999999</v>
      </c>
      <c r="V5094">
        <v>0.16094749999999999</v>
      </c>
      <c r="W5094">
        <v>1.5118799999999899E-2</v>
      </c>
      <c r="X5094">
        <v>0.98684719999999904</v>
      </c>
      <c r="Y5094">
        <v>0.43070540000000002</v>
      </c>
      <c r="Z5094">
        <v>-5.9934929999999999E-3</v>
      </c>
      <c r="AA5094">
        <v>0.90247269999999902</v>
      </c>
      <c r="AB5094">
        <v>29</v>
      </c>
      <c r="AC5094">
        <v>7.7540000000000102</v>
      </c>
      <c r="AD5094">
        <v>-1.1456740000000001</v>
      </c>
      <c r="AE5094">
        <v>-5.6341400000000004</v>
      </c>
      <c r="AF5094">
        <v>4.1586235701009002</v>
      </c>
      <c r="AG5094">
        <v>-1.1456740000000001</v>
      </c>
      <c r="AH5094">
        <v>8.4855152427660894</v>
      </c>
      <c r="AI5094">
        <v>96.912706337906101</v>
      </c>
      <c r="AJ5094">
        <v>63.891219819012001</v>
      </c>
      <c r="AK5094">
        <v>9.5189646415610998</v>
      </c>
    </row>
    <row r="5095" spans="1:37" x14ac:dyDescent="0.2">
      <c r="A5095" t="str">
        <f>"20200111153532740"</f>
        <v>20200111153532740</v>
      </c>
      <c r="B5095" t="str">
        <f>"1578728132731039"</f>
        <v>1578728132731039</v>
      </c>
      <c r="C5095" t="s">
        <v>37</v>
      </c>
      <c r="D5095">
        <v>5.274972</v>
      </c>
      <c r="E5095">
        <v>0.60948000000000002</v>
      </c>
      <c r="F5095" t="s">
        <v>38</v>
      </c>
      <c r="G5095">
        <v>-312.7636</v>
      </c>
      <c r="H5095">
        <v>-0.05</v>
      </c>
      <c r="I5095">
        <v>11.41704</v>
      </c>
      <c r="J5095">
        <v>-319.72210000000001</v>
      </c>
      <c r="K5095">
        <v>1.095021</v>
      </c>
      <c r="L5095">
        <v>16.496979999999901</v>
      </c>
      <c r="M5095">
        <v>0.98432310000000001</v>
      </c>
      <c r="N5095">
        <v>0</v>
      </c>
      <c r="O5095">
        <v>-0.17569489999999999</v>
      </c>
      <c r="P5095">
        <v>0.94324330000000001</v>
      </c>
      <c r="Q5095">
        <v>3.478475E-3</v>
      </c>
      <c r="R5095">
        <v>-0.3320844</v>
      </c>
      <c r="S5095">
        <v>2.5423279999999999</v>
      </c>
      <c r="T5095">
        <v>-0.4101263</v>
      </c>
      <c r="U5095">
        <v>-1.8287659999999999</v>
      </c>
      <c r="V5095">
        <v>0.16149430000000001</v>
      </c>
      <c r="W5095">
        <v>1.5758169999999998E-2</v>
      </c>
      <c r="X5095">
        <v>0.98674789999999901</v>
      </c>
      <c r="Y5095">
        <v>0.43009500000000001</v>
      </c>
      <c r="Z5095">
        <v>-6.1051619999999999E-3</v>
      </c>
      <c r="AA5095">
        <v>0.90276299999999898</v>
      </c>
      <c r="AB5095">
        <v>29</v>
      </c>
      <c r="AC5095">
        <v>6.9585000000000097</v>
      </c>
      <c r="AD5095">
        <v>-1.1450209999999901</v>
      </c>
      <c r="AE5095">
        <v>-5.0799399999999899</v>
      </c>
      <c r="AF5095">
        <v>3.7126052270079799</v>
      </c>
      <c r="AG5095">
        <v>-1.1450209999999901</v>
      </c>
      <c r="AH5095">
        <v>7.6084690391439498</v>
      </c>
      <c r="AI5095">
        <v>97.702527011742006</v>
      </c>
      <c r="AJ5095">
        <v>63.989617010425498</v>
      </c>
      <c r="AK5095">
        <v>8.5430270853872408</v>
      </c>
    </row>
    <row r="5096" spans="1:37" x14ac:dyDescent="0.2">
      <c r="A5096" t="str">
        <f>"20200111153532751"</f>
        <v>20200111153532751</v>
      </c>
      <c r="B5096" t="str">
        <f>"1578728132740800"</f>
        <v>1578728132740800</v>
      </c>
      <c r="C5096" t="s">
        <v>37</v>
      </c>
      <c r="D5096">
        <v>5.3104979999999999</v>
      </c>
      <c r="E5096">
        <v>0.60930629999999997</v>
      </c>
      <c r="F5096" t="s">
        <v>38</v>
      </c>
      <c r="G5096">
        <v>-312.26119999999997</v>
      </c>
      <c r="H5096">
        <v>-0.05</v>
      </c>
      <c r="I5096">
        <v>11.11388</v>
      </c>
      <c r="J5096">
        <v>-319.58229999999998</v>
      </c>
      <c r="K5096">
        <v>1.0943069999999999</v>
      </c>
      <c r="L5096">
        <v>16.468050000000002</v>
      </c>
      <c r="M5096">
        <v>0.98363020000000001</v>
      </c>
      <c r="N5096">
        <v>0</v>
      </c>
      <c r="O5096">
        <v>-0.17947489999999999</v>
      </c>
      <c r="P5096">
        <v>0.94180659999999905</v>
      </c>
      <c r="Q5096">
        <v>4.1101660000000002E-3</v>
      </c>
      <c r="R5096">
        <v>-0.33613019999999999</v>
      </c>
      <c r="S5096">
        <v>2.537445</v>
      </c>
      <c r="T5096">
        <v>-0.38941959999999998</v>
      </c>
      <c r="U5096">
        <v>-1.8307799999999901</v>
      </c>
      <c r="V5096">
        <v>0.16197049999999999</v>
      </c>
      <c r="W5096">
        <v>1.6945330000000002E-2</v>
      </c>
      <c r="X5096">
        <v>0.98665009999999997</v>
      </c>
      <c r="Y5096">
        <v>0.42816850000000001</v>
      </c>
      <c r="Z5096">
        <v>-5.179243E-3</v>
      </c>
      <c r="AA5096">
        <v>0.90368409999999999</v>
      </c>
      <c r="AB5096">
        <v>29</v>
      </c>
      <c r="AC5096">
        <v>7.3211000000000004</v>
      </c>
      <c r="AD5096">
        <v>-1.144307</v>
      </c>
      <c r="AE5096">
        <v>-5.3541699999999999</v>
      </c>
      <c r="AF5096">
        <v>3.89114814699589</v>
      </c>
      <c r="AG5096">
        <v>-1.144307</v>
      </c>
      <c r="AH5096">
        <v>8.0353567026092296</v>
      </c>
      <c r="AI5096">
        <v>97.3038665151646</v>
      </c>
      <c r="AJ5096">
        <v>64.161259677213806</v>
      </c>
      <c r="AK5096">
        <v>9.0009682673746703</v>
      </c>
    </row>
    <row r="5097" spans="1:37" x14ac:dyDescent="0.2">
      <c r="A5097" t="str">
        <f>"20200111153532764"</f>
        <v>20200111153532764</v>
      </c>
      <c r="B5097" t="str">
        <f>"1578728132761295"</f>
        <v>1578728132761295</v>
      </c>
      <c r="C5097" t="s">
        <v>37</v>
      </c>
      <c r="D5097">
        <v>5.273434</v>
      </c>
      <c r="E5097">
        <v>0.61123499999999997</v>
      </c>
      <c r="F5097" t="s">
        <v>38</v>
      </c>
      <c r="G5097">
        <v>-311.71199999999999</v>
      </c>
      <c r="H5097">
        <v>-0.05</v>
      </c>
      <c r="I5097">
        <v>10.74377</v>
      </c>
      <c r="J5097">
        <v>-319.43470000000002</v>
      </c>
      <c r="K5097">
        <v>1.0935280000000001</v>
      </c>
      <c r="L5097">
        <v>16.436920000000001</v>
      </c>
      <c r="M5097">
        <v>0.98287089999999999</v>
      </c>
      <c r="N5097">
        <v>0</v>
      </c>
      <c r="O5097">
        <v>-0.1835232</v>
      </c>
      <c r="P5097">
        <v>0.94037079999999995</v>
      </c>
      <c r="Q5097">
        <v>4.6120249999999996E-3</v>
      </c>
      <c r="R5097">
        <v>-0.3401209</v>
      </c>
      <c r="S5097">
        <v>2.5301819999999999</v>
      </c>
      <c r="T5097">
        <v>-0.367878599999999</v>
      </c>
      <c r="U5097">
        <v>-1.840271</v>
      </c>
      <c r="V5097">
        <v>0.16212279999999901</v>
      </c>
      <c r="W5097">
        <v>1.8076689999999999E-2</v>
      </c>
      <c r="X5097">
        <v>0.98660499999999995</v>
      </c>
      <c r="Y5097">
        <v>0.42812519999999998</v>
      </c>
      <c r="Z5097">
        <v>-4.397621E-3</v>
      </c>
      <c r="AA5097">
        <v>0.90370869999999903</v>
      </c>
      <c r="AB5097">
        <v>29</v>
      </c>
      <c r="AC5097">
        <v>7.7227000000000299</v>
      </c>
      <c r="AD5097">
        <v>-1.1435280000000001</v>
      </c>
      <c r="AE5097">
        <v>-5.6931500000000002</v>
      </c>
      <c r="AF5097">
        <v>4.1203975648589797</v>
      </c>
      <c r="AG5097">
        <v>-1.1435280000000001</v>
      </c>
      <c r="AH5097">
        <v>8.5155008445954703</v>
      </c>
      <c r="AI5097">
        <v>96.892498324988495</v>
      </c>
      <c r="AJ5097">
        <v>64.179041117043795</v>
      </c>
      <c r="AK5097">
        <v>9.5288554933730598</v>
      </c>
    </row>
    <row r="5098" spans="1:37" x14ac:dyDescent="0.2">
      <c r="A5098" t="str">
        <f>"20200111153532774"</f>
        <v>20200111153532774</v>
      </c>
      <c r="B5098" t="str">
        <f>"1578728132771056"</f>
        <v>1578728132771056</v>
      </c>
      <c r="C5098" t="s">
        <v>37</v>
      </c>
      <c r="D5098">
        <v>5.2595599999999996</v>
      </c>
      <c r="E5098">
        <v>0.61236990000000002</v>
      </c>
      <c r="F5098" t="s">
        <v>38</v>
      </c>
      <c r="G5098">
        <v>-310.99900000000002</v>
      </c>
      <c r="H5098">
        <v>-0.05</v>
      </c>
      <c r="I5098">
        <v>10.18445</v>
      </c>
      <c r="J5098">
        <v>-319.29020000000003</v>
      </c>
      <c r="K5098">
        <v>1.0927260000000001</v>
      </c>
      <c r="L5098">
        <v>16.405670000000001</v>
      </c>
      <c r="M5098">
        <v>0.982093199999999</v>
      </c>
      <c r="N5098">
        <v>0</v>
      </c>
      <c r="O5098">
        <v>-0.18757089999999901</v>
      </c>
      <c r="P5098">
        <v>0.93886440000000004</v>
      </c>
      <c r="Q5098">
        <v>5.1559229999999998E-3</v>
      </c>
      <c r="R5098">
        <v>-0.34424879999999902</v>
      </c>
      <c r="S5098">
        <v>2.5171199999999998</v>
      </c>
      <c r="T5098">
        <v>-0.3412153</v>
      </c>
      <c r="U5098">
        <v>-1.8656619999999999</v>
      </c>
      <c r="V5098">
        <v>0.16242470000000001</v>
      </c>
      <c r="W5098">
        <v>1.928765E-2</v>
      </c>
      <c r="X5098">
        <v>0.98653239999999998</v>
      </c>
      <c r="Y5098">
        <v>0.43276029999999999</v>
      </c>
      <c r="Z5098">
        <v>-3.9041689999999999E-3</v>
      </c>
      <c r="AA5098">
        <v>0.90150059999999999</v>
      </c>
      <c r="AB5098">
        <v>29</v>
      </c>
      <c r="AC5098">
        <v>8.2911999999999999</v>
      </c>
      <c r="AD5098">
        <v>-1.1427259999999999</v>
      </c>
      <c r="AE5098">
        <v>-6.2212199999999998</v>
      </c>
      <c r="AF5098">
        <v>4.5006395912425701</v>
      </c>
      <c r="AG5098">
        <v>-1.1427259999999999</v>
      </c>
      <c r="AH5098">
        <v>9.1992947064466204</v>
      </c>
      <c r="AI5098">
        <v>96.366781278384195</v>
      </c>
      <c r="AJ5098">
        <v>63.930387818970601</v>
      </c>
      <c r="AK5098">
        <v>10.3047854192793</v>
      </c>
    </row>
    <row r="5099" spans="1:37" x14ac:dyDescent="0.2">
      <c r="A5099" t="str">
        <f>"20200111153532786"</f>
        <v>20200111153532786</v>
      </c>
      <c r="B5099" t="str">
        <f>"1578728132780815"</f>
        <v>1578728132780815</v>
      </c>
      <c r="C5099" t="s">
        <v>37</v>
      </c>
      <c r="D5099">
        <v>5.3006479999999998</v>
      </c>
      <c r="E5099">
        <v>0.61330269999999898</v>
      </c>
      <c r="F5099" t="s">
        <v>38</v>
      </c>
      <c r="G5099">
        <v>-310.45269999999999</v>
      </c>
      <c r="H5099">
        <v>-0.05</v>
      </c>
      <c r="I5099">
        <v>9.7544710000000006</v>
      </c>
      <c r="J5099">
        <v>-319.1497</v>
      </c>
      <c r="K5099">
        <v>1.0919399999999999</v>
      </c>
      <c r="L5099">
        <v>16.374479999999998</v>
      </c>
      <c r="M5099">
        <v>0.98127960000000003</v>
      </c>
      <c r="N5099">
        <v>0</v>
      </c>
      <c r="O5099">
        <v>-0.1917073</v>
      </c>
      <c r="P5099">
        <v>0.93751340000000005</v>
      </c>
      <c r="Q5099">
        <v>5.7539610000000001E-3</v>
      </c>
      <c r="R5099">
        <v>-0.34790209999999999</v>
      </c>
      <c r="S5099">
        <v>2.5056759999999998</v>
      </c>
      <c r="T5099">
        <v>-0.3239957</v>
      </c>
      <c r="U5099">
        <v>-1.8858029999999999</v>
      </c>
      <c r="V5099">
        <v>0.1621417</v>
      </c>
      <c r="W5099">
        <v>2.0614420000000001E-2</v>
      </c>
      <c r="X5099">
        <v>0.98655210000000004</v>
      </c>
      <c r="Y5099">
        <v>0.43571359999999998</v>
      </c>
      <c r="Z5099">
        <v>-3.4337899999999999E-3</v>
      </c>
      <c r="AA5099">
        <v>0.90007879999999996</v>
      </c>
      <c r="AB5099">
        <v>29</v>
      </c>
      <c r="AC5099">
        <v>8.6969999999999992</v>
      </c>
      <c r="AD5099">
        <v>-1.14194</v>
      </c>
      <c r="AE5099">
        <v>-6.6200089999999898</v>
      </c>
      <c r="AF5099">
        <v>4.7774693553994902</v>
      </c>
      <c r="AG5099">
        <v>-1.14194</v>
      </c>
      <c r="AH5099">
        <v>9.6990799116940103</v>
      </c>
      <c r="AI5099">
        <v>96.029180114278304</v>
      </c>
      <c r="AJ5099">
        <v>63.776556668786803</v>
      </c>
      <c r="AK5099">
        <v>10.8720003467074</v>
      </c>
    </row>
    <row r="5100" spans="1:37" x14ac:dyDescent="0.2">
      <c r="A5100" t="str">
        <f>"20200111153532797"</f>
        <v>20200111153532797</v>
      </c>
      <c r="B5100" t="str">
        <f>"1578728132790575"</f>
        <v>1578728132790575</v>
      </c>
      <c r="C5100" t="s">
        <v>37</v>
      </c>
      <c r="D5100">
        <v>5.2988629999999999</v>
      </c>
      <c r="E5100">
        <v>0.61392349999999996</v>
      </c>
      <c r="F5100" t="s">
        <v>38</v>
      </c>
      <c r="G5100">
        <v>-310.07069999999999</v>
      </c>
      <c r="H5100">
        <v>-0.05</v>
      </c>
      <c r="I5100">
        <v>9.4491420000000002</v>
      </c>
      <c r="J5100">
        <v>-318.99869999999999</v>
      </c>
      <c r="K5100">
        <v>1.091094</v>
      </c>
      <c r="L5100">
        <v>16.340389999999999</v>
      </c>
      <c r="M5100">
        <v>0.98035849999999902</v>
      </c>
      <c r="N5100">
        <v>0</v>
      </c>
      <c r="O5100">
        <v>-0.19627900000000001</v>
      </c>
      <c r="P5100">
        <v>0.93605430000000001</v>
      </c>
      <c r="Q5100">
        <v>5.9138890000000003E-3</v>
      </c>
      <c r="R5100">
        <v>-0.35180620000000001</v>
      </c>
      <c r="S5100">
        <v>2.4954830000000001</v>
      </c>
      <c r="T5100">
        <v>-0.31387939999999998</v>
      </c>
      <c r="U5100">
        <v>-1.9035340000000001</v>
      </c>
      <c r="V5100">
        <v>0.16167909999999999</v>
      </c>
      <c r="W5100">
        <v>2.1604109999999999E-2</v>
      </c>
      <c r="X5100">
        <v>0.98660689999999995</v>
      </c>
      <c r="Y5100">
        <v>0.43742809999999999</v>
      </c>
      <c r="Z5100">
        <v>-2.945231E-3</v>
      </c>
      <c r="AA5100">
        <v>0.89924850000000001</v>
      </c>
      <c r="AB5100">
        <v>29</v>
      </c>
      <c r="AC5100">
        <v>8.9279999999999902</v>
      </c>
      <c r="AD5100">
        <v>-1.1410940000000001</v>
      </c>
      <c r="AE5100">
        <v>-6.8912479999999903</v>
      </c>
      <c r="AF5100">
        <v>4.95373495928221</v>
      </c>
      <c r="AG5100">
        <v>-1.1410940000000001</v>
      </c>
      <c r="AH5100">
        <v>10.004711419973701</v>
      </c>
      <c r="AI5100">
        <v>95.836071853448999</v>
      </c>
      <c r="AJ5100">
        <v>63.658137711454401</v>
      </c>
      <c r="AK5100">
        <v>11.2221137118015</v>
      </c>
    </row>
    <row r="5101" spans="1:37" x14ac:dyDescent="0.2">
      <c r="A5101" t="str">
        <f>"20200111153532809"</f>
        <v>20200111153532809</v>
      </c>
      <c r="B5101" t="str">
        <f>"1578728132801311"</f>
        <v>1578728132801311</v>
      </c>
      <c r="C5101" t="s">
        <v>37</v>
      </c>
      <c r="D5101">
        <v>5.3119629999999898</v>
      </c>
      <c r="E5101">
        <v>0.61428729999999998</v>
      </c>
      <c r="F5101" t="s">
        <v>38</v>
      </c>
      <c r="G5101">
        <v>-309.71839999999997</v>
      </c>
      <c r="H5101">
        <v>-0.05</v>
      </c>
      <c r="I5101">
        <v>9.1742100000000004</v>
      </c>
      <c r="J5101">
        <v>-318.86160000000001</v>
      </c>
      <c r="K5101">
        <v>1.0903080000000001</v>
      </c>
      <c r="L5101">
        <v>16.30829</v>
      </c>
      <c r="M5101">
        <v>0.97943380000000002</v>
      </c>
      <c r="N5101">
        <v>0</v>
      </c>
      <c r="O5101">
        <v>-0.20076269999999999</v>
      </c>
      <c r="P5101">
        <v>0.93449249999999995</v>
      </c>
      <c r="Q5101">
        <v>5.9113880000000001E-3</v>
      </c>
      <c r="R5101">
        <v>-0.35593439999999998</v>
      </c>
      <c r="S5101">
        <v>2.485535</v>
      </c>
      <c r="T5101">
        <v>-0.30561830000000001</v>
      </c>
      <c r="U5101">
        <v>-1.9193119999999999</v>
      </c>
      <c r="V5101">
        <v>0.16153719999999999</v>
      </c>
      <c r="W5101">
        <v>2.2382599999999999E-2</v>
      </c>
      <c r="X5101">
        <v>0.98661279999999996</v>
      </c>
      <c r="Y5101">
        <v>0.438706499999999</v>
      </c>
      <c r="Z5101">
        <v>-2.4815850000000001E-3</v>
      </c>
      <c r="AA5101">
        <v>0.89862699999999995</v>
      </c>
      <c r="AB5101">
        <v>29</v>
      </c>
      <c r="AC5101">
        <v>9.1432000000000304</v>
      </c>
      <c r="AD5101">
        <v>-1.1403080000000001</v>
      </c>
      <c r="AE5101">
        <v>-7.1340799999999902</v>
      </c>
      <c r="AF5101">
        <v>5.1034449971072897</v>
      </c>
      <c r="AG5101">
        <v>-1.1403080000000001</v>
      </c>
      <c r="AH5101">
        <v>10.2900283002443</v>
      </c>
      <c r="AI5101">
        <v>95.669601698255804</v>
      </c>
      <c r="AJ5101">
        <v>63.620416423418597</v>
      </c>
      <c r="AK5101">
        <v>11.5425359255751</v>
      </c>
    </row>
    <row r="5102" spans="1:37" x14ac:dyDescent="0.2">
      <c r="A5102" t="str">
        <f>"20200111153532819"</f>
        <v>20200111153532819</v>
      </c>
      <c r="B5102" t="str">
        <f>"1578728132811072"</f>
        <v>1578728132811072</v>
      </c>
      <c r="C5102" t="s">
        <v>37</v>
      </c>
      <c r="D5102">
        <v>5.3086289999999998</v>
      </c>
      <c r="E5102">
        <v>0.61463869999999998</v>
      </c>
      <c r="F5102" t="s">
        <v>38</v>
      </c>
      <c r="G5102">
        <v>-309.40870000000001</v>
      </c>
      <c r="H5102">
        <v>-0.05</v>
      </c>
      <c r="I5102">
        <v>8.9248659999999997</v>
      </c>
      <c r="J5102">
        <v>-318.71820000000002</v>
      </c>
      <c r="K5102">
        <v>1.0894740000000001</v>
      </c>
      <c r="L5102">
        <v>16.274379999999901</v>
      </c>
      <c r="M5102">
        <v>0.9784195</v>
      </c>
      <c r="N5102">
        <v>0</v>
      </c>
      <c r="O5102">
        <v>-0.20556469999999999</v>
      </c>
      <c r="P5102">
        <v>0.93287129999999996</v>
      </c>
      <c r="Q5102">
        <v>6.3392479999999996E-3</v>
      </c>
      <c r="R5102">
        <v>-0.36015409999999998</v>
      </c>
      <c r="S5102">
        <v>2.4756770000000001</v>
      </c>
      <c r="T5102">
        <v>-0.29864200000000002</v>
      </c>
      <c r="U5102">
        <v>-1.9336849999999901</v>
      </c>
      <c r="V5102">
        <v>0.1611841</v>
      </c>
      <c r="W5102">
        <v>2.3619660000000001E-2</v>
      </c>
      <c r="X5102">
        <v>0.98664159999999901</v>
      </c>
      <c r="Y5102">
        <v>0.43934119999999999</v>
      </c>
      <c r="Z5102">
        <v>-1.9810650000000002E-3</v>
      </c>
      <c r="AA5102">
        <v>0.89831810000000001</v>
      </c>
      <c r="AB5102">
        <v>29</v>
      </c>
      <c r="AC5102">
        <v>9.3095000000000105</v>
      </c>
      <c r="AD5102">
        <v>-1.1394740000000001</v>
      </c>
      <c r="AE5102">
        <v>-7.3495139999999903</v>
      </c>
      <c r="AF5102">
        <v>5.2300902837121699</v>
      </c>
      <c r="AG5102">
        <v>-1.1394740000000001</v>
      </c>
      <c r="AH5102">
        <v>10.5245908547034</v>
      </c>
      <c r="AI5102">
        <v>95.537861303784794</v>
      </c>
      <c r="AJ5102">
        <v>63.575380042987</v>
      </c>
      <c r="AK5102">
        <v>11.807593236191799</v>
      </c>
    </row>
    <row r="5103" spans="1:37" x14ac:dyDescent="0.2">
      <c r="A5103" t="str">
        <f>"20200111153532830"</f>
        <v>20200111153532830</v>
      </c>
      <c r="B5103" t="str">
        <f>"1578728132820832"</f>
        <v>1578728132820832</v>
      </c>
      <c r="C5103" t="s">
        <v>37</v>
      </c>
      <c r="D5103">
        <v>5.292643</v>
      </c>
      <c r="E5103">
        <v>0.61496809999999902</v>
      </c>
      <c r="F5103" t="s">
        <v>38</v>
      </c>
      <c r="G5103">
        <v>-309.11649999999997</v>
      </c>
      <c r="H5103">
        <v>-0.05</v>
      </c>
      <c r="I5103">
        <v>8.68908699999999</v>
      </c>
      <c r="J5103">
        <v>-318.58049999999997</v>
      </c>
      <c r="K5103">
        <v>1.088652</v>
      </c>
      <c r="L5103">
        <v>16.240690000000001</v>
      </c>
      <c r="M5103">
        <v>0.97729339999999998</v>
      </c>
      <c r="N5103">
        <v>0</v>
      </c>
      <c r="O5103">
        <v>-0.21078829999999901</v>
      </c>
      <c r="P5103">
        <v>0.9309347</v>
      </c>
      <c r="Q5103">
        <v>6.5472539999999997E-3</v>
      </c>
      <c r="R5103">
        <v>-0.36512749999999999</v>
      </c>
      <c r="S5103">
        <v>2.4658199999999999</v>
      </c>
      <c r="T5103">
        <v>-0.29263099999999997</v>
      </c>
      <c r="U5103">
        <v>-1.9479979999999999</v>
      </c>
      <c r="V5103">
        <v>0.16119629999999999</v>
      </c>
      <c r="W5103">
        <v>2.4457710000000001E-2</v>
      </c>
      <c r="X5103">
        <v>0.98661929999999998</v>
      </c>
      <c r="Y5103">
        <v>0.4395617</v>
      </c>
      <c r="Z5103">
        <v>-1.442647E-3</v>
      </c>
      <c r="AA5103">
        <v>0.89821119999999899</v>
      </c>
      <c r="AB5103">
        <v>29</v>
      </c>
      <c r="AC5103">
        <v>9.4640000000000004</v>
      </c>
      <c r="AD5103">
        <v>-1.138652</v>
      </c>
      <c r="AE5103">
        <v>-7.5516030000000001</v>
      </c>
      <c r="AF5103">
        <v>5.3392639281257601</v>
      </c>
      <c r="AG5103">
        <v>-1.138652</v>
      </c>
      <c r="AH5103">
        <v>10.7483583598856</v>
      </c>
      <c r="AI5103">
        <v>95.4197800777239</v>
      </c>
      <c r="AJ5103">
        <v>63.584039111879299</v>
      </c>
      <c r="AK5103">
        <v>12.055350476191499</v>
      </c>
    </row>
    <row r="5104" spans="1:37" x14ac:dyDescent="0.2">
      <c r="A5104" t="str">
        <f>"20200111153532842"</f>
        <v>20200111153532842</v>
      </c>
      <c r="B5104" t="str">
        <f>"1578728132830592"</f>
        <v>1578728132830592</v>
      </c>
      <c r="C5104" t="s">
        <v>37</v>
      </c>
      <c r="D5104">
        <v>5.2983010000000004</v>
      </c>
      <c r="E5104">
        <v>0.61502559999999995</v>
      </c>
      <c r="F5104" t="s">
        <v>38</v>
      </c>
      <c r="G5104">
        <v>-308.9905</v>
      </c>
      <c r="H5104">
        <v>-0.05</v>
      </c>
      <c r="I5104">
        <v>8.5665890000000005</v>
      </c>
      <c r="J5104">
        <v>-318.43889999999999</v>
      </c>
      <c r="K5104">
        <v>1.0877699999999999</v>
      </c>
      <c r="L5104">
        <v>16.205629999999999</v>
      </c>
      <c r="M5104">
        <v>0.97609249999999903</v>
      </c>
      <c r="N5104">
        <v>0</v>
      </c>
      <c r="O5104">
        <v>-0.2162171</v>
      </c>
      <c r="P5104">
        <v>0.92888969999999904</v>
      </c>
      <c r="Q5104">
        <v>6.7861789999999998E-3</v>
      </c>
      <c r="R5104">
        <v>-0.37029479999999998</v>
      </c>
      <c r="S5104">
        <v>2.454285</v>
      </c>
      <c r="T5104">
        <v>-0.29140359999999998</v>
      </c>
      <c r="U5104">
        <v>-1.963959</v>
      </c>
      <c r="V5104">
        <v>0.16121369999999999</v>
      </c>
      <c r="W5104">
        <v>2.5296200000000001E-2</v>
      </c>
      <c r="X5104">
        <v>0.98659529999999995</v>
      </c>
      <c r="Y5104">
        <v>0.44021689999999902</v>
      </c>
      <c r="Z5104">
        <v>-9.4281699999999998E-4</v>
      </c>
      <c r="AA5104">
        <v>0.89789099999999999</v>
      </c>
      <c r="AB5104">
        <v>29</v>
      </c>
      <c r="AC5104">
        <v>9.4483999999999906</v>
      </c>
      <c r="AD5104">
        <v>-1.1377699999999999</v>
      </c>
      <c r="AE5104">
        <v>-7.63904099999999</v>
      </c>
      <c r="AF5104">
        <v>5.3677723396278596</v>
      </c>
      <c r="AG5104">
        <v>-1.1377699999999999</v>
      </c>
      <c r="AH5104">
        <v>10.7823397019609</v>
      </c>
      <c r="AI5104">
        <v>95.396333152785701</v>
      </c>
      <c r="AJ5104">
        <v>63.534499900956803</v>
      </c>
      <c r="AK5104">
        <v>12.098196142874199</v>
      </c>
    </row>
    <row r="5105" spans="1:37" x14ac:dyDescent="0.2">
      <c r="A5105" t="str">
        <f>"20200111153532853"</f>
        <v>20200111153532853</v>
      </c>
      <c r="B5105" t="str">
        <f>"1578728132841328"</f>
        <v>1578728132841328</v>
      </c>
      <c r="C5105" t="s">
        <v>37</v>
      </c>
      <c r="D5105">
        <v>5.3309699999999998</v>
      </c>
      <c r="E5105">
        <v>0.6151105</v>
      </c>
      <c r="F5105" t="s">
        <v>38</v>
      </c>
      <c r="G5105">
        <v>-308.88350000000003</v>
      </c>
      <c r="H5105">
        <v>-0.05</v>
      </c>
      <c r="I5105">
        <v>8.467606</v>
      </c>
      <c r="J5105">
        <v>-318.29880000000003</v>
      </c>
      <c r="K5105">
        <v>1.0867990000000001</v>
      </c>
      <c r="L5105">
        <v>16.169920000000001</v>
      </c>
      <c r="M5105">
        <v>0.97484359999999903</v>
      </c>
      <c r="N5105">
        <v>0</v>
      </c>
      <c r="O5105">
        <v>-0.2217268</v>
      </c>
      <c r="P5105">
        <v>0.92668989999999996</v>
      </c>
      <c r="Q5105">
        <v>7.632621E-3</v>
      </c>
      <c r="R5105">
        <v>-0.37574990000000003</v>
      </c>
      <c r="S5105">
        <v>2.4431150000000001</v>
      </c>
      <c r="T5105">
        <v>-0.2909042</v>
      </c>
      <c r="U5105">
        <v>-1.9784549999999901</v>
      </c>
      <c r="V5105">
        <v>0.161476799999999</v>
      </c>
      <c r="W5105">
        <v>2.6610869999999998E-2</v>
      </c>
      <c r="X5105">
        <v>0.98651769999999905</v>
      </c>
      <c r="Y5105">
        <v>0.44039430000000002</v>
      </c>
      <c r="Z5105">
        <v>-4.1477009999999999E-4</v>
      </c>
      <c r="AA5105">
        <v>0.8978043</v>
      </c>
      <c r="AB5105">
        <v>29</v>
      </c>
      <c r="AC5105">
        <v>9.4153000000000002</v>
      </c>
      <c r="AD5105">
        <v>-1.1367989999999999</v>
      </c>
      <c r="AE5105">
        <v>-7.7023140000000003</v>
      </c>
      <c r="AF5105">
        <v>5.3753841318668796</v>
      </c>
      <c r="AG5105">
        <v>-1.1367989999999999</v>
      </c>
      <c r="AH5105">
        <v>10.794795290770599</v>
      </c>
      <c r="AI5105">
        <v>95.385291047747302</v>
      </c>
      <c r="AJ5105">
        <v>63.528498348516898</v>
      </c>
      <c r="AK5105">
        <v>12.1125832051289</v>
      </c>
    </row>
    <row r="5106" spans="1:37" x14ac:dyDescent="0.2">
      <c r="A5106" t="str">
        <f>"20200111153532864"</f>
        <v>20200111153532864</v>
      </c>
      <c r="B5106" t="str">
        <f>"1578728132860848"</f>
        <v>1578728132860848</v>
      </c>
      <c r="C5106" t="s">
        <v>37</v>
      </c>
      <c r="D5106">
        <v>5.2808209999999898</v>
      </c>
      <c r="E5106">
        <v>0.61528899999999997</v>
      </c>
      <c r="F5106" t="s">
        <v>38</v>
      </c>
      <c r="G5106">
        <v>-308.77390000000003</v>
      </c>
      <c r="H5106">
        <v>-0.05</v>
      </c>
      <c r="I5106">
        <v>8.3574219999999997</v>
      </c>
      <c r="J5106">
        <v>-318.15359999999998</v>
      </c>
      <c r="K5106">
        <v>1.0856980000000001</v>
      </c>
      <c r="L5106">
        <v>16.132110000000001</v>
      </c>
      <c r="M5106">
        <v>0.97352989999999995</v>
      </c>
      <c r="N5106">
        <v>0</v>
      </c>
      <c r="O5106">
        <v>-0.22737460000000001</v>
      </c>
      <c r="P5106">
        <v>0.92436369999999901</v>
      </c>
      <c r="Q5106">
        <v>8.283749E-3</v>
      </c>
      <c r="R5106">
        <v>-0.38142309999999902</v>
      </c>
      <c r="S5106">
        <v>2.431152</v>
      </c>
      <c r="T5106">
        <v>-0.29015940000000001</v>
      </c>
      <c r="U5106">
        <v>-1.9940799999999901</v>
      </c>
      <c r="V5106">
        <v>0.16184019999999999</v>
      </c>
      <c r="W5106">
        <v>2.768145E-2</v>
      </c>
      <c r="X5106">
        <v>0.98642870000000005</v>
      </c>
      <c r="Y5106">
        <v>0.44083030000000001</v>
      </c>
      <c r="Z5106">
        <v>1.11775499999999E-4</v>
      </c>
      <c r="AA5106">
        <v>0.89759049999999996</v>
      </c>
      <c r="AB5106">
        <v>29</v>
      </c>
      <c r="AC5106">
        <v>9.37969999999995</v>
      </c>
      <c r="AD5106">
        <v>-1.1356980000000001</v>
      </c>
      <c r="AE5106">
        <v>-7.7746880000000003</v>
      </c>
      <c r="AF5106">
        <v>5.3908087928453403</v>
      </c>
      <c r="AG5106">
        <v>-1.1356980000000001</v>
      </c>
      <c r="AH5106">
        <v>10.808207353508401</v>
      </c>
      <c r="AI5106">
        <v>95.371743389937905</v>
      </c>
      <c r="AJ5106">
        <v>63.491358952676499</v>
      </c>
      <c r="AK5106">
        <v>12.131280871559101</v>
      </c>
    </row>
    <row r="5107" spans="1:37" x14ac:dyDescent="0.2">
      <c r="A5107" t="str">
        <f>"20200111153532875"</f>
        <v>20200111153532875</v>
      </c>
      <c r="B5107" t="str">
        <f>"1578728132870607"</f>
        <v>1578728132870607</v>
      </c>
      <c r="C5107" t="s">
        <v>37</v>
      </c>
      <c r="D5107">
        <v>5.3091599999999897</v>
      </c>
      <c r="E5107">
        <v>0.615317</v>
      </c>
      <c r="F5107" t="s">
        <v>38</v>
      </c>
      <c r="G5107">
        <v>-308.69290000000001</v>
      </c>
      <c r="H5107">
        <v>-0.05</v>
      </c>
      <c r="I5107">
        <v>8.2663270000000004</v>
      </c>
      <c r="J5107">
        <v>-318.01159999999999</v>
      </c>
      <c r="K5107">
        <v>1.084519</v>
      </c>
      <c r="L5107">
        <v>16.094329999999999</v>
      </c>
      <c r="M5107">
        <v>0.97222710000000001</v>
      </c>
      <c r="N5107">
        <v>0</v>
      </c>
      <c r="O5107">
        <v>-0.23283589999999901</v>
      </c>
      <c r="P5107">
        <v>0.92213179999999995</v>
      </c>
      <c r="Q5107">
        <v>9.0936479999999993E-3</v>
      </c>
      <c r="R5107">
        <v>-0.38676969999999999</v>
      </c>
      <c r="S5107">
        <v>2.418396</v>
      </c>
      <c r="T5107">
        <v>-0.2903153</v>
      </c>
      <c r="U5107">
        <v>-2.0107119999999998</v>
      </c>
      <c r="V5107">
        <v>0.16205899999999901</v>
      </c>
      <c r="W5107">
        <v>2.884161E-2</v>
      </c>
      <c r="X5107">
        <v>0.98635949999999994</v>
      </c>
      <c r="Y5107">
        <v>0.4417856</v>
      </c>
      <c r="Z5107">
        <v>5.9267879999999997E-4</v>
      </c>
      <c r="AA5107">
        <v>0.89712049999999999</v>
      </c>
      <c r="AB5107">
        <v>29</v>
      </c>
      <c r="AC5107">
        <v>9.3186999999999696</v>
      </c>
      <c r="AD5107">
        <v>-1.1345190000000001</v>
      </c>
      <c r="AE5107">
        <v>-7.8280029999999901</v>
      </c>
      <c r="AF5107">
        <v>5.3955107914016898</v>
      </c>
      <c r="AG5107">
        <v>-1.1345190000000001</v>
      </c>
      <c r="AH5107">
        <v>10.7918102450018</v>
      </c>
      <c r="AI5107">
        <v>95.371756914421397</v>
      </c>
      <c r="AJ5107">
        <v>63.436623710632297</v>
      </c>
      <c r="AK5107">
        <v>12.118656626277399</v>
      </c>
    </row>
    <row r="5108" spans="1:37" x14ac:dyDescent="0.2">
      <c r="A5108" t="str">
        <f>"20200111153532888"</f>
        <v>20200111153532888</v>
      </c>
      <c r="B5108" t="str">
        <f>"1578728132881343"</f>
        <v>1578728132881343</v>
      </c>
      <c r="C5108" t="s">
        <v>37</v>
      </c>
      <c r="D5108">
        <v>5.2784579999999997</v>
      </c>
      <c r="E5108">
        <v>0.61536119999999905</v>
      </c>
      <c r="F5108" t="s">
        <v>38</v>
      </c>
      <c r="G5108">
        <v>-308.60739999999998</v>
      </c>
      <c r="H5108">
        <v>-0.05</v>
      </c>
      <c r="I5108">
        <v>8.1799160000000004</v>
      </c>
      <c r="J5108">
        <v>-317.8578</v>
      </c>
      <c r="K5108">
        <v>1.0831109999999999</v>
      </c>
      <c r="L5108">
        <v>16.052</v>
      </c>
      <c r="M5108">
        <v>0.97080049999999996</v>
      </c>
      <c r="N5108">
        <v>0</v>
      </c>
      <c r="O5108">
        <v>-0.23867140000000001</v>
      </c>
      <c r="P5108">
        <v>0.91970079999999998</v>
      </c>
      <c r="Q5108">
        <v>9.7808840000000001E-3</v>
      </c>
      <c r="R5108">
        <v>-0.39249829999999902</v>
      </c>
      <c r="S5108">
        <v>2.4066770000000002</v>
      </c>
      <c r="T5108">
        <v>-0.29034130000000002</v>
      </c>
      <c r="U5108">
        <v>-2.0254209999999899</v>
      </c>
      <c r="V5108">
        <v>0.16231909999999999</v>
      </c>
      <c r="W5108">
        <v>2.9813470000000002E-2</v>
      </c>
      <c r="X5108">
        <v>0.98628780000000005</v>
      </c>
      <c r="Y5108">
        <v>0.44178149999999899</v>
      </c>
      <c r="Z5108">
        <v>1.1611659999999999E-3</v>
      </c>
      <c r="AA5108">
        <v>0.89712199999999998</v>
      </c>
      <c r="AB5108">
        <v>29</v>
      </c>
      <c r="AC5108">
        <v>9.2504000000000097</v>
      </c>
      <c r="AD5108">
        <v>-1.133111</v>
      </c>
      <c r="AE5108">
        <v>-7.8720839999999903</v>
      </c>
      <c r="AF5108">
        <v>5.3891024004545898</v>
      </c>
      <c r="AG5108">
        <v>-1.133111</v>
      </c>
      <c r="AH5108">
        <v>10.7685856097978</v>
      </c>
      <c r="AI5108">
        <v>95.375599245523105</v>
      </c>
      <c r="AJ5108">
        <v>63.414480374991101</v>
      </c>
      <c r="AK5108">
        <v>12.094990750573199</v>
      </c>
    </row>
    <row r="5109" spans="1:37" x14ac:dyDescent="0.2">
      <c r="A5109" t="str">
        <f>"20200111153532900"</f>
        <v>20200111153532900</v>
      </c>
      <c r="B5109" t="str">
        <f>"1578728132891103"</f>
        <v>1578728132891103</v>
      </c>
      <c r="C5109" t="s">
        <v>37</v>
      </c>
      <c r="D5109">
        <v>5.2847269999999904</v>
      </c>
      <c r="E5109">
        <v>0.61542559999999902</v>
      </c>
      <c r="F5109" t="s">
        <v>38</v>
      </c>
      <c r="G5109">
        <v>-308.51369999999997</v>
      </c>
      <c r="H5109">
        <v>-0.05</v>
      </c>
      <c r="I5109">
        <v>8.0837399999999899</v>
      </c>
      <c r="J5109">
        <v>-317.70260000000002</v>
      </c>
      <c r="K5109">
        <v>1.081628</v>
      </c>
      <c r="L5109">
        <v>16.00854</v>
      </c>
      <c r="M5109">
        <v>0.96933099999999905</v>
      </c>
      <c r="N5109">
        <v>0</v>
      </c>
      <c r="O5109">
        <v>-0.24453169999999999</v>
      </c>
      <c r="P5109">
        <v>0.91720849999999898</v>
      </c>
      <c r="Q5109">
        <v>1.056473E-2</v>
      </c>
      <c r="R5109">
        <v>-0.39826800000000001</v>
      </c>
      <c r="S5109">
        <v>2.3938599999999899</v>
      </c>
      <c r="T5109">
        <v>-0.29029050000000001</v>
      </c>
      <c r="U5109">
        <v>-2.041382</v>
      </c>
      <c r="V5109">
        <v>0.16261110000000001</v>
      </c>
      <c r="W5109">
        <v>3.0831999999999998E-2</v>
      </c>
      <c r="X5109">
        <v>0.98620839999999999</v>
      </c>
      <c r="Y5109">
        <v>0.4422179</v>
      </c>
      <c r="Z5109">
        <v>1.70917799999999E-3</v>
      </c>
      <c r="AA5109">
        <v>0.89690599999999998</v>
      </c>
      <c r="AB5109">
        <v>29</v>
      </c>
      <c r="AC5109">
        <v>9.1889000000000394</v>
      </c>
      <c r="AD5109">
        <v>-1.1316280000000001</v>
      </c>
      <c r="AE5109">
        <v>-7.9248000000000003</v>
      </c>
      <c r="AF5109">
        <v>5.3895380071081496</v>
      </c>
      <c r="AG5109">
        <v>-1.1316280000000001</v>
      </c>
      <c r="AH5109">
        <v>10.754677313921301</v>
      </c>
      <c r="AI5109">
        <v>95.3740358573598</v>
      </c>
      <c r="AJ5109">
        <v>63.382978573139098</v>
      </c>
      <c r="AK5109">
        <v>12.082664689008899</v>
      </c>
    </row>
    <row r="5110" spans="1:37" x14ac:dyDescent="0.2">
      <c r="A5110" t="str">
        <f>"20200111153532911"</f>
        <v>20200111153532911</v>
      </c>
      <c r="B5110" t="str">
        <f>"1578728132900864"</f>
        <v>1578728132900864</v>
      </c>
      <c r="C5110" t="s">
        <v>37</v>
      </c>
      <c r="D5110">
        <v>5.3233969999999999</v>
      </c>
      <c r="E5110">
        <v>0.61547700000000005</v>
      </c>
      <c r="F5110" t="s">
        <v>38</v>
      </c>
      <c r="G5110">
        <v>-308.39980000000003</v>
      </c>
      <c r="H5110">
        <v>-0.05</v>
      </c>
      <c r="I5110">
        <v>7.9686579999999996</v>
      </c>
      <c r="J5110">
        <v>-317.55489999999998</v>
      </c>
      <c r="K5110">
        <v>1.0801129999999901</v>
      </c>
      <c r="L5110">
        <v>15.96555</v>
      </c>
      <c r="M5110">
        <v>0.96789389999999997</v>
      </c>
      <c r="N5110">
        <v>0</v>
      </c>
      <c r="O5110">
        <v>-0.25013170000000001</v>
      </c>
      <c r="P5110">
        <v>0.91491009999999995</v>
      </c>
      <c r="Q5110">
        <v>1.106593E-2</v>
      </c>
      <c r="R5110">
        <v>-0.40350570000000002</v>
      </c>
      <c r="S5110">
        <v>2.3807369999999999</v>
      </c>
      <c r="T5110">
        <v>-0.28960009999999903</v>
      </c>
      <c r="U5110">
        <v>-2.05752599999999</v>
      </c>
      <c r="V5110">
        <v>0.16259660000000001</v>
      </c>
      <c r="W5110">
        <v>3.1456360000000003E-2</v>
      </c>
      <c r="X5110">
        <v>0.98619109999999999</v>
      </c>
      <c r="Y5110">
        <v>0.4429826</v>
      </c>
      <c r="Z5110">
        <v>2.2101270000000001E-3</v>
      </c>
      <c r="AA5110">
        <v>0.89652749999999903</v>
      </c>
      <c r="AB5110">
        <v>29</v>
      </c>
      <c r="AC5110">
        <v>9.1550999999999405</v>
      </c>
      <c r="AD5110">
        <v>-1.1301129999999999</v>
      </c>
      <c r="AE5110">
        <v>-7.9968919999999999</v>
      </c>
      <c r="AF5110">
        <v>5.4051234604129004</v>
      </c>
      <c r="AG5110">
        <v>-1.1301129999999999</v>
      </c>
      <c r="AH5110">
        <v>10.771685355788801</v>
      </c>
      <c r="AI5110">
        <v>95.357059195997294</v>
      </c>
      <c r="AJ5110">
        <v>63.3529622968491</v>
      </c>
      <c r="AK5110">
        <v>12.1046156659016</v>
      </c>
    </row>
    <row r="5111" spans="1:37" x14ac:dyDescent="0.2">
      <c r="A5111" t="str">
        <f>"20200111153532923"</f>
        <v>20200111153532923</v>
      </c>
      <c r="B5111" t="str">
        <f>"1578728132910624"</f>
        <v>1578728132910624</v>
      </c>
      <c r="C5111" t="s">
        <v>37</v>
      </c>
      <c r="D5111">
        <v>5.2607140000000001</v>
      </c>
      <c r="E5111">
        <v>0.61557019999999996</v>
      </c>
      <c r="F5111" t="s">
        <v>38</v>
      </c>
      <c r="G5111">
        <v>-308.303</v>
      </c>
      <c r="H5111">
        <v>-0.05</v>
      </c>
      <c r="I5111">
        <v>7.8728030000000002</v>
      </c>
      <c r="J5111">
        <v>-317.42</v>
      </c>
      <c r="K5111">
        <v>1.078703</v>
      </c>
      <c r="L5111">
        <v>15.92557</v>
      </c>
      <c r="M5111">
        <v>0.9665511</v>
      </c>
      <c r="N5111">
        <v>0</v>
      </c>
      <c r="O5111">
        <v>-0.25525039999999999</v>
      </c>
      <c r="P5111">
        <v>0.91275280000000003</v>
      </c>
      <c r="Q5111">
        <v>1.168692E-2</v>
      </c>
      <c r="R5111">
        <v>-0.40834549999999997</v>
      </c>
      <c r="S5111">
        <v>2.3687130000000001</v>
      </c>
      <c r="T5111">
        <v>-0.28933920000000002</v>
      </c>
      <c r="U5111">
        <v>-2.0719599999999998</v>
      </c>
      <c r="V5111">
        <v>0.1626494</v>
      </c>
      <c r="W5111">
        <v>3.2159809999999997E-2</v>
      </c>
      <c r="X5111">
        <v>0.98615969999999997</v>
      </c>
      <c r="Y5111">
        <v>0.44360719999999998</v>
      </c>
      <c r="Z5111">
        <v>2.6738589999999998E-3</v>
      </c>
      <c r="AA5111">
        <v>0.89621729999999999</v>
      </c>
      <c r="AB5111">
        <v>29</v>
      </c>
      <c r="AC5111">
        <v>9.1170000000000098</v>
      </c>
      <c r="AD5111">
        <v>-1.128703</v>
      </c>
      <c r="AE5111">
        <v>-8.0527669999999993</v>
      </c>
      <c r="AF5111">
        <v>5.41141068813985</v>
      </c>
      <c r="AG5111">
        <v>-1.128703</v>
      </c>
      <c r="AH5111">
        <v>10.778124657046</v>
      </c>
      <c r="AI5111">
        <v>95.346631867630606</v>
      </c>
      <c r="AJ5111">
        <v>63.339985781079797</v>
      </c>
      <c r="AK5111">
        <v>12.1130222166372</v>
      </c>
    </row>
    <row r="5112" spans="1:37" x14ac:dyDescent="0.2">
      <c r="A5112" t="str">
        <f>"20200111153532935"</f>
        <v>20200111153532935</v>
      </c>
      <c r="B5112" t="str">
        <f>"1578728132931119"</f>
        <v>1578728132931119</v>
      </c>
      <c r="C5112" t="s">
        <v>37</v>
      </c>
      <c r="D5112">
        <v>5.2675859999999997</v>
      </c>
      <c r="E5112">
        <v>0.61565239999999999</v>
      </c>
      <c r="F5112" t="s">
        <v>38</v>
      </c>
      <c r="G5112">
        <v>-308.22190000000001</v>
      </c>
      <c r="H5112">
        <v>-0.05</v>
      </c>
      <c r="I5112">
        <v>7.7877199999999904</v>
      </c>
      <c r="J5112">
        <v>-317.27</v>
      </c>
      <c r="K5112">
        <v>1.0770919999999999</v>
      </c>
      <c r="L5112">
        <v>15.87994</v>
      </c>
      <c r="M5112">
        <v>0.96502080000000001</v>
      </c>
      <c r="N5112">
        <v>0</v>
      </c>
      <c r="O5112">
        <v>-0.26095699999999999</v>
      </c>
      <c r="P5112">
        <v>0.91040319999999997</v>
      </c>
      <c r="Q5112">
        <v>1.2045129999999999E-2</v>
      </c>
      <c r="R5112">
        <v>-0.41354750000000001</v>
      </c>
      <c r="S5112">
        <v>2.3573909999999998</v>
      </c>
      <c r="T5112">
        <v>-0.28927740000000002</v>
      </c>
      <c r="U5112">
        <v>-2.0856629999999998</v>
      </c>
      <c r="V5112">
        <v>0.16249439999999901</v>
      </c>
      <c r="W5112">
        <v>3.2570149999999999E-2</v>
      </c>
      <c r="X5112">
        <v>0.98617180000000004</v>
      </c>
      <c r="Y5112">
        <v>0.44339390000000001</v>
      </c>
      <c r="Z5112">
        <v>3.240326E-3</v>
      </c>
      <c r="AA5112">
        <v>0.89632109999999998</v>
      </c>
      <c r="AB5112">
        <v>29</v>
      </c>
      <c r="AC5112">
        <v>9.0480999999999696</v>
      </c>
      <c r="AD5112">
        <v>-1.127092</v>
      </c>
      <c r="AE5112">
        <v>-8.0922199999999993</v>
      </c>
      <c r="AF5112">
        <v>5.4031486501414898</v>
      </c>
      <c r="AG5112">
        <v>-1.127092</v>
      </c>
      <c r="AH5112">
        <v>10.7540658114661</v>
      </c>
      <c r="AI5112">
        <v>95.350162604683405</v>
      </c>
      <c r="AJ5112">
        <v>63.323744893611902</v>
      </c>
      <c r="AK5112">
        <v>12.087774120545699</v>
      </c>
    </row>
    <row r="5113" spans="1:37" x14ac:dyDescent="0.2">
      <c r="A5113" t="str">
        <f>"20200111153532946"</f>
        <v>20200111153532946</v>
      </c>
      <c r="B5113" t="str">
        <f>"1578728132940879"</f>
        <v>1578728132940879</v>
      </c>
      <c r="C5113" t="s">
        <v>37</v>
      </c>
      <c r="D5113">
        <v>5.301831</v>
      </c>
      <c r="E5113">
        <v>0.61565239999999999</v>
      </c>
      <c r="F5113" t="s">
        <v>38</v>
      </c>
      <c r="G5113">
        <v>-308.2371</v>
      </c>
      <c r="H5113">
        <v>-0.05</v>
      </c>
      <c r="I5113">
        <v>7.7895659999999998</v>
      </c>
      <c r="J5113">
        <v>-317.12630000000001</v>
      </c>
      <c r="K5113">
        <v>1.0755429999999999</v>
      </c>
      <c r="L5113">
        <v>15.8349299999999</v>
      </c>
      <c r="M5113">
        <v>0.96351139999999902</v>
      </c>
      <c r="N5113">
        <v>0</v>
      </c>
      <c r="O5113">
        <v>-0.26646120000000001</v>
      </c>
      <c r="P5113">
        <v>0.90814130000000004</v>
      </c>
      <c r="Q5113">
        <v>1.245858E-2</v>
      </c>
      <c r="R5113">
        <v>-0.41847909999999999</v>
      </c>
      <c r="S5113">
        <v>2.345062</v>
      </c>
      <c r="T5113">
        <v>-0.29260819999999998</v>
      </c>
      <c r="U5113">
        <v>-2.1003720000000001</v>
      </c>
      <c r="V5113">
        <v>0.16225590000000001</v>
      </c>
      <c r="W5113">
        <v>3.3008610000000001E-2</v>
      </c>
      <c r="X5113">
        <v>0.98619650000000003</v>
      </c>
      <c r="Y5113">
        <v>0.4437429</v>
      </c>
      <c r="Z5113">
        <v>3.8019359999999901E-3</v>
      </c>
      <c r="AA5113">
        <v>0.89614609999999995</v>
      </c>
      <c r="AB5113">
        <v>29</v>
      </c>
      <c r="AC5113">
        <v>8.8892000000000095</v>
      </c>
      <c r="AD5113">
        <v>-1.125543</v>
      </c>
      <c r="AE5113">
        <v>-8.0453639999999904</v>
      </c>
      <c r="AF5113">
        <v>5.3378646367607496</v>
      </c>
      <c r="AG5113">
        <v>-1.125543</v>
      </c>
      <c r="AH5113">
        <v>10.6184919290758</v>
      </c>
      <c r="AI5113">
        <v>95.410090435793705</v>
      </c>
      <c r="AJ5113">
        <v>63.311544424328297</v>
      </c>
      <c r="AK5113">
        <v>11.937839702939501</v>
      </c>
    </row>
    <row r="5114" spans="1:37" x14ac:dyDescent="0.2">
      <c r="A5114" t="str">
        <f>"20200111153532957"</f>
        <v>20200111153532957</v>
      </c>
      <c r="B5114" t="str">
        <f>"1578728132950639"</f>
        <v>1578728132950639</v>
      </c>
      <c r="C5114" t="s">
        <v>37</v>
      </c>
      <c r="D5114">
        <v>5.2906889999999898</v>
      </c>
      <c r="E5114">
        <v>0.61568159999999905</v>
      </c>
      <c r="F5114" t="s">
        <v>38</v>
      </c>
      <c r="G5114">
        <v>-308.17869999999999</v>
      </c>
      <c r="H5114">
        <v>-0.05</v>
      </c>
      <c r="I5114">
        <v>7.7310639999999999</v>
      </c>
      <c r="J5114">
        <v>-316.99119999999999</v>
      </c>
      <c r="K5114">
        <v>1.0740809999999901</v>
      </c>
      <c r="L5114">
        <v>15.79205</v>
      </c>
      <c r="M5114">
        <v>0.96205869999999905</v>
      </c>
      <c r="N5114">
        <v>0</v>
      </c>
      <c r="O5114">
        <v>-0.27164820000000001</v>
      </c>
      <c r="P5114">
        <v>0.905833</v>
      </c>
      <c r="Q5114">
        <v>1.277767E-2</v>
      </c>
      <c r="R5114">
        <v>-0.4234425</v>
      </c>
      <c r="S5114">
        <v>2.3335569999999999</v>
      </c>
      <c r="T5114">
        <v>-0.29354659999999999</v>
      </c>
      <c r="U5114">
        <v>-2.1135250000000001</v>
      </c>
      <c r="V5114">
        <v>0.1623771</v>
      </c>
      <c r="W5114">
        <v>3.3326000000000001E-2</v>
      </c>
      <c r="X5114">
        <v>0.98616579999999998</v>
      </c>
      <c r="Y5114">
        <v>0.44390350000000001</v>
      </c>
      <c r="Z5114">
        <v>4.3196679999999996E-3</v>
      </c>
      <c r="AA5114">
        <v>0.89606419999999998</v>
      </c>
      <c r="AB5114">
        <v>29</v>
      </c>
      <c r="AC5114">
        <v>8.8125</v>
      </c>
      <c r="AD5114">
        <v>-1.1240809999999899</v>
      </c>
      <c r="AE5114">
        <v>-8.0609859999999998</v>
      </c>
      <c r="AF5114">
        <v>5.3158957494221797</v>
      </c>
      <c r="AG5114">
        <v>-1.1240809999999899</v>
      </c>
      <c r="AH5114">
        <v>10.5776639552949</v>
      </c>
      <c r="AI5114">
        <v>95.424131172515004</v>
      </c>
      <c r="AJ5114">
        <v>63.317792339398601</v>
      </c>
      <c r="AK5114">
        <v>11.8915634154821</v>
      </c>
    </row>
    <row r="5115" spans="1:37" x14ac:dyDescent="0.2">
      <c r="A5115" t="str">
        <f>"20200111153532968"</f>
        <v>20200111153532968</v>
      </c>
      <c r="B5115" t="str">
        <f>"1578728132961375"</f>
        <v>1578728132961375</v>
      </c>
      <c r="C5115" t="s">
        <v>37</v>
      </c>
      <c r="D5115">
        <v>5.2778739999999997</v>
      </c>
      <c r="E5115">
        <v>0.61567899999999998</v>
      </c>
      <c r="F5115" t="s">
        <v>38</v>
      </c>
      <c r="G5115">
        <v>-308.12</v>
      </c>
      <c r="H5115">
        <v>-0.05</v>
      </c>
      <c r="I5115">
        <v>7.6651759999999998</v>
      </c>
      <c r="J5115">
        <v>-316.86309999999997</v>
      </c>
      <c r="K5115">
        <v>1.0727180000000001</v>
      </c>
      <c r="L5115">
        <v>15.74985</v>
      </c>
      <c r="M5115">
        <v>0.96062420000000004</v>
      </c>
      <c r="N5115">
        <v>0</v>
      </c>
      <c r="O5115">
        <v>-0.27667429999999998</v>
      </c>
      <c r="P5115">
        <v>0.90365110000000004</v>
      </c>
      <c r="Q5115">
        <v>1.2993360000000001E-2</v>
      </c>
      <c r="R5115">
        <v>-0.42807329999999999</v>
      </c>
      <c r="S5115">
        <v>2.3217469999999998</v>
      </c>
      <c r="T5115">
        <v>-0.29419269999999997</v>
      </c>
      <c r="U5115">
        <v>-2.1269529999999999</v>
      </c>
      <c r="V5115">
        <v>0.1622953</v>
      </c>
      <c r="W5115">
        <v>3.3501860000000001E-2</v>
      </c>
      <c r="X5115">
        <v>0.98617330000000003</v>
      </c>
      <c r="Y5115">
        <v>0.4443223</v>
      </c>
      <c r="Z5115">
        <v>4.8066680000000001E-3</v>
      </c>
      <c r="AA5115">
        <v>0.89585409999999899</v>
      </c>
      <c r="AB5115">
        <v>29</v>
      </c>
      <c r="AC5115">
        <v>8.7430999999999699</v>
      </c>
      <c r="AD5115">
        <v>-1.1227180000000001</v>
      </c>
      <c r="AE5115">
        <v>-8.0846739999999997</v>
      </c>
      <c r="AF5115">
        <v>5.3019585964233</v>
      </c>
      <c r="AG5115">
        <v>-1.1227180000000001</v>
      </c>
      <c r="AH5115">
        <v>10.545388310034101</v>
      </c>
      <c r="AI5115">
        <v>95.433606240065799</v>
      </c>
      <c r="AJ5115">
        <v>63.307889143807401</v>
      </c>
      <c r="AK5115">
        <v>11.856495067055601</v>
      </c>
    </row>
    <row r="5116" spans="1:37" x14ac:dyDescent="0.2">
      <c r="A5116" t="str">
        <f>"20200111153532979"</f>
        <v>20200111153532979</v>
      </c>
      <c r="B5116" t="str">
        <f>"1578728132971138"</f>
        <v>1578728132971138</v>
      </c>
      <c r="C5116" t="s">
        <v>37</v>
      </c>
      <c r="D5116">
        <v>5.3326310000000001</v>
      </c>
      <c r="E5116">
        <v>0.61571309999999901</v>
      </c>
      <c r="F5116" t="s">
        <v>38</v>
      </c>
      <c r="G5116">
        <v>-308.07960000000003</v>
      </c>
      <c r="H5116">
        <v>-0.05</v>
      </c>
      <c r="I5116">
        <v>7.6198269999999999</v>
      </c>
      <c r="J5116">
        <v>-316.72289999999998</v>
      </c>
      <c r="K5116">
        <v>1.071229</v>
      </c>
      <c r="L5116">
        <v>15.70331</v>
      </c>
      <c r="M5116">
        <v>0.95901550000000002</v>
      </c>
      <c r="N5116">
        <v>0</v>
      </c>
      <c r="O5116">
        <v>-0.28219629999999901</v>
      </c>
      <c r="P5116">
        <v>0.90124950000000004</v>
      </c>
      <c r="Q5116">
        <v>1.345758E-2</v>
      </c>
      <c r="R5116">
        <v>-0.43309219999999998</v>
      </c>
      <c r="S5116">
        <v>2.310883</v>
      </c>
      <c r="T5116">
        <v>-0.29537869999999999</v>
      </c>
      <c r="U5116">
        <v>-2.1389469999999999</v>
      </c>
      <c r="V5116">
        <v>0.16214200000000001</v>
      </c>
      <c r="W5116">
        <v>3.3912650000000003E-2</v>
      </c>
      <c r="X5116">
        <v>0.98618449999999902</v>
      </c>
      <c r="Y5116">
        <v>0.44379109999999999</v>
      </c>
      <c r="Z5116">
        <v>5.4061169999999898E-3</v>
      </c>
      <c r="AA5116">
        <v>0.89611399999999997</v>
      </c>
      <c r="AB5116">
        <v>28</v>
      </c>
      <c r="AC5116">
        <v>8.6432999999999502</v>
      </c>
      <c r="AD5116">
        <v>-1.121229</v>
      </c>
      <c r="AE5116">
        <v>-8.0834829999999993</v>
      </c>
      <c r="AF5116">
        <v>5.2675337423014996</v>
      </c>
      <c r="AG5116">
        <v>-1.121229</v>
      </c>
      <c r="AH5116">
        <v>10.4795784992943</v>
      </c>
      <c r="AI5116">
        <v>95.460592665618293</v>
      </c>
      <c r="AJ5116">
        <v>63.313725754591303</v>
      </c>
      <c r="AK5116">
        <v>11.782428939721999</v>
      </c>
    </row>
    <row r="5117" spans="1:37" x14ac:dyDescent="0.2">
      <c r="A5117" t="str">
        <f>"20200111153532990"</f>
        <v>20200111153532990</v>
      </c>
      <c r="B5117" t="str">
        <f>"1578728132980895"</f>
        <v>1578728132980895</v>
      </c>
      <c r="C5117" t="s">
        <v>37</v>
      </c>
      <c r="D5117">
        <v>5.2046190000000001</v>
      </c>
      <c r="E5117">
        <v>0.61571309999999901</v>
      </c>
      <c r="F5117" t="s">
        <v>38</v>
      </c>
      <c r="G5117">
        <v>-308.01209999999998</v>
      </c>
      <c r="H5117">
        <v>-0.05</v>
      </c>
      <c r="I5117">
        <v>7.5474399999999902</v>
      </c>
      <c r="J5117">
        <v>-316.57960000000003</v>
      </c>
      <c r="K5117">
        <v>1.069766</v>
      </c>
      <c r="L5117">
        <v>15.654019999999999</v>
      </c>
      <c r="M5117">
        <v>0.95728440000000004</v>
      </c>
      <c r="N5117">
        <v>0</v>
      </c>
      <c r="O5117">
        <v>-0.28801859999999901</v>
      </c>
      <c r="P5117">
        <v>0.89851729999999996</v>
      </c>
      <c r="Q5117">
        <v>1.418353E-2</v>
      </c>
      <c r="R5117">
        <v>-0.43870949999999997</v>
      </c>
      <c r="S5117">
        <v>2.2988279999999999</v>
      </c>
      <c r="T5117">
        <v>-0.2958982</v>
      </c>
      <c r="U5117">
        <v>-2.152374</v>
      </c>
      <c r="V5117">
        <v>0.1623426</v>
      </c>
      <c r="W5117">
        <v>3.4514549999999998E-2</v>
      </c>
      <c r="X5117">
        <v>0.98613069999999903</v>
      </c>
      <c r="Y5117">
        <v>0.44350279999999997</v>
      </c>
      <c r="Z5117">
        <v>6.0142279999999999E-3</v>
      </c>
      <c r="AA5117">
        <v>0.89625279999999996</v>
      </c>
      <c r="AB5117">
        <v>28</v>
      </c>
      <c r="AC5117">
        <v>8.5675000000000505</v>
      </c>
      <c r="AD5117">
        <v>-1.119766</v>
      </c>
      <c r="AE5117">
        <v>-8.1065799999999992</v>
      </c>
      <c r="AF5117">
        <v>5.2471367109754103</v>
      </c>
      <c r="AG5117">
        <v>-1.119766</v>
      </c>
      <c r="AH5117">
        <v>10.4456689939123</v>
      </c>
      <c r="AI5117">
        <v>95.471807143281097</v>
      </c>
      <c r="AJ5117">
        <v>63.328407587650197</v>
      </c>
      <c r="AK5117">
        <v>11.743011551080199</v>
      </c>
    </row>
    <row r="5118" spans="1:37" x14ac:dyDescent="0.2">
      <c r="A5118" t="str">
        <f>"20200111153533002"</f>
        <v>20200111153533002</v>
      </c>
      <c r="B5118" t="str">
        <f>"1578728132990655"</f>
        <v>1578728132990655</v>
      </c>
      <c r="C5118" t="s">
        <v>37</v>
      </c>
      <c r="D5118">
        <v>5.2946470000000003</v>
      </c>
      <c r="E5118">
        <v>0.65209499999999998</v>
      </c>
      <c r="F5118" t="s">
        <v>38</v>
      </c>
      <c r="G5118">
        <v>-307.87029999999999</v>
      </c>
      <c r="H5118">
        <v>-0.05</v>
      </c>
      <c r="I5118">
        <v>7.3974909999999996</v>
      </c>
      <c r="J5118">
        <v>-316.4427</v>
      </c>
      <c r="K5118">
        <v>1.068398</v>
      </c>
      <c r="L5118">
        <v>15.606260000000001</v>
      </c>
      <c r="M5118">
        <v>0.95557369999999997</v>
      </c>
      <c r="N5118">
        <v>0</v>
      </c>
      <c r="O5118">
        <v>-0.29365140000000001</v>
      </c>
      <c r="P5118">
        <v>0.89588089999999998</v>
      </c>
      <c r="Q5118">
        <v>1.4507320000000001E-2</v>
      </c>
      <c r="R5118">
        <v>-0.44405719999999999</v>
      </c>
      <c r="S5118">
        <v>2.28555299999999</v>
      </c>
      <c r="T5118">
        <v>-0.29385479999999897</v>
      </c>
      <c r="U5118">
        <v>-2.1667179999999999</v>
      </c>
      <c r="V5118">
        <v>0.16243279999999999</v>
      </c>
      <c r="W5118">
        <v>3.4704699999999998E-2</v>
      </c>
      <c r="X5118">
        <v>0.98610909999999996</v>
      </c>
      <c r="Y5118">
        <v>0.44381709999999902</v>
      </c>
      <c r="Z5118">
        <v>6.5178850000000002E-3</v>
      </c>
      <c r="AA5118">
        <v>0.89609369999999999</v>
      </c>
      <c r="AB5118">
        <v>28</v>
      </c>
      <c r="AC5118">
        <v>8.5724000000000107</v>
      </c>
      <c r="AD5118">
        <v>-1.118398</v>
      </c>
      <c r="AE5118">
        <v>-8.2087690000000002</v>
      </c>
      <c r="AF5118">
        <v>5.2816159881291798</v>
      </c>
      <c r="AG5118">
        <v>-1.118398</v>
      </c>
      <c r="AH5118">
        <v>10.5121721467494</v>
      </c>
      <c r="AI5118">
        <v>95.430574901292104</v>
      </c>
      <c r="AJ5118">
        <v>63.323737940358797</v>
      </c>
      <c r="AK5118">
        <v>11.817446626719301</v>
      </c>
    </row>
    <row r="5119" spans="1:37" x14ac:dyDescent="0.2">
      <c r="A5119" t="str">
        <f>"20200111153533025"</f>
        <v>20200111153533025</v>
      </c>
      <c r="B5119" t="str">
        <f>"1578728133020912"</f>
        <v>1578728133020912</v>
      </c>
      <c r="C5119" t="s">
        <v>37</v>
      </c>
      <c r="D5119">
        <v>5.2770359999999998</v>
      </c>
      <c r="E5119">
        <v>0.65209499999999998</v>
      </c>
      <c r="F5119" t="s">
        <v>38</v>
      </c>
      <c r="G5119">
        <v>-302.10719999999998</v>
      </c>
      <c r="H5119">
        <v>-0.05</v>
      </c>
      <c r="I5119">
        <v>-0.65286250000000001</v>
      </c>
      <c r="J5119">
        <v>-316.17149999999998</v>
      </c>
      <c r="K5119">
        <v>1.0658589999999999</v>
      </c>
      <c r="L5119">
        <v>15.5083</v>
      </c>
      <c r="M5119">
        <v>0.95195969999999996</v>
      </c>
      <c r="N5119">
        <v>0</v>
      </c>
      <c r="O5119">
        <v>-0.30519099999999999</v>
      </c>
      <c r="P5119">
        <v>0.89017590000000002</v>
      </c>
      <c r="Q5119">
        <v>1.532124E-2</v>
      </c>
      <c r="R5119">
        <v>-0.45535969999999998</v>
      </c>
      <c r="S5119">
        <v>2.1453250000000001</v>
      </c>
      <c r="T5119">
        <v>-0.16736970000000001</v>
      </c>
      <c r="U5119">
        <v>-2.4331969999999998</v>
      </c>
      <c r="V5119">
        <v>0.16301109999999999</v>
      </c>
      <c r="W5119">
        <v>3.514598E-2</v>
      </c>
      <c r="X5119">
        <v>0.98599799999999904</v>
      </c>
      <c r="Y5119">
        <v>0.51211139999999999</v>
      </c>
      <c r="Z5119">
        <v>2.214616E-3</v>
      </c>
      <c r="AA5119">
        <v>0.85891620000000002</v>
      </c>
      <c r="AB5119">
        <v>28</v>
      </c>
      <c r="AC5119">
        <v>14.064299999999999</v>
      </c>
      <c r="AD5119">
        <v>-1.1158589999999999</v>
      </c>
      <c r="AE5119">
        <v>-16.1611625</v>
      </c>
      <c r="AF5119">
        <v>11.0659602502807</v>
      </c>
      <c r="AG5119">
        <v>-1.1158589999999999</v>
      </c>
      <c r="AH5119">
        <v>18.277090739200101</v>
      </c>
      <c r="AI5119">
        <v>92.989603535328101</v>
      </c>
      <c r="AJ5119">
        <v>58.806971573165903</v>
      </c>
      <c r="AK5119">
        <v>21.395155139835399</v>
      </c>
    </row>
    <row r="5120" spans="1:37" x14ac:dyDescent="0.2">
      <c r="A5120" t="str">
        <f>"20200111153533199"</f>
        <v>20200111153533199</v>
      </c>
      <c r="B5120" t="str">
        <f>"1578728133191147"</f>
        <v>1578728133191147</v>
      </c>
      <c r="C5120" t="s">
        <v>37</v>
      </c>
      <c r="D5120">
        <v>5.0327640000000002</v>
      </c>
      <c r="E5120">
        <v>0.70220769999999899</v>
      </c>
      <c r="F5120" t="s">
        <v>38</v>
      </c>
      <c r="G5120">
        <v>-301.9271</v>
      </c>
      <c r="H5120">
        <v>-0.05</v>
      </c>
      <c r="I5120">
        <v>-1.0645450000000001</v>
      </c>
      <c r="J5120">
        <v>-314.1189</v>
      </c>
      <c r="K5120">
        <v>1.051523</v>
      </c>
      <c r="L5120">
        <v>14.62405</v>
      </c>
      <c r="M5120">
        <v>0.91426830000000003</v>
      </c>
      <c r="N5120">
        <v>0</v>
      </c>
      <c r="O5120">
        <v>-0.40458179999999999</v>
      </c>
      <c r="P5120">
        <v>0.83154059999999896</v>
      </c>
      <c r="Q5120">
        <v>2.0833259999999999E-2</v>
      </c>
      <c r="R5120">
        <v>-0.55507359999999994</v>
      </c>
      <c r="S5120">
        <v>2.1145019999999999</v>
      </c>
      <c r="T5120">
        <v>-0.16564300000000001</v>
      </c>
      <c r="U5120">
        <v>-2.4601439999999899</v>
      </c>
      <c r="V5120">
        <v>0.17219119999999999</v>
      </c>
      <c r="W5120">
        <v>3.6341119999999998E-2</v>
      </c>
      <c r="X5120">
        <v>0.98439290000000002</v>
      </c>
      <c r="Y5120">
        <v>0.42967799999999901</v>
      </c>
      <c r="Z5120">
        <v>1.011248E-2</v>
      </c>
      <c r="AA5120">
        <v>0.90292559999999999</v>
      </c>
      <c r="AB5120">
        <v>28</v>
      </c>
      <c r="AC5120">
        <v>12.191800000000001</v>
      </c>
      <c r="AD5120">
        <v>-1.101523</v>
      </c>
      <c r="AE5120">
        <v>-15.688594999999999</v>
      </c>
      <c r="AF5120">
        <v>9.3841720290354402</v>
      </c>
      <c r="AG5120">
        <v>-1.101523</v>
      </c>
      <c r="AH5120">
        <v>17.4440176578365</v>
      </c>
      <c r="AI5120">
        <v>93.182942024710798</v>
      </c>
      <c r="AJ5120">
        <v>61.721555747195801</v>
      </c>
      <c r="AK5120">
        <v>19.838593438975799</v>
      </c>
    </row>
    <row r="5121" spans="1:37" x14ac:dyDescent="0.2">
      <c r="A5121" t="str">
        <f>"20200111153533213"</f>
        <v>20200111153533213</v>
      </c>
      <c r="B5121" t="str">
        <f>"1578728133210668"</f>
        <v>1578728133210668</v>
      </c>
      <c r="C5121" t="s">
        <v>37</v>
      </c>
      <c r="D5121">
        <v>5.1032099999999998</v>
      </c>
      <c r="E5121">
        <v>0.70110830000000002</v>
      </c>
      <c r="F5121" t="s">
        <v>39</v>
      </c>
      <c r="G5121">
        <v>-299.78390000000002</v>
      </c>
      <c r="H5121" s="1">
        <v>-3.426524E-6</v>
      </c>
      <c r="I5121">
        <v>-12.469250000000001</v>
      </c>
      <c r="J5121">
        <v>-313.96859999999998</v>
      </c>
      <c r="K5121">
        <v>1.050797</v>
      </c>
      <c r="L5121">
        <v>14.547879999999999</v>
      </c>
      <c r="M5121">
        <v>0.91080949999999905</v>
      </c>
      <c r="N5121">
        <v>0</v>
      </c>
      <c r="O5121">
        <v>-0.4123252</v>
      </c>
      <c r="P5121">
        <v>0.82665379999999999</v>
      </c>
      <c r="Q5121">
        <v>2.083053E-2</v>
      </c>
      <c r="R5121">
        <v>-0.56232530000000003</v>
      </c>
      <c r="S5121">
        <v>1.5964969999999901</v>
      </c>
      <c r="T5121">
        <v>-0.11710899999999901</v>
      </c>
      <c r="U5121">
        <v>-3.017395</v>
      </c>
      <c r="V5121">
        <v>0.17243989999999901</v>
      </c>
      <c r="W5121">
        <v>3.6022800000000001E-2</v>
      </c>
      <c r="X5121">
        <v>0.98436109999999899</v>
      </c>
      <c r="Y5121">
        <v>0.61224799999999902</v>
      </c>
      <c r="Z5121">
        <v>3.4614350000000001E-3</v>
      </c>
      <c r="AA5121">
        <v>0.79065819999999998</v>
      </c>
      <c r="AB5121">
        <v>28</v>
      </c>
      <c r="AC5121">
        <v>14.1846999999999</v>
      </c>
      <c r="AD5121">
        <v>-1.0508004265240001</v>
      </c>
      <c r="AE5121">
        <v>-27.017130000000002</v>
      </c>
      <c r="AF5121">
        <v>18.740410209246502</v>
      </c>
      <c r="AG5121">
        <v>-1.0508004265240001</v>
      </c>
      <c r="AH5121">
        <v>24.0358817525352</v>
      </c>
      <c r="AI5121">
        <v>91.974604799282901</v>
      </c>
      <c r="AJ5121">
        <v>52.0570013076034</v>
      </c>
      <c r="AK5121">
        <v>30.496405820507299</v>
      </c>
    </row>
    <row r="5122" spans="1:37" x14ac:dyDescent="0.2">
      <c r="A5122" t="str">
        <f>"20200111153533227"</f>
        <v>20200111153533227</v>
      </c>
      <c r="B5122" t="str">
        <f>"1578728133220427"</f>
        <v>1578728133220427</v>
      </c>
      <c r="C5122" t="s">
        <v>37</v>
      </c>
      <c r="D5122">
        <v>5.0449149999999996</v>
      </c>
      <c r="E5122">
        <v>0.70075310000000002</v>
      </c>
      <c r="F5122" t="s">
        <v>71</v>
      </c>
      <c r="G5122">
        <v>-272.50970000000001</v>
      </c>
      <c r="H5122" s="1">
        <v>-1.2332760000000001E-6</v>
      </c>
      <c r="I5122">
        <v>-64.891289999999998</v>
      </c>
      <c r="J5122">
        <v>-313.81880000000001</v>
      </c>
      <c r="K5122">
        <v>1.0501240000000001</v>
      </c>
      <c r="L5122">
        <v>14.47052</v>
      </c>
      <c r="M5122">
        <v>0.90726609999999996</v>
      </c>
      <c r="N5122">
        <v>0</v>
      </c>
      <c r="O5122">
        <v>-0.4200797</v>
      </c>
      <c r="P5122">
        <v>0.82167169999999901</v>
      </c>
      <c r="Q5122">
        <v>2.0876019999999999E-2</v>
      </c>
      <c r="R5122">
        <v>-0.56957880000000005</v>
      </c>
      <c r="S5122">
        <v>1.5759889999999901</v>
      </c>
      <c r="T5122">
        <v>-3.994429E-2</v>
      </c>
      <c r="U5122">
        <v>-3.0197449999999999</v>
      </c>
      <c r="V5122">
        <v>0.1727003</v>
      </c>
      <c r="W5122">
        <v>3.5764999999999998E-2</v>
      </c>
      <c r="X5122">
        <v>0.98432489999999995</v>
      </c>
      <c r="Y5122">
        <v>0.61006669999999996</v>
      </c>
      <c r="Z5122">
        <v>1.305065E-3</v>
      </c>
      <c r="AA5122">
        <v>0.79234899999999997</v>
      </c>
      <c r="AB5122">
        <v>28</v>
      </c>
      <c r="AC5122">
        <v>41.309100000000001</v>
      </c>
      <c r="AD5122">
        <v>-1.050125233276</v>
      </c>
      <c r="AE5122">
        <v>-79.361809999999906</v>
      </c>
      <c r="AF5122">
        <v>54.652604184229297</v>
      </c>
      <c r="AG5122">
        <v>-1.050125233276</v>
      </c>
      <c r="AH5122">
        <v>70.821087359878902</v>
      </c>
      <c r="AI5122">
        <v>90.672558439779706</v>
      </c>
      <c r="AJ5122">
        <v>52.342645643887103</v>
      </c>
      <c r="AK5122">
        <v>89.463044448303904</v>
      </c>
    </row>
    <row r="5123" spans="1:37" x14ac:dyDescent="0.2">
      <c r="A5123" t="str">
        <f>"20200111153533239"</f>
        <v>20200111153533239</v>
      </c>
      <c r="B5123" t="str">
        <f>"1578728133231164"</f>
        <v>1578728133231164</v>
      </c>
      <c r="C5123" t="s">
        <v>37</v>
      </c>
      <c r="D5123">
        <v>5.0383639999999996</v>
      </c>
      <c r="E5123">
        <v>0.70023219999999997</v>
      </c>
      <c r="F5123" t="s">
        <v>72</v>
      </c>
      <c r="G5123">
        <v>-259.83780000000002</v>
      </c>
      <c r="H5123">
        <v>0.34011649999999999</v>
      </c>
      <c r="I5123">
        <v>-90.976819999999904</v>
      </c>
      <c r="J5123">
        <v>-313.6635</v>
      </c>
      <c r="K5123">
        <v>1.049477</v>
      </c>
      <c r="L5123">
        <v>14.38889</v>
      </c>
      <c r="M5123">
        <v>0.90349049999999997</v>
      </c>
      <c r="N5123">
        <v>0</v>
      </c>
      <c r="O5123">
        <v>-0.42815389999999998</v>
      </c>
      <c r="P5123">
        <v>0.81642990000000004</v>
      </c>
      <c r="Q5123">
        <v>2.1070640000000002E-2</v>
      </c>
      <c r="R5123">
        <v>-0.57706029999999997</v>
      </c>
      <c r="S5123">
        <v>1.5511779999999999</v>
      </c>
      <c r="T5123">
        <v>-2.0402070000000001E-2</v>
      </c>
      <c r="U5123">
        <v>-3.03009</v>
      </c>
      <c r="V5123">
        <v>0.17291229999999999</v>
      </c>
      <c r="W5123">
        <v>3.5658740000000001E-2</v>
      </c>
      <c r="X5123">
        <v>0.98429149999999999</v>
      </c>
      <c r="Y5123">
        <v>0.60924599999999995</v>
      </c>
      <c r="Z5123">
        <v>7.2625640000000002E-4</v>
      </c>
      <c r="AA5123">
        <v>0.79298100000000005</v>
      </c>
      <c r="AB5123">
        <v>28</v>
      </c>
      <c r="AC5123">
        <v>53.825699999999898</v>
      </c>
      <c r="AD5123">
        <v>-0.70936049999999995</v>
      </c>
      <c r="AE5123">
        <v>-105.36571000000001</v>
      </c>
      <c r="AF5123">
        <v>72.162683863842005</v>
      </c>
      <c r="AG5123">
        <v>-0.70936049999999995</v>
      </c>
      <c r="AH5123">
        <v>93.758623877922702</v>
      </c>
      <c r="AI5123">
        <v>90.343517906409105</v>
      </c>
      <c r="AJ5123">
        <v>52.4157987628721</v>
      </c>
      <c r="AK5123">
        <v>118.31583024360501</v>
      </c>
    </row>
    <row r="5124" spans="1:37" x14ac:dyDescent="0.2">
      <c r="A5124" t="str">
        <f>"20200111153533254"</f>
        <v>20200111153533254</v>
      </c>
      <c r="B5124" t="str">
        <f>"1578728133250684"</f>
        <v>1578728133250684</v>
      </c>
      <c r="C5124" t="s">
        <v>37</v>
      </c>
      <c r="D5124">
        <v>5.044003</v>
      </c>
      <c r="E5124">
        <v>0.69927879999999998</v>
      </c>
      <c r="F5124" t="s">
        <v>72</v>
      </c>
      <c r="G5124">
        <v>-260.77339999999998</v>
      </c>
      <c r="H5124">
        <v>0.68517680000000003</v>
      </c>
      <c r="I5124">
        <v>-90.976819999999904</v>
      </c>
      <c r="J5124">
        <v>-313.5077</v>
      </c>
      <c r="K5124">
        <v>1.0488949999999999</v>
      </c>
      <c r="L5124">
        <v>14.30466</v>
      </c>
      <c r="M5124">
        <v>0.89957710000000002</v>
      </c>
      <c r="N5124">
        <v>0</v>
      </c>
      <c r="O5124">
        <v>-0.43632939999999998</v>
      </c>
      <c r="P5124">
        <v>0.81070209999999998</v>
      </c>
      <c r="Q5124">
        <v>2.117689E-2</v>
      </c>
      <c r="R5124">
        <v>-0.58507609999999999</v>
      </c>
      <c r="S5124">
        <v>1.5260309999999999</v>
      </c>
      <c r="T5124">
        <v>-1.051068E-2</v>
      </c>
      <c r="U5124">
        <v>-3.0400999999999998</v>
      </c>
      <c r="V5124">
        <v>0.17368029999999901</v>
      </c>
      <c r="W5124">
        <v>3.5464780000000001E-2</v>
      </c>
      <c r="X5124">
        <v>0.98416329999999996</v>
      </c>
      <c r="Y5124">
        <v>0.60834060000000001</v>
      </c>
      <c r="Z5124">
        <v>4.055649E-4</v>
      </c>
      <c r="AA5124">
        <v>0.79367600000000005</v>
      </c>
      <c r="AB5124">
        <v>28</v>
      </c>
      <c r="AC5124">
        <v>52.734299999999998</v>
      </c>
      <c r="AD5124">
        <v>-0.36371819999999999</v>
      </c>
      <c r="AE5124">
        <v>-105.28148</v>
      </c>
      <c r="AF5124">
        <v>71.712142854859394</v>
      </c>
      <c r="AG5124">
        <v>-0.36371819999999999</v>
      </c>
      <c r="AH5124">
        <v>93.392721432525093</v>
      </c>
      <c r="AI5124">
        <v>90.176981952024093</v>
      </c>
      <c r="AJ5124">
        <v>52.480934571867103</v>
      </c>
      <c r="AK5124">
        <v>117.74958233615099</v>
      </c>
    </row>
    <row r="5125" spans="1:37" x14ac:dyDescent="0.2">
      <c r="A5125" t="str">
        <f>"20200111153533266"</f>
        <v>20200111153533266</v>
      </c>
      <c r="B5125" t="str">
        <f>"1578728133260443"</f>
        <v>1578728133260443</v>
      </c>
      <c r="C5125" t="s">
        <v>37</v>
      </c>
      <c r="D5125">
        <v>4.9918170000000002</v>
      </c>
      <c r="E5125">
        <v>0.69883219999999902</v>
      </c>
      <c r="F5125" t="s">
        <v>72</v>
      </c>
      <c r="G5125">
        <v>-261.39170000000001</v>
      </c>
      <c r="H5125">
        <v>1.0088200000000001</v>
      </c>
      <c r="I5125">
        <v>-91.564989999999995</v>
      </c>
      <c r="J5125">
        <v>-313.38510000000002</v>
      </c>
      <c r="K5125">
        <v>1.0484629999999999</v>
      </c>
      <c r="L5125">
        <v>14.23715</v>
      </c>
      <c r="M5125">
        <v>0.89641789999999999</v>
      </c>
      <c r="N5125">
        <v>0</v>
      </c>
      <c r="O5125">
        <v>-0.442793099999999</v>
      </c>
      <c r="P5125">
        <v>0.80645480000000003</v>
      </c>
      <c r="Q5125">
        <v>2.1269949999999999E-2</v>
      </c>
      <c r="R5125">
        <v>-0.59091289999999996</v>
      </c>
      <c r="S5125">
        <v>1.50058</v>
      </c>
      <c r="T5125">
        <v>-1.15335E-3</v>
      </c>
      <c r="U5125">
        <v>-3.0483090000000002</v>
      </c>
      <c r="V5125">
        <v>0.17369879999999999</v>
      </c>
      <c r="W5125">
        <v>3.5349940000000003E-2</v>
      </c>
      <c r="X5125">
        <v>0.98416419999999905</v>
      </c>
      <c r="Y5125">
        <v>0.60880409999999996</v>
      </c>
      <c r="Z5125" s="1">
        <v>4.7014339999999998E-5</v>
      </c>
      <c r="AA5125">
        <v>0.79332049999999998</v>
      </c>
      <c r="AB5125">
        <v>28</v>
      </c>
      <c r="AC5125">
        <v>51.993400000000001</v>
      </c>
      <c r="AD5125">
        <v>-3.9642999999999803E-2</v>
      </c>
      <c r="AE5125">
        <v>-105.80213999999999</v>
      </c>
      <c r="AF5125">
        <v>71.833867711200099</v>
      </c>
      <c r="AG5125">
        <v>-3.9642999999999803E-2</v>
      </c>
      <c r="AH5125">
        <v>93.473519130580698</v>
      </c>
      <c r="AI5125">
        <v>90.019267363798505</v>
      </c>
      <c r="AJ5125">
        <v>52.457927118289398</v>
      </c>
      <c r="AK5125">
        <v>117.887255038755</v>
      </c>
    </row>
    <row r="5126" spans="1:37" x14ac:dyDescent="0.2">
      <c r="A5126" t="str">
        <f>"20200111153533278"</f>
        <v>20200111153533278</v>
      </c>
      <c r="B5126" t="str">
        <f>"1578728133271180"</f>
        <v>1578728133271180</v>
      </c>
      <c r="C5126" t="s">
        <v>37</v>
      </c>
      <c r="D5126">
        <v>5.0492379999999999</v>
      </c>
      <c r="E5126">
        <v>0.69823480000000004</v>
      </c>
      <c r="F5126" t="s">
        <v>72</v>
      </c>
      <c r="G5126">
        <v>-262.1327</v>
      </c>
      <c r="H5126">
        <v>1.039209</v>
      </c>
      <c r="I5126">
        <v>-91.564989999999995</v>
      </c>
      <c r="J5126">
        <v>-313.24630000000002</v>
      </c>
      <c r="K5126">
        <v>1.048006</v>
      </c>
      <c r="L5126">
        <v>14.159700000000001</v>
      </c>
      <c r="M5126">
        <v>0.89276270000000002</v>
      </c>
      <c r="N5126">
        <v>0</v>
      </c>
      <c r="O5126">
        <v>-0.45012770000000002</v>
      </c>
      <c r="P5126">
        <v>0.8013962</v>
      </c>
      <c r="Q5126">
        <v>2.1496990000000001E-2</v>
      </c>
      <c r="R5126">
        <v>-0.59774759999999905</v>
      </c>
      <c r="S5126">
        <v>1.4805299999999999</v>
      </c>
      <c r="T5126">
        <v>-2.6702879999999999E-4</v>
      </c>
      <c r="U5126">
        <v>-3.056305</v>
      </c>
      <c r="V5126">
        <v>0.17399879999999901</v>
      </c>
      <c r="W5126">
        <v>3.5340879999999998E-2</v>
      </c>
      <c r="X5126">
        <v>0.98411150000000003</v>
      </c>
      <c r="Y5126">
        <v>0.60732779999999997</v>
      </c>
      <c r="Z5126" s="1">
        <v>1.1637290000000001E-5</v>
      </c>
      <c r="AA5126">
        <v>0.79445140000000003</v>
      </c>
      <c r="AB5126">
        <v>28</v>
      </c>
      <c r="AC5126">
        <v>51.113599999999998</v>
      </c>
      <c r="AD5126">
        <v>-8.7969999999999403E-3</v>
      </c>
      <c r="AE5126">
        <v>-105.72469</v>
      </c>
      <c r="AF5126">
        <v>71.392257258356395</v>
      </c>
      <c r="AG5126">
        <v>-8.7969999999999403E-3</v>
      </c>
      <c r="AH5126">
        <v>93.238702422000301</v>
      </c>
      <c r="AI5126">
        <v>90.0042921037236</v>
      </c>
      <c r="AJ5126">
        <v>52.558958477695697</v>
      </c>
      <c r="AK5126">
        <v>117.432151062513</v>
      </c>
    </row>
    <row r="5127" spans="1:37" x14ac:dyDescent="0.2">
      <c r="A5127" t="str">
        <f>"20200111153533291"</f>
        <v>20200111153533291</v>
      </c>
      <c r="B5127" t="str">
        <f>"1578728133280939"</f>
        <v>1578728133280939</v>
      </c>
      <c r="C5127" t="s">
        <v>37</v>
      </c>
      <c r="D5127">
        <v>4.9788879999999898</v>
      </c>
      <c r="E5127">
        <v>0.69771930000000004</v>
      </c>
      <c r="F5127" t="s">
        <v>72</v>
      </c>
      <c r="G5127">
        <v>-262.96319999999997</v>
      </c>
      <c r="H5127">
        <v>1.041763</v>
      </c>
      <c r="I5127">
        <v>-91.564989999999995</v>
      </c>
      <c r="J5127">
        <v>-313.10219999999998</v>
      </c>
      <c r="K5127">
        <v>1.047585</v>
      </c>
      <c r="L5127">
        <v>14.077</v>
      </c>
      <c r="M5127">
        <v>0.88885429999999999</v>
      </c>
      <c r="N5127">
        <v>0</v>
      </c>
      <c r="O5127">
        <v>-0.45780670000000001</v>
      </c>
      <c r="P5127">
        <v>0.79603059999999903</v>
      </c>
      <c r="Q5127">
        <v>2.1388959999999999E-2</v>
      </c>
      <c r="R5127">
        <v>-0.60487899999999994</v>
      </c>
      <c r="S5127">
        <v>1.457581</v>
      </c>
      <c r="T5127">
        <v>-1.8060209999999901E-4</v>
      </c>
      <c r="U5127">
        <v>-3.0646969999999998</v>
      </c>
      <c r="V5127">
        <v>0.17429120000000001</v>
      </c>
      <c r="W5127">
        <v>3.5005399999999999E-2</v>
      </c>
      <c r="X5127">
        <v>0.98407169999999899</v>
      </c>
      <c r="Y5127">
        <v>0.60617200000000004</v>
      </c>
      <c r="Z5127" s="1">
        <v>8.393676E-6</v>
      </c>
      <c r="AA5127">
        <v>0.79533359999999997</v>
      </c>
      <c r="AB5127">
        <v>28</v>
      </c>
      <c r="AC5127">
        <v>50.139000000000003</v>
      </c>
      <c r="AD5127">
        <v>-5.8219999999999904E-3</v>
      </c>
      <c r="AE5127">
        <v>-105.64199000000001</v>
      </c>
      <c r="AF5127">
        <v>70.958823218126</v>
      </c>
      <c r="AG5127">
        <v>-5.8219999999999904E-3</v>
      </c>
      <c r="AH5127">
        <v>92.946192562511499</v>
      </c>
      <c r="AI5127">
        <v>90.002852624936907</v>
      </c>
      <c r="AJ5127">
        <v>52.640444921659103</v>
      </c>
      <c r="AK5127">
        <v>116.93651841176199</v>
      </c>
    </row>
    <row r="5128" spans="1:37" x14ac:dyDescent="0.2">
      <c r="A5128" t="str">
        <f>"20200111153533304"</f>
        <v>20200111153533304</v>
      </c>
      <c r="B5128" t="str">
        <f>"1578728133300460"</f>
        <v>1578728133300460</v>
      </c>
      <c r="C5128" t="s">
        <v>37</v>
      </c>
      <c r="D5128">
        <v>4.9816849999999997</v>
      </c>
      <c r="E5128">
        <v>0.69678109999999904</v>
      </c>
      <c r="F5128" t="s">
        <v>72</v>
      </c>
      <c r="G5128">
        <v>-263.88310000000001</v>
      </c>
      <c r="H5128">
        <v>1.010068</v>
      </c>
      <c r="I5128">
        <v>-91.564989999999995</v>
      </c>
      <c r="J5128">
        <v>-312.96140000000003</v>
      </c>
      <c r="K5128">
        <v>1.0471969999999999</v>
      </c>
      <c r="L5128">
        <v>13.994929999999901</v>
      </c>
      <c r="M5128">
        <v>0.88494259999999902</v>
      </c>
      <c r="N5128">
        <v>0</v>
      </c>
      <c r="O5128">
        <v>-0.46533190000000002</v>
      </c>
      <c r="P5128">
        <v>0.79082379999999997</v>
      </c>
      <c r="Q5128">
        <v>2.1271599999999901E-2</v>
      </c>
      <c r="R5128">
        <v>-0.61167450000000001</v>
      </c>
      <c r="S5128">
        <v>1.4324649999999901</v>
      </c>
      <c r="T5128">
        <v>-1.0914799999999999E-3</v>
      </c>
      <c r="U5128">
        <v>-3.0745849999999999</v>
      </c>
      <c r="V5128">
        <v>0.17435970000000001</v>
      </c>
      <c r="W5128">
        <v>3.4680389999999998E-2</v>
      </c>
      <c r="X5128">
        <v>0.98407109999999998</v>
      </c>
      <c r="Y5128">
        <v>0.60573969999999999</v>
      </c>
      <c r="Z5128" s="1">
        <v>5.3686909999999902E-5</v>
      </c>
      <c r="AA5128">
        <v>0.79566289999999995</v>
      </c>
      <c r="AB5128">
        <v>28</v>
      </c>
      <c r="AC5128">
        <v>49.078299999999999</v>
      </c>
      <c r="AD5128">
        <v>-3.7128999999999898E-2</v>
      </c>
      <c r="AE5128">
        <v>-105.55992000000001</v>
      </c>
      <c r="AF5128">
        <v>70.588864881188499</v>
      </c>
      <c r="AG5128">
        <v>-3.7128999999999898E-2</v>
      </c>
      <c r="AH5128">
        <v>92.567735410113798</v>
      </c>
      <c r="AI5128">
        <v>90.018274310844305</v>
      </c>
      <c r="AJ5128">
        <v>52.672144256985803</v>
      </c>
      <c r="AK5128">
        <v>116.411231686354</v>
      </c>
    </row>
    <row r="5129" spans="1:37" x14ac:dyDescent="0.2">
      <c r="A5129" t="str">
        <f>"20200111153533321"</f>
        <v>20200111153533321</v>
      </c>
      <c r="B5129" t="str">
        <f>"1578728133311195"</f>
        <v>1578728133311195</v>
      </c>
      <c r="C5129" t="s">
        <v>37</v>
      </c>
      <c r="D5129">
        <v>5.2378729999999996</v>
      </c>
      <c r="E5129">
        <v>0.69547239999999999</v>
      </c>
      <c r="F5129" t="s">
        <v>42</v>
      </c>
      <c r="G5129">
        <v>-285.4239</v>
      </c>
      <c r="H5129">
        <v>1.0485930000000001</v>
      </c>
      <c r="I5129">
        <v>-46.131209999999903</v>
      </c>
      <c r="J5129">
        <v>-312.7681</v>
      </c>
      <c r="K5129">
        <v>1.0467109999999999</v>
      </c>
      <c r="L5129">
        <v>13.8797</v>
      </c>
      <c r="M5129">
        <v>0.87941559999999896</v>
      </c>
      <c r="N5129">
        <v>0</v>
      </c>
      <c r="O5129">
        <v>-0.47570559999999901</v>
      </c>
      <c r="P5129">
        <v>0.78299160000000001</v>
      </c>
      <c r="Q5129">
        <v>2.1194910000000001E-2</v>
      </c>
      <c r="R5129">
        <v>-0.62167099999999997</v>
      </c>
      <c r="S5129">
        <v>1.4108579999999999</v>
      </c>
      <c r="T5129" s="1">
        <v>7.1525570000000003E-5</v>
      </c>
      <c r="U5129">
        <v>-3.080505</v>
      </c>
      <c r="V5129">
        <v>0.17527909999999999</v>
      </c>
      <c r="W5129">
        <v>3.4310109999999998E-2</v>
      </c>
      <c r="X5129">
        <v>0.98392080000000004</v>
      </c>
      <c r="Y5129">
        <v>0.60156369999999904</v>
      </c>
      <c r="Z5129" s="1">
        <v>-3.8344610000000003E-6</v>
      </c>
      <c r="AA5129">
        <v>0.7988248</v>
      </c>
      <c r="AB5129">
        <v>28</v>
      </c>
      <c r="AC5129">
        <v>27.344200000000001</v>
      </c>
      <c r="AD5129">
        <v>1.88199999999993E-3</v>
      </c>
      <c r="AE5129">
        <v>-60.010909999999903</v>
      </c>
      <c r="AF5129">
        <v>39.773351898583797</v>
      </c>
      <c r="AG5129">
        <v>1.88199999999993E-3</v>
      </c>
      <c r="AH5129">
        <v>52.603184925778599</v>
      </c>
      <c r="AI5129">
        <v>89.998364890584696</v>
      </c>
      <c r="AJ5129">
        <v>52.907015729974198</v>
      </c>
      <c r="AK5129">
        <v>65.947058987692301</v>
      </c>
    </row>
    <row r="5130" spans="1:37" x14ac:dyDescent="0.2">
      <c r="A5130" t="str">
        <f>"20200111153533334"</f>
        <v>20200111153533334</v>
      </c>
      <c r="B5130" t="str">
        <f>"1578728133330716"</f>
        <v>1578728133330716</v>
      </c>
      <c r="C5130" t="s">
        <v>37</v>
      </c>
      <c r="D5130">
        <v>5.0524870000000002</v>
      </c>
      <c r="E5130">
        <v>0.69442139999999997</v>
      </c>
      <c r="F5130" t="s">
        <v>72</v>
      </c>
      <c r="G5130">
        <v>-265.7373</v>
      </c>
      <c r="H5130">
        <v>0.77660419999999997</v>
      </c>
      <c r="I5130">
        <v>-91.564989999999995</v>
      </c>
      <c r="J5130">
        <v>-312.62979999999999</v>
      </c>
      <c r="K5130">
        <v>1.0464059999999999</v>
      </c>
      <c r="L5130">
        <v>13.79514</v>
      </c>
      <c r="M5130">
        <v>0.87534159999999905</v>
      </c>
      <c r="N5130">
        <v>0</v>
      </c>
      <c r="O5130">
        <v>-0.4831683</v>
      </c>
      <c r="P5130">
        <v>0.77742690000000003</v>
      </c>
      <c r="Q5130">
        <v>2.0918799999999901E-2</v>
      </c>
      <c r="R5130">
        <v>-0.62862569999999995</v>
      </c>
      <c r="S5130">
        <v>1.3782650000000001</v>
      </c>
      <c r="T5130">
        <v>-7.9152579999999997E-3</v>
      </c>
      <c r="U5130">
        <v>-3.0901179999999999</v>
      </c>
      <c r="V5130">
        <v>0.17566479999999901</v>
      </c>
      <c r="W5130">
        <v>3.3845460000000001E-2</v>
      </c>
      <c r="X5130">
        <v>0.98386810000000002</v>
      </c>
      <c r="Y5130">
        <v>0.602711</v>
      </c>
      <c r="Z5130">
        <v>4.4392900000000002E-4</v>
      </c>
      <c r="AA5130">
        <v>0.79795939999999999</v>
      </c>
      <c r="AB5130">
        <v>28</v>
      </c>
      <c r="AC5130">
        <v>46.892499999999899</v>
      </c>
      <c r="AD5130">
        <v>-0.26980179999999998</v>
      </c>
      <c r="AE5130">
        <v>-105.36013</v>
      </c>
      <c r="AF5130">
        <v>69.580078777783498</v>
      </c>
      <c r="AG5130">
        <v>-0.26980179999999998</v>
      </c>
      <c r="AH5130">
        <v>91.968095567522795</v>
      </c>
      <c r="AI5130">
        <v>90.134044417752705</v>
      </c>
      <c r="AJ5130">
        <v>52.890032302901602</v>
      </c>
      <c r="AK5130">
        <v>115.323851644188</v>
      </c>
    </row>
    <row r="5131" spans="1:37" x14ac:dyDescent="0.2">
      <c r="A5131" t="str">
        <f>"20200111153533346"</f>
        <v>20200111153533346</v>
      </c>
      <c r="B5131" t="str">
        <f>"1578728133340476"</f>
        <v>1578728133340476</v>
      </c>
      <c r="C5131" t="s">
        <v>37</v>
      </c>
      <c r="D5131">
        <v>5.2536719999999999</v>
      </c>
      <c r="E5131">
        <v>0.69312430000000003</v>
      </c>
      <c r="F5131" t="s">
        <v>72</v>
      </c>
      <c r="G5131">
        <v>-266.49290000000002</v>
      </c>
      <c r="H5131">
        <v>0.53497079999999997</v>
      </c>
      <c r="I5131">
        <v>-91.564989999999995</v>
      </c>
      <c r="J5131">
        <v>-312.50700000000001</v>
      </c>
      <c r="K5131">
        <v>1.0461559999999901</v>
      </c>
      <c r="L5131">
        <v>13.71866</v>
      </c>
      <c r="M5131">
        <v>0.87164219999999903</v>
      </c>
      <c r="N5131">
        <v>0</v>
      </c>
      <c r="O5131">
        <v>-0.48981599999999997</v>
      </c>
      <c r="P5131">
        <v>0.77246349999999997</v>
      </c>
      <c r="Q5131">
        <v>2.0778189999999998E-2</v>
      </c>
      <c r="R5131">
        <v>-0.63471949999999999</v>
      </c>
      <c r="S5131">
        <v>1.355774</v>
      </c>
      <c r="T5131">
        <v>-1.50286E-2</v>
      </c>
      <c r="U5131">
        <v>-3.0960999999999999</v>
      </c>
      <c r="V5131">
        <v>0.175904</v>
      </c>
      <c r="W5131">
        <v>3.3549030000000001E-2</v>
      </c>
      <c r="X5131">
        <v>0.98383549999999997</v>
      </c>
      <c r="Y5131">
        <v>0.60206300000000001</v>
      </c>
      <c r="Z5131">
        <v>8.8060729999999896E-4</v>
      </c>
      <c r="AA5131">
        <v>0.79844809999999999</v>
      </c>
      <c r="AB5131">
        <v>28</v>
      </c>
      <c r="AC5131">
        <v>46.0140999999999</v>
      </c>
      <c r="AD5131">
        <v>-0.51118519999999901</v>
      </c>
      <c r="AE5131">
        <v>-105.28364999999999</v>
      </c>
      <c r="AF5131">
        <v>69.240944639214206</v>
      </c>
      <c r="AG5131">
        <v>-0.51118519999999901</v>
      </c>
      <c r="AH5131">
        <v>91.690312119113997</v>
      </c>
      <c r="AI5131">
        <v>90.254910476922703</v>
      </c>
      <c r="AJ5131">
        <v>52.941321706982599</v>
      </c>
      <c r="AK5131">
        <v>114.898577281618</v>
      </c>
    </row>
    <row r="5132" spans="1:37" x14ac:dyDescent="0.2">
      <c r="A5132" t="str">
        <f>"20200111153533358"</f>
        <v>20200111153533358</v>
      </c>
      <c r="B5132" t="str">
        <f>"1578728133351212"</f>
        <v>1578728133351212</v>
      </c>
      <c r="C5132" t="s">
        <v>37</v>
      </c>
      <c r="D5132">
        <v>5.258248</v>
      </c>
      <c r="E5132">
        <v>0.69190509999999905</v>
      </c>
      <c r="F5132" t="s">
        <v>72</v>
      </c>
      <c r="G5132">
        <v>-267.05669999999998</v>
      </c>
      <c r="H5132">
        <v>0.22932429999999901</v>
      </c>
      <c r="I5132">
        <v>-91.564989999999995</v>
      </c>
      <c r="J5132">
        <v>-312.37880000000001</v>
      </c>
      <c r="K5132">
        <v>1.045906</v>
      </c>
      <c r="L5132">
        <v>13.63785</v>
      </c>
      <c r="M5132">
        <v>0.86770700000000001</v>
      </c>
      <c r="N5132">
        <v>0</v>
      </c>
      <c r="O5132">
        <v>-0.49675909999999901</v>
      </c>
      <c r="P5132">
        <v>0.76721689999999998</v>
      </c>
      <c r="Q5132">
        <v>2.0668700000000002E-2</v>
      </c>
      <c r="R5132">
        <v>-0.64105429999999997</v>
      </c>
      <c r="S5132">
        <v>1.33786</v>
      </c>
      <c r="T5132">
        <v>-2.4043559999999999E-2</v>
      </c>
      <c r="U5132">
        <v>-3.099091</v>
      </c>
      <c r="V5132">
        <v>0.176137299999999</v>
      </c>
      <c r="W5132">
        <v>3.3283109999999998E-2</v>
      </c>
      <c r="X5132">
        <v>0.98380279999999998</v>
      </c>
      <c r="Y5132">
        <v>0.59985089999999996</v>
      </c>
      <c r="Z5132">
        <v>1.4790179999999999E-3</v>
      </c>
      <c r="AA5132">
        <v>0.80011049999999995</v>
      </c>
      <c r="AB5132">
        <v>28</v>
      </c>
      <c r="AC5132">
        <v>45.322099999999999</v>
      </c>
      <c r="AD5132">
        <v>-0.81658169999999897</v>
      </c>
      <c r="AE5132">
        <v>-105.20283999999999</v>
      </c>
      <c r="AF5132">
        <v>68.778412559727201</v>
      </c>
      <c r="AG5132">
        <v>-0.81658169999999897</v>
      </c>
      <c r="AH5132">
        <v>91.596543322016799</v>
      </c>
      <c r="AI5132">
        <v>90.4084523826035</v>
      </c>
      <c r="AJ5132">
        <v>53.097686956765202</v>
      </c>
      <c r="AK5132">
        <v>114.547211177099</v>
      </c>
    </row>
    <row r="5133" spans="1:37" x14ac:dyDescent="0.2">
      <c r="A5133" t="str">
        <f>"20200111153533370"</f>
        <v>20200111153533370</v>
      </c>
      <c r="B5133" t="str">
        <f>"1578728133360971"</f>
        <v>1578728133360971</v>
      </c>
      <c r="C5133" t="s">
        <v>37</v>
      </c>
      <c r="D5133">
        <v>5.2474850000000002</v>
      </c>
      <c r="E5133">
        <v>0.69190509999999905</v>
      </c>
      <c r="F5133" t="s">
        <v>72</v>
      </c>
      <c r="G5133">
        <v>-272.3852</v>
      </c>
      <c r="H5133">
        <v>9.9713800000000005E-2</v>
      </c>
      <c r="I5133">
        <v>-80.464519999999993</v>
      </c>
      <c r="J5133">
        <v>-312.24810000000002</v>
      </c>
      <c r="K5133">
        <v>1.0456840000000001</v>
      </c>
      <c r="L5133">
        <v>13.55322</v>
      </c>
      <c r="M5133">
        <v>0.86359459999999999</v>
      </c>
      <c r="N5133">
        <v>0</v>
      </c>
      <c r="O5133">
        <v>-0.50387999999999999</v>
      </c>
      <c r="P5133">
        <v>0.76185340000000001</v>
      </c>
      <c r="Q5133">
        <v>2.0470829999999999E-2</v>
      </c>
      <c r="R5133">
        <v>-0.64742630000000001</v>
      </c>
      <c r="S5133">
        <v>1.3186340000000001</v>
      </c>
      <c r="T5133">
        <v>-3.119659E-2</v>
      </c>
      <c r="U5133">
        <v>-3.1026609999999999</v>
      </c>
      <c r="V5133">
        <v>0.1762319</v>
      </c>
      <c r="W5133">
        <v>3.2941890000000001E-2</v>
      </c>
      <c r="X5133">
        <v>0.98379729999999999</v>
      </c>
      <c r="Y5133">
        <v>0.59779169999999904</v>
      </c>
      <c r="Z5133">
        <v>2.0114429999999999E-3</v>
      </c>
      <c r="AA5133">
        <v>0.8016489</v>
      </c>
      <c r="AB5133">
        <v>28</v>
      </c>
      <c r="AC5133">
        <v>39.862900000000003</v>
      </c>
      <c r="AD5133">
        <v>-0.94597019999999998</v>
      </c>
      <c r="AE5133">
        <v>-94.017740000000003</v>
      </c>
      <c r="AF5133">
        <v>61.111303341994002</v>
      </c>
      <c r="AG5133">
        <v>-0.94597019999999998</v>
      </c>
      <c r="AH5133">
        <v>81.804678020631002</v>
      </c>
      <c r="AI5133">
        <v>90.530782230748002</v>
      </c>
      <c r="AJ5133">
        <v>53.238826250255499</v>
      </c>
      <c r="AK5133">
        <v>102.115089981038</v>
      </c>
    </row>
    <row r="5134" spans="1:37" x14ac:dyDescent="0.2">
      <c r="A5134" t="str">
        <f>"20200111153533384"</f>
        <v>20200111153533384</v>
      </c>
      <c r="B5134" t="str">
        <f>"1578728133380490"</f>
        <v>1578728133380490</v>
      </c>
      <c r="C5134" t="s">
        <v>37</v>
      </c>
      <c r="D5134">
        <v>5.1954529999999997</v>
      </c>
      <c r="E5134">
        <v>0.66863490000000003</v>
      </c>
      <c r="F5134" t="s">
        <v>72</v>
      </c>
      <c r="G5134">
        <v>-273.214</v>
      </c>
      <c r="H5134">
        <v>7.3246000000000006E-2</v>
      </c>
      <c r="I5134">
        <v>-80.464519999999993</v>
      </c>
      <c r="J5134">
        <v>-312.11270000000002</v>
      </c>
      <c r="K5134">
        <v>1.0454680000000001</v>
      </c>
      <c r="L5134">
        <v>13.464449999999999</v>
      </c>
      <c r="M5134">
        <v>0.8592495</v>
      </c>
      <c r="N5134">
        <v>0</v>
      </c>
      <c r="O5134">
        <v>-0.51125940000000003</v>
      </c>
      <c r="P5134">
        <v>0.75623219999999902</v>
      </c>
      <c r="Q5134">
        <v>2.0308699999999999E-2</v>
      </c>
      <c r="R5134">
        <v>-0.65398849999999997</v>
      </c>
      <c r="S5134">
        <v>1.292694</v>
      </c>
      <c r="T5134">
        <v>-3.2203790000000003E-2</v>
      </c>
      <c r="U5134">
        <v>-3.1135860000000002</v>
      </c>
      <c r="V5134">
        <v>0.17629900000000001</v>
      </c>
      <c r="W5134">
        <v>3.2637350000000002E-2</v>
      </c>
      <c r="X5134">
        <v>0.98379550000000004</v>
      </c>
      <c r="Y5134">
        <v>0.5976186</v>
      </c>
      <c r="Z5134">
        <v>2.1616159999999999E-3</v>
      </c>
      <c r="AA5134">
        <v>0.80177759999999998</v>
      </c>
      <c r="AB5134">
        <v>28</v>
      </c>
      <c r="AC5134">
        <v>38.898699999999998</v>
      </c>
      <c r="AD5134">
        <v>-0.97222200000000003</v>
      </c>
      <c r="AE5134">
        <v>-93.928969999999893</v>
      </c>
      <c r="AF5134">
        <v>60.824782644620903</v>
      </c>
      <c r="AG5134">
        <v>-0.97222200000000003</v>
      </c>
      <c r="AH5134">
        <v>81.450696198633395</v>
      </c>
      <c r="AI5134">
        <v>90.547953035364799</v>
      </c>
      <c r="AJ5134">
        <v>53.248797373493701</v>
      </c>
      <c r="AK5134">
        <v>101.660293677643</v>
      </c>
    </row>
    <row r="5135" spans="1:37" x14ac:dyDescent="0.2">
      <c r="A5135" t="str">
        <f>"20200111153533398"</f>
        <v>20200111153533398</v>
      </c>
      <c r="B5135" t="str">
        <f>"1578728133391228"</f>
        <v>1578728133391228</v>
      </c>
      <c r="C5135" t="s">
        <v>37</v>
      </c>
      <c r="D5135">
        <v>5.1770269999999998</v>
      </c>
      <c r="E5135">
        <v>0.66867710000000002</v>
      </c>
      <c r="F5135" t="s">
        <v>39</v>
      </c>
      <c r="G5135">
        <v>-302.16239999999999</v>
      </c>
      <c r="H5135" s="1">
        <v>-1.271621E-6</v>
      </c>
      <c r="I5135">
        <v>-7.9897749999999998</v>
      </c>
      <c r="J5135">
        <v>-311.95519999999999</v>
      </c>
      <c r="K5135">
        <v>1.0452440000000001</v>
      </c>
      <c r="L5135">
        <v>13.359249999999999</v>
      </c>
      <c r="M5135">
        <v>0.85408200000000001</v>
      </c>
      <c r="N5135">
        <v>0</v>
      </c>
      <c r="O5135">
        <v>-0.51985159999999997</v>
      </c>
      <c r="P5135">
        <v>0.74958179999999996</v>
      </c>
      <c r="Q5135">
        <v>1.9902489999999998E-2</v>
      </c>
      <c r="R5135">
        <v>-0.66161300000000001</v>
      </c>
      <c r="S5135">
        <v>1.3862000000000001</v>
      </c>
      <c r="T5135">
        <v>-0.1456479</v>
      </c>
      <c r="U5135">
        <v>-2.988861</v>
      </c>
      <c r="V5135">
        <v>0.17637359999999999</v>
      </c>
      <c r="W5135">
        <v>3.2075930000000002E-2</v>
      </c>
      <c r="X5135">
        <v>0.98380049999999997</v>
      </c>
      <c r="Y5135">
        <v>0.55609809999999904</v>
      </c>
      <c r="Z5135">
        <v>1.150962E-2</v>
      </c>
      <c r="AA5135">
        <v>0.83103700000000003</v>
      </c>
      <c r="AB5135">
        <v>28</v>
      </c>
      <c r="AC5135">
        <v>9.7927999999999997</v>
      </c>
      <c r="AD5135">
        <v>-1.0452452716209999</v>
      </c>
      <c r="AE5135">
        <v>-21.349025000000001</v>
      </c>
      <c r="AF5135">
        <v>13.1189949768179</v>
      </c>
      <c r="AG5135">
        <v>-1.0452452716209999</v>
      </c>
      <c r="AH5135">
        <v>19.426609832070401</v>
      </c>
      <c r="AI5135">
        <v>92.553106569162495</v>
      </c>
      <c r="AJ5135">
        <v>55.968427191388798</v>
      </c>
      <c r="AK5135">
        <v>23.464733888265499</v>
      </c>
    </row>
    <row r="5136" spans="1:37" x14ac:dyDescent="0.2">
      <c r="A5136" t="str">
        <f>"20200111153533410"</f>
        <v>20200111153533410</v>
      </c>
      <c r="B5136" t="str">
        <f>"1578728133400987"</f>
        <v>1578728133400987</v>
      </c>
      <c r="C5136" t="s">
        <v>37</v>
      </c>
      <c r="D5136">
        <v>5.1714570000000002</v>
      </c>
      <c r="E5136">
        <v>0.6691935</v>
      </c>
      <c r="F5136" t="s">
        <v>39</v>
      </c>
      <c r="G5136">
        <v>-301.8938</v>
      </c>
      <c r="H5136" s="1">
        <v>-7.5995879999999997E-7</v>
      </c>
      <c r="I5136">
        <v>-8.9209960000000006</v>
      </c>
      <c r="J5136">
        <v>-311.82990000000001</v>
      </c>
      <c r="K5136">
        <v>1.045091</v>
      </c>
      <c r="L5136">
        <v>13.273129999999901</v>
      </c>
      <c r="M5136">
        <v>0.84986070000000002</v>
      </c>
      <c r="N5136">
        <v>0</v>
      </c>
      <c r="O5136">
        <v>-0.52672849999999904</v>
      </c>
      <c r="P5136">
        <v>0.74391350000000001</v>
      </c>
      <c r="Q5136">
        <v>1.947635E-2</v>
      </c>
      <c r="R5136">
        <v>-0.66799280000000005</v>
      </c>
      <c r="S5136">
        <v>1.3558649999999901</v>
      </c>
      <c r="T5136">
        <v>-0.1408565</v>
      </c>
      <c r="U5136">
        <v>-3.002472</v>
      </c>
      <c r="V5136">
        <v>0.1768169</v>
      </c>
      <c r="W5136">
        <v>3.1525459999999998E-2</v>
      </c>
      <c r="X5136">
        <v>0.98373869999999897</v>
      </c>
      <c r="Y5136">
        <v>0.55778369999999999</v>
      </c>
      <c r="Z5136">
        <v>1.14406E-2</v>
      </c>
      <c r="AA5136">
        <v>0.82990750000000002</v>
      </c>
      <c r="AB5136">
        <v>28</v>
      </c>
      <c r="AC5136">
        <v>9.9361000000000104</v>
      </c>
      <c r="AD5136">
        <v>-1.0450917599588001</v>
      </c>
      <c r="AE5136">
        <v>-22.194126000000001</v>
      </c>
      <c r="AF5136">
        <v>13.6051608991839</v>
      </c>
      <c r="AG5136">
        <v>-1.0450917599588001</v>
      </c>
      <c r="AH5136">
        <v>20.100410766192599</v>
      </c>
      <c r="AI5136">
        <v>92.465496842849305</v>
      </c>
      <c r="AJ5136">
        <v>55.907506624739803</v>
      </c>
      <c r="AK5136">
        <v>24.294425962534799</v>
      </c>
    </row>
    <row r="5137" spans="1:37" x14ac:dyDescent="0.2">
      <c r="A5137" t="str">
        <f>"20200111153533423"</f>
        <v>20200111153533423</v>
      </c>
      <c r="B5137" t="str">
        <f>"1578728133420507"</f>
        <v>1578728133420507</v>
      </c>
      <c r="C5137" t="s">
        <v>37</v>
      </c>
      <c r="D5137">
        <v>5.1863199999999896</v>
      </c>
      <c r="E5137">
        <v>0.66780589999999995</v>
      </c>
      <c r="F5137" t="s">
        <v>39</v>
      </c>
      <c r="G5137">
        <v>-301.27859999999998</v>
      </c>
      <c r="H5137" s="1">
        <v>-4.4196279999999999E-6</v>
      </c>
      <c r="I5137">
        <v>-10.692410000000001</v>
      </c>
      <c r="J5137">
        <v>-311.69810000000001</v>
      </c>
      <c r="K5137">
        <v>1.044937</v>
      </c>
      <c r="L5137">
        <v>13.181579999999901</v>
      </c>
      <c r="M5137">
        <v>0.84534419999999899</v>
      </c>
      <c r="N5137">
        <v>0</v>
      </c>
      <c r="O5137">
        <v>-0.53395039999999905</v>
      </c>
      <c r="P5137">
        <v>0.73812100000000003</v>
      </c>
      <c r="Q5137">
        <v>1.9214720000000001E-2</v>
      </c>
      <c r="R5137">
        <v>-0.67439469999999901</v>
      </c>
      <c r="S5137">
        <v>1.3278809999999901</v>
      </c>
      <c r="T5137">
        <v>-0.13152610000000001</v>
      </c>
      <c r="U5137">
        <v>-3.0160830000000001</v>
      </c>
      <c r="V5137">
        <v>0.1769203</v>
      </c>
      <c r="W5137">
        <v>3.1148470000000001E-2</v>
      </c>
      <c r="X5137">
        <v>0.98373219999999995</v>
      </c>
      <c r="Y5137">
        <v>0.55855790000000005</v>
      </c>
      <c r="Z5137">
        <v>1.100598E-2</v>
      </c>
      <c r="AA5137">
        <v>0.82939259999999904</v>
      </c>
      <c r="AB5137">
        <v>28</v>
      </c>
      <c r="AC5137">
        <v>10.419499999999999</v>
      </c>
      <c r="AD5137">
        <v>-1.044941419628</v>
      </c>
      <c r="AE5137">
        <v>-23.873989999999999</v>
      </c>
      <c r="AF5137">
        <v>14.5968745822193</v>
      </c>
      <c r="AG5137">
        <v>-1.044941419628</v>
      </c>
      <c r="AH5137">
        <v>21.524081538446001</v>
      </c>
      <c r="AI5137">
        <v>92.300878752079299</v>
      </c>
      <c r="AJ5137">
        <v>55.856260816622601</v>
      </c>
      <c r="AK5137">
        <v>26.027806980480801</v>
      </c>
    </row>
    <row r="5138" spans="1:37" x14ac:dyDescent="0.2">
      <c r="A5138" t="str">
        <f>"20200111153533436"</f>
        <v>20200111153533436</v>
      </c>
      <c r="B5138" t="str">
        <f>"1578728133431243"</f>
        <v>1578728133431243</v>
      </c>
      <c r="C5138" t="s">
        <v>37</v>
      </c>
      <c r="D5138">
        <v>5.2029399999999999</v>
      </c>
      <c r="E5138">
        <v>0.66754709999999995</v>
      </c>
      <c r="F5138" t="s">
        <v>39</v>
      </c>
      <c r="G5138">
        <v>-300.73700000000002</v>
      </c>
      <c r="H5138" s="1">
        <v>-3.7658629999999998E-6</v>
      </c>
      <c r="I5138">
        <v>-12.08967</v>
      </c>
      <c r="J5138">
        <v>-311.56630000000001</v>
      </c>
      <c r="K5138">
        <v>1.0448040000000001</v>
      </c>
      <c r="L5138">
        <v>13.088380000000001</v>
      </c>
      <c r="M5138">
        <v>0.84073539999999902</v>
      </c>
      <c r="N5138">
        <v>0</v>
      </c>
      <c r="O5138">
        <v>-0.5411821</v>
      </c>
      <c r="P5138">
        <v>0.73245780000000005</v>
      </c>
      <c r="Q5138">
        <v>1.9167030000000002E-2</v>
      </c>
      <c r="R5138">
        <v>-0.68054300000000001</v>
      </c>
      <c r="S5138">
        <v>1.3093870000000001</v>
      </c>
      <c r="T5138">
        <v>-0.1248268</v>
      </c>
      <c r="U5138">
        <v>-3.0188599999999899</v>
      </c>
      <c r="V5138">
        <v>0.1767022</v>
      </c>
      <c r="W5138">
        <v>3.1002149999999999E-2</v>
      </c>
      <c r="X5138">
        <v>0.98377599999999998</v>
      </c>
      <c r="Y5138">
        <v>0.55599919999999903</v>
      </c>
      <c r="Z5138">
        <v>1.084253E-2</v>
      </c>
      <c r="AA5138">
        <v>0.83111209999999902</v>
      </c>
      <c r="AB5138">
        <v>27</v>
      </c>
      <c r="AC5138">
        <v>10.8292999999999</v>
      </c>
      <c r="AD5138">
        <v>-1.0448077658629999</v>
      </c>
      <c r="AE5138">
        <v>-25.178049999999999</v>
      </c>
      <c r="AF5138">
        <v>15.2874284220156</v>
      </c>
      <c r="AG5138">
        <v>-1.0448077658629999</v>
      </c>
      <c r="AH5138">
        <v>22.700748351012201</v>
      </c>
      <c r="AI5138">
        <v>92.186244524531105</v>
      </c>
      <c r="AJ5138">
        <v>56.042382580864697</v>
      </c>
      <c r="AK5138">
        <v>27.388338151882198</v>
      </c>
    </row>
    <row r="5139" spans="1:37" x14ac:dyDescent="0.2">
      <c r="A5139" t="str">
        <f>"20200111153533455"</f>
        <v>20200111153533455</v>
      </c>
      <c r="B5139" t="str">
        <f>"1578728133450763"</f>
        <v>1578728133450763</v>
      </c>
      <c r="C5139" t="s">
        <v>37</v>
      </c>
      <c r="D5139">
        <v>5.1852510000000001</v>
      </c>
      <c r="E5139">
        <v>0.66645509999999997</v>
      </c>
      <c r="F5139" t="s">
        <v>39</v>
      </c>
      <c r="G5139">
        <v>-300.38799999999998</v>
      </c>
      <c r="H5139" s="1">
        <v>-3.17878499999999E-6</v>
      </c>
      <c r="I5139">
        <v>-13.241720000000001</v>
      </c>
      <c r="J5139">
        <v>-311.36849999999998</v>
      </c>
      <c r="K5139">
        <v>1.044635</v>
      </c>
      <c r="L5139">
        <v>12.94495</v>
      </c>
      <c r="M5139">
        <v>0.83363719999999997</v>
      </c>
      <c r="N5139">
        <v>0</v>
      </c>
      <c r="O5139">
        <v>-0.55205769999999998</v>
      </c>
      <c r="P5139">
        <v>0.72388209999999997</v>
      </c>
      <c r="Q5139">
        <v>1.9158379999999999E-2</v>
      </c>
      <c r="R5139">
        <v>-0.68965769999999904</v>
      </c>
      <c r="S5139">
        <v>1.2855219999999901</v>
      </c>
      <c r="T5139">
        <v>-0.1201549</v>
      </c>
      <c r="U5139">
        <v>-3.0280149999999999</v>
      </c>
      <c r="V5139">
        <v>0.17623129999999901</v>
      </c>
      <c r="W5139">
        <v>3.0863450000000001E-2</v>
      </c>
      <c r="X5139">
        <v>0.98386479999999998</v>
      </c>
      <c r="Y5139">
        <v>0.55165739999999996</v>
      </c>
      <c r="Z5139">
        <v>1.100259E-2</v>
      </c>
      <c r="AA5139">
        <v>0.83399829999999997</v>
      </c>
      <c r="AB5139">
        <v>27</v>
      </c>
      <c r="AC5139">
        <v>10.980499999999999</v>
      </c>
      <c r="AD5139">
        <v>-1.0446381787850001</v>
      </c>
      <c r="AE5139">
        <v>-26.186669999999999</v>
      </c>
      <c r="AF5139">
        <v>15.7492159948967</v>
      </c>
      <c r="AG5139">
        <v>-1.0446381787850001</v>
      </c>
      <c r="AH5139">
        <v>23.5817121185774</v>
      </c>
      <c r="AI5139">
        <v>92.109734070008898</v>
      </c>
      <c r="AJ5139">
        <v>56.262734745545899</v>
      </c>
      <c r="AK5139">
        <v>28.3765082387165</v>
      </c>
    </row>
    <row r="5140" spans="1:37" x14ac:dyDescent="0.2">
      <c r="A5140" t="str">
        <f>"20200111153533468"</f>
        <v>20200111153533468</v>
      </c>
      <c r="B5140" t="str">
        <f>"1578728133460523"</f>
        <v>1578728133460523</v>
      </c>
      <c r="C5140" t="s">
        <v>37</v>
      </c>
      <c r="D5140">
        <v>5.2113839999999998</v>
      </c>
      <c r="E5140">
        <v>0.66605130000000001</v>
      </c>
      <c r="F5140" t="s">
        <v>39</v>
      </c>
      <c r="G5140">
        <v>-300.17149999999998</v>
      </c>
      <c r="H5140" s="1">
        <v>-2.7201999999999998E-6</v>
      </c>
      <c r="I5140">
        <v>-14.17639</v>
      </c>
      <c r="J5140">
        <v>-311.24520000000001</v>
      </c>
      <c r="K5140">
        <v>1.044546</v>
      </c>
      <c r="L5140">
        <v>12.85336</v>
      </c>
      <c r="M5140">
        <v>0.82909959999999905</v>
      </c>
      <c r="N5140">
        <v>0</v>
      </c>
      <c r="O5140">
        <v>-0.55885229999999997</v>
      </c>
      <c r="P5140">
        <v>0.71846690000000002</v>
      </c>
      <c r="Q5140">
        <v>1.9055030000000001E-2</v>
      </c>
      <c r="R5140">
        <v>-0.69530049999999999</v>
      </c>
      <c r="S5140">
        <v>1.253876</v>
      </c>
      <c r="T5140">
        <v>-0.11698210000000001</v>
      </c>
      <c r="U5140">
        <v>-3.03714</v>
      </c>
      <c r="V5140">
        <v>0.17588129999999999</v>
      </c>
      <c r="W5140">
        <v>3.068806E-2</v>
      </c>
      <c r="X5140">
        <v>0.9839329</v>
      </c>
      <c r="Y5140">
        <v>0.55314359999999996</v>
      </c>
      <c r="Z5140">
        <v>1.0986360000000001E-2</v>
      </c>
      <c r="AA5140">
        <v>0.83301349999999996</v>
      </c>
      <c r="AB5140">
        <v>27</v>
      </c>
      <c r="AC5140">
        <v>11.073700000000001</v>
      </c>
      <c r="AD5140">
        <v>-1.0445487201999999</v>
      </c>
      <c r="AE5140">
        <v>-27.02975</v>
      </c>
      <c r="AF5140">
        <v>16.203327002867798</v>
      </c>
      <c r="AG5140">
        <v>-1.0445487201999999</v>
      </c>
      <c r="AH5140">
        <v>24.259192593833401</v>
      </c>
      <c r="AI5140">
        <v>92.050627208847999</v>
      </c>
      <c r="AJ5140">
        <v>56.260038563640499</v>
      </c>
      <c r="AK5140">
        <v>29.191562364755999</v>
      </c>
    </row>
    <row r="5141" spans="1:37" x14ac:dyDescent="0.2">
      <c r="A5141" t="str">
        <f>"20200111153533480"</f>
        <v>20200111153533480</v>
      </c>
      <c r="B5141" t="str">
        <f>"1578728133471259"</f>
        <v>1578728133471259</v>
      </c>
      <c r="C5141" t="s">
        <v>37</v>
      </c>
      <c r="D5141">
        <v>5.1542389999999996</v>
      </c>
      <c r="E5141">
        <v>0.66545209999999999</v>
      </c>
      <c r="F5141" t="s">
        <v>39</v>
      </c>
      <c r="G5141">
        <v>-300.19880000000001</v>
      </c>
      <c r="H5141" s="1">
        <v>-2.6163900000000002E-6</v>
      </c>
      <c r="I5141">
        <v>-14.4353</v>
      </c>
      <c r="J5141">
        <v>-311.12189999999998</v>
      </c>
      <c r="K5141">
        <v>1.0444629999999999</v>
      </c>
      <c r="L5141">
        <v>12.76083</v>
      </c>
      <c r="M5141">
        <v>0.82449269999999997</v>
      </c>
      <c r="N5141">
        <v>0</v>
      </c>
      <c r="O5141">
        <v>-0.56562939999999995</v>
      </c>
      <c r="P5141">
        <v>0.71292709999999904</v>
      </c>
      <c r="Q5141">
        <v>1.8929189999999999E-2</v>
      </c>
      <c r="R5141">
        <v>-0.70098269999999996</v>
      </c>
      <c r="S5141">
        <v>1.232391</v>
      </c>
      <c r="T5141">
        <v>-0.11653519999999901</v>
      </c>
      <c r="U5141">
        <v>-3.0444640000000001</v>
      </c>
      <c r="V5141">
        <v>0.1756202</v>
      </c>
      <c r="W5141">
        <v>3.0491219999999999E-2</v>
      </c>
      <c r="X5141">
        <v>0.98398569999999996</v>
      </c>
      <c r="Y5141">
        <v>0.55206409999999995</v>
      </c>
      <c r="Z5141">
        <v>1.125922E-2</v>
      </c>
      <c r="AA5141">
        <v>0.83372570000000001</v>
      </c>
      <c r="AB5141">
        <v>27</v>
      </c>
      <c r="AC5141">
        <v>10.9230999999999</v>
      </c>
      <c r="AD5141">
        <v>-1.0444656163899999</v>
      </c>
      <c r="AE5141">
        <v>-27.19613</v>
      </c>
      <c r="AF5141">
        <v>16.226211388566899</v>
      </c>
      <c r="AG5141">
        <v>-1.0444656163899999</v>
      </c>
      <c r="AH5141">
        <v>24.361362795151699</v>
      </c>
      <c r="AI5141">
        <v>92.043626190025606</v>
      </c>
      <c r="AJ5141">
        <v>56.333869710220597</v>
      </c>
      <c r="AK5141">
        <v>29.289193257706501</v>
      </c>
    </row>
    <row r="5142" spans="1:37" x14ac:dyDescent="0.2">
      <c r="A5142" t="str">
        <f>"20200111153533494"</f>
        <v>20200111153533494</v>
      </c>
      <c r="B5142" t="str">
        <f>"1578728133490779"</f>
        <v>1578728133490779</v>
      </c>
      <c r="C5142" t="s">
        <v>37</v>
      </c>
      <c r="D5142">
        <v>5.2326439999999996</v>
      </c>
      <c r="E5142">
        <v>0.66432950000000002</v>
      </c>
      <c r="F5142" t="s">
        <v>39</v>
      </c>
      <c r="G5142">
        <v>-300.26499999999999</v>
      </c>
      <c r="H5142" s="1">
        <v>-2.5770110000000002E-6</v>
      </c>
      <c r="I5142">
        <v>-14.56814</v>
      </c>
      <c r="J5142">
        <v>-310.97750000000002</v>
      </c>
      <c r="K5142">
        <v>1.044381</v>
      </c>
      <c r="L5142">
        <v>12.64972</v>
      </c>
      <c r="M5142">
        <v>0.81897109999999995</v>
      </c>
      <c r="N5142">
        <v>0</v>
      </c>
      <c r="O5142">
        <v>-0.57359780000000005</v>
      </c>
      <c r="P5142">
        <v>0.70623519999999995</v>
      </c>
      <c r="Q5142">
        <v>1.889644E-2</v>
      </c>
      <c r="R5142">
        <v>-0.70772500000000005</v>
      </c>
      <c r="S5142">
        <v>1.2118229999999901</v>
      </c>
      <c r="T5142">
        <v>-0.1165803</v>
      </c>
      <c r="U5142">
        <v>-3.0503849999999999</v>
      </c>
      <c r="V5142">
        <v>0.17542379999999999</v>
      </c>
      <c r="W5142">
        <v>3.0379219999999998E-2</v>
      </c>
      <c r="X5142">
        <v>0.98402420000000002</v>
      </c>
      <c r="Y5142">
        <v>0.54938830000000005</v>
      </c>
      <c r="Z5142">
        <v>1.1663710000000001E-2</v>
      </c>
      <c r="AA5142">
        <v>0.83548579999999995</v>
      </c>
      <c r="AB5142">
        <v>27</v>
      </c>
      <c r="AC5142">
        <v>10.7125</v>
      </c>
      <c r="AD5142">
        <v>-1.0443835770109999</v>
      </c>
      <c r="AE5142">
        <v>-27.217860000000002</v>
      </c>
      <c r="AF5142">
        <v>16.127609263566001</v>
      </c>
      <c r="AG5142">
        <v>-1.0443835770109999</v>
      </c>
      <c r="AH5142">
        <v>24.357595716992599</v>
      </c>
      <c r="AI5142">
        <v>92.047497569077095</v>
      </c>
      <c r="AJ5142">
        <v>56.490729316192699</v>
      </c>
      <c r="AK5142">
        <v>29.231540957100499</v>
      </c>
    </row>
    <row r="5143" spans="1:37" x14ac:dyDescent="0.2">
      <c r="A5143" t="str">
        <f>"20200111153533510"</f>
        <v>20200111153533510</v>
      </c>
      <c r="B5143" t="str">
        <f>"1578728133500540"</f>
        <v>1578728133500540</v>
      </c>
      <c r="C5143" t="s">
        <v>37</v>
      </c>
      <c r="D5143">
        <v>5.229241</v>
      </c>
      <c r="E5143">
        <v>0.66366480000000005</v>
      </c>
      <c r="F5143" t="s">
        <v>39</v>
      </c>
      <c r="G5143">
        <v>-300.70069999999998</v>
      </c>
      <c r="H5143" s="1">
        <v>-3.0396940000000001E-6</v>
      </c>
      <c r="I5143">
        <v>-13.7599</v>
      </c>
      <c r="J5143">
        <v>-310.8263</v>
      </c>
      <c r="K5143">
        <v>1.044308</v>
      </c>
      <c r="L5143">
        <v>12.53101</v>
      </c>
      <c r="M5143">
        <v>0.8130655</v>
      </c>
      <c r="N5143">
        <v>0</v>
      </c>
      <c r="O5143">
        <v>-0.5819415</v>
      </c>
      <c r="P5143">
        <v>0.69921420000000001</v>
      </c>
      <c r="Q5143">
        <v>1.8829680000000001E-2</v>
      </c>
      <c r="R5143">
        <v>-0.71466430000000003</v>
      </c>
      <c r="S5143">
        <v>1.1890259999999999</v>
      </c>
      <c r="T5143">
        <v>-0.12083569999999901</v>
      </c>
      <c r="U5143">
        <v>-3.0556030000000001</v>
      </c>
      <c r="V5143">
        <v>0.17507339999999999</v>
      </c>
      <c r="W5143">
        <v>3.024052E-2</v>
      </c>
      <c r="X5143">
        <v>0.98409089999999999</v>
      </c>
      <c r="Y5143">
        <v>0.54673549999999904</v>
      </c>
      <c r="Z5143">
        <v>1.252609E-2</v>
      </c>
      <c r="AA5143">
        <v>0.8372117</v>
      </c>
      <c r="AB5143">
        <v>27</v>
      </c>
      <c r="AC5143">
        <v>10.1256</v>
      </c>
      <c r="AD5143">
        <v>-1.0443110396940001</v>
      </c>
      <c r="AE5143">
        <v>-26.29091</v>
      </c>
      <c r="AF5143">
        <v>15.464556735116499</v>
      </c>
      <c r="AG5143">
        <v>-1.0443110396940001</v>
      </c>
      <c r="AH5143">
        <v>23.503415177345801</v>
      </c>
      <c r="AI5143">
        <v>92.125741323366597</v>
      </c>
      <c r="AJ5143">
        <v>56.656258211973302</v>
      </c>
      <c r="AK5143">
        <v>28.154104950432298</v>
      </c>
    </row>
    <row r="5144" spans="1:37" x14ac:dyDescent="0.2">
      <c r="A5144" t="str">
        <f>"20200111153533524"</f>
        <v>20200111153533524</v>
      </c>
      <c r="B5144" t="str">
        <f>"1578728133521036"</f>
        <v>1578728133521036</v>
      </c>
      <c r="C5144" t="s">
        <v>37</v>
      </c>
      <c r="D5144">
        <v>5.1971860000000003</v>
      </c>
      <c r="E5144">
        <v>0.6521884</v>
      </c>
      <c r="F5144" t="s">
        <v>39</v>
      </c>
      <c r="G5144">
        <v>-300.8476</v>
      </c>
      <c r="H5144" s="1">
        <v>-3.0819920000000001E-6</v>
      </c>
      <c r="I5144">
        <v>-13.752370000000001</v>
      </c>
      <c r="J5144">
        <v>-310.68290000000002</v>
      </c>
      <c r="K5144">
        <v>1.0442480000000001</v>
      </c>
      <c r="L5144">
        <v>12.41629</v>
      </c>
      <c r="M5144">
        <v>0.80734459999999997</v>
      </c>
      <c r="N5144">
        <v>0</v>
      </c>
      <c r="O5144">
        <v>-0.58985480000000001</v>
      </c>
      <c r="P5144">
        <v>0.69311449999999997</v>
      </c>
      <c r="Q5144">
        <v>1.8738399999999999E-2</v>
      </c>
      <c r="R5144">
        <v>-0.72058420000000001</v>
      </c>
      <c r="S5144">
        <v>1.1629639999999899</v>
      </c>
      <c r="T5144">
        <v>-0.12170830000000001</v>
      </c>
      <c r="U5144">
        <v>-3.0631710000000001</v>
      </c>
      <c r="V5144">
        <v>0.17382259999999999</v>
      </c>
      <c r="W5144">
        <v>3.0114209999999999E-2</v>
      </c>
      <c r="X5144">
        <v>0.98431639999999998</v>
      </c>
      <c r="Y5144">
        <v>0.54546839999999996</v>
      </c>
      <c r="Z5144">
        <v>1.300692E-2</v>
      </c>
      <c r="AA5144">
        <v>0.83803050000000001</v>
      </c>
      <c r="AB5144">
        <v>27</v>
      </c>
      <c r="AC5144">
        <v>9.8353000000000108</v>
      </c>
      <c r="AD5144">
        <v>-1.0442510819919999</v>
      </c>
      <c r="AE5144">
        <v>-26.168659999999999</v>
      </c>
      <c r="AF5144">
        <v>15.3064094293383</v>
      </c>
      <c r="AG5144">
        <v>-1.0442510819919999</v>
      </c>
      <c r="AH5144">
        <v>23.346720498967699</v>
      </c>
      <c r="AI5144">
        <v>92.142186739683197</v>
      </c>
      <c r="AJ5144">
        <v>56.750637217759099</v>
      </c>
      <c r="AK5144">
        <v>27.936463412495499</v>
      </c>
    </row>
    <row r="5145" spans="1:37" x14ac:dyDescent="0.2">
      <c r="A5145" t="str">
        <f>"20200111153533540"</f>
        <v>20200111153533540</v>
      </c>
      <c r="B5145" t="str">
        <f>"1578728133530796"</f>
        <v>1578728133530796</v>
      </c>
      <c r="C5145" t="s">
        <v>37</v>
      </c>
      <c r="D5145">
        <v>5.2271729999999996</v>
      </c>
      <c r="E5145">
        <v>0.65146419999999905</v>
      </c>
      <c r="F5145" t="s">
        <v>39</v>
      </c>
      <c r="G5145">
        <v>-301.03609999999998</v>
      </c>
      <c r="H5145" s="1">
        <v>-4.0028969999999902E-6</v>
      </c>
      <c r="I5145">
        <v>-11.7226699999999</v>
      </c>
      <c r="J5145">
        <v>-310.53550000000001</v>
      </c>
      <c r="K5145">
        <v>1.0441910000000001</v>
      </c>
      <c r="L5145">
        <v>12.29623</v>
      </c>
      <c r="M5145">
        <v>0.80134519999999998</v>
      </c>
      <c r="N5145">
        <v>0</v>
      </c>
      <c r="O5145">
        <v>-0.59798200000000001</v>
      </c>
      <c r="P5145">
        <v>0.68652979999999997</v>
      </c>
      <c r="Q5145">
        <v>1.851355E-2</v>
      </c>
      <c r="R5145">
        <v>-0.72686619999999902</v>
      </c>
      <c r="S5145">
        <v>1.2027889999999899</v>
      </c>
      <c r="T5145">
        <v>-0.13020119999999999</v>
      </c>
      <c r="U5145">
        <v>-3.009735</v>
      </c>
      <c r="V5145">
        <v>0.17282819999999999</v>
      </c>
      <c r="W5145">
        <v>2.9849690000000002E-2</v>
      </c>
      <c r="X5145">
        <v>0.98449959999999903</v>
      </c>
      <c r="Y5145">
        <v>0.52228009999999903</v>
      </c>
      <c r="Z5145">
        <v>1.4941019999999999E-2</v>
      </c>
      <c r="AA5145">
        <v>0.85264309999999999</v>
      </c>
      <c r="AB5145">
        <v>27</v>
      </c>
      <c r="AC5145">
        <v>9.4994000000000298</v>
      </c>
      <c r="AD5145">
        <v>-1.044195002897</v>
      </c>
      <c r="AE5145">
        <v>-24.018899999999999</v>
      </c>
      <c r="AF5145">
        <v>13.546607369152101</v>
      </c>
      <c r="AG5145">
        <v>-1.044195002897</v>
      </c>
      <c r="AH5145">
        <v>21.942202129559998</v>
      </c>
      <c r="AI5145">
        <v>92.318813142709601</v>
      </c>
      <c r="AJ5145">
        <v>58.309778813953301</v>
      </c>
      <c r="AK5145">
        <v>25.808160506175401</v>
      </c>
    </row>
    <row r="5146" spans="1:37" x14ac:dyDescent="0.2">
      <c r="A5146" t="str">
        <f>"20200111153533557"</f>
        <v>20200111153533557</v>
      </c>
      <c r="B5146" t="str">
        <f>"1578728133551291"</f>
        <v>1578728133551291</v>
      </c>
      <c r="C5146" t="s">
        <v>37</v>
      </c>
      <c r="D5146">
        <v>5.2470559999999997</v>
      </c>
      <c r="E5146">
        <v>0.65060419999999997</v>
      </c>
      <c r="F5146" t="s">
        <v>39</v>
      </c>
      <c r="G5146">
        <v>-301.15159999999997</v>
      </c>
      <c r="H5146" s="1">
        <v>-4.0398270000000004E-6</v>
      </c>
      <c r="I5146">
        <v>-11.708219999999899</v>
      </c>
      <c r="J5146">
        <v>-310.36849999999998</v>
      </c>
      <c r="K5146">
        <v>1.044143</v>
      </c>
      <c r="L5146">
        <v>12.1568</v>
      </c>
      <c r="M5146">
        <v>0.79438750000000002</v>
      </c>
      <c r="N5146">
        <v>0</v>
      </c>
      <c r="O5146">
        <v>-0.60719669999999903</v>
      </c>
      <c r="P5146">
        <v>0.67920269999999905</v>
      </c>
      <c r="Q5146">
        <v>1.8310940000000001E-2</v>
      </c>
      <c r="R5146">
        <v>-0.7337226</v>
      </c>
      <c r="S5146">
        <v>1.1793209999999901</v>
      </c>
      <c r="T5146">
        <v>-0.13123019999999999</v>
      </c>
      <c r="U5146">
        <v>-3.016785</v>
      </c>
      <c r="V5146">
        <v>0.1713305</v>
      </c>
      <c r="W5146">
        <v>2.962091E-2</v>
      </c>
      <c r="X5146">
        <v>0.98476819999999898</v>
      </c>
      <c r="Y5146">
        <v>0.51885930000000002</v>
      </c>
      <c r="Z5146">
        <v>1.559059E-2</v>
      </c>
      <c r="AA5146">
        <v>0.85471749999999902</v>
      </c>
      <c r="AB5146">
        <v>27</v>
      </c>
      <c r="AC5146">
        <v>9.2169000000000096</v>
      </c>
      <c r="AD5146">
        <v>-1.0441470398270001</v>
      </c>
      <c r="AE5146">
        <v>-23.865020000000001</v>
      </c>
      <c r="AF5146">
        <v>13.3411206244881</v>
      </c>
      <c r="AG5146">
        <v>-1.0441470398270001</v>
      </c>
      <c r="AH5146">
        <v>21.779115589959702</v>
      </c>
      <c r="AI5146">
        <v>92.341066280782499</v>
      </c>
      <c r="AJ5146">
        <v>58.509828839226103</v>
      </c>
      <c r="AK5146">
        <v>25.561799984327202</v>
      </c>
    </row>
    <row r="5147" spans="1:37" x14ac:dyDescent="0.2">
      <c r="A5147" t="str">
        <f>"20200111153533578"</f>
        <v>20200111153533578</v>
      </c>
      <c r="B5147" t="str">
        <f>"1578728133570811"</f>
        <v>1578728133570811</v>
      </c>
      <c r="C5147" t="s">
        <v>37</v>
      </c>
      <c r="D5147">
        <v>5.2911380000000001</v>
      </c>
      <c r="E5147">
        <v>0.64965399999999995</v>
      </c>
      <c r="F5147" t="s">
        <v>39</v>
      </c>
      <c r="G5147">
        <v>-302.0829</v>
      </c>
      <c r="H5147" s="1">
        <v>-5.1292579999999999E-7</v>
      </c>
      <c r="I5147">
        <v>-9.5499890000000001</v>
      </c>
      <c r="J5147">
        <v>-310.16640000000001</v>
      </c>
      <c r="K5147">
        <v>1.044103</v>
      </c>
      <c r="L5147">
        <v>11.98373</v>
      </c>
      <c r="M5147">
        <v>0.78574719999999998</v>
      </c>
      <c r="N5147">
        <v>0</v>
      </c>
      <c r="O5147">
        <v>-0.61833970000000005</v>
      </c>
      <c r="P5147">
        <v>0.66925690000000004</v>
      </c>
      <c r="Q5147">
        <v>1.733254E-2</v>
      </c>
      <c r="R5147">
        <v>-0.74282899999999996</v>
      </c>
      <c r="S5147">
        <v>1.154236</v>
      </c>
      <c r="T5147">
        <v>-0.1454558</v>
      </c>
      <c r="U5147">
        <v>-3.023895</v>
      </c>
      <c r="V5147">
        <v>0.17069589999999901</v>
      </c>
      <c r="W5147">
        <v>2.85846999999999E-2</v>
      </c>
      <c r="X5147">
        <v>0.98490909999999998</v>
      </c>
      <c r="Y5147">
        <v>0.51365729999999998</v>
      </c>
      <c r="Z5147">
        <v>1.8015550000000002E-2</v>
      </c>
      <c r="AA5147">
        <v>0.85780630000000002</v>
      </c>
      <c r="AB5147">
        <v>27</v>
      </c>
      <c r="AC5147">
        <v>8.0835000000000097</v>
      </c>
      <c r="AD5147">
        <v>-1.0441035129258001</v>
      </c>
      <c r="AE5147">
        <v>-21.533719000000001</v>
      </c>
      <c r="AF5147">
        <v>11.8987261798916</v>
      </c>
      <c r="AG5147">
        <v>-1.0441035129258001</v>
      </c>
      <c r="AH5147">
        <v>19.6288246689634</v>
      </c>
      <c r="AI5147">
        <v>92.604443891964394</v>
      </c>
      <c r="AJ5147">
        <v>58.776327072590803</v>
      </c>
      <c r="AK5147">
        <v>22.977393123125399</v>
      </c>
    </row>
    <row r="5148" spans="1:37" x14ac:dyDescent="0.2">
      <c r="A5148" t="str">
        <f>"20200111153533601"</f>
        <v>20200111153533601</v>
      </c>
      <c r="B5148" t="str">
        <f>"1578728133591313"</f>
        <v>1578728133591313</v>
      </c>
      <c r="C5148" t="s">
        <v>37</v>
      </c>
      <c r="D5148">
        <v>5.2825819999999997</v>
      </c>
      <c r="E5148">
        <v>0.64827159999999995</v>
      </c>
      <c r="F5148" t="s">
        <v>39</v>
      </c>
      <c r="G5148">
        <v>-302.51900000000001</v>
      </c>
      <c r="H5148" s="1">
        <v>-1.0107989999999899E-6</v>
      </c>
      <c r="I5148">
        <v>-8.7422129999999996</v>
      </c>
      <c r="J5148">
        <v>-309.96429999999998</v>
      </c>
      <c r="K5148">
        <v>1.0440750000000001</v>
      </c>
      <c r="L5148">
        <v>11.805389999999999</v>
      </c>
      <c r="M5148">
        <v>0.77686269999999902</v>
      </c>
      <c r="N5148">
        <v>0</v>
      </c>
      <c r="O5148">
        <v>-0.62946800000000003</v>
      </c>
      <c r="P5148">
        <v>0.65924459999999996</v>
      </c>
      <c r="Q5148">
        <v>1.5423620000000001E-2</v>
      </c>
      <c r="R5148">
        <v>-0.75177109999999903</v>
      </c>
      <c r="S5148">
        <v>1.119354</v>
      </c>
      <c r="T5148">
        <v>-0.15282570000000001</v>
      </c>
      <c r="U5148">
        <v>-3.0336609999999999</v>
      </c>
      <c r="V5148">
        <v>0.16984050000000001</v>
      </c>
      <c r="W5148">
        <v>2.6636610000000002E-2</v>
      </c>
      <c r="X5148">
        <v>0.98511150000000003</v>
      </c>
      <c r="Y5148">
        <v>0.51101370000000002</v>
      </c>
      <c r="Z5148">
        <v>1.9647299999999999E-2</v>
      </c>
      <c r="AA5148">
        <v>0.859348</v>
      </c>
      <c r="AB5148">
        <v>27</v>
      </c>
      <c r="AC5148">
        <v>7.4452999999999703</v>
      </c>
      <c r="AD5148">
        <v>-1.0440760107989999</v>
      </c>
      <c r="AE5148">
        <v>-20.547602999999999</v>
      </c>
      <c r="AF5148">
        <v>11.251843009804199</v>
      </c>
      <c r="AG5148">
        <v>-1.0440760107989999</v>
      </c>
      <c r="AH5148">
        <v>18.6777879205438</v>
      </c>
      <c r="AI5148">
        <v>92.741349948724505</v>
      </c>
      <c r="AJ5148">
        <v>58.934467023431601</v>
      </c>
      <c r="AK5148">
        <v>21.8301128590399</v>
      </c>
    </row>
    <row r="5149" spans="1:37" x14ac:dyDescent="0.2">
      <c r="A5149" t="str">
        <f>"20200111153533613"</f>
        <v>20200111153533613</v>
      </c>
      <c r="B5149" t="str">
        <f>"1578728133610827"</f>
        <v>1578728133610827</v>
      </c>
      <c r="C5149" t="s">
        <v>37</v>
      </c>
      <c r="D5149">
        <v>5.4186120000000004</v>
      </c>
      <c r="E5149">
        <v>0.64711560000000001</v>
      </c>
      <c r="F5149" t="s">
        <v>39</v>
      </c>
      <c r="G5149">
        <v>-303.02800000000002</v>
      </c>
      <c r="H5149" s="1">
        <v>-1.682547E-6</v>
      </c>
      <c r="I5149">
        <v>-7.6076559999999898</v>
      </c>
      <c r="J5149">
        <v>-309.83859999999999</v>
      </c>
      <c r="K5149">
        <v>1.0440750000000001</v>
      </c>
      <c r="L5149">
        <v>11.691800000000001</v>
      </c>
      <c r="M5149">
        <v>0.77121960000000001</v>
      </c>
      <c r="N5149">
        <v>0</v>
      </c>
      <c r="O5149">
        <v>-0.63637060000000001</v>
      </c>
      <c r="P5149">
        <v>0.6529528</v>
      </c>
      <c r="Q5149">
        <v>1.433954E-2</v>
      </c>
      <c r="R5149">
        <v>-0.75726340000000003</v>
      </c>
      <c r="S5149">
        <v>1.086578</v>
      </c>
      <c r="T5149">
        <v>-0.1635559</v>
      </c>
      <c r="U5149">
        <v>-3.041077</v>
      </c>
      <c r="V5149">
        <v>0.16925460000000001</v>
      </c>
      <c r="W5149">
        <v>2.5534540000000001E-2</v>
      </c>
      <c r="X5149">
        <v>0.98524149999999999</v>
      </c>
      <c r="Y5149">
        <v>0.51222040000000002</v>
      </c>
      <c r="Z5149">
        <v>2.1449929999999999E-2</v>
      </c>
      <c r="AA5149">
        <v>0.85858609999999902</v>
      </c>
      <c r="AB5149">
        <v>27</v>
      </c>
      <c r="AC5149">
        <v>6.81059999999996</v>
      </c>
      <c r="AD5149">
        <v>-1.044076682547</v>
      </c>
      <c r="AE5149">
        <v>-19.299455999999999</v>
      </c>
      <c r="AF5149">
        <v>10.5239973758029</v>
      </c>
      <c r="AG5149">
        <v>-1.044076682547</v>
      </c>
      <c r="AH5149">
        <v>17.490770222507098</v>
      </c>
      <c r="AI5149">
        <v>92.928023719057904</v>
      </c>
      <c r="AJ5149">
        <v>58.9651562226599</v>
      </c>
      <c r="AK5149">
        <v>20.439463296806199</v>
      </c>
    </row>
    <row r="5150" spans="1:37" x14ac:dyDescent="0.2">
      <c r="A5150" t="str">
        <f>"20200111153533628"</f>
        <v>20200111153533628</v>
      </c>
      <c r="B5150" t="str">
        <f>"1578728133620589"</f>
        <v>1578728133620589</v>
      </c>
      <c r="C5150" t="s">
        <v>37</v>
      </c>
      <c r="D5150">
        <v>5.3771879999999896</v>
      </c>
      <c r="E5150">
        <v>0.64711560000000001</v>
      </c>
      <c r="F5150" t="s">
        <v>39</v>
      </c>
      <c r="G5150">
        <v>-303.44209999999998</v>
      </c>
      <c r="H5150" s="1">
        <v>-2.295819E-6</v>
      </c>
      <c r="I5150">
        <v>-6.5433879999999904</v>
      </c>
      <c r="J5150">
        <v>-309.70819999999998</v>
      </c>
      <c r="K5150">
        <v>1.044082</v>
      </c>
      <c r="L5150">
        <v>11.57178</v>
      </c>
      <c r="M5150">
        <v>0.76526090000000002</v>
      </c>
      <c r="N5150">
        <v>0</v>
      </c>
      <c r="O5150">
        <v>-0.64352519999999902</v>
      </c>
      <c r="P5150">
        <v>0.6463236</v>
      </c>
      <c r="Q5150">
        <v>1.314478E-2</v>
      </c>
      <c r="R5150">
        <v>-0.76295059999999904</v>
      </c>
      <c r="S5150">
        <v>1.067841</v>
      </c>
      <c r="T5150">
        <v>-0.1742986</v>
      </c>
      <c r="U5150">
        <v>-3.0441889999999998</v>
      </c>
      <c r="V5150">
        <v>0.1686532</v>
      </c>
      <c r="W5150">
        <v>2.4324229999999999E-2</v>
      </c>
      <c r="X5150">
        <v>0.98537529999999995</v>
      </c>
      <c r="Y5150">
        <v>0.50920489999999996</v>
      </c>
      <c r="Z5150">
        <v>2.343195E-2</v>
      </c>
      <c r="AA5150">
        <v>0.86032629999999999</v>
      </c>
      <c r="AB5150">
        <v>27</v>
      </c>
      <c r="AC5150">
        <v>6.26609999999999</v>
      </c>
      <c r="AD5150">
        <v>-1.044084295819</v>
      </c>
      <c r="AE5150">
        <v>-18.115168000000001</v>
      </c>
      <c r="AF5150">
        <v>9.8025874201155805</v>
      </c>
      <c r="AG5150">
        <v>-1.044084295819</v>
      </c>
      <c r="AH5150">
        <v>16.406158638388298</v>
      </c>
      <c r="AI5150">
        <v>93.127014845682694</v>
      </c>
      <c r="AJ5150">
        <v>59.141920477110403</v>
      </c>
      <c r="AK5150">
        <v>19.1400855121849</v>
      </c>
    </row>
    <row r="5151" spans="1:37" x14ac:dyDescent="0.2">
      <c r="A5151" t="str">
        <f>"20200111153533645"</f>
        <v>20200111153533645</v>
      </c>
      <c r="B5151" t="str">
        <f>"1578728133641083"</f>
        <v>1578728133641083</v>
      </c>
      <c r="C5151" t="s">
        <v>37</v>
      </c>
      <c r="D5151">
        <v>5.3652680000000004</v>
      </c>
      <c r="E5151">
        <v>0.63854679999999997</v>
      </c>
      <c r="F5151" t="s">
        <v>39</v>
      </c>
      <c r="G5151">
        <v>-303.58870000000002</v>
      </c>
      <c r="H5151" s="1">
        <v>-2.4156709999999998E-6</v>
      </c>
      <c r="I5151">
        <v>-6.3723979999999996</v>
      </c>
      <c r="J5151">
        <v>-309.55009999999999</v>
      </c>
      <c r="K5151">
        <v>1.0440940000000001</v>
      </c>
      <c r="L5151">
        <v>11.423550000000001</v>
      </c>
      <c r="M5151">
        <v>0.75791169999999997</v>
      </c>
      <c r="N5151">
        <v>0</v>
      </c>
      <c r="O5151">
        <v>-0.65216629999999998</v>
      </c>
      <c r="P5151">
        <v>0.63848879999999997</v>
      </c>
      <c r="Q5151">
        <v>1.0626109999999999E-2</v>
      </c>
      <c r="R5151">
        <v>-0.76955850000000003</v>
      </c>
      <c r="S5151">
        <v>1.041199</v>
      </c>
      <c r="T5151">
        <v>-0.1776469</v>
      </c>
      <c r="U5151">
        <v>-3.053131</v>
      </c>
      <c r="V5151">
        <v>0.16750770000000001</v>
      </c>
      <c r="W5151">
        <v>2.18029E-2</v>
      </c>
      <c r="X5151">
        <v>0.98562959999999999</v>
      </c>
      <c r="Y5151">
        <v>0.50694289999999997</v>
      </c>
      <c r="Z5151">
        <v>2.4527609999999998E-2</v>
      </c>
      <c r="AA5151">
        <v>0.86163060000000002</v>
      </c>
      <c r="AB5151">
        <v>27</v>
      </c>
      <c r="AC5151">
        <v>5.9613999999999603</v>
      </c>
      <c r="AD5151">
        <v>-1.044096415671</v>
      </c>
      <c r="AE5151">
        <v>-17.795947999999999</v>
      </c>
      <c r="AF5151">
        <v>9.5715052291987099</v>
      </c>
      <c r="AG5151">
        <v>-1.044096415671</v>
      </c>
      <c r="AH5151">
        <v>16.0763848001538</v>
      </c>
      <c r="AI5151">
        <v>93.1940329487105</v>
      </c>
      <c r="AJ5151">
        <v>59.231416181464198</v>
      </c>
      <c r="AK5151">
        <v>18.739103444946601</v>
      </c>
    </row>
    <row r="5152" spans="1:37" x14ac:dyDescent="0.2">
      <c r="A5152" t="str">
        <f>"20200111153533658"</f>
        <v>20200111153533658</v>
      </c>
      <c r="B5152" t="str">
        <f>"1578728133650843"</f>
        <v>1578728133650843</v>
      </c>
      <c r="C5152" t="s">
        <v>37</v>
      </c>
      <c r="D5152">
        <v>5.4063339999999904</v>
      </c>
      <c r="E5152">
        <v>0.63832270000000002</v>
      </c>
      <c r="F5152" t="s">
        <v>39</v>
      </c>
      <c r="G5152">
        <v>-303.97489999999999</v>
      </c>
      <c r="H5152" s="1">
        <v>-3.434589E-6</v>
      </c>
      <c r="I5152">
        <v>-4.4342370000000004</v>
      </c>
      <c r="J5152">
        <v>-309.43439999999998</v>
      </c>
      <c r="K5152">
        <v>1.044109</v>
      </c>
      <c r="L5152">
        <v>11.31335</v>
      </c>
      <c r="M5152">
        <v>0.75244809999999995</v>
      </c>
      <c r="N5152">
        <v>0</v>
      </c>
      <c r="O5152">
        <v>-0.65846359999999904</v>
      </c>
      <c r="P5152">
        <v>0.63249739999999999</v>
      </c>
      <c r="Q5152">
        <v>9.4418379999999993E-3</v>
      </c>
      <c r="R5152">
        <v>-0.77450549999999996</v>
      </c>
      <c r="S5152">
        <v>1.061798</v>
      </c>
      <c r="T5152">
        <v>-0.198848</v>
      </c>
      <c r="U5152">
        <v>-3.020111</v>
      </c>
      <c r="V5152">
        <v>0.16691539999999999</v>
      </c>
      <c r="W5152">
        <v>2.0612510000000001E-2</v>
      </c>
      <c r="X5152">
        <v>0.98575569999999901</v>
      </c>
      <c r="Y5152">
        <v>0.49159380000000003</v>
      </c>
      <c r="Z5152">
        <v>2.858198E-2</v>
      </c>
      <c r="AA5152">
        <v>0.8703554</v>
      </c>
      <c r="AB5152">
        <v>27</v>
      </c>
      <c r="AC5152">
        <v>5.4594999999999896</v>
      </c>
      <c r="AD5152">
        <v>-1.044112434589</v>
      </c>
      <c r="AE5152">
        <v>-15.747586999999999</v>
      </c>
      <c r="AF5152">
        <v>8.2231109264738809</v>
      </c>
      <c r="AG5152">
        <v>-1.044112434589</v>
      </c>
      <c r="AH5152">
        <v>14.4223961149</v>
      </c>
      <c r="AI5152">
        <v>93.598644472417106</v>
      </c>
      <c r="AJ5152">
        <v>60.309828438982102</v>
      </c>
      <c r="AK5152">
        <v>16.634759805306501</v>
      </c>
    </row>
    <row r="5153" spans="1:37" x14ac:dyDescent="0.2">
      <c r="A5153" t="str">
        <f>"20200111153533672"</f>
        <v>20200111153533672</v>
      </c>
      <c r="B5153" t="str">
        <f>"1578728133660604"</f>
        <v>1578728133660604</v>
      </c>
      <c r="C5153" t="s">
        <v>37</v>
      </c>
      <c r="D5153">
        <v>5.2087969999999997</v>
      </c>
      <c r="E5153">
        <v>0.63832270000000002</v>
      </c>
      <c r="F5153" t="s">
        <v>39</v>
      </c>
      <c r="G5153">
        <v>-304.04259999999999</v>
      </c>
      <c r="H5153" s="1">
        <v>-3.4672489999999999E-6</v>
      </c>
      <c r="I5153">
        <v>-4.3882079999999997</v>
      </c>
      <c r="J5153">
        <v>-309.31700000000001</v>
      </c>
      <c r="K5153">
        <v>1.044138</v>
      </c>
      <c r="L5153">
        <v>11.198789999999899</v>
      </c>
      <c r="M5153">
        <v>0.74681739999999996</v>
      </c>
      <c r="N5153">
        <v>0</v>
      </c>
      <c r="O5153">
        <v>-0.66484390000000004</v>
      </c>
      <c r="P5153">
        <v>0.62645680000000004</v>
      </c>
      <c r="Q5153">
        <v>8.3517669999999995E-3</v>
      </c>
      <c r="R5153">
        <v>-0.77941169999999904</v>
      </c>
      <c r="S5153">
        <v>1.0394589999999999</v>
      </c>
      <c r="T5153">
        <v>-0.20129</v>
      </c>
      <c r="U5153">
        <v>-3.0270389999999998</v>
      </c>
      <c r="V5153">
        <v>0.166166799999999</v>
      </c>
      <c r="W5153">
        <v>1.9524119999999999E-2</v>
      </c>
      <c r="X5153">
        <v>0.98590429999999996</v>
      </c>
      <c r="Y5153">
        <v>0.49054719999999902</v>
      </c>
      <c r="Z5153">
        <v>2.9462550000000001E-2</v>
      </c>
      <c r="AA5153">
        <v>0.87091640000000003</v>
      </c>
      <c r="AB5153">
        <v>27</v>
      </c>
      <c r="AC5153">
        <v>5.2744000000000097</v>
      </c>
      <c r="AD5153">
        <v>-1.0441414672489999</v>
      </c>
      <c r="AE5153">
        <v>-15.586997999999999</v>
      </c>
      <c r="AF5153">
        <v>8.1023677750662806</v>
      </c>
      <c r="AG5153">
        <v>-1.0441414672489999</v>
      </c>
      <c r="AH5153">
        <v>14.246335468271701</v>
      </c>
      <c r="AI5153">
        <v>93.645333113222605</v>
      </c>
      <c r="AJ5153">
        <v>60.371661305506699</v>
      </c>
      <c r="AK5153">
        <v>16.422444070253299</v>
      </c>
    </row>
    <row r="5154" spans="1:37" x14ac:dyDescent="0.2">
      <c r="A5154" t="str">
        <f>"20200111153533690"</f>
        <v>20200111153533690</v>
      </c>
      <c r="B5154" t="str">
        <f>"1578728133681102"</f>
        <v>1578728133681102</v>
      </c>
      <c r="C5154" t="s">
        <v>37</v>
      </c>
      <c r="D5154">
        <v>5.3671540000000002</v>
      </c>
      <c r="E5154">
        <v>0.64295669999999905</v>
      </c>
      <c r="F5154" t="s">
        <v>39</v>
      </c>
      <c r="G5154">
        <v>-304.10719999999998</v>
      </c>
      <c r="H5154" s="1">
        <v>-3.4852480000000002E-6</v>
      </c>
      <c r="I5154">
        <v>-4.371175</v>
      </c>
      <c r="J5154">
        <v>-309.15600000000001</v>
      </c>
      <c r="K5154">
        <v>1.0441879999999999</v>
      </c>
      <c r="L5154">
        <v>11.039</v>
      </c>
      <c r="M5154">
        <v>0.73897429999999997</v>
      </c>
      <c r="N5154">
        <v>0</v>
      </c>
      <c r="O5154">
        <v>-0.67355189999999998</v>
      </c>
      <c r="P5154">
        <v>0.61840869999999903</v>
      </c>
      <c r="Q5154">
        <v>7.1687309999999898E-3</v>
      </c>
      <c r="R5154">
        <v>-0.78582390000000002</v>
      </c>
      <c r="S5154">
        <v>1.015533</v>
      </c>
      <c r="T5154">
        <v>-0.20353109999999999</v>
      </c>
      <c r="U5154">
        <v>-3.0350039999999998</v>
      </c>
      <c r="V5154">
        <v>0.16472249999999999</v>
      </c>
      <c r="W5154">
        <v>1.835846E-2</v>
      </c>
      <c r="X5154">
        <v>0.98616909999999902</v>
      </c>
      <c r="Y5154">
        <v>0.48720559999999902</v>
      </c>
      <c r="Z5154">
        <v>3.057002E-2</v>
      </c>
      <c r="AA5154">
        <v>0.87275210000000003</v>
      </c>
      <c r="AB5154">
        <v>27</v>
      </c>
      <c r="AC5154">
        <v>5.0488000000000204</v>
      </c>
      <c r="AD5154">
        <v>-1.0441914852480001</v>
      </c>
      <c r="AE5154">
        <v>-15.410175000000001</v>
      </c>
      <c r="AF5154">
        <v>7.95508789292243</v>
      </c>
      <c r="AG5154">
        <v>-1.0441914852480001</v>
      </c>
      <c r="AH5154">
        <v>14.053941367615099</v>
      </c>
      <c r="AI5154">
        <v>93.699538947201205</v>
      </c>
      <c r="AJ5154">
        <v>60.4884188764103</v>
      </c>
      <c r="AK5154">
        <v>16.182923938718499</v>
      </c>
    </row>
    <row r="5155" spans="1:37" x14ac:dyDescent="0.2">
      <c r="A5155" t="str">
        <f>"20200111153533705"</f>
        <v>20200111153533705</v>
      </c>
      <c r="B5155" t="str">
        <f>"1578728133701198"</f>
        <v>1578728133701198</v>
      </c>
      <c r="C5155" t="s">
        <v>37</v>
      </c>
      <c r="D5155">
        <v>5.2996449999999999</v>
      </c>
      <c r="E5155">
        <v>0.63629259999999999</v>
      </c>
      <c r="F5155" t="s">
        <v>39</v>
      </c>
      <c r="G5155">
        <v>-304.30610000000001</v>
      </c>
      <c r="H5155" s="1">
        <v>-3.4535640000000001E-6</v>
      </c>
      <c r="I5155">
        <v>-4.5455500000000004</v>
      </c>
      <c r="J5155">
        <v>-309.02859999999998</v>
      </c>
      <c r="K5155">
        <v>1.0442370000000001</v>
      </c>
      <c r="L5155">
        <v>10.91019</v>
      </c>
      <c r="M5155">
        <v>0.73267669999999996</v>
      </c>
      <c r="N5155">
        <v>0</v>
      </c>
      <c r="O5155">
        <v>-0.6803979</v>
      </c>
      <c r="P5155">
        <v>0.61158369999999995</v>
      </c>
      <c r="Q5155">
        <v>7.1968539999999999E-3</v>
      </c>
      <c r="R5155">
        <v>-0.79114719999999905</v>
      </c>
      <c r="S5155">
        <v>0.95480350000000003</v>
      </c>
      <c r="T5155">
        <v>-0.205570899999999</v>
      </c>
      <c r="U5155">
        <v>-3.068146</v>
      </c>
      <c r="V5155">
        <v>0.16408059999999999</v>
      </c>
      <c r="W5155">
        <v>1.838849E-2</v>
      </c>
      <c r="X5155">
        <v>0.98627559999999903</v>
      </c>
      <c r="Y5155">
        <v>0.49754359999999997</v>
      </c>
      <c r="Z5155">
        <v>3.099646E-2</v>
      </c>
      <c r="AA5155">
        <v>0.86688500000000002</v>
      </c>
      <c r="AB5155">
        <v>27</v>
      </c>
      <c r="AC5155">
        <v>4.7224999999999602</v>
      </c>
      <c r="AD5155">
        <v>-1.044240453564</v>
      </c>
      <c r="AE5155">
        <v>-15.45574</v>
      </c>
      <c r="AF5155">
        <v>8.0781430227695701</v>
      </c>
      <c r="AG5155">
        <v>-1.044240453564</v>
      </c>
      <c r="AH5155">
        <v>13.9197060457921</v>
      </c>
      <c r="AI5155">
        <v>93.712382107523894</v>
      </c>
      <c r="AJ5155">
        <v>59.8717511726515</v>
      </c>
      <c r="AK5155">
        <v>16.127772605739501</v>
      </c>
    </row>
    <row r="5156" spans="1:37" x14ac:dyDescent="0.2">
      <c r="A5156" t="str">
        <f>"20200111153533719"</f>
        <v>20200111153533719</v>
      </c>
      <c r="B5156" t="str">
        <f>"1578728133710957"</f>
        <v>1578728133710957</v>
      </c>
      <c r="C5156" t="s">
        <v>37</v>
      </c>
      <c r="D5156">
        <v>5.5033190000000003</v>
      </c>
      <c r="E5156">
        <v>0.63524380000000003</v>
      </c>
      <c r="F5156" t="s">
        <v>39</v>
      </c>
      <c r="G5156">
        <v>-304.09300000000002</v>
      </c>
      <c r="H5156" s="1">
        <v>-3.3978289999999899E-6</v>
      </c>
      <c r="I5156">
        <v>-4.5784799999999999</v>
      </c>
      <c r="J5156">
        <v>-308.90359999999998</v>
      </c>
      <c r="K5156">
        <v>1.0442910000000001</v>
      </c>
      <c r="L5156">
        <v>10.78168</v>
      </c>
      <c r="M5156">
        <v>0.72640969999999905</v>
      </c>
      <c r="N5156">
        <v>0</v>
      </c>
      <c r="O5156">
        <v>-0.68708579999999997</v>
      </c>
      <c r="P5156">
        <v>0.60478719999999997</v>
      </c>
      <c r="Q5156">
        <v>7.0232300000000001E-3</v>
      </c>
      <c r="R5156">
        <v>-0.79635659999999997</v>
      </c>
      <c r="S5156">
        <v>0.97000119999999901</v>
      </c>
      <c r="T5156">
        <v>-0.20522370000000001</v>
      </c>
      <c r="U5156">
        <v>-3.0439759999999998</v>
      </c>
      <c r="V5156">
        <v>0.16347739999999999</v>
      </c>
      <c r="W5156">
        <v>1.8218290000000002E-2</v>
      </c>
      <c r="X5156">
        <v>0.9863788</v>
      </c>
      <c r="Y5156">
        <v>0.4836646</v>
      </c>
      <c r="Z5156">
        <v>3.2055050000000002E-2</v>
      </c>
      <c r="AA5156">
        <v>0.87466619999999995</v>
      </c>
      <c r="AB5156">
        <v>27</v>
      </c>
      <c r="AC5156">
        <v>4.81059999999996</v>
      </c>
      <c r="AD5156">
        <v>-1.044294397829</v>
      </c>
      <c r="AE5156">
        <v>-15.36016</v>
      </c>
      <c r="AF5156">
        <v>7.8205053175898698</v>
      </c>
      <c r="AG5156">
        <v>-1.044294397829</v>
      </c>
      <c r="AH5156">
        <v>13.991021310884699</v>
      </c>
      <c r="AI5156">
        <v>93.727713735959398</v>
      </c>
      <c r="AJ5156">
        <v>60.796293595123601</v>
      </c>
      <c r="AK5156">
        <v>16.062363821474701</v>
      </c>
    </row>
    <row r="5157" spans="1:37" x14ac:dyDescent="0.2">
      <c r="A5157" t="str">
        <f>"20200111153533732"</f>
        <v>20200111153533732</v>
      </c>
      <c r="B5157" t="str">
        <f>"1578728133720718"</f>
        <v>1578728133720718</v>
      </c>
      <c r="C5157" t="s">
        <v>37</v>
      </c>
      <c r="D5157">
        <v>5.2472799999999999</v>
      </c>
      <c r="E5157">
        <v>0.63346219999999998</v>
      </c>
      <c r="F5157" t="s">
        <v>39</v>
      </c>
      <c r="G5157">
        <v>-303.73270000000002</v>
      </c>
      <c r="H5157" s="1">
        <v>-2.73431899999999E-6</v>
      </c>
      <c r="I5157">
        <v>-5.7793460000000003</v>
      </c>
      <c r="J5157">
        <v>-308.7903</v>
      </c>
      <c r="K5157">
        <v>1.0443389999999999</v>
      </c>
      <c r="L5157">
        <v>10.66235</v>
      </c>
      <c r="M5157">
        <v>0.7206494</v>
      </c>
      <c r="N5157">
        <v>0</v>
      </c>
      <c r="O5157">
        <v>-0.69312580000000001</v>
      </c>
      <c r="P5157">
        <v>0.59839790000000004</v>
      </c>
      <c r="Q5157">
        <v>7.008968E-3</v>
      </c>
      <c r="R5157">
        <v>-0.80116830000000006</v>
      </c>
      <c r="S5157">
        <v>0.951202399999999</v>
      </c>
      <c r="T5157">
        <v>-0.19210089999999999</v>
      </c>
      <c r="U5157">
        <v>-3.0464479999999998</v>
      </c>
      <c r="V5157">
        <v>0.1631292</v>
      </c>
      <c r="W5157">
        <v>1.820399E-2</v>
      </c>
      <c r="X5157">
        <v>0.9864368</v>
      </c>
      <c r="Y5157">
        <v>0.48146670000000003</v>
      </c>
      <c r="Z5157">
        <v>3.055211E-2</v>
      </c>
      <c r="AA5157">
        <v>0.87593169999999898</v>
      </c>
      <c r="AB5157">
        <v>27</v>
      </c>
      <c r="AC5157">
        <v>5.0575999999999697</v>
      </c>
      <c r="AD5157">
        <v>-1.044341734319</v>
      </c>
      <c r="AE5157">
        <v>-16.441696</v>
      </c>
      <c r="AF5157">
        <v>8.3135094881824703</v>
      </c>
      <c r="AG5157">
        <v>-1.044341734319</v>
      </c>
      <c r="AH5157">
        <v>14.987493000145401</v>
      </c>
      <c r="AI5157">
        <v>93.486964515343303</v>
      </c>
      <c r="AJ5157">
        <v>60.983022559552801</v>
      </c>
      <c r="AK5157">
        <v>17.170615483946701</v>
      </c>
    </row>
    <row r="5158" spans="1:37" x14ac:dyDescent="0.2">
      <c r="A5158" t="str">
        <f>"20200111153533746"</f>
        <v>20200111153533746</v>
      </c>
      <c r="B5158" t="str">
        <f>"1578728133741216"</f>
        <v>1578728133741216</v>
      </c>
      <c r="C5158" t="s">
        <v>37</v>
      </c>
      <c r="D5158">
        <v>5.3039449999999997</v>
      </c>
      <c r="E5158">
        <v>0.63139599999999996</v>
      </c>
      <c r="F5158" t="s">
        <v>39</v>
      </c>
      <c r="G5158">
        <v>-304.00259999999997</v>
      </c>
      <c r="H5158" s="1">
        <v>-3.228859E-6</v>
      </c>
      <c r="I5158">
        <v>-4.885046</v>
      </c>
      <c r="J5158">
        <v>-308.6771</v>
      </c>
      <c r="K5158">
        <v>1.0443929999999999</v>
      </c>
      <c r="L5158">
        <v>10.541689999999999</v>
      </c>
      <c r="M5158">
        <v>0.71483229999999998</v>
      </c>
      <c r="N5158">
        <v>0</v>
      </c>
      <c r="O5158">
        <v>-0.69912430000000003</v>
      </c>
      <c r="P5158">
        <v>0.59257539999999997</v>
      </c>
      <c r="Q5158">
        <v>6.564963E-3</v>
      </c>
      <c r="R5158">
        <v>-0.80548830000000005</v>
      </c>
      <c r="S5158">
        <v>0.93792719999999896</v>
      </c>
      <c r="T5158">
        <v>-0.2045894</v>
      </c>
      <c r="U5158">
        <v>-3.045776</v>
      </c>
      <c r="V5158">
        <v>0.162023</v>
      </c>
      <c r="W5158">
        <v>1.77810999999999E-2</v>
      </c>
      <c r="X5158">
        <v>0.98662669999999997</v>
      </c>
      <c r="Y5158">
        <v>0.47758709999999999</v>
      </c>
      <c r="Z5158">
        <v>3.3166559999999998E-2</v>
      </c>
      <c r="AA5158">
        <v>0.87795820000000002</v>
      </c>
      <c r="AB5158">
        <v>27</v>
      </c>
      <c r="AC5158">
        <v>4.6745000000000196</v>
      </c>
      <c r="AD5158">
        <v>-1.0443962288590001</v>
      </c>
      <c r="AE5158">
        <v>-15.426735999999901</v>
      </c>
      <c r="AF5158">
        <v>7.7279626636629501</v>
      </c>
      <c r="AG5158">
        <v>-1.0443962288590001</v>
      </c>
      <c r="AH5158">
        <v>14.0693233756569</v>
      </c>
      <c r="AI5158">
        <v>93.722601953419201</v>
      </c>
      <c r="AJ5158">
        <v>61.220998399026698</v>
      </c>
      <c r="AK5158">
        <v>16.0859575612591</v>
      </c>
    </row>
    <row r="5159" spans="1:37" x14ac:dyDescent="0.2">
      <c r="A5159" t="str">
        <f>"20200111153533760"</f>
        <v>20200111153533760</v>
      </c>
      <c r="B5159" t="str">
        <f>"1578728133750974"</f>
        <v>1578728133750974</v>
      </c>
      <c r="C5159" t="s">
        <v>37</v>
      </c>
      <c r="D5159">
        <v>5.3158139999999996</v>
      </c>
      <c r="E5159">
        <v>0.63063069999999999</v>
      </c>
      <c r="F5159" t="s">
        <v>39</v>
      </c>
      <c r="G5159">
        <v>-304.40699999999998</v>
      </c>
      <c r="H5159" s="1">
        <v>-3.8882939999999999E-6</v>
      </c>
      <c r="I5159">
        <v>-3.4600819999999999</v>
      </c>
      <c r="J5159">
        <v>-308.55329999999998</v>
      </c>
      <c r="K5159">
        <v>1.044467</v>
      </c>
      <c r="L5159">
        <v>10.40784</v>
      </c>
      <c r="M5159">
        <v>0.70839929999999995</v>
      </c>
      <c r="N5159">
        <v>0</v>
      </c>
      <c r="O5159">
        <v>-0.70564300000000002</v>
      </c>
      <c r="P5159">
        <v>0.5855513</v>
      </c>
      <c r="Q5159">
        <v>6.48257E-3</v>
      </c>
      <c r="R5159">
        <v>-0.81060980000000005</v>
      </c>
      <c r="S5159">
        <v>0.92816160000000003</v>
      </c>
      <c r="T5159">
        <v>-0.22701250000000001</v>
      </c>
      <c r="U5159">
        <v>-3.0434570000000001</v>
      </c>
      <c r="V5159">
        <v>0.16155659999999999</v>
      </c>
      <c r="W5159">
        <v>1.7703859999999998E-2</v>
      </c>
      <c r="X5159">
        <v>0.98670460000000004</v>
      </c>
      <c r="Y5159">
        <v>0.47195690000000001</v>
      </c>
      <c r="Z5159">
        <v>3.7598529999999998E-2</v>
      </c>
      <c r="AA5159">
        <v>0.88081949999999998</v>
      </c>
      <c r="AB5159">
        <v>27</v>
      </c>
      <c r="AC5159">
        <v>4.1462999999999903</v>
      </c>
      <c r="AD5159">
        <v>-1.0444708882939999</v>
      </c>
      <c r="AE5159">
        <v>-13.867922</v>
      </c>
      <c r="AF5159">
        <v>6.8633039701202501</v>
      </c>
      <c r="AG5159">
        <v>-1.0444708882939999</v>
      </c>
      <c r="AH5159">
        <v>12.658641619970901</v>
      </c>
      <c r="AI5159">
        <v>94.148690707743796</v>
      </c>
      <c r="AJ5159">
        <v>61.534190664056702</v>
      </c>
      <c r="AK5159">
        <v>14.437349773612301</v>
      </c>
    </row>
    <row r="5160" spans="1:37" x14ac:dyDescent="0.2">
      <c r="A5160" t="str">
        <f>"20200111153533779"</f>
        <v>20200111153533779</v>
      </c>
      <c r="B5160" t="str">
        <f>"1578728133770493"</f>
        <v>1578728133770493</v>
      </c>
      <c r="C5160" t="s">
        <v>37</v>
      </c>
      <c r="D5160">
        <v>5.3405839999999998</v>
      </c>
      <c r="E5160">
        <v>0.62999179999999999</v>
      </c>
      <c r="F5160" t="s">
        <v>39</v>
      </c>
      <c r="G5160">
        <v>-304.52589999999998</v>
      </c>
      <c r="H5160" s="1">
        <v>-4.0326569999999901E-6</v>
      </c>
      <c r="I5160">
        <v>-3.139084</v>
      </c>
      <c r="J5160">
        <v>-308.40120000000002</v>
      </c>
      <c r="K5160">
        <v>1.044559</v>
      </c>
      <c r="L5160">
        <v>10.23972</v>
      </c>
      <c r="M5160">
        <v>0.70038529999999999</v>
      </c>
      <c r="N5160">
        <v>0</v>
      </c>
      <c r="O5160">
        <v>-0.71359890000000004</v>
      </c>
      <c r="P5160">
        <v>0.57678850000000004</v>
      </c>
      <c r="Q5160">
        <v>6.3751019999999997E-3</v>
      </c>
      <c r="R5160">
        <v>-0.81686910000000001</v>
      </c>
      <c r="S5160">
        <v>0.90621949999999996</v>
      </c>
      <c r="T5160">
        <v>-0.23501610000000001</v>
      </c>
      <c r="U5160">
        <v>-3.048187</v>
      </c>
      <c r="V5160">
        <v>0.1610306</v>
      </c>
      <c r="W5160">
        <v>1.7603750000000001E-2</v>
      </c>
      <c r="X5160">
        <v>0.98679240000000001</v>
      </c>
      <c r="Y5160">
        <v>0.46821590000000002</v>
      </c>
      <c r="Z5160">
        <v>3.9791140000000003E-2</v>
      </c>
      <c r="AA5160">
        <v>0.88271769999999905</v>
      </c>
      <c r="AB5160">
        <v>27</v>
      </c>
      <c r="AC5160">
        <v>3.8753000000000299</v>
      </c>
      <c r="AD5160">
        <v>-1.0445630326569999</v>
      </c>
      <c r="AE5160">
        <v>-13.378804000000001</v>
      </c>
      <c r="AF5160">
        <v>6.5687482301834503</v>
      </c>
      <c r="AG5160">
        <v>-1.0445630326569999</v>
      </c>
      <c r="AH5160">
        <v>12.194176540979999</v>
      </c>
      <c r="AI5160">
        <v>94.312798286516099</v>
      </c>
      <c r="AJ5160">
        <v>61.689580923360403</v>
      </c>
      <c r="AK5160">
        <v>13.8901946261857</v>
      </c>
    </row>
    <row r="5161" spans="1:37" x14ac:dyDescent="0.2">
      <c r="A5161" t="str">
        <f>"20200111153533801"</f>
        <v>20200111153533801</v>
      </c>
      <c r="B5161" t="str">
        <f>"1578728133790989"</f>
        <v>1578728133790989</v>
      </c>
      <c r="C5161" t="s">
        <v>37</v>
      </c>
      <c r="D5161">
        <v>5.27</v>
      </c>
      <c r="E5161">
        <v>0.63052430000000004</v>
      </c>
      <c r="F5161" t="s">
        <v>39</v>
      </c>
      <c r="G5161">
        <v>-304.68759999999997</v>
      </c>
      <c r="H5161" s="1">
        <v>-4.2348889999999998E-6</v>
      </c>
      <c r="I5161">
        <v>-2.6871529999999999</v>
      </c>
      <c r="J5161">
        <v>-308.21980000000002</v>
      </c>
      <c r="K5161">
        <v>1.0446819999999899</v>
      </c>
      <c r="L5161">
        <v>10.03387</v>
      </c>
      <c r="M5161">
        <v>0.69067849999999997</v>
      </c>
      <c r="N5161">
        <v>0</v>
      </c>
      <c r="O5161">
        <v>-0.72299910000000001</v>
      </c>
      <c r="P5161">
        <v>0.56582580000000005</v>
      </c>
      <c r="Q5161">
        <v>5.9886929999999998E-3</v>
      </c>
      <c r="R5161">
        <v>-0.82450319999999899</v>
      </c>
      <c r="S5161">
        <v>0.87759399999999999</v>
      </c>
      <c r="T5161">
        <v>-0.2468457</v>
      </c>
      <c r="U5161">
        <v>-3.0548099999999998</v>
      </c>
      <c r="V5161">
        <v>0.16086159999999999</v>
      </c>
      <c r="W5161">
        <v>1.721661E-2</v>
      </c>
      <c r="X5161">
        <v>0.9868268</v>
      </c>
      <c r="Y5161">
        <v>0.46444879999999999</v>
      </c>
      <c r="Z5161">
        <v>4.2842089999999999E-2</v>
      </c>
      <c r="AA5161">
        <v>0.88456309999999905</v>
      </c>
      <c r="AB5161">
        <v>27</v>
      </c>
      <c r="AC5161">
        <v>3.53220000000004</v>
      </c>
      <c r="AD5161">
        <v>-1.04468623488899</v>
      </c>
      <c r="AE5161">
        <v>-12.721023000000001</v>
      </c>
      <c r="AF5161">
        <v>6.19430857604039</v>
      </c>
      <c r="AG5161">
        <v>-1.04468623488899</v>
      </c>
      <c r="AH5161">
        <v>11.565854759938601</v>
      </c>
      <c r="AI5161">
        <v>94.552545001467394</v>
      </c>
      <c r="AJ5161">
        <v>61.827896349769802</v>
      </c>
      <c r="AK5161">
        <v>13.161680150823001</v>
      </c>
    </row>
    <row r="5162" spans="1:37" x14ac:dyDescent="0.2">
      <c r="A5162" t="str">
        <f>"20200111153533816"</f>
        <v>20200111153533816</v>
      </c>
      <c r="B5162" t="str">
        <f>"1578728133810510"</f>
        <v>1578728133810510</v>
      </c>
      <c r="C5162" t="s">
        <v>37</v>
      </c>
      <c r="D5162">
        <v>5.3175410000000003</v>
      </c>
      <c r="E5162">
        <v>0.63035569999999996</v>
      </c>
      <c r="F5162" t="s">
        <v>39</v>
      </c>
      <c r="G5162">
        <v>-304.69619999999998</v>
      </c>
      <c r="H5162" s="1">
        <v>-4.1382520000000002E-6</v>
      </c>
      <c r="I5162">
        <v>-2.9427759999999998</v>
      </c>
      <c r="J5162">
        <v>-308.09960000000001</v>
      </c>
      <c r="K5162">
        <v>1.0447660000000001</v>
      </c>
      <c r="L5162">
        <v>9.8945310000000006</v>
      </c>
      <c r="M5162">
        <v>0.68415590000000004</v>
      </c>
      <c r="N5162">
        <v>0</v>
      </c>
      <c r="O5162">
        <v>-0.72917519999999902</v>
      </c>
      <c r="P5162">
        <v>0.55860169999999998</v>
      </c>
      <c r="Q5162">
        <v>5.7437859999999999E-3</v>
      </c>
      <c r="R5162">
        <v>-0.82941599999999904</v>
      </c>
      <c r="S5162">
        <v>0.8332214</v>
      </c>
      <c r="T5162">
        <v>-0.24703320000000001</v>
      </c>
      <c r="U5162">
        <v>-3.0685419999999999</v>
      </c>
      <c r="V5162">
        <v>0.16060729999999901</v>
      </c>
      <c r="W5162">
        <v>1.697632E-2</v>
      </c>
      <c r="X5162">
        <v>0.98687239999999998</v>
      </c>
      <c r="Y5162">
        <v>0.46940670000000001</v>
      </c>
      <c r="Z5162">
        <v>4.3301989999999999E-2</v>
      </c>
      <c r="AA5162">
        <v>0.88191969999999997</v>
      </c>
      <c r="AB5162">
        <v>27</v>
      </c>
      <c r="AC5162">
        <v>3.4034000000000302</v>
      </c>
      <c r="AD5162">
        <v>-1.044770138252</v>
      </c>
      <c r="AE5162">
        <v>-12.837306999999999</v>
      </c>
      <c r="AF5162">
        <v>6.2630231175395901</v>
      </c>
      <c r="AG5162">
        <v>-1.044770138252</v>
      </c>
      <c r="AH5162">
        <v>11.6185685098406</v>
      </c>
      <c r="AI5162">
        <v>94.525786498488202</v>
      </c>
      <c r="AJ5162">
        <v>61.672983732181002</v>
      </c>
      <c r="AK5162">
        <v>13.2403979332374</v>
      </c>
    </row>
    <row r="5163" spans="1:37" x14ac:dyDescent="0.2">
      <c r="A5163" t="str">
        <f>"20200111153533834"</f>
        <v>20200111153533834</v>
      </c>
      <c r="B5163" t="str">
        <f>"1578728133831006"</f>
        <v>1578728133831006</v>
      </c>
      <c r="C5163" t="s">
        <v>37</v>
      </c>
      <c r="D5163">
        <v>5.3017070000000004</v>
      </c>
      <c r="E5163">
        <v>0.63014130000000002</v>
      </c>
      <c r="F5163" t="s">
        <v>39</v>
      </c>
      <c r="G5163">
        <v>-304.63339999999999</v>
      </c>
      <c r="H5163" s="1">
        <v>-3.9884160000000002E-6</v>
      </c>
      <c r="I5163">
        <v>-3.3039419999999899</v>
      </c>
      <c r="J5163">
        <v>-307.9529</v>
      </c>
      <c r="K5163">
        <v>1.04487</v>
      </c>
      <c r="L5163">
        <v>9.7210999999999999</v>
      </c>
      <c r="M5163">
        <v>0.67610409999999999</v>
      </c>
      <c r="N5163">
        <v>0</v>
      </c>
      <c r="O5163">
        <v>-0.73664810000000003</v>
      </c>
      <c r="P5163">
        <v>0.54979019999999901</v>
      </c>
      <c r="Q5163">
        <v>5.4307239999999996E-3</v>
      </c>
      <c r="R5163">
        <v>-0.83528519999999995</v>
      </c>
      <c r="S5163">
        <v>0.80752559999999995</v>
      </c>
      <c r="T5163">
        <v>-0.24339839999999999</v>
      </c>
      <c r="U5163">
        <v>-3.0748289999999998</v>
      </c>
      <c r="V5163">
        <v>0.1602006</v>
      </c>
      <c r="W5163">
        <v>1.6673090000000002E-2</v>
      </c>
      <c r="X5163">
        <v>0.98694369999999998</v>
      </c>
      <c r="Y5163">
        <v>0.46704709999999899</v>
      </c>
      <c r="Z5163">
        <v>4.3471870000000003E-2</v>
      </c>
      <c r="AA5163">
        <v>0.88316319999999904</v>
      </c>
      <c r="AB5163">
        <v>27</v>
      </c>
      <c r="AC5163">
        <v>3.3195000000000001</v>
      </c>
      <c r="AD5163">
        <v>-1.0448739884160001</v>
      </c>
      <c r="AE5163">
        <v>-13.025041999999999</v>
      </c>
      <c r="AF5163">
        <v>6.3235097012108197</v>
      </c>
      <c r="AG5163">
        <v>-1.0448739884160001</v>
      </c>
      <c r="AH5163">
        <v>11.769457710712301</v>
      </c>
      <c r="AI5163">
        <v>94.471734183823898</v>
      </c>
      <c r="AJ5163">
        <v>61.7516925357492</v>
      </c>
      <c r="AK5163">
        <v>13.401442884899399</v>
      </c>
    </row>
    <row r="5164" spans="1:37" x14ac:dyDescent="0.2">
      <c r="A5164" t="str">
        <f>"20200111153533849"</f>
        <v>20200111153533849</v>
      </c>
      <c r="B5164" t="str">
        <f>"1578728133840766"</f>
        <v>1578728133840766</v>
      </c>
      <c r="C5164" t="s">
        <v>37</v>
      </c>
      <c r="D5164">
        <v>5.3494209999999898</v>
      </c>
      <c r="E5164">
        <v>0.62995959999999995</v>
      </c>
      <c r="F5164" t="s">
        <v>39</v>
      </c>
      <c r="G5164">
        <v>-304.59679999999997</v>
      </c>
      <c r="H5164" s="1">
        <v>-3.8662770000000002E-6</v>
      </c>
      <c r="I5164">
        <v>-3.6050900000000001</v>
      </c>
      <c r="J5164">
        <v>-307.8417</v>
      </c>
      <c r="K5164">
        <v>1.044959</v>
      </c>
      <c r="L5164">
        <v>9.5870060000000006</v>
      </c>
      <c r="M5164">
        <v>0.66994169999999997</v>
      </c>
      <c r="N5164">
        <v>0</v>
      </c>
      <c r="O5164">
        <v>-0.74225779999999997</v>
      </c>
      <c r="P5164">
        <v>0.54305349999999997</v>
      </c>
      <c r="Q5164">
        <v>5.5047069999999898E-3</v>
      </c>
      <c r="R5164">
        <v>-0.83968039999999999</v>
      </c>
      <c r="S5164">
        <v>0.77624510000000002</v>
      </c>
      <c r="T5164">
        <v>-0.24167129999999901</v>
      </c>
      <c r="U5164">
        <v>-3.0822449999999999</v>
      </c>
      <c r="V5164">
        <v>0.15991079999999999</v>
      </c>
      <c r="W5164">
        <v>1.6757009999999999E-2</v>
      </c>
      <c r="X5164">
        <v>0.98698920000000001</v>
      </c>
      <c r="Y5164">
        <v>0.468609</v>
      </c>
      <c r="Z5164">
        <v>4.3666219999999999E-2</v>
      </c>
      <c r="AA5164">
        <v>0.88232579999999905</v>
      </c>
      <c r="AB5164">
        <v>27</v>
      </c>
      <c r="AC5164">
        <v>3.2449000000000199</v>
      </c>
      <c r="AD5164">
        <v>-1.0449628662770001</v>
      </c>
      <c r="AE5164">
        <v>-13.192095999999999</v>
      </c>
      <c r="AF5164">
        <v>6.3923072781106596</v>
      </c>
      <c r="AG5164">
        <v>-1.0449628662770001</v>
      </c>
      <c r="AH5164">
        <v>11.8968279553039</v>
      </c>
      <c r="AI5164">
        <v>94.424368443255403</v>
      </c>
      <c r="AJ5164">
        <v>61.750332484918999</v>
      </c>
      <c r="AK5164">
        <v>13.5457762836902</v>
      </c>
    </row>
    <row r="5165" spans="1:37" x14ac:dyDescent="0.2">
      <c r="A5165" t="str">
        <f>"20200111153533869"</f>
        <v>20200111153533869</v>
      </c>
      <c r="B5165" t="str">
        <f>"1578728133861264"</f>
        <v>1578728133861264</v>
      </c>
      <c r="C5165" t="s">
        <v>37</v>
      </c>
      <c r="D5165">
        <v>5.3158199999999898</v>
      </c>
      <c r="E5165">
        <v>0.62926269999999995</v>
      </c>
      <c r="F5165" t="s">
        <v>39</v>
      </c>
      <c r="G5165">
        <v>-304.57780000000002</v>
      </c>
      <c r="H5165" s="1">
        <v>-3.78666999999999E-6</v>
      </c>
      <c r="I5165">
        <v>-3.803642</v>
      </c>
      <c r="J5165">
        <v>-307.68990000000002</v>
      </c>
      <c r="K5165">
        <v>1.045093</v>
      </c>
      <c r="L5165">
        <v>9.4006959999999999</v>
      </c>
      <c r="M5165">
        <v>0.66145399999999999</v>
      </c>
      <c r="N5165">
        <v>0</v>
      </c>
      <c r="O5165">
        <v>-0.74983230000000001</v>
      </c>
      <c r="P5165">
        <v>0.53327469999999999</v>
      </c>
      <c r="Q5165">
        <v>5.8946769999999897E-3</v>
      </c>
      <c r="R5165">
        <v>-0.84592160000000005</v>
      </c>
      <c r="S5165">
        <v>0.75259399999999999</v>
      </c>
      <c r="T5165">
        <v>-0.24095239999999901</v>
      </c>
      <c r="U5165">
        <v>-3.0876769999999998</v>
      </c>
      <c r="V5165">
        <v>0.16013369999999999</v>
      </c>
      <c r="W5165">
        <v>1.714748E-2</v>
      </c>
      <c r="X5165">
        <v>0.9869464</v>
      </c>
      <c r="Y5165">
        <v>0.46530179999999999</v>
      </c>
      <c r="Z5165">
        <v>4.4373830000000003E-2</v>
      </c>
      <c r="AA5165">
        <v>0.88403909999999997</v>
      </c>
      <c r="AB5165">
        <v>27</v>
      </c>
      <c r="AC5165">
        <v>3.1120999999999901</v>
      </c>
      <c r="AD5165">
        <v>-1.0450967866700001</v>
      </c>
      <c r="AE5165">
        <v>-13.204338</v>
      </c>
      <c r="AF5165">
        <v>6.3634800994604497</v>
      </c>
      <c r="AG5165">
        <v>-1.0450967866700001</v>
      </c>
      <c r="AH5165">
        <v>11.8903603127201</v>
      </c>
      <c r="AI5165">
        <v>94.431248109069799</v>
      </c>
      <c r="AJ5165">
        <v>61.8452121474363</v>
      </c>
      <c r="AK5165">
        <v>13.5265211579344</v>
      </c>
    </row>
    <row r="5166" spans="1:37" x14ac:dyDescent="0.2">
      <c r="A5166" t="str">
        <f>"20200111153533890"</f>
        <v>20200111153533890</v>
      </c>
      <c r="B5166" t="str">
        <f>"1578728133880781"</f>
        <v>1578728133880781</v>
      </c>
      <c r="C5166" t="s">
        <v>37</v>
      </c>
      <c r="D5166">
        <v>5.320233</v>
      </c>
      <c r="E5166">
        <v>0.62845099999999998</v>
      </c>
      <c r="F5166" t="s">
        <v>39</v>
      </c>
      <c r="G5166">
        <v>-304.55509999999998</v>
      </c>
      <c r="H5166" s="1">
        <v>-3.6931159999999999E-6</v>
      </c>
      <c r="I5166">
        <v>-4.0367509999999998</v>
      </c>
      <c r="J5166">
        <v>-307.52260000000001</v>
      </c>
      <c r="K5166">
        <v>1.045253</v>
      </c>
      <c r="L5166">
        <v>9.1904299999999992</v>
      </c>
      <c r="M5166">
        <v>0.65199689999999999</v>
      </c>
      <c r="N5166">
        <v>0</v>
      </c>
      <c r="O5166">
        <v>-0.758071099999999</v>
      </c>
      <c r="P5166">
        <v>0.52261689999999905</v>
      </c>
      <c r="Q5166">
        <v>5.8326749999999998E-3</v>
      </c>
      <c r="R5166">
        <v>-0.85254819999999998</v>
      </c>
      <c r="S5166">
        <v>0.72161869999999995</v>
      </c>
      <c r="T5166">
        <v>-0.2405735</v>
      </c>
      <c r="U5166">
        <v>-3.0932009999999899</v>
      </c>
      <c r="V5166">
        <v>0.1601302</v>
      </c>
      <c r="W5166">
        <v>1.7094080000000001E-2</v>
      </c>
      <c r="X5166">
        <v>0.98694789999999999</v>
      </c>
      <c r="Y5166">
        <v>0.46294799999999903</v>
      </c>
      <c r="Z5166">
        <v>4.5197069999999999E-2</v>
      </c>
      <c r="AA5166">
        <v>0.88523240000000003</v>
      </c>
      <c r="AB5166">
        <v>27</v>
      </c>
      <c r="AC5166">
        <v>2.9675000000000198</v>
      </c>
      <c r="AD5166">
        <v>-1.0452566931159999</v>
      </c>
      <c r="AE5166">
        <v>-13.227181</v>
      </c>
      <c r="AF5166">
        <v>6.3375530395856696</v>
      </c>
      <c r="AG5166">
        <v>-1.0452566931159999</v>
      </c>
      <c r="AH5166">
        <v>11.892602985946599</v>
      </c>
      <c r="AI5166">
        <v>94.435276158954395</v>
      </c>
      <c r="AJ5166">
        <v>61.946903060006001</v>
      </c>
      <c r="AK5166">
        <v>13.516328860508301</v>
      </c>
    </row>
    <row r="5167" spans="1:37" x14ac:dyDescent="0.2">
      <c r="A5167" t="str">
        <f>"20200111153533906"</f>
        <v>20200111153533906</v>
      </c>
      <c r="B5167" t="str">
        <f>"1578728133901277"</f>
        <v>1578728133901277</v>
      </c>
      <c r="C5167" t="s">
        <v>37</v>
      </c>
      <c r="D5167">
        <v>5.3393459999999999</v>
      </c>
      <c r="E5167">
        <v>0.62770369999999998</v>
      </c>
      <c r="F5167" t="s">
        <v>39</v>
      </c>
      <c r="G5167">
        <v>-304.56049999999999</v>
      </c>
      <c r="H5167" s="1">
        <v>-3.6545380000000001E-6</v>
      </c>
      <c r="I5167">
        <v>-4.139716</v>
      </c>
      <c r="J5167">
        <v>-307.40800000000002</v>
      </c>
      <c r="K5167">
        <v>1.045364</v>
      </c>
      <c r="L5167">
        <v>9.0434570000000001</v>
      </c>
      <c r="M5167">
        <v>0.64545989999999998</v>
      </c>
      <c r="N5167">
        <v>0</v>
      </c>
      <c r="O5167">
        <v>-0.76364529999999997</v>
      </c>
      <c r="P5167">
        <v>0.51532040000000001</v>
      </c>
      <c r="Q5167">
        <v>5.7485699999999997E-3</v>
      </c>
      <c r="R5167">
        <v>-0.85697849999999998</v>
      </c>
      <c r="S5167">
        <v>0.68850710000000004</v>
      </c>
      <c r="T5167">
        <v>-0.242958799999999</v>
      </c>
      <c r="U5167">
        <v>-3.0984500000000001</v>
      </c>
      <c r="V5167">
        <v>0.16006819999999999</v>
      </c>
      <c r="W5167">
        <v>1.701828E-2</v>
      </c>
      <c r="X5167">
        <v>0.98695929999999998</v>
      </c>
      <c r="Y5167">
        <v>0.464664999999999</v>
      </c>
      <c r="Z5167">
        <v>4.6171959999999998E-2</v>
      </c>
      <c r="AA5167">
        <v>0.88428189999999995</v>
      </c>
      <c r="AB5167">
        <v>27</v>
      </c>
      <c r="AC5167">
        <v>2.8475000000000201</v>
      </c>
      <c r="AD5167">
        <v>-1.045367654538</v>
      </c>
      <c r="AE5167">
        <v>-13.183173</v>
      </c>
      <c r="AF5167">
        <v>6.2976167805540504</v>
      </c>
      <c r="AG5167">
        <v>-1.045367654538</v>
      </c>
      <c r="AH5167">
        <v>11.8354670701712</v>
      </c>
      <c r="AI5167">
        <v>94.458549358343703</v>
      </c>
      <c r="AJ5167">
        <v>61.982690062185902</v>
      </c>
      <c r="AK5167">
        <v>13.447343656536001</v>
      </c>
    </row>
    <row r="5168" spans="1:37" x14ac:dyDescent="0.2">
      <c r="A5168" t="str">
        <f>"20200111153533924"</f>
        <v>20200111153533924</v>
      </c>
      <c r="B5168" t="str">
        <f>"1578728133920799"</f>
        <v>1578728133920799</v>
      </c>
      <c r="C5168" t="s">
        <v>37</v>
      </c>
      <c r="D5168">
        <v>5.3030530000000002</v>
      </c>
      <c r="E5168">
        <v>0.62691660000000005</v>
      </c>
      <c r="F5168" t="s">
        <v>39</v>
      </c>
      <c r="G5168">
        <v>-304.5154</v>
      </c>
      <c r="H5168" s="1">
        <v>-3.5471939999999999E-6</v>
      </c>
      <c r="I5168">
        <v>-4.3984220000000001</v>
      </c>
      <c r="J5168">
        <v>-307.27080000000001</v>
      </c>
      <c r="K5168">
        <v>1.045499</v>
      </c>
      <c r="L5168">
        <v>8.8641970000000008</v>
      </c>
      <c r="M5168">
        <v>0.6375651</v>
      </c>
      <c r="N5168">
        <v>0</v>
      </c>
      <c r="O5168">
        <v>-0.77024979999999998</v>
      </c>
      <c r="P5168">
        <v>0.50705840000000002</v>
      </c>
      <c r="Q5168">
        <v>5.5450809999999899E-3</v>
      </c>
      <c r="R5168">
        <v>-0.86189419999999894</v>
      </c>
      <c r="S5168">
        <v>0.66732789999999997</v>
      </c>
      <c r="T5168">
        <v>-0.24116650000000001</v>
      </c>
      <c r="U5168">
        <v>-3.1010439999999999</v>
      </c>
      <c r="V5168">
        <v>0.15938579999999999</v>
      </c>
      <c r="W5168">
        <v>1.6840919999999999E-2</v>
      </c>
      <c r="X5168">
        <v>0.98707269999999903</v>
      </c>
      <c r="Y5168">
        <v>0.46147489999999902</v>
      </c>
      <c r="Z5168">
        <v>4.6601679999999999E-2</v>
      </c>
      <c r="AA5168">
        <v>0.88592850000000001</v>
      </c>
      <c r="AB5168">
        <v>27</v>
      </c>
      <c r="AC5168">
        <v>2.7553999999999998</v>
      </c>
      <c r="AD5168">
        <v>-1.045502547194</v>
      </c>
      <c r="AE5168">
        <v>-13.262619000000001</v>
      </c>
      <c r="AF5168">
        <v>6.2966423511578196</v>
      </c>
      <c r="AG5168">
        <v>-1.045502547194</v>
      </c>
      <c r="AH5168">
        <v>11.9027230800185</v>
      </c>
      <c r="AI5168">
        <v>94.439677571621303</v>
      </c>
      <c r="AJ5168">
        <v>62.120776627425698</v>
      </c>
      <c r="AK5168">
        <v>13.506131836843201</v>
      </c>
    </row>
    <row r="5169" spans="1:37" x14ac:dyDescent="0.2">
      <c r="A5169" t="str">
        <f>"20200111153533947"</f>
        <v>20200111153533947</v>
      </c>
      <c r="B5169" t="str">
        <f>"1578728133941296"</f>
        <v>1578728133941296</v>
      </c>
      <c r="C5169" t="s">
        <v>37</v>
      </c>
      <c r="D5169">
        <v>5.3191329999999999</v>
      </c>
      <c r="E5169">
        <v>0.62611539999999999</v>
      </c>
      <c r="F5169" t="s">
        <v>39</v>
      </c>
      <c r="G5169">
        <v>-304.49759999999998</v>
      </c>
      <c r="H5169" s="1">
        <v>-3.493165E-6</v>
      </c>
      <c r="I5169">
        <v>-4.5308739999999998</v>
      </c>
      <c r="J5169">
        <v>-307.10590000000002</v>
      </c>
      <c r="K5169">
        <v>1.0456620000000001</v>
      </c>
      <c r="L5169">
        <v>8.6436460000000004</v>
      </c>
      <c r="M5169">
        <v>0.62798199999999904</v>
      </c>
      <c r="N5169">
        <v>0</v>
      </c>
      <c r="O5169">
        <v>-0.77808339999999998</v>
      </c>
      <c r="P5169">
        <v>0.49653399999999998</v>
      </c>
      <c r="Q5169">
        <v>6.0201899999999999E-3</v>
      </c>
      <c r="R5169">
        <v>-0.86799649999999995</v>
      </c>
      <c r="S5169">
        <v>0.64266969999999901</v>
      </c>
      <c r="T5169">
        <v>-0.24228330000000001</v>
      </c>
      <c r="U5169">
        <v>-3.1041560000000001</v>
      </c>
      <c r="V5169">
        <v>0.1591776</v>
      </c>
      <c r="W5169">
        <v>1.7331989999999999E-2</v>
      </c>
      <c r="X5169">
        <v>0.98709780000000003</v>
      </c>
      <c r="Y5169">
        <v>0.45742169999999999</v>
      </c>
      <c r="Z5169">
        <v>4.7737370000000001E-2</v>
      </c>
      <c r="AA5169">
        <v>0.88796759999999997</v>
      </c>
      <c r="AB5169">
        <v>27</v>
      </c>
      <c r="AC5169">
        <v>2.6083000000000398</v>
      </c>
      <c r="AD5169">
        <v>-1.045665493165</v>
      </c>
      <c r="AE5169">
        <v>-13.174519999999999</v>
      </c>
      <c r="AF5169">
        <v>6.2069617015110801</v>
      </c>
      <c r="AG5169">
        <v>-1.045665493165</v>
      </c>
      <c r="AH5169">
        <v>11.818533131205999</v>
      </c>
      <c r="AI5169">
        <v>94.478892883286306</v>
      </c>
      <c r="AJ5169">
        <v>62.292045958135198</v>
      </c>
      <c r="AK5169">
        <v>13.390202211357201</v>
      </c>
    </row>
    <row r="5170" spans="1:37" x14ac:dyDescent="0.2">
      <c r="A5170" t="str">
        <f>"20200111153533968"</f>
        <v>20200111153533968</v>
      </c>
      <c r="B5170" t="str">
        <f>"1578728133960826"</f>
        <v>1578728133960826</v>
      </c>
      <c r="C5170" t="s">
        <v>37</v>
      </c>
      <c r="D5170">
        <v>5.3050980000000001</v>
      </c>
      <c r="E5170">
        <v>0.62519789999999997</v>
      </c>
      <c r="F5170" t="s">
        <v>39</v>
      </c>
      <c r="G5170">
        <v>-304.45420000000001</v>
      </c>
      <c r="H5170" s="1">
        <v>-3.3631619999999899E-6</v>
      </c>
      <c r="I5170">
        <v>-4.8493930000000001</v>
      </c>
      <c r="J5170">
        <v>-306.95</v>
      </c>
      <c r="K5170">
        <v>1.045806</v>
      </c>
      <c r="L5170">
        <v>8.4302060000000001</v>
      </c>
      <c r="M5170">
        <v>0.61882819999999905</v>
      </c>
      <c r="N5170">
        <v>0</v>
      </c>
      <c r="O5170">
        <v>-0.78538459999999999</v>
      </c>
      <c r="P5170">
        <v>0.48635630000000002</v>
      </c>
      <c r="Q5170">
        <v>6.3855789999999997E-3</v>
      </c>
      <c r="R5170">
        <v>-0.87373769999999995</v>
      </c>
      <c r="S5170">
        <v>0.61087040000000004</v>
      </c>
      <c r="T5170">
        <v>-0.2408952</v>
      </c>
      <c r="U5170">
        <v>-3.1084589999999999</v>
      </c>
      <c r="V5170">
        <v>0.15915360000000001</v>
      </c>
      <c r="W5170">
        <v>1.770625E-2</v>
      </c>
      <c r="X5170">
        <v>0.987095099999999</v>
      </c>
      <c r="Y5170">
        <v>0.45598729999999998</v>
      </c>
      <c r="Z5170">
        <v>4.825724E-2</v>
      </c>
      <c r="AA5170">
        <v>0.88867700000000005</v>
      </c>
      <c r="AB5170">
        <v>27</v>
      </c>
      <c r="AC5170">
        <v>2.4957999999999698</v>
      </c>
      <c r="AD5170">
        <v>-1.045809363162</v>
      </c>
      <c r="AE5170">
        <v>-13.279598999999999</v>
      </c>
      <c r="AF5170">
        <v>6.2210573888723397</v>
      </c>
      <c r="AG5170">
        <v>-1.045809363162</v>
      </c>
      <c r="AH5170">
        <v>11.904086588602899</v>
      </c>
      <c r="AI5170">
        <v>94.452161701988004</v>
      </c>
      <c r="AJ5170">
        <v>62.4085007267458</v>
      </c>
      <c r="AK5170">
        <v>13.4722882157663</v>
      </c>
    </row>
    <row r="5171" spans="1:37" x14ac:dyDescent="0.2">
      <c r="A5171" t="str">
        <f>"20200111153533986"</f>
        <v>20200111153533986</v>
      </c>
      <c r="B5171" t="str">
        <f>"1578728133981310"</f>
        <v>1578728133981310</v>
      </c>
      <c r="C5171" t="s">
        <v>37</v>
      </c>
      <c r="D5171">
        <v>5.3101419999999999</v>
      </c>
      <c r="E5171">
        <v>0.62426870000000001</v>
      </c>
      <c r="F5171" t="s">
        <v>39</v>
      </c>
      <c r="G5171">
        <v>-304.42759999999998</v>
      </c>
      <c r="H5171" s="1">
        <v>-3.2552120000000001E-6</v>
      </c>
      <c r="I5171">
        <v>-5.0685469999999997</v>
      </c>
      <c r="J5171">
        <v>-306.8338</v>
      </c>
      <c r="K5171">
        <v>1.045914</v>
      </c>
      <c r="L5171">
        <v>8.2677610000000001</v>
      </c>
      <c r="M5171">
        <v>0.6119348</v>
      </c>
      <c r="N5171">
        <v>0</v>
      </c>
      <c r="O5171">
        <v>-0.79076769999999996</v>
      </c>
      <c r="P5171">
        <v>0.47893799999999997</v>
      </c>
      <c r="Q5171">
        <v>6.301943E-3</v>
      </c>
      <c r="R5171">
        <v>-0.87782629999999995</v>
      </c>
      <c r="S5171">
        <v>0.58145139999999995</v>
      </c>
      <c r="T5171">
        <v>-0.24107219999999999</v>
      </c>
      <c r="U5171">
        <v>-3.1116329999999999</v>
      </c>
      <c r="V5171">
        <v>0.1588736</v>
      </c>
      <c r="W5171">
        <v>1.7635689999999999E-2</v>
      </c>
      <c r="X5171">
        <v>0.98714139999999995</v>
      </c>
      <c r="Y5171">
        <v>0.45648339999999998</v>
      </c>
      <c r="Z5171">
        <v>4.8850270000000001E-2</v>
      </c>
      <c r="AA5171">
        <v>0.88838989999999995</v>
      </c>
      <c r="AB5171">
        <v>27</v>
      </c>
      <c r="AC5171">
        <v>2.4062000000000099</v>
      </c>
      <c r="AD5171">
        <v>-1.045917255212</v>
      </c>
      <c r="AE5171">
        <v>-13.336307999999899</v>
      </c>
      <c r="AF5171">
        <v>6.2218391908655599</v>
      </c>
      <c r="AG5171">
        <v>-1.045917255212</v>
      </c>
      <c r="AH5171">
        <v>11.948520233651401</v>
      </c>
      <c r="AI5171">
        <v>94.439531102918494</v>
      </c>
      <c r="AJ5171">
        <v>62.493083891553603</v>
      </c>
      <c r="AK5171">
        <v>13.5119340434935</v>
      </c>
    </row>
    <row r="5172" spans="1:37" x14ac:dyDescent="0.2">
      <c r="A5172" t="str">
        <f>"20200111153534002"</f>
        <v>20200111153534002</v>
      </c>
      <c r="B5172" t="str">
        <f>"1578728133991070"</f>
        <v>1578728133991070</v>
      </c>
      <c r="C5172" t="s">
        <v>37</v>
      </c>
      <c r="D5172">
        <v>5.3386680000000002</v>
      </c>
      <c r="E5172">
        <v>0.62371049999999995</v>
      </c>
      <c r="F5172" t="s">
        <v>39</v>
      </c>
      <c r="G5172">
        <v>-304.3956</v>
      </c>
      <c r="H5172" s="1">
        <v>-3.1680910000000002E-6</v>
      </c>
      <c r="I5172">
        <v>-5.2348369999999997</v>
      </c>
      <c r="J5172">
        <v>-306.71379999999999</v>
      </c>
      <c r="K5172">
        <v>1.0460259999999999</v>
      </c>
      <c r="L5172">
        <v>8.097137</v>
      </c>
      <c r="M5172">
        <v>0.60476390000000002</v>
      </c>
      <c r="N5172">
        <v>0</v>
      </c>
      <c r="O5172">
        <v>-0.79626589999999997</v>
      </c>
      <c r="P5172">
        <v>0.47157719999999997</v>
      </c>
      <c r="Q5172">
        <v>5.869361E-3</v>
      </c>
      <c r="R5172">
        <v>-0.88180550000000002</v>
      </c>
      <c r="S5172">
        <v>0.56204219999999905</v>
      </c>
      <c r="T5172">
        <v>-0.24110419999999999</v>
      </c>
      <c r="U5172">
        <v>-3.1126099999999899</v>
      </c>
      <c r="V5172">
        <v>0.15819859999999999</v>
      </c>
      <c r="W5172">
        <v>1.7225669999999998E-2</v>
      </c>
      <c r="X5172">
        <v>0.9872571</v>
      </c>
      <c r="Y5172">
        <v>0.45385749999999903</v>
      </c>
      <c r="Z5172">
        <v>4.9516770000000002E-2</v>
      </c>
      <c r="AA5172">
        <v>0.88969739999999997</v>
      </c>
      <c r="AB5172">
        <v>27</v>
      </c>
      <c r="AC5172">
        <v>2.3181999999999898</v>
      </c>
      <c r="AD5172">
        <v>-1.0460291680910001</v>
      </c>
      <c r="AE5172">
        <v>-13.331974000000001</v>
      </c>
      <c r="AF5172">
        <v>6.1805499438711999</v>
      </c>
      <c r="AG5172">
        <v>-1.0460291680910001</v>
      </c>
      <c r="AH5172">
        <v>11.947698081270699</v>
      </c>
      <c r="AI5172">
        <v>94.446497041971597</v>
      </c>
      <c r="AJ5172">
        <v>62.6474528238044</v>
      </c>
      <c r="AK5172">
        <v>13.4922520014408</v>
      </c>
    </row>
    <row r="5173" spans="1:37" x14ac:dyDescent="0.2">
      <c r="A5173" t="str">
        <f>"20200111153534017"</f>
        <v>20200111153534017</v>
      </c>
      <c r="B5173" t="str">
        <f>"1578728134010590"</f>
        <v>1578728134010590</v>
      </c>
      <c r="C5173" t="s">
        <v>37</v>
      </c>
      <c r="D5173">
        <v>5.3432050000000002</v>
      </c>
      <c r="E5173">
        <v>0.62277360000000004</v>
      </c>
      <c r="F5173" t="s">
        <v>39</v>
      </c>
      <c r="G5173">
        <v>-304.39150000000001</v>
      </c>
      <c r="H5173" s="1">
        <v>-3.1306289999999999E-6</v>
      </c>
      <c r="I5173">
        <v>-5.3117839999999896</v>
      </c>
      <c r="J5173">
        <v>-306.6053</v>
      </c>
      <c r="K5173">
        <v>1.0461259999999999</v>
      </c>
      <c r="L5173">
        <v>7.9400630000000003</v>
      </c>
      <c r="M5173">
        <v>0.59822390000000003</v>
      </c>
      <c r="N5173">
        <v>0</v>
      </c>
      <c r="O5173">
        <v>-0.80119180000000001</v>
      </c>
      <c r="P5173">
        <v>0.46466409999999903</v>
      </c>
      <c r="Q5173">
        <v>5.9762959999999999E-3</v>
      </c>
      <c r="R5173">
        <v>-0.88546729999999996</v>
      </c>
      <c r="S5173">
        <v>0.53952029999999995</v>
      </c>
      <c r="T5173">
        <v>-0.24301679999999901</v>
      </c>
      <c r="U5173">
        <v>-3.1152039999999999</v>
      </c>
      <c r="V5173">
        <v>0.15783529999999901</v>
      </c>
      <c r="W5173">
        <v>1.734724E-2</v>
      </c>
      <c r="X5173">
        <v>0.98731309999999906</v>
      </c>
      <c r="Y5173">
        <v>0.45293519999999998</v>
      </c>
      <c r="Z5173">
        <v>5.0451620000000003E-2</v>
      </c>
      <c r="AA5173">
        <v>0.89011479999999998</v>
      </c>
      <c r="AB5173">
        <v>27</v>
      </c>
      <c r="AC5173">
        <v>2.2137999999999902</v>
      </c>
      <c r="AD5173">
        <v>-1.0461291306289999</v>
      </c>
      <c r="AE5173">
        <v>-13.251847</v>
      </c>
      <c r="AF5173">
        <v>6.1174815644218201</v>
      </c>
      <c r="AG5173">
        <v>-1.0461291306289999</v>
      </c>
      <c r="AH5173">
        <v>11.8709625282809</v>
      </c>
      <c r="AI5173">
        <v>94.479128358456705</v>
      </c>
      <c r="AJ5173">
        <v>62.736520170195298</v>
      </c>
      <c r="AK5173">
        <v>13.3954364690681</v>
      </c>
    </row>
    <row r="5174" spans="1:37" x14ac:dyDescent="0.2">
      <c r="A5174" t="str">
        <f>"20200111153534036"</f>
        <v>20200111153534036</v>
      </c>
      <c r="B5174" t="str">
        <f>"1578728134031088"</f>
        <v>1578728134031088</v>
      </c>
      <c r="C5174" t="s">
        <v>37</v>
      </c>
      <c r="D5174">
        <v>5.3440279999999998</v>
      </c>
      <c r="E5174">
        <v>0.60414219999999996</v>
      </c>
      <c r="F5174" t="s">
        <v>39</v>
      </c>
      <c r="G5174">
        <v>-304.35829999999999</v>
      </c>
      <c r="H5174" s="1">
        <v>-3.0433900000000001E-6</v>
      </c>
      <c r="I5174">
        <v>-5.4776379999999998</v>
      </c>
      <c r="J5174">
        <v>-306.47879999999998</v>
      </c>
      <c r="K5174">
        <v>1.0462400000000001</v>
      </c>
      <c r="L5174">
        <v>7.7534479999999997</v>
      </c>
      <c r="M5174">
        <v>0.59053800000000001</v>
      </c>
      <c r="N5174">
        <v>0</v>
      </c>
      <c r="O5174">
        <v>-0.80687410000000004</v>
      </c>
      <c r="P5174">
        <v>0.4563875</v>
      </c>
      <c r="Q5174">
        <v>6.580626E-3</v>
      </c>
      <c r="R5174">
        <v>-0.88975689999999996</v>
      </c>
      <c r="S5174">
        <v>0.52178959999999996</v>
      </c>
      <c r="T5174">
        <v>-0.24293339999999999</v>
      </c>
      <c r="U5174">
        <v>-3.115875</v>
      </c>
      <c r="V5174">
        <v>0.15760739999999901</v>
      </c>
      <c r="W5174">
        <v>1.7963219999999998E-2</v>
      </c>
      <c r="X5174">
        <v>0.98733839999999995</v>
      </c>
      <c r="Y5174">
        <v>0.44937179999999999</v>
      </c>
      <c r="Z5174">
        <v>5.114308E-2</v>
      </c>
      <c r="AA5174">
        <v>0.89187969999999905</v>
      </c>
      <c r="AB5174">
        <v>27</v>
      </c>
      <c r="AC5174">
        <v>2.1204999999999901</v>
      </c>
      <c r="AD5174">
        <v>-1.0462430433900001</v>
      </c>
      <c r="AE5174">
        <v>-13.231085999999999</v>
      </c>
      <c r="AF5174">
        <v>6.0661703839402197</v>
      </c>
      <c r="AG5174">
        <v>-1.0462430433900001</v>
      </c>
      <c r="AH5174">
        <v>11.857079849088899</v>
      </c>
      <c r="AI5174">
        <v>94.491601619343399</v>
      </c>
      <c r="AJ5174">
        <v>62.905376458979703</v>
      </c>
      <c r="AK5174">
        <v>13.3597675945544</v>
      </c>
    </row>
    <row r="5175" spans="1:37" x14ac:dyDescent="0.2">
      <c r="A5175" t="str">
        <f>"20200111153534058"</f>
        <v>20200111153534058</v>
      </c>
      <c r="B5175" t="str">
        <f>"1578728134050605"</f>
        <v>1578728134050605</v>
      </c>
      <c r="C5175" t="s">
        <v>37</v>
      </c>
      <c r="D5175">
        <v>5.2933269999999997</v>
      </c>
      <c r="E5175">
        <v>0.60323130000000003</v>
      </c>
      <c r="F5175" t="s">
        <v>39</v>
      </c>
      <c r="G5175">
        <v>-303.65249999999997</v>
      </c>
      <c r="H5175" s="1">
        <v>-2.5872949999999998E-6</v>
      </c>
      <c r="I5175">
        <v>-6.04521</v>
      </c>
      <c r="J5175">
        <v>-306.33019999999999</v>
      </c>
      <c r="K5175">
        <v>1.0463830000000001</v>
      </c>
      <c r="L5175">
        <v>7.5295100000000001</v>
      </c>
      <c r="M5175">
        <v>0.58141279999999995</v>
      </c>
      <c r="N5175">
        <v>0</v>
      </c>
      <c r="O5175">
        <v>-0.8134749</v>
      </c>
      <c r="P5175">
        <v>0.44634469999999998</v>
      </c>
      <c r="Q5175">
        <v>6.597416E-3</v>
      </c>
      <c r="R5175">
        <v>-0.89483709999999905</v>
      </c>
      <c r="S5175">
        <v>0.62527469999999996</v>
      </c>
      <c r="T5175">
        <v>-0.23146230000000001</v>
      </c>
      <c r="U5175">
        <v>-3.0527039999999999</v>
      </c>
      <c r="V5175">
        <v>0.15759229999999999</v>
      </c>
      <c r="W5175">
        <v>1.798992E-2</v>
      </c>
      <c r="X5175">
        <v>0.98734040000000001</v>
      </c>
      <c r="Y5175">
        <v>0.40664099999999997</v>
      </c>
      <c r="Z5175">
        <v>5.1131339999999997E-2</v>
      </c>
      <c r="AA5175">
        <v>0.91215599999999997</v>
      </c>
      <c r="AB5175">
        <v>27</v>
      </c>
      <c r="AC5175">
        <v>2.67770000000001</v>
      </c>
      <c r="AD5175">
        <v>-1.0463855872950001</v>
      </c>
      <c r="AE5175">
        <v>-13.574719999999999</v>
      </c>
      <c r="AF5175">
        <v>5.6823970471870098</v>
      </c>
      <c r="AG5175">
        <v>-1.0463855872950001</v>
      </c>
      <c r="AH5175">
        <v>12.529256280482</v>
      </c>
      <c r="AI5175">
        <v>94.349466103190395</v>
      </c>
      <c r="AJ5175">
        <v>65.604269304637398</v>
      </c>
      <c r="AK5175">
        <v>13.797348366304799</v>
      </c>
    </row>
    <row r="5176" spans="1:37" x14ac:dyDescent="0.2">
      <c r="A5176" t="str">
        <f>"20200111153534080"</f>
        <v>20200111153534080</v>
      </c>
      <c r="B5176" t="str">
        <f>"1578728134071101"</f>
        <v>1578728134071101</v>
      </c>
      <c r="C5176" t="s">
        <v>37</v>
      </c>
      <c r="D5176">
        <v>5.2994810000000001</v>
      </c>
      <c r="E5176">
        <v>0.60190279999999996</v>
      </c>
      <c r="F5176" t="s">
        <v>39</v>
      </c>
      <c r="G5176">
        <v>-303.67419999999998</v>
      </c>
      <c r="H5176" s="1">
        <v>-2.588566E-6</v>
      </c>
      <c r="I5176">
        <v>-6.054729</v>
      </c>
      <c r="J5176">
        <v>-306.18729999999999</v>
      </c>
      <c r="K5176">
        <v>1.0465260000000001</v>
      </c>
      <c r="L5176">
        <v>7.3089899999999997</v>
      </c>
      <c r="M5176">
        <v>0.57255269999999903</v>
      </c>
      <c r="N5176">
        <v>0</v>
      </c>
      <c r="O5176">
        <v>-0.81973609999999897</v>
      </c>
      <c r="P5176">
        <v>0.4369323</v>
      </c>
      <c r="Q5176">
        <v>6.6820719999999998E-3</v>
      </c>
      <c r="R5176">
        <v>-0.89947029999999994</v>
      </c>
      <c r="S5176">
        <v>0.59756469999999995</v>
      </c>
      <c r="T5176">
        <v>-0.2354205</v>
      </c>
      <c r="U5176">
        <v>-3.056244</v>
      </c>
      <c r="V5176">
        <v>0.1572326</v>
      </c>
      <c r="W5176">
        <v>1.8092899999999999E-2</v>
      </c>
      <c r="X5176">
        <v>0.98739580000000005</v>
      </c>
      <c r="Y5176">
        <v>0.40490199999999998</v>
      </c>
      <c r="Z5176">
        <v>5.2690479999999998E-2</v>
      </c>
      <c r="AA5176">
        <v>0.91284069999999995</v>
      </c>
      <c r="AB5176">
        <v>27</v>
      </c>
      <c r="AC5176">
        <v>2.5131000000000001</v>
      </c>
      <c r="AD5176">
        <v>-1.0465285885660001</v>
      </c>
      <c r="AE5176">
        <v>-13.363719</v>
      </c>
      <c r="AF5176">
        <v>5.5590318344162997</v>
      </c>
      <c r="AG5176">
        <v>-1.0465285885660001</v>
      </c>
      <c r="AH5176">
        <v>12.321959544200601</v>
      </c>
      <c r="AI5176">
        <v>94.4268948555668</v>
      </c>
      <c r="AJ5176">
        <v>65.717562066061703</v>
      </c>
      <c r="AK5176">
        <v>13.558345917981899</v>
      </c>
    </row>
    <row r="5177" spans="1:37" x14ac:dyDescent="0.2">
      <c r="A5177" t="str">
        <f>"20200111153534103"</f>
        <v>20200111153534103</v>
      </c>
      <c r="B5177" t="str">
        <f>"1578728134090622"</f>
        <v>1578728134090622</v>
      </c>
      <c r="C5177" t="s">
        <v>37</v>
      </c>
      <c r="D5177">
        <v>5.2962819999999997</v>
      </c>
      <c r="E5177">
        <v>0.60042450000000003</v>
      </c>
      <c r="F5177" t="s">
        <v>39</v>
      </c>
      <c r="G5177">
        <v>-303.66269999999997</v>
      </c>
      <c r="H5177" s="1">
        <v>-2.5601209999999998E-6</v>
      </c>
      <c r="I5177">
        <v>-6.1084519999999998</v>
      </c>
      <c r="J5177">
        <v>-306.04320000000001</v>
      </c>
      <c r="K5177">
        <v>1.046665</v>
      </c>
      <c r="L5177">
        <v>7.0812679999999997</v>
      </c>
      <c r="M5177">
        <v>0.56351669999999998</v>
      </c>
      <c r="N5177">
        <v>0</v>
      </c>
      <c r="O5177">
        <v>-0.8259744</v>
      </c>
      <c r="P5177">
        <v>0.42772259999999901</v>
      </c>
      <c r="Q5177">
        <v>6.51513099999999E-3</v>
      </c>
      <c r="R5177">
        <v>-0.90388659999999998</v>
      </c>
      <c r="S5177">
        <v>0.57531739999999998</v>
      </c>
      <c r="T5177">
        <v>-0.23848440000000001</v>
      </c>
      <c r="U5177">
        <v>-3.0575869999999998</v>
      </c>
      <c r="V5177">
        <v>0.15646499999999999</v>
      </c>
      <c r="W5177">
        <v>1.7953690000000001E-2</v>
      </c>
      <c r="X5177">
        <v>0.98752030000000002</v>
      </c>
      <c r="Y5177">
        <v>0.40135419999999999</v>
      </c>
      <c r="Z5177">
        <v>5.4131329999999998E-2</v>
      </c>
      <c r="AA5177">
        <v>0.91432199999999997</v>
      </c>
      <c r="AB5177">
        <v>27</v>
      </c>
      <c r="AC5177">
        <v>2.38050000000004</v>
      </c>
      <c r="AD5177">
        <v>-1.046667560121</v>
      </c>
      <c r="AE5177">
        <v>-13.189719999999999</v>
      </c>
      <c r="AF5177">
        <v>5.4338452766233099</v>
      </c>
      <c r="AG5177">
        <v>-1.046667560121</v>
      </c>
      <c r="AH5177">
        <v>12.1629632407994</v>
      </c>
      <c r="AI5177">
        <v>94.492463563515102</v>
      </c>
      <c r="AJ5177">
        <v>65.927133560503606</v>
      </c>
      <c r="AK5177">
        <v>13.3626293171938</v>
      </c>
    </row>
    <row r="5178" spans="1:37" x14ac:dyDescent="0.2">
      <c r="A5178" t="str">
        <f>"20200111153534125"</f>
        <v>20200111153534125</v>
      </c>
      <c r="B5178" t="str">
        <f>"1578728134120877"</f>
        <v>1578728134120877</v>
      </c>
      <c r="C5178" t="s">
        <v>37</v>
      </c>
      <c r="D5178">
        <v>5.2734809999999896</v>
      </c>
      <c r="E5178">
        <v>0.59174969999999905</v>
      </c>
      <c r="F5178" t="s">
        <v>39</v>
      </c>
      <c r="G5178">
        <v>-303.64659999999998</v>
      </c>
      <c r="H5178" s="1">
        <v>-2.5438839999999999E-6</v>
      </c>
      <c r="I5178">
        <v>-6.1337539999999997</v>
      </c>
      <c r="J5178">
        <v>-305.8965</v>
      </c>
      <c r="K5178">
        <v>1.046797</v>
      </c>
      <c r="L5178">
        <v>6.8439329999999998</v>
      </c>
      <c r="M5178">
        <v>0.55419790000000002</v>
      </c>
      <c r="N5178">
        <v>0</v>
      </c>
      <c r="O5178">
        <v>-0.83225640000000001</v>
      </c>
      <c r="P5178">
        <v>0.4179947</v>
      </c>
      <c r="Q5178">
        <v>6.2667479999999999E-3</v>
      </c>
      <c r="R5178">
        <v>-0.90842809999999896</v>
      </c>
      <c r="S5178">
        <v>0.55462650000000002</v>
      </c>
      <c r="T5178">
        <v>-0.2422251</v>
      </c>
      <c r="U5178">
        <v>-3.0582889999999998</v>
      </c>
      <c r="V5178">
        <v>0.15595680000000001</v>
      </c>
      <c r="W5178">
        <v>1.772342E-2</v>
      </c>
      <c r="X5178">
        <v>0.98760490000000001</v>
      </c>
      <c r="Y5178">
        <v>0.39709149999999999</v>
      </c>
      <c r="Z5178">
        <v>5.5773620000000003E-2</v>
      </c>
      <c r="AA5178">
        <v>0.91608279999999997</v>
      </c>
      <c r="AB5178">
        <v>27</v>
      </c>
      <c r="AC5178">
        <v>2.2499000000000202</v>
      </c>
      <c r="AD5178">
        <v>-1.0467995438840001</v>
      </c>
      <c r="AE5178">
        <v>-12.977687</v>
      </c>
      <c r="AF5178">
        <v>5.2868881822441001</v>
      </c>
      <c r="AG5178">
        <v>-1.0467995438840001</v>
      </c>
      <c r="AH5178">
        <v>11.9733134752876</v>
      </c>
      <c r="AI5178">
        <v>94.572666930096801</v>
      </c>
      <c r="AJ5178">
        <v>66.175857374971301</v>
      </c>
      <c r="AK5178">
        <v>13.1303926641259</v>
      </c>
    </row>
    <row r="5179" spans="1:37" x14ac:dyDescent="0.2">
      <c r="A5179" t="str">
        <f>"20200111153534148"</f>
        <v>20200111153534148</v>
      </c>
      <c r="B5179" t="str">
        <f>"1578728134141377"</f>
        <v>1578728134141377</v>
      </c>
      <c r="C5179" t="s">
        <v>37</v>
      </c>
      <c r="D5179">
        <v>5.2761769999999997</v>
      </c>
      <c r="E5179">
        <v>0.5901132</v>
      </c>
      <c r="F5179" t="s">
        <v>39</v>
      </c>
      <c r="G5179">
        <v>-303.53109999999998</v>
      </c>
      <c r="H5179" s="1">
        <v>-2.8445329999999999E-6</v>
      </c>
      <c r="I5179">
        <v>-5.4327249999999996</v>
      </c>
      <c r="J5179">
        <v>-305.75569999999999</v>
      </c>
      <c r="K5179">
        <v>1.0469109999999999</v>
      </c>
      <c r="L5179">
        <v>6.6108699999999896</v>
      </c>
      <c r="M5179">
        <v>0.5451414</v>
      </c>
      <c r="N5179">
        <v>0</v>
      </c>
      <c r="O5179">
        <v>-0.83821710000000005</v>
      </c>
      <c r="P5179">
        <v>0.40822259999999999</v>
      </c>
      <c r="Q5179">
        <v>6.5785699999999997E-3</v>
      </c>
      <c r="R5179">
        <v>-0.91285890000000003</v>
      </c>
      <c r="S5179">
        <v>0.58477780000000001</v>
      </c>
      <c r="T5179">
        <v>-0.25879760000000002</v>
      </c>
      <c r="U5179">
        <v>-3.035126</v>
      </c>
      <c r="V5179">
        <v>0.15584500000000001</v>
      </c>
      <c r="W5179">
        <v>1.8044270000000001E-2</v>
      </c>
      <c r="X5179">
        <v>0.98761669999999901</v>
      </c>
      <c r="Y5179">
        <v>0.3770946</v>
      </c>
      <c r="Z5179">
        <v>6.1063899999999997E-2</v>
      </c>
      <c r="AA5179">
        <v>0.92415949999999902</v>
      </c>
      <c r="AB5179">
        <v>27</v>
      </c>
      <c r="AC5179">
        <v>2.2246000000000001</v>
      </c>
      <c r="AD5179">
        <v>-1.046913844533</v>
      </c>
      <c r="AE5179">
        <v>-12.043595</v>
      </c>
      <c r="AF5179">
        <v>4.6671621023262597</v>
      </c>
      <c r="AG5179">
        <v>-1.046913844533</v>
      </c>
      <c r="AH5179">
        <v>11.2270370307838</v>
      </c>
      <c r="AI5179">
        <v>94.921349691217401</v>
      </c>
      <c r="AJ5179">
        <v>67.426983645617398</v>
      </c>
      <c r="AK5179">
        <v>12.203474553497299</v>
      </c>
    </row>
    <row r="5180" spans="1:37" x14ac:dyDescent="0.2">
      <c r="A5180" t="str">
        <f>"20200111153534169"</f>
        <v>20200111153534169</v>
      </c>
      <c r="B5180" t="str">
        <f>"1578728134160893"</f>
        <v>1578728134160893</v>
      </c>
      <c r="C5180" t="s">
        <v>37</v>
      </c>
      <c r="D5180">
        <v>5.2910579999999996</v>
      </c>
      <c r="E5180">
        <v>0.58829670000000001</v>
      </c>
      <c r="F5180" t="s">
        <v>39</v>
      </c>
      <c r="G5180">
        <v>-303.45400000000001</v>
      </c>
      <c r="H5180" s="1">
        <v>-2.675751E-6</v>
      </c>
      <c r="I5180">
        <v>-5.746378</v>
      </c>
      <c r="J5180">
        <v>-305.62490000000003</v>
      </c>
      <c r="K5180">
        <v>1.0470059999999899</v>
      </c>
      <c r="L5180">
        <v>6.3893129999999996</v>
      </c>
      <c r="M5180">
        <v>0.53662589999999999</v>
      </c>
      <c r="N5180">
        <v>0</v>
      </c>
      <c r="O5180">
        <v>-0.84369459999999996</v>
      </c>
      <c r="P5180">
        <v>0.39959939999999999</v>
      </c>
      <c r="Q5180">
        <v>5.5669169999999898E-3</v>
      </c>
      <c r="R5180">
        <v>-0.91667319999999997</v>
      </c>
      <c r="S5180">
        <v>0.56536869999999995</v>
      </c>
      <c r="T5180">
        <v>-0.25716099999999997</v>
      </c>
      <c r="U5180">
        <v>-3.0354000000000001</v>
      </c>
      <c r="V5180">
        <v>0.15513360000000001</v>
      </c>
      <c r="W5180">
        <v>1.7053080000000002E-2</v>
      </c>
      <c r="X5180">
        <v>0.98774629999999997</v>
      </c>
      <c r="Y5180">
        <v>0.37343789999999999</v>
      </c>
      <c r="Z5180">
        <v>6.1428980000000001E-2</v>
      </c>
      <c r="AA5180">
        <v>0.92561909999999903</v>
      </c>
      <c r="AB5180">
        <v>27</v>
      </c>
      <c r="AC5180">
        <v>2.1709000000000098</v>
      </c>
      <c r="AD5180">
        <v>-1.047008675751</v>
      </c>
      <c r="AE5180">
        <v>-12.135691</v>
      </c>
      <c r="AF5180">
        <v>4.6477237190021397</v>
      </c>
      <c r="AG5180">
        <v>-1.047008675751</v>
      </c>
      <c r="AH5180">
        <v>11.3233169445621</v>
      </c>
      <c r="AI5180">
        <v>94.889154832370593</v>
      </c>
      <c r="AJ5180">
        <v>67.684005966673197</v>
      </c>
      <c r="AK5180">
        <v>12.284749470879801</v>
      </c>
    </row>
    <row r="5181" spans="1:37" x14ac:dyDescent="0.2">
      <c r="A5181" t="str">
        <f>"20200111153534192"</f>
        <v>20200111153534192</v>
      </c>
      <c r="B5181" t="str">
        <f>"1578728134181389"</f>
        <v>1578728134181389</v>
      </c>
      <c r="C5181" t="s">
        <v>37</v>
      </c>
      <c r="D5181">
        <v>5.265981</v>
      </c>
      <c r="E5181">
        <v>0.58753219999999995</v>
      </c>
      <c r="F5181" t="s">
        <v>39</v>
      </c>
      <c r="G5181">
        <v>-303.38810000000001</v>
      </c>
      <c r="H5181" s="1">
        <v>-2.5662289999999998E-6</v>
      </c>
      <c r="I5181">
        <v>-5.9409519999999896</v>
      </c>
      <c r="J5181">
        <v>-305.48939999999999</v>
      </c>
      <c r="K5181">
        <v>1.0471219999999899</v>
      </c>
      <c r="L5181">
        <v>6.154541</v>
      </c>
      <c r="M5181">
        <v>0.5277039</v>
      </c>
      <c r="N5181">
        <v>0</v>
      </c>
      <c r="O5181">
        <v>-0.84930399999999995</v>
      </c>
      <c r="P5181">
        <v>0.39089489999999999</v>
      </c>
      <c r="Q5181">
        <v>5.0418809999999998E-3</v>
      </c>
      <c r="R5181">
        <v>-0.92042169999999901</v>
      </c>
      <c r="S5181">
        <v>0.55044559999999998</v>
      </c>
      <c r="T5181">
        <v>-0.25765640000000001</v>
      </c>
      <c r="U5181">
        <v>-3.034332</v>
      </c>
      <c r="V5181">
        <v>0.1540696</v>
      </c>
      <c r="W5181">
        <v>1.6557240000000001E-2</v>
      </c>
      <c r="X5181">
        <v>0.98792119999999894</v>
      </c>
      <c r="Y5181">
        <v>0.36801030000000001</v>
      </c>
      <c r="Z5181">
        <v>6.23644E-2</v>
      </c>
      <c r="AA5181">
        <v>0.92772790000000005</v>
      </c>
      <c r="AB5181">
        <v>26</v>
      </c>
      <c r="AC5181">
        <v>2.1012999999999802</v>
      </c>
      <c r="AD5181">
        <v>-1.0471245662289901</v>
      </c>
      <c r="AE5181">
        <v>-12.095492999999999</v>
      </c>
      <c r="AF5181">
        <v>4.5654682094243197</v>
      </c>
      <c r="AG5181">
        <v>-1.0471245662289901</v>
      </c>
      <c r="AH5181">
        <v>11.3006050063495</v>
      </c>
      <c r="AI5181">
        <v>94.910476487142503</v>
      </c>
      <c r="AJ5181">
        <v>68.001188096699394</v>
      </c>
      <c r="AK5181">
        <v>12.232891863251099</v>
      </c>
    </row>
    <row r="5182" spans="1:37" x14ac:dyDescent="0.2">
      <c r="A5182" t="str">
        <f>"20200111153534214"</f>
        <v>20200111153534214</v>
      </c>
      <c r="B5182" t="str">
        <f>"1578728134211646"</f>
        <v>1578728134211646</v>
      </c>
      <c r="C5182" t="s">
        <v>37</v>
      </c>
      <c r="D5182">
        <v>5.2613269999999996</v>
      </c>
      <c r="E5182">
        <v>0.60428769999999998</v>
      </c>
      <c r="F5182" t="s">
        <v>39</v>
      </c>
      <c r="G5182">
        <v>-303.35449999999997</v>
      </c>
      <c r="H5182" s="1">
        <v>-2.463669E-6</v>
      </c>
      <c r="I5182">
        <v>-6.1390039999999999</v>
      </c>
      <c r="J5182">
        <v>-305.3562</v>
      </c>
      <c r="K5182">
        <v>1.047242</v>
      </c>
      <c r="L5182">
        <v>5.9183349999999999</v>
      </c>
      <c r="M5182">
        <v>0.51883100000000004</v>
      </c>
      <c r="N5182">
        <v>0</v>
      </c>
      <c r="O5182">
        <v>-0.85475409999999996</v>
      </c>
      <c r="P5182">
        <v>0.38265359999999998</v>
      </c>
      <c r="Q5182">
        <v>6.3614119999999899E-3</v>
      </c>
      <c r="R5182">
        <v>-0.92387019999999997</v>
      </c>
      <c r="S5182">
        <v>0.52737429999999996</v>
      </c>
      <c r="T5182">
        <v>-0.2586678</v>
      </c>
      <c r="U5182">
        <v>-3.036835</v>
      </c>
      <c r="V5182">
        <v>0.1526245</v>
      </c>
      <c r="W5182">
        <v>1.7914590000000001E-2</v>
      </c>
      <c r="X5182">
        <v>0.9881219</v>
      </c>
      <c r="Y5182">
        <v>0.36530219999999902</v>
      </c>
      <c r="Z5182">
        <v>6.3301339999999998E-2</v>
      </c>
      <c r="AA5182">
        <v>0.92873419999999896</v>
      </c>
      <c r="AB5182">
        <v>26</v>
      </c>
      <c r="AC5182">
        <v>2.00170000000002</v>
      </c>
      <c r="AD5182">
        <v>-1.0472444636689999</v>
      </c>
      <c r="AE5182">
        <v>-12.057339000000001</v>
      </c>
      <c r="AF5182">
        <v>4.5121111153629698</v>
      </c>
      <c r="AG5182">
        <v>-1.0472444636689999</v>
      </c>
      <c r="AH5182">
        <v>11.263106076131301</v>
      </c>
      <c r="AI5182">
        <v>94.933068761843003</v>
      </c>
      <c r="AJ5182">
        <v>68.168475108844603</v>
      </c>
      <c r="AK5182">
        <v>12.178399983834201</v>
      </c>
    </row>
    <row r="5183" spans="1:37" x14ac:dyDescent="0.2">
      <c r="A5183" t="str">
        <f>"20200111153534237"</f>
        <v>20200111153534237</v>
      </c>
      <c r="B5183" t="str">
        <f>"1578728134231165"</f>
        <v>1578728134231165</v>
      </c>
      <c r="C5183" t="s">
        <v>37</v>
      </c>
      <c r="D5183">
        <v>5.2309669999999997</v>
      </c>
      <c r="E5183">
        <v>0.60431219999999997</v>
      </c>
      <c r="F5183" t="s">
        <v>39</v>
      </c>
      <c r="G5183">
        <v>-303.51389999999998</v>
      </c>
      <c r="H5183" s="1">
        <v>-1.0780239999999999E-6</v>
      </c>
      <c r="I5183">
        <v>-9.160031</v>
      </c>
      <c r="J5183">
        <v>-305.22750000000002</v>
      </c>
      <c r="K5183">
        <v>1.0473649999999901</v>
      </c>
      <c r="L5183">
        <v>5.6849369999999997</v>
      </c>
      <c r="M5183">
        <v>0.51016410000000001</v>
      </c>
      <c r="N5183">
        <v>0</v>
      </c>
      <c r="O5183">
        <v>-0.85995540000000004</v>
      </c>
      <c r="P5183">
        <v>0.37452479999999999</v>
      </c>
      <c r="Q5183">
        <v>7.0024559999999998E-3</v>
      </c>
      <c r="R5183">
        <v>-0.92719039999999997</v>
      </c>
      <c r="S5183">
        <v>0.37780759999999902</v>
      </c>
      <c r="T5183">
        <v>-0.21476329999999999</v>
      </c>
      <c r="U5183">
        <v>-3.0921939999999899</v>
      </c>
      <c r="V5183">
        <v>0.15131739999999999</v>
      </c>
      <c r="W5183">
        <v>1.8592060000000001E-2</v>
      </c>
      <c r="X5183">
        <v>0.98831039999999903</v>
      </c>
      <c r="Y5183">
        <v>0.40227829999999998</v>
      </c>
      <c r="Z5183">
        <v>5.1793939999999997E-2</v>
      </c>
      <c r="AA5183">
        <v>0.91405119999999895</v>
      </c>
      <c r="AB5183">
        <v>26</v>
      </c>
      <c r="AC5183">
        <v>1.71360000000004</v>
      </c>
      <c r="AD5183">
        <v>-1.0473660780239999</v>
      </c>
      <c r="AE5183">
        <v>-14.844968</v>
      </c>
      <c r="AF5183">
        <v>6.0705678195701198</v>
      </c>
      <c r="AG5183">
        <v>-1.0473660780239999</v>
      </c>
      <c r="AH5183">
        <v>13.574970194873099</v>
      </c>
      <c r="AI5183">
        <v>94.028831664675593</v>
      </c>
      <c r="AJ5183">
        <v>65.906365316345202</v>
      </c>
      <c r="AK5183">
        <v>14.9073332673919</v>
      </c>
    </row>
    <row r="5184" spans="1:37" x14ac:dyDescent="0.2">
      <c r="A5184" t="str">
        <f>"20200111153534260"</f>
        <v>20200111153534260</v>
      </c>
      <c r="B5184" t="str">
        <f>"1578728134250686"</f>
        <v>1578728134250686</v>
      </c>
      <c r="C5184" t="s">
        <v>37</v>
      </c>
      <c r="D5184">
        <v>5.0947740000000001</v>
      </c>
      <c r="E5184">
        <v>0.60402840000000002</v>
      </c>
      <c r="F5184" t="s">
        <v>39</v>
      </c>
      <c r="G5184">
        <v>-303.32940000000002</v>
      </c>
      <c r="H5184" s="1">
        <v>-4.6587349999999999E-6</v>
      </c>
      <c r="I5184">
        <v>-11.05875</v>
      </c>
      <c r="J5184">
        <v>-305.10050000000001</v>
      </c>
      <c r="K5184">
        <v>1.0474779999999999</v>
      </c>
      <c r="L5184">
        <v>5.4491579999999997</v>
      </c>
      <c r="M5184">
        <v>0.50150890000000004</v>
      </c>
      <c r="N5184">
        <v>0</v>
      </c>
      <c r="O5184">
        <v>-0.86503229999999998</v>
      </c>
      <c r="P5184">
        <v>0.36720999999999998</v>
      </c>
      <c r="Q5184">
        <v>6.7382769999999896E-3</v>
      </c>
      <c r="R5184">
        <v>-0.93011369999999904</v>
      </c>
      <c r="S5184">
        <v>0.35089109999999901</v>
      </c>
      <c r="T5184">
        <v>-0.19362119999999999</v>
      </c>
      <c r="U5184">
        <v>-3.0953059999999999</v>
      </c>
      <c r="V5184">
        <v>0.14917429999999901</v>
      </c>
      <c r="W5184">
        <v>1.838039E-2</v>
      </c>
      <c r="X5184">
        <v>0.98864010000000002</v>
      </c>
      <c r="Y5184">
        <v>0.40102100000000002</v>
      </c>
      <c r="Z5184">
        <v>4.7164409999999997E-2</v>
      </c>
      <c r="AA5184">
        <v>0.9148539</v>
      </c>
      <c r="AB5184">
        <v>26</v>
      </c>
      <c r="AC5184">
        <v>1.7710999999999899</v>
      </c>
      <c r="AD5184">
        <v>-1.0474826587349999</v>
      </c>
      <c r="AE5184">
        <v>-16.507908</v>
      </c>
      <c r="AF5184">
        <v>6.7207536096474199</v>
      </c>
      <c r="AG5184">
        <v>-1.0474826587349999</v>
      </c>
      <c r="AH5184">
        <v>15.109529646075201</v>
      </c>
      <c r="AI5184">
        <v>93.624412736685798</v>
      </c>
      <c r="AJ5184">
        <v>66.020391500581397</v>
      </c>
      <c r="AK5184">
        <v>16.569961832411199</v>
      </c>
    </row>
    <row r="5185" spans="1:37" x14ac:dyDescent="0.2">
      <c r="A5185" t="str">
        <f>"20200111153534281"</f>
        <v>20200111153534281</v>
      </c>
      <c r="B5185" t="str">
        <f>"1578728134271181"</f>
        <v>1578728134271181</v>
      </c>
      <c r="C5185" t="s">
        <v>37</v>
      </c>
      <c r="D5185">
        <v>5.1859690000000001</v>
      </c>
      <c r="E5185">
        <v>0.6030877</v>
      </c>
      <c r="F5185" t="s">
        <v>39</v>
      </c>
      <c r="G5185">
        <v>-303.35329999999999</v>
      </c>
      <c r="H5185" s="1">
        <v>-4.6691629999999997E-6</v>
      </c>
      <c r="I5185">
        <v>-11.04055</v>
      </c>
      <c r="J5185">
        <v>-304.97809999999998</v>
      </c>
      <c r="K5185">
        <v>1.0475859999999999</v>
      </c>
      <c r="L5185">
        <v>5.2164000000000001</v>
      </c>
      <c r="M5185">
        <v>0.49306859999999902</v>
      </c>
      <c r="N5185">
        <v>0</v>
      </c>
      <c r="O5185">
        <v>-0.86987139999999996</v>
      </c>
      <c r="P5185">
        <v>0.35961079999999901</v>
      </c>
      <c r="Q5185">
        <v>6.4532159999999899E-3</v>
      </c>
      <c r="R5185">
        <v>-0.93308060000000004</v>
      </c>
      <c r="S5185">
        <v>0.32818599999999998</v>
      </c>
      <c r="T5185">
        <v>-0.1967486</v>
      </c>
      <c r="U5185">
        <v>-3.0972599999999999</v>
      </c>
      <c r="V5185">
        <v>0.14760979999999899</v>
      </c>
      <c r="W5185">
        <v>1.8133900000000001E-2</v>
      </c>
      <c r="X5185">
        <v>0.98887939999999996</v>
      </c>
      <c r="Y5185">
        <v>0.39880359999999998</v>
      </c>
      <c r="Z5185">
        <v>4.8387090000000001E-2</v>
      </c>
      <c r="AA5185">
        <v>0.91575890000000004</v>
      </c>
      <c r="AB5185">
        <v>26</v>
      </c>
      <c r="AC5185">
        <v>1.62479999999999</v>
      </c>
      <c r="AD5185">
        <v>-1.0475906691629999</v>
      </c>
      <c r="AE5185">
        <v>-16.25695</v>
      </c>
      <c r="AF5185">
        <v>6.5760715422079601</v>
      </c>
      <c r="AG5185">
        <v>-1.0475906691629999</v>
      </c>
      <c r="AH5185">
        <v>14.8829516982423</v>
      </c>
      <c r="AI5185">
        <v>93.683831379423495</v>
      </c>
      <c r="AJ5185">
        <v>66.161634787801205</v>
      </c>
      <c r="AK5185">
        <v>16.304735949734599</v>
      </c>
    </row>
    <row r="5186" spans="1:37" x14ac:dyDescent="0.2">
      <c r="A5186" t="str">
        <f>"20200111153534304"</f>
        <v>20200111153534304</v>
      </c>
      <c r="B5186" t="str">
        <f>"1578728134301439"</f>
        <v>1578728134301439</v>
      </c>
      <c r="C5186" t="s">
        <v>37</v>
      </c>
      <c r="D5186">
        <v>5.2335729999999998</v>
      </c>
      <c r="E5186">
        <v>0.60103109999999904</v>
      </c>
      <c r="F5186" t="s">
        <v>39</v>
      </c>
      <c r="G5186">
        <v>-303.221</v>
      </c>
      <c r="H5186" s="1">
        <v>-4.2005489999999997E-6</v>
      </c>
      <c r="I5186">
        <v>-12.34864</v>
      </c>
      <c r="J5186">
        <v>-304.85309999999998</v>
      </c>
      <c r="K5186">
        <v>1.047685</v>
      </c>
      <c r="L5186">
        <v>4.9729919999999996</v>
      </c>
      <c r="M5186">
        <v>0.48432439999999999</v>
      </c>
      <c r="N5186">
        <v>0</v>
      </c>
      <c r="O5186">
        <v>-0.87477050000000001</v>
      </c>
      <c r="P5186">
        <v>0.35077629999999999</v>
      </c>
      <c r="Q5186">
        <v>7.2233890000000002E-3</v>
      </c>
      <c r="R5186">
        <v>-0.93643189999999998</v>
      </c>
      <c r="S5186">
        <v>0.30981449999999999</v>
      </c>
      <c r="T5186">
        <v>-0.18470790000000001</v>
      </c>
      <c r="U5186">
        <v>-3.0970149999999999</v>
      </c>
      <c r="V5186">
        <v>0.14704890000000001</v>
      </c>
      <c r="W5186">
        <v>1.8919599999999901E-2</v>
      </c>
      <c r="X5186">
        <v>0.9889483</v>
      </c>
      <c r="Y5186">
        <v>0.39496769999999998</v>
      </c>
      <c r="Z5186">
        <v>4.5926849999999998E-2</v>
      </c>
      <c r="AA5186">
        <v>0.91754629999999904</v>
      </c>
      <c r="AB5186">
        <v>26</v>
      </c>
      <c r="AC5186">
        <v>1.6320999999999799</v>
      </c>
      <c r="AD5186">
        <v>-1.0476892005489999</v>
      </c>
      <c r="AE5186">
        <v>-17.321632000000001</v>
      </c>
      <c r="AF5186">
        <v>6.9371395288129802</v>
      </c>
      <c r="AG5186">
        <v>-1.0476892005489999</v>
      </c>
      <c r="AH5186">
        <v>15.886955616363601</v>
      </c>
      <c r="AI5186">
        <v>93.458525803977494</v>
      </c>
      <c r="AJ5186">
        <v>66.411208294563295</v>
      </c>
      <c r="AK5186">
        <v>17.3671217033645</v>
      </c>
    </row>
    <row r="5187" spans="1:37" x14ac:dyDescent="0.2">
      <c r="A5187" t="str">
        <f>"20200111153534326"</f>
        <v>20200111153534326</v>
      </c>
      <c r="B5187" t="str">
        <f>"1578728134320957"</f>
        <v>1578728134320957</v>
      </c>
      <c r="C5187" t="s">
        <v>37</v>
      </c>
      <c r="D5187">
        <v>5.2584349999999898</v>
      </c>
      <c r="E5187">
        <v>0.59962930000000003</v>
      </c>
      <c r="F5187" t="s">
        <v>39</v>
      </c>
      <c r="G5187">
        <v>-303.14210000000003</v>
      </c>
      <c r="H5187" s="1">
        <v>-3.9967950000000001E-6</v>
      </c>
      <c r="I5187">
        <v>-12.90625</v>
      </c>
      <c r="J5187">
        <v>-304.7328</v>
      </c>
      <c r="K5187">
        <v>1.047768</v>
      </c>
      <c r="L5187">
        <v>4.7332460000000003</v>
      </c>
      <c r="M5187">
        <v>0.47579090000000002</v>
      </c>
      <c r="N5187">
        <v>0</v>
      </c>
      <c r="O5187">
        <v>-0.87944140000000004</v>
      </c>
      <c r="P5187">
        <v>0.34180870000000002</v>
      </c>
      <c r="Q5187">
        <v>7.2048590000000001E-3</v>
      </c>
      <c r="R5187">
        <v>-0.93974219999999897</v>
      </c>
      <c r="S5187">
        <v>0.29611209999999999</v>
      </c>
      <c r="T5187">
        <v>-0.181311</v>
      </c>
      <c r="U5187">
        <v>-3.094147</v>
      </c>
      <c r="V5187">
        <v>0.14687629999999999</v>
      </c>
      <c r="W5187">
        <v>1.8907199999999999E-2</v>
      </c>
      <c r="X5187">
        <v>0.98897420000000003</v>
      </c>
      <c r="Y5187">
        <v>0.38996449999999999</v>
      </c>
      <c r="Z5187">
        <v>4.5598079999999999E-2</v>
      </c>
      <c r="AA5187">
        <v>0.91970019999999997</v>
      </c>
      <c r="AB5187">
        <v>26</v>
      </c>
      <c r="AC5187">
        <v>1.59069999999996</v>
      </c>
      <c r="AD5187">
        <v>-1.0477719967950001</v>
      </c>
      <c r="AE5187">
        <v>-17.639495999999902</v>
      </c>
      <c r="AF5187">
        <v>6.9701101436329402</v>
      </c>
      <c r="AG5187">
        <v>-1.0477719967950001</v>
      </c>
      <c r="AH5187">
        <v>16.214670236315101</v>
      </c>
      <c r="AI5187">
        <v>93.397444634674798</v>
      </c>
      <c r="AJ5187">
        <v>66.738850501242098</v>
      </c>
      <c r="AK5187">
        <v>17.680378741534</v>
      </c>
    </row>
    <row r="5188" spans="1:37" x14ac:dyDescent="0.2">
      <c r="A5188" t="str">
        <f>"20200111153534349"</f>
        <v>20200111153534349</v>
      </c>
      <c r="B5188" t="str">
        <f>"1578728134341453"</f>
        <v>1578728134341453</v>
      </c>
      <c r="C5188" t="s">
        <v>37</v>
      </c>
      <c r="D5188">
        <v>5.2442299999999999</v>
      </c>
      <c r="E5188">
        <v>0.5983039</v>
      </c>
      <c r="F5188" t="s">
        <v>39</v>
      </c>
      <c r="G5188">
        <v>-303.17360000000002</v>
      </c>
      <c r="H5188" s="1">
        <v>-4.0868539999999998E-6</v>
      </c>
      <c r="I5188">
        <v>-12.657999999999999</v>
      </c>
      <c r="J5188">
        <v>-304.61739999999998</v>
      </c>
      <c r="K5188">
        <v>1.047847</v>
      </c>
      <c r="L5188">
        <v>4.4977720000000003</v>
      </c>
      <c r="M5188">
        <v>0.46748069999999903</v>
      </c>
      <c r="N5188">
        <v>0</v>
      </c>
      <c r="O5188">
        <v>-0.88388739999999999</v>
      </c>
      <c r="P5188">
        <v>0.33408759999999998</v>
      </c>
      <c r="Q5188">
        <v>6.3320750000000004E-3</v>
      </c>
      <c r="R5188">
        <v>-0.94252089999999999</v>
      </c>
      <c r="S5188">
        <v>0.27731319999999998</v>
      </c>
      <c r="T5188">
        <v>-0.1863398</v>
      </c>
      <c r="U5188">
        <v>-3.0929259999999998</v>
      </c>
      <c r="V5188">
        <v>0.14565229999999901</v>
      </c>
      <c r="W5188">
        <v>1.806E-2</v>
      </c>
      <c r="X5188">
        <v>0.98917099999999902</v>
      </c>
      <c r="Y5188">
        <v>0.38679709999999901</v>
      </c>
      <c r="Z5188">
        <v>4.7320260000000003E-2</v>
      </c>
      <c r="AA5188">
        <v>0.92094989999999999</v>
      </c>
      <c r="AB5188">
        <v>26</v>
      </c>
      <c r="AC5188">
        <v>1.44379999999995</v>
      </c>
      <c r="AD5188">
        <v>-1.0478510868540001</v>
      </c>
      <c r="AE5188">
        <v>-17.155771999999999</v>
      </c>
      <c r="AF5188">
        <v>6.71963458624532</v>
      </c>
      <c r="AG5188">
        <v>-1.0478510868540001</v>
      </c>
      <c r="AH5188">
        <v>15.7818801374749</v>
      </c>
      <c r="AI5188">
        <v>93.495793957446807</v>
      </c>
      <c r="AJ5188">
        <v>66.936586325332001</v>
      </c>
      <c r="AK5188">
        <v>17.1848544231981</v>
      </c>
    </row>
    <row r="5189" spans="1:37" x14ac:dyDescent="0.2">
      <c r="A5189" t="str">
        <f>"20200111153534371"</f>
        <v>20200111153534371</v>
      </c>
      <c r="B5189" t="str">
        <f>"1578728134360973"</f>
        <v>1578728134360973</v>
      </c>
      <c r="C5189" t="s">
        <v>37</v>
      </c>
      <c r="D5189">
        <v>5.2259180000000001</v>
      </c>
      <c r="E5189">
        <v>0.59768859999999902</v>
      </c>
      <c r="F5189" t="s">
        <v>39</v>
      </c>
      <c r="G5189">
        <v>-303.17779999999999</v>
      </c>
      <c r="H5189" s="1">
        <v>-4.1390999999999999E-6</v>
      </c>
      <c r="I5189">
        <v>-12.506689999999899</v>
      </c>
      <c r="J5189">
        <v>-304.5018</v>
      </c>
      <c r="K5189">
        <v>1.0479309999999999</v>
      </c>
      <c r="L5189">
        <v>4.2566220000000001</v>
      </c>
      <c r="M5189">
        <v>0.45904499999999998</v>
      </c>
      <c r="N5189">
        <v>0</v>
      </c>
      <c r="O5189">
        <v>-0.88829820000000004</v>
      </c>
      <c r="P5189">
        <v>0.3262234</v>
      </c>
      <c r="Q5189">
        <v>6.1656599999999999E-3</v>
      </c>
      <c r="R5189">
        <v>-0.94527309999999998</v>
      </c>
      <c r="S5189">
        <v>0.26171879999999997</v>
      </c>
      <c r="T5189">
        <v>-0.19050239999999999</v>
      </c>
      <c r="U5189">
        <v>-3.0914609999999998</v>
      </c>
      <c r="V5189">
        <v>0.1444703</v>
      </c>
      <c r="W5189">
        <v>1.7918880000000002E-2</v>
      </c>
      <c r="X5189">
        <v>0.98934690000000003</v>
      </c>
      <c r="Y5189">
        <v>0.38259169999999998</v>
      </c>
      <c r="Z5189">
        <v>4.8858209999999999E-2</v>
      </c>
      <c r="AA5189">
        <v>0.92262479999999902</v>
      </c>
      <c r="AB5189">
        <v>26</v>
      </c>
      <c r="AC5189">
        <v>1.3240000000000101</v>
      </c>
      <c r="AD5189">
        <v>-1.0479351391</v>
      </c>
      <c r="AE5189">
        <v>-16.763311999999999</v>
      </c>
      <c r="AF5189">
        <v>6.49445011494302</v>
      </c>
      <c r="AG5189">
        <v>-1.0479351391</v>
      </c>
      <c r="AH5189">
        <v>15.4402110028206</v>
      </c>
      <c r="AI5189">
        <v>93.579847992541303</v>
      </c>
      <c r="AJ5189">
        <v>67.1874403282728</v>
      </c>
      <c r="AK5189">
        <v>16.783210841875999</v>
      </c>
    </row>
    <row r="5190" spans="1:37" x14ac:dyDescent="0.2">
      <c r="A5190" t="str">
        <f>"20200111153534393"</f>
        <v>20200111153534393</v>
      </c>
      <c r="B5190" t="str">
        <f>"1578728134391229"</f>
        <v>1578728134391229</v>
      </c>
      <c r="C5190" t="s">
        <v>37</v>
      </c>
      <c r="D5190">
        <v>4.956582</v>
      </c>
      <c r="E5190">
        <v>0.58661809999999903</v>
      </c>
      <c r="F5190" t="s">
        <v>39</v>
      </c>
      <c r="G5190">
        <v>-303.19170000000003</v>
      </c>
      <c r="H5190" s="1">
        <v>-4.1170039999999998E-6</v>
      </c>
      <c r="I5190">
        <v>-12.578889999999999</v>
      </c>
      <c r="J5190">
        <v>-304.38929999999999</v>
      </c>
      <c r="K5190">
        <v>1.048022</v>
      </c>
      <c r="L5190">
        <v>4.0161439999999997</v>
      </c>
      <c r="M5190">
        <v>0.45070509999999903</v>
      </c>
      <c r="N5190">
        <v>0</v>
      </c>
      <c r="O5190">
        <v>-0.89255910000000005</v>
      </c>
      <c r="P5190">
        <v>0.31801819999999997</v>
      </c>
      <c r="Q5190">
        <v>7.4590709999999899E-3</v>
      </c>
      <c r="R5190">
        <v>-0.94805529999999905</v>
      </c>
      <c r="S5190">
        <v>0.2406006</v>
      </c>
      <c r="T5190">
        <v>-0.19245619999999999</v>
      </c>
      <c r="U5190">
        <v>-3.091888</v>
      </c>
      <c r="V5190">
        <v>0.1437918</v>
      </c>
      <c r="W5190">
        <v>1.9229010000000001E-2</v>
      </c>
      <c r="X5190">
        <v>0.98942109999999905</v>
      </c>
      <c r="Y5190">
        <v>0.38021139999999998</v>
      </c>
      <c r="Z5190">
        <v>4.9781640000000002E-2</v>
      </c>
      <c r="AA5190">
        <v>0.92355900000000002</v>
      </c>
      <c r="AB5190">
        <v>26</v>
      </c>
      <c r="AC5190">
        <v>1.19759999999996</v>
      </c>
      <c r="AD5190">
        <v>-1.0480261170039999</v>
      </c>
      <c r="AE5190">
        <v>-16.595033999999998</v>
      </c>
      <c r="AF5190">
        <v>6.3858522330660596</v>
      </c>
      <c r="AG5190">
        <v>-1.0480261170039999</v>
      </c>
      <c r="AH5190">
        <v>15.2926968793104</v>
      </c>
      <c r="AI5190">
        <v>93.618515240806502</v>
      </c>
      <c r="AJ5190">
        <v>67.3357906317529</v>
      </c>
      <c r="AK5190">
        <v>16.605542608627601</v>
      </c>
    </row>
    <row r="5191" spans="1:37" x14ac:dyDescent="0.2">
      <c r="A5191" t="str">
        <f>"20200111153534415"</f>
        <v>20200111153534415</v>
      </c>
      <c r="B5191" t="str">
        <f>"1578728134410749"</f>
        <v>1578728134410749</v>
      </c>
      <c r="C5191" t="s">
        <v>37</v>
      </c>
      <c r="D5191">
        <v>4.9674120000000004</v>
      </c>
      <c r="E5191">
        <v>0.58661809999999903</v>
      </c>
      <c r="F5191" t="s">
        <v>39</v>
      </c>
      <c r="G5191">
        <v>-302.9228</v>
      </c>
      <c r="H5191" s="1">
        <v>-4.5803619999999996E-6</v>
      </c>
      <c r="I5191">
        <v>-11.077109999999999</v>
      </c>
      <c r="J5191">
        <v>-304.2801</v>
      </c>
      <c r="K5191">
        <v>1.0481119999999999</v>
      </c>
      <c r="L5191">
        <v>3.777161</v>
      </c>
      <c r="M5191">
        <v>0.44248720000000002</v>
      </c>
      <c r="N5191">
        <v>0</v>
      </c>
      <c r="O5191">
        <v>-0.89666199999999996</v>
      </c>
      <c r="P5191">
        <v>0.31000050000000001</v>
      </c>
      <c r="Q5191">
        <v>8.4939760000000003E-3</v>
      </c>
      <c r="R5191">
        <v>-0.95069899999999996</v>
      </c>
      <c r="S5191">
        <v>0.29791259999999897</v>
      </c>
      <c r="T5191">
        <v>-0.21290210000000001</v>
      </c>
      <c r="U5191">
        <v>-3.0661320000000001</v>
      </c>
      <c r="V5191">
        <v>0.14306740000000001</v>
      </c>
      <c r="W5191">
        <v>2.028309E-2</v>
      </c>
      <c r="X5191">
        <v>0.98950509999999903</v>
      </c>
      <c r="Y5191">
        <v>0.35386960000000001</v>
      </c>
      <c r="Z5191">
        <v>5.6258379999999997E-2</v>
      </c>
      <c r="AA5191">
        <v>0.93360129999999997</v>
      </c>
      <c r="AB5191">
        <v>26</v>
      </c>
      <c r="AC5191">
        <v>1.3573</v>
      </c>
      <c r="AD5191">
        <v>-1.0481165803620001</v>
      </c>
      <c r="AE5191">
        <v>-14.854271000000001</v>
      </c>
      <c r="AF5191">
        <v>5.3300105356786602</v>
      </c>
      <c r="AG5191">
        <v>-1.0481165803620001</v>
      </c>
      <c r="AH5191">
        <v>13.852858438204001</v>
      </c>
      <c r="AI5191">
        <v>94.039188625716093</v>
      </c>
      <c r="AJ5191">
        <v>68.955326275713503</v>
      </c>
      <c r="AK5191">
        <v>14.879826866781499</v>
      </c>
    </row>
    <row r="5192" spans="1:37" x14ac:dyDescent="0.2">
      <c r="A5192" t="str">
        <f>"20200111153534438"</f>
        <v>20200111153534438</v>
      </c>
      <c r="B5192" t="str">
        <f>"1578728134431248"</f>
        <v>1578728134431248</v>
      </c>
      <c r="C5192" t="s">
        <v>37</v>
      </c>
      <c r="D5192">
        <v>4.9779410000000004</v>
      </c>
      <c r="E5192">
        <v>0.60234089999999996</v>
      </c>
      <c r="F5192" t="s">
        <v>39</v>
      </c>
      <c r="G5192">
        <v>-302.9205</v>
      </c>
      <c r="H5192" s="1">
        <v>-4.4127850000000001E-6</v>
      </c>
      <c r="I5192">
        <v>-11.568350000000001</v>
      </c>
      <c r="J5192">
        <v>-304.17020000000002</v>
      </c>
      <c r="K5192">
        <v>1.0482</v>
      </c>
      <c r="L5192">
        <v>3.5311279999999998</v>
      </c>
      <c r="M5192">
        <v>0.43409730000000002</v>
      </c>
      <c r="N5192">
        <v>0</v>
      </c>
      <c r="O5192">
        <v>-0.9007539</v>
      </c>
      <c r="P5192">
        <v>0.30230469999999998</v>
      </c>
      <c r="Q5192">
        <v>9.3047230000000009E-3</v>
      </c>
      <c r="R5192">
        <v>-0.95316619999999996</v>
      </c>
      <c r="S5192">
        <v>0.27188109999999999</v>
      </c>
      <c r="T5192">
        <v>-0.2096018</v>
      </c>
      <c r="U5192">
        <v>-3.0687869999999999</v>
      </c>
      <c r="V5192">
        <v>0.1418343</v>
      </c>
      <c r="W5192">
        <v>2.1121669999999999E-2</v>
      </c>
      <c r="X5192">
        <v>0.98966500000000002</v>
      </c>
      <c r="Y5192">
        <v>0.35306569999999998</v>
      </c>
      <c r="Z5192">
        <v>5.5780429999999999E-2</v>
      </c>
      <c r="AA5192">
        <v>0.93393419999999905</v>
      </c>
      <c r="AB5192">
        <v>26</v>
      </c>
      <c r="AC5192">
        <v>1.24970000000001</v>
      </c>
      <c r="AD5192">
        <v>-1.0482044127850001</v>
      </c>
      <c r="AE5192">
        <v>-15.099478</v>
      </c>
      <c r="AF5192">
        <v>5.4036550259601004</v>
      </c>
      <c r="AG5192">
        <v>-1.0482044127850001</v>
      </c>
      <c r="AH5192">
        <v>14.077453959108899</v>
      </c>
      <c r="AI5192">
        <v>93.976490459146504</v>
      </c>
      <c r="AJ5192">
        <v>69.000614591530507</v>
      </c>
      <c r="AK5192">
        <v>15.1153210386481</v>
      </c>
    </row>
    <row r="5193" spans="1:37" x14ac:dyDescent="0.2">
      <c r="A5193" t="str">
        <f>"20200111153534460"</f>
        <v>20200111153534460</v>
      </c>
      <c r="B5193" t="str">
        <f>"1578728134450765"</f>
        <v>1578728134450765</v>
      </c>
      <c r="C5193" t="s">
        <v>37</v>
      </c>
      <c r="D5193">
        <v>4.9852220000000003</v>
      </c>
      <c r="E5193">
        <v>0.60234109999999996</v>
      </c>
      <c r="F5193" t="s">
        <v>73</v>
      </c>
      <c r="G5193">
        <v>-300.24290000000002</v>
      </c>
      <c r="H5193">
        <v>3.27182</v>
      </c>
      <c r="I5193">
        <v>-90.976819999999904</v>
      </c>
      <c r="J5193">
        <v>-304.06650000000002</v>
      </c>
      <c r="K5193">
        <v>1.048284</v>
      </c>
      <c r="L5193">
        <v>3.2931519999999899</v>
      </c>
      <c r="M5193">
        <v>0.42605579999999998</v>
      </c>
      <c r="N5193">
        <v>0</v>
      </c>
      <c r="O5193">
        <v>-0.90458539999999998</v>
      </c>
      <c r="P5193">
        <v>0.29509609999999997</v>
      </c>
      <c r="Q5193">
        <v>1.024514E-2</v>
      </c>
      <c r="R5193">
        <v>-0.95541299999999996</v>
      </c>
      <c r="S5193">
        <v>0.1290588</v>
      </c>
      <c r="T5193">
        <v>7.3073630000000001E-2</v>
      </c>
      <c r="U5193">
        <v>-3.1057429999999999</v>
      </c>
      <c r="V5193">
        <v>0.14049990000000001</v>
      </c>
      <c r="W5193">
        <v>2.2090849999999999E-2</v>
      </c>
      <c r="X5193">
        <v>0.989834199999999</v>
      </c>
      <c r="Y5193">
        <v>0.38817360000000001</v>
      </c>
      <c r="Z5193">
        <v>-1.92389E-2</v>
      </c>
      <c r="AA5193">
        <v>0.92138539999999902</v>
      </c>
      <c r="AB5193">
        <v>26</v>
      </c>
      <c r="AC5193">
        <v>3.8235999999999901</v>
      </c>
      <c r="AD5193">
        <v>2.2235360000000002</v>
      </c>
      <c r="AE5193">
        <v>-94.269971999999996</v>
      </c>
      <c r="AF5193">
        <v>36.688820088328001</v>
      </c>
      <c r="AG5193">
        <v>2.2235360000000002</v>
      </c>
      <c r="AH5193">
        <v>86.864826171918097</v>
      </c>
      <c r="AI5193">
        <v>88.649181016482004</v>
      </c>
      <c r="AJ5193">
        <v>67.102417530613593</v>
      </c>
      <c r="AK5193">
        <v>94.321321331364601</v>
      </c>
    </row>
    <row r="5194" spans="1:37" x14ac:dyDescent="0.2">
      <c r="A5194" t="str">
        <f>"20200111153534482"</f>
        <v>20200111153534482</v>
      </c>
      <c r="B5194" t="str">
        <f>"1578728134471261"</f>
        <v>1578728134471261</v>
      </c>
      <c r="C5194" t="s">
        <v>37</v>
      </c>
      <c r="D5194">
        <v>4.9862289999999998</v>
      </c>
      <c r="E5194">
        <v>0.60077400000000003</v>
      </c>
      <c r="F5194" t="s">
        <v>73</v>
      </c>
      <c r="G5194">
        <v>-300.86439999999999</v>
      </c>
      <c r="H5194">
        <v>2.9434079999999998</v>
      </c>
      <c r="I5194">
        <v>-90.976819999999904</v>
      </c>
      <c r="J5194">
        <v>-303.9631</v>
      </c>
      <c r="K5194">
        <v>1.048351</v>
      </c>
      <c r="L5194">
        <v>3.0499269999999998</v>
      </c>
      <c r="M5194">
        <v>0.41789729999999897</v>
      </c>
      <c r="N5194">
        <v>0</v>
      </c>
      <c r="O5194">
        <v>-0.90838359999999996</v>
      </c>
      <c r="P5194">
        <v>0.28721279999999999</v>
      </c>
      <c r="Q5194">
        <v>1.075976E-2</v>
      </c>
      <c r="R5194">
        <v>-0.95780659999999895</v>
      </c>
      <c r="S5194">
        <v>0.10552980000000001</v>
      </c>
      <c r="T5194">
        <v>6.245589E-2</v>
      </c>
      <c r="U5194">
        <v>-3.1067499999999999</v>
      </c>
      <c r="V5194">
        <v>0.13974979999999901</v>
      </c>
      <c r="W5194">
        <v>2.262144E-2</v>
      </c>
      <c r="X5194">
        <v>0.98992839999999904</v>
      </c>
      <c r="Y5194">
        <v>0.386858799999999</v>
      </c>
      <c r="Z5194">
        <v>-1.65595999999999E-2</v>
      </c>
      <c r="AA5194">
        <v>0.92199030000000004</v>
      </c>
      <c r="AB5194">
        <v>26</v>
      </c>
      <c r="AC5194">
        <v>3.0987</v>
      </c>
      <c r="AD5194">
        <v>1.895057</v>
      </c>
      <c r="AE5194">
        <v>-94.026747</v>
      </c>
      <c r="AF5194">
        <v>36.467586470937299</v>
      </c>
      <c r="AG5194">
        <v>1.895057</v>
      </c>
      <c r="AH5194">
        <v>86.680840542781596</v>
      </c>
      <c r="AI5194">
        <v>88.845549816947397</v>
      </c>
      <c r="AJ5194">
        <v>67.182972389709604</v>
      </c>
      <c r="AK5194">
        <v>94.058727512398704</v>
      </c>
    </row>
    <row r="5195" spans="1:37" x14ac:dyDescent="0.2">
      <c r="A5195" t="str">
        <f>"20200111153534506"</f>
        <v>20200111153534506</v>
      </c>
      <c r="B5195" t="str">
        <f>"1578728134501517"</f>
        <v>1578728134501517</v>
      </c>
      <c r="C5195" t="s">
        <v>37</v>
      </c>
      <c r="D5195">
        <v>4.979724</v>
      </c>
      <c r="E5195">
        <v>0.59917519999999902</v>
      </c>
      <c r="F5195" t="s">
        <v>73</v>
      </c>
      <c r="G5195">
        <v>-301.18150000000003</v>
      </c>
      <c r="H5195">
        <v>2.758648</v>
      </c>
      <c r="I5195">
        <v>-90.976819999999904</v>
      </c>
      <c r="J5195">
        <v>-303.85919999999999</v>
      </c>
      <c r="K5195">
        <v>1.04841299999999</v>
      </c>
      <c r="L5195">
        <v>2.799194</v>
      </c>
      <c r="M5195">
        <v>0.40953489999999998</v>
      </c>
      <c r="N5195">
        <v>0</v>
      </c>
      <c r="O5195">
        <v>-0.91218449999999995</v>
      </c>
      <c r="P5195">
        <v>0.27977399999999902</v>
      </c>
      <c r="Q5195">
        <v>1.064582E-2</v>
      </c>
      <c r="R5195">
        <v>-0.9600071</v>
      </c>
      <c r="S5195">
        <v>9.1827389999999995E-2</v>
      </c>
      <c r="T5195">
        <v>5.6460620000000003E-2</v>
      </c>
      <c r="U5195">
        <v>-3.1040040000000002</v>
      </c>
      <c r="V5195">
        <v>0.13833029999999999</v>
      </c>
      <c r="W5195">
        <v>2.253324E-2</v>
      </c>
      <c r="X5195">
        <v>0.99012979999999995</v>
      </c>
      <c r="Y5195">
        <v>0.38242140000000002</v>
      </c>
      <c r="Z5195">
        <v>-1.510417E-2</v>
      </c>
      <c r="AA5195">
        <v>0.92386460000000004</v>
      </c>
      <c r="AB5195">
        <v>26</v>
      </c>
      <c r="AC5195">
        <v>2.67769999999995</v>
      </c>
      <c r="AD5195">
        <v>1.7102349999999999</v>
      </c>
      <c r="AE5195">
        <v>-93.776014000000004</v>
      </c>
      <c r="AF5195">
        <v>35.953653074072498</v>
      </c>
      <c r="AG5195">
        <v>1.7102349999999999</v>
      </c>
      <c r="AH5195">
        <v>86.617543355694494</v>
      </c>
      <c r="AI5195">
        <v>88.955265713904097</v>
      </c>
      <c r="AJ5195">
        <v>67.457389777624996</v>
      </c>
      <c r="AK5195">
        <v>93.7986614515453</v>
      </c>
    </row>
    <row r="5196" spans="1:37" x14ac:dyDescent="0.2">
      <c r="A5196" t="str">
        <f>"20200111153534528"</f>
        <v>20200111153534528</v>
      </c>
      <c r="B5196" t="str">
        <f>"1578728134521038"</f>
        <v>1578728134521038</v>
      </c>
      <c r="C5196" t="s">
        <v>37</v>
      </c>
      <c r="D5196">
        <v>5.0135300000000003</v>
      </c>
      <c r="E5196">
        <v>0.59836859999999903</v>
      </c>
      <c r="F5196" t="s">
        <v>73</v>
      </c>
      <c r="G5196">
        <v>-301.44319999999999</v>
      </c>
      <c r="H5196">
        <v>2.4716</v>
      </c>
      <c r="I5196">
        <v>-90.976819999999904</v>
      </c>
      <c r="J5196">
        <v>-303.75810000000001</v>
      </c>
      <c r="K5196">
        <v>1.0484579999999999</v>
      </c>
      <c r="L5196">
        <v>2.5492249999999999</v>
      </c>
      <c r="M5196">
        <v>0.4012327</v>
      </c>
      <c r="N5196">
        <v>0</v>
      </c>
      <c r="O5196">
        <v>-0.91586690000000004</v>
      </c>
      <c r="P5196">
        <v>0.27223930000000002</v>
      </c>
      <c r="Q5196">
        <v>1.1488379999999999E-2</v>
      </c>
      <c r="R5196">
        <v>-0.96216109999999899</v>
      </c>
      <c r="S5196">
        <v>7.9895019999999997E-2</v>
      </c>
      <c r="T5196">
        <v>4.7065139999999998E-2</v>
      </c>
      <c r="U5196">
        <v>-3.1011660000000001</v>
      </c>
      <c r="V5196">
        <v>0.13710529999999899</v>
      </c>
      <c r="W5196">
        <v>2.3395610000000001E-2</v>
      </c>
      <c r="X5196">
        <v>0.99028019999999894</v>
      </c>
      <c r="Y5196">
        <v>0.3775502</v>
      </c>
      <c r="Z5196">
        <v>-1.270172E-2</v>
      </c>
      <c r="AA5196">
        <v>0.925902</v>
      </c>
      <c r="AB5196">
        <v>26</v>
      </c>
      <c r="AC5196">
        <v>2.3149000000000202</v>
      </c>
      <c r="AD5196">
        <v>1.4231419999999999</v>
      </c>
      <c r="AE5196">
        <v>-93.526044999999897</v>
      </c>
      <c r="AF5196">
        <v>35.400919059819898</v>
      </c>
      <c r="AG5196">
        <v>1.4231419999999999</v>
      </c>
      <c r="AH5196">
        <v>86.574855034974405</v>
      </c>
      <c r="AI5196">
        <v>89.128289490425999</v>
      </c>
      <c r="AJ5196">
        <v>67.760085816044594</v>
      </c>
      <c r="AK5196">
        <v>93.543871673984697</v>
      </c>
    </row>
    <row r="5197" spans="1:37" x14ac:dyDescent="0.2">
      <c r="A5197" t="str">
        <f>"20200111153534549"</f>
        <v>20200111153534549</v>
      </c>
      <c r="B5197" t="str">
        <f>"1578728134541066"</f>
        <v>1578728134541066</v>
      </c>
      <c r="C5197" t="s">
        <v>37</v>
      </c>
      <c r="D5197">
        <v>5.012861</v>
      </c>
      <c r="E5197">
        <v>0.59148590000000001</v>
      </c>
      <c r="F5197" t="s">
        <v>73</v>
      </c>
      <c r="G5197">
        <v>-301.88810000000001</v>
      </c>
      <c r="H5197">
        <v>2.3721290000000002</v>
      </c>
      <c r="I5197">
        <v>-90.976819999999904</v>
      </c>
      <c r="J5197">
        <v>-303.66539999999998</v>
      </c>
      <c r="K5197">
        <v>1.048503</v>
      </c>
      <c r="L5197">
        <v>2.3140869999999998</v>
      </c>
      <c r="M5197">
        <v>0.39344829999999997</v>
      </c>
      <c r="N5197">
        <v>0</v>
      </c>
      <c r="O5197">
        <v>-0.919237999999999</v>
      </c>
      <c r="P5197">
        <v>0.26500499999999999</v>
      </c>
      <c r="Q5197">
        <v>1.256262E-2</v>
      </c>
      <c r="R5197">
        <v>-0.96416520000000006</v>
      </c>
      <c r="S5197">
        <v>6.19812E-2</v>
      </c>
      <c r="T5197">
        <v>4.3873429999999998E-2</v>
      </c>
      <c r="U5197">
        <v>-3.0999150000000002</v>
      </c>
      <c r="V5197">
        <v>0.13615060000000001</v>
      </c>
      <c r="W5197">
        <v>2.448345E-2</v>
      </c>
      <c r="X5197">
        <v>0.99038559999999998</v>
      </c>
      <c r="Y5197">
        <v>0.37503120000000001</v>
      </c>
      <c r="Z5197">
        <v>-1.1924010000000001E-2</v>
      </c>
      <c r="AA5197">
        <v>0.92693549999999902</v>
      </c>
      <c r="AB5197">
        <v>26</v>
      </c>
      <c r="AC5197">
        <v>1.7772999999999599</v>
      </c>
      <c r="AD5197">
        <v>1.323626</v>
      </c>
      <c r="AE5197">
        <v>-93.290906999999905</v>
      </c>
      <c r="AF5197">
        <v>35.067836857405702</v>
      </c>
      <c r="AG5197">
        <v>1.323626</v>
      </c>
      <c r="AH5197">
        <v>86.447070674001495</v>
      </c>
      <c r="AI5197">
        <v>89.187116979463894</v>
      </c>
      <c r="AJ5197">
        <v>67.919733797290405</v>
      </c>
      <c r="AK5197">
        <v>93.298452268841601</v>
      </c>
    </row>
    <row r="5198" spans="1:37" x14ac:dyDescent="0.2">
      <c r="A5198" t="str">
        <f>"20200111153534572"</f>
        <v>20200111153534572</v>
      </c>
      <c r="B5198" t="str">
        <f>"1578728134560586"</f>
        <v>1578728134560586</v>
      </c>
      <c r="C5198" t="s">
        <v>37</v>
      </c>
      <c r="D5198">
        <v>5.0118739999999997</v>
      </c>
      <c r="E5198">
        <v>0.59176830000000002</v>
      </c>
      <c r="F5198" t="s">
        <v>73</v>
      </c>
      <c r="G5198">
        <v>-300.89960000000002</v>
      </c>
      <c r="H5198">
        <v>1.8459619999999901</v>
      </c>
      <c r="I5198">
        <v>-90.976819999999904</v>
      </c>
      <c r="J5198">
        <v>-303.570999999999</v>
      </c>
      <c r="K5198">
        <v>1.0485469999999999</v>
      </c>
      <c r="L5198">
        <v>2.0687259999999998</v>
      </c>
      <c r="M5198">
        <v>0.38534259999999998</v>
      </c>
      <c r="N5198">
        <v>0</v>
      </c>
      <c r="O5198">
        <v>-0.92266569999999903</v>
      </c>
      <c r="P5198">
        <v>0.2581851</v>
      </c>
      <c r="Q5198">
        <v>1.3717210000000001E-2</v>
      </c>
      <c r="R5198">
        <v>-0.96599820000000003</v>
      </c>
      <c r="S5198">
        <v>9.1491699999999995E-2</v>
      </c>
      <c r="T5198">
        <v>2.6379819999999998E-2</v>
      </c>
      <c r="U5198">
        <v>-3.0859990000000002</v>
      </c>
      <c r="V5198">
        <v>0.13444139999999999</v>
      </c>
      <c r="W5198">
        <v>2.5663720000000001E-2</v>
      </c>
      <c r="X5198">
        <v>0.9905891</v>
      </c>
      <c r="Y5198">
        <v>0.35786669999999998</v>
      </c>
      <c r="Z5198">
        <v>-7.2748409999999998E-3</v>
      </c>
      <c r="AA5198">
        <v>0.93374429999999997</v>
      </c>
      <c r="AB5198">
        <v>26</v>
      </c>
      <c r="AC5198">
        <v>2.6713999999999398</v>
      </c>
      <c r="AD5198">
        <v>0.79741499999999998</v>
      </c>
      <c r="AE5198">
        <v>-93.045546000000002</v>
      </c>
      <c r="AF5198">
        <v>33.390477241299401</v>
      </c>
      <c r="AG5198">
        <v>0.79741499999999998</v>
      </c>
      <c r="AH5198">
        <v>86.881611613806697</v>
      </c>
      <c r="AI5198">
        <v>89.509144379088397</v>
      </c>
      <c r="AJ5198">
        <v>68.977155461543205</v>
      </c>
      <c r="AK5198">
        <v>93.080472053467403</v>
      </c>
    </row>
    <row r="5199" spans="1:37" x14ac:dyDescent="0.2">
      <c r="A5199" t="str">
        <f>"20200111153534594"</f>
        <v>20200111153534594</v>
      </c>
      <c r="B5199" t="str">
        <f>"1578728134590842"</f>
        <v>1578728134590842</v>
      </c>
      <c r="C5199" t="s">
        <v>37</v>
      </c>
      <c r="D5199">
        <v>5.1147980000000004</v>
      </c>
      <c r="E5199">
        <v>0.59059530000000005</v>
      </c>
      <c r="F5199" t="s">
        <v>73</v>
      </c>
      <c r="G5199">
        <v>-301.5283</v>
      </c>
      <c r="H5199">
        <v>1.5253639999999999</v>
      </c>
      <c r="I5199">
        <v>-90.976830000000007</v>
      </c>
      <c r="J5199">
        <v>-303.47840000000002</v>
      </c>
      <c r="K5199">
        <v>1.048578</v>
      </c>
      <c r="L5199">
        <v>1.82135</v>
      </c>
      <c r="M5199">
        <v>0.37717840000000002</v>
      </c>
      <c r="N5199">
        <v>0</v>
      </c>
      <c r="O5199">
        <v>-0.92603329999999995</v>
      </c>
      <c r="P5199">
        <v>0.25173909999999999</v>
      </c>
      <c r="Q5199">
        <v>1.4471629999999999E-2</v>
      </c>
      <c r="R5199">
        <v>-0.96768719999999997</v>
      </c>
      <c r="S5199">
        <v>6.7779539999999999E-2</v>
      </c>
      <c r="T5199">
        <v>1.582122E-2</v>
      </c>
      <c r="U5199">
        <v>-3.08725</v>
      </c>
      <c r="V5199">
        <v>0.1323011</v>
      </c>
      <c r="W5199">
        <v>2.645072E-2</v>
      </c>
      <c r="X5199">
        <v>0.99085659999999898</v>
      </c>
      <c r="Y5199">
        <v>0.35679719999999998</v>
      </c>
      <c r="Z5199">
        <v>-4.3883990000000003E-3</v>
      </c>
      <c r="AA5199">
        <v>0.93417159999999999</v>
      </c>
      <c r="AB5199">
        <v>26</v>
      </c>
      <c r="AC5199">
        <v>1.9501000000000199</v>
      </c>
      <c r="AD5199">
        <v>0.47678599999999899</v>
      </c>
      <c r="AE5199">
        <v>-92.798180000000002</v>
      </c>
      <c r="AF5199">
        <v>33.198035382779999</v>
      </c>
      <c r="AG5199">
        <v>0.47678599999999899</v>
      </c>
      <c r="AH5199">
        <v>86.676068878673505</v>
      </c>
      <c r="AI5199">
        <v>89.705680907833298</v>
      </c>
      <c r="AJ5199">
        <v>69.042525455914003</v>
      </c>
      <c r="AK5199">
        <v>92.817443373681996</v>
      </c>
    </row>
    <row r="5200" spans="1:37" x14ac:dyDescent="0.2">
      <c r="A5200" t="str">
        <f>"20200111153534617"</f>
        <v>20200111153534617</v>
      </c>
      <c r="B5200" t="str">
        <f>"1578728134611339"</f>
        <v>1578728134611339</v>
      </c>
      <c r="C5200" t="s">
        <v>37</v>
      </c>
      <c r="D5200">
        <v>5.0105409999999999</v>
      </c>
      <c r="E5200">
        <v>0.55435440000000002</v>
      </c>
      <c r="F5200" t="s">
        <v>73</v>
      </c>
      <c r="G5200">
        <v>-301.79039999999998</v>
      </c>
      <c r="H5200">
        <v>1.5102059999999999</v>
      </c>
      <c r="I5200">
        <v>-90.976819999999904</v>
      </c>
      <c r="J5200">
        <v>-303.38670000000002</v>
      </c>
      <c r="K5200">
        <v>1.0486059999999999</v>
      </c>
      <c r="L5200">
        <v>1.5697939999999999</v>
      </c>
      <c r="M5200">
        <v>0.36888209999999999</v>
      </c>
      <c r="N5200">
        <v>0</v>
      </c>
      <c r="O5200">
        <v>-0.92936960000000002</v>
      </c>
      <c r="P5200">
        <v>0.2461574</v>
      </c>
      <c r="Q5200">
        <v>1.5309359999999999E-2</v>
      </c>
      <c r="R5200">
        <v>-0.96910909999999995</v>
      </c>
      <c r="S5200">
        <v>5.6121829999999998E-2</v>
      </c>
      <c r="T5200">
        <v>1.5348550000000001E-2</v>
      </c>
      <c r="U5200">
        <v>-3.0853269999999999</v>
      </c>
      <c r="V5200">
        <v>0.1291562</v>
      </c>
      <c r="W5200">
        <v>2.733826E-2</v>
      </c>
      <c r="X5200">
        <v>0.9912474</v>
      </c>
      <c r="Y5200">
        <v>0.35195369999999998</v>
      </c>
      <c r="Z5200">
        <v>-4.2893899999999997E-3</v>
      </c>
      <c r="AA5200">
        <v>0.93600759999999905</v>
      </c>
      <c r="AB5200">
        <v>26</v>
      </c>
      <c r="AC5200">
        <v>1.59630000000004</v>
      </c>
      <c r="AD5200">
        <v>0.46160000000000001</v>
      </c>
      <c r="AE5200">
        <v>-92.546614000000005</v>
      </c>
      <c r="AF5200">
        <v>32.657660103750501</v>
      </c>
      <c r="AG5200">
        <v>0.46160000000000001</v>
      </c>
      <c r="AH5200">
        <v>86.605282979042698</v>
      </c>
      <c r="AI5200">
        <v>89.714260352719506</v>
      </c>
      <c r="AJ5200">
        <v>69.339231135513501</v>
      </c>
      <c r="AK5200">
        <v>92.559229026025093</v>
      </c>
    </row>
    <row r="5201" spans="1:37" x14ac:dyDescent="0.2">
      <c r="A5201" t="str">
        <f>"20200111153534639"</f>
        <v>20200111153534639</v>
      </c>
      <c r="B5201" t="str">
        <f>"1578728134630858"</f>
        <v>1578728134630858</v>
      </c>
      <c r="C5201" t="s">
        <v>37</v>
      </c>
      <c r="D5201">
        <v>5.012632</v>
      </c>
      <c r="E5201">
        <v>0.49671359999999998</v>
      </c>
      <c r="F5201" t="s">
        <v>73</v>
      </c>
      <c r="G5201">
        <v>-293.54140000000001</v>
      </c>
      <c r="H5201">
        <v>0.2251225</v>
      </c>
      <c r="I5201">
        <v>-91.564989999999995</v>
      </c>
      <c r="J5201">
        <v>-303.2998</v>
      </c>
      <c r="K5201">
        <v>1.048638</v>
      </c>
      <c r="L5201">
        <v>1.324951</v>
      </c>
      <c r="M5201">
        <v>0.36080000000000001</v>
      </c>
      <c r="N5201">
        <v>0</v>
      </c>
      <c r="O5201">
        <v>-0.9325367</v>
      </c>
      <c r="P5201">
        <v>0.2409232</v>
      </c>
      <c r="Q5201">
        <v>1.6645050000000002E-2</v>
      </c>
      <c r="R5201">
        <v>-0.97040149999999903</v>
      </c>
      <c r="S5201">
        <v>0.3187256</v>
      </c>
      <c r="T5201">
        <v>-2.6658649999999999E-2</v>
      </c>
      <c r="U5201">
        <v>-3.0151059999999998</v>
      </c>
      <c r="V5201">
        <v>0.12590999999999999</v>
      </c>
      <c r="W5201">
        <v>2.8732460000000001E-2</v>
      </c>
      <c r="X5201">
        <v>0.99162549999999905</v>
      </c>
      <c r="Y5201">
        <v>0.26079799999999997</v>
      </c>
      <c r="Z5201">
        <v>7.7790439999999997E-3</v>
      </c>
      <c r="AA5201">
        <v>0.965362099999999</v>
      </c>
      <c r="AB5201">
        <v>26</v>
      </c>
      <c r="AC5201">
        <v>9.7583999999999893</v>
      </c>
      <c r="AD5201">
        <v>-0.82351549999999996</v>
      </c>
      <c r="AE5201">
        <v>-92.889940999999993</v>
      </c>
      <c r="AF5201">
        <v>24.415152072278602</v>
      </c>
      <c r="AG5201">
        <v>-0.82351549999999996</v>
      </c>
      <c r="AH5201">
        <v>90.146057381451101</v>
      </c>
      <c r="AI5201">
        <v>90.505201781979906</v>
      </c>
      <c r="AJ5201">
        <v>74.845579699037302</v>
      </c>
      <c r="AK5201">
        <v>93.397481175410206</v>
      </c>
    </row>
    <row r="5202" spans="1:37" x14ac:dyDescent="0.2">
      <c r="A5202" t="str">
        <f>"20200111153534662"</f>
        <v>20200111153534662</v>
      </c>
      <c r="B5202" t="str">
        <f>"1578728134651353"</f>
        <v>1578728134651353</v>
      </c>
      <c r="C5202" t="s">
        <v>37</v>
      </c>
      <c r="D5202">
        <v>4.8694509999999998</v>
      </c>
      <c r="E5202">
        <v>0.49331740000000002</v>
      </c>
      <c r="F5202" t="s">
        <v>65</v>
      </c>
      <c r="G5202">
        <v>-292.20850000000002</v>
      </c>
      <c r="H5202" s="1">
        <v>-2.89972399999999E-6</v>
      </c>
      <c r="I5202">
        <v>-41.735939999999999</v>
      </c>
      <c r="J5202">
        <v>-303.21409999999997</v>
      </c>
      <c r="K5202">
        <v>1.0490170000000001</v>
      </c>
      <c r="L5202">
        <v>1.0772709999999901</v>
      </c>
      <c r="M5202">
        <v>0.35172439999999999</v>
      </c>
      <c r="N5202">
        <v>0</v>
      </c>
      <c r="O5202">
        <v>-0.93599080000000001</v>
      </c>
      <c r="P5202">
        <v>0.23329</v>
      </c>
      <c r="Q5202">
        <v>1.6501709999999999E-2</v>
      </c>
      <c r="R5202">
        <v>-0.97226749999999995</v>
      </c>
      <c r="S5202">
        <v>0.74871829999999995</v>
      </c>
      <c r="T5202">
        <v>-7.078856E-2</v>
      </c>
      <c r="U5202">
        <v>-2.9068299999999998</v>
      </c>
      <c r="V5202">
        <v>0.1240607</v>
      </c>
      <c r="W5202">
        <v>2.913522E-2</v>
      </c>
      <c r="X5202">
        <v>0.99184680000000003</v>
      </c>
      <c r="Y5202">
        <v>0.10721559999999999</v>
      </c>
      <c r="Z5202">
        <v>2.1623920000000001E-2</v>
      </c>
      <c r="AA5202">
        <v>0.99400059999999901</v>
      </c>
      <c r="AB5202">
        <v>26</v>
      </c>
      <c r="AC5202">
        <v>11.0055999999999</v>
      </c>
      <c r="AD5202">
        <v>-1.0490198997239999</v>
      </c>
      <c r="AE5202">
        <v>-42.813211000000003</v>
      </c>
      <c r="AF5202">
        <v>4.7551351387015304</v>
      </c>
      <c r="AG5202">
        <v>-1.0490198997239999</v>
      </c>
      <c r="AH5202">
        <v>43.923614713978303</v>
      </c>
      <c r="AI5202">
        <v>91.360180395162004</v>
      </c>
      <c r="AJ5202">
        <v>83.821268447356104</v>
      </c>
      <c r="AK5202">
        <v>44.192710739208401</v>
      </c>
    </row>
    <row r="5203" spans="1:37" x14ac:dyDescent="0.2">
      <c r="A5203" t="str">
        <f>"20200111153534685"</f>
        <v>20200111153534685</v>
      </c>
      <c r="B5203" t="str">
        <f>"1578728134680634"</f>
        <v>1578728134680634</v>
      </c>
      <c r="C5203" t="s">
        <v>37</v>
      </c>
      <c r="D5203">
        <v>4.8163799999999997</v>
      </c>
      <c r="E5203">
        <v>0.49331329999999901</v>
      </c>
      <c r="F5203" t="s">
        <v>39</v>
      </c>
      <c r="G5203">
        <v>-294.7072</v>
      </c>
      <c r="H5203" s="1">
        <v>-4.6252099999999899E-6</v>
      </c>
      <c r="I5203">
        <v>-31.774249999999999</v>
      </c>
      <c r="J5203">
        <v>-303.12920000000003</v>
      </c>
      <c r="K5203">
        <v>1.0491200000000001</v>
      </c>
      <c r="L5203">
        <v>0.82711789999999996</v>
      </c>
      <c r="M5203">
        <v>0.34151949999999998</v>
      </c>
      <c r="N5203">
        <v>0</v>
      </c>
      <c r="O5203">
        <v>-0.93975940000000002</v>
      </c>
      <c r="P5203">
        <v>0.226121299999999</v>
      </c>
      <c r="Q5203">
        <v>1.7036409999999998E-2</v>
      </c>
      <c r="R5203">
        <v>-0.97395019999999999</v>
      </c>
      <c r="S5203">
        <v>0.75265499999999996</v>
      </c>
      <c r="T5203">
        <v>-9.2812720000000001E-2</v>
      </c>
      <c r="U5203">
        <v>-2.906555</v>
      </c>
      <c r="V5203">
        <v>0.12059400000000001</v>
      </c>
      <c r="W5203">
        <v>2.9856359999999998E-2</v>
      </c>
      <c r="X5203">
        <v>0.99225280000000005</v>
      </c>
      <c r="Y5203">
        <v>9.5151979999999997E-2</v>
      </c>
      <c r="Z5203">
        <v>2.8537139999999999E-2</v>
      </c>
      <c r="AA5203">
        <v>0.99505359999999998</v>
      </c>
      <c r="AB5203">
        <v>26</v>
      </c>
      <c r="AC5203">
        <v>8.4220000000000201</v>
      </c>
      <c r="AD5203">
        <v>-1.0491246252099999</v>
      </c>
      <c r="AE5203">
        <v>-32.6013679</v>
      </c>
      <c r="AF5203">
        <v>3.2165754510618498</v>
      </c>
      <c r="AG5203">
        <v>-1.0491246252099999</v>
      </c>
      <c r="AH5203">
        <v>33.4848442098086</v>
      </c>
      <c r="AI5203">
        <v>91.786348177769995</v>
      </c>
      <c r="AJ5203">
        <v>84.512967080479996</v>
      </c>
      <c r="AK5203">
        <v>33.655338534424899</v>
      </c>
    </row>
    <row r="5204" spans="1:37" x14ac:dyDescent="0.2">
      <c r="A5204" t="str">
        <f>"20200111153534706"</f>
        <v>20200111153534706</v>
      </c>
      <c r="B5204" t="str">
        <f>"1578728134701133"</f>
        <v>1578728134701133</v>
      </c>
      <c r="C5204" t="s">
        <v>37</v>
      </c>
      <c r="D5204">
        <v>4.8624660000000004</v>
      </c>
      <c r="E5204">
        <v>0.49357790000000001</v>
      </c>
      <c r="F5204" t="s">
        <v>39</v>
      </c>
      <c r="G5204">
        <v>-295.67630000000003</v>
      </c>
      <c r="H5204" s="1">
        <v>-1.6641829999999901E-6</v>
      </c>
      <c r="I5204">
        <v>-28.842209999999898</v>
      </c>
      <c r="J5204">
        <v>-303.04759999999999</v>
      </c>
      <c r="K5204">
        <v>1.048484</v>
      </c>
      <c r="L5204">
        <v>0.57913210000000004</v>
      </c>
      <c r="M5204">
        <v>0.33285300000000001</v>
      </c>
      <c r="N5204">
        <v>0</v>
      </c>
      <c r="O5204">
        <v>-0.94287030000000005</v>
      </c>
      <c r="P5204">
        <v>0.220862799999999</v>
      </c>
      <c r="Q5204">
        <v>1.796236E-2</v>
      </c>
      <c r="R5204">
        <v>-0.97513969999999905</v>
      </c>
      <c r="S5204">
        <v>0.73153690000000005</v>
      </c>
      <c r="T5204">
        <v>-0.1029769</v>
      </c>
      <c r="U5204">
        <v>-2.912201</v>
      </c>
      <c r="V5204">
        <v>0.116882399999999</v>
      </c>
      <c r="W5204">
        <v>3.0159490000000001E-2</v>
      </c>
      <c r="X5204">
        <v>0.99268769999999995</v>
      </c>
      <c r="Y5204">
        <v>9.3253440000000007E-2</v>
      </c>
      <c r="Z5204">
        <v>3.1787820000000001E-2</v>
      </c>
      <c r="AA5204">
        <v>0.99513479999999999</v>
      </c>
      <c r="AB5204">
        <v>26</v>
      </c>
      <c r="AC5204">
        <v>7.3712999999999598</v>
      </c>
      <c r="AD5204">
        <v>-1.048485664183</v>
      </c>
      <c r="AE5204">
        <v>-29.4213421</v>
      </c>
      <c r="AF5204">
        <v>2.8396994493249799</v>
      </c>
      <c r="AG5204">
        <v>-1.048485664183</v>
      </c>
      <c r="AH5204">
        <v>30.161114569028101</v>
      </c>
      <c r="AI5204">
        <v>91.982202533200507</v>
      </c>
      <c r="AJ5204">
        <v>84.621399712254004</v>
      </c>
      <c r="AK5204">
        <v>30.312638407049501</v>
      </c>
    </row>
    <row r="5205" spans="1:37" x14ac:dyDescent="0.2">
      <c r="A5205" t="str">
        <f>"20200111153534728"</f>
        <v>20200111153534728</v>
      </c>
      <c r="B5205" t="str">
        <f>"1578728134720650"</f>
        <v>1578728134720650</v>
      </c>
      <c r="C5205" t="s">
        <v>37</v>
      </c>
      <c r="D5205">
        <v>4.829269</v>
      </c>
      <c r="E5205">
        <v>0.49384749999999999</v>
      </c>
      <c r="F5205" t="s">
        <v>39</v>
      </c>
      <c r="G5205">
        <v>-296.1078</v>
      </c>
      <c r="H5205" s="1">
        <v>-1.9065289999999901E-6</v>
      </c>
      <c r="I5205">
        <v>-27.792719999999999</v>
      </c>
      <c r="J5205">
        <v>-302.97269999999997</v>
      </c>
      <c r="K5205">
        <v>1.048049</v>
      </c>
      <c r="L5205">
        <v>0.34225459999999902</v>
      </c>
      <c r="M5205">
        <v>0.32774759999999997</v>
      </c>
      <c r="N5205">
        <v>0</v>
      </c>
      <c r="O5205">
        <v>-0.944663699999999</v>
      </c>
      <c r="P5205">
        <v>0.21850339999999999</v>
      </c>
      <c r="Q5205">
        <v>1.946792E-2</v>
      </c>
      <c r="R5205">
        <v>-0.97564219999999902</v>
      </c>
      <c r="S5205">
        <v>0.71347050000000001</v>
      </c>
      <c r="T5205">
        <v>-0.10779329999999999</v>
      </c>
      <c r="U5205">
        <v>-2.9168699999999999</v>
      </c>
      <c r="V5205">
        <v>0.11399769999999899</v>
      </c>
      <c r="W5205">
        <v>3.0995950000000001E-2</v>
      </c>
      <c r="X5205">
        <v>0.99299729999999997</v>
      </c>
      <c r="Y5205">
        <v>9.4061309999999995E-2</v>
      </c>
      <c r="Z5205">
        <v>3.3338659999999999E-2</v>
      </c>
      <c r="AA5205">
        <v>0.99500809999999995</v>
      </c>
      <c r="AB5205">
        <v>26</v>
      </c>
      <c r="AC5205">
        <v>6.8648999999999702</v>
      </c>
      <c r="AD5205">
        <v>-1.048050906529</v>
      </c>
      <c r="AE5205">
        <v>-28.1349746</v>
      </c>
      <c r="AF5205">
        <v>2.73283221969815</v>
      </c>
      <c r="AG5205">
        <v>-1.048050906529</v>
      </c>
      <c r="AH5205">
        <v>28.7931026895867</v>
      </c>
      <c r="AI5205">
        <v>92.075291784456198</v>
      </c>
      <c r="AJ5205">
        <v>84.578142551725506</v>
      </c>
      <c r="AK5205">
        <v>28.9414848467867</v>
      </c>
    </row>
    <row r="5206" spans="1:37" x14ac:dyDescent="0.2">
      <c r="A5206" t="str">
        <f>"20200111153534750"</f>
        <v>20200111153534750</v>
      </c>
      <c r="B5206" t="str">
        <f>"1578728134741146"</f>
        <v>1578728134741146</v>
      </c>
      <c r="C5206" t="s">
        <v>37</v>
      </c>
      <c r="D5206">
        <v>4.8505789999999998</v>
      </c>
      <c r="E5206">
        <v>0.49381819999999998</v>
      </c>
      <c r="F5206" t="s">
        <v>39</v>
      </c>
      <c r="G5206">
        <v>-296.0222</v>
      </c>
      <c r="H5206" s="1">
        <v>-1.6969099999999899E-6</v>
      </c>
      <c r="I5206">
        <v>-28.475570000000001</v>
      </c>
      <c r="J5206">
        <v>-302.89870000000002</v>
      </c>
      <c r="K5206">
        <v>1.0484929999999999</v>
      </c>
      <c r="L5206">
        <v>9.8480219999999993E-2</v>
      </c>
      <c r="M5206">
        <v>0.32347409999999999</v>
      </c>
      <c r="N5206">
        <v>0</v>
      </c>
      <c r="O5206">
        <v>-0.94614769999999904</v>
      </c>
      <c r="P5206">
        <v>0.21665180000000001</v>
      </c>
      <c r="Q5206">
        <v>2.1268519999999999E-2</v>
      </c>
      <c r="R5206">
        <v>-0.97601719999999903</v>
      </c>
      <c r="S5206">
        <v>0.70410159999999999</v>
      </c>
      <c r="T5206">
        <v>-0.106169899999999</v>
      </c>
      <c r="U5206">
        <v>-2.9193119999999899</v>
      </c>
      <c r="V5206">
        <v>0.11142919999999901</v>
      </c>
      <c r="W5206">
        <v>3.1865749999999998E-2</v>
      </c>
      <c r="X5206">
        <v>0.99326130000000001</v>
      </c>
      <c r="Y5206">
        <v>9.2760770000000006E-2</v>
      </c>
      <c r="Z5206">
        <v>3.290204E-2</v>
      </c>
      <c r="AA5206">
        <v>0.99514469999999999</v>
      </c>
      <c r="AB5206">
        <v>26</v>
      </c>
      <c r="AC5206">
        <v>6.8765000000000196</v>
      </c>
      <c r="AD5206">
        <v>-1.04849469691</v>
      </c>
      <c r="AE5206">
        <v>-28.57405022</v>
      </c>
      <c r="AF5206">
        <v>2.7335327927150002</v>
      </c>
      <c r="AG5206">
        <v>-1.04849469691</v>
      </c>
      <c r="AH5206">
        <v>29.224919244306999</v>
      </c>
      <c r="AI5206">
        <v>92.045782452561198</v>
      </c>
      <c r="AJ5206">
        <v>84.656425394093603</v>
      </c>
      <c r="AK5206">
        <v>29.3712009882906</v>
      </c>
    </row>
    <row r="5207" spans="1:37" x14ac:dyDescent="0.2">
      <c r="A5207" t="str">
        <f>"20200111153534773"</f>
        <v>20200111153534773</v>
      </c>
      <c r="B5207" t="str">
        <f>"1578728134760666"</f>
        <v>1578728134760666</v>
      </c>
      <c r="C5207" t="s">
        <v>37</v>
      </c>
      <c r="D5207">
        <v>4.8273320000000002</v>
      </c>
      <c r="E5207">
        <v>0.49378929999999999</v>
      </c>
      <c r="F5207" t="s">
        <v>39</v>
      </c>
      <c r="G5207">
        <v>-295.84309999999999</v>
      </c>
      <c r="H5207" s="1">
        <v>-1.4361159999999999E-6</v>
      </c>
      <c r="I5207">
        <v>-29.381999999999898</v>
      </c>
      <c r="J5207">
        <v>-302.8236</v>
      </c>
      <c r="K5207">
        <v>1.050117</v>
      </c>
      <c r="L5207">
        <v>-0.1552124</v>
      </c>
      <c r="M5207">
        <v>0.31685839999999998</v>
      </c>
      <c r="N5207">
        <v>0</v>
      </c>
      <c r="O5207">
        <v>-0.94840469999999899</v>
      </c>
      <c r="P5207">
        <v>0.21245320000000001</v>
      </c>
      <c r="Q5207">
        <v>2.2740170000000001E-2</v>
      </c>
      <c r="R5207">
        <v>-0.97690689999999902</v>
      </c>
      <c r="S5207">
        <v>0.69903559999999998</v>
      </c>
      <c r="T5207">
        <v>-0.1038806</v>
      </c>
      <c r="U5207">
        <v>-2.9208069999999999</v>
      </c>
      <c r="V5207">
        <v>0.1087019</v>
      </c>
      <c r="W5207">
        <v>3.192151E-2</v>
      </c>
      <c r="X5207">
        <v>0.99356169999999999</v>
      </c>
      <c r="Y5207">
        <v>8.7541930000000004E-2</v>
      </c>
      <c r="Z5207">
        <v>3.2307280000000001E-2</v>
      </c>
      <c r="AA5207">
        <v>0.99563679999999999</v>
      </c>
      <c r="AB5207">
        <v>25</v>
      </c>
      <c r="AC5207">
        <v>6.9805000000000001</v>
      </c>
      <c r="AD5207">
        <v>-1.0501184361159901</v>
      </c>
      <c r="AE5207">
        <v>-29.226787599999899</v>
      </c>
      <c r="AF5207">
        <v>2.6373638353178102</v>
      </c>
      <c r="AG5207">
        <v>-1.0501184361159901</v>
      </c>
      <c r="AH5207">
        <v>29.896075695444601</v>
      </c>
      <c r="AI5207">
        <v>92.003946922171096</v>
      </c>
      <c r="AJ5207">
        <v>84.958547695008306</v>
      </c>
      <c r="AK5207">
        <v>30.030547426203601</v>
      </c>
    </row>
    <row r="5208" spans="1:37" x14ac:dyDescent="0.2">
      <c r="A5208" t="str">
        <f>"20200111153534795"</f>
        <v>20200111153534795</v>
      </c>
      <c r="B5208" t="str">
        <f>"1578728134790922"</f>
        <v>1578728134790922</v>
      </c>
      <c r="C5208" t="s">
        <v>37</v>
      </c>
      <c r="D5208">
        <v>4.8666549999999997</v>
      </c>
      <c r="E5208">
        <v>0.49340139999999999</v>
      </c>
      <c r="F5208" t="s">
        <v>39</v>
      </c>
      <c r="G5208">
        <v>-295.78219999999999</v>
      </c>
      <c r="H5208" s="1">
        <v>-1.1978189999999899E-6</v>
      </c>
      <c r="I5208">
        <v>-30.129840000000002</v>
      </c>
      <c r="J5208">
        <v>-302.75189999999998</v>
      </c>
      <c r="K5208">
        <v>1.0524119999999999</v>
      </c>
      <c r="L5208">
        <v>-0.4017944</v>
      </c>
      <c r="M5208">
        <v>0.30809999999999998</v>
      </c>
      <c r="N5208">
        <v>0</v>
      </c>
      <c r="O5208">
        <v>-0.95130439999999905</v>
      </c>
      <c r="P5208">
        <v>0.2062784</v>
      </c>
      <c r="Q5208">
        <v>2.3438819999999999E-2</v>
      </c>
      <c r="R5208">
        <v>-0.97821290000000005</v>
      </c>
      <c r="S5208">
        <v>0.68685909999999994</v>
      </c>
      <c r="T5208">
        <v>-0.1024354</v>
      </c>
      <c r="U5208">
        <v>-2.9239199999999999</v>
      </c>
      <c r="V5208">
        <v>0.105713899999999</v>
      </c>
      <c r="W5208">
        <v>3.129287E-2</v>
      </c>
      <c r="X5208">
        <v>0.99390409999999996</v>
      </c>
      <c r="Y5208">
        <v>8.2512650000000007E-2</v>
      </c>
      <c r="Z5208">
        <v>3.1993849999999997E-2</v>
      </c>
      <c r="AA5208">
        <v>0.99607630000000003</v>
      </c>
      <c r="AB5208">
        <v>26</v>
      </c>
      <c r="AC5208">
        <v>6.96969999999998</v>
      </c>
      <c r="AD5208">
        <v>-1.0524131978189999</v>
      </c>
      <c r="AE5208">
        <v>-29.728045600000002</v>
      </c>
      <c r="AF5208">
        <v>2.52602304414334</v>
      </c>
      <c r="AG5208">
        <v>-1.0524131978189999</v>
      </c>
      <c r="AH5208">
        <v>30.3931145952495</v>
      </c>
      <c r="AI5208">
        <v>91.9763625541827</v>
      </c>
      <c r="AJ5208">
        <v>85.248970326063997</v>
      </c>
      <c r="AK5208">
        <v>30.516057752574401</v>
      </c>
    </row>
    <row r="5209" spans="1:37" x14ac:dyDescent="0.2">
      <c r="A5209" t="str">
        <f>"20200111153534818"</f>
        <v>20200111153534818</v>
      </c>
      <c r="B5209" t="str">
        <f>"1578728134811418"</f>
        <v>1578728134811418</v>
      </c>
      <c r="C5209" t="s">
        <v>37</v>
      </c>
      <c r="D5209">
        <v>4.8129860000000004</v>
      </c>
      <c r="E5209">
        <v>0.49315049999999999</v>
      </c>
      <c r="F5209" t="s">
        <v>39</v>
      </c>
      <c r="G5209">
        <v>-295.92630000000003</v>
      </c>
      <c r="H5209" s="1">
        <v>-1.1500650000000001E-6</v>
      </c>
      <c r="I5209">
        <v>-30.157499999999999</v>
      </c>
      <c r="J5209">
        <v>-302.67939999999999</v>
      </c>
      <c r="K5209">
        <v>1.0547850000000001</v>
      </c>
      <c r="L5209">
        <v>-0.65640259999999995</v>
      </c>
      <c r="M5209">
        <v>0.29835780000000001</v>
      </c>
      <c r="N5209">
        <v>0</v>
      </c>
      <c r="O5209">
        <v>-0.9544184</v>
      </c>
      <c r="P5209">
        <v>0.19928660000000001</v>
      </c>
      <c r="Q5209">
        <v>2.4448609999999999E-2</v>
      </c>
      <c r="R5209">
        <v>-0.97963630000000002</v>
      </c>
      <c r="S5209">
        <v>0.67156979999999999</v>
      </c>
      <c r="T5209">
        <v>-0.10354719999999901</v>
      </c>
      <c r="U5209">
        <v>-2.927673</v>
      </c>
      <c r="V5209">
        <v>0.102573</v>
      </c>
      <c r="W5209">
        <v>3.107888E-2</v>
      </c>
      <c r="X5209">
        <v>0.99423989999999995</v>
      </c>
      <c r="Y5209">
        <v>7.7542050000000001E-2</v>
      </c>
      <c r="Z5209">
        <v>3.248496E-2</v>
      </c>
      <c r="AA5209">
        <v>0.99645969999999995</v>
      </c>
      <c r="AB5209">
        <v>26</v>
      </c>
      <c r="AC5209">
        <v>6.7530999999999599</v>
      </c>
      <c r="AD5209">
        <v>-1.054786150065</v>
      </c>
      <c r="AE5209">
        <v>-29.501097399999999</v>
      </c>
      <c r="AF5209">
        <v>2.3538207116411001</v>
      </c>
      <c r="AG5209">
        <v>-1.054786150065</v>
      </c>
      <c r="AH5209">
        <v>30.1356522349496</v>
      </c>
      <c r="AI5209">
        <v>91.998524748438598</v>
      </c>
      <c r="AJ5209">
        <v>85.533837052068193</v>
      </c>
      <c r="AK5209">
        <v>30.245835769420299</v>
      </c>
    </row>
    <row r="5210" spans="1:37" x14ac:dyDescent="0.2">
      <c r="A5210" t="str">
        <f>"20200111153534840"</f>
        <v>20200111153534840</v>
      </c>
      <c r="B5210" t="str">
        <f>"1578728134830592"</f>
        <v>1578728134830592</v>
      </c>
      <c r="C5210" t="s">
        <v>37</v>
      </c>
      <c r="D5210">
        <v>4.8120149999999997</v>
      </c>
      <c r="E5210">
        <v>0.49295290000000003</v>
      </c>
      <c r="F5210" t="s">
        <v>39</v>
      </c>
      <c r="G5210">
        <v>-295.93639999999999</v>
      </c>
      <c r="H5210" s="1">
        <v>-4.768595E-6</v>
      </c>
      <c r="I5210">
        <v>-30.931750000000001</v>
      </c>
      <c r="J5210">
        <v>-302.61219999999997</v>
      </c>
      <c r="K5210">
        <v>1.056643</v>
      </c>
      <c r="L5210">
        <v>-0.90054319999999899</v>
      </c>
      <c r="M5210">
        <v>0.28960059999999999</v>
      </c>
      <c r="N5210">
        <v>0</v>
      </c>
      <c r="O5210">
        <v>-0.95712369999999902</v>
      </c>
      <c r="P5210">
        <v>0.19304679999999999</v>
      </c>
      <c r="Q5210">
        <v>2.572526E-2</v>
      </c>
      <c r="R5210">
        <v>-0.98085239999999996</v>
      </c>
      <c r="S5210">
        <v>0.65304569999999995</v>
      </c>
      <c r="T5210">
        <v>-0.1021529</v>
      </c>
      <c r="U5210">
        <v>-2.9320680000000001</v>
      </c>
      <c r="V5210">
        <v>9.9754620000000002E-2</v>
      </c>
      <c r="W5210">
        <v>3.1011210000000001E-2</v>
      </c>
      <c r="X5210">
        <v>0.99452870000000004</v>
      </c>
      <c r="Y5210">
        <v>7.4716080000000004E-2</v>
      </c>
      <c r="Z5210">
        <v>3.2162929999999999E-2</v>
      </c>
      <c r="AA5210">
        <v>0.99668599999999996</v>
      </c>
      <c r="AB5210">
        <v>26</v>
      </c>
      <c r="AC5210">
        <v>6.6757999999999802</v>
      </c>
      <c r="AD5210">
        <v>-1.056647768595</v>
      </c>
      <c r="AE5210">
        <v>-30.0312068</v>
      </c>
      <c r="AF5210">
        <v>2.3048228829742698</v>
      </c>
      <c r="AG5210">
        <v>-1.056647768595</v>
      </c>
      <c r="AH5210">
        <v>30.641449299062099</v>
      </c>
      <c r="AI5210">
        <v>91.969460787864904</v>
      </c>
      <c r="AJ5210">
        <v>85.698362391123695</v>
      </c>
      <c r="AK5210">
        <v>30.746172577668201</v>
      </c>
    </row>
    <row r="5211" spans="1:37" x14ac:dyDescent="0.2">
      <c r="A5211" t="str">
        <f>"20200111153534862"</f>
        <v>20200111153534862</v>
      </c>
      <c r="B5211" t="str">
        <f>"1578728134851088"</f>
        <v>1578728134851088</v>
      </c>
      <c r="C5211" t="s">
        <v>37</v>
      </c>
      <c r="D5211">
        <v>4.9807379999999997</v>
      </c>
      <c r="E5211">
        <v>0.49292390000000003</v>
      </c>
      <c r="F5211" t="s">
        <v>39</v>
      </c>
      <c r="G5211">
        <v>-295.99149999999997</v>
      </c>
      <c r="H5211" s="1">
        <v>-4.5345700000000002E-6</v>
      </c>
      <c r="I5211">
        <v>-31.45448</v>
      </c>
      <c r="J5211">
        <v>-302.54700000000003</v>
      </c>
      <c r="K5211">
        <v>1.058227</v>
      </c>
      <c r="L5211">
        <v>-1.14621</v>
      </c>
      <c r="M5211">
        <v>0.2815995</v>
      </c>
      <c r="N5211">
        <v>0</v>
      </c>
      <c r="O5211">
        <v>-0.95951769999999903</v>
      </c>
      <c r="P5211">
        <v>0.1881989</v>
      </c>
      <c r="Q5211">
        <v>2.7946260000000001E-2</v>
      </c>
      <c r="R5211">
        <v>-0.98173330000000003</v>
      </c>
      <c r="S5211">
        <v>0.63619999999999999</v>
      </c>
      <c r="T5211">
        <v>-0.1015359</v>
      </c>
      <c r="U5211">
        <v>-2.93600499999999</v>
      </c>
      <c r="V5211">
        <v>9.6352220000000002E-2</v>
      </c>
      <c r="W5211">
        <v>3.1789489999999997E-2</v>
      </c>
      <c r="X5211">
        <v>0.99483949999999999</v>
      </c>
      <c r="Y5211">
        <v>7.2125629999999996E-2</v>
      </c>
      <c r="Z5211">
        <v>3.2069470000000003E-2</v>
      </c>
      <c r="AA5211">
        <v>0.99687990000000004</v>
      </c>
      <c r="AB5211">
        <v>26</v>
      </c>
      <c r="AC5211">
        <v>6.5555000000000501</v>
      </c>
      <c r="AD5211">
        <v>-1.05823153457</v>
      </c>
      <c r="AE5211">
        <v>-30.30827</v>
      </c>
      <c r="AF5211">
        <v>2.24209508843043</v>
      </c>
      <c r="AG5211">
        <v>-1.05823153457</v>
      </c>
      <c r="AH5211">
        <v>30.891795331857502</v>
      </c>
      <c r="AI5211">
        <v>91.9568179055847</v>
      </c>
      <c r="AJ5211">
        <v>85.848809468984001</v>
      </c>
      <c r="AK5211">
        <v>30.991125555418201</v>
      </c>
    </row>
    <row r="5212" spans="1:37" x14ac:dyDescent="0.2">
      <c r="A5212" t="str">
        <f>"20200111153534885"</f>
        <v>20200111153534885</v>
      </c>
      <c r="B5212" t="str">
        <f>"1578728134881344"</f>
        <v>1578728134881344</v>
      </c>
      <c r="C5212" t="s">
        <v>37</v>
      </c>
      <c r="D5212">
        <v>4.5907819999999999</v>
      </c>
      <c r="E5212">
        <v>0.52297970000000005</v>
      </c>
      <c r="F5212" t="s">
        <v>39</v>
      </c>
      <c r="G5212">
        <v>-295.62060000000002</v>
      </c>
      <c r="H5212" s="1">
        <v>-3.5591949999999998E-6</v>
      </c>
      <c r="I5212">
        <v>-33.881450000000001</v>
      </c>
      <c r="J5212">
        <v>-302.48309999999998</v>
      </c>
      <c r="K5212">
        <v>1.0598160000000001</v>
      </c>
      <c r="L5212">
        <v>-1.3955690000000001</v>
      </c>
      <c r="M5212">
        <v>0.27367540000000001</v>
      </c>
      <c r="N5212">
        <v>0</v>
      </c>
      <c r="O5212">
        <v>-0.96181419999999995</v>
      </c>
      <c r="P5212">
        <v>0.1841006</v>
      </c>
      <c r="Q5212">
        <v>2.977523E-2</v>
      </c>
      <c r="R5212">
        <v>-0.98245659999999901</v>
      </c>
      <c r="S5212">
        <v>0.62191770000000002</v>
      </c>
      <c r="T5212">
        <v>-9.5018630000000007E-2</v>
      </c>
      <c r="U5212">
        <v>-2.9393009999999999</v>
      </c>
      <c r="V5212">
        <v>9.2284599999999994E-2</v>
      </c>
      <c r="W5212">
        <v>3.2337100000000001E-2</v>
      </c>
      <c r="X5212">
        <v>0.99520739999999996</v>
      </c>
      <c r="Y5212">
        <v>6.8746169999999995E-2</v>
      </c>
      <c r="Z5212">
        <v>3.0106859999999999E-2</v>
      </c>
      <c r="AA5212">
        <v>0.99717979999999995</v>
      </c>
      <c r="AB5212">
        <v>26</v>
      </c>
      <c r="AC5212">
        <v>6.8624999999999501</v>
      </c>
      <c r="AD5212">
        <v>-1.0598195591949999</v>
      </c>
      <c r="AE5212">
        <v>-32.485880999999999</v>
      </c>
      <c r="AF5212">
        <v>2.2878229877811598</v>
      </c>
      <c r="AG5212">
        <v>-1.0598195591949999</v>
      </c>
      <c r="AH5212">
        <v>33.090017076466303</v>
      </c>
      <c r="AI5212">
        <v>91.830097785208295</v>
      </c>
      <c r="AJ5212">
        <v>86.044899920083594</v>
      </c>
      <c r="AK5212">
        <v>33.185939517245899</v>
      </c>
    </row>
    <row r="5213" spans="1:37" x14ac:dyDescent="0.2">
      <c r="A5213" t="str">
        <f>"20200111153534907"</f>
        <v>20200111153534907</v>
      </c>
      <c r="B5213" t="str">
        <f>"1578728134900867"</f>
        <v>1578728134900867</v>
      </c>
      <c r="C5213" t="s">
        <v>37</v>
      </c>
      <c r="D5213">
        <v>4.7167279999999998</v>
      </c>
      <c r="E5213">
        <v>0.5506259</v>
      </c>
      <c r="F5213" t="s">
        <v>40</v>
      </c>
      <c r="G5213">
        <v>-302.3784</v>
      </c>
      <c r="H5213">
        <v>0.87816229999999995</v>
      </c>
      <c r="I5213">
        <v>-2.2265630000000001</v>
      </c>
      <c r="J5213">
        <v>-302.41910000000001</v>
      </c>
      <c r="K5213">
        <v>1.061652</v>
      </c>
      <c r="L5213">
        <v>-1.6525879999999999</v>
      </c>
      <c r="M5213">
        <v>0.2645364</v>
      </c>
      <c r="N5213">
        <v>0</v>
      </c>
      <c r="O5213">
        <v>-0.96437109999999904</v>
      </c>
      <c r="P5213">
        <v>0.179359299999999</v>
      </c>
      <c r="Q5213">
        <v>3.1978010000000001E-2</v>
      </c>
      <c r="R5213">
        <v>-0.98326389999999997</v>
      </c>
      <c r="S5213">
        <v>0.37860110000000002</v>
      </c>
      <c r="T5213">
        <v>-0.65587019999999996</v>
      </c>
      <c r="U5213">
        <v>-3.0025019999999998</v>
      </c>
      <c r="V5213">
        <v>8.7628979999999995E-2</v>
      </c>
      <c r="W5213">
        <v>3.3758730000000001E-2</v>
      </c>
      <c r="X5213">
        <v>0.99558099999999905</v>
      </c>
      <c r="Y5213">
        <v>0.14441129999999999</v>
      </c>
      <c r="Z5213">
        <v>0.2003152</v>
      </c>
      <c r="AA5213">
        <v>0.96902999999999995</v>
      </c>
      <c r="AB5213">
        <v>26</v>
      </c>
      <c r="AC5213">
        <v>4.0700000000015203E-2</v>
      </c>
      <c r="AD5213">
        <v>-0.18348970000000001</v>
      </c>
      <c r="AE5213">
        <v>-0.57397499999999901</v>
      </c>
      <c r="AF5213">
        <v>0.102196018028297</v>
      </c>
      <c r="AG5213">
        <v>-0.18348970000000001</v>
      </c>
      <c r="AH5213">
        <v>0.51220971280240801</v>
      </c>
      <c r="AI5213">
        <v>109.35675131527699</v>
      </c>
      <c r="AJ5213">
        <v>78.716521042240799</v>
      </c>
      <c r="AK5213">
        <v>0.55359848807240697</v>
      </c>
    </row>
    <row r="5214" spans="1:37" x14ac:dyDescent="0.2">
      <c r="A5214" t="str">
        <f>"20200111153534929"</f>
        <v>20200111153534929</v>
      </c>
      <c r="B5214" t="str">
        <f>"1578728134921361"</f>
        <v>1578728134921361</v>
      </c>
      <c r="C5214" t="s">
        <v>37</v>
      </c>
      <c r="D5214">
        <v>4.9500449999999896</v>
      </c>
      <c r="E5214">
        <v>0.55669709999999994</v>
      </c>
      <c r="F5214" t="s">
        <v>40</v>
      </c>
      <c r="G5214">
        <v>-302.37979999999999</v>
      </c>
      <c r="H5214">
        <v>0.88858280000000001</v>
      </c>
      <c r="I5214">
        <v>-2.4698820000000001</v>
      </c>
      <c r="J5214">
        <v>-302.36059999999998</v>
      </c>
      <c r="K5214">
        <v>1.063318</v>
      </c>
      <c r="L5214">
        <v>-1.8939509999999999</v>
      </c>
      <c r="M5214">
        <v>0.2557413</v>
      </c>
      <c r="N5214">
        <v>0</v>
      </c>
      <c r="O5214">
        <v>-0.96674130000000003</v>
      </c>
      <c r="P5214">
        <v>0.174816</v>
      </c>
      <c r="Q5214">
        <v>3.3390620000000003E-2</v>
      </c>
      <c r="R5214">
        <v>-0.98403499999999999</v>
      </c>
      <c r="S5214">
        <v>0.1469116</v>
      </c>
      <c r="T5214">
        <v>-0.64460119999999999</v>
      </c>
      <c r="U5214">
        <v>-3.0452270000000001</v>
      </c>
      <c r="V5214">
        <v>8.3175970000000002E-2</v>
      </c>
      <c r="W5214">
        <v>3.4972509999999998E-2</v>
      </c>
      <c r="X5214">
        <v>0.99592099999999995</v>
      </c>
      <c r="Y5214">
        <v>0.20974949999999901</v>
      </c>
      <c r="Z5214">
        <v>0.1944536</v>
      </c>
      <c r="AA5214">
        <v>0.95822389999999902</v>
      </c>
      <c r="AB5214">
        <v>25</v>
      </c>
      <c r="AC5214">
        <v>-1.9200000000011999E-2</v>
      </c>
      <c r="AD5214">
        <v>-0.17473519999999901</v>
      </c>
      <c r="AE5214">
        <v>-0.57593099999999997</v>
      </c>
      <c r="AF5214">
        <v>0.15188595408806399</v>
      </c>
      <c r="AG5214">
        <v>-0.17473519999999901</v>
      </c>
      <c r="AH5214">
        <v>0.50539830959160204</v>
      </c>
      <c r="AI5214">
        <v>108.32014501658099</v>
      </c>
      <c r="AJ5214">
        <v>73.273045972036201</v>
      </c>
      <c r="AK5214">
        <v>0.55590393460231102</v>
      </c>
    </row>
    <row r="5215" spans="1:37" x14ac:dyDescent="0.2">
      <c r="A5215" t="str">
        <f>"20200111153534952"</f>
        <v>20200111153534952</v>
      </c>
      <c r="B5215" t="str">
        <f>"1578728134940880"</f>
        <v>1578728134940880</v>
      </c>
      <c r="C5215" t="s">
        <v>37</v>
      </c>
      <c r="D5215">
        <v>5.1033109999999997</v>
      </c>
      <c r="E5215">
        <v>0.57224140000000001</v>
      </c>
      <c r="F5215" t="s">
        <v>40</v>
      </c>
      <c r="G5215">
        <v>-302.33839999999998</v>
      </c>
      <c r="H5215">
        <v>0.90694949999999996</v>
      </c>
      <c r="I5215">
        <v>-2.7006929999999998</v>
      </c>
      <c r="J5215">
        <v>-302.30189999999999</v>
      </c>
      <c r="K5215">
        <v>1.0649999999999999</v>
      </c>
      <c r="L5215">
        <v>-2.1443479999999999</v>
      </c>
      <c r="M5215">
        <v>0.2479537</v>
      </c>
      <c r="N5215">
        <v>0</v>
      </c>
      <c r="O5215">
        <v>-0.96876719999999905</v>
      </c>
      <c r="P5215">
        <v>0.17080029999999999</v>
      </c>
      <c r="Q5215">
        <v>3.4500509999999998E-2</v>
      </c>
      <c r="R5215">
        <v>-0.98470190000000002</v>
      </c>
      <c r="S5215">
        <v>8.4350590000000003E-2</v>
      </c>
      <c r="T5215">
        <v>-0.59153889999999998</v>
      </c>
      <c r="U5215">
        <v>-3.0537719999999999</v>
      </c>
      <c r="V5215">
        <v>7.9279150000000007E-2</v>
      </c>
      <c r="W5215">
        <v>3.6300609999999997E-2</v>
      </c>
      <c r="X5215">
        <v>0.9961913</v>
      </c>
      <c r="Y5215">
        <v>0.22151399999999999</v>
      </c>
      <c r="Z5215">
        <v>0.17893870000000001</v>
      </c>
      <c r="AA5215">
        <v>0.95859919999999998</v>
      </c>
      <c r="AB5215">
        <v>25</v>
      </c>
      <c r="AC5215">
        <v>-3.6499999999989499E-2</v>
      </c>
      <c r="AD5215">
        <v>-0.15805049999999901</v>
      </c>
      <c r="AE5215">
        <v>-0.55634499999999998</v>
      </c>
      <c r="AF5215">
        <v>0.16041749561985999</v>
      </c>
      <c r="AG5215">
        <v>-0.15805049999999901</v>
      </c>
      <c r="AH5215">
        <v>0.49050413842775398</v>
      </c>
      <c r="AI5215">
        <v>107.027624576242</v>
      </c>
      <c r="AJ5215">
        <v>71.889865929326206</v>
      </c>
      <c r="AK5215">
        <v>0.53972960199154396</v>
      </c>
    </row>
    <row r="5216" spans="1:37" x14ac:dyDescent="0.2">
      <c r="A5216" t="str">
        <f>"20200111153534975"</f>
        <v>20200111153534975</v>
      </c>
      <c r="B5216" t="str">
        <f>"1578728134971136"</f>
        <v>1578728134971136</v>
      </c>
      <c r="C5216" t="s">
        <v>37</v>
      </c>
      <c r="D5216">
        <v>4.8467669999999998</v>
      </c>
      <c r="E5216">
        <v>0.57169569999999903</v>
      </c>
      <c r="F5216" t="s">
        <v>73</v>
      </c>
      <c r="G5216">
        <v>-303.91129999999998</v>
      </c>
      <c r="H5216">
        <v>2.9693689999999999</v>
      </c>
      <c r="I5216">
        <v>-91.564989999999995</v>
      </c>
      <c r="J5216">
        <v>-302.24689999999998</v>
      </c>
      <c r="K5216">
        <v>1.0669729999999999</v>
      </c>
      <c r="L5216">
        <v>-2.3900450000000002</v>
      </c>
      <c r="M5216">
        <v>0.24166409999999999</v>
      </c>
      <c r="N5216">
        <v>0</v>
      </c>
      <c r="O5216">
        <v>-0.97035400000000005</v>
      </c>
      <c r="P5216">
        <v>0.1681974</v>
      </c>
      <c r="Q5216">
        <v>3.523362E-2</v>
      </c>
      <c r="R5216">
        <v>-0.98512359999999899</v>
      </c>
      <c r="S5216">
        <v>-5.4962160000000003E-2</v>
      </c>
      <c r="T5216">
        <v>6.5037849999999994E-2</v>
      </c>
      <c r="U5216">
        <v>-3.0538639999999999</v>
      </c>
      <c r="V5216">
        <v>7.5499090000000005E-2</v>
      </c>
      <c r="W5216">
        <v>3.7373240000000002E-2</v>
      </c>
      <c r="X5216">
        <v>0.99644519999999903</v>
      </c>
      <c r="Y5216">
        <v>0.25908300000000001</v>
      </c>
      <c r="Z5216">
        <v>-1.9979670000000001E-2</v>
      </c>
      <c r="AA5216">
        <v>0.96564839999999996</v>
      </c>
      <c r="AB5216">
        <v>25</v>
      </c>
      <c r="AC5216">
        <v>-1.6644000000000001</v>
      </c>
      <c r="AD5216">
        <v>1.902396</v>
      </c>
      <c r="AE5216">
        <v>-89.174944999999994</v>
      </c>
      <c r="AF5216">
        <v>23.155039708408001</v>
      </c>
      <c r="AG5216">
        <v>1.902396</v>
      </c>
      <c r="AH5216">
        <v>86.090370510851102</v>
      </c>
      <c r="AI5216">
        <v>88.777534239777594</v>
      </c>
      <c r="AJ5216">
        <v>74.945870453004204</v>
      </c>
      <c r="AK5216">
        <v>89.170212902820793</v>
      </c>
    </row>
    <row r="5217" spans="1:37" x14ac:dyDescent="0.2">
      <c r="A5217" t="str">
        <f>"20200111153534997"</f>
        <v>20200111153534997</v>
      </c>
      <c r="B5217" t="str">
        <f>"1578728134990656"</f>
        <v>1578728134990656</v>
      </c>
      <c r="C5217" t="s">
        <v>37</v>
      </c>
      <c r="D5217">
        <v>4.8481620000000003</v>
      </c>
      <c r="E5217">
        <v>0.56979760000000002</v>
      </c>
      <c r="F5217" t="s">
        <v>73</v>
      </c>
      <c r="G5217">
        <v>-303.9452</v>
      </c>
      <c r="H5217">
        <v>0.55437329999999996</v>
      </c>
      <c r="I5217">
        <v>-91.564989999999995</v>
      </c>
      <c r="J5217">
        <v>-302.19229999999999</v>
      </c>
      <c r="K5217">
        <v>1.0695889999999999</v>
      </c>
      <c r="L5217">
        <v>-2.6453250000000001</v>
      </c>
      <c r="M5217">
        <v>0.23501949999999999</v>
      </c>
      <c r="N5217">
        <v>0</v>
      </c>
      <c r="O5217">
        <v>-0.97198390000000001</v>
      </c>
      <c r="P5217">
        <v>0.16499169999999999</v>
      </c>
      <c r="Q5217">
        <v>3.5991799999999997E-2</v>
      </c>
      <c r="R5217">
        <v>-0.98563829999999997</v>
      </c>
      <c r="S5217">
        <v>-5.8197020000000002E-2</v>
      </c>
      <c r="T5217">
        <v>-1.756549E-2</v>
      </c>
      <c r="U5217">
        <v>-3.0558779999999999</v>
      </c>
      <c r="V5217">
        <v>7.1932949999999996E-2</v>
      </c>
      <c r="W5217">
        <v>3.8410100000000003E-2</v>
      </c>
      <c r="X5217">
        <v>0.99666960000000004</v>
      </c>
      <c r="Y5217">
        <v>0.25348559999999998</v>
      </c>
      <c r="Z5217">
        <v>5.4119650000000004E-3</v>
      </c>
      <c r="AA5217">
        <v>0.96732399999999996</v>
      </c>
      <c r="AB5217">
        <v>25</v>
      </c>
      <c r="AC5217">
        <v>-1.7529000000000099</v>
      </c>
      <c r="AD5217">
        <v>-0.51521569999999905</v>
      </c>
      <c r="AE5217">
        <v>-88.919664999999995</v>
      </c>
      <c r="AF5217">
        <v>22.6010357227164</v>
      </c>
      <c r="AG5217">
        <v>-0.51521569999999905</v>
      </c>
      <c r="AH5217">
        <v>86.014195332347299</v>
      </c>
      <c r="AI5217">
        <v>90.331924453633903</v>
      </c>
      <c r="AJ5217">
        <v>75.277794204192105</v>
      </c>
      <c r="AK5217">
        <v>88.935448847061096</v>
      </c>
    </row>
    <row r="5218" spans="1:37" x14ac:dyDescent="0.2">
      <c r="A5218" t="str">
        <f>"20200111153535018"</f>
        <v>20200111153535018</v>
      </c>
      <c r="B5218" t="str">
        <f>"1578728135011152"</f>
        <v>1578728135011152</v>
      </c>
      <c r="C5218" t="s">
        <v>37</v>
      </c>
      <c r="D5218">
        <v>4.8305419999999897</v>
      </c>
      <c r="E5218">
        <v>0.56833409999999995</v>
      </c>
      <c r="F5218" t="s">
        <v>38</v>
      </c>
      <c r="G5218">
        <v>-303.66149999999999</v>
      </c>
      <c r="H5218">
        <v>-0.05</v>
      </c>
      <c r="I5218">
        <v>-86.860109999999906</v>
      </c>
      <c r="J5218">
        <v>-302.14280000000002</v>
      </c>
      <c r="K5218">
        <v>1.072468</v>
      </c>
      <c r="L5218">
        <v>-2.8847659999999999</v>
      </c>
      <c r="M5218">
        <v>0.22805539999999999</v>
      </c>
      <c r="N5218">
        <v>0</v>
      </c>
      <c r="O5218">
        <v>-0.97364059999999897</v>
      </c>
      <c r="P5218">
        <v>0.1609971</v>
      </c>
      <c r="Q5218">
        <v>3.6477210000000003E-2</v>
      </c>
      <c r="R5218">
        <v>-0.98628090000000002</v>
      </c>
      <c r="S5218">
        <v>-5.3283690000000002E-2</v>
      </c>
      <c r="T5218">
        <v>-4.0602680000000002E-2</v>
      </c>
      <c r="U5218">
        <v>-3.0541079999999998</v>
      </c>
      <c r="V5218">
        <v>6.8809149999999999E-2</v>
      </c>
      <c r="W5218">
        <v>3.9207720000000001E-2</v>
      </c>
      <c r="X5218">
        <v>0.9968591</v>
      </c>
      <c r="Y5218">
        <v>0.2450049</v>
      </c>
      <c r="Z5218">
        <v>1.2563939999999999E-2</v>
      </c>
      <c r="AA5218">
        <v>0.96944050000000004</v>
      </c>
      <c r="AB5218">
        <v>25</v>
      </c>
      <c r="AC5218">
        <v>-1.51869999999996</v>
      </c>
      <c r="AD5218">
        <v>-1.122468</v>
      </c>
      <c r="AE5218">
        <v>-83.975343999999893</v>
      </c>
      <c r="AF5218">
        <v>20.6261664356505</v>
      </c>
      <c r="AG5218">
        <v>-1.122468</v>
      </c>
      <c r="AH5218">
        <v>81.401516656016298</v>
      </c>
      <c r="AI5218">
        <v>90.765817871761897</v>
      </c>
      <c r="AJ5218">
        <v>75.781203993858298</v>
      </c>
      <c r="AK5218">
        <v>83.9815788738333</v>
      </c>
    </row>
    <row r="5219" spans="1:37" x14ac:dyDescent="0.2">
      <c r="A5219" t="str">
        <f>"20200111153535041"</f>
        <v>20200111153535041</v>
      </c>
      <c r="B5219" t="str">
        <f>"1578728135030672"</f>
        <v>1578728135030672</v>
      </c>
      <c r="C5219" t="s">
        <v>37</v>
      </c>
      <c r="D5219">
        <v>4.8488389999999999</v>
      </c>
      <c r="E5219">
        <v>0.56753290000000001</v>
      </c>
      <c r="F5219" t="s">
        <v>65</v>
      </c>
      <c r="G5219">
        <v>-303.18560000000002</v>
      </c>
      <c r="H5219" s="1">
        <v>-9.906412E-6</v>
      </c>
      <c r="I5219">
        <v>-62.114989999999999</v>
      </c>
      <c r="J5219">
        <v>-302.09269999999998</v>
      </c>
      <c r="K5219">
        <v>1.07562</v>
      </c>
      <c r="L5219">
        <v>-3.1361080000000001</v>
      </c>
      <c r="M5219">
        <v>0.22023960000000001</v>
      </c>
      <c r="N5219">
        <v>0</v>
      </c>
      <c r="O5219">
        <v>-0.97543649999999904</v>
      </c>
      <c r="P5219">
        <v>0.15631789999999901</v>
      </c>
      <c r="Q5219">
        <v>3.5287220000000001E-2</v>
      </c>
      <c r="R5219">
        <v>-0.98707649999999902</v>
      </c>
      <c r="S5219">
        <v>-5.3741459999999998E-2</v>
      </c>
      <c r="T5219">
        <v>-5.5272340000000003E-2</v>
      </c>
      <c r="U5219">
        <v>-3.0525509999999998</v>
      </c>
      <c r="V5219">
        <v>6.5494419999999998E-2</v>
      </c>
      <c r="W5219">
        <v>3.8548279999999997E-2</v>
      </c>
      <c r="X5219">
        <v>0.99710810000000005</v>
      </c>
      <c r="Y5219">
        <v>0.2373748</v>
      </c>
      <c r="Z5219">
        <v>1.71767E-2</v>
      </c>
      <c r="AA5219">
        <v>0.97126630000000003</v>
      </c>
      <c r="AB5219">
        <v>25</v>
      </c>
      <c r="AC5219">
        <v>-1.09290000000004</v>
      </c>
      <c r="AD5219">
        <v>-1.0756299064120001</v>
      </c>
      <c r="AE5219">
        <v>-58.978881999999899</v>
      </c>
      <c r="AF5219">
        <v>14.0509956391536</v>
      </c>
      <c r="AG5219">
        <v>-1.0756299064120001</v>
      </c>
      <c r="AH5219">
        <v>57.270932139189199</v>
      </c>
      <c r="AI5219">
        <v>91.044986387179094</v>
      </c>
      <c r="AJ5219">
        <v>76.2151863343461</v>
      </c>
      <c r="AK5219">
        <v>58.9792092710533</v>
      </c>
    </row>
    <row r="5220" spans="1:37" x14ac:dyDescent="0.2">
      <c r="A5220" t="str">
        <f>"20200111153535063"</f>
        <v>20200111153535063</v>
      </c>
      <c r="B5220" t="str">
        <f>"1578728135051169"</f>
        <v>1578728135051169</v>
      </c>
      <c r="C5220" t="s">
        <v>37</v>
      </c>
      <c r="D5220">
        <v>4.8264709999999997</v>
      </c>
      <c r="E5220">
        <v>0.56683899999999998</v>
      </c>
      <c r="F5220" t="s">
        <v>65</v>
      </c>
      <c r="G5220">
        <v>-303.06799999999998</v>
      </c>
      <c r="H5220" s="1">
        <v>-6.3044979999999999E-6</v>
      </c>
      <c r="I5220">
        <v>-51.365119999999997</v>
      </c>
      <c r="J5220">
        <v>-302.0446</v>
      </c>
      <c r="K5220">
        <v>1.0786169999999999</v>
      </c>
      <c r="L5220">
        <v>-3.3863219999999998</v>
      </c>
      <c r="M5220">
        <v>0.2125281</v>
      </c>
      <c r="N5220">
        <v>0</v>
      </c>
      <c r="O5220">
        <v>-0.97714319999999899</v>
      </c>
      <c r="P5220">
        <v>0.15202560000000001</v>
      </c>
      <c r="Q5220">
        <v>3.4094180000000002E-2</v>
      </c>
      <c r="R5220">
        <v>-0.98778869999999896</v>
      </c>
      <c r="S5220">
        <v>-6.1706539999999997E-2</v>
      </c>
      <c r="T5220">
        <v>-6.8055630000000006E-2</v>
      </c>
      <c r="U5220">
        <v>-3.0514830000000002</v>
      </c>
      <c r="V5220">
        <v>6.1917420000000001E-2</v>
      </c>
      <c r="W5220">
        <v>3.8057510000000003E-2</v>
      </c>
      <c r="X5220">
        <v>0.99735549999999995</v>
      </c>
      <c r="Y5220">
        <v>0.23223759999999999</v>
      </c>
      <c r="Z5220">
        <v>2.1225379999999999E-2</v>
      </c>
      <c r="AA5220">
        <v>0.9724275</v>
      </c>
      <c r="AB5220">
        <v>25</v>
      </c>
      <c r="AC5220">
        <v>-1.0233999999999801</v>
      </c>
      <c r="AD5220">
        <v>-1.078623304498</v>
      </c>
      <c r="AE5220">
        <v>-47.978797999999998</v>
      </c>
      <c r="AF5220">
        <v>11.1913261498729</v>
      </c>
      <c r="AG5220">
        <v>-1.078623304498</v>
      </c>
      <c r="AH5220">
        <v>46.641628719949402</v>
      </c>
      <c r="AI5220">
        <v>91.288221204409695</v>
      </c>
      <c r="AJ5220">
        <v>76.507361917154697</v>
      </c>
      <c r="AK5220">
        <v>47.977606639717301</v>
      </c>
    </row>
    <row r="5221" spans="1:37" x14ac:dyDescent="0.2">
      <c r="A5221" t="str">
        <f>"20200111153535086"</f>
        <v>20200111153535086</v>
      </c>
      <c r="B5221" t="str">
        <f>"1578728135081434"</f>
        <v>1578728135081434</v>
      </c>
      <c r="C5221" t="s">
        <v>37</v>
      </c>
      <c r="D5221">
        <v>4.8518679999999996</v>
      </c>
      <c r="E5221">
        <v>0.56587540000000003</v>
      </c>
      <c r="F5221" t="s">
        <v>65</v>
      </c>
      <c r="G5221">
        <v>-303.02679999999998</v>
      </c>
      <c r="H5221" s="1">
        <v>-3.9724299999999998E-6</v>
      </c>
      <c r="I5221">
        <v>-46.445340000000002</v>
      </c>
      <c r="J5221">
        <v>-301.99709999999999</v>
      </c>
      <c r="K5221">
        <v>1.0814379999999999</v>
      </c>
      <c r="L5221">
        <v>-3.6437680000000001</v>
      </c>
      <c r="M5221">
        <v>0.20496120000000001</v>
      </c>
      <c r="N5221">
        <v>0</v>
      </c>
      <c r="O5221">
        <v>-0.97875449999999997</v>
      </c>
      <c r="P5221">
        <v>0.14770439999999899</v>
      </c>
      <c r="Q5221">
        <v>3.3583780000000001E-2</v>
      </c>
      <c r="R5221">
        <v>-0.98846129999999999</v>
      </c>
      <c r="S5221">
        <v>-6.9580080000000002E-2</v>
      </c>
      <c r="T5221">
        <v>-7.6413149999999999E-2</v>
      </c>
      <c r="U5221">
        <v>-3.050446</v>
      </c>
      <c r="V5221">
        <v>5.8544800000000001E-2</v>
      </c>
      <c r="W5221">
        <v>3.8353390000000001E-2</v>
      </c>
      <c r="X5221">
        <v>0.99754769999999904</v>
      </c>
      <c r="Y5221">
        <v>0.22722329999999899</v>
      </c>
      <c r="Z5221">
        <v>2.3913319999999998E-2</v>
      </c>
      <c r="AA5221">
        <v>0.97354909999999995</v>
      </c>
      <c r="AB5221">
        <v>25</v>
      </c>
      <c r="AC5221">
        <v>-1.0296999999999901</v>
      </c>
      <c r="AD5221">
        <v>-1.08144197243</v>
      </c>
      <c r="AE5221">
        <v>-42.801572</v>
      </c>
      <c r="AF5221">
        <v>9.7743981137352698</v>
      </c>
      <c r="AG5221">
        <v>-1.08144197243</v>
      </c>
      <c r="AH5221">
        <v>41.655242076186497</v>
      </c>
      <c r="AI5221">
        <v>91.447854894386396</v>
      </c>
      <c r="AJ5221">
        <v>76.794460101675</v>
      </c>
      <c r="AK5221">
        <v>42.800322050788701</v>
      </c>
    </row>
    <row r="5222" spans="1:37" x14ac:dyDescent="0.2">
      <c r="A5222" t="str">
        <f>"20200111153535108"</f>
        <v>20200111153535108</v>
      </c>
      <c r="B5222" t="str">
        <f>"1578728135100944"</f>
        <v>1578728135100944</v>
      </c>
      <c r="C5222" t="s">
        <v>37</v>
      </c>
      <c r="D5222">
        <v>4.8711039999999999</v>
      </c>
      <c r="E5222">
        <v>0.56428889999999998</v>
      </c>
      <c r="F5222" t="s">
        <v>39</v>
      </c>
      <c r="G5222">
        <v>-302.86500000000001</v>
      </c>
      <c r="H5222" s="1">
        <v>-1.466665E-6</v>
      </c>
      <c r="I5222">
        <v>-38.769009999999902</v>
      </c>
      <c r="J5222">
        <v>-301.95269999999999</v>
      </c>
      <c r="K5222">
        <v>1.083925</v>
      </c>
      <c r="L5222">
        <v>-3.8948669999999899</v>
      </c>
      <c r="M5222">
        <v>0.19794890000000001</v>
      </c>
      <c r="N5222">
        <v>0</v>
      </c>
      <c r="O5222">
        <v>-0.98019230000000002</v>
      </c>
      <c r="P5222">
        <v>0.14379500000000001</v>
      </c>
      <c r="Q5222">
        <v>3.2698199999999997E-2</v>
      </c>
      <c r="R5222">
        <v>-0.98906759999999905</v>
      </c>
      <c r="S5222">
        <v>-7.5347899999999995E-2</v>
      </c>
      <c r="T5222">
        <v>-9.3887330000000005E-2</v>
      </c>
      <c r="U5222">
        <v>-3.04946899999999</v>
      </c>
      <c r="V5222">
        <v>5.533594E-2</v>
      </c>
      <c r="W5222">
        <v>3.8270970000000001E-2</v>
      </c>
      <c r="X5222">
        <v>0.99773409999999996</v>
      </c>
      <c r="Y5222">
        <v>0.2220924</v>
      </c>
      <c r="Z5222">
        <v>2.9470679999999999E-2</v>
      </c>
      <c r="AA5222">
        <v>0.97458009999999995</v>
      </c>
      <c r="AB5222">
        <v>25</v>
      </c>
      <c r="AC5222">
        <v>-0.91230000000001599</v>
      </c>
      <c r="AD5222">
        <v>-1.0839264666649999</v>
      </c>
      <c r="AE5222">
        <v>-34.874142999999997</v>
      </c>
      <c r="AF5222">
        <v>7.7901604439371797</v>
      </c>
      <c r="AG5222">
        <v>-1.0839264666649999</v>
      </c>
      <c r="AH5222">
        <v>33.970651254135703</v>
      </c>
      <c r="AI5222">
        <v>91.781350784776393</v>
      </c>
      <c r="AJ5222">
        <v>77.084227473926404</v>
      </c>
      <c r="AK5222">
        <v>34.869279358161897</v>
      </c>
    </row>
    <row r="5223" spans="1:37" x14ac:dyDescent="0.2">
      <c r="A5223" t="str">
        <f>"20200111153535131"</f>
        <v>20200111153535131</v>
      </c>
      <c r="B5223" t="str">
        <f>"1578728135121440"</f>
        <v>1578728135121440</v>
      </c>
      <c r="C5223" t="s">
        <v>37</v>
      </c>
      <c r="D5223">
        <v>5.0089920000000001</v>
      </c>
      <c r="E5223">
        <v>0.56292310000000001</v>
      </c>
      <c r="F5223" t="s">
        <v>39</v>
      </c>
      <c r="G5223">
        <v>-302.75110000000001</v>
      </c>
      <c r="H5223" s="1">
        <v>-2.48709599999999E-6</v>
      </c>
      <c r="I5223">
        <v>-36.319719999999997</v>
      </c>
      <c r="J5223">
        <v>-301.90940000000001</v>
      </c>
      <c r="K5223">
        <v>1.0862270000000001</v>
      </c>
      <c r="L5223">
        <v>-4.1500240000000002</v>
      </c>
      <c r="M5223">
        <v>0.1910888</v>
      </c>
      <c r="N5223">
        <v>0</v>
      </c>
      <c r="O5223">
        <v>-0.98154769999999902</v>
      </c>
      <c r="P5223">
        <v>0.1403954</v>
      </c>
      <c r="Q5223">
        <v>3.1539999999999999E-2</v>
      </c>
      <c r="R5223">
        <v>-0.9895931</v>
      </c>
      <c r="S5223">
        <v>-7.5042719999999993E-2</v>
      </c>
      <c r="T5223">
        <v>-0.10187309999999999</v>
      </c>
      <c r="U5223">
        <v>-3.0474549999999998</v>
      </c>
      <c r="V5223">
        <v>5.1773619999999999E-2</v>
      </c>
      <c r="W5223">
        <v>3.7908829999999998E-2</v>
      </c>
      <c r="X5223">
        <v>0.99793909999999997</v>
      </c>
      <c r="Y5223">
        <v>0.21518509999999999</v>
      </c>
      <c r="Z5223">
        <v>3.2089930000000003E-2</v>
      </c>
      <c r="AA5223">
        <v>0.97604590000000002</v>
      </c>
      <c r="AB5223">
        <v>25</v>
      </c>
      <c r="AC5223">
        <v>-0.841700000000003</v>
      </c>
      <c r="AD5223">
        <v>-1.0862294870960001</v>
      </c>
      <c r="AE5223">
        <v>-32.169696000000002</v>
      </c>
      <c r="AF5223">
        <v>6.9656725523549996</v>
      </c>
      <c r="AG5223">
        <v>-1.0862294870960001</v>
      </c>
      <c r="AH5223">
        <v>31.380271561792298</v>
      </c>
      <c r="AI5223">
        <v>91.935432175938601</v>
      </c>
      <c r="AJ5223">
        <v>77.484627220727205</v>
      </c>
      <c r="AK5223">
        <v>32.162430441387698</v>
      </c>
    </row>
    <row r="5224" spans="1:37" x14ac:dyDescent="0.2">
      <c r="A5224" t="str">
        <f>"20200111153535153"</f>
        <v>20200111153535153</v>
      </c>
      <c r="B5224" t="str">
        <f>"1578728135140819"</f>
        <v>1578728135140819</v>
      </c>
      <c r="C5224" t="s">
        <v>37</v>
      </c>
      <c r="D5224">
        <v>4.9032140000000002</v>
      </c>
      <c r="E5224">
        <v>0.56181759999999903</v>
      </c>
      <c r="F5224" t="s">
        <v>39</v>
      </c>
      <c r="G5224">
        <v>-302.63650000000001</v>
      </c>
      <c r="H5224" s="1">
        <v>-3.57211999999999E-6</v>
      </c>
      <c r="I5224">
        <v>-33.7194</v>
      </c>
      <c r="J5224">
        <v>-301.86900000000003</v>
      </c>
      <c r="K5224">
        <v>1.0882829999999999</v>
      </c>
      <c r="L5224">
        <v>-4.3977659999999998</v>
      </c>
      <c r="M5224">
        <v>0.18461059999999899</v>
      </c>
      <c r="N5224">
        <v>0</v>
      </c>
      <c r="O5224">
        <v>-0.98278180000000004</v>
      </c>
      <c r="P5224">
        <v>0.1374515</v>
      </c>
      <c r="Q5224">
        <v>3.080569E-2</v>
      </c>
      <c r="R5224">
        <v>-0.99002959999999995</v>
      </c>
      <c r="S5224">
        <v>-7.4890139999999994E-2</v>
      </c>
      <c r="T5224">
        <v>-0.1118854</v>
      </c>
      <c r="U5224">
        <v>-3.0457459999999998</v>
      </c>
      <c r="V5224">
        <v>4.8145750000000001E-2</v>
      </c>
      <c r="W5224">
        <v>3.7904069999999998E-2</v>
      </c>
      <c r="X5224">
        <v>0.99812080000000003</v>
      </c>
      <c r="Y5224">
        <v>0.20870169999999999</v>
      </c>
      <c r="Z5224">
        <v>3.5353629999999997E-2</v>
      </c>
      <c r="AA5224">
        <v>0.97734009999999905</v>
      </c>
      <c r="AB5224">
        <v>25</v>
      </c>
      <c r="AC5224">
        <v>-0.76749999999998397</v>
      </c>
      <c r="AD5224">
        <v>-1.0882865721199999</v>
      </c>
      <c r="AE5224">
        <v>-29.321634</v>
      </c>
      <c r="AF5224">
        <v>6.1590723144603698</v>
      </c>
      <c r="AG5224">
        <v>-1.0882865721199999</v>
      </c>
      <c r="AH5224">
        <v>28.636502088670301</v>
      </c>
      <c r="AI5224">
        <v>92.127780082259207</v>
      </c>
      <c r="AJ5224">
        <v>77.861866032297399</v>
      </c>
      <c r="AK5224">
        <v>29.3115641225818</v>
      </c>
    </row>
    <row r="5225" spans="1:37" x14ac:dyDescent="0.2">
      <c r="A5225" t="str">
        <f>"20200111153535176"</f>
        <v>20200111153535176</v>
      </c>
      <c r="B5225" t="str">
        <f>"1578728135171073"</f>
        <v>1578728135171073</v>
      </c>
      <c r="C5225" t="s">
        <v>37</v>
      </c>
      <c r="D5225">
        <v>4.8994390000000001</v>
      </c>
      <c r="E5225">
        <v>0.5606158</v>
      </c>
      <c r="F5225" t="s">
        <v>39</v>
      </c>
      <c r="G5225">
        <v>-302.56470000000002</v>
      </c>
      <c r="H5225" s="1">
        <v>-4.0579179999999998E-6</v>
      </c>
      <c r="I5225">
        <v>-32.425669999999997</v>
      </c>
      <c r="J5225">
        <v>-301.82749999999999</v>
      </c>
      <c r="K5225">
        <v>1.090303</v>
      </c>
      <c r="L5225">
        <v>-4.6625370000000004</v>
      </c>
      <c r="M5225">
        <v>0.1778662</v>
      </c>
      <c r="N5225">
        <v>0</v>
      </c>
      <c r="O5225">
        <v>-0.98401930000000004</v>
      </c>
      <c r="P5225">
        <v>0.1365267</v>
      </c>
      <c r="Q5225">
        <v>3.0368119999999998E-2</v>
      </c>
      <c r="R5225">
        <v>-0.99017080000000002</v>
      </c>
      <c r="S5225">
        <v>-7.5561519999999993E-2</v>
      </c>
      <c r="T5225">
        <v>-0.11820899999999999</v>
      </c>
      <c r="U5225">
        <v>-3.04437299999999</v>
      </c>
      <c r="V5225">
        <v>4.2214160000000001E-2</v>
      </c>
      <c r="W5225">
        <v>3.821712E-2</v>
      </c>
      <c r="X5225">
        <v>0.99837739999999997</v>
      </c>
      <c r="Y5225">
        <v>0.20221529999999999</v>
      </c>
      <c r="Z5225">
        <v>3.746435E-2</v>
      </c>
      <c r="AA5225">
        <v>0.97862420000000006</v>
      </c>
      <c r="AB5225">
        <v>25</v>
      </c>
      <c r="AC5225">
        <v>-0.73720000000002905</v>
      </c>
      <c r="AD5225">
        <v>-1.0903070579180001</v>
      </c>
      <c r="AE5225">
        <v>-27.763133</v>
      </c>
      <c r="AF5225">
        <v>5.6550237530232899</v>
      </c>
      <c r="AG5225">
        <v>-1.0903070579180001</v>
      </c>
      <c r="AH5225">
        <v>27.1474431627257</v>
      </c>
      <c r="AI5225">
        <v>92.251619994423393</v>
      </c>
      <c r="AJ5225">
        <v>78.233113997389694</v>
      </c>
      <c r="AK5225">
        <v>27.751607762456299</v>
      </c>
    </row>
    <row r="5226" spans="1:37" x14ac:dyDescent="0.2">
      <c r="A5226" t="str">
        <f>"20200111153535209"</f>
        <v>20200111153535209</v>
      </c>
      <c r="B5226" t="str">
        <f>"1578728135201332"</f>
        <v>1578728135201332</v>
      </c>
      <c r="C5226" t="s">
        <v>37</v>
      </c>
      <c r="D5226">
        <v>4.9673049999999996</v>
      </c>
      <c r="E5226">
        <v>0.55962250000000002</v>
      </c>
      <c r="F5226" t="s">
        <v>39</v>
      </c>
      <c r="G5226">
        <v>-302.43759999999997</v>
      </c>
      <c r="H5226" s="1">
        <v>-4.338822E-6</v>
      </c>
      <c r="I5226">
        <v>-31.53398</v>
      </c>
      <c r="J5226">
        <v>-301.77350000000001</v>
      </c>
      <c r="K5226">
        <v>1.0927260000000001</v>
      </c>
      <c r="L5226">
        <v>-5.0240780000000003</v>
      </c>
      <c r="M5226">
        <v>0.16906099999999999</v>
      </c>
      <c r="N5226">
        <v>0</v>
      </c>
      <c r="O5226">
        <v>-0.98556330000000003</v>
      </c>
      <c r="P5226">
        <v>0.13352999999999901</v>
      </c>
      <c r="Q5226">
        <v>3.166865E-2</v>
      </c>
      <c r="R5226">
        <v>-0.99053860000000005</v>
      </c>
      <c r="S5226">
        <v>-6.9091799999999995E-2</v>
      </c>
      <c r="T5226">
        <v>-0.12347319999999901</v>
      </c>
      <c r="U5226">
        <v>-3.043091</v>
      </c>
      <c r="V5226">
        <v>3.628754E-2</v>
      </c>
      <c r="W5226">
        <v>4.0412679999999999E-2</v>
      </c>
      <c r="X5226">
        <v>0.99852399999999997</v>
      </c>
      <c r="Y5226">
        <v>0.1913773</v>
      </c>
      <c r="Z5226">
        <v>3.9286069999999999E-2</v>
      </c>
      <c r="AA5226">
        <v>0.98072999999999899</v>
      </c>
      <c r="AB5226">
        <v>25</v>
      </c>
      <c r="AC5226">
        <v>-0.66409999999996205</v>
      </c>
      <c r="AD5226">
        <v>-1.092730338822</v>
      </c>
      <c r="AE5226">
        <v>-26.509902</v>
      </c>
      <c r="AF5226">
        <v>5.1278102099774401</v>
      </c>
      <c r="AG5226">
        <v>-1.092730338822</v>
      </c>
      <c r="AH5226">
        <v>25.971897214408099</v>
      </c>
      <c r="AI5226">
        <v>92.363641597374695</v>
      </c>
      <c r="AJ5226">
        <v>78.831344833769904</v>
      </c>
      <c r="AK5226">
        <v>26.4958098962592</v>
      </c>
    </row>
    <row r="5227" spans="1:37" x14ac:dyDescent="0.2">
      <c r="A5227" t="str">
        <f>"20200111153535230"</f>
        <v>20200111153535230</v>
      </c>
      <c r="B5227" t="str">
        <f>"1578728135220849"</f>
        <v>1578728135220849</v>
      </c>
      <c r="C5227" t="s">
        <v>37</v>
      </c>
      <c r="D5227">
        <v>4.9719889999999998</v>
      </c>
      <c r="E5227">
        <v>0.55903389999999997</v>
      </c>
      <c r="F5227" t="s">
        <v>39</v>
      </c>
      <c r="G5227">
        <v>-302.39420000000001</v>
      </c>
      <c r="H5227" s="1">
        <v>-4.1772910000000002E-6</v>
      </c>
      <c r="I5227">
        <v>-31.98603</v>
      </c>
      <c r="J5227">
        <v>-301.73750000000001</v>
      </c>
      <c r="K5227">
        <v>1.0941829999999999</v>
      </c>
      <c r="L5227">
        <v>-5.274292</v>
      </c>
      <c r="M5227">
        <v>0.16324739999999999</v>
      </c>
      <c r="N5227">
        <v>0</v>
      </c>
      <c r="O5227">
        <v>-0.98653840000000004</v>
      </c>
      <c r="P5227">
        <v>0.1310595</v>
      </c>
      <c r="Q5227">
        <v>3.2605090000000003E-2</v>
      </c>
      <c r="R5227">
        <v>-0.99083860000000001</v>
      </c>
      <c r="S5227">
        <v>-7.0037840000000004E-2</v>
      </c>
      <c r="T5227">
        <v>-0.123289</v>
      </c>
      <c r="U5227">
        <v>-3.0420229999999999</v>
      </c>
      <c r="V5227">
        <v>3.2874439999999998E-2</v>
      </c>
      <c r="W5227">
        <v>4.189296E-2</v>
      </c>
      <c r="X5227">
        <v>0.9985811</v>
      </c>
      <c r="Y5227">
        <v>0.18590100000000001</v>
      </c>
      <c r="Z5227">
        <v>3.9321969999999998E-2</v>
      </c>
      <c r="AA5227">
        <v>0.98178140000000003</v>
      </c>
      <c r="AB5227">
        <v>25</v>
      </c>
      <c r="AC5227">
        <v>-0.65669999999999995</v>
      </c>
      <c r="AD5227">
        <v>-1.0941871772909999</v>
      </c>
      <c r="AE5227">
        <v>-26.711738</v>
      </c>
      <c r="AF5227">
        <v>5.00032740186131</v>
      </c>
      <c r="AG5227">
        <v>-1.0941871772909999</v>
      </c>
      <c r="AH5227">
        <v>26.202222162657701</v>
      </c>
      <c r="AI5227">
        <v>92.348903508946606</v>
      </c>
      <c r="AJ5227">
        <v>79.195809371009105</v>
      </c>
      <c r="AK5227">
        <v>26.697508609719101</v>
      </c>
    </row>
    <row r="5228" spans="1:37" x14ac:dyDescent="0.2">
      <c r="A5228" t="str">
        <f>"20200111153535253"</f>
        <v>20200111153535253</v>
      </c>
      <c r="B5228" t="str">
        <f>"1578728135241038"</f>
        <v>1578728135241038</v>
      </c>
      <c r="C5228" t="s">
        <v>37</v>
      </c>
      <c r="D5228">
        <v>4.9800209999999998</v>
      </c>
      <c r="E5228">
        <v>0.55841859999999999</v>
      </c>
      <c r="F5228" t="s">
        <v>39</v>
      </c>
      <c r="G5228">
        <v>-302.37990000000002</v>
      </c>
      <c r="H5228" s="1">
        <v>-4.1106059999999998E-6</v>
      </c>
      <c r="I5228">
        <v>-32.174509999999998</v>
      </c>
      <c r="J5228">
        <v>-301.70269999999999</v>
      </c>
      <c r="K5228">
        <v>1.095453</v>
      </c>
      <c r="L5228">
        <v>-5.5248109999999997</v>
      </c>
      <c r="M5228">
        <v>0.15766729999999901</v>
      </c>
      <c r="N5228">
        <v>0</v>
      </c>
      <c r="O5228">
        <v>-0.98744120000000002</v>
      </c>
      <c r="P5228">
        <v>0.12894810000000001</v>
      </c>
      <c r="Q5228">
        <v>3.3366E-2</v>
      </c>
      <c r="R5228">
        <v>-0.99109020000000003</v>
      </c>
      <c r="S5228">
        <v>-7.2631840000000003E-2</v>
      </c>
      <c r="T5228">
        <v>-0.1237118</v>
      </c>
      <c r="U5228">
        <v>-3.0414119999999998</v>
      </c>
      <c r="V5228">
        <v>2.9340419999999999E-2</v>
      </c>
      <c r="W5228">
        <v>4.3144969999999998E-2</v>
      </c>
      <c r="X5228">
        <v>0.99863789999999997</v>
      </c>
      <c r="Y5228">
        <v>0.18118589999999901</v>
      </c>
      <c r="Z5228">
        <v>3.9537320000000001E-2</v>
      </c>
      <c r="AA5228">
        <v>0.98265380000000002</v>
      </c>
      <c r="AB5228">
        <v>25</v>
      </c>
      <c r="AC5228">
        <v>-0.677200000000027</v>
      </c>
      <c r="AD5228">
        <v>-1.095457110606</v>
      </c>
      <c r="AE5228">
        <v>-26.649698999999998</v>
      </c>
      <c r="AF5228">
        <v>4.8625161737447602</v>
      </c>
      <c r="AG5228">
        <v>-1.095457110606</v>
      </c>
      <c r="AH5228">
        <v>26.1653780012753</v>
      </c>
      <c r="AI5228">
        <v>92.357073710946295</v>
      </c>
      <c r="AJ5228">
        <v>79.472375165221905</v>
      </c>
      <c r="AK5228">
        <v>26.635898628931699</v>
      </c>
    </row>
    <row r="5229" spans="1:37" x14ac:dyDescent="0.2">
      <c r="A5229" t="str">
        <f>"20200111153535276"</f>
        <v>20200111153535276</v>
      </c>
      <c r="B5229" t="str">
        <f>"1578728135271295"</f>
        <v>1578728135271295</v>
      </c>
      <c r="C5229" t="s">
        <v>37</v>
      </c>
      <c r="D5229">
        <v>5.0354159999999997</v>
      </c>
      <c r="E5229">
        <v>0.5574363</v>
      </c>
      <c r="F5229" t="s">
        <v>39</v>
      </c>
      <c r="G5229">
        <v>-302.35829999999999</v>
      </c>
      <c r="H5229" s="1">
        <v>-4.0313400000000001E-6</v>
      </c>
      <c r="I5229">
        <v>-32.396180000000001</v>
      </c>
      <c r="J5229">
        <v>-301.66809999999998</v>
      </c>
      <c r="K5229">
        <v>1.09659</v>
      </c>
      <c r="L5229">
        <v>-5.7822569999999898</v>
      </c>
      <c r="M5229">
        <v>0.15220620000000001</v>
      </c>
      <c r="N5229">
        <v>0</v>
      </c>
      <c r="O5229">
        <v>-0.98829330000000004</v>
      </c>
      <c r="P5229">
        <v>0.12774569999999999</v>
      </c>
      <c r="Q5229">
        <v>3.4268430000000002E-2</v>
      </c>
      <c r="R5229">
        <v>-0.99121510000000002</v>
      </c>
      <c r="S5229">
        <v>-7.4188229999999994E-2</v>
      </c>
      <c r="T5229">
        <v>-0.1239635</v>
      </c>
      <c r="U5229">
        <v>-3.0408019999999998</v>
      </c>
      <c r="V5229">
        <v>2.5015180000000001E-2</v>
      </c>
      <c r="W5229">
        <v>4.4503590000000003E-2</v>
      </c>
      <c r="X5229">
        <v>0.99869599999999903</v>
      </c>
      <c r="Y5229">
        <v>0.176255</v>
      </c>
      <c r="Z5229">
        <v>3.9695889999999998E-2</v>
      </c>
      <c r="AA5229">
        <v>0.98354379999999997</v>
      </c>
      <c r="AB5229">
        <v>25</v>
      </c>
      <c r="AC5229">
        <v>-0.69020000000000403</v>
      </c>
      <c r="AD5229">
        <v>-1.09659403134</v>
      </c>
      <c r="AE5229">
        <v>-26.613923</v>
      </c>
      <c r="AF5229">
        <v>4.7251668050280502</v>
      </c>
      <c r="AG5229">
        <v>-1.09659403134</v>
      </c>
      <c r="AH5229">
        <v>26.154371374837002</v>
      </c>
      <c r="AI5229">
        <v>92.362672684229693</v>
      </c>
      <c r="AJ5229">
        <v>79.759151561937102</v>
      </c>
      <c r="AK5229">
        <v>26.600392136541899</v>
      </c>
    </row>
    <row r="5230" spans="1:37" x14ac:dyDescent="0.2">
      <c r="A5230" t="str">
        <f>"20200111153535298"</f>
        <v>20200111153535298</v>
      </c>
      <c r="B5230" t="str">
        <f>"1578728135290813"</f>
        <v>1578728135290813</v>
      </c>
      <c r="C5230" t="s">
        <v>37</v>
      </c>
      <c r="D5230">
        <v>5.0261779999999998</v>
      </c>
      <c r="E5230">
        <v>0.556944199999999</v>
      </c>
      <c r="F5230" t="s">
        <v>39</v>
      </c>
      <c r="G5230">
        <v>-302.2724</v>
      </c>
      <c r="H5230" s="1">
        <v>-4.151624E-6</v>
      </c>
      <c r="I5230">
        <v>-31.99793</v>
      </c>
      <c r="J5230">
        <v>-301.63580000000002</v>
      </c>
      <c r="K5230">
        <v>1.0975379999999999</v>
      </c>
      <c r="L5230">
        <v>-6.0310670000000002</v>
      </c>
      <c r="M5230">
        <v>0.14719470000000001</v>
      </c>
      <c r="N5230">
        <v>0</v>
      </c>
      <c r="O5230">
        <v>-0.989048699999999</v>
      </c>
      <c r="P5230">
        <v>0.1274013</v>
      </c>
      <c r="Q5230">
        <v>3.5134720000000001E-2</v>
      </c>
      <c r="R5230">
        <v>-0.99122909999999997</v>
      </c>
      <c r="S5230">
        <v>-7.0068359999999996E-2</v>
      </c>
      <c r="T5230">
        <v>-0.12716259999999999</v>
      </c>
      <c r="U5230">
        <v>-3.040009</v>
      </c>
      <c r="V5230">
        <v>2.028342E-2</v>
      </c>
      <c r="W5230">
        <v>4.5766399999999999E-2</v>
      </c>
      <c r="X5230">
        <v>0.99874619999999903</v>
      </c>
      <c r="Y5230">
        <v>0.16993539999999999</v>
      </c>
      <c r="Z5230">
        <v>4.0800660000000002E-2</v>
      </c>
      <c r="AA5230">
        <v>0.98461019999999899</v>
      </c>
      <c r="AB5230">
        <v>25</v>
      </c>
      <c r="AC5230">
        <v>-0.63659999999998695</v>
      </c>
      <c r="AD5230">
        <v>-1.09754215162399</v>
      </c>
      <c r="AE5230">
        <v>-25.966863</v>
      </c>
      <c r="AF5230">
        <v>4.4441374157442102</v>
      </c>
      <c r="AG5230">
        <v>-1.09754215162399</v>
      </c>
      <c r="AH5230">
        <v>25.5446690241114</v>
      </c>
      <c r="AI5230">
        <v>92.423870441554598</v>
      </c>
      <c r="AJ5230">
        <v>80.130739575499604</v>
      </c>
      <c r="AK5230">
        <v>25.951590928033799</v>
      </c>
    </row>
    <row r="5231" spans="1:37" x14ac:dyDescent="0.2">
      <c r="A5231" t="str">
        <f>"20200111153535321"</f>
        <v>20200111153535321</v>
      </c>
      <c r="B5231" t="str">
        <f>"1578728135311310"</f>
        <v>1578728135311310</v>
      </c>
      <c r="C5231" t="s">
        <v>37</v>
      </c>
      <c r="D5231">
        <v>5.0542590000000001</v>
      </c>
      <c r="E5231">
        <v>0.51565929999999904</v>
      </c>
      <c r="F5231" t="s">
        <v>39</v>
      </c>
      <c r="G5231">
        <v>-302.21390000000002</v>
      </c>
      <c r="H5231" s="1">
        <v>-4.0509490000000003E-6</v>
      </c>
      <c r="I5231">
        <v>-32.263280000000002</v>
      </c>
      <c r="J5231">
        <v>-301.60399999999998</v>
      </c>
      <c r="K5231">
        <v>1.0983689999999999</v>
      </c>
      <c r="L5231">
        <v>-6.2836299999999996</v>
      </c>
      <c r="M5231">
        <v>0.142377</v>
      </c>
      <c r="N5231">
        <v>0</v>
      </c>
      <c r="O5231">
        <v>-0.98975000000000002</v>
      </c>
      <c r="P5231">
        <v>0.12722510000000001</v>
      </c>
      <c r="Q5231">
        <v>3.4579060000000002E-2</v>
      </c>
      <c r="R5231">
        <v>-0.99127099999999901</v>
      </c>
      <c r="S5231">
        <v>-6.6986080000000003E-2</v>
      </c>
      <c r="T5231">
        <v>-0.1271784</v>
      </c>
      <c r="U5231">
        <v>-3.0396730000000001</v>
      </c>
      <c r="V5231">
        <v>1.557598E-2</v>
      </c>
      <c r="W5231">
        <v>4.5565389999999997E-2</v>
      </c>
      <c r="X5231">
        <v>0.998839899999999</v>
      </c>
      <c r="Y5231">
        <v>0.16413920000000001</v>
      </c>
      <c r="Z5231">
        <v>4.0875429999999997E-2</v>
      </c>
      <c r="AA5231">
        <v>0.98558989999999902</v>
      </c>
      <c r="AB5231">
        <v>25</v>
      </c>
      <c r="AC5231">
        <v>-0.60989999999998101</v>
      </c>
      <c r="AD5231">
        <v>-1.098373050949</v>
      </c>
      <c r="AE5231">
        <v>-25.979649999999999</v>
      </c>
      <c r="AF5231">
        <v>4.2951462326395804</v>
      </c>
      <c r="AG5231">
        <v>-1.098373050949</v>
      </c>
      <c r="AH5231">
        <v>25.5824063484581</v>
      </c>
      <c r="AI5231">
        <v>92.424573649976196</v>
      </c>
      <c r="AJ5231">
        <v>80.4692411427107</v>
      </c>
      <c r="AK5231">
        <v>25.9637096559109</v>
      </c>
    </row>
    <row r="5232" spans="1:37" x14ac:dyDescent="0.2">
      <c r="A5232" t="str">
        <f>"20200111153535343"</f>
        <v>20200111153535343</v>
      </c>
      <c r="B5232" t="str">
        <f>"1578728135331373"</f>
        <v>1578728135331373</v>
      </c>
      <c r="C5232" t="s">
        <v>37</v>
      </c>
      <c r="D5232">
        <v>5.0283340000000001</v>
      </c>
      <c r="E5232">
        <v>0.50311629999999996</v>
      </c>
      <c r="F5232" t="s">
        <v>40</v>
      </c>
      <c r="G5232">
        <v>-301.52379999999999</v>
      </c>
      <c r="H5232">
        <v>1.04335</v>
      </c>
      <c r="I5232">
        <v>-7.2145729999999997</v>
      </c>
      <c r="J5232">
        <v>-301.57409999999999</v>
      </c>
      <c r="K5232">
        <v>1.0990599999999999</v>
      </c>
      <c r="L5232">
        <v>-6.5282900000000001</v>
      </c>
      <c r="M5232">
        <v>0.13792589999999999</v>
      </c>
      <c r="N5232">
        <v>0</v>
      </c>
      <c r="O5232">
        <v>-0.99037719999999996</v>
      </c>
      <c r="P5232">
        <v>0.12756729999999999</v>
      </c>
      <c r="Q5232">
        <v>3.3155799999999999E-2</v>
      </c>
      <c r="R5232">
        <v>-0.99127600000000005</v>
      </c>
      <c r="S5232">
        <v>0.25915529999999998</v>
      </c>
      <c r="T5232">
        <v>-0.17699000000000001</v>
      </c>
      <c r="U5232">
        <v>-2.9993289999999999</v>
      </c>
      <c r="V5232">
        <v>1.071797E-2</v>
      </c>
      <c r="W5232">
        <v>4.444977E-2</v>
      </c>
      <c r="X5232">
        <v>0.99895409999999996</v>
      </c>
      <c r="Y5232">
        <v>5.2307720000000002E-2</v>
      </c>
      <c r="Z5232">
        <v>5.7917379999999997E-2</v>
      </c>
      <c r="AA5232">
        <v>0.99695009999999995</v>
      </c>
      <c r="AB5232">
        <v>25</v>
      </c>
      <c r="AC5232">
        <v>5.0299999999992899E-2</v>
      </c>
      <c r="AD5232">
        <v>-5.5709999999999898E-2</v>
      </c>
      <c r="AE5232">
        <v>-0.68628299999999898</v>
      </c>
      <c r="AF5232">
        <v>4.4551123805222803E-2</v>
      </c>
      <c r="AG5232">
        <v>-5.5709999999999898E-2</v>
      </c>
      <c r="AH5232">
        <v>0.68218980721977496</v>
      </c>
      <c r="AI5232">
        <v>94.6587333762631</v>
      </c>
      <c r="AJ5232">
        <v>86.263544595788105</v>
      </c>
      <c r="AK5232">
        <v>0.68590913378294005</v>
      </c>
    </row>
    <row r="5233" spans="1:37" x14ac:dyDescent="0.2">
      <c r="A5233" t="str">
        <f>"20200111153535365"</f>
        <v>20200111153535365</v>
      </c>
      <c r="B5233" t="str">
        <f>"1578728135360654"</f>
        <v>1578728135360654</v>
      </c>
      <c r="C5233" t="s">
        <v>37</v>
      </c>
      <c r="D5233">
        <v>5.0658139999999996</v>
      </c>
      <c r="E5233">
        <v>0.45339370000000001</v>
      </c>
      <c r="F5233" t="s">
        <v>39</v>
      </c>
      <c r="G5233">
        <v>-299.26949999999999</v>
      </c>
      <c r="H5233" s="1">
        <v>-2.1297109999999998E-6</v>
      </c>
      <c r="I5233">
        <v>-25.70487</v>
      </c>
      <c r="J5233">
        <v>-301.54419999999999</v>
      </c>
      <c r="K5233">
        <v>1.0996680000000001</v>
      </c>
      <c r="L5233">
        <v>-6.7818300000000002</v>
      </c>
      <c r="M5233">
        <v>0.13348209999999999</v>
      </c>
      <c r="N5233">
        <v>0</v>
      </c>
      <c r="O5233">
        <v>-0.99098299999999995</v>
      </c>
      <c r="P5233">
        <v>0.12726469999999901</v>
      </c>
      <c r="Q5233">
        <v>3.3207380000000002E-2</v>
      </c>
      <c r="R5233">
        <v>-0.99131279999999999</v>
      </c>
      <c r="S5233">
        <v>0.35885620000000001</v>
      </c>
      <c r="T5233">
        <v>-0.1711337</v>
      </c>
      <c r="U5233">
        <v>-2.9859619999999998</v>
      </c>
      <c r="V5233">
        <v>6.5269819999999997E-3</v>
      </c>
      <c r="W5233">
        <v>4.477751E-2</v>
      </c>
      <c r="X5233">
        <v>0.99897559999999996</v>
      </c>
      <c r="Y5233">
        <v>1.447348E-2</v>
      </c>
      <c r="Z5233">
        <v>5.6248810000000003E-2</v>
      </c>
      <c r="AA5233">
        <v>0.99831190000000003</v>
      </c>
      <c r="AB5233">
        <v>25</v>
      </c>
      <c r="AC5233">
        <v>2.27469999999999</v>
      </c>
      <c r="AD5233">
        <v>-1.0996701297110001</v>
      </c>
      <c r="AE5233">
        <v>-18.92304</v>
      </c>
      <c r="AF5233">
        <v>0.27081491921782302</v>
      </c>
      <c r="AG5233">
        <v>-1.0996701297110001</v>
      </c>
      <c r="AH5233">
        <v>18.9941000582924</v>
      </c>
      <c r="AI5233">
        <v>93.313124602114897</v>
      </c>
      <c r="AJ5233">
        <v>89.183141051813394</v>
      </c>
      <c r="AK5233">
        <v>19.027833616549</v>
      </c>
    </row>
    <row r="5234" spans="1:37" x14ac:dyDescent="0.2">
      <c r="A5234" t="str">
        <f>"20200111153535387"</f>
        <v>20200111153535387</v>
      </c>
      <c r="B5234" t="str">
        <f>"1578728135381150"</f>
        <v>1578728135381150</v>
      </c>
      <c r="C5234" t="s">
        <v>37</v>
      </c>
      <c r="D5234">
        <v>4.9911949999999896</v>
      </c>
      <c r="E5234">
        <v>0.45413339999999902</v>
      </c>
      <c r="F5234" t="s">
        <v>39</v>
      </c>
      <c r="G5234">
        <v>-297.17160000000001</v>
      </c>
      <c r="H5234" s="1">
        <v>-3.293872E-6</v>
      </c>
      <c r="I5234">
        <v>-23.858629999999899</v>
      </c>
      <c r="J5234">
        <v>-301.5154</v>
      </c>
      <c r="K5234">
        <v>1.100166</v>
      </c>
      <c r="L5234">
        <v>-7.0330509999999897</v>
      </c>
      <c r="M5234">
        <v>0.1292179</v>
      </c>
      <c r="N5234">
        <v>0</v>
      </c>
      <c r="O5234">
        <v>-0.99154560000000003</v>
      </c>
      <c r="P5234">
        <v>0.12673879999999901</v>
      </c>
      <c r="Q5234">
        <v>3.3486349999999998E-2</v>
      </c>
      <c r="R5234">
        <v>-0.9913708</v>
      </c>
      <c r="S5234">
        <v>0.75180049999999998</v>
      </c>
      <c r="T5234">
        <v>-0.18907179999999901</v>
      </c>
      <c r="U5234">
        <v>-2.936096</v>
      </c>
      <c r="V5234">
        <v>2.7492940000000002E-3</v>
      </c>
      <c r="W5234">
        <v>4.529768E-2</v>
      </c>
      <c r="X5234">
        <v>0.99896969999999996</v>
      </c>
      <c r="Y5234">
        <v>-0.1203</v>
      </c>
      <c r="Z5234">
        <v>6.222718E-2</v>
      </c>
      <c r="AA5234">
        <v>0.99078539999999904</v>
      </c>
      <c r="AB5234">
        <v>25</v>
      </c>
      <c r="AC5234">
        <v>4.3437999999999803</v>
      </c>
      <c r="AD5234">
        <v>-1.100169293872</v>
      </c>
      <c r="AE5234">
        <v>-16.825578999999902</v>
      </c>
      <c r="AF5234">
        <v>-2.1245434269969201</v>
      </c>
      <c r="AG5234">
        <v>-1.100169293872</v>
      </c>
      <c r="AH5234">
        <v>17.1769832772945</v>
      </c>
      <c r="AI5234">
        <v>93.637094428642598</v>
      </c>
      <c r="AJ5234">
        <v>97.050846674844806</v>
      </c>
      <c r="AK5234">
        <v>17.342802880642701</v>
      </c>
    </row>
    <row r="5235" spans="1:37" x14ac:dyDescent="0.2">
      <c r="A5235" t="str">
        <f>"20200111153535409"</f>
        <v>20200111153535409</v>
      </c>
      <c r="B5235" t="str">
        <f>"1578728135400670"</f>
        <v>1578728135400670</v>
      </c>
      <c r="C5235" t="s">
        <v>37</v>
      </c>
      <c r="D5235">
        <v>4.9854010000000004</v>
      </c>
      <c r="E5235">
        <v>0.45478459999999898</v>
      </c>
      <c r="F5235" t="s">
        <v>39</v>
      </c>
      <c r="G5235">
        <v>-297.17439999999999</v>
      </c>
      <c r="H5235" s="1">
        <v>-3.1596580000000001E-6</v>
      </c>
      <c r="I5235">
        <v>-24.17033</v>
      </c>
      <c r="J5235">
        <v>-301.48809999999997</v>
      </c>
      <c r="K5235">
        <v>1.100576</v>
      </c>
      <c r="L5235">
        <v>-7.2789000000000001</v>
      </c>
      <c r="M5235">
        <v>0.12514400000000001</v>
      </c>
      <c r="N5235">
        <v>0</v>
      </c>
      <c r="O5235">
        <v>-0.9920658</v>
      </c>
      <c r="P5235">
        <v>0.12732969999999999</v>
      </c>
      <c r="Q5235">
        <v>3.427293E-2</v>
      </c>
      <c r="R5235">
        <v>-0.99126829999999999</v>
      </c>
      <c r="S5235">
        <v>0.74404910000000002</v>
      </c>
      <c r="T5235">
        <v>-0.18857009999999999</v>
      </c>
      <c r="U5235">
        <v>-2.9373469999999999</v>
      </c>
      <c r="V5235">
        <v>-1.955142E-3</v>
      </c>
      <c r="W5235">
        <v>4.6301799999999997E-2</v>
      </c>
      <c r="X5235">
        <v>0.99892559999999997</v>
      </c>
      <c r="Y5235">
        <v>-0.1218224</v>
      </c>
      <c r="Z5235">
        <v>6.2100099999999998E-2</v>
      </c>
      <c r="AA5235">
        <v>0.99060729999999997</v>
      </c>
      <c r="AB5235">
        <v>25</v>
      </c>
      <c r="AC5235">
        <v>4.3136999999999803</v>
      </c>
      <c r="AD5235">
        <v>-1.1005791596579999</v>
      </c>
      <c r="AE5235">
        <v>-16.89143</v>
      </c>
      <c r="AF5235">
        <v>-2.1571723480154801</v>
      </c>
      <c r="AG5235">
        <v>-1.1005791596579999</v>
      </c>
      <c r="AH5235">
        <v>17.229825282511399</v>
      </c>
      <c r="AI5235">
        <v>93.626645587655801</v>
      </c>
      <c r="AJ5235">
        <v>97.1362931130558</v>
      </c>
      <c r="AK5235">
        <v>17.399182345489201</v>
      </c>
    </row>
    <row r="5236" spans="1:37" x14ac:dyDescent="0.2">
      <c r="A5236" t="str">
        <f>"20200111153535431"</f>
        <v>20200111153535431</v>
      </c>
      <c r="B5236" t="str">
        <f>"1578728135421167"</f>
        <v>1578728135421167</v>
      </c>
      <c r="C5236" t="s">
        <v>37</v>
      </c>
      <c r="D5236">
        <v>4.9997629999999997</v>
      </c>
      <c r="E5236">
        <v>0.45564149999999998</v>
      </c>
      <c r="F5236" t="s">
        <v>39</v>
      </c>
      <c r="G5236">
        <v>-297.207999999999</v>
      </c>
      <c r="H5236" s="1">
        <v>-3.1094499999999999E-6</v>
      </c>
      <c r="I5236">
        <v>-24.27345</v>
      </c>
      <c r="J5236">
        <v>-301.46170000000001</v>
      </c>
      <c r="K5236">
        <v>1.100902</v>
      </c>
      <c r="L5236">
        <v>-7.5261839999999998</v>
      </c>
      <c r="M5236">
        <v>0.1211018</v>
      </c>
      <c r="N5236">
        <v>0</v>
      </c>
      <c r="O5236">
        <v>-0.99256529999999998</v>
      </c>
      <c r="P5236">
        <v>0.12910630000000001</v>
      </c>
      <c r="Q5236">
        <v>3.6394330000000003E-2</v>
      </c>
      <c r="R5236">
        <v>-0.99096309999999999</v>
      </c>
      <c r="S5236">
        <v>0.73992919999999995</v>
      </c>
      <c r="T5236">
        <v>-0.19026409999999999</v>
      </c>
      <c r="U5236">
        <v>-2.9379580000000001</v>
      </c>
      <c r="V5236">
        <v>-7.8149109999999904E-3</v>
      </c>
      <c r="W5236">
        <v>4.8626620000000002E-2</v>
      </c>
      <c r="X5236">
        <v>0.99878639999999996</v>
      </c>
      <c r="Y5236">
        <v>-0.1245009</v>
      </c>
      <c r="Z5236">
        <v>6.2690560000000006E-2</v>
      </c>
      <c r="AA5236">
        <v>0.99023709999999898</v>
      </c>
      <c r="AB5236">
        <v>25</v>
      </c>
      <c r="AC5236">
        <v>4.2537000000000296</v>
      </c>
      <c r="AD5236">
        <v>-1.10090510945</v>
      </c>
      <c r="AE5236">
        <v>-16.747266</v>
      </c>
      <c r="AF5236">
        <v>-2.18524309563829</v>
      </c>
      <c r="AG5236">
        <v>-1.10090510945</v>
      </c>
      <c r="AH5236">
        <v>17.0698649973478</v>
      </c>
      <c r="AI5236">
        <v>93.660337835526803</v>
      </c>
      <c r="AJ5236">
        <v>97.295188279507698</v>
      </c>
      <c r="AK5236">
        <v>17.244348943196599</v>
      </c>
    </row>
    <row r="5237" spans="1:37" x14ac:dyDescent="0.2">
      <c r="A5237" t="str">
        <f>"20200111153535454"</f>
        <v>20200111153535454</v>
      </c>
      <c r="B5237" t="str">
        <f>"1578728135451249"</f>
        <v>1578728135451249</v>
      </c>
      <c r="C5237" t="s">
        <v>37</v>
      </c>
      <c r="D5237">
        <v>4.9946859999999997</v>
      </c>
      <c r="E5237">
        <v>0.45638779999999901</v>
      </c>
      <c r="F5237" t="s">
        <v>39</v>
      </c>
      <c r="G5237">
        <v>-297.0702</v>
      </c>
      <c r="H5237" s="1">
        <v>-2.810468E-6</v>
      </c>
      <c r="I5237">
        <v>-25.027370000000001</v>
      </c>
      <c r="J5237">
        <v>-301.43599999999998</v>
      </c>
      <c r="K5237">
        <v>1.1011580000000001</v>
      </c>
      <c r="L5237">
        <v>-7.7758789999999998</v>
      </c>
      <c r="M5237">
        <v>0.11703620000000001</v>
      </c>
      <c r="N5237">
        <v>0</v>
      </c>
      <c r="O5237">
        <v>-0.99305100000000002</v>
      </c>
      <c r="P5237">
        <v>0.1303511</v>
      </c>
      <c r="Q5237">
        <v>3.7989639999999998E-2</v>
      </c>
      <c r="R5237">
        <v>-0.99073989999999901</v>
      </c>
      <c r="S5237">
        <v>0.73724369999999995</v>
      </c>
      <c r="T5237">
        <v>-0.1848205</v>
      </c>
      <c r="U5237">
        <v>-2.93811</v>
      </c>
      <c r="V5237">
        <v>-1.315961E-2</v>
      </c>
      <c r="W5237">
        <v>5.0404940000000002E-2</v>
      </c>
      <c r="X5237">
        <v>0.99864209999999998</v>
      </c>
      <c r="Y5237">
        <v>-0.12772629999999999</v>
      </c>
      <c r="Z5237">
        <v>6.0939559999999997E-2</v>
      </c>
      <c r="AA5237">
        <v>0.98993549999999997</v>
      </c>
      <c r="AB5237">
        <v>25</v>
      </c>
      <c r="AC5237">
        <v>4.3657999999999699</v>
      </c>
      <c r="AD5237">
        <v>-1.101160810468</v>
      </c>
      <c r="AE5237">
        <v>-17.251491000000001</v>
      </c>
      <c r="AF5237">
        <v>-2.30775299184354</v>
      </c>
      <c r="AG5237">
        <v>-1.101160810468</v>
      </c>
      <c r="AH5237">
        <v>17.5766087511644</v>
      </c>
      <c r="AI5237">
        <v>93.554423671607495</v>
      </c>
      <c r="AJ5237">
        <v>97.4799679512263</v>
      </c>
      <c r="AK5237">
        <v>17.761628703285702</v>
      </c>
    </row>
    <row r="5238" spans="1:37" x14ac:dyDescent="0.2">
      <c r="A5238" t="str">
        <f>"20200111153535477"</f>
        <v>20200111153535477</v>
      </c>
      <c r="B5238" t="str">
        <f>"1578728135470766"</f>
        <v>1578728135470766</v>
      </c>
      <c r="C5238" t="s">
        <v>37</v>
      </c>
      <c r="D5238">
        <v>4.9404440000000003</v>
      </c>
      <c r="E5238">
        <v>0.45673999999999998</v>
      </c>
      <c r="F5238" t="s">
        <v>39</v>
      </c>
      <c r="G5238">
        <v>-297.04539999999997</v>
      </c>
      <c r="H5238" s="1">
        <v>-2.683966E-6</v>
      </c>
      <c r="I5238">
        <v>-25.33248</v>
      </c>
      <c r="J5238">
        <v>-301.41059999999999</v>
      </c>
      <c r="K5238">
        <v>1.1013539999999999</v>
      </c>
      <c r="L5238">
        <v>-8.0320429999999998</v>
      </c>
      <c r="M5238">
        <v>0.112854</v>
      </c>
      <c r="N5238">
        <v>0</v>
      </c>
      <c r="O5238">
        <v>-0.99353340000000001</v>
      </c>
      <c r="P5238">
        <v>0.13046140000000001</v>
      </c>
      <c r="Q5238">
        <v>3.8715520000000003E-2</v>
      </c>
      <c r="R5238">
        <v>-0.99069739999999995</v>
      </c>
      <c r="S5238">
        <v>0.73483279999999995</v>
      </c>
      <c r="T5238">
        <v>-0.18429909999999999</v>
      </c>
      <c r="U5238">
        <v>-2.9384160000000001</v>
      </c>
      <c r="V5238">
        <v>-1.747487E-2</v>
      </c>
      <c r="W5238">
        <v>5.1294520000000003E-2</v>
      </c>
      <c r="X5238">
        <v>0.99853069999999899</v>
      </c>
      <c r="Y5238">
        <v>-0.13111489999999901</v>
      </c>
      <c r="Z5238">
        <v>6.0798869999999998E-2</v>
      </c>
      <c r="AA5238">
        <v>0.98950110000000002</v>
      </c>
      <c r="AB5238">
        <v>25</v>
      </c>
      <c r="AC5238">
        <v>4.3652000000000104</v>
      </c>
      <c r="AD5238">
        <v>-1.1013566839659901</v>
      </c>
      <c r="AE5238">
        <v>-17.300436999999999</v>
      </c>
      <c r="AF5238">
        <v>-2.3756821240688701</v>
      </c>
      <c r="AG5238">
        <v>-1.1013566839659901</v>
      </c>
      <c r="AH5238">
        <v>17.615449114795801</v>
      </c>
      <c r="AI5238">
        <v>93.545585971052802</v>
      </c>
      <c r="AJ5238">
        <v>97.680769943325103</v>
      </c>
      <c r="AK5238">
        <v>17.809011752927098</v>
      </c>
    </row>
    <row r="5239" spans="1:37" x14ac:dyDescent="0.2">
      <c r="A5239" t="str">
        <f>"20200111153535499"</f>
        <v>20200111153535499</v>
      </c>
      <c r="B5239" t="str">
        <f>"1578728135491263"</f>
        <v>1578728135491263</v>
      </c>
      <c r="C5239" t="s">
        <v>37</v>
      </c>
      <c r="D5239">
        <v>4.9220899999999999</v>
      </c>
      <c r="E5239">
        <v>0.45715529999999999</v>
      </c>
      <c r="F5239" t="s">
        <v>39</v>
      </c>
      <c r="G5239">
        <v>-296.98079999999999</v>
      </c>
      <c r="H5239" s="1">
        <v>-2.495765E-6</v>
      </c>
      <c r="I5239">
        <v>-25.797910000000002</v>
      </c>
      <c r="J5239">
        <v>-301.38760000000002</v>
      </c>
      <c r="K5239">
        <v>1.1015059999999901</v>
      </c>
      <c r="L5239">
        <v>-8.2743529999999996</v>
      </c>
      <c r="M5239">
        <v>0.1088754</v>
      </c>
      <c r="N5239">
        <v>0</v>
      </c>
      <c r="O5239">
        <v>-0.99397559999999996</v>
      </c>
      <c r="P5239">
        <v>0.13149669999999999</v>
      </c>
      <c r="Q5239">
        <v>3.9080120000000003E-2</v>
      </c>
      <c r="R5239">
        <v>-0.99054599999999904</v>
      </c>
      <c r="S5239">
        <v>0.73275760000000001</v>
      </c>
      <c r="T5239">
        <v>-0.1821835</v>
      </c>
      <c r="U5239">
        <v>-2.9387819999999998</v>
      </c>
      <c r="V5239">
        <v>-2.251537E-2</v>
      </c>
      <c r="W5239">
        <v>5.1805490000000003E-2</v>
      </c>
      <c r="X5239">
        <v>0.99840339999999905</v>
      </c>
      <c r="Y5239">
        <v>-0.1344061</v>
      </c>
      <c r="Z5239">
        <v>6.0128130000000002E-2</v>
      </c>
      <c r="AA5239">
        <v>0.98910039999999999</v>
      </c>
      <c r="AB5239">
        <v>25</v>
      </c>
      <c r="AC5239">
        <v>4.4068000000000298</v>
      </c>
      <c r="AD5239">
        <v>-1.1015084957650001</v>
      </c>
      <c r="AE5239">
        <v>-17.523557</v>
      </c>
      <c r="AF5239">
        <v>-2.4634090207039701</v>
      </c>
      <c r="AG5239">
        <v>-1.1015084957650001</v>
      </c>
      <c r="AH5239">
        <v>17.832929382391701</v>
      </c>
      <c r="AI5239">
        <v>93.501402916043006</v>
      </c>
      <c r="AJ5239">
        <v>97.864961884397204</v>
      </c>
      <c r="AK5239">
        <v>18.035938437655499</v>
      </c>
    </row>
    <row r="5240" spans="1:37" x14ac:dyDescent="0.2">
      <c r="A5240" t="str">
        <f>"20200111153535521"</f>
        <v>20200111153535521</v>
      </c>
      <c r="B5240" t="str">
        <f>"1578728135510783"</f>
        <v>1578728135510783</v>
      </c>
      <c r="C5240" t="s">
        <v>37</v>
      </c>
      <c r="D5240">
        <v>4.9859790000000004</v>
      </c>
      <c r="E5240">
        <v>0.45722109999999899</v>
      </c>
      <c r="F5240" t="s">
        <v>39</v>
      </c>
      <c r="G5240">
        <v>-296.9135</v>
      </c>
      <c r="H5240" s="1">
        <v>-2.32492899999999E-6</v>
      </c>
      <c r="I5240">
        <v>-26.223959999999899</v>
      </c>
      <c r="J5240">
        <v>-301.36520000000002</v>
      </c>
      <c r="K5240">
        <v>1.101626</v>
      </c>
      <c r="L5240">
        <v>-8.5226140000000008</v>
      </c>
      <c r="M5240">
        <v>0.10477019999999999</v>
      </c>
      <c r="N5240">
        <v>0</v>
      </c>
      <c r="O5240">
        <v>-0.99441569999999901</v>
      </c>
      <c r="P5240">
        <v>0.13311829999999999</v>
      </c>
      <c r="Q5240">
        <v>3.9028569999999999E-2</v>
      </c>
      <c r="R5240">
        <v>-0.99033159999999898</v>
      </c>
      <c r="S5240">
        <v>0.7324524</v>
      </c>
      <c r="T5240">
        <v>-0.1803265</v>
      </c>
      <c r="U5240">
        <v>-2.938507</v>
      </c>
      <c r="V5240">
        <v>-2.827344E-2</v>
      </c>
      <c r="W5240">
        <v>5.1894059999999999E-2</v>
      </c>
      <c r="X5240">
        <v>0.99825229999999998</v>
      </c>
      <c r="Y5240">
        <v>-0.13843</v>
      </c>
      <c r="Z5240">
        <v>5.9546460000000002E-2</v>
      </c>
      <c r="AA5240">
        <v>0.98858049999999997</v>
      </c>
      <c r="AB5240">
        <v>25</v>
      </c>
      <c r="AC5240">
        <v>4.4517000000000104</v>
      </c>
      <c r="AD5240">
        <v>-1.101628324929</v>
      </c>
      <c r="AE5240">
        <v>-17.701345999999901</v>
      </c>
      <c r="AF5240">
        <v>-2.5631366760121099</v>
      </c>
      <c r="AG5240">
        <v>-1.101628324929</v>
      </c>
      <c r="AH5240">
        <v>18.004767191162099</v>
      </c>
      <c r="AI5240">
        <v>93.466435816460503</v>
      </c>
      <c r="AJ5240">
        <v>98.102117348872397</v>
      </c>
      <c r="AK5240">
        <v>18.219629419781</v>
      </c>
    </row>
    <row r="5241" spans="1:37" x14ac:dyDescent="0.2">
      <c r="A5241" t="str">
        <f>"20200111153535543"</f>
        <v>20200111153535543</v>
      </c>
      <c r="B5241" t="str">
        <f>"1578728135541040"</f>
        <v>1578728135541040</v>
      </c>
      <c r="C5241" t="s">
        <v>37</v>
      </c>
      <c r="D5241">
        <v>4.9202879999999896</v>
      </c>
      <c r="E5241">
        <v>0.45766980000000002</v>
      </c>
      <c r="F5241" t="s">
        <v>39</v>
      </c>
      <c r="G5241">
        <v>-296.84690000000001</v>
      </c>
      <c r="H5241" s="1">
        <v>-2.194074E-6</v>
      </c>
      <c r="I5241">
        <v>-26.556519999999999</v>
      </c>
      <c r="J5241">
        <v>-301.34379999999999</v>
      </c>
      <c r="K5241">
        <v>1.1017299999999901</v>
      </c>
      <c r="L5241">
        <v>-8.7721559999999901</v>
      </c>
      <c r="M5241">
        <v>0.1006208</v>
      </c>
      <c r="N5241">
        <v>0</v>
      </c>
      <c r="O5241">
        <v>-0.99484289999999997</v>
      </c>
      <c r="P5241">
        <v>0.13441400000000001</v>
      </c>
      <c r="Q5241">
        <v>3.9110289999999999E-2</v>
      </c>
      <c r="R5241">
        <v>-0.99015350000000002</v>
      </c>
      <c r="S5241">
        <v>0.73596189999999995</v>
      </c>
      <c r="T5241">
        <v>-0.17943779999999901</v>
      </c>
      <c r="U5241">
        <v>-2.9374389999999999</v>
      </c>
      <c r="V5241">
        <v>-3.3743809999999999E-2</v>
      </c>
      <c r="W5241">
        <v>5.2102629999999997E-2</v>
      </c>
      <c r="X5241">
        <v>0.9980715</v>
      </c>
      <c r="Y5241">
        <v>-0.14375929999999901</v>
      </c>
      <c r="Z5241">
        <v>5.928199E-2</v>
      </c>
      <c r="AA5241">
        <v>0.98783549999999998</v>
      </c>
      <c r="AB5241">
        <v>25</v>
      </c>
      <c r="AC5241">
        <v>4.4968999999999797</v>
      </c>
      <c r="AD5241">
        <v>-1.1017321940739999</v>
      </c>
      <c r="AE5241">
        <v>-17.784364</v>
      </c>
      <c r="AF5241">
        <v>-2.6748026615618001</v>
      </c>
      <c r="AG5241">
        <v>-1.1017321940739999</v>
      </c>
      <c r="AH5241">
        <v>18.0813878825589</v>
      </c>
      <c r="AI5241">
        <v>93.449380085623204</v>
      </c>
      <c r="AJ5241">
        <v>98.414809273327705</v>
      </c>
      <c r="AK5241">
        <v>18.311334491655799</v>
      </c>
    </row>
    <row r="5242" spans="1:37" x14ac:dyDescent="0.2">
      <c r="A5242" t="str">
        <f>"20200111153535569"</f>
        <v>20200111153535569</v>
      </c>
      <c r="B5242" t="str">
        <f>"1578728135560559"</f>
        <v>1578728135560559</v>
      </c>
      <c r="C5242" t="s">
        <v>37</v>
      </c>
      <c r="D5242">
        <v>4.8670720000000003</v>
      </c>
      <c r="E5242">
        <v>0.45795439999999998</v>
      </c>
      <c r="F5242" t="s">
        <v>39</v>
      </c>
      <c r="G5242">
        <v>-296.83980000000003</v>
      </c>
      <c r="H5242" s="1">
        <v>-2.1122869999999999E-6</v>
      </c>
      <c r="I5242">
        <v>-26.7501</v>
      </c>
      <c r="J5242">
        <v>-301.32069999999999</v>
      </c>
      <c r="K5242">
        <v>1.101818</v>
      </c>
      <c r="L5242">
        <v>-9.0541990000000006</v>
      </c>
      <c r="M5242">
        <v>9.5910990000000002E-2</v>
      </c>
      <c r="N5242">
        <v>0</v>
      </c>
      <c r="O5242">
        <v>-0.99530680000000005</v>
      </c>
      <c r="P5242">
        <v>0.13493939999999999</v>
      </c>
      <c r="Q5242">
        <v>3.9317629999999999E-2</v>
      </c>
      <c r="R5242">
        <v>-0.99007369999999995</v>
      </c>
      <c r="S5242">
        <v>0.7358093</v>
      </c>
      <c r="T5242">
        <v>-0.17999089999999901</v>
      </c>
      <c r="U5242">
        <v>-2.9370729999999998</v>
      </c>
      <c r="V5242">
        <v>-3.899772E-2</v>
      </c>
      <c r="W5242">
        <v>5.243358E-2</v>
      </c>
      <c r="X5242">
        <v>0.99786260000000004</v>
      </c>
      <c r="Y5242">
        <v>-0.1484191</v>
      </c>
      <c r="Z5242">
        <v>5.9492570000000002E-2</v>
      </c>
      <c r="AA5242">
        <v>0.98713340000000005</v>
      </c>
      <c r="AB5242">
        <v>25</v>
      </c>
      <c r="AC5242">
        <v>4.4808999999999601</v>
      </c>
      <c r="AD5242">
        <v>-1.1018201122869999</v>
      </c>
      <c r="AE5242">
        <v>-17.695900999999999</v>
      </c>
      <c r="AF5242">
        <v>-2.7528382244709499</v>
      </c>
      <c r="AG5242">
        <v>-1.1018201122869999</v>
      </c>
      <c r="AH5242">
        <v>17.978610851394901</v>
      </c>
      <c r="AI5242">
        <v>93.466686239404794</v>
      </c>
      <c r="AJ5242">
        <v>98.705368938773304</v>
      </c>
      <c r="AK5242">
        <v>18.221486602246301</v>
      </c>
    </row>
    <row r="5243" spans="1:37" x14ac:dyDescent="0.2">
      <c r="A5243" t="str">
        <f>"20200111153535588"</f>
        <v>20200111153535588</v>
      </c>
      <c r="B5243" t="str">
        <f>"1578728135581055"</f>
        <v>1578728135581055</v>
      </c>
      <c r="C5243" t="s">
        <v>37</v>
      </c>
      <c r="D5243">
        <v>4.9216989999999896</v>
      </c>
      <c r="E5243">
        <v>0.45814159999999998</v>
      </c>
      <c r="F5243" t="s">
        <v>39</v>
      </c>
      <c r="G5243">
        <v>-296.84609999999998</v>
      </c>
      <c r="H5243" s="1">
        <v>-2.025504E-6</v>
      </c>
      <c r="I5243">
        <v>-26.9498</v>
      </c>
      <c r="J5243">
        <v>-301.30349999999999</v>
      </c>
      <c r="K5243">
        <v>1.101874</v>
      </c>
      <c r="L5243">
        <v>-9.276154</v>
      </c>
      <c r="M5243">
        <v>9.219463E-2</v>
      </c>
      <c r="N5243">
        <v>0</v>
      </c>
      <c r="O5243">
        <v>-0.99565709999999996</v>
      </c>
      <c r="P5243">
        <v>0.13622909999999999</v>
      </c>
      <c r="Q5243">
        <v>3.9518480000000002E-2</v>
      </c>
      <c r="R5243">
        <v>-0.98988899999999902</v>
      </c>
      <c r="S5243">
        <v>0.73440550000000004</v>
      </c>
      <c r="T5243">
        <v>-0.18083920000000001</v>
      </c>
      <c r="U5243">
        <v>-2.9371640000000001</v>
      </c>
      <c r="V5243">
        <v>-4.402259E-2</v>
      </c>
      <c r="W5243">
        <v>5.2728329999999997E-2</v>
      </c>
      <c r="X5243">
        <v>0.99763809999999997</v>
      </c>
      <c r="Y5243">
        <v>-0.1516545</v>
      </c>
      <c r="Z5243">
        <v>5.9790330000000003E-2</v>
      </c>
      <c r="AA5243">
        <v>0.98662359999999905</v>
      </c>
      <c r="AB5243">
        <v>25</v>
      </c>
      <c r="AC5243">
        <v>4.4573999999999998</v>
      </c>
      <c r="AD5243">
        <v>-1.1018760255040001</v>
      </c>
      <c r="AE5243">
        <v>-17.673645999999898</v>
      </c>
      <c r="AF5243">
        <v>-2.7986336863222201</v>
      </c>
      <c r="AG5243">
        <v>-1.1018760255040001</v>
      </c>
      <c r="AH5243">
        <v>17.943768063031602</v>
      </c>
      <c r="AI5243">
        <v>93.4720871514278</v>
      </c>
      <c r="AJ5243">
        <v>98.864824000036293</v>
      </c>
      <c r="AK5243">
        <v>18.194100515982399</v>
      </c>
    </row>
    <row r="5244" spans="1:37" x14ac:dyDescent="0.2">
      <c r="A5244" t="str">
        <f>"20200111153535610"</f>
        <v>20200111153535610</v>
      </c>
      <c r="B5244" t="str">
        <f>"1578728135600574"</f>
        <v>1578728135600574</v>
      </c>
      <c r="C5244" t="s">
        <v>37</v>
      </c>
      <c r="D5244">
        <v>4.9013819999999999</v>
      </c>
      <c r="E5244">
        <v>0.45830169999999998</v>
      </c>
      <c r="F5244" t="s">
        <v>39</v>
      </c>
      <c r="G5244">
        <v>-296.82459999999998</v>
      </c>
      <c r="H5244" s="1">
        <v>-1.9457759999999998E-6</v>
      </c>
      <c r="I5244">
        <v>-27.14453</v>
      </c>
      <c r="J5244">
        <v>-301.28609999999998</v>
      </c>
      <c r="K5244">
        <v>1.1019209999999999</v>
      </c>
      <c r="L5244">
        <v>-9.5130309999999998</v>
      </c>
      <c r="M5244">
        <v>8.8224070000000002E-2</v>
      </c>
      <c r="N5244">
        <v>0</v>
      </c>
      <c r="O5244">
        <v>-0.99601600000000001</v>
      </c>
      <c r="P5244">
        <v>0.1372939</v>
      </c>
      <c r="Q5244">
        <v>3.8566919999999998E-2</v>
      </c>
      <c r="R5244">
        <v>-0.98977939999999998</v>
      </c>
      <c r="S5244">
        <v>0.73608399999999996</v>
      </c>
      <c r="T5244">
        <v>-0.1810881</v>
      </c>
      <c r="U5244">
        <v>-2.9365839999999999</v>
      </c>
      <c r="V5244">
        <v>-4.9078160000000003E-2</v>
      </c>
      <c r="W5244">
        <v>5.1868339999999999E-2</v>
      </c>
      <c r="X5244">
        <v>0.99744730000000004</v>
      </c>
      <c r="Y5244">
        <v>-0.1561688</v>
      </c>
      <c r="Z5244">
        <v>5.9890869999999999E-2</v>
      </c>
      <c r="AA5244">
        <v>0.98591299999999904</v>
      </c>
      <c r="AB5244">
        <v>25</v>
      </c>
      <c r="AC5244">
        <v>4.4615</v>
      </c>
      <c r="AD5244">
        <v>-1.101922945776</v>
      </c>
      <c r="AE5244">
        <v>-17.631498999999899</v>
      </c>
      <c r="AF5244">
        <v>-2.8778819901098598</v>
      </c>
      <c r="AG5244">
        <v>-1.101922945776</v>
      </c>
      <c r="AH5244">
        <v>17.890706327669601</v>
      </c>
      <c r="AI5244">
        <v>93.479882242064704</v>
      </c>
      <c r="AJ5244">
        <v>99.138261734505704</v>
      </c>
      <c r="AK5244">
        <v>18.1541678914332</v>
      </c>
    </row>
    <row r="5245" spans="1:37" x14ac:dyDescent="0.2">
      <c r="A5245" t="str">
        <f>"20200111153535633"</f>
        <v>20200111153535633</v>
      </c>
      <c r="B5245" t="str">
        <f>"1578728135621071"</f>
        <v>1578728135621071</v>
      </c>
      <c r="C5245" t="s">
        <v>37</v>
      </c>
      <c r="D5245">
        <v>4.8765809999999998</v>
      </c>
      <c r="E5245">
        <v>0.4584956</v>
      </c>
      <c r="F5245" t="s">
        <v>39</v>
      </c>
      <c r="G5245">
        <v>-296.89159999999998</v>
      </c>
      <c r="H5245" s="1">
        <v>-1.9921069999999999E-6</v>
      </c>
      <c r="I5245">
        <v>-27.008859999999999</v>
      </c>
      <c r="J5245">
        <v>-301.26859999999999</v>
      </c>
      <c r="K5245">
        <v>1.1019669999999999</v>
      </c>
      <c r="L5245">
        <v>-9.7648010000000003</v>
      </c>
      <c r="M5245">
        <v>8.4002640000000003E-2</v>
      </c>
      <c r="N5245">
        <v>0</v>
      </c>
      <c r="O5245">
        <v>-0.9963803</v>
      </c>
      <c r="P5245">
        <v>0.13753370000000001</v>
      </c>
      <c r="Q5245">
        <v>3.8537910000000002E-2</v>
      </c>
      <c r="R5245">
        <v>-0.98974719999999905</v>
      </c>
      <c r="S5245">
        <v>0.73742680000000005</v>
      </c>
      <c r="T5245">
        <v>-0.18490979999999901</v>
      </c>
      <c r="U5245">
        <v>-2.9359130000000002</v>
      </c>
      <c r="V5245">
        <v>-5.3547860000000003E-2</v>
      </c>
      <c r="W5245">
        <v>5.192215E-2</v>
      </c>
      <c r="X5245">
        <v>0.9972145</v>
      </c>
      <c r="Y5245">
        <v>-0.1608108</v>
      </c>
      <c r="Z5245">
        <v>6.1170799999999997E-2</v>
      </c>
      <c r="AA5245">
        <v>0.98508779999999996</v>
      </c>
      <c r="AB5245">
        <v>25</v>
      </c>
      <c r="AC5245">
        <v>4.3769999999999998</v>
      </c>
      <c r="AD5245">
        <v>-1.1019689921069999</v>
      </c>
      <c r="AE5245">
        <v>-17.244059</v>
      </c>
      <c r="AF5245">
        <v>-2.9017248041999499</v>
      </c>
      <c r="AG5245">
        <v>-1.1019689921069999</v>
      </c>
      <c r="AH5245">
        <v>17.483733215327</v>
      </c>
      <c r="AI5245">
        <v>93.557940306766</v>
      </c>
      <c r="AJ5245">
        <v>99.423319848679398</v>
      </c>
      <c r="AK5245">
        <v>17.7571188441032</v>
      </c>
    </row>
    <row r="5246" spans="1:37" x14ac:dyDescent="0.2">
      <c r="A5246" t="str">
        <f>"20200111153535655"</f>
        <v>20200111153535655</v>
      </c>
      <c r="B5246" t="str">
        <f>"1578728135651329"</f>
        <v>1578728135651329</v>
      </c>
      <c r="C5246" t="s">
        <v>37</v>
      </c>
      <c r="D5246">
        <v>4.8483879999999999</v>
      </c>
      <c r="E5246">
        <v>0.45857179999999997</v>
      </c>
      <c r="F5246" t="s">
        <v>39</v>
      </c>
      <c r="G5246">
        <v>-296.85149999999999</v>
      </c>
      <c r="H5246" s="1">
        <v>-1.8508979999999899E-6</v>
      </c>
      <c r="I5246">
        <v>-27.374700000000001</v>
      </c>
      <c r="J5246">
        <v>-301.2525</v>
      </c>
      <c r="K5246">
        <v>1.1020129999999999</v>
      </c>
      <c r="L5246">
        <v>-10.01291</v>
      </c>
      <c r="M5246">
        <v>7.9842209999999997E-2</v>
      </c>
      <c r="N5246">
        <v>0</v>
      </c>
      <c r="O5246">
        <v>-0.99672159999999999</v>
      </c>
      <c r="P5246">
        <v>0.13790549999999999</v>
      </c>
      <c r="Q5246">
        <v>3.8647470000000003E-2</v>
      </c>
      <c r="R5246">
        <v>-0.98969159999999901</v>
      </c>
      <c r="S5246">
        <v>0.73641969999999901</v>
      </c>
      <c r="T5246">
        <v>-0.18371970000000001</v>
      </c>
      <c r="U5246">
        <v>-2.9359130000000002</v>
      </c>
      <c r="V5246">
        <v>-5.8086890000000002E-2</v>
      </c>
      <c r="W5246">
        <v>5.2107399999999998E-2</v>
      </c>
      <c r="X5246">
        <v>0.99695069999999997</v>
      </c>
      <c r="Y5246">
        <v>-0.1646176</v>
      </c>
      <c r="Z5246">
        <v>6.0793109999999997E-2</v>
      </c>
      <c r="AA5246">
        <v>0.98448219999999997</v>
      </c>
      <c r="AB5246">
        <v>25</v>
      </c>
      <c r="AC5246">
        <v>4.4010000000000096</v>
      </c>
      <c r="AD5246">
        <v>-1.1020148508980001</v>
      </c>
      <c r="AE5246">
        <v>-17.361789999999999</v>
      </c>
      <c r="AF5246">
        <v>-2.9893085948229299</v>
      </c>
      <c r="AG5246">
        <v>-1.1020148508980001</v>
      </c>
      <c r="AH5246">
        <v>17.591174965099999</v>
      </c>
      <c r="AI5246">
        <v>93.534127643126098</v>
      </c>
      <c r="AJ5246">
        <v>99.644274584201398</v>
      </c>
      <c r="AK5246">
        <v>17.877355488422801</v>
      </c>
    </row>
    <row r="5247" spans="1:37" x14ac:dyDescent="0.2">
      <c r="A5247" t="str">
        <f>"20200111153535677"</f>
        <v>20200111153535677</v>
      </c>
      <c r="B5247" t="str">
        <f>"1578728135670846"</f>
        <v>1578728135670846</v>
      </c>
      <c r="C5247" t="s">
        <v>37</v>
      </c>
      <c r="D5247">
        <v>4.8480759999999998</v>
      </c>
      <c r="E5247">
        <v>0.45866769999999901</v>
      </c>
      <c r="F5247" t="s">
        <v>39</v>
      </c>
      <c r="G5247">
        <v>-296.83229999999998</v>
      </c>
      <c r="H5247" s="1">
        <v>-1.7707630000000001E-6</v>
      </c>
      <c r="I5247">
        <v>-27.625159999999902</v>
      </c>
      <c r="J5247">
        <v>-301.23719999999997</v>
      </c>
      <c r="K5247">
        <v>1.1020559999999999</v>
      </c>
      <c r="L5247">
        <v>-10.263730000000001</v>
      </c>
      <c r="M5247">
        <v>7.5638709999999998E-2</v>
      </c>
      <c r="N5247">
        <v>0</v>
      </c>
      <c r="O5247">
        <v>-0.99704879999999996</v>
      </c>
      <c r="P5247">
        <v>0.13844020000000001</v>
      </c>
      <c r="Q5247">
        <v>3.9154189999999998E-2</v>
      </c>
      <c r="R5247">
        <v>-0.98959680000000005</v>
      </c>
      <c r="S5247">
        <v>0.73678589999999999</v>
      </c>
      <c r="T5247">
        <v>-0.1836932</v>
      </c>
      <c r="U5247">
        <v>-2.9357599999999899</v>
      </c>
      <c r="V5247">
        <v>-6.2829109999999994E-2</v>
      </c>
      <c r="W5247">
        <v>5.268453E-2</v>
      </c>
      <c r="X5247">
        <v>0.99663279999999999</v>
      </c>
      <c r="Y5247">
        <v>-0.16890250000000001</v>
      </c>
      <c r="Z5247">
        <v>6.0794279999999999E-2</v>
      </c>
      <c r="AA5247">
        <v>0.98375610000000002</v>
      </c>
      <c r="AB5247">
        <v>25</v>
      </c>
      <c r="AC5247">
        <v>4.4048999999999898</v>
      </c>
      <c r="AD5247">
        <v>-1.1020577707629999</v>
      </c>
      <c r="AE5247">
        <v>-17.361429999999999</v>
      </c>
      <c r="AF5247">
        <v>-3.06735758761991</v>
      </c>
      <c r="AG5247">
        <v>-1.1020577707629999</v>
      </c>
      <c r="AH5247">
        <v>17.5783495987016</v>
      </c>
      <c r="AI5247">
        <v>93.534145057974698</v>
      </c>
      <c r="AJ5247">
        <v>99.898242769572903</v>
      </c>
      <c r="AK5247">
        <v>17.877963768690201</v>
      </c>
    </row>
    <row r="5248" spans="1:37" x14ac:dyDescent="0.2">
      <c r="A5248" t="str">
        <f>"20200111153535700"</f>
        <v>20200111153535700</v>
      </c>
      <c r="B5248" t="str">
        <f>"1578728135691343"</f>
        <v>1578728135691343</v>
      </c>
      <c r="C5248" t="s">
        <v>37</v>
      </c>
      <c r="D5248">
        <v>4.8596849999999998</v>
      </c>
      <c r="E5248">
        <v>0.45864959999999999</v>
      </c>
      <c r="F5248" t="s">
        <v>39</v>
      </c>
      <c r="G5248">
        <v>-296.78339999999997</v>
      </c>
      <c r="H5248" s="1">
        <v>-1.6580949999999999E-6</v>
      </c>
      <c r="I5248">
        <v>-27.99455</v>
      </c>
      <c r="J5248">
        <v>-301.2235</v>
      </c>
      <c r="K5248">
        <v>1.102096</v>
      </c>
      <c r="L5248">
        <v>-10.503539999999999</v>
      </c>
      <c r="M5248">
        <v>7.1620989999999995E-2</v>
      </c>
      <c r="N5248">
        <v>0</v>
      </c>
      <c r="O5248">
        <v>-0.99734500000000004</v>
      </c>
      <c r="P5248">
        <v>0.1387195</v>
      </c>
      <c r="Q5248">
        <v>3.9066879999999998E-2</v>
      </c>
      <c r="R5248">
        <v>-0.98956109999999897</v>
      </c>
      <c r="S5248">
        <v>0.73739619999999995</v>
      </c>
      <c r="T5248">
        <v>-0.1824625</v>
      </c>
      <c r="U5248">
        <v>-2.9356080000000002</v>
      </c>
      <c r="V5248">
        <v>-6.7128019999999997E-2</v>
      </c>
      <c r="W5248">
        <v>5.2657860000000001E-2</v>
      </c>
      <c r="X5248">
        <v>0.99635390000000001</v>
      </c>
      <c r="Y5248">
        <v>-0.17308229999999999</v>
      </c>
      <c r="Z5248">
        <v>6.0394900000000001E-2</v>
      </c>
      <c r="AA5248">
        <v>0.98305390000000004</v>
      </c>
      <c r="AB5248">
        <v>25</v>
      </c>
      <c r="AC5248">
        <v>4.4401000000000197</v>
      </c>
      <c r="AD5248">
        <v>-1.1020976580949999</v>
      </c>
      <c r="AE5248">
        <v>-17.491009999999999</v>
      </c>
      <c r="AF5248">
        <v>-3.1640619999389799</v>
      </c>
      <c r="AG5248">
        <v>-1.1020976580949999</v>
      </c>
      <c r="AH5248">
        <v>17.6981048616382</v>
      </c>
      <c r="AI5248">
        <v>93.5078495353835</v>
      </c>
      <c r="AJ5248">
        <v>100.136235935675</v>
      </c>
      <c r="AK5248">
        <v>18.012462998739998</v>
      </c>
    </row>
    <row r="5249" spans="1:37" x14ac:dyDescent="0.2">
      <c r="A5249" t="str">
        <f>"20200111153535722"</f>
        <v>20200111153535722</v>
      </c>
      <c r="B5249" t="str">
        <f>"1578728135710863"</f>
        <v>1578728135710863</v>
      </c>
      <c r="C5249" t="s">
        <v>37</v>
      </c>
      <c r="D5249">
        <v>4.8387459999999898</v>
      </c>
      <c r="E5249">
        <v>0.45876889999999998</v>
      </c>
      <c r="F5249" t="s">
        <v>39</v>
      </c>
      <c r="G5249">
        <v>-296.77670000000001</v>
      </c>
      <c r="H5249" s="1">
        <v>-1.594195E-6</v>
      </c>
      <c r="I5249">
        <v>-28.18749</v>
      </c>
      <c r="J5249">
        <v>-301.21050000000002</v>
      </c>
      <c r="K5249">
        <v>1.1021270000000001</v>
      </c>
      <c r="L5249">
        <v>-10.752079999999999</v>
      </c>
      <c r="M5249">
        <v>6.7458779999999996E-2</v>
      </c>
      <c r="N5249">
        <v>0</v>
      </c>
      <c r="O5249">
        <v>-0.99763459999999904</v>
      </c>
      <c r="P5249">
        <v>0.1385818</v>
      </c>
      <c r="Q5249">
        <v>3.9872020000000001E-2</v>
      </c>
      <c r="R5249">
        <v>-0.98954809999999904</v>
      </c>
      <c r="S5249">
        <v>0.73812869999999997</v>
      </c>
      <c r="T5249">
        <v>-0.1829395</v>
      </c>
      <c r="U5249">
        <v>-2.9353940000000001</v>
      </c>
      <c r="V5249">
        <v>-7.1145910000000007E-2</v>
      </c>
      <c r="W5249">
        <v>5.3516859999999999E-2</v>
      </c>
      <c r="X5249">
        <v>0.99602919999999995</v>
      </c>
      <c r="Y5249">
        <v>-0.17743519999999999</v>
      </c>
      <c r="Z5249">
        <v>6.0557399999999997E-2</v>
      </c>
      <c r="AA5249">
        <v>0.98226759999999902</v>
      </c>
      <c r="AB5249">
        <v>25</v>
      </c>
      <c r="AC5249">
        <v>4.4338000000000104</v>
      </c>
      <c r="AD5249">
        <v>-1.1021285941950001</v>
      </c>
      <c r="AE5249">
        <v>-17.435410000000001</v>
      </c>
      <c r="AF5249">
        <v>-3.2352819572308298</v>
      </c>
      <c r="AG5249">
        <v>-1.1021285941950001</v>
      </c>
      <c r="AH5249">
        <v>17.628649646926299</v>
      </c>
      <c r="AI5249">
        <v>93.518812019025802</v>
      </c>
      <c r="AJ5249">
        <v>100.39943182985699</v>
      </c>
      <c r="AK5249">
        <v>17.956921371855501</v>
      </c>
    </row>
    <row r="5250" spans="1:37" x14ac:dyDescent="0.2">
      <c r="A5250" t="str">
        <f>"20200111153535745"</f>
        <v>20200111153535745</v>
      </c>
      <c r="B5250" t="str">
        <f>"1578728135741120"</f>
        <v>1578728135741120</v>
      </c>
      <c r="C5250" t="s">
        <v>37</v>
      </c>
      <c r="D5250">
        <v>4.8402560000000001</v>
      </c>
      <c r="E5250">
        <v>0.4588737</v>
      </c>
      <c r="F5250" t="s">
        <v>39</v>
      </c>
      <c r="G5250">
        <v>-296.721</v>
      </c>
      <c r="H5250" s="1">
        <v>-1.453387E-6</v>
      </c>
      <c r="I5250">
        <v>-28.644839999999999</v>
      </c>
      <c r="J5250">
        <v>-301.19830000000002</v>
      </c>
      <c r="K5250">
        <v>1.1021540000000001</v>
      </c>
      <c r="L5250">
        <v>-11.005649999999999</v>
      </c>
      <c r="M5250">
        <v>6.3212850000000001E-2</v>
      </c>
      <c r="N5250">
        <v>0</v>
      </c>
      <c r="O5250">
        <v>-0.99791229999999997</v>
      </c>
      <c r="P5250">
        <v>0.13787959999999999</v>
      </c>
      <c r="Q5250">
        <v>3.949482E-2</v>
      </c>
      <c r="R5250">
        <v>-0.98966129999999997</v>
      </c>
      <c r="S5250">
        <v>0.73663330000000005</v>
      </c>
      <c r="T5250">
        <v>-0.18083569999999999</v>
      </c>
      <c r="U5250">
        <v>-2.9358219999999999</v>
      </c>
      <c r="V5250">
        <v>-7.4681319999999995E-2</v>
      </c>
      <c r="W5250">
        <v>5.3188310000000003E-2</v>
      </c>
      <c r="X5250">
        <v>0.99578799999999901</v>
      </c>
      <c r="Y5250">
        <v>-0.18112739999999999</v>
      </c>
      <c r="Z5250">
        <v>5.9863529999999998E-2</v>
      </c>
      <c r="AA5250">
        <v>0.98163599999999995</v>
      </c>
      <c r="AB5250">
        <v>25</v>
      </c>
      <c r="AC5250">
        <v>4.4773000000000103</v>
      </c>
      <c r="AD5250">
        <v>-1.1021554533869999</v>
      </c>
      <c r="AE5250">
        <v>-17.639189999999999</v>
      </c>
      <c r="AF5250">
        <v>-3.3409687981834</v>
      </c>
      <c r="AG5250">
        <v>-1.1021554533869999</v>
      </c>
      <c r="AH5250">
        <v>17.821587326069601</v>
      </c>
      <c r="AI5250">
        <v>93.478441305579196</v>
      </c>
      <c r="AJ5250">
        <v>100.61785756250001</v>
      </c>
      <c r="AK5250">
        <v>18.165511112396299</v>
      </c>
    </row>
    <row r="5251" spans="1:37" x14ac:dyDescent="0.2">
      <c r="A5251" t="str">
        <f>"20200111153535767"</f>
        <v>20200111153535767</v>
      </c>
      <c r="B5251" t="str">
        <f>"1578728135760642"</f>
        <v>1578728135760642</v>
      </c>
      <c r="C5251" t="s">
        <v>37</v>
      </c>
      <c r="D5251">
        <v>4.7984289999999996</v>
      </c>
      <c r="E5251">
        <v>0.45889600000000003</v>
      </c>
      <c r="F5251" t="s">
        <v>39</v>
      </c>
      <c r="G5251">
        <v>-296.77969999999999</v>
      </c>
      <c r="H5251" s="1">
        <v>-1.4196510000000001E-6</v>
      </c>
      <c r="I5251">
        <v>-28.6981</v>
      </c>
      <c r="J5251">
        <v>-301.18759999999997</v>
      </c>
      <c r="K5251">
        <v>1.1021809999999901</v>
      </c>
      <c r="L5251">
        <v>-11.247439999999999</v>
      </c>
      <c r="M5251">
        <v>5.9163510000000002E-2</v>
      </c>
      <c r="N5251">
        <v>0</v>
      </c>
      <c r="O5251">
        <v>-0.9981603</v>
      </c>
      <c r="P5251">
        <v>0.13716729999999899</v>
      </c>
      <c r="Q5251">
        <v>3.9315699999999898E-2</v>
      </c>
      <c r="R5251">
        <v>-0.98976759999999997</v>
      </c>
      <c r="S5251">
        <v>0.73336789999999996</v>
      </c>
      <c r="T5251">
        <v>-0.1829276</v>
      </c>
      <c r="U5251">
        <v>-2.9364619999999899</v>
      </c>
      <c r="V5251">
        <v>-7.8007649999999998E-2</v>
      </c>
      <c r="W5251">
        <v>5.3050710000000001E-2</v>
      </c>
      <c r="X5251">
        <v>0.99554030000000004</v>
      </c>
      <c r="Y5251">
        <v>-0.18402859999999999</v>
      </c>
      <c r="Z5251">
        <v>6.0554869999999997E-2</v>
      </c>
      <c r="AA5251">
        <v>0.98105379999999998</v>
      </c>
      <c r="AB5251">
        <v>25</v>
      </c>
      <c r="AC5251">
        <v>4.4078999999999802</v>
      </c>
      <c r="AD5251">
        <v>-1.1021824196509999</v>
      </c>
      <c r="AE5251">
        <v>-17.450659999999999</v>
      </c>
      <c r="AF5251">
        <v>-3.35506311884494</v>
      </c>
      <c r="AG5251">
        <v>-1.1021824196509999</v>
      </c>
      <c r="AH5251">
        <v>17.6148418786867</v>
      </c>
      <c r="AI5251">
        <v>93.517330449735695</v>
      </c>
      <c r="AJ5251">
        <v>100.783843183682</v>
      </c>
      <c r="AK5251">
        <v>17.9653530170926</v>
      </c>
    </row>
    <row r="5252" spans="1:37" x14ac:dyDescent="0.2">
      <c r="A5252" t="str">
        <f>"20200111153535789"</f>
        <v>20200111153535789</v>
      </c>
      <c r="B5252" t="str">
        <f>"1578728135781135"</f>
        <v>1578728135781135</v>
      </c>
      <c r="C5252" t="s">
        <v>37</v>
      </c>
      <c r="D5252">
        <v>5.0009489999999897</v>
      </c>
      <c r="E5252">
        <v>0.45898459999999902</v>
      </c>
      <c r="F5252" t="s">
        <v>39</v>
      </c>
      <c r="G5252">
        <v>-296.80220000000003</v>
      </c>
      <c r="H5252" s="1">
        <v>-1.355041E-6</v>
      </c>
      <c r="I5252">
        <v>-28.870339999999999</v>
      </c>
      <c r="J5252">
        <v>-301.17759999999998</v>
      </c>
      <c r="K5252">
        <v>1.1021989999999999</v>
      </c>
      <c r="L5252">
        <v>-11.49536</v>
      </c>
      <c r="M5252">
        <v>5.5011369999999997E-2</v>
      </c>
      <c r="N5252">
        <v>0</v>
      </c>
      <c r="O5252">
        <v>-0.99839739999999999</v>
      </c>
      <c r="P5252">
        <v>0.135517</v>
      </c>
      <c r="Q5252">
        <v>3.9657480000000002E-2</v>
      </c>
      <c r="R5252">
        <v>-0.989981</v>
      </c>
      <c r="S5252">
        <v>0.73086549999999995</v>
      </c>
      <c r="T5252">
        <v>-0.1836902</v>
      </c>
      <c r="U5252">
        <v>-2.9370419999999999</v>
      </c>
      <c r="V5252">
        <v>-8.0488989999999996E-2</v>
      </c>
      <c r="W5252">
        <v>5.3426389999999997E-2</v>
      </c>
      <c r="X5252">
        <v>0.99532259999999995</v>
      </c>
      <c r="Y5252">
        <v>-0.18727939999999901</v>
      </c>
      <c r="Z5252">
        <v>6.0803820000000001E-2</v>
      </c>
      <c r="AA5252">
        <v>0.98042299999999905</v>
      </c>
      <c r="AB5252">
        <v>25</v>
      </c>
      <c r="AC5252">
        <v>4.3753999999999502</v>
      </c>
      <c r="AD5252">
        <v>-1.102200355041</v>
      </c>
      <c r="AE5252">
        <v>-17.374979999999901</v>
      </c>
      <c r="AF5252">
        <v>-3.4000013620360998</v>
      </c>
      <c r="AG5252">
        <v>-1.102200355041</v>
      </c>
      <c r="AH5252">
        <v>17.523072702054399</v>
      </c>
      <c r="AI5252">
        <v>93.533433390455698</v>
      </c>
      <c r="AJ5252">
        <v>100.98065688285401</v>
      </c>
      <c r="AK5252">
        <v>17.883873512356999</v>
      </c>
    </row>
    <row r="5253" spans="1:37" x14ac:dyDescent="0.2">
      <c r="A5253" t="str">
        <f>"20200111153535811"</f>
        <v>20200111153535811</v>
      </c>
      <c r="B5253" t="str">
        <f>"1578728135800655"</f>
        <v>1578728135800655</v>
      </c>
      <c r="C5253" t="s">
        <v>37</v>
      </c>
      <c r="D5253">
        <v>4.8872299999999997</v>
      </c>
      <c r="E5253">
        <v>0.50509380000000004</v>
      </c>
      <c r="F5253" t="s">
        <v>39</v>
      </c>
      <c r="G5253">
        <v>-296.80669999999998</v>
      </c>
      <c r="H5253" s="1">
        <v>-1.2379579999999999E-6</v>
      </c>
      <c r="I5253">
        <v>-29.210909999999998</v>
      </c>
      <c r="J5253">
        <v>-301.16899999999998</v>
      </c>
      <c r="K5253">
        <v>1.102214</v>
      </c>
      <c r="L5253">
        <v>-11.735989999999999</v>
      </c>
      <c r="M5253">
        <v>5.0980440000000002E-2</v>
      </c>
      <c r="N5253">
        <v>0</v>
      </c>
      <c r="O5253">
        <v>-0.99861109999999897</v>
      </c>
      <c r="P5253">
        <v>0.13401749999999901</v>
      </c>
      <c r="Q5253">
        <v>3.9468059999999999E-2</v>
      </c>
      <c r="R5253">
        <v>-0.99019259999999998</v>
      </c>
      <c r="S5253">
        <v>0.72500609999999999</v>
      </c>
      <c r="T5253">
        <v>-0.18282000000000001</v>
      </c>
      <c r="U5253">
        <v>-2.9384459999999999</v>
      </c>
      <c r="V5253">
        <v>-8.3002469999999995E-2</v>
      </c>
      <c r="W5253">
        <v>5.3267830000000002E-2</v>
      </c>
      <c r="X5253">
        <v>0.99512469999999997</v>
      </c>
      <c r="Y5253">
        <v>-0.18929670000000001</v>
      </c>
      <c r="Z5253">
        <v>6.051082E-2</v>
      </c>
      <c r="AA5253">
        <v>0.98005370000000003</v>
      </c>
      <c r="AB5253">
        <v>25</v>
      </c>
      <c r="AC5253">
        <v>4.3623000000000598</v>
      </c>
      <c r="AD5253">
        <v>-1.1022152379579999</v>
      </c>
      <c r="AE5253">
        <v>-17.474919999999901</v>
      </c>
      <c r="AF5253">
        <v>-3.4527381736742</v>
      </c>
      <c r="AG5253">
        <v>-1.1022152379579999</v>
      </c>
      <c r="AH5253">
        <v>17.6086601921305</v>
      </c>
      <c r="AI5253">
        <v>93.514997488183695</v>
      </c>
      <c r="AJ5253">
        <v>101.093910088306</v>
      </c>
      <c r="AK5253">
        <v>17.977797225707398</v>
      </c>
    </row>
    <row r="5254" spans="1:37" x14ac:dyDescent="0.2">
      <c r="A5254" t="str">
        <f>"20200111153535834"</f>
        <v>20200111153535834</v>
      </c>
      <c r="B5254" t="str">
        <f>"1578728135821152"</f>
        <v>1578728135821152</v>
      </c>
      <c r="C5254" t="s">
        <v>37</v>
      </c>
      <c r="D5254">
        <v>4.8390940000000002</v>
      </c>
      <c r="E5254">
        <v>0.51646009999999998</v>
      </c>
      <c r="F5254" t="s">
        <v>39</v>
      </c>
      <c r="G5254">
        <v>-298.90679999999998</v>
      </c>
      <c r="H5254" s="1">
        <v>-4.3202959999999998E-6</v>
      </c>
      <c r="I5254">
        <v>-30.748529999999999</v>
      </c>
      <c r="J5254">
        <v>-301.161</v>
      </c>
      <c r="K5254">
        <v>1.1022319999999901</v>
      </c>
      <c r="L5254">
        <v>-11.986879999999999</v>
      </c>
      <c r="M5254">
        <v>4.6775999999999998E-2</v>
      </c>
      <c r="N5254">
        <v>0</v>
      </c>
      <c r="O5254">
        <v>-0.99881679999999995</v>
      </c>
      <c r="P5254">
        <v>0.13270660000000001</v>
      </c>
      <c r="Q5254">
        <v>3.9385450000000002E-2</v>
      </c>
      <c r="R5254">
        <v>-0.990372699999999</v>
      </c>
      <c r="S5254">
        <v>0.35559079999999998</v>
      </c>
      <c r="T5254">
        <v>-0.17325279999999901</v>
      </c>
      <c r="U5254">
        <v>-2.9884949999999999</v>
      </c>
      <c r="V5254">
        <v>-8.587649E-2</v>
      </c>
      <c r="W5254">
        <v>5.3216399999999997E-2</v>
      </c>
      <c r="X5254">
        <v>0.99488349999999903</v>
      </c>
      <c r="Y5254">
        <v>-7.1375679999999997E-2</v>
      </c>
      <c r="Z5254">
        <v>5.7505349999999997E-2</v>
      </c>
      <c r="AA5254">
        <v>0.99579050000000002</v>
      </c>
      <c r="AB5254">
        <v>25</v>
      </c>
      <c r="AC5254">
        <v>2.25420000000002</v>
      </c>
      <c r="AD5254">
        <v>-1.1022363202959999</v>
      </c>
      <c r="AE5254">
        <v>-18.761649999999999</v>
      </c>
      <c r="AF5254">
        <v>-1.3694002840925501</v>
      </c>
      <c r="AG5254">
        <v>-1.1022363202959999</v>
      </c>
      <c r="AH5254">
        <v>18.782655997007101</v>
      </c>
      <c r="AI5254">
        <v>93.349607971023502</v>
      </c>
      <c r="AJ5254">
        <v>94.169925597041399</v>
      </c>
      <c r="AK5254">
        <v>18.864738226271701</v>
      </c>
    </row>
    <row r="5255" spans="1:37" x14ac:dyDescent="0.2">
      <c r="A5255" t="str">
        <f>"20200111153535858"</f>
        <v>20200111153535858</v>
      </c>
      <c r="B5255" t="str">
        <f>"1578728135851407"</f>
        <v>1578728135851407</v>
      </c>
      <c r="C5255" t="s">
        <v>37</v>
      </c>
      <c r="D5255">
        <v>4.840395</v>
      </c>
      <c r="E5255">
        <v>0.52006090000000005</v>
      </c>
      <c r="F5255" t="s">
        <v>39</v>
      </c>
      <c r="G5255">
        <v>-299.56</v>
      </c>
      <c r="H5255" s="1">
        <v>-4.358412E-6</v>
      </c>
      <c r="I5255">
        <v>-30.389579999999999</v>
      </c>
      <c r="J5255">
        <v>-301.15390000000002</v>
      </c>
      <c r="K5255">
        <v>1.102247</v>
      </c>
      <c r="L5255">
        <v>-12.24466</v>
      </c>
      <c r="M5255">
        <v>4.2455930000000003E-2</v>
      </c>
      <c r="N5255">
        <v>0</v>
      </c>
      <c r="O5255">
        <v>-0.999009499999999</v>
      </c>
      <c r="P5255">
        <v>0.13078210000000001</v>
      </c>
      <c r="Q5255">
        <v>3.9487809999999998E-2</v>
      </c>
      <c r="R5255">
        <v>-0.99062450000000002</v>
      </c>
      <c r="S5255">
        <v>0.26110839999999902</v>
      </c>
      <c r="T5255">
        <v>-0.1797647</v>
      </c>
      <c r="U5255">
        <v>-3.001312</v>
      </c>
      <c r="V5255">
        <v>-8.8247610000000004E-2</v>
      </c>
      <c r="W5255">
        <v>5.3344490000000001E-2</v>
      </c>
      <c r="X5255">
        <v>0.99466909999999897</v>
      </c>
      <c r="Y5255">
        <v>-4.4138629999999998E-2</v>
      </c>
      <c r="Z5255">
        <v>5.9566309999999997E-2</v>
      </c>
      <c r="AA5255">
        <v>0.99724809999999997</v>
      </c>
      <c r="AB5255">
        <v>24</v>
      </c>
      <c r="AC5255">
        <v>1.5939000000000101</v>
      </c>
      <c r="AD5255">
        <v>-1.1022513584119999</v>
      </c>
      <c r="AE5255">
        <v>-18.144919999999999</v>
      </c>
      <c r="AF5255">
        <v>-0.81903548268533899</v>
      </c>
      <c r="AG5255">
        <v>-1.1022513584119999</v>
      </c>
      <c r="AH5255">
        <v>18.129842422599701</v>
      </c>
      <c r="AI5255">
        <v>93.475628629042305</v>
      </c>
      <c r="AJ5255">
        <v>92.586640857938804</v>
      </c>
      <c r="AK5255">
        <v>18.181775585660301</v>
      </c>
    </row>
    <row r="5256" spans="1:37" x14ac:dyDescent="0.2">
      <c r="A5256" t="str">
        <f>"20200111153535879"</f>
        <v>20200111153535879</v>
      </c>
      <c r="B5256" t="str">
        <f>"1578728135870927"</f>
        <v>1578728135870927</v>
      </c>
      <c r="C5256" t="s">
        <v>37</v>
      </c>
      <c r="D5256">
        <v>4.7837139999999998</v>
      </c>
      <c r="E5256">
        <v>0.52072940000000001</v>
      </c>
      <c r="F5256" t="s">
        <v>39</v>
      </c>
      <c r="G5256">
        <v>-299.76519999999999</v>
      </c>
      <c r="H5256" s="1">
        <v>-4.1911719999999999E-6</v>
      </c>
      <c r="I5256">
        <v>-30.694569999999999</v>
      </c>
      <c r="J5256">
        <v>-301.14830000000001</v>
      </c>
      <c r="K5256">
        <v>1.1022559999999999</v>
      </c>
      <c r="L5256">
        <v>-12.480039999999899</v>
      </c>
      <c r="M5256">
        <v>3.8510830000000003E-2</v>
      </c>
      <c r="N5256">
        <v>0</v>
      </c>
      <c r="O5256">
        <v>-0.99916919999999898</v>
      </c>
      <c r="P5256">
        <v>0.12881629999999999</v>
      </c>
      <c r="Q5256">
        <v>3.890594E-2</v>
      </c>
      <c r="R5256">
        <v>-0.99090499999999904</v>
      </c>
      <c r="S5256">
        <v>0.22622680000000001</v>
      </c>
      <c r="T5256">
        <v>-0.1795678</v>
      </c>
      <c r="U5256">
        <v>-3.0056759999999998</v>
      </c>
      <c r="V5256">
        <v>-9.0206129999999995E-2</v>
      </c>
      <c r="W5256">
        <v>5.2784049999999999E-2</v>
      </c>
      <c r="X5256">
        <v>0.9945233</v>
      </c>
      <c r="Y5256">
        <v>-3.6460029999999997E-2</v>
      </c>
      <c r="Z5256">
        <v>5.9466720000000001E-2</v>
      </c>
      <c r="AA5256">
        <v>0.99756420000000001</v>
      </c>
      <c r="AB5256">
        <v>24</v>
      </c>
      <c r="AC5256">
        <v>1.38310000000001</v>
      </c>
      <c r="AD5256">
        <v>-1.10226019117199</v>
      </c>
      <c r="AE5256">
        <v>-18.21453</v>
      </c>
      <c r="AF5256">
        <v>-0.67808577108191004</v>
      </c>
      <c r="AG5256">
        <v>-1.10226019117199</v>
      </c>
      <c r="AH5256">
        <v>18.188059843450102</v>
      </c>
      <c r="AI5256">
        <v>93.465681581672101</v>
      </c>
      <c r="AJ5256">
        <v>92.135107743583006</v>
      </c>
      <c r="AK5256">
        <v>18.234042303090899</v>
      </c>
    </row>
    <row r="5257" spans="1:37" x14ac:dyDescent="0.2">
      <c r="A5257" t="str">
        <f>"20200111153535901"</f>
        <v>20200111153535901</v>
      </c>
      <c r="B5257" t="str">
        <f>"1578728135891423"</f>
        <v>1578728135891423</v>
      </c>
      <c r="C5257" t="s">
        <v>37</v>
      </c>
      <c r="D5257">
        <v>4.7630309999999998</v>
      </c>
      <c r="E5257">
        <v>0.52132420000000002</v>
      </c>
      <c r="F5257" t="s">
        <v>39</v>
      </c>
      <c r="G5257">
        <v>-299.8458</v>
      </c>
      <c r="H5257" s="1">
        <v>-4.1673410000000004E-6</v>
      </c>
      <c r="I5257">
        <v>-30.716799999999999</v>
      </c>
      <c r="J5257">
        <v>-301.14359999999999</v>
      </c>
      <c r="K5257">
        <v>1.1022620000000001</v>
      </c>
      <c r="L5257">
        <v>-12.72232</v>
      </c>
      <c r="M5257">
        <v>3.4447999999999999E-2</v>
      </c>
      <c r="N5257">
        <v>0</v>
      </c>
      <c r="O5257">
        <v>-0.99931719999999902</v>
      </c>
      <c r="P5257">
        <v>0.12743650000000001</v>
      </c>
      <c r="Q5257">
        <v>3.8358099999999999E-2</v>
      </c>
      <c r="R5257">
        <v>-0.99110450000000005</v>
      </c>
      <c r="S5257">
        <v>0.2147522</v>
      </c>
      <c r="T5257">
        <v>-0.1817327</v>
      </c>
      <c r="U5257">
        <v>-3.0067439999999999</v>
      </c>
      <c r="V5257">
        <v>-9.2869740000000006E-2</v>
      </c>
      <c r="W5257">
        <v>5.2258819999999997E-2</v>
      </c>
      <c r="X5257">
        <v>0.99430589999999996</v>
      </c>
      <c r="Y5257">
        <v>-3.6706999999999997E-2</v>
      </c>
      <c r="Z5257">
        <v>6.0181270000000002E-2</v>
      </c>
      <c r="AA5257">
        <v>0.99751229999999902</v>
      </c>
      <c r="AB5257">
        <v>24</v>
      </c>
      <c r="AC5257">
        <v>1.2977999999999901</v>
      </c>
      <c r="AD5257">
        <v>-1.1022661673409999</v>
      </c>
      <c r="AE5257">
        <v>-17.994479999999999</v>
      </c>
      <c r="AF5257">
        <v>-0.67458232021929898</v>
      </c>
      <c r="AG5257">
        <v>-1.1022661673409999</v>
      </c>
      <c r="AH5257">
        <v>17.9614612809048</v>
      </c>
      <c r="AI5257">
        <v>93.509278379387894</v>
      </c>
      <c r="AJ5257">
        <v>92.150858540892102</v>
      </c>
      <c r="AK5257">
        <v>18.0078911412708</v>
      </c>
    </row>
    <row r="5258" spans="1:37" x14ac:dyDescent="0.2">
      <c r="A5258" t="str">
        <f>"20200111153535923"</f>
        <v>20200111153535923</v>
      </c>
      <c r="B5258" t="str">
        <f>"1578728135910943"</f>
        <v>1578728135910943</v>
      </c>
      <c r="C5258" t="s">
        <v>37</v>
      </c>
      <c r="D5258">
        <v>4.7927229999999996</v>
      </c>
      <c r="E5258">
        <v>0.52157039999999999</v>
      </c>
      <c r="F5258" t="s">
        <v>39</v>
      </c>
      <c r="G5258">
        <v>-299.90660000000003</v>
      </c>
      <c r="H5258" s="1">
        <v>-4.097411E-6</v>
      </c>
      <c r="I5258">
        <v>-30.854690000000002</v>
      </c>
      <c r="J5258">
        <v>-301.14</v>
      </c>
      <c r="K5258">
        <v>1.1022700000000001</v>
      </c>
      <c r="L5258">
        <v>-12.96664</v>
      </c>
      <c r="M5258">
        <v>3.0351260000000001E-2</v>
      </c>
      <c r="N5258">
        <v>0</v>
      </c>
      <c r="O5258">
        <v>-0.99945010000000001</v>
      </c>
      <c r="P5258">
        <v>0.1262451</v>
      </c>
      <c r="Q5258">
        <v>3.7328729999999997E-2</v>
      </c>
      <c r="R5258">
        <v>-0.99129679999999998</v>
      </c>
      <c r="S5258">
        <v>0.2052002</v>
      </c>
      <c r="T5258">
        <v>-0.18283369999999999</v>
      </c>
      <c r="U5258">
        <v>-3.0076290000000001</v>
      </c>
      <c r="V5258">
        <v>-9.575794E-2</v>
      </c>
      <c r="W5258">
        <v>5.1253090000000001E-2</v>
      </c>
      <c r="X5258">
        <v>0.99408430000000003</v>
      </c>
      <c r="Y5258">
        <v>-3.7628479999999999E-2</v>
      </c>
      <c r="Z5258">
        <v>6.0544519999999998E-2</v>
      </c>
      <c r="AA5258">
        <v>0.99745599999999901</v>
      </c>
      <c r="AB5258">
        <v>24</v>
      </c>
      <c r="AC5258">
        <v>1.2333999999999601</v>
      </c>
      <c r="AD5258">
        <v>-1.1022740974109999</v>
      </c>
      <c r="AE5258">
        <v>-17.88805</v>
      </c>
      <c r="AF5258">
        <v>-0.68726114174821595</v>
      </c>
      <c r="AG5258">
        <v>-1.1022740974109999</v>
      </c>
      <c r="AH5258">
        <v>17.849789077173401</v>
      </c>
      <c r="AI5258">
        <v>93.531076720708995</v>
      </c>
      <c r="AJ5258">
        <v>92.204940453816704</v>
      </c>
      <c r="AK5258">
        <v>17.896991539428001</v>
      </c>
    </row>
    <row r="5259" spans="1:37" x14ac:dyDescent="0.2">
      <c r="A5259" t="str">
        <f>"20200111153535947"</f>
        <v>20200111153535947</v>
      </c>
      <c r="B5259" t="str">
        <f>"1578728135941199"</f>
        <v>1578728135941199</v>
      </c>
      <c r="C5259" t="s">
        <v>37</v>
      </c>
      <c r="D5259">
        <v>4.8190599999999897</v>
      </c>
      <c r="E5259">
        <v>0.52158490000000002</v>
      </c>
      <c r="F5259" t="s">
        <v>39</v>
      </c>
      <c r="G5259">
        <v>-299.9658</v>
      </c>
      <c r="H5259" s="1">
        <v>-4.1519159999999996E-6</v>
      </c>
      <c r="I5259">
        <v>-30.711459999999999</v>
      </c>
      <c r="J5259">
        <v>-301.13720000000001</v>
      </c>
      <c r="K5259">
        <v>1.102271</v>
      </c>
      <c r="L5259">
        <v>-13.220610000000001</v>
      </c>
      <c r="M5259">
        <v>2.609291E-2</v>
      </c>
      <c r="N5259">
        <v>0</v>
      </c>
      <c r="O5259">
        <v>-0.99957030000000002</v>
      </c>
      <c r="P5259">
        <v>0.1247746</v>
      </c>
      <c r="Q5259">
        <v>3.608372E-2</v>
      </c>
      <c r="R5259">
        <v>-0.99152870000000004</v>
      </c>
      <c r="S5259">
        <v>0.19903560000000001</v>
      </c>
      <c r="T5259">
        <v>-0.18685279999999899</v>
      </c>
      <c r="U5259">
        <v>-3.0080259999999899</v>
      </c>
      <c r="V5259">
        <v>-9.8527669999999998E-2</v>
      </c>
      <c r="W5259">
        <v>5.0029669999999998E-2</v>
      </c>
      <c r="X5259">
        <v>0.99387590000000003</v>
      </c>
      <c r="Y5259">
        <v>-3.9836499999999997E-2</v>
      </c>
      <c r="Z5259">
        <v>6.1874989999999998E-2</v>
      </c>
      <c r="AA5259">
        <v>0.99728859999999997</v>
      </c>
      <c r="AB5259">
        <v>24</v>
      </c>
      <c r="AC5259">
        <v>1.1714</v>
      </c>
      <c r="AD5259">
        <v>-1.1022751519159999</v>
      </c>
      <c r="AE5259">
        <v>-17.490849999999998</v>
      </c>
      <c r="AF5259">
        <v>-0.71175905600058298</v>
      </c>
      <c r="AG5259">
        <v>-1.1022751519159999</v>
      </c>
      <c r="AH5259">
        <v>17.446481760804801</v>
      </c>
      <c r="AI5259">
        <v>93.612166524606593</v>
      </c>
      <c r="AJ5259">
        <v>92.336183780159601</v>
      </c>
      <c r="AK5259">
        <v>17.495751978535399</v>
      </c>
    </row>
    <row r="5260" spans="1:37" x14ac:dyDescent="0.2">
      <c r="A5260" t="str">
        <f>"20200111153535968"</f>
        <v>20200111153535968</v>
      </c>
      <c r="B5260" t="str">
        <f>"1578728135960719"</f>
        <v>1578728135960719</v>
      </c>
      <c r="C5260" t="s">
        <v>37</v>
      </c>
      <c r="D5260">
        <v>4.8052970000000004</v>
      </c>
      <c r="E5260">
        <v>0.52172890000000005</v>
      </c>
      <c r="F5260" t="s">
        <v>39</v>
      </c>
      <c r="G5260">
        <v>-300.01549999999997</v>
      </c>
      <c r="H5260" s="1">
        <v>-4.2061250000000003E-6</v>
      </c>
      <c r="I5260">
        <v>-30.6159099999999</v>
      </c>
      <c r="J5260">
        <v>-301.13549999999998</v>
      </c>
      <c r="K5260">
        <v>1.1022700000000001</v>
      </c>
      <c r="L5260">
        <v>-13.46161</v>
      </c>
      <c r="M5260">
        <v>2.2056570000000001E-2</v>
      </c>
      <c r="N5260">
        <v>0</v>
      </c>
      <c r="O5260">
        <v>-0.99966749999999904</v>
      </c>
      <c r="P5260">
        <v>0.1232441</v>
      </c>
      <c r="Q5260">
        <v>3.486181E-2</v>
      </c>
      <c r="R5260">
        <v>-0.99176419999999998</v>
      </c>
      <c r="S5260">
        <v>0.19396969999999999</v>
      </c>
      <c r="T5260">
        <v>-0.19061510000000001</v>
      </c>
      <c r="U5260">
        <v>-3.0081479999999998</v>
      </c>
      <c r="V5260">
        <v>-0.1010163</v>
      </c>
      <c r="W5260">
        <v>4.882475E-2</v>
      </c>
      <c r="X5260">
        <v>0.99368599999999996</v>
      </c>
      <c r="Y5260">
        <v>-4.2190980000000003E-2</v>
      </c>
      <c r="Z5260">
        <v>6.3122979999999995E-2</v>
      </c>
      <c r="AA5260">
        <v>0.99711349999999999</v>
      </c>
      <c r="AB5260">
        <v>24</v>
      </c>
      <c r="AC5260">
        <v>1.1200000000000001</v>
      </c>
      <c r="AD5260">
        <v>-1.1022742061249999</v>
      </c>
      <c r="AE5260">
        <v>-17.1542999999999</v>
      </c>
      <c r="AF5260">
        <v>-0.73829331707446599</v>
      </c>
      <c r="AG5260">
        <v>-1.1022742061249999</v>
      </c>
      <c r="AH5260">
        <v>17.104508730515001</v>
      </c>
      <c r="AI5260">
        <v>93.683820592573895</v>
      </c>
      <c r="AJ5260">
        <v>92.471561778652102</v>
      </c>
      <c r="AK5260">
        <v>17.1558825001744</v>
      </c>
    </row>
    <row r="5261" spans="1:37" x14ac:dyDescent="0.2">
      <c r="A5261" t="str">
        <f>"20200111153535990"</f>
        <v>20200111153535990</v>
      </c>
      <c r="B5261" t="str">
        <f>"1578728135981215"</f>
        <v>1578728135981215</v>
      </c>
      <c r="C5261" t="s">
        <v>37</v>
      </c>
      <c r="D5261">
        <v>4.819293</v>
      </c>
      <c r="E5261">
        <v>0.52178230000000003</v>
      </c>
      <c r="F5261" t="s">
        <v>39</v>
      </c>
      <c r="G5261">
        <v>-300.06630000000001</v>
      </c>
      <c r="H5261" s="1">
        <v>-4.2299430000000001E-6</v>
      </c>
      <c r="I5261">
        <v>-30.591899999999999</v>
      </c>
      <c r="J5261">
        <v>-301.13479999999998</v>
      </c>
      <c r="K5261">
        <v>1.1022809999999901</v>
      </c>
      <c r="L5261">
        <v>-13.70105</v>
      </c>
      <c r="M5261">
        <v>1.8064170000000001E-2</v>
      </c>
      <c r="N5261">
        <v>0</v>
      </c>
      <c r="O5261">
        <v>-0.99974739999999995</v>
      </c>
      <c r="P5261">
        <v>0.1217434</v>
      </c>
      <c r="Q5261">
        <v>3.3787749999999998E-2</v>
      </c>
      <c r="R5261">
        <v>-0.99198629999999999</v>
      </c>
      <c r="S5261">
        <v>0.18777469999999999</v>
      </c>
      <c r="T5261">
        <v>-0.19357959999999999</v>
      </c>
      <c r="U5261">
        <v>-3.00839199999999</v>
      </c>
      <c r="V5261">
        <v>-0.103489899999999</v>
      </c>
      <c r="W5261">
        <v>4.7765019999999998E-2</v>
      </c>
      <c r="X5261">
        <v>0.99348289999999995</v>
      </c>
      <c r="Y5261">
        <v>-4.4126720000000001E-2</v>
      </c>
      <c r="Z5261">
        <v>6.4104649999999999E-2</v>
      </c>
      <c r="AA5261">
        <v>0.99696709999999999</v>
      </c>
      <c r="AB5261">
        <v>24</v>
      </c>
      <c r="AC5261">
        <v>1.06849999999997</v>
      </c>
      <c r="AD5261">
        <v>-1.1022852299429999</v>
      </c>
      <c r="AE5261">
        <v>-16.89085</v>
      </c>
      <c r="AF5261">
        <v>-0.75995556876422199</v>
      </c>
      <c r="AG5261">
        <v>-1.1022852299429999</v>
      </c>
      <c r="AH5261">
        <v>16.8359817905644</v>
      </c>
      <c r="AI5261">
        <v>93.742122881120807</v>
      </c>
      <c r="AJ5261">
        <v>92.584506848349506</v>
      </c>
      <c r="AK5261">
        <v>16.8891340230001</v>
      </c>
    </row>
    <row r="5262" spans="1:37" x14ac:dyDescent="0.2">
      <c r="A5262" t="str">
        <f>"20200111153536013"</f>
        <v>20200111153536013</v>
      </c>
      <c r="B5262" t="str">
        <f>"1578728136000735"</f>
        <v>1578728136000735</v>
      </c>
      <c r="C5262" t="s">
        <v>37</v>
      </c>
      <c r="D5262">
        <v>4.8109999999999999</v>
      </c>
      <c r="E5262">
        <v>0.52163389999999998</v>
      </c>
      <c r="F5262" t="s">
        <v>39</v>
      </c>
      <c r="G5262">
        <v>-300.108</v>
      </c>
      <c r="H5262" s="1">
        <v>-4.2481019999999997E-6</v>
      </c>
      <c r="I5262">
        <v>-30.575409999999899</v>
      </c>
      <c r="J5262">
        <v>-301.13499999999999</v>
      </c>
      <c r="K5262">
        <v>1.102298</v>
      </c>
      <c r="L5262">
        <v>-13.944889999999999</v>
      </c>
      <c r="M5262">
        <v>1.4032970000000001E-2</v>
      </c>
      <c r="N5262">
        <v>0</v>
      </c>
      <c r="O5262">
        <v>-0.99981209999999898</v>
      </c>
      <c r="P5262">
        <v>0.12018189999999999</v>
      </c>
      <c r="Q5262">
        <v>3.2189530000000001E-2</v>
      </c>
      <c r="R5262">
        <v>-0.992230099999999</v>
      </c>
      <c r="S5262">
        <v>0.18307499999999999</v>
      </c>
      <c r="T5262">
        <v>-0.19652149999999999</v>
      </c>
      <c r="U5262">
        <v>-3.0084529999999998</v>
      </c>
      <c r="V5262">
        <v>-0.1059462</v>
      </c>
      <c r="W5262">
        <v>4.6176050000000003E-2</v>
      </c>
      <c r="X5262">
        <v>0.99329909999999999</v>
      </c>
      <c r="Y5262">
        <v>-4.6598090000000002E-2</v>
      </c>
      <c r="Z5262">
        <v>6.5079250000000005E-2</v>
      </c>
      <c r="AA5262">
        <v>0.99679150000000005</v>
      </c>
      <c r="AB5262">
        <v>24</v>
      </c>
      <c r="AC5262">
        <v>1.0269999999999799</v>
      </c>
      <c r="AD5262">
        <v>-1.1023022481019999</v>
      </c>
      <c r="AE5262">
        <v>-16.630519999999901</v>
      </c>
      <c r="AF5262">
        <v>-0.79004468864159405</v>
      </c>
      <c r="AG5262">
        <v>-1.1023022481019999</v>
      </c>
      <c r="AH5262">
        <v>16.570771689953101</v>
      </c>
      <c r="AI5262">
        <v>93.801453122977193</v>
      </c>
      <c r="AJ5262">
        <v>92.729623922732799</v>
      </c>
      <c r="AK5262">
        <v>16.6261756052549</v>
      </c>
    </row>
    <row r="5263" spans="1:37" x14ac:dyDescent="0.2">
      <c r="A5263" t="str">
        <f>"20200111153536034"</f>
        <v>20200111153536034</v>
      </c>
      <c r="B5263" t="str">
        <f>"1578728136030991"</f>
        <v>1578728136030991</v>
      </c>
      <c r="C5263" t="s">
        <v>37</v>
      </c>
      <c r="D5263">
        <v>4.8093890000000004</v>
      </c>
      <c r="E5263">
        <v>0.52132349999999905</v>
      </c>
      <c r="F5263" t="s">
        <v>39</v>
      </c>
      <c r="G5263">
        <v>-300.15359999999998</v>
      </c>
      <c r="H5263" s="1">
        <v>-4.3116469999999998E-6</v>
      </c>
      <c r="I5263">
        <v>-30.423309999999901</v>
      </c>
      <c r="J5263">
        <v>-301.13619999999997</v>
      </c>
      <c r="K5263">
        <v>1.1023289999999999</v>
      </c>
      <c r="L5263">
        <v>-14.18829</v>
      </c>
      <c r="M5263">
        <v>1.006401E-2</v>
      </c>
      <c r="N5263">
        <v>0</v>
      </c>
      <c r="O5263">
        <v>-0.99985990000000002</v>
      </c>
      <c r="P5263">
        <v>0.1183119</v>
      </c>
      <c r="Q5263">
        <v>3.0313969999999999E-2</v>
      </c>
      <c r="R5263">
        <v>-0.9925138</v>
      </c>
      <c r="S5263">
        <v>0.17916869999999999</v>
      </c>
      <c r="T5263">
        <v>-0.20123849999999999</v>
      </c>
      <c r="U5263">
        <v>-3.0083310000000001</v>
      </c>
      <c r="V5263">
        <v>-0.1080344</v>
      </c>
      <c r="W5263">
        <v>4.4302090000000002E-2</v>
      </c>
      <c r="X5263">
        <v>0.99315949999999997</v>
      </c>
      <c r="Y5263">
        <v>-4.9269889999999997E-2</v>
      </c>
      <c r="Z5263">
        <v>6.6640199999999997E-2</v>
      </c>
      <c r="AA5263">
        <v>0.99655990000000005</v>
      </c>
      <c r="AB5263">
        <v>24</v>
      </c>
      <c r="AC5263">
        <v>0.98259999999999004</v>
      </c>
      <c r="AD5263">
        <v>-1.102333311647</v>
      </c>
      <c r="AE5263">
        <v>-16.235019999999999</v>
      </c>
      <c r="AF5263">
        <v>-0.81540076389807103</v>
      </c>
      <c r="AG5263">
        <v>-1.102333311647</v>
      </c>
      <c r="AH5263">
        <v>16.169813360207801</v>
      </c>
      <c r="AI5263">
        <v>93.895016772325803</v>
      </c>
      <c r="AJ5263">
        <v>92.886828733686002</v>
      </c>
      <c r="AK5263">
        <v>16.227842778375901</v>
      </c>
    </row>
    <row r="5264" spans="1:37" x14ac:dyDescent="0.2">
      <c r="A5264" t="str">
        <f>"20200111153536058"</f>
        <v>20200111153536058</v>
      </c>
      <c r="B5264" t="str">
        <f>"1578728136051487"</f>
        <v>1578728136051487</v>
      </c>
      <c r="C5264" t="s">
        <v>37</v>
      </c>
      <c r="D5264">
        <v>4.7527369999999998</v>
      </c>
      <c r="E5264">
        <v>0.52098500000000003</v>
      </c>
      <c r="F5264" t="s">
        <v>39</v>
      </c>
      <c r="G5264">
        <v>-300.19389999999999</v>
      </c>
      <c r="H5264" s="1">
        <v>-1.0573389999999999E-7</v>
      </c>
      <c r="I5264">
        <v>-30.284700000000001</v>
      </c>
      <c r="J5264">
        <v>-301.13839999999999</v>
      </c>
      <c r="K5264">
        <v>1.1023889999999901</v>
      </c>
      <c r="L5264">
        <v>-14.441649999999999</v>
      </c>
      <c r="M5264">
        <v>6.0217489999999999E-3</v>
      </c>
      <c r="N5264">
        <v>0</v>
      </c>
      <c r="O5264">
        <v>-0.99989229999999996</v>
      </c>
      <c r="P5264">
        <v>0.115109199999999</v>
      </c>
      <c r="Q5264">
        <v>2.8896680000000001E-2</v>
      </c>
      <c r="R5264">
        <v>-0.99293240000000005</v>
      </c>
      <c r="S5264">
        <v>0.1760864</v>
      </c>
      <c r="T5264">
        <v>-0.20599219999999999</v>
      </c>
      <c r="U5264">
        <v>-3.0079349999999998</v>
      </c>
      <c r="V5264">
        <v>-0.1088609</v>
      </c>
      <c r="W5264">
        <v>4.2871989999999999E-2</v>
      </c>
      <c r="X5264">
        <v>0.99313209999999996</v>
      </c>
      <c r="Y5264">
        <v>-5.2291419999999998E-2</v>
      </c>
      <c r="Z5264">
        <v>6.8216230000000003E-2</v>
      </c>
      <c r="AA5264">
        <v>0.99629920000000005</v>
      </c>
      <c r="AB5264">
        <v>24</v>
      </c>
      <c r="AC5264">
        <v>0.944500000000005</v>
      </c>
      <c r="AD5264">
        <v>-1.1023891057338999</v>
      </c>
      <c r="AE5264">
        <v>-15.84305</v>
      </c>
      <c r="AF5264">
        <v>-0.84499478666686301</v>
      </c>
      <c r="AG5264">
        <v>-1.1023891057338999</v>
      </c>
      <c r="AH5264">
        <v>15.772357162853901</v>
      </c>
      <c r="AI5264">
        <v>93.992407724508297</v>
      </c>
      <c r="AJ5264">
        <v>93.066656043295595</v>
      </c>
      <c r="AK5264">
        <v>15.833399142400401</v>
      </c>
    </row>
    <row r="5265" spans="1:37" x14ac:dyDescent="0.2">
      <c r="A5265" t="str">
        <f>"20200111153536080"</f>
        <v>20200111153536080</v>
      </c>
      <c r="B5265" t="str">
        <f>"1578728136071007"</f>
        <v>1578728136071007</v>
      </c>
      <c r="C5265" t="s">
        <v>37</v>
      </c>
      <c r="D5265">
        <v>4.7550410000000003</v>
      </c>
      <c r="E5265">
        <v>0.52074799999999999</v>
      </c>
      <c r="F5265" t="s">
        <v>39</v>
      </c>
      <c r="G5265">
        <v>-300.24130000000002</v>
      </c>
      <c r="H5265" s="1">
        <v>-9.5382800000000004E-8</v>
      </c>
      <c r="I5265">
        <v>-30.338179999999898</v>
      </c>
      <c r="J5265">
        <v>-301.14120000000003</v>
      </c>
      <c r="K5265">
        <v>1.102468</v>
      </c>
      <c r="L5265">
        <v>-14.67596</v>
      </c>
      <c r="M5265">
        <v>2.405646E-3</v>
      </c>
      <c r="N5265">
        <v>0</v>
      </c>
      <c r="O5265">
        <v>-0.99990759999999901</v>
      </c>
      <c r="P5265">
        <v>0.1115971</v>
      </c>
      <c r="Q5265">
        <v>2.8108979999999999E-2</v>
      </c>
      <c r="R5265">
        <v>-0.99335589999999996</v>
      </c>
      <c r="S5265">
        <v>0.1697388</v>
      </c>
      <c r="T5265">
        <v>-0.20858089999999899</v>
      </c>
      <c r="U5265">
        <v>-3.0077509999999998</v>
      </c>
      <c r="V5265">
        <v>-0.108954199999999</v>
      </c>
      <c r="W5265">
        <v>4.2060189999999997E-2</v>
      </c>
      <c r="X5265">
        <v>0.99315659999999895</v>
      </c>
      <c r="Y5265">
        <v>-5.3807340000000002E-2</v>
      </c>
      <c r="Z5265">
        <v>6.9076540000000006E-2</v>
      </c>
      <c r="AA5265">
        <v>0.99615919999999902</v>
      </c>
      <c r="AB5265">
        <v>24</v>
      </c>
      <c r="AC5265">
        <v>0.89990000000000203</v>
      </c>
      <c r="AD5265">
        <v>-1.1024680953828001</v>
      </c>
      <c r="AE5265">
        <v>-15.6622199999999</v>
      </c>
      <c r="AF5265">
        <v>-0.85797914579105505</v>
      </c>
      <c r="AG5265">
        <v>-1.1024680953828001</v>
      </c>
      <c r="AH5265">
        <v>15.5873616987072</v>
      </c>
      <c r="AI5265">
        <v>94.039603106519905</v>
      </c>
      <c r="AJ5265">
        <v>93.150567025383495</v>
      </c>
      <c r="AK5265">
        <v>15.649837342358399</v>
      </c>
    </row>
    <row r="5266" spans="1:37" x14ac:dyDescent="0.2">
      <c r="A5266" t="str">
        <f>"20200111153536102"</f>
        <v>20200111153536102</v>
      </c>
      <c r="B5266" t="str">
        <f>"1578728136090527"</f>
        <v>1578728136090527</v>
      </c>
      <c r="C5266" t="s">
        <v>37</v>
      </c>
      <c r="D5266">
        <v>4.8048149999999996</v>
      </c>
      <c r="E5266">
        <v>0.52049880000000004</v>
      </c>
      <c r="F5266" t="s">
        <v>39</v>
      </c>
      <c r="G5266">
        <v>-300.29539999999997</v>
      </c>
      <c r="H5266" s="1">
        <v>-4.3423319999999999E-6</v>
      </c>
      <c r="I5266">
        <v>-30.407070000000001</v>
      </c>
      <c r="J5266">
        <v>-301.14490000000001</v>
      </c>
      <c r="K5266">
        <v>1.1025830000000001</v>
      </c>
      <c r="L5266">
        <v>-14.92032</v>
      </c>
      <c r="M5266">
        <v>-1.206195E-3</v>
      </c>
      <c r="N5266">
        <v>0</v>
      </c>
      <c r="O5266">
        <v>-0.99990990000000002</v>
      </c>
      <c r="P5266">
        <v>0.1083161</v>
      </c>
      <c r="Q5266">
        <v>2.6773640000000001E-2</v>
      </c>
      <c r="R5266">
        <v>-0.99375609999999903</v>
      </c>
      <c r="S5266">
        <v>0.16171259999999901</v>
      </c>
      <c r="T5266">
        <v>-0.21079890000000001</v>
      </c>
      <c r="U5266">
        <v>-3.0078740000000002</v>
      </c>
      <c r="V5266">
        <v>-0.1092815</v>
      </c>
      <c r="W5266">
        <v>4.0693790000000001E-2</v>
      </c>
      <c r="X5266">
        <v>0.99317749999999905</v>
      </c>
      <c r="Y5266">
        <v>-5.4759139999999998E-2</v>
      </c>
      <c r="Z5266">
        <v>6.9808200000000001E-2</v>
      </c>
      <c r="AA5266">
        <v>0.99605639999999995</v>
      </c>
      <c r="AB5266">
        <v>24</v>
      </c>
      <c r="AC5266">
        <v>0.84950000000003401</v>
      </c>
      <c r="AD5266">
        <v>-1.1025873423320001</v>
      </c>
      <c r="AE5266">
        <v>-15.486750000000001</v>
      </c>
      <c r="AF5266">
        <v>-0.86381571504073096</v>
      </c>
      <c r="AG5266">
        <v>-1.1025873423320001</v>
      </c>
      <c r="AH5266">
        <v>15.4078489113668</v>
      </c>
      <c r="AI5266">
        <v>94.086719331589407</v>
      </c>
      <c r="AJ5266">
        <v>93.208834587816398</v>
      </c>
      <c r="AK5266">
        <v>15.4713827601972</v>
      </c>
    </row>
    <row r="5267" spans="1:37" x14ac:dyDescent="0.2">
      <c r="A5267" t="str">
        <f>"20200111153536124"</f>
        <v>20200111153536124</v>
      </c>
      <c r="B5267" t="str">
        <f>"1578728136111023"</f>
        <v>1578728136111023</v>
      </c>
      <c r="C5267" t="s">
        <v>37</v>
      </c>
      <c r="D5267">
        <v>4.8140109999999998</v>
      </c>
      <c r="E5267">
        <v>0.52025350000000004</v>
      </c>
      <c r="F5267" t="s">
        <v>39</v>
      </c>
      <c r="G5267">
        <v>-300.3485</v>
      </c>
      <c r="H5267" s="1">
        <v>-4.3241879999999997E-6</v>
      </c>
      <c r="I5267">
        <v>-30.488040000000002</v>
      </c>
      <c r="J5267">
        <v>-301.14920000000001</v>
      </c>
      <c r="K5267">
        <v>1.1026929999999999</v>
      </c>
      <c r="L5267">
        <v>-15.161709999999999</v>
      </c>
      <c r="M5267">
        <v>-4.6310600000000002E-3</v>
      </c>
      <c r="N5267">
        <v>0</v>
      </c>
      <c r="O5267">
        <v>-0.99990009999999996</v>
      </c>
      <c r="P5267">
        <v>0.105628</v>
      </c>
      <c r="Q5267">
        <v>2.6629650000000001E-2</v>
      </c>
      <c r="R5267">
        <v>-0.99404930000000002</v>
      </c>
      <c r="S5267">
        <v>0.1538696</v>
      </c>
      <c r="T5267">
        <v>-0.2130291</v>
      </c>
      <c r="U5267">
        <v>-3.0078130000000001</v>
      </c>
      <c r="V5267">
        <v>-0.110009199999999</v>
      </c>
      <c r="W5267">
        <v>4.0518459999999999E-2</v>
      </c>
      <c r="X5267">
        <v>0.99310429999999905</v>
      </c>
      <c r="Y5267">
        <v>-5.558743E-2</v>
      </c>
      <c r="Z5267">
        <v>7.0546629999999999E-2</v>
      </c>
      <c r="AA5267">
        <v>0.99595840000000002</v>
      </c>
      <c r="AB5267">
        <v>24</v>
      </c>
      <c r="AC5267">
        <v>0.80070000000000596</v>
      </c>
      <c r="AD5267">
        <v>-1.10269732418799</v>
      </c>
      <c r="AE5267">
        <v>-15.32633</v>
      </c>
      <c r="AF5267">
        <v>-0.86719806340872496</v>
      </c>
      <c r="AG5267">
        <v>-1.10269732418799</v>
      </c>
      <c r="AH5267">
        <v>15.2437626351419</v>
      </c>
      <c r="AI5267">
        <v>94.130777289335896</v>
      </c>
      <c r="AJ5267">
        <v>93.255973815984902</v>
      </c>
      <c r="AK5267">
        <v>15.3081766760937</v>
      </c>
    </row>
    <row r="5268" spans="1:37" x14ac:dyDescent="0.2">
      <c r="A5268" t="str">
        <f>"20200111153536147"</f>
        <v>20200111153536147</v>
      </c>
      <c r="B5268" t="str">
        <f>"1578728136141278"</f>
        <v>1578728136141278</v>
      </c>
      <c r="C5268" t="s">
        <v>37</v>
      </c>
      <c r="D5268">
        <v>4.7660150000000003</v>
      </c>
      <c r="E5268">
        <v>0.51989399999999997</v>
      </c>
      <c r="F5268" t="s">
        <v>39</v>
      </c>
      <c r="G5268">
        <v>-300.38279999999997</v>
      </c>
      <c r="H5268" s="1">
        <v>-4.2453940000000003E-6</v>
      </c>
      <c r="I5268">
        <v>-30.737449999999999</v>
      </c>
      <c r="J5268">
        <v>-301.15440000000001</v>
      </c>
      <c r="K5268">
        <v>1.102808</v>
      </c>
      <c r="L5268">
        <v>-15.40851</v>
      </c>
      <c r="M5268">
        <v>-7.9671719999999998E-3</v>
      </c>
      <c r="N5268">
        <v>0</v>
      </c>
      <c r="O5268">
        <v>-0.99987890000000001</v>
      </c>
      <c r="P5268">
        <v>0.10286430000000001</v>
      </c>
      <c r="Q5268">
        <v>2.687573E-2</v>
      </c>
      <c r="R5268">
        <v>-0.99433209999999905</v>
      </c>
      <c r="S5268">
        <v>0.14801029999999901</v>
      </c>
      <c r="T5268">
        <v>-0.21294929999999901</v>
      </c>
      <c r="U5268">
        <v>-3.0079349999999998</v>
      </c>
      <c r="V5268">
        <v>-0.110572699999999</v>
      </c>
      <c r="W5268">
        <v>4.0730959999999997E-2</v>
      </c>
      <c r="X5268">
        <v>0.9930331</v>
      </c>
      <c r="Y5268">
        <v>-5.6981480000000001E-2</v>
      </c>
      <c r="Z5268">
        <v>7.0515910000000001E-2</v>
      </c>
      <c r="AA5268">
        <v>0.99588189999999999</v>
      </c>
      <c r="AB5268">
        <v>24</v>
      </c>
      <c r="AC5268">
        <v>0.77160000000003404</v>
      </c>
      <c r="AD5268">
        <v>-1.1028122453939999</v>
      </c>
      <c r="AE5268">
        <v>-15.328939999999999</v>
      </c>
      <c r="AF5268">
        <v>-0.88912440743348997</v>
      </c>
      <c r="AG5268">
        <v>-1.1028122453939999</v>
      </c>
      <c r="AH5268">
        <v>15.243606660494899</v>
      </c>
      <c r="AI5268">
        <v>94.130908286860901</v>
      </c>
      <c r="AJ5268">
        <v>93.338148464537099</v>
      </c>
      <c r="AK5268">
        <v>15.30928741256</v>
      </c>
    </row>
    <row r="5269" spans="1:37" x14ac:dyDescent="0.2">
      <c r="A5269" t="str">
        <f>"20200111153536169"</f>
        <v>20200111153536169</v>
      </c>
      <c r="B5269" t="str">
        <f>"1578728136160799"</f>
        <v>1578728136160799</v>
      </c>
      <c r="C5269" t="s">
        <v>37</v>
      </c>
      <c r="D5269">
        <v>6.2926710000000003</v>
      </c>
      <c r="E5269">
        <v>0.49468640000000003</v>
      </c>
      <c r="F5269" t="s">
        <v>39</v>
      </c>
      <c r="G5269">
        <v>-300.40699999999998</v>
      </c>
      <c r="H5269" s="1">
        <v>-4.0917540000000004E-6</v>
      </c>
      <c r="I5269">
        <v>-31.125329999999899</v>
      </c>
      <c r="J5269">
        <v>-301.16000000000003</v>
      </c>
      <c r="K5269">
        <v>1.1029229999999901</v>
      </c>
      <c r="L5269">
        <v>-15.648829999999901</v>
      </c>
      <c r="M5269">
        <v>-1.1031289999999999E-2</v>
      </c>
      <c r="N5269">
        <v>0</v>
      </c>
      <c r="O5269">
        <v>-0.99985000000000002</v>
      </c>
      <c r="P5269">
        <v>0.1005215</v>
      </c>
      <c r="Q5269">
        <v>2.658278E-2</v>
      </c>
      <c r="R5269">
        <v>-0.99457980000000001</v>
      </c>
      <c r="S5269">
        <v>0.14303589999999999</v>
      </c>
      <c r="T5269">
        <v>-0.211063999999999</v>
      </c>
      <c r="U5269">
        <v>-3.0079959999999999</v>
      </c>
      <c r="V5269">
        <v>-0.1112896</v>
      </c>
      <c r="W5269">
        <v>4.040316E-2</v>
      </c>
      <c r="X5269">
        <v>0.99296640000000003</v>
      </c>
      <c r="Y5269">
        <v>-5.8398989999999998E-2</v>
      </c>
      <c r="Z5269">
        <v>6.9890140000000003E-2</v>
      </c>
      <c r="AA5269">
        <v>0.99584379999999995</v>
      </c>
      <c r="AB5269">
        <v>24</v>
      </c>
      <c r="AC5269">
        <v>0.75300000000004197</v>
      </c>
      <c r="AD5269">
        <v>-1.1029270917539999</v>
      </c>
      <c r="AE5269">
        <v>-15.4765</v>
      </c>
      <c r="AF5269">
        <v>-0.91903870429984402</v>
      </c>
      <c r="AG5269">
        <v>-1.1029270917539999</v>
      </c>
      <c r="AH5269">
        <v>15.3892786904598</v>
      </c>
      <c r="AI5269">
        <v>94.092030178975094</v>
      </c>
      <c r="AJ5269">
        <v>93.4176113643517</v>
      </c>
      <c r="AK5269">
        <v>15.4560984379101</v>
      </c>
    </row>
    <row r="5270" spans="1:37" x14ac:dyDescent="0.2">
      <c r="A5270" t="str">
        <f>"20200111153536192"</f>
        <v>20200111153536192</v>
      </c>
      <c r="B5270" t="str">
        <f>"1578728136181294"</f>
        <v>1578728136181294</v>
      </c>
      <c r="C5270" t="s">
        <v>37</v>
      </c>
      <c r="D5270">
        <v>4.845796</v>
      </c>
      <c r="E5270">
        <v>0.46809040000000002</v>
      </c>
      <c r="F5270" t="s">
        <v>39</v>
      </c>
      <c r="G5270">
        <v>-299.20769999999999</v>
      </c>
      <c r="H5270" s="1">
        <v>-3.323275E-6</v>
      </c>
      <c r="I5270">
        <v>-32.948169999999998</v>
      </c>
      <c r="J5270">
        <v>-301.16609999999997</v>
      </c>
      <c r="K5270">
        <v>1.103056</v>
      </c>
      <c r="L5270">
        <v>-15.88977</v>
      </c>
      <c r="M5270">
        <v>-1.390657E-2</v>
      </c>
      <c r="N5270">
        <v>0</v>
      </c>
      <c r="O5270">
        <v>-0.99981430000000004</v>
      </c>
      <c r="P5270">
        <v>9.910824E-2</v>
      </c>
      <c r="Q5270">
        <v>2.5934120000000001E-2</v>
      </c>
      <c r="R5270">
        <v>-0.99473889999999998</v>
      </c>
      <c r="S5270">
        <v>0.33712769999999997</v>
      </c>
      <c r="T5270">
        <v>-0.19046070000000001</v>
      </c>
      <c r="U5270">
        <v>-2.9873660000000002</v>
      </c>
      <c r="V5270">
        <v>-0.1127505</v>
      </c>
      <c r="W5270">
        <v>3.971707E-2</v>
      </c>
      <c r="X5270">
        <v>0.99282929999999903</v>
      </c>
      <c r="Y5270">
        <v>-0.12572459999999999</v>
      </c>
      <c r="Z5270">
        <v>6.3164849999999995E-2</v>
      </c>
      <c r="AA5270">
        <v>0.9900523</v>
      </c>
      <c r="AB5270">
        <v>24</v>
      </c>
      <c r="AC5270">
        <v>1.9583999999999799</v>
      </c>
      <c r="AD5270">
        <v>-1.1030593232749999</v>
      </c>
      <c r="AE5270">
        <v>-17.058399999999999</v>
      </c>
      <c r="AF5270">
        <v>-2.18643212919021</v>
      </c>
      <c r="AG5270">
        <v>-1.1030593232749999</v>
      </c>
      <c r="AH5270">
        <v>16.959521157981801</v>
      </c>
      <c r="AI5270">
        <v>93.690856635260999</v>
      </c>
      <c r="AJ5270">
        <v>97.346088119538507</v>
      </c>
      <c r="AK5270">
        <v>17.135418968739899</v>
      </c>
    </row>
    <row r="5271" spans="1:37" x14ac:dyDescent="0.2">
      <c r="A5271" t="str">
        <f>"20200111153536213"</f>
        <v>20200111153536213</v>
      </c>
      <c r="B5271" t="str">
        <f>"1578728136210575"</f>
        <v>1578728136210575</v>
      </c>
      <c r="C5271" t="s">
        <v>37</v>
      </c>
      <c r="D5271">
        <v>4.7612009999999998</v>
      </c>
      <c r="E5271">
        <v>0.46759250000000002</v>
      </c>
      <c r="F5271" t="s">
        <v>39</v>
      </c>
      <c r="G5271">
        <v>-297.98480000000001</v>
      </c>
      <c r="H5271" s="1">
        <v>-3.4183969999999999E-6</v>
      </c>
      <c r="I5271">
        <v>-33.232100000000003</v>
      </c>
      <c r="J5271">
        <v>-301.17259999999999</v>
      </c>
      <c r="K5271">
        <v>1.1031949999999999</v>
      </c>
      <c r="L5271">
        <v>-16.128540000000001</v>
      </c>
      <c r="M5271">
        <v>-1.6554550000000001E-2</v>
      </c>
      <c r="N5271">
        <v>0</v>
      </c>
      <c r="O5271">
        <v>-0.99977389999999999</v>
      </c>
      <c r="P5271">
        <v>9.8130609999999993E-2</v>
      </c>
      <c r="Q5271">
        <v>2.4841729999999999E-2</v>
      </c>
      <c r="R5271">
        <v>-0.99486359999999996</v>
      </c>
      <c r="S5271">
        <v>0.54418949999999999</v>
      </c>
      <c r="T5271">
        <v>-0.18868770000000001</v>
      </c>
      <c r="U5271">
        <v>-2.96655299999999</v>
      </c>
      <c r="V5271">
        <v>-0.114424199999999</v>
      </c>
      <c r="W5271">
        <v>3.858354E-2</v>
      </c>
      <c r="X5271">
        <v>0.99268250000000002</v>
      </c>
      <c r="Y5271">
        <v>-0.1963394</v>
      </c>
      <c r="Z5271">
        <v>6.232795E-2</v>
      </c>
      <c r="AA5271">
        <v>0.97855309999999995</v>
      </c>
      <c r="AB5271">
        <v>24</v>
      </c>
      <c r="AC5271">
        <v>3.1877999999999802</v>
      </c>
      <c r="AD5271">
        <v>-1.1031984183970001</v>
      </c>
      <c r="AE5271">
        <v>-17.103560000000002</v>
      </c>
      <c r="AF5271">
        <v>-3.4566318903021598</v>
      </c>
      <c r="AG5271">
        <v>-1.1031984183970001</v>
      </c>
      <c r="AH5271">
        <v>16.980166014774401</v>
      </c>
      <c r="AI5271">
        <v>93.642767308206402</v>
      </c>
      <c r="AJ5271">
        <v>101.50640911234601</v>
      </c>
      <c r="AK5271">
        <v>17.363507383725999</v>
      </c>
    </row>
    <row r="5272" spans="1:37" x14ac:dyDescent="0.2">
      <c r="A5272" t="str">
        <f>"20200111153536236"</f>
        <v>20200111153536236</v>
      </c>
      <c r="B5272" t="str">
        <f>"1578728136231073"</f>
        <v>1578728136231073</v>
      </c>
      <c r="C5272" t="s">
        <v>37</v>
      </c>
      <c r="D5272">
        <v>4.7033930000000002</v>
      </c>
      <c r="E5272">
        <v>0.4681189</v>
      </c>
      <c r="F5272" t="s">
        <v>39</v>
      </c>
      <c r="G5272">
        <v>-298.00319999999999</v>
      </c>
      <c r="H5272" s="1">
        <v>-3.3540179999999899E-6</v>
      </c>
      <c r="I5272">
        <v>-33.374549999999999</v>
      </c>
      <c r="J5272">
        <v>-301.1798</v>
      </c>
      <c r="K5272">
        <v>1.1033469999999901</v>
      </c>
      <c r="L5272">
        <v>-16.375820000000001</v>
      </c>
      <c r="M5272">
        <v>-1.9087980000000001E-2</v>
      </c>
      <c r="N5272">
        <v>0</v>
      </c>
      <c r="O5272">
        <v>-0.99972890000000003</v>
      </c>
      <c r="P5272">
        <v>9.6300540000000004E-2</v>
      </c>
      <c r="Q5272">
        <v>2.3788630000000002E-2</v>
      </c>
      <c r="R5272">
        <v>-0.99506799999999995</v>
      </c>
      <c r="S5272">
        <v>0.54516600000000004</v>
      </c>
      <c r="T5272">
        <v>-0.1897596</v>
      </c>
      <c r="U5272">
        <v>-2.9664609999999998</v>
      </c>
      <c r="V5272">
        <v>-0.11513279999999999</v>
      </c>
      <c r="W5272">
        <v>3.748046E-2</v>
      </c>
      <c r="X5272">
        <v>0.99264279999999905</v>
      </c>
      <c r="Y5272">
        <v>-0.19913629999999999</v>
      </c>
      <c r="Z5272">
        <v>6.2658469999999994E-2</v>
      </c>
      <c r="AA5272">
        <v>0.97796659999999902</v>
      </c>
      <c r="AB5272">
        <v>24</v>
      </c>
      <c r="AC5272">
        <v>3.1766000000000001</v>
      </c>
      <c r="AD5272">
        <v>-1.1033503540180001</v>
      </c>
      <c r="AE5272">
        <v>-16.998729999999998</v>
      </c>
      <c r="AF5272">
        <v>-3.48632903963462</v>
      </c>
      <c r="AG5272">
        <v>-1.1033503540180001</v>
      </c>
      <c r="AH5272">
        <v>16.866331613365499</v>
      </c>
      <c r="AI5272">
        <v>93.665533532405505</v>
      </c>
      <c r="AJ5272">
        <v>101.678759364527</v>
      </c>
      <c r="AK5272">
        <v>17.2581868766196</v>
      </c>
    </row>
    <row r="5273" spans="1:37" x14ac:dyDescent="0.2">
      <c r="A5273" t="str">
        <f>"20200111153536258"</f>
        <v>20200111153536258</v>
      </c>
      <c r="B5273" t="str">
        <f>"1578728136250591"</f>
        <v>1578728136250591</v>
      </c>
      <c r="C5273" t="s">
        <v>37</v>
      </c>
      <c r="D5273">
        <v>4.7532069999999997</v>
      </c>
      <c r="E5273">
        <v>0.4683718</v>
      </c>
      <c r="F5273" t="s">
        <v>39</v>
      </c>
      <c r="G5273">
        <v>-298.08730000000003</v>
      </c>
      <c r="H5273" s="1">
        <v>-3.28262299999999E-6</v>
      </c>
      <c r="I5273">
        <v>-33.506219999999999</v>
      </c>
      <c r="J5273">
        <v>-301.18709999999999</v>
      </c>
      <c r="K5273">
        <v>1.1034899999999901</v>
      </c>
      <c r="L5273">
        <v>-16.61392</v>
      </c>
      <c r="M5273">
        <v>-2.1330689999999999E-2</v>
      </c>
      <c r="N5273">
        <v>0</v>
      </c>
      <c r="O5273">
        <v>-0.99968369999999995</v>
      </c>
      <c r="P5273">
        <v>9.4985940000000005E-2</v>
      </c>
      <c r="Q5273">
        <v>2.3646239999999999E-2</v>
      </c>
      <c r="R5273">
        <v>-0.99519799999999903</v>
      </c>
      <c r="S5273">
        <v>0.53573609999999905</v>
      </c>
      <c r="T5273">
        <v>-0.19113920000000001</v>
      </c>
      <c r="U5273">
        <v>-2.96759</v>
      </c>
      <c r="V5273">
        <v>-0.11606320000000001</v>
      </c>
      <c r="W5273">
        <v>3.729176E-2</v>
      </c>
      <c r="X5273">
        <v>0.99254149999999997</v>
      </c>
      <c r="Y5273">
        <v>-0.1982554</v>
      </c>
      <c r="Z5273">
        <v>6.3107750000000004E-2</v>
      </c>
      <c r="AA5273">
        <v>0.97811669999999995</v>
      </c>
      <c r="AB5273">
        <v>24</v>
      </c>
      <c r="AC5273">
        <v>3.0997999999999601</v>
      </c>
      <c r="AD5273">
        <v>-1.1034932826229999</v>
      </c>
      <c r="AE5273">
        <v>-16.892299999999999</v>
      </c>
      <c r="AF5273">
        <v>-3.44522782296806</v>
      </c>
      <c r="AG5273">
        <v>-1.1034932826229999</v>
      </c>
      <c r="AH5273">
        <v>16.753165923138599</v>
      </c>
      <c r="AI5273">
        <v>93.691471825054805</v>
      </c>
      <c r="AJ5273">
        <v>101.62066259038799</v>
      </c>
      <c r="AK5273">
        <v>17.1393074721577</v>
      </c>
    </row>
    <row r="5274" spans="1:37" x14ac:dyDescent="0.2">
      <c r="A5274" t="str">
        <f>"20200111153536280"</f>
        <v>20200111153536280</v>
      </c>
      <c r="B5274" t="str">
        <f>"1578728136271086"</f>
        <v>1578728136271086</v>
      </c>
      <c r="C5274" t="s">
        <v>37</v>
      </c>
      <c r="D5274">
        <v>4.7509610000000002</v>
      </c>
      <c r="E5274">
        <v>0.46829369999999998</v>
      </c>
      <c r="F5274" t="s">
        <v>39</v>
      </c>
      <c r="G5274">
        <v>-298.1456</v>
      </c>
      <c r="H5274" s="1">
        <v>-3.20635699999999E-6</v>
      </c>
      <c r="I5274">
        <v>-33.6599</v>
      </c>
      <c r="J5274">
        <v>-301.19459999999998</v>
      </c>
      <c r="K5274">
        <v>1.103621</v>
      </c>
      <c r="L5274">
        <v>-16.84882</v>
      </c>
      <c r="M5274">
        <v>-2.33552E-2</v>
      </c>
      <c r="N5274">
        <v>0</v>
      </c>
      <c r="O5274">
        <v>-0.99963849999999999</v>
      </c>
      <c r="P5274">
        <v>9.4085859999999993E-2</v>
      </c>
      <c r="Q5274">
        <v>2.4071329999999998E-2</v>
      </c>
      <c r="R5274">
        <v>-0.99527299999999996</v>
      </c>
      <c r="S5274">
        <v>0.52966309999999905</v>
      </c>
      <c r="T5274">
        <v>-0.19216810000000001</v>
      </c>
      <c r="U5274">
        <v>-2.9684750000000002</v>
      </c>
      <c r="V5274">
        <v>-0.117185999999999</v>
      </c>
      <c r="W5274">
        <v>3.7674880000000001E-2</v>
      </c>
      <c r="X5274">
        <v>0.99239509999999898</v>
      </c>
      <c r="Y5274">
        <v>-0.1982469</v>
      </c>
      <c r="Z5274">
        <v>6.3434550000000006E-2</v>
      </c>
      <c r="AA5274">
        <v>0.97809729999999995</v>
      </c>
      <c r="AB5274">
        <v>24</v>
      </c>
      <c r="AC5274">
        <v>3.0489999999999702</v>
      </c>
      <c r="AD5274">
        <v>-1.1036242063570001</v>
      </c>
      <c r="AE5274">
        <v>-16.81108</v>
      </c>
      <c r="AF5274">
        <v>-3.4265319760457502</v>
      </c>
      <c r="AG5274">
        <v>-1.1036242063570001</v>
      </c>
      <c r="AH5274">
        <v>16.665739687530099</v>
      </c>
      <c r="AI5274">
        <v>93.711253270006793</v>
      </c>
      <c r="AJ5274">
        <v>101.618297721624</v>
      </c>
      <c r="AK5274">
        <v>17.050102260814601</v>
      </c>
    </row>
    <row r="5275" spans="1:37" x14ac:dyDescent="0.2">
      <c r="A5275" t="str">
        <f>"20200111153536303"</f>
        <v>20200111153536303</v>
      </c>
      <c r="B5275" t="str">
        <f>"1578728136290607"</f>
        <v>1578728136290607</v>
      </c>
      <c r="C5275" t="s">
        <v>37</v>
      </c>
      <c r="D5275">
        <v>4.7395189999999996</v>
      </c>
      <c r="E5275">
        <v>0.46802749999999999</v>
      </c>
      <c r="F5275" t="s">
        <v>39</v>
      </c>
      <c r="G5275">
        <v>-298.09320000000002</v>
      </c>
      <c r="H5275" s="1">
        <v>-2.94490599999999E-6</v>
      </c>
      <c r="I5275">
        <v>-34.290990000000001</v>
      </c>
      <c r="J5275">
        <v>-301.20269999999999</v>
      </c>
      <c r="K5275">
        <v>1.103728</v>
      </c>
      <c r="L5275">
        <v>-17.09027</v>
      </c>
      <c r="M5275">
        <v>-2.5282659999999998E-2</v>
      </c>
      <c r="N5275">
        <v>0</v>
      </c>
      <c r="O5275">
        <v>-0.99959169999999997</v>
      </c>
      <c r="P5275">
        <v>9.3419100000000005E-2</v>
      </c>
      <c r="Q5275">
        <v>2.4469000000000001E-2</v>
      </c>
      <c r="R5275">
        <v>-0.99532619999999905</v>
      </c>
      <c r="S5275">
        <v>0.5278931</v>
      </c>
      <c r="T5275">
        <v>-0.1878523</v>
      </c>
      <c r="U5275">
        <v>-2.9689030000000001</v>
      </c>
      <c r="V5275">
        <v>-0.11844349999999999</v>
      </c>
      <c r="W5275">
        <v>3.8037010000000003E-2</v>
      </c>
      <c r="X5275">
        <v>0.992232</v>
      </c>
      <c r="Y5275">
        <v>-0.19956279999999901</v>
      </c>
      <c r="Z5275">
        <v>6.199723E-2</v>
      </c>
      <c r="AA5275">
        <v>0.97792179999999995</v>
      </c>
      <c r="AB5275">
        <v>24</v>
      </c>
      <c r="AC5275">
        <v>3.1094999999999602</v>
      </c>
      <c r="AD5275">
        <v>-1.103730944906</v>
      </c>
      <c r="AE5275">
        <v>-17.20072</v>
      </c>
      <c r="AF5275">
        <v>-3.52935213672973</v>
      </c>
      <c r="AG5275">
        <v>-1.103730944906</v>
      </c>
      <c r="AH5275">
        <v>17.048621147772799</v>
      </c>
      <c r="AI5275">
        <v>93.627468218731394</v>
      </c>
      <c r="AJ5275">
        <v>101.695979601429</v>
      </c>
      <c r="AK5275">
        <v>17.445057510483199</v>
      </c>
    </row>
    <row r="5276" spans="1:37" x14ac:dyDescent="0.2">
      <c r="A5276" t="str">
        <f>"20200111153536325"</f>
        <v>20200111153536325</v>
      </c>
      <c r="B5276" t="str">
        <f>"1578728136320862"</f>
        <v>1578728136320862</v>
      </c>
      <c r="C5276" t="s">
        <v>37</v>
      </c>
      <c r="D5276">
        <v>4.714785</v>
      </c>
      <c r="E5276">
        <v>0.46767799999999998</v>
      </c>
      <c r="F5276" t="s">
        <v>39</v>
      </c>
      <c r="G5276">
        <v>-298.06720000000001</v>
      </c>
      <c r="H5276" s="1">
        <v>-2.7667539999999999E-6</v>
      </c>
      <c r="I5276">
        <v>-34.717009999999902</v>
      </c>
      <c r="J5276">
        <v>-301.21089999999998</v>
      </c>
      <c r="K5276">
        <v>1.103804</v>
      </c>
      <c r="L5276">
        <v>-17.32996</v>
      </c>
      <c r="M5276">
        <v>-2.7090880000000001E-2</v>
      </c>
      <c r="N5276">
        <v>0</v>
      </c>
      <c r="O5276">
        <v>-0.9995444</v>
      </c>
      <c r="P5276">
        <v>9.3982860000000001E-2</v>
      </c>
      <c r="Q5276">
        <v>2.5348519999999999E-2</v>
      </c>
      <c r="R5276">
        <v>-0.99525140000000001</v>
      </c>
      <c r="S5276">
        <v>0.52813719999999997</v>
      </c>
      <c r="T5276">
        <v>-0.18591489999999999</v>
      </c>
      <c r="U5276">
        <v>-2.9690859999999999</v>
      </c>
      <c r="V5276">
        <v>-0.1208048</v>
      </c>
      <c r="W5276">
        <v>3.8891349999999998E-2</v>
      </c>
      <c r="X5276">
        <v>0.99191419999999997</v>
      </c>
      <c r="Y5276">
        <v>-0.20140949999999999</v>
      </c>
      <c r="Z5276">
        <v>6.1339999999999999E-2</v>
      </c>
      <c r="AA5276">
        <v>0.97758459999999903</v>
      </c>
      <c r="AB5276">
        <v>24</v>
      </c>
      <c r="AC5276">
        <v>3.14369999999996</v>
      </c>
      <c r="AD5276">
        <v>-1.1038067667539999</v>
      </c>
      <c r="AE5276">
        <v>-17.387049999999899</v>
      </c>
      <c r="AF5276">
        <v>-3.5995701737937602</v>
      </c>
      <c r="AG5276">
        <v>-1.1038067667539999</v>
      </c>
      <c r="AH5276">
        <v>17.228257727121498</v>
      </c>
      <c r="AI5276">
        <v>93.588622252608502</v>
      </c>
      <c r="AJ5276">
        <v>101.80127341565399</v>
      </c>
      <c r="AK5276">
        <v>17.634856368185101</v>
      </c>
    </row>
    <row r="5277" spans="1:37" x14ac:dyDescent="0.2">
      <c r="A5277" t="str">
        <f>"20200111153536348"</f>
        <v>20200111153536348</v>
      </c>
      <c r="B5277" t="str">
        <f>"1578728136341358"</f>
        <v>1578728136341358</v>
      </c>
      <c r="C5277" t="s">
        <v>37</v>
      </c>
      <c r="D5277">
        <v>4.9536280000000001</v>
      </c>
      <c r="E5277">
        <v>0.46758260000000001</v>
      </c>
      <c r="F5277" t="s">
        <v>39</v>
      </c>
      <c r="G5277">
        <v>-298.024</v>
      </c>
      <c r="H5277" s="1">
        <v>-2.608627E-6</v>
      </c>
      <c r="I5277">
        <v>-35.103479999999998</v>
      </c>
      <c r="J5277">
        <v>-301.21980000000002</v>
      </c>
      <c r="K5277">
        <v>1.10385</v>
      </c>
      <c r="L5277">
        <v>-17.57507</v>
      </c>
      <c r="M5277">
        <v>-2.8867480000000001E-2</v>
      </c>
      <c r="N5277">
        <v>0</v>
      </c>
      <c r="O5277">
        <v>-0.99949480000000002</v>
      </c>
      <c r="P5277">
        <v>9.512466E-2</v>
      </c>
      <c r="Q5277">
        <v>2.6533549999999999E-2</v>
      </c>
      <c r="R5277">
        <v>-0.995112</v>
      </c>
      <c r="S5277">
        <v>0.53231809999999902</v>
      </c>
      <c r="T5277">
        <v>-0.18437120000000001</v>
      </c>
      <c r="U5277">
        <v>-2.96875</v>
      </c>
      <c r="V5277">
        <v>-0.123707</v>
      </c>
      <c r="W5277">
        <v>4.0059640000000001E-2</v>
      </c>
      <c r="X5277">
        <v>0.99150990000000006</v>
      </c>
      <c r="Y5277">
        <v>-0.20450839999999901</v>
      </c>
      <c r="Z5277">
        <v>6.0807600000000003E-2</v>
      </c>
      <c r="AA5277">
        <v>0.97697429999999996</v>
      </c>
      <c r="AB5277">
        <v>24</v>
      </c>
      <c r="AC5277">
        <v>3.1958000000000202</v>
      </c>
      <c r="AD5277">
        <v>-1.103852608627</v>
      </c>
      <c r="AE5277">
        <v>-17.528409999999901</v>
      </c>
      <c r="AF5277">
        <v>-3.6863644104164299</v>
      </c>
      <c r="AG5277">
        <v>-1.103852608627</v>
      </c>
      <c r="AH5277">
        <v>17.362200040994399</v>
      </c>
      <c r="AI5277">
        <v>93.558730871395198</v>
      </c>
      <c r="AJ5277">
        <v>101.987101070355</v>
      </c>
      <c r="AK5277">
        <v>17.7835250558336</v>
      </c>
    </row>
    <row r="5278" spans="1:37" x14ac:dyDescent="0.2">
      <c r="A5278" t="str">
        <f>"20200111153536370"</f>
        <v>20200111153536370</v>
      </c>
      <c r="B5278" t="str">
        <f>"1578728136360879"</f>
        <v>1578728136360879</v>
      </c>
      <c r="C5278" t="s">
        <v>37</v>
      </c>
      <c r="D5278">
        <v>4.7866849999999896</v>
      </c>
      <c r="E5278">
        <v>0.46740479999999901</v>
      </c>
      <c r="F5278" t="s">
        <v>39</v>
      </c>
      <c r="G5278">
        <v>-297.90550000000002</v>
      </c>
      <c r="H5278" s="1">
        <v>-2.279971E-6</v>
      </c>
      <c r="I5278">
        <v>-35.918570000000003</v>
      </c>
      <c r="J5278">
        <v>-301.22859999999997</v>
      </c>
      <c r="K5278">
        <v>1.1038649999999901</v>
      </c>
      <c r="L5278">
        <v>-17.80978</v>
      </c>
      <c r="M5278">
        <v>-3.0533859999999999E-2</v>
      </c>
      <c r="N5278">
        <v>0</v>
      </c>
      <c r="O5278">
        <v>-0.99944560000000005</v>
      </c>
      <c r="P5278">
        <v>9.6506330000000001E-2</v>
      </c>
      <c r="Q5278">
        <v>2.6554129999999999E-2</v>
      </c>
      <c r="R5278">
        <v>-0.99497839999999904</v>
      </c>
      <c r="S5278">
        <v>0.53628540000000002</v>
      </c>
      <c r="T5278">
        <v>-0.17861859999999999</v>
      </c>
      <c r="U5278">
        <v>-2.9682309999999998</v>
      </c>
      <c r="V5278">
        <v>-0.12673980000000001</v>
      </c>
      <c r="W5278">
        <v>4.0071549999999997E-2</v>
      </c>
      <c r="X5278">
        <v>0.99112630000000002</v>
      </c>
      <c r="Y5278">
        <v>-0.20745420000000001</v>
      </c>
      <c r="Z5278">
        <v>5.8897440000000002E-2</v>
      </c>
      <c r="AA5278">
        <v>0.97647009999999901</v>
      </c>
      <c r="AB5278">
        <v>24</v>
      </c>
      <c r="AC5278">
        <v>3.32309999999995</v>
      </c>
      <c r="AD5278">
        <v>-1.1038672799709901</v>
      </c>
      <c r="AE5278">
        <v>-18.108789999999999</v>
      </c>
      <c r="AF5278">
        <v>-3.8606520992056201</v>
      </c>
      <c r="AG5278">
        <v>-1.1038672799709901</v>
      </c>
      <c r="AH5278">
        <v>17.934398972855799</v>
      </c>
      <c r="AI5278">
        <v>93.443444703638605</v>
      </c>
      <c r="AJ5278">
        <v>102.148403229704</v>
      </c>
      <c r="AK5278">
        <v>18.378406463033301</v>
      </c>
    </row>
    <row r="5279" spans="1:37" x14ac:dyDescent="0.2">
      <c r="A5279" t="str">
        <f>"20200111153536392"</f>
        <v>20200111153536392</v>
      </c>
      <c r="B5279" t="str">
        <f>"1578728136381375"</f>
        <v>1578728136381375</v>
      </c>
      <c r="C5279" t="s">
        <v>37</v>
      </c>
      <c r="D5279">
        <v>4.768186</v>
      </c>
      <c r="E5279">
        <v>0.467059</v>
      </c>
      <c r="F5279" t="s">
        <v>39</v>
      </c>
      <c r="G5279">
        <v>-297.88229999999999</v>
      </c>
      <c r="H5279" s="1">
        <v>-2.185121E-6</v>
      </c>
      <c r="I5279">
        <v>-36.149299999999997</v>
      </c>
      <c r="J5279">
        <v>-301.23790000000002</v>
      </c>
      <c r="K5279">
        <v>1.103877</v>
      </c>
      <c r="L5279">
        <v>-18.047450000000001</v>
      </c>
      <c r="M5279">
        <v>-3.2215590000000002E-2</v>
      </c>
      <c r="N5279">
        <v>0</v>
      </c>
      <c r="O5279">
        <v>-0.99939270000000002</v>
      </c>
      <c r="P5279">
        <v>9.8196889999999995E-2</v>
      </c>
      <c r="Q5279">
        <v>2.6147879999999998E-2</v>
      </c>
      <c r="R5279">
        <v>-0.99482359999999903</v>
      </c>
      <c r="S5279">
        <v>0.54144289999999995</v>
      </c>
      <c r="T5279">
        <v>-0.1786083</v>
      </c>
      <c r="U5279">
        <v>-2.9673769999999999</v>
      </c>
      <c r="V5279">
        <v>-0.1300943</v>
      </c>
      <c r="W5279">
        <v>3.9661799999999997E-2</v>
      </c>
      <c r="X5279">
        <v>0.99070809999999998</v>
      </c>
      <c r="Y5279">
        <v>-0.21079129999999999</v>
      </c>
      <c r="Z5279">
        <v>5.8875660000000003E-2</v>
      </c>
      <c r="AA5279">
        <v>0.97575650000000003</v>
      </c>
      <c r="AB5279">
        <v>24</v>
      </c>
      <c r="AC5279">
        <v>3.3556000000000301</v>
      </c>
      <c r="AD5279">
        <v>-1.1038791851209999</v>
      </c>
      <c r="AE5279">
        <v>-18.101849999999899</v>
      </c>
      <c r="AF5279">
        <v>-3.92296727615844</v>
      </c>
      <c r="AG5279">
        <v>-1.1038791851209999</v>
      </c>
      <c r="AH5279">
        <v>17.919914456216102</v>
      </c>
      <c r="AI5279">
        <v>93.4436567913327</v>
      </c>
      <c r="AJ5279">
        <v>102.348198151635</v>
      </c>
      <c r="AK5279">
        <v>18.377474136106301</v>
      </c>
    </row>
    <row r="5280" spans="1:37" x14ac:dyDescent="0.2">
      <c r="A5280" t="str">
        <f>"20200111153536415"</f>
        <v>20200111153536415</v>
      </c>
      <c r="B5280" t="str">
        <f>"1578728136410654"</f>
        <v>1578728136410654</v>
      </c>
      <c r="C5280" t="s">
        <v>37</v>
      </c>
      <c r="D5280">
        <v>4.6266930000000004</v>
      </c>
      <c r="E5280">
        <v>0.46450229999999998</v>
      </c>
      <c r="F5280" t="s">
        <v>39</v>
      </c>
      <c r="G5280">
        <v>-297.90530000000001</v>
      </c>
      <c r="H5280" s="1">
        <v>-2.2185309999999998E-6</v>
      </c>
      <c r="I5280">
        <v>-36.061900000000001</v>
      </c>
      <c r="J5280">
        <v>-301.24770000000001</v>
      </c>
      <c r="K5280">
        <v>1.1038779999999999</v>
      </c>
      <c r="L5280">
        <v>-18.288540000000001</v>
      </c>
      <c r="M5280">
        <v>-3.3935090000000001E-2</v>
      </c>
      <c r="N5280">
        <v>0</v>
      </c>
      <c r="O5280">
        <v>-0.9993358</v>
      </c>
      <c r="P5280">
        <v>0.1020235</v>
      </c>
      <c r="Q5280">
        <v>2.7419019999999999E-2</v>
      </c>
      <c r="R5280">
        <v>-0.99440430000000002</v>
      </c>
      <c r="S5280">
        <v>0.54873660000000002</v>
      </c>
      <c r="T5280">
        <v>-0.18176220000000001</v>
      </c>
      <c r="U5280">
        <v>-2.9662169999999999</v>
      </c>
      <c r="V5280">
        <v>-0.1356058</v>
      </c>
      <c r="W5280">
        <v>4.0933450000000003E-2</v>
      </c>
      <c r="X5280">
        <v>0.98991689999999999</v>
      </c>
      <c r="Y5280">
        <v>-0.2148485</v>
      </c>
      <c r="Z5280">
        <v>5.9889289999999998E-2</v>
      </c>
      <c r="AA5280">
        <v>0.97480940000000005</v>
      </c>
      <c r="AB5280">
        <v>24</v>
      </c>
      <c r="AC5280">
        <v>3.3423999999999898</v>
      </c>
      <c r="AD5280">
        <v>-1.1038802185309999</v>
      </c>
      <c r="AE5280">
        <v>-17.77336</v>
      </c>
      <c r="AF5280">
        <v>-3.9290298353837398</v>
      </c>
      <c r="AG5280">
        <v>-1.1038802185309999</v>
      </c>
      <c r="AH5280">
        <v>17.5841729279419</v>
      </c>
      <c r="AI5280">
        <v>93.505910241598102</v>
      </c>
      <c r="AJ5280">
        <v>102.595349613113</v>
      </c>
      <c r="AK5280">
        <v>18.0515640470283</v>
      </c>
    </row>
    <row r="5281" spans="1:37" x14ac:dyDescent="0.2">
      <c r="A5281" t="str">
        <f>"20200111153536437"</f>
        <v>20200111153536437</v>
      </c>
      <c r="B5281" t="str">
        <f>"1578728136431153"</f>
        <v>1578728136431153</v>
      </c>
      <c r="C5281" t="s">
        <v>37</v>
      </c>
      <c r="D5281">
        <v>4.7062980000000003</v>
      </c>
      <c r="E5281">
        <v>0.39398359999999999</v>
      </c>
      <c r="F5281" t="s">
        <v>39</v>
      </c>
      <c r="G5281">
        <v>-297.73840000000001</v>
      </c>
      <c r="H5281" s="1">
        <v>-2.17436399999999E-6</v>
      </c>
      <c r="I5281">
        <v>-36.233849999999997</v>
      </c>
      <c r="J5281">
        <v>-301.25790000000001</v>
      </c>
      <c r="K5281">
        <v>1.1038870000000001</v>
      </c>
      <c r="L5281">
        <v>-18.530429999999999</v>
      </c>
      <c r="M5281">
        <v>-3.568139E-2</v>
      </c>
      <c r="N5281">
        <v>0</v>
      </c>
      <c r="O5281">
        <v>-0.99927509999999997</v>
      </c>
      <c r="P5281">
        <v>0.1081961</v>
      </c>
      <c r="Q5281">
        <v>3.2408369999999999E-2</v>
      </c>
      <c r="R5281">
        <v>-0.99360139999999997</v>
      </c>
      <c r="S5281">
        <v>0.57931519999999903</v>
      </c>
      <c r="T5281">
        <v>-0.1822318</v>
      </c>
      <c r="U5281">
        <v>-2.9624630000000001</v>
      </c>
      <c r="V5281">
        <v>-0.1434626</v>
      </c>
      <c r="W5281">
        <v>4.5925970000000003E-2</v>
      </c>
      <c r="X5281">
        <v>0.98858950000000001</v>
      </c>
      <c r="Y5281">
        <v>-0.22646920000000001</v>
      </c>
      <c r="Z5281">
        <v>5.9975210000000001E-2</v>
      </c>
      <c r="AA5281">
        <v>0.97217009999999904</v>
      </c>
      <c r="AB5281">
        <v>24</v>
      </c>
      <c r="AC5281">
        <v>3.5194999999999901</v>
      </c>
      <c r="AD5281">
        <v>-1.103889174364</v>
      </c>
      <c r="AE5281">
        <v>-17.703419999999898</v>
      </c>
      <c r="AF5281">
        <v>-4.1335361815178002</v>
      </c>
      <c r="AG5281">
        <v>-1.103889174364</v>
      </c>
      <c r="AH5281">
        <v>17.501094292576202</v>
      </c>
      <c r="AI5281">
        <v>93.512777522367799</v>
      </c>
      <c r="AJ5281">
        <v>103.289001125723</v>
      </c>
      <c r="AK5281">
        <v>18.0164645286149</v>
      </c>
    </row>
    <row r="5282" spans="1:37" x14ac:dyDescent="0.2">
      <c r="A5282" t="str">
        <f>"20200111153536460"</f>
        <v>20200111153536460</v>
      </c>
      <c r="B5282" t="str">
        <f>"1578728136450671"</f>
        <v>1578728136450671</v>
      </c>
      <c r="C5282" t="s">
        <v>37</v>
      </c>
      <c r="D5282">
        <v>4.5672569999999997</v>
      </c>
      <c r="E5282">
        <v>0.39233119999999999</v>
      </c>
      <c r="F5282" t="s">
        <v>39</v>
      </c>
      <c r="G5282">
        <v>-293.4024</v>
      </c>
      <c r="H5282" s="1">
        <v>-2.478114E-6</v>
      </c>
      <c r="I5282">
        <v>-38.22833</v>
      </c>
      <c r="J5282">
        <v>-301.26819999999998</v>
      </c>
      <c r="K5282">
        <v>1.1039000000000001</v>
      </c>
      <c r="L5282">
        <v>-18.765049999999999</v>
      </c>
      <c r="M5282">
        <v>-3.739671E-2</v>
      </c>
      <c r="N5282">
        <v>0</v>
      </c>
      <c r="O5282">
        <v>-0.9992124</v>
      </c>
      <c r="P5282">
        <v>0.1135573</v>
      </c>
      <c r="Q5282">
        <v>3.8241459999999998E-2</v>
      </c>
      <c r="R5282">
        <v>-0.9927956</v>
      </c>
      <c r="S5282">
        <v>1.1560059999999901</v>
      </c>
      <c r="T5282">
        <v>-0.16244829999999999</v>
      </c>
      <c r="U5282">
        <v>-2.8987430000000001</v>
      </c>
      <c r="V5282">
        <v>-0.1504703</v>
      </c>
      <c r="W5282">
        <v>5.1762160000000002E-2</v>
      </c>
      <c r="X5282">
        <v>0.98725849999999904</v>
      </c>
      <c r="Y5282">
        <v>-0.40441169999999999</v>
      </c>
      <c r="Z5282">
        <v>5.153663E-2</v>
      </c>
      <c r="AA5282">
        <v>0.91312380000000004</v>
      </c>
      <c r="AB5282">
        <v>24</v>
      </c>
      <c r="AC5282">
        <v>7.8657999999999699</v>
      </c>
      <c r="AD5282">
        <v>-1.1039024781140001</v>
      </c>
      <c r="AE5282">
        <v>-19.463280000000001</v>
      </c>
      <c r="AF5282">
        <v>-8.5645408577034701</v>
      </c>
      <c r="AG5282">
        <v>-1.1039024781140001</v>
      </c>
      <c r="AH5282">
        <v>19.102659198408499</v>
      </c>
      <c r="AI5282">
        <v>93.018449571790001</v>
      </c>
      <c r="AJ5282">
        <v>114.14873825997201</v>
      </c>
      <c r="AK5282">
        <v>20.963815235662601</v>
      </c>
    </row>
    <row r="5283" spans="1:37" x14ac:dyDescent="0.2">
      <c r="A5283" t="str">
        <f>"20200111153536481"</f>
        <v>20200111153536481</v>
      </c>
      <c r="B5283" t="str">
        <f>"1578728136471167"</f>
        <v>1578728136471167</v>
      </c>
      <c r="C5283" t="s">
        <v>37</v>
      </c>
      <c r="D5283">
        <v>4.5407199999999897</v>
      </c>
      <c r="E5283">
        <v>0.39319299999999902</v>
      </c>
      <c r="F5283" t="s">
        <v>40</v>
      </c>
      <c r="G5283">
        <v>-300.88040000000001</v>
      </c>
      <c r="H5283">
        <v>1.0535060000000001</v>
      </c>
      <c r="I5283">
        <v>-19.711950000000002</v>
      </c>
      <c r="J5283">
        <v>-301.2792</v>
      </c>
      <c r="K5283">
        <v>1.1039030000000001</v>
      </c>
      <c r="L5283">
        <v>-19.003270000000001</v>
      </c>
      <c r="M5283">
        <v>-3.9154069999999999E-2</v>
      </c>
      <c r="N5283">
        <v>0</v>
      </c>
      <c r="O5283">
        <v>-0.99914499999999995</v>
      </c>
      <c r="P5283">
        <v>0.11678620000000001</v>
      </c>
      <c r="Q5283">
        <v>4.110631E-2</v>
      </c>
      <c r="R5283">
        <v>-0.99230620000000003</v>
      </c>
      <c r="S5283">
        <v>1.1845399999999999</v>
      </c>
      <c r="T5283">
        <v>-0.1539201</v>
      </c>
      <c r="U5283">
        <v>-2.8922119999999998</v>
      </c>
      <c r="V5283">
        <v>-0.1554055</v>
      </c>
      <c r="W5283">
        <v>5.4630079999999998E-2</v>
      </c>
      <c r="X5283">
        <v>0.98633899999999997</v>
      </c>
      <c r="Y5283">
        <v>-0.4144989</v>
      </c>
      <c r="Z5283">
        <v>4.8732829999999998E-2</v>
      </c>
      <c r="AA5283">
        <v>0.908744</v>
      </c>
      <c r="AB5283">
        <v>24</v>
      </c>
      <c r="AC5283">
        <v>0.39879999999999399</v>
      </c>
      <c r="AD5283">
        <v>-5.0396999999999997E-2</v>
      </c>
      <c r="AE5283">
        <v>-0.70868000000000098</v>
      </c>
      <c r="AF5283">
        <v>-0.42461340061527397</v>
      </c>
      <c r="AG5283">
        <v>-5.0396999999999997E-2</v>
      </c>
      <c r="AH5283">
        <v>0.68987074437622198</v>
      </c>
      <c r="AI5283">
        <v>93.559949357190007</v>
      </c>
      <c r="AJ5283">
        <v>121.61217410883199</v>
      </c>
      <c r="AK5283">
        <v>0.81163910793977301</v>
      </c>
    </row>
    <row r="5284" spans="1:37" x14ac:dyDescent="0.2">
      <c r="A5284" t="str">
        <f>"20200111153536505"</f>
        <v>20200111153536505</v>
      </c>
      <c r="B5284" t="str">
        <f>"1578728136501423"</f>
        <v>1578728136501423</v>
      </c>
      <c r="C5284" t="s">
        <v>37</v>
      </c>
      <c r="D5284">
        <v>4.572012</v>
      </c>
      <c r="E5284">
        <v>0.39343479999999997</v>
      </c>
      <c r="F5284" t="s">
        <v>40</v>
      </c>
      <c r="G5284">
        <v>-300.89479999999998</v>
      </c>
      <c r="H5284">
        <v>1.0581179999999999</v>
      </c>
      <c r="I5284">
        <v>-19.938600000000001</v>
      </c>
      <c r="J5284">
        <v>-301.29070000000002</v>
      </c>
      <c r="K5284">
        <v>1.103901</v>
      </c>
      <c r="L5284">
        <v>-19.244689999999999</v>
      </c>
      <c r="M5284">
        <v>-4.0942069999999997E-2</v>
      </c>
      <c r="N5284">
        <v>0</v>
      </c>
      <c r="O5284">
        <v>-0.99907359999999901</v>
      </c>
      <c r="P5284">
        <v>0.1191502</v>
      </c>
      <c r="Q5284">
        <v>4.1138059999999997E-2</v>
      </c>
      <c r="R5284">
        <v>-0.99202389999999996</v>
      </c>
      <c r="S5284">
        <v>1.1877139999999999</v>
      </c>
      <c r="T5284">
        <v>-0.14143510000000001</v>
      </c>
      <c r="U5284">
        <v>-2.8893430000000002</v>
      </c>
      <c r="V5284">
        <v>-0.159521</v>
      </c>
      <c r="W5284">
        <v>5.4664829999999998E-2</v>
      </c>
      <c r="X5284">
        <v>0.98567990000000005</v>
      </c>
      <c r="Y5284">
        <v>-0.41736640000000003</v>
      </c>
      <c r="Z5284">
        <v>4.4785289999999998E-2</v>
      </c>
      <c r="AA5284">
        <v>0.9076341</v>
      </c>
      <c r="AB5284">
        <v>24</v>
      </c>
      <c r="AC5284">
        <v>0.39590000000004</v>
      </c>
      <c r="AD5284">
        <v>-4.57829999999999E-2</v>
      </c>
      <c r="AE5284">
        <v>-0.69391000000000203</v>
      </c>
      <c r="AF5284">
        <v>-0.42259275039734301</v>
      </c>
      <c r="AG5284">
        <v>-4.57829999999999E-2</v>
      </c>
      <c r="AH5284">
        <v>0.67490122280506204</v>
      </c>
      <c r="AI5284">
        <v>93.290623936847794</v>
      </c>
      <c r="AJ5284">
        <v>122.052944682309</v>
      </c>
      <c r="AK5284">
        <v>0.79760414763287202</v>
      </c>
    </row>
    <row r="5285" spans="1:37" x14ac:dyDescent="0.2">
      <c r="A5285" t="str">
        <f>"20200111153536527"</f>
        <v>20200111153536527</v>
      </c>
      <c r="B5285" t="str">
        <f>"1578728136520943"</f>
        <v>1578728136520943</v>
      </c>
      <c r="C5285" t="s">
        <v>37</v>
      </c>
      <c r="D5285">
        <v>4.5491599999999996</v>
      </c>
      <c r="E5285">
        <v>0.3932966</v>
      </c>
      <c r="F5285" t="s">
        <v>40</v>
      </c>
      <c r="G5285">
        <v>-300.89980000000003</v>
      </c>
      <c r="H5285">
        <v>1.0561069999999999</v>
      </c>
      <c r="I5285">
        <v>-20.19107</v>
      </c>
      <c r="J5285">
        <v>-301.30250000000001</v>
      </c>
      <c r="K5285">
        <v>1.1039060000000001</v>
      </c>
      <c r="L5285">
        <v>-19.483219999999999</v>
      </c>
      <c r="M5285">
        <v>-4.2700639999999998E-2</v>
      </c>
      <c r="N5285">
        <v>0</v>
      </c>
      <c r="O5285">
        <v>-0.99899979999999999</v>
      </c>
      <c r="P5285">
        <v>0.122500199999999</v>
      </c>
      <c r="Q5285">
        <v>4.0448860000000003E-2</v>
      </c>
      <c r="R5285">
        <v>-0.99164409999999903</v>
      </c>
      <c r="S5285">
        <v>1.1927190000000001</v>
      </c>
      <c r="T5285">
        <v>-0.1457995</v>
      </c>
      <c r="U5285">
        <v>-2.8869020000000001</v>
      </c>
      <c r="V5285">
        <v>-0.1645894</v>
      </c>
      <c r="W5285">
        <v>5.3977299999999999E-2</v>
      </c>
      <c r="X5285">
        <v>0.98488410000000004</v>
      </c>
      <c r="Y5285">
        <v>-0.42055399999999998</v>
      </c>
      <c r="Z5285">
        <v>4.6144409999999997E-2</v>
      </c>
      <c r="AA5285">
        <v>0.90609329999999999</v>
      </c>
      <c r="AB5285">
        <v>24</v>
      </c>
      <c r="AC5285">
        <v>0.40269999999998102</v>
      </c>
      <c r="AD5285">
        <v>-4.7799000000000098E-2</v>
      </c>
      <c r="AE5285">
        <v>-0.70784999999999698</v>
      </c>
      <c r="AF5285">
        <v>-0.43107591895381597</v>
      </c>
      <c r="AG5285">
        <v>-4.7799000000000098E-2</v>
      </c>
      <c r="AH5285">
        <v>0.68763833530041396</v>
      </c>
      <c r="AI5285">
        <v>93.370583903603901</v>
      </c>
      <c r="AJ5285">
        <v>122.08332677591601</v>
      </c>
      <c r="AK5285">
        <v>0.81299303347421303</v>
      </c>
    </row>
    <row r="5286" spans="1:37" x14ac:dyDescent="0.2">
      <c r="A5286" t="str">
        <f>"20200111153536552"</f>
        <v>20200111153536552</v>
      </c>
      <c r="B5286" t="str">
        <f>"1578728136541439"</f>
        <v>1578728136541439</v>
      </c>
      <c r="C5286" t="s">
        <v>37</v>
      </c>
      <c r="D5286">
        <v>4.5542959999999999</v>
      </c>
      <c r="E5286">
        <v>0.3931714</v>
      </c>
      <c r="F5286" t="s">
        <v>40</v>
      </c>
      <c r="G5286">
        <v>-300.90730000000002</v>
      </c>
      <c r="H5286">
        <v>1.0520499999999999</v>
      </c>
      <c r="I5286">
        <v>-20.430810000000001</v>
      </c>
      <c r="J5286">
        <v>-301.31569999999999</v>
      </c>
      <c r="K5286">
        <v>1.1039219999999901</v>
      </c>
      <c r="L5286">
        <v>-19.741119999999999</v>
      </c>
      <c r="M5286">
        <v>-4.4568339999999998E-2</v>
      </c>
      <c r="N5286">
        <v>0</v>
      </c>
      <c r="O5286">
        <v>-0.99891819999999898</v>
      </c>
      <c r="P5286">
        <v>0.1266902</v>
      </c>
      <c r="Q5286">
        <v>3.9596779999999998E-2</v>
      </c>
      <c r="R5286">
        <v>-0.99115180000000003</v>
      </c>
      <c r="S5286">
        <v>1.202515</v>
      </c>
      <c r="T5286">
        <v>-0.15778049999999999</v>
      </c>
      <c r="U5286">
        <v>-2.8831790000000002</v>
      </c>
      <c r="V5286">
        <v>-0.17059929999999901</v>
      </c>
      <c r="W5286">
        <v>5.3120220000000003E-2</v>
      </c>
      <c r="X5286">
        <v>0.98390759999999899</v>
      </c>
      <c r="Y5286">
        <v>-0.4252127</v>
      </c>
      <c r="Z5286">
        <v>4.9890950000000003E-2</v>
      </c>
      <c r="AA5286">
        <v>0.9037174</v>
      </c>
      <c r="AB5286">
        <v>24</v>
      </c>
      <c r="AC5286">
        <v>0.40839999999997101</v>
      </c>
      <c r="AD5286">
        <v>-5.1871999999999897E-2</v>
      </c>
      <c r="AE5286">
        <v>-0.68968999999999803</v>
      </c>
      <c r="AF5286">
        <v>-0.43690535485167298</v>
      </c>
      <c r="AG5286">
        <v>-5.1871999999999897E-2</v>
      </c>
      <c r="AH5286">
        <v>0.66800357583126502</v>
      </c>
      <c r="AI5286">
        <v>93.718231484446704</v>
      </c>
      <c r="AJ5286">
        <v>123.186549403634</v>
      </c>
      <c r="AK5286">
        <v>0.79987859754179202</v>
      </c>
    </row>
    <row r="5287" spans="1:37" x14ac:dyDescent="0.2">
      <c r="A5287" t="str">
        <f>"20200111153536572"</f>
        <v>20200111153536572</v>
      </c>
      <c r="B5287" t="str">
        <f>"1578728136560959"</f>
        <v>1578728136560959</v>
      </c>
      <c r="C5287" t="s">
        <v>37</v>
      </c>
      <c r="D5287">
        <v>4.6059229999999998</v>
      </c>
      <c r="E5287">
        <v>0.39313520000000002</v>
      </c>
      <c r="F5287" t="s">
        <v>39</v>
      </c>
      <c r="G5287">
        <v>-293.38580000000002</v>
      </c>
      <c r="H5287" s="1">
        <v>-2.3786789999999998E-6</v>
      </c>
      <c r="I5287">
        <v>-38.533559999999902</v>
      </c>
      <c r="J5287">
        <v>-301.32729999999998</v>
      </c>
      <c r="K5287">
        <v>1.1039540000000001</v>
      </c>
      <c r="L5287">
        <v>-19.961849999999998</v>
      </c>
      <c r="M5287">
        <v>-4.611502E-2</v>
      </c>
      <c r="N5287">
        <v>0</v>
      </c>
      <c r="O5287">
        <v>-0.99884810000000002</v>
      </c>
      <c r="P5287">
        <v>0.1296226</v>
      </c>
      <c r="Q5287">
        <v>3.9056479999999998E-2</v>
      </c>
      <c r="R5287">
        <v>-0.99079379999999995</v>
      </c>
      <c r="S5287">
        <v>1.214569</v>
      </c>
      <c r="T5287">
        <v>-0.1690797</v>
      </c>
      <c r="U5287">
        <v>-2.87829599999999</v>
      </c>
      <c r="V5287">
        <v>-0.17504149999999999</v>
      </c>
      <c r="W5287">
        <v>5.2566429999999997E-2</v>
      </c>
      <c r="X5287">
        <v>0.98315680000000005</v>
      </c>
      <c r="Y5287">
        <v>-0.43029719999999999</v>
      </c>
      <c r="Z5287">
        <v>5.3421099999999999E-2</v>
      </c>
      <c r="AA5287">
        <v>0.90110519999999905</v>
      </c>
      <c r="AB5287">
        <v>24</v>
      </c>
      <c r="AC5287">
        <v>7.9414999999999596</v>
      </c>
      <c r="AD5287">
        <v>-1.1039563786790001</v>
      </c>
      <c r="AE5287">
        <v>-18.571709999999999</v>
      </c>
      <c r="AF5287">
        <v>-8.7633816632941794</v>
      </c>
      <c r="AG5287">
        <v>-1.1039563786790001</v>
      </c>
      <c r="AH5287">
        <v>18.131530974858499</v>
      </c>
      <c r="AI5287">
        <v>93.137749456626096</v>
      </c>
      <c r="AJ5287">
        <v>115.795535585933</v>
      </c>
      <c r="AK5287">
        <v>20.168490110933899</v>
      </c>
    </row>
    <row r="5288" spans="1:37" x14ac:dyDescent="0.2">
      <c r="A5288" t="str">
        <f>"20200111153536593"</f>
        <v>20200111153536593</v>
      </c>
      <c r="B5288" t="str">
        <f>"1578728136591215"</f>
        <v>1578728136591215</v>
      </c>
      <c r="C5288" t="s">
        <v>37</v>
      </c>
      <c r="D5288">
        <v>4.5914080000000004</v>
      </c>
      <c r="E5288">
        <v>0.3934608</v>
      </c>
      <c r="F5288" t="s">
        <v>39</v>
      </c>
      <c r="G5288">
        <v>-293.66149999999999</v>
      </c>
      <c r="H5288" s="1">
        <v>-2.4937119999999999E-6</v>
      </c>
      <c r="I5288">
        <v>-37.979929999999896</v>
      </c>
      <c r="J5288">
        <v>-301.33949999999999</v>
      </c>
      <c r="K5288">
        <v>1.1040019999999999</v>
      </c>
      <c r="L5288">
        <v>-20.186399999999999</v>
      </c>
      <c r="M5288">
        <v>-4.7612460000000002E-2</v>
      </c>
      <c r="N5288">
        <v>0</v>
      </c>
      <c r="O5288">
        <v>-0.9987779</v>
      </c>
      <c r="P5288">
        <v>0.13236400000000001</v>
      </c>
      <c r="Q5288">
        <v>3.86839E-2</v>
      </c>
      <c r="R5288">
        <v>-0.9904463</v>
      </c>
      <c r="S5288">
        <v>1.2230829999999999</v>
      </c>
      <c r="T5288">
        <v>-0.1761364</v>
      </c>
      <c r="U5288">
        <v>-2.8747859999999998</v>
      </c>
      <c r="V5288">
        <v>-0.1792455</v>
      </c>
      <c r="W5288">
        <v>5.2170260000000003E-2</v>
      </c>
      <c r="X5288">
        <v>0.98242009999999902</v>
      </c>
      <c r="Y5288">
        <v>-0.43425459999999899</v>
      </c>
      <c r="Z5288">
        <v>5.56129E-2</v>
      </c>
      <c r="AA5288">
        <v>0.89907179999999998</v>
      </c>
      <c r="AB5288">
        <v>24</v>
      </c>
      <c r="AC5288">
        <v>7.6779999999999902</v>
      </c>
      <c r="AD5288">
        <v>-1.1040044937119999</v>
      </c>
      <c r="AE5288">
        <v>-17.793529999999901</v>
      </c>
      <c r="AF5288">
        <v>-8.4890091651062001</v>
      </c>
      <c r="AG5288">
        <v>-1.1040044937119999</v>
      </c>
      <c r="AH5288">
        <v>17.351434545856598</v>
      </c>
      <c r="AI5288">
        <v>93.271055834579002</v>
      </c>
      <c r="AJ5288">
        <v>116.06971175252001</v>
      </c>
      <c r="AK5288">
        <v>19.348239799179101</v>
      </c>
    </row>
    <row r="5289" spans="1:37" x14ac:dyDescent="0.2">
      <c r="A5289" t="str">
        <f>"20200111153536616"</f>
        <v>20200111153536616</v>
      </c>
      <c r="B5289" t="str">
        <f>"1578728136610734"</f>
        <v>1578728136610734</v>
      </c>
      <c r="C5289" t="s">
        <v>37</v>
      </c>
      <c r="D5289">
        <v>4.6237830000000004</v>
      </c>
      <c r="E5289">
        <v>0.39367370000000002</v>
      </c>
      <c r="F5289" t="s">
        <v>39</v>
      </c>
      <c r="G5289">
        <v>-293.964</v>
      </c>
      <c r="H5289" s="1">
        <v>-2.5998340000000002E-6</v>
      </c>
      <c r="I5289">
        <v>-37.431609999999999</v>
      </c>
      <c r="J5289">
        <v>-301.35289999999998</v>
      </c>
      <c r="K5289">
        <v>1.10407099999999</v>
      </c>
      <c r="L5289">
        <v>-20.429469999999998</v>
      </c>
      <c r="M5289">
        <v>-4.9126330000000003E-2</v>
      </c>
      <c r="N5289">
        <v>0</v>
      </c>
      <c r="O5289">
        <v>-0.9987045</v>
      </c>
      <c r="P5289">
        <v>0.13543089999999999</v>
      </c>
      <c r="Q5289">
        <v>3.8456999999999998E-2</v>
      </c>
      <c r="R5289">
        <v>-0.99004009999999998</v>
      </c>
      <c r="S5289">
        <v>1.228302</v>
      </c>
      <c r="T5289">
        <v>-0.18385850000000001</v>
      </c>
      <c r="U5289">
        <v>-2.8719790000000001</v>
      </c>
      <c r="V5289">
        <v>-0.1837887</v>
      </c>
      <c r="W5289">
        <v>5.1906439999999998E-2</v>
      </c>
      <c r="X5289">
        <v>0.98159430000000003</v>
      </c>
      <c r="Y5289">
        <v>-0.43726099999999901</v>
      </c>
      <c r="Z5289">
        <v>5.802297E-2</v>
      </c>
      <c r="AA5289">
        <v>0.89746090000000001</v>
      </c>
      <c r="AB5289">
        <v>24</v>
      </c>
      <c r="AC5289">
        <v>7.3888999999999703</v>
      </c>
      <c r="AD5289">
        <v>-1.1040735998340001</v>
      </c>
      <c r="AE5289">
        <v>-17.002139999999901</v>
      </c>
      <c r="AF5289">
        <v>-8.1862667386089107</v>
      </c>
      <c r="AG5289">
        <v>-1.1040735998340001</v>
      </c>
      <c r="AH5289">
        <v>16.5598489598962</v>
      </c>
      <c r="AI5289">
        <v>93.420362214648804</v>
      </c>
      <c r="AJ5289">
        <v>116.30522640079499</v>
      </c>
      <c r="AK5289">
        <v>18.505743411278601</v>
      </c>
    </row>
    <row r="5290" spans="1:37" x14ac:dyDescent="0.2">
      <c r="A5290" t="str">
        <f>"20200111153536639"</f>
        <v>20200111153536639</v>
      </c>
      <c r="B5290" t="str">
        <f>"1578728136631230"</f>
        <v>1578728136631230</v>
      </c>
      <c r="C5290" t="s">
        <v>37</v>
      </c>
      <c r="D5290">
        <v>4.9246720000000002</v>
      </c>
      <c r="E5290">
        <v>0.3942291</v>
      </c>
      <c r="F5290" t="s">
        <v>39</v>
      </c>
      <c r="G5290">
        <v>-294.09210000000002</v>
      </c>
      <c r="H5290" s="1">
        <v>-2.6123399999999998E-6</v>
      </c>
      <c r="I5290">
        <v>-37.294670000000004</v>
      </c>
      <c r="J5290">
        <v>-301.36599999999999</v>
      </c>
      <c r="K5290">
        <v>1.1041479999999999</v>
      </c>
      <c r="L5290">
        <v>-20.664490000000001</v>
      </c>
      <c r="M5290">
        <v>-5.0462840000000002E-2</v>
      </c>
      <c r="N5290">
        <v>0</v>
      </c>
      <c r="O5290">
        <v>-0.99863799999999903</v>
      </c>
      <c r="P5290">
        <v>0.13801479999999999</v>
      </c>
      <c r="Q5290">
        <v>3.6633689999999997E-2</v>
      </c>
      <c r="R5290">
        <v>-0.98975270000000004</v>
      </c>
      <c r="S5290">
        <v>1.234955</v>
      </c>
      <c r="T5290">
        <v>-0.18778729999999999</v>
      </c>
      <c r="U5290">
        <v>-2.8685299999999998</v>
      </c>
      <c r="V5290">
        <v>-0.18768399999999999</v>
      </c>
      <c r="W5290">
        <v>5.003966E-2</v>
      </c>
      <c r="X5290">
        <v>0.98095399999999999</v>
      </c>
      <c r="Y5290">
        <v>-0.44057979999999902</v>
      </c>
      <c r="Z5290">
        <v>5.9240319999999999E-2</v>
      </c>
      <c r="AA5290">
        <v>0.89575669999999996</v>
      </c>
      <c r="AB5290">
        <v>24</v>
      </c>
      <c r="AC5290">
        <v>7.2738999999999603</v>
      </c>
      <c r="AD5290">
        <v>-1.10415061234</v>
      </c>
      <c r="AE5290">
        <v>-16.630179999999999</v>
      </c>
      <c r="AF5290">
        <v>-8.0740344195285996</v>
      </c>
      <c r="AG5290">
        <v>-1.10415061234</v>
      </c>
      <c r="AH5290">
        <v>16.182016137789098</v>
      </c>
      <c r="AI5290">
        <v>93.493869174708095</v>
      </c>
      <c r="AJ5290">
        <v>116.516952030772</v>
      </c>
      <c r="AK5290">
        <v>18.118135297710101</v>
      </c>
    </row>
    <row r="5291" spans="1:37" x14ac:dyDescent="0.2">
      <c r="A5291" t="str">
        <f>"20200111153536660"</f>
        <v>20200111153536660</v>
      </c>
      <c r="B5291" t="str">
        <f>"1578728136650751"</f>
        <v>1578728136650751</v>
      </c>
      <c r="C5291" t="s">
        <v>37</v>
      </c>
      <c r="D5291">
        <v>4.9020380000000001</v>
      </c>
      <c r="E5291">
        <v>0.45682429999999902</v>
      </c>
      <c r="F5291" t="s">
        <v>39</v>
      </c>
      <c r="G5291">
        <v>-294.31220000000002</v>
      </c>
      <c r="H5291" s="1">
        <v>-2.6568230000000001E-6</v>
      </c>
      <c r="I5291">
        <v>-36.991840000000003</v>
      </c>
      <c r="J5291">
        <v>-301.37900000000002</v>
      </c>
      <c r="K5291">
        <v>1.1042179999999999</v>
      </c>
      <c r="L5291">
        <v>-20.894010000000002</v>
      </c>
      <c r="M5291">
        <v>-5.1628130000000001E-2</v>
      </c>
      <c r="N5291">
        <v>0</v>
      </c>
      <c r="O5291">
        <v>-0.99857850000000004</v>
      </c>
      <c r="P5291">
        <v>0.1406404</v>
      </c>
      <c r="Q5291">
        <v>3.3939240000000002E-2</v>
      </c>
      <c r="R5291">
        <v>-0.98947909999999994</v>
      </c>
      <c r="S5291">
        <v>1.2380070000000001</v>
      </c>
      <c r="T5291">
        <v>-0.19378860000000001</v>
      </c>
      <c r="U5291">
        <v>-2.8656009999999998</v>
      </c>
      <c r="V5291">
        <v>-0.19145399999999901</v>
      </c>
      <c r="W5291">
        <v>4.7298710000000001E-2</v>
      </c>
      <c r="X5291">
        <v>0.98036129999999999</v>
      </c>
      <c r="Y5291">
        <v>-0.44271670000000002</v>
      </c>
      <c r="Z5291">
        <v>6.1130770000000001E-2</v>
      </c>
      <c r="AA5291">
        <v>0.89457529999999996</v>
      </c>
      <c r="AB5291">
        <v>24</v>
      </c>
      <c r="AC5291">
        <v>7.0667999999999997</v>
      </c>
      <c r="AD5291">
        <v>-1.104220656823</v>
      </c>
      <c r="AE5291">
        <v>-16.097829999999998</v>
      </c>
      <c r="AF5291">
        <v>-7.8575501003949801</v>
      </c>
      <c r="AG5291">
        <v>-1.104220656823</v>
      </c>
      <c r="AH5291">
        <v>15.649742732060201</v>
      </c>
      <c r="AI5291">
        <v>93.608099259036294</v>
      </c>
      <c r="AJ5291">
        <v>116.660684147919</v>
      </c>
      <c r="AK5291">
        <v>17.546362711936698</v>
      </c>
    </row>
    <row r="5292" spans="1:37" x14ac:dyDescent="0.2">
      <c r="A5292" t="str">
        <f>"20200111153536682"</f>
        <v>20200111153536682</v>
      </c>
      <c r="B5292" t="str">
        <f>"1578728136671247"</f>
        <v>1578728136671247</v>
      </c>
      <c r="C5292" t="s">
        <v>37</v>
      </c>
      <c r="D5292">
        <v>4.7431089999999996</v>
      </c>
      <c r="E5292">
        <v>0.46408389999999999</v>
      </c>
      <c r="F5292" t="s">
        <v>39</v>
      </c>
      <c r="G5292">
        <v>-297.8141</v>
      </c>
      <c r="H5292" s="1">
        <v>-2.7530250000000002E-6</v>
      </c>
      <c r="I5292">
        <v>-34.853700000000003</v>
      </c>
      <c r="J5292">
        <v>-301.39249999999998</v>
      </c>
      <c r="K5292">
        <v>1.1042989999999999</v>
      </c>
      <c r="L5292">
        <v>-21.128720000000001</v>
      </c>
      <c r="M5292">
        <v>-5.2683250000000001E-2</v>
      </c>
      <c r="N5292">
        <v>0</v>
      </c>
      <c r="O5292">
        <v>-0.99852359999999896</v>
      </c>
      <c r="P5292">
        <v>0.14452970000000001</v>
      </c>
      <c r="Q5292">
        <v>3.1517249999999997E-2</v>
      </c>
      <c r="R5292">
        <v>-0.98899869999999901</v>
      </c>
      <c r="S5292">
        <v>0.74911499999999998</v>
      </c>
      <c r="T5292">
        <v>-0.2320324</v>
      </c>
      <c r="U5292">
        <v>-2.9333800000000001</v>
      </c>
      <c r="V5292">
        <v>-0.19636329999999999</v>
      </c>
      <c r="W5292">
        <v>4.4827520000000003E-2</v>
      </c>
      <c r="X5292">
        <v>0.97950599999999999</v>
      </c>
      <c r="Y5292">
        <v>-0.29742649999999998</v>
      </c>
      <c r="Z5292">
        <v>7.5697529999999999E-2</v>
      </c>
      <c r="AA5292">
        <v>0.95173909999999995</v>
      </c>
      <c r="AB5292">
        <v>24</v>
      </c>
      <c r="AC5292">
        <v>3.5783999999999798</v>
      </c>
      <c r="AD5292">
        <v>-1.1043017530249899</v>
      </c>
      <c r="AE5292">
        <v>-13.72498</v>
      </c>
      <c r="AF5292">
        <v>-4.2706822044002797</v>
      </c>
      <c r="AG5292">
        <v>-1.1043017530249899</v>
      </c>
      <c r="AH5292">
        <v>13.4359342688902</v>
      </c>
      <c r="AI5292">
        <v>94.478749056538405</v>
      </c>
      <c r="AJ5292">
        <v>107.633131623599</v>
      </c>
      <c r="AK5292">
        <v>14.141518254086201</v>
      </c>
    </row>
    <row r="5293" spans="1:37" x14ac:dyDescent="0.2">
      <c r="A5293" t="str">
        <f>"20200111153536706"</f>
        <v>20200111153536706</v>
      </c>
      <c r="B5293" t="str">
        <f>"1578728136701502"</f>
        <v>1578728136701502</v>
      </c>
      <c r="C5293" t="s">
        <v>37</v>
      </c>
      <c r="D5293">
        <v>4.8129160000000004</v>
      </c>
      <c r="E5293">
        <v>0.46729009999999999</v>
      </c>
      <c r="F5293" t="s">
        <v>39</v>
      </c>
      <c r="G5293">
        <v>-298.10300000000001</v>
      </c>
      <c r="H5293" s="1">
        <v>-2.6883589999999999E-6</v>
      </c>
      <c r="I5293">
        <v>-34.88496</v>
      </c>
      <c r="J5293">
        <v>-301.40649999999999</v>
      </c>
      <c r="K5293">
        <v>1.104371</v>
      </c>
      <c r="L5293">
        <v>-21.370999999999999</v>
      </c>
      <c r="M5293">
        <v>-5.3656599999999999E-2</v>
      </c>
      <c r="N5293">
        <v>0</v>
      </c>
      <c r="O5293">
        <v>-0.99847160000000001</v>
      </c>
      <c r="P5293">
        <v>0.14771770000000001</v>
      </c>
      <c r="Q5293">
        <v>3.0539989999999999E-2</v>
      </c>
      <c r="R5293">
        <v>-0.98855789999999999</v>
      </c>
      <c r="S5293">
        <v>0.70260619999999996</v>
      </c>
      <c r="T5293">
        <v>-0.23586849999999901</v>
      </c>
      <c r="U5293">
        <v>-2.938202</v>
      </c>
      <c r="V5293">
        <v>-0.20048820000000001</v>
      </c>
      <c r="W5293">
        <v>4.3804269999999999E-2</v>
      </c>
      <c r="X5293">
        <v>0.97871629999999998</v>
      </c>
      <c r="Y5293">
        <v>-0.2837288</v>
      </c>
      <c r="Z5293">
        <v>7.7120610000000006E-2</v>
      </c>
      <c r="AA5293">
        <v>0.95579829999999999</v>
      </c>
      <c r="AB5293">
        <v>24</v>
      </c>
      <c r="AC5293">
        <v>3.3034999999999801</v>
      </c>
      <c r="AD5293">
        <v>-1.1043736883589901</v>
      </c>
      <c r="AE5293">
        <v>-13.513960000000001</v>
      </c>
      <c r="AF5293">
        <v>-3.9987181528010298</v>
      </c>
      <c r="AG5293">
        <v>-1.1043736883589901</v>
      </c>
      <c r="AH5293">
        <v>13.2338226964852</v>
      </c>
      <c r="AI5293">
        <v>94.567305120285894</v>
      </c>
      <c r="AJ5293">
        <v>106.812662482893</v>
      </c>
      <c r="AK5293">
        <v>13.868794153461501</v>
      </c>
    </row>
    <row r="5294" spans="1:37" x14ac:dyDescent="0.2">
      <c r="A5294" t="str">
        <f>"20200111153536727"</f>
        <v>20200111153536727</v>
      </c>
      <c r="B5294" t="str">
        <f>"1578728136721023"</f>
        <v>1578728136721023</v>
      </c>
      <c r="C5294" t="s">
        <v>37</v>
      </c>
      <c r="D5294">
        <v>4.8050499999999996</v>
      </c>
      <c r="E5294">
        <v>0.46709240000000002</v>
      </c>
      <c r="F5294" t="s">
        <v>39</v>
      </c>
      <c r="G5294">
        <v>-298.02699999999999</v>
      </c>
      <c r="H5294" s="1">
        <v>-2.2984049999999998E-6</v>
      </c>
      <c r="I5294">
        <v>-35.825359999999897</v>
      </c>
      <c r="J5294">
        <v>-301.4203</v>
      </c>
      <c r="K5294">
        <v>1.104428</v>
      </c>
      <c r="L5294">
        <v>-21.607970000000002</v>
      </c>
      <c r="M5294">
        <v>-5.4509189999999999E-2</v>
      </c>
      <c r="N5294">
        <v>0</v>
      </c>
      <c r="O5294">
        <v>-0.99842549999999997</v>
      </c>
      <c r="P5294">
        <v>0.15102119999999999</v>
      </c>
      <c r="Q5294">
        <v>2.9052120000000001E-2</v>
      </c>
      <c r="R5294">
        <v>-0.98810359999999997</v>
      </c>
      <c r="S5294">
        <v>0.68713380000000002</v>
      </c>
      <c r="T5294">
        <v>-0.22455149999999999</v>
      </c>
      <c r="U5294">
        <v>-2.9389949999999998</v>
      </c>
      <c r="V5294">
        <v>-0.20460680000000001</v>
      </c>
      <c r="W5294">
        <v>4.2277439999999999E-2</v>
      </c>
      <c r="X5294">
        <v>0.97793079999999999</v>
      </c>
      <c r="Y5294">
        <v>-0.27978370000000002</v>
      </c>
      <c r="Z5294">
        <v>7.3504650000000005E-2</v>
      </c>
      <c r="AA5294">
        <v>0.95724509999999996</v>
      </c>
      <c r="AB5294">
        <v>24</v>
      </c>
      <c r="AC5294">
        <v>3.3933</v>
      </c>
      <c r="AD5294">
        <v>-1.1044302984050001</v>
      </c>
      <c r="AE5294">
        <v>-14.2173899999999</v>
      </c>
      <c r="AF5294">
        <v>-4.1396662796825403</v>
      </c>
      <c r="AG5294">
        <v>-1.1044302984050001</v>
      </c>
      <c r="AH5294">
        <v>13.931727374824099</v>
      </c>
      <c r="AI5294">
        <v>94.345596626658207</v>
      </c>
      <c r="AJ5294">
        <v>106.54876325381601</v>
      </c>
      <c r="AK5294">
        <v>14.575651986707101</v>
      </c>
    </row>
    <row r="5295" spans="1:37" x14ac:dyDescent="0.2">
      <c r="A5295" t="str">
        <f>"20200111153536750"</f>
        <v>20200111153536750</v>
      </c>
      <c r="B5295" t="str">
        <f>"1578728136741518"</f>
        <v>1578728136741518</v>
      </c>
      <c r="C5295" t="s">
        <v>37</v>
      </c>
      <c r="D5295">
        <v>4.7784949999999897</v>
      </c>
      <c r="E5295">
        <v>0.46727289999999999</v>
      </c>
      <c r="F5295" t="s">
        <v>39</v>
      </c>
      <c r="G5295">
        <v>-298.03969999999998</v>
      </c>
      <c r="H5295" s="1">
        <v>-2.297045E-6</v>
      </c>
      <c r="I5295">
        <v>-35.823300000000003</v>
      </c>
      <c r="J5295">
        <v>-301.43360000000001</v>
      </c>
      <c r="K5295">
        <v>1.104473</v>
      </c>
      <c r="L5295">
        <v>-21.834529999999901</v>
      </c>
      <c r="M5295">
        <v>-5.5245219999999998E-2</v>
      </c>
      <c r="N5295">
        <v>0</v>
      </c>
      <c r="O5295">
        <v>-0.99838499999999997</v>
      </c>
      <c r="P5295">
        <v>0.15374689999999999</v>
      </c>
      <c r="Q5295">
        <v>2.8093599999999899E-2</v>
      </c>
      <c r="R5295">
        <v>-0.9877108</v>
      </c>
      <c r="S5295">
        <v>0.69824219999999904</v>
      </c>
      <c r="T5295">
        <v>-0.22811380000000001</v>
      </c>
      <c r="U5295">
        <v>-2.936096</v>
      </c>
      <c r="V5295">
        <v>-0.2080341</v>
      </c>
      <c r="W5295">
        <v>4.1286009999999998E-2</v>
      </c>
      <c r="X5295">
        <v>0.9772499</v>
      </c>
      <c r="Y5295">
        <v>-0.28410859999999999</v>
      </c>
      <c r="Z5295">
        <v>7.4650259999999996E-2</v>
      </c>
      <c r="AA5295">
        <v>0.955881599999999</v>
      </c>
      <c r="AB5295">
        <v>24</v>
      </c>
      <c r="AC5295">
        <v>3.3939000000000301</v>
      </c>
      <c r="AD5295">
        <v>-1.104475297045</v>
      </c>
      <c r="AE5295">
        <v>-13.988770000000001</v>
      </c>
      <c r="AF5295">
        <v>-4.1372394144636502</v>
      </c>
      <c r="AG5295">
        <v>-1.104475297045</v>
      </c>
      <c r="AH5295">
        <v>13.699238632419799</v>
      </c>
      <c r="AI5295">
        <v>94.413351417611196</v>
      </c>
      <c r="AJ5295">
        <v>106.804581946184</v>
      </c>
      <c r="AK5295">
        <v>14.3529005696534</v>
      </c>
    </row>
    <row r="5296" spans="1:37" x14ac:dyDescent="0.2">
      <c r="A5296" t="str">
        <f>"20200111153536772"</f>
        <v>20200111153536772</v>
      </c>
      <c r="B5296" t="str">
        <f>"1578728136761039"</f>
        <v>1578728136761039</v>
      </c>
      <c r="C5296" t="s">
        <v>37</v>
      </c>
      <c r="D5296">
        <v>4.858339</v>
      </c>
      <c r="E5296">
        <v>0.4672132</v>
      </c>
      <c r="F5296" t="s">
        <v>39</v>
      </c>
      <c r="G5296">
        <v>-298.06279999999998</v>
      </c>
      <c r="H5296" s="1">
        <v>-2.2688720000000001E-6</v>
      </c>
      <c r="I5296">
        <v>-35.879429999999999</v>
      </c>
      <c r="J5296">
        <v>-301.44749999999999</v>
      </c>
      <c r="K5296">
        <v>1.104508</v>
      </c>
      <c r="L5296">
        <v>-22.069849999999999</v>
      </c>
      <c r="M5296">
        <v>-5.5953120000000002E-2</v>
      </c>
      <c r="N5296">
        <v>0</v>
      </c>
      <c r="O5296">
        <v>-0.9983457</v>
      </c>
      <c r="P5296">
        <v>0.15747610000000001</v>
      </c>
      <c r="Q5296">
        <v>2.778796E-2</v>
      </c>
      <c r="R5296">
        <v>-0.9871318</v>
      </c>
      <c r="S5296">
        <v>0.70422359999999995</v>
      </c>
      <c r="T5296">
        <v>-0.2307476</v>
      </c>
      <c r="U5296">
        <v>-2.9342649999999999</v>
      </c>
      <c r="V5296">
        <v>-0.21242320000000001</v>
      </c>
      <c r="W5296">
        <v>4.0949159999999998E-2</v>
      </c>
      <c r="X5296">
        <v>0.97631939999999995</v>
      </c>
      <c r="Y5296">
        <v>-0.28674959999999899</v>
      </c>
      <c r="Z5296">
        <v>7.5500059999999994E-2</v>
      </c>
      <c r="AA5296">
        <v>0.95502589999999998</v>
      </c>
      <c r="AB5296">
        <v>24</v>
      </c>
      <c r="AC5296">
        <v>3.3847</v>
      </c>
      <c r="AD5296">
        <v>-1.1045102688720001</v>
      </c>
      <c r="AE5296">
        <v>-13.80958</v>
      </c>
      <c r="AF5296">
        <v>-4.1272473782161896</v>
      </c>
      <c r="AG5296">
        <v>-1.1045102688720001</v>
      </c>
      <c r="AH5296">
        <v>13.516972516894199</v>
      </c>
      <c r="AI5296">
        <v>94.468637067271402</v>
      </c>
      <c r="AJ5296">
        <v>106.979429839414</v>
      </c>
      <c r="AK5296">
        <v>14.176129933007401</v>
      </c>
    </row>
    <row r="5297" spans="1:37" x14ac:dyDescent="0.2">
      <c r="A5297" t="str">
        <f>"20200111153536794"</f>
        <v>20200111153536794</v>
      </c>
      <c r="B5297" t="str">
        <f>"1578728136791294"</f>
        <v>1578728136791294</v>
      </c>
      <c r="C5297" t="s">
        <v>37</v>
      </c>
      <c r="D5297">
        <v>4.8449419999999996</v>
      </c>
      <c r="E5297">
        <v>0.46711849999999999</v>
      </c>
      <c r="F5297" t="s">
        <v>39</v>
      </c>
      <c r="G5297">
        <v>-298.03280000000001</v>
      </c>
      <c r="H5297" s="1">
        <v>-2.191728E-6</v>
      </c>
      <c r="I5297">
        <v>-36.071629999999999</v>
      </c>
      <c r="J5297">
        <v>-301.4615</v>
      </c>
      <c r="K5297">
        <v>1.104533</v>
      </c>
      <c r="L5297">
        <v>-22.303889999999999</v>
      </c>
      <c r="M5297">
        <v>-5.6627110000000001E-2</v>
      </c>
      <c r="N5297">
        <v>0</v>
      </c>
      <c r="O5297">
        <v>-0.99830750000000001</v>
      </c>
      <c r="P5297">
        <v>0.1605066</v>
      </c>
      <c r="Q5297">
        <v>2.7696599999999998E-2</v>
      </c>
      <c r="R5297">
        <v>-0.98664580000000002</v>
      </c>
      <c r="S5297">
        <v>0.71493530000000005</v>
      </c>
      <c r="T5297">
        <v>-0.23125109999999999</v>
      </c>
      <c r="U5297">
        <v>-2.931549</v>
      </c>
      <c r="V5297">
        <v>-0.21608379999999899</v>
      </c>
      <c r="W5297">
        <v>4.0832430000000003E-2</v>
      </c>
      <c r="X5297">
        <v>0.97552059999999996</v>
      </c>
      <c r="Y5297">
        <v>-0.29088809999999998</v>
      </c>
      <c r="Z5297">
        <v>7.5646850000000002E-2</v>
      </c>
      <c r="AA5297">
        <v>0.95376190000000005</v>
      </c>
      <c r="AB5297">
        <v>23</v>
      </c>
      <c r="AC5297">
        <v>3.4286999999999899</v>
      </c>
      <c r="AD5297">
        <v>-1.104535191728</v>
      </c>
      <c r="AE5297">
        <v>-13.76774</v>
      </c>
      <c r="AF5297">
        <v>-4.1775753246060603</v>
      </c>
      <c r="AG5297">
        <v>-1.104535191728</v>
      </c>
      <c r="AH5297">
        <v>13.4698374136998</v>
      </c>
      <c r="AI5297">
        <v>94.4782830235647</v>
      </c>
      <c r="AJ5297">
        <v>107.230909055738</v>
      </c>
      <c r="AK5297">
        <v>14.145976584669899</v>
      </c>
    </row>
    <row r="5298" spans="1:37" x14ac:dyDescent="0.2">
      <c r="A5298" t="str">
        <f>"20200111153536817"</f>
        <v>20200111153536817</v>
      </c>
      <c r="B5298" t="str">
        <f>"1578728136810814"</f>
        <v>1578728136810814</v>
      </c>
      <c r="C5298" t="s">
        <v>37</v>
      </c>
      <c r="D5298">
        <v>4.7965770000000001</v>
      </c>
      <c r="E5298">
        <v>0.46750209999999998</v>
      </c>
      <c r="F5298" t="s">
        <v>39</v>
      </c>
      <c r="G5298">
        <v>-297.99189999999999</v>
      </c>
      <c r="H5298" s="1">
        <v>-2.0829399999999998E-6</v>
      </c>
      <c r="I5298">
        <v>-36.342140000000001</v>
      </c>
      <c r="J5298">
        <v>-301.476</v>
      </c>
      <c r="K5298">
        <v>1.1045399999999901</v>
      </c>
      <c r="L5298">
        <v>-22.54449</v>
      </c>
      <c r="M5298">
        <v>-5.7308959999999999E-2</v>
      </c>
      <c r="N5298">
        <v>0</v>
      </c>
      <c r="O5298">
        <v>-0.99826890000000001</v>
      </c>
      <c r="P5298">
        <v>0.16402510000000001</v>
      </c>
      <c r="Q5298">
        <v>2.717025E-2</v>
      </c>
      <c r="R5298">
        <v>-0.98608229999999997</v>
      </c>
      <c r="S5298">
        <v>0.72396850000000001</v>
      </c>
      <c r="T5298">
        <v>-0.23047799999999999</v>
      </c>
      <c r="U5298">
        <v>-2.9292910000000001</v>
      </c>
      <c r="V5298">
        <v>-0.2202327</v>
      </c>
      <c r="W5298">
        <v>4.0287389999999999E-2</v>
      </c>
      <c r="X5298">
        <v>0.97461500000000001</v>
      </c>
      <c r="Y5298">
        <v>-0.294487099999999</v>
      </c>
      <c r="Z5298">
        <v>7.537729E-2</v>
      </c>
      <c r="AA5298">
        <v>0.95267809999999897</v>
      </c>
      <c r="AB5298">
        <v>23</v>
      </c>
      <c r="AC5298">
        <v>3.48410000000001</v>
      </c>
      <c r="AD5298">
        <v>-1.1045420829399999</v>
      </c>
      <c r="AE5298">
        <v>-13.797650000000001</v>
      </c>
      <c r="AF5298">
        <v>-4.2436060589432998</v>
      </c>
      <c r="AG5298">
        <v>-1.1045420829399999</v>
      </c>
      <c r="AH5298">
        <v>13.493989515709099</v>
      </c>
      <c r="AI5298">
        <v>94.464835134098394</v>
      </c>
      <c r="AJ5298">
        <v>107.457381646157</v>
      </c>
      <c r="AK5298">
        <v>14.1885855054883</v>
      </c>
    </row>
    <row r="5299" spans="1:37" x14ac:dyDescent="0.2">
      <c r="A5299" t="str">
        <f>"20200111153536840"</f>
        <v>20200111153536840</v>
      </c>
      <c r="B5299" t="str">
        <f>"1578728136831311"</f>
        <v>1578728136831311</v>
      </c>
      <c r="C5299" t="s">
        <v>37</v>
      </c>
      <c r="D5299">
        <v>4.8595329999999999</v>
      </c>
      <c r="E5299">
        <v>0.46782429999999903</v>
      </c>
      <c r="F5299" t="s">
        <v>39</v>
      </c>
      <c r="G5299">
        <v>-298.00580000000002</v>
      </c>
      <c r="H5299" s="1">
        <v>-2.0300329999999999E-6</v>
      </c>
      <c r="I5299">
        <v>-36.459739999999996</v>
      </c>
      <c r="J5299">
        <v>-301.4898</v>
      </c>
      <c r="K5299">
        <v>1.104538</v>
      </c>
      <c r="L5299">
        <v>-22.771999999999998</v>
      </c>
      <c r="M5299">
        <v>-5.7956580000000001E-2</v>
      </c>
      <c r="N5299">
        <v>0</v>
      </c>
      <c r="O5299">
        <v>-0.99823150000000005</v>
      </c>
      <c r="P5299">
        <v>0.1679187</v>
      </c>
      <c r="Q5299">
        <v>2.7384470000000001E-2</v>
      </c>
      <c r="R5299">
        <v>-0.98542079999999999</v>
      </c>
      <c r="S5299">
        <v>0.73001099999999997</v>
      </c>
      <c r="T5299">
        <v>-0.23235909999999901</v>
      </c>
      <c r="U5299">
        <v>-2.9273069999999999</v>
      </c>
      <c r="V5299">
        <v>-0.22471369999999999</v>
      </c>
      <c r="W5299">
        <v>4.0489869999999997E-2</v>
      </c>
      <c r="X5299">
        <v>0.97358330000000004</v>
      </c>
      <c r="Y5299">
        <v>-0.297097099999999</v>
      </c>
      <c r="Z5299">
        <v>7.5984040000000003E-2</v>
      </c>
      <c r="AA5299">
        <v>0.95181919999999898</v>
      </c>
      <c r="AB5299">
        <v>23</v>
      </c>
      <c r="AC5299">
        <v>3.48399999999998</v>
      </c>
      <c r="AD5299">
        <v>-1.1045400300329999</v>
      </c>
      <c r="AE5299">
        <v>-13.68774</v>
      </c>
      <c r="AF5299">
        <v>-4.2455428382244396</v>
      </c>
      <c r="AG5299">
        <v>-1.1045400300329999</v>
      </c>
      <c r="AH5299">
        <v>13.3809578486939</v>
      </c>
      <c r="AI5299">
        <v>94.498781565087896</v>
      </c>
      <c r="AJ5299">
        <v>107.60331836861801</v>
      </c>
      <c r="AK5299">
        <v>14.0817142286608</v>
      </c>
    </row>
    <row r="5300" spans="1:37" x14ac:dyDescent="0.2">
      <c r="A5300" t="str">
        <f>"20200111153536861"</f>
        <v>20200111153536861</v>
      </c>
      <c r="B5300" t="str">
        <f>"1578728136850831"</f>
        <v>1578728136850831</v>
      </c>
      <c r="C5300" t="s">
        <v>37</v>
      </c>
      <c r="D5300">
        <v>4.7804789999999997</v>
      </c>
      <c r="E5300">
        <v>0.46816179999999902</v>
      </c>
      <c r="F5300" t="s">
        <v>39</v>
      </c>
      <c r="G5300">
        <v>-297.97129999999999</v>
      </c>
      <c r="H5300" s="1">
        <v>-1.9253290000000002E-6</v>
      </c>
      <c r="I5300">
        <v>-36.718059999999902</v>
      </c>
      <c r="J5300">
        <v>-301.50400000000002</v>
      </c>
      <c r="K5300">
        <v>1.104535</v>
      </c>
      <c r="L5300">
        <v>-23.003139999999998</v>
      </c>
      <c r="M5300">
        <v>-5.8628550000000001E-2</v>
      </c>
      <c r="N5300">
        <v>0</v>
      </c>
      <c r="O5300">
        <v>-0.99819210000000003</v>
      </c>
      <c r="P5300">
        <v>0.1715604</v>
      </c>
      <c r="Q5300">
        <v>2.943289E-2</v>
      </c>
      <c r="R5300">
        <v>-0.98473389999999905</v>
      </c>
      <c r="S5300">
        <v>0.73797609999999902</v>
      </c>
      <c r="T5300">
        <v>-0.23166880000000001</v>
      </c>
      <c r="U5300">
        <v>-2.9250790000000002</v>
      </c>
      <c r="V5300">
        <v>-0.22896159999999999</v>
      </c>
      <c r="W5300">
        <v>4.2532790000000001E-2</v>
      </c>
      <c r="X5300">
        <v>0.97250579999999998</v>
      </c>
      <c r="Y5300">
        <v>-0.30035079999999997</v>
      </c>
      <c r="Z5300">
        <v>7.5746540000000001E-2</v>
      </c>
      <c r="AA5300">
        <v>0.95081649999999995</v>
      </c>
      <c r="AB5300">
        <v>23</v>
      </c>
      <c r="AC5300">
        <v>3.5327000000000299</v>
      </c>
      <c r="AD5300">
        <v>-1.1045369253290001</v>
      </c>
      <c r="AE5300">
        <v>-13.7149199999999</v>
      </c>
      <c r="AF5300">
        <v>-4.30459627204183</v>
      </c>
      <c r="AG5300">
        <v>-1.1045369253290001</v>
      </c>
      <c r="AH5300">
        <v>13.402668750491999</v>
      </c>
      <c r="AI5300">
        <v>94.486470329957498</v>
      </c>
      <c r="AJ5300">
        <v>107.805697124467</v>
      </c>
      <c r="AK5300">
        <v>14.1202365603451</v>
      </c>
    </row>
    <row r="5301" spans="1:37" x14ac:dyDescent="0.2">
      <c r="A5301" t="str">
        <f>"20200111153536884"</f>
        <v>20200111153536884</v>
      </c>
      <c r="B5301" t="str">
        <f>"1578728136881087"</f>
        <v>1578728136881087</v>
      </c>
      <c r="C5301" t="s">
        <v>37</v>
      </c>
      <c r="D5301">
        <v>4.8302490000000002</v>
      </c>
      <c r="E5301">
        <v>0.46854249999999997</v>
      </c>
      <c r="F5301" t="s">
        <v>39</v>
      </c>
      <c r="G5301">
        <v>-297.8449</v>
      </c>
      <c r="H5301" s="1">
        <v>-1.6807479999999999E-6</v>
      </c>
      <c r="I5301">
        <v>-37.340470000000003</v>
      </c>
      <c r="J5301">
        <v>-301.51870000000002</v>
      </c>
      <c r="K5301">
        <v>1.1045160000000001</v>
      </c>
      <c r="L5301">
        <v>-23.24014</v>
      </c>
      <c r="M5301">
        <v>-5.9336090000000001E-2</v>
      </c>
      <c r="N5301">
        <v>0</v>
      </c>
      <c r="O5301">
        <v>-0.998150599999999</v>
      </c>
      <c r="P5301">
        <v>0.1742165</v>
      </c>
      <c r="Q5301">
        <v>3.124762E-2</v>
      </c>
      <c r="R5301">
        <v>-0.98421159999999996</v>
      </c>
      <c r="S5301">
        <v>0.74606319999999904</v>
      </c>
      <c r="T5301">
        <v>-0.22520479999999901</v>
      </c>
      <c r="U5301">
        <v>-2.9232480000000001</v>
      </c>
      <c r="V5301">
        <v>-0.2322678</v>
      </c>
      <c r="W5301">
        <v>4.4347350000000001E-2</v>
      </c>
      <c r="X5301">
        <v>0.97164030000000001</v>
      </c>
      <c r="Y5301">
        <v>-0.30367690000000003</v>
      </c>
      <c r="Z5301">
        <v>7.3620660000000004E-2</v>
      </c>
      <c r="AA5301">
        <v>0.94992649999999901</v>
      </c>
      <c r="AB5301">
        <v>23</v>
      </c>
      <c r="AC5301">
        <v>3.6738000000000199</v>
      </c>
      <c r="AD5301">
        <v>-1.1045176807479999</v>
      </c>
      <c r="AE5301">
        <v>-14.10033</v>
      </c>
      <c r="AF5301">
        <v>-4.47832509931159</v>
      </c>
      <c r="AG5301">
        <v>-1.1045176807479999</v>
      </c>
      <c r="AH5301">
        <v>13.778304241746399</v>
      </c>
      <c r="AI5301">
        <v>94.359662157865799</v>
      </c>
      <c r="AJ5301">
        <v>108.005576611856</v>
      </c>
      <c r="AK5301">
        <v>14.529866578201499</v>
      </c>
    </row>
    <row r="5302" spans="1:37" x14ac:dyDescent="0.2">
      <c r="A5302" t="str">
        <f>"20200111153536907"</f>
        <v>20200111153536907</v>
      </c>
      <c r="B5302" t="str">
        <f>"1578728136901582"</f>
        <v>1578728136901582</v>
      </c>
      <c r="C5302" t="s">
        <v>37</v>
      </c>
      <c r="D5302">
        <v>4.819858</v>
      </c>
      <c r="E5302">
        <v>0.46865800000000002</v>
      </c>
      <c r="F5302" t="s">
        <v>39</v>
      </c>
      <c r="G5302">
        <v>-297.69470000000001</v>
      </c>
      <c r="H5302" s="1">
        <v>-1.3764629999999999E-6</v>
      </c>
      <c r="I5302">
        <v>-38.111840000000001</v>
      </c>
      <c r="J5302">
        <v>-301.53379999999999</v>
      </c>
      <c r="K5302">
        <v>1.1044830000000001</v>
      </c>
      <c r="L5302">
        <v>-23.480219999999999</v>
      </c>
      <c r="M5302">
        <v>-6.0072800000000003E-2</v>
      </c>
      <c r="N5302">
        <v>0</v>
      </c>
      <c r="O5302">
        <v>-0.99810650000000001</v>
      </c>
      <c r="P5302">
        <v>0.17754690000000001</v>
      </c>
      <c r="Q5302">
        <v>3.0442170000000001E-2</v>
      </c>
      <c r="R5302">
        <v>-0.98364130000000005</v>
      </c>
      <c r="S5302">
        <v>0.75134279999999998</v>
      </c>
      <c r="T5302">
        <v>-0.21701819999999999</v>
      </c>
      <c r="U5302">
        <v>-2.9220280000000001</v>
      </c>
      <c r="V5302">
        <v>-0.2362745</v>
      </c>
      <c r="W5302">
        <v>4.3542270000000001E-2</v>
      </c>
      <c r="X5302">
        <v>0.97071030000000003</v>
      </c>
      <c r="Y5302">
        <v>-0.30613319999999999</v>
      </c>
      <c r="Z5302">
        <v>7.0938420000000002E-2</v>
      </c>
      <c r="AA5302">
        <v>0.94934200000000002</v>
      </c>
      <c r="AB5302">
        <v>23</v>
      </c>
      <c r="AC5302">
        <v>3.83909999999997</v>
      </c>
      <c r="AD5302">
        <v>-1.1044843764629999</v>
      </c>
      <c r="AE5302">
        <v>-14.6316199999999</v>
      </c>
      <c r="AF5302">
        <v>-4.6862216555194802</v>
      </c>
      <c r="AG5302">
        <v>-1.1044843764629999</v>
      </c>
      <c r="AH5302">
        <v>14.2983187861084</v>
      </c>
      <c r="AI5302">
        <v>94.198201839910496</v>
      </c>
      <c r="AJ5302">
        <v>108.146367563157</v>
      </c>
      <c r="AK5302">
        <v>15.087162730337701</v>
      </c>
    </row>
    <row r="5303" spans="1:37" x14ac:dyDescent="0.2">
      <c r="A5303" t="str">
        <f>"20200111153536928"</f>
        <v>20200111153536928</v>
      </c>
      <c r="B5303" t="str">
        <f>"1578728136921102"</f>
        <v>1578728136921102</v>
      </c>
      <c r="C5303" t="s">
        <v>37</v>
      </c>
      <c r="D5303">
        <v>4.9666439999999996</v>
      </c>
      <c r="E5303">
        <v>0.46898109999999998</v>
      </c>
      <c r="F5303" t="s">
        <v>39</v>
      </c>
      <c r="G5303">
        <v>-297.69749999999999</v>
      </c>
      <c r="H5303" s="1">
        <v>-1.341285E-6</v>
      </c>
      <c r="I5303">
        <v>-38.210749999999997</v>
      </c>
      <c r="J5303">
        <v>-301.54820000000001</v>
      </c>
      <c r="K5303">
        <v>1.104455</v>
      </c>
      <c r="L5303">
        <v>-23.70618</v>
      </c>
      <c r="M5303">
        <v>-6.0780510000000003E-2</v>
      </c>
      <c r="N5303">
        <v>0</v>
      </c>
      <c r="O5303">
        <v>-0.99806379999999995</v>
      </c>
      <c r="P5303">
        <v>0.18194569999999999</v>
      </c>
      <c r="Q5303">
        <v>2.7710149999999999E-2</v>
      </c>
      <c r="R5303">
        <v>-0.98291819999999896</v>
      </c>
      <c r="S5303">
        <v>0.76031490000000002</v>
      </c>
      <c r="T5303">
        <v>-0.21889710000000001</v>
      </c>
      <c r="U5303">
        <v>-2.9194339999999999</v>
      </c>
      <c r="V5303">
        <v>-0.24131159999999999</v>
      </c>
      <c r="W5303">
        <v>4.0805750000000002E-2</v>
      </c>
      <c r="X5303">
        <v>0.96958940000000005</v>
      </c>
      <c r="Y5303">
        <v>-0.30973259999999903</v>
      </c>
      <c r="Z5303">
        <v>7.1535920000000003E-2</v>
      </c>
      <c r="AA5303">
        <v>0.94812879999999999</v>
      </c>
      <c r="AB5303">
        <v>23</v>
      </c>
      <c r="AC5303">
        <v>3.85070000000001</v>
      </c>
      <c r="AD5303">
        <v>-1.1044563412849999</v>
      </c>
      <c r="AE5303">
        <v>-14.5045699999999</v>
      </c>
      <c r="AF5303">
        <v>-4.6997956037820101</v>
      </c>
      <c r="AG5303">
        <v>-1.1044563412849999</v>
      </c>
      <c r="AH5303">
        <v>14.1669472336011</v>
      </c>
      <c r="AI5303">
        <v>94.231868216868904</v>
      </c>
      <c r="AJ5303">
        <v>108.352938819776</v>
      </c>
      <c r="AK5303">
        <v>14.966973523286899</v>
      </c>
    </row>
    <row r="5304" spans="1:37" x14ac:dyDescent="0.2">
      <c r="A5304" t="str">
        <f>"20200111153536951"</f>
        <v>20200111153536951</v>
      </c>
      <c r="B5304" t="str">
        <f>"1578728136941555"</f>
        <v>1578728136941555</v>
      </c>
      <c r="C5304" t="s">
        <v>37</v>
      </c>
      <c r="D5304">
        <v>4.8444419999999999</v>
      </c>
      <c r="E5304">
        <v>0.46941709999999898</v>
      </c>
      <c r="F5304" t="s">
        <v>39</v>
      </c>
      <c r="G5304">
        <v>-297.7826</v>
      </c>
      <c r="H5304" s="1">
        <v>-1.426881E-6</v>
      </c>
      <c r="I5304">
        <v>-37.957999999999998</v>
      </c>
      <c r="J5304">
        <v>-301.56299999999999</v>
      </c>
      <c r="K5304">
        <v>1.1044389999999999</v>
      </c>
      <c r="L5304">
        <v>-23.934449999999998</v>
      </c>
      <c r="M5304">
        <v>-6.1497040000000003E-2</v>
      </c>
      <c r="N5304">
        <v>0</v>
      </c>
      <c r="O5304">
        <v>-0.99801969999999995</v>
      </c>
      <c r="P5304">
        <v>0.1861361</v>
      </c>
      <c r="Q5304">
        <v>2.613217E-2</v>
      </c>
      <c r="R5304">
        <v>-0.98217639999999995</v>
      </c>
      <c r="S5304">
        <v>0.77044679999999999</v>
      </c>
      <c r="T5304">
        <v>-0.22596939999999999</v>
      </c>
      <c r="U5304">
        <v>-2.91589399999999</v>
      </c>
      <c r="V5304">
        <v>-0.246146</v>
      </c>
      <c r="W5304">
        <v>3.921964E-2</v>
      </c>
      <c r="X5304">
        <v>0.96843889999999999</v>
      </c>
      <c r="Y5304">
        <v>-0.31373179999999901</v>
      </c>
      <c r="Z5304">
        <v>7.3833469999999998E-2</v>
      </c>
      <c r="AA5304">
        <v>0.9466367</v>
      </c>
      <c r="AB5304">
        <v>23</v>
      </c>
      <c r="AC5304">
        <v>3.7803999999999802</v>
      </c>
      <c r="AD5304">
        <v>-1.104440426881</v>
      </c>
      <c r="AE5304">
        <v>-14.02355</v>
      </c>
      <c r="AF5304">
        <v>-4.60907450208214</v>
      </c>
      <c r="AG5304">
        <v>-1.104440426881</v>
      </c>
      <c r="AH5304">
        <v>13.685365590618501</v>
      </c>
      <c r="AI5304">
        <v>94.373539917066907</v>
      </c>
      <c r="AJ5304">
        <v>108.61293641136599</v>
      </c>
      <c r="AK5304">
        <v>14.482837697466501</v>
      </c>
    </row>
    <row r="5305" spans="1:37" x14ac:dyDescent="0.2">
      <c r="A5305" t="str">
        <f>"20200111153536973"</f>
        <v>20200111153536973</v>
      </c>
      <c r="B5305" t="str">
        <f>"1578728136961075"</f>
        <v>1578728136961075</v>
      </c>
      <c r="C5305" t="s">
        <v>37</v>
      </c>
      <c r="D5305">
        <v>4.7961849999999897</v>
      </c>
      <c r="E5305">
        <v>0.469570299999999</v>
      </c>
      <c r="F5305" t="s">
        <v>39</v>
      </c>
      <c r="G5305">
        <v>-297.8141</v>
      </c>
      <c r="H5305" s="1">
        <v>-1.4275329999999999E-6</v>
      </c>
      <c r="I5305">
        <v>-37.943420000000003</v>
      </c>
      <c r="J5305">
        <v>-301.57810000000001</v>
      </c>
      <c r="K5305">
        <v>1.104441</v>
      </c>
      <c r="L5305">
        <v>-24.167570000000001</v>
      </c>
      <c r="M5305">
        <v>-6.2208920000000001E-2</v>
      </c>
      <c r="N5305">
        <v>0</v>
      </c>
      <c r="O5305">
        <v>-0.99797559999999996</v>
      </c>
      <c r="P5305">
        <v>0.18889229999999901</v>
      </c>
      <c r="Q5305">
        <v>2.53677E-2</v>
      </c>
      <c r="R5305">
        <v>-0.98167019999999905</v>
      </c>
      <c r="S5305">
        <v>0.77947999999999995</v>
      </c>
      <c r="T5305">
        <v>-0.22964299999999899</v>
      </c>
      <c r="U5305">
        <v>-2.9128419999999999</v>
      </c>
      <c r="V5305">
        <v>-0.2495581</v>
      </c>
      <c r="W5305">
        <v>3.844011E-2</v>
      </c>
      <c r="X5305">
        <v>0.96759660000000003</v>
      </c>
      <c r="Y5305">
        <v>-0.31736979999999998</v>
      </c>
      <c r="Z5305">
        <v>7.5021050000000006E-2</v>
      </c>
      <c r="AA5305">
        <v>0.94532969999999905</v>
      </c>
      <c r="AB5305">
        <v>23</v>
      </c>
      <c r="AC5305">
        <v>3.7639999999999998</v>
      </c>
      <c r="AD5305">
        <v>-1.104442427533</v>
      </c>
      <c r="AE5305">
        <v>-13.77585</v>
      </c>
      <c r="AF5305">
        <v>-4.5863328081960599</v>
      </c>
      <c r="AG5305">
        <v>-1.104442427533</v>
      </c>
      <c r="AH5305">
        <v>13.434635025053099</v>
      </c>
      <c r="AI5305">
        <v>94.448652889345695</v>
      </c>
      <c r="AJ5305">
        <v>108.84894374183401</v>
      </c>
      <c r="AK5305">
        <v>14.23880823523</v>
      </c>
    </row>
    <row r="5306" spans="1:37" x14ac:dyDescent="0.2">
      <c r="A5306" t="str">
        <f>"20200111153536996"</f>
        <v>20200111153536996</v>
      </c>
      <c r="B5306" t="str">
        <f>"1578728136991333"</f>
        <v>1578728136991333</v>
      </c>
      <c r="C5306" t="s">
        <v>37</v>
      </c>
      <c r="D5306">
        <v>4.8394000000000004</v>
      </c>
      <c r="E5306">
        <v>0.46980509999999898</v>
      </c>
      <c r="F5306" t="s">
        <v>39</v>
      </c>
      <c r="G5306">
        <v>-297.83589999999998</v>
      </c>
      <c r="H5306" s="1">
        <v>-1.391656E-6</v>
      </c>
      <c r="I5306">
        <v>-38.018059999999998</v>
      </c>
      <c r="J5306">
        <v>-301.59350000000001</v>
      </c>
      <c r="K5306">
        <v>1.1044639999999999</v>
      </c>
      <c r="L5306">
        <v>-24.402069999999998</v>
      </c>
      <c r="M5306">
        <v>-6.2873289999999998E-2</v>
      </c>
      <c r="N5306">
        <v>0</v>
      </c>
      <c r="O5306">
        <v>-0.99793399999999999</v>
      </c>
      <c r="P5306">
        <v>0.19151499999999999</v>
      </c>
      <c r="Q5306">
        <v>2.4395159999999999E-2</v>
      </c>
      <c r="R5306">
        <v>-0.98118660000000002</v>
      </c>
      <c r="S5306">
        <v>0.78643799999999997</v>
      </c>
      <c r="T5306">
        <v>-0.23210069999999999</v>
      </c>
      <c r="U5306">
        <v>-2.9107059999999998</v>
      </c>
      <c r="V5306">
        <v>-0.25279279999999998</v>
      </c>
      <c r="W5306">
        <v>3.744186E-2</v>
      </c>
      <c r="X5306">
        <v>0.96679570000000004</v>
      </c>
      <c r="Y5306">
        <v>-0.3202642</v>
      </c>
      <c r="Z5306">
        <v>7.5806570000000004E-2</v>
      </c>
      <c r="AA5306">
        <v>0.94429030000000003</v>
      </c>
      <c r="AB5306">
        <v>23</v>
      </c>
      <c r="AC5306">
        <v>3.75760000000002</v>
      </c>
      <c r="AD5306">
        <v>-1.1044653916560001</v>
      </c>
      <c r="AE5306">
        <v>-13.615989999999901</v>
      </c>
      <c r="AF5306">
        <v>-4.5783290735345803</v>
      </c>
      <c r="AG5306">
        <v>-1.1044653916560001</v>
      </c>
      <c r="AH5306">
        <v>13.2716295264484</v>
      </c>
      <c r="AI5306">
        <v>94.498222177495194</v>
      </c>
      <c r="AJ5306">
        <v>109.032956303733</v>
      </c>
      <c r="AK5306">
        <v>14.0825101169583</v>
      </c>
    </row>
    <row r="5307" spans="1:37" x14ac:dyDescent="0.2">
      <c r="A5307" t="str">
        <f>"20200111153537018"</f>
        <v>20200111153537018</v>
      </c>
      <c r="B5307" t="str">
        <f>"1578728137010850"</f>
        <v>1578728137010850</v>
      </c>
      <c r="C5307" t="s">
        <v>37</v>
      </c>
      <c r="D5307">
        <v>4.8303880000000001</v>
      </c>
      <c r="E5307">
        <v>0.47002269999999902</v>
      </c>
      <c r="F5307" t="s">
        <v>39</v>
      </c>
      <c r="G5307">
        <v>-297.88060000000002</v>
      </c>
      <c r="H5307" s="1">
        <v>-1.3749049999999899E-6</v>
      </c>
      <c r="I5307">
        <v>-38.038620000000002</v>
      </c>
      <c r="J5307">
        <v>-301.60879999999997</v>
      </c>
      <c r="K5307">
        <v>1.104508</v>
      </c>
      <c r="L5307">
        <v>-24.633669999999999</v>
      </c>
      <c r="M5307">
        <v>-6.3446959999999997E-2</v>
      </c>
      <c r="N5307">
        <v>0</v>
      </c>
      <c r="O5307">
        <v>-0.99789789999999901</v>
      </c>
      <c r="P5307">
        <v>0.19393299999999999</v>
      </c>
      <c r="Q5307">
        <v>2.4226589999999999E-2</v>
      </c>
      <c r="R5307">
        <v>-0.98071559999999902</v>
      </c>
      <c r="S5307">
        <v>0.79199219999999904</v>
      </c>
      <c r="T5307">
        <v>-0.2355911</v>
      </c>
      <c r="U5307">
        <v>-2.9087830000000001</v>
      </c>
      <c r="V5307">
        <v>-0.25573709999999999</v>
      </c>
      <c r="W5307">
        <v>3.7232679999999997E-2</v>
      </c>
      <c r="X5307">
        <v>0.96602909999999997</v>
      </c>
      <c r="Y5307">
        <v>-0.3226213</v>
      </c>
      <c r="Z5307">
        <v>7.6933340000000003E-2</v>
      </c>
      <c r="AA5307">
        <v>0.94339640000000002</v>
      </c>
      <c r="AB5307">
        <v>23</v>
      </c>
      <c r="AC5307">
        <v>3.72819999999995</v>
      </c>
      <c r="AD5307">
        <v>-1.1045093749049999</v>
      </c>
      <c r="AE5307">
        <v>-13.404949999999999</v>
      </c>
      <c r="AF5307">
        <v>-4.5426386928312104</v>
      </c>
      <c r="AG5307">
        <v>-1.1045093749049999</v>
      </c>
      <c r="AH5307">
        <v>13.059080443131799</v>
      </c>
      <c r="AI5307">
        <v>94.567253123605099</v>
      </c>
      <c r="AJ5307">
        <v>109.18037726919</v>
      </c>
      <c r="AK5307">
        <v>13.8706556900908</v>
      </c>
    </row>
    <row r="5308" spans="1:37" x14ac:dyDescent="0.2">
      <c r="A5308" t="str">
        <f>"20200111153537041"</f>
        <v>20200111153537041</v>
      </c>
      <c r="B5308" t="str">
        <f>"1578728137031347"</f>
        <v>1578728137031347</v>
      </c>
      <c r="C5308" t="s">
        <v>37</v>
      </c>
      <c r="D5308">
        <v>4.9034059999999897</v>
      </c>
      <c r="E5308">
        <v>0.470135999999999</v>
      </c>
      <c r="F5308" t="s">
        <v>39</v>
      </c>
      <c r="G5308">
        <v>-297.89550000000003</v>
      </c>
      <c r="H5308" s="1">
        <v>-1.3116159999999899E-6</v>
      </c>
      <c r="I5308">
        <v>-38.179989999999997</v>
      </c>
      <c r="J5308">
        <v>-301.6241</v>
      </c>
      <c r="K5308">
        <v>1.1045769999999999</v>
      </c>
      <c r="L5308">
        <v>-24.865970000000001</v>
      </c>
      <c r="M5308">
        <v>-6.3904279999999994E-2</v>
      </c>
      <c r="N5308">
        <v>0</v>
      </c>
      <c r="O5308">
        <v>-0.99786849999999905</v>
      </c>
      <c r="P5308">
        <v>0.19620270000000001</v>
      </c>
      <c r="Q5308">
        <v>2.4185089999999999E-2</v>
      </c>
      <c r="R5308">
        <v>-0.98026489999999999</v>
      </c>
      <c r="S5308">
        <v>0.79693599999999998</v>
      </c>
      <c r="T5308">
        <v>-0.23704529999999999</v>
      </c>
      <c r="U5308">
        <v>-2.907257</v>
      </c>
      <c r="V5308">
        <v>-0.25842310000000002</v>
      </c>
      <c r="W5308">
        <v>3.7134519999999997E-2</v>
      </c>
      <c r="X5308">
        <v>0.9653178</v>
      </c>
      <c r="Y5308">
        <v>-0.32466279999999997</v>
      </c>
      <c r="Z5308">
        <v>7.7395820000000004E-2</v>
      </c>
      <c r="AA5308">
        <v>0.94265789999999905</v>
      </c>
      <c r="AB5308">
        <v>23</v>
      </c>
      <c r="AC5308">
        <v>3.7285999999999699</v>
      </c>
      <c r="AD5308">
        <v>-1.104578311616</v>
      </c>
      <c r="AE5308">
        <v>-13.314019999999999</v>
      </c>
      <c r="AF5308">
        <v>-4.5428802893335298</v>
      </c>
      <c r="AG5308">
        <v>-1.104578311616</v>
      </c>
      <c r="AH5308">
        <v>12.9657550033902</v>
      </c>
      <c r="AI5308">
        <v>94.596678712242493</v>
      </c>
      <c r="AJ5308">
        <v>109.30920038076501</v>
      </c>
      <c r="AK5308">
        <v>13.7829117887929</v>
      </c>
    </row>
    <row r="5309" spans="1:37" x14ac:dyDescent="0.2">
      <c r="A5309" t="str">
        <f>"20200111153537064"</f>
        <v>20200111153537064</v>
      </c>
      <c r="B5309" t="str">
        <f>"1578728137061602"</f>
        <v>1578728137061602</v>
      </c>
      <c r="C5309" t="s">
        <v>37</v>
      </c>
      <c r="D5309">
        <v>5.0404839999999904</v>
      </c>
      <c r="E5309">
        <v>0.50150689999999998</v>
      </c>
      <c r="F5309" t="s">
        <v>39</v>
      </c>
      <c r="G5309">
        <v>-297.90699999999998</v>
      </c>
      <c r="H5309" s="1">
        <v>-1.2489719999999899E-6</v>
      </c>
      <c r="I5309">
        <v>-38.321259999999903</v>
      </c>
      <c r="J5309">
        <v>-301.64049999999997</v>
      </c>
      <c r="K5309">
        <v>1.1046579999999999</v>
      </c>
      <c r="L5309">
        <v>-25.113399999999999</v>
      </c>
      <c r="M5309">
        <v>-6.4246880000000006E-2</v>
      </c>
      <c r="N5309">
        <v>0</v>
      </c>
      <c r="O5309">
        <v>-0.99784669999999898</v>
      </c>
      <c r="P5309">
        <v>0.19788510000000001</v>
      </c>
      <c r="Q5309">
        <v>2.2469349999999999E-2</v>
      </c>
      <c r="R5309">
        <v>-0.9799677</v>
      </c>
      <c r="S5309">
        <v>0.80270390000000003</v>
      </c>
      <c r="T5309">
        <v>-0.23852870000000001</v>
      </c>
      <c r="U5309">
        <v>-2.9056090000000001</v>
      </c>
      <c r="V5309">
        <v>-0.26042419999999999</v>
      </c>
      <c r="W5309">
        <v>3.5353269999999999E-2</v>
      </c>
      <c r="X5309">
        <v>0.9648468</v>
      </c>
      <c r="Y5309">
        <v>-0.32685229999999998</v>
      </c>
      <c r="Z5309">
        <v>7.7866359999999996E-2</v>
      </c>
      <c r="AA5309">
        <v>0.94186219999999998</v>
      </c>
      <c r="AB5309">
        <v>23</v>
      </c>
      <c r="AC5309">
        <v>3.73349999999999</v>
      </c>
      <c r="AD5309">
        <v>-1.104659248972</v>
      </c>
      <c r="AE5309">
        <v>-13.207859999999901</v>
      </c>
      <c r="AF5309">
        <v>-4.5449830553282702</v>
      </c>
      <c r="AG5309">
        <v>-1.104659248972</v>
      </c>
      <c r="AH5309">
        <v>12.857397974927199</v>
      </c>
      <c r="AI5309">
        <v>94.631085843620596</v>
      </c>
      <c r="AJ5309">
        <v>109.46807706381701</v>
      </c>
      <c r="AK5309">
        <v>13.6817332862186</v>
      </c>
    </row>
    <row r="5310" spans="1:37" x14ac:dyDescent="0.2">
      <c r="A5310" t="str">
        <f>"20200111153537085"</f>
        <v>20200111153537085</v>
      </c>
      <c r="B5310" t="str">
        <f>"1578728137081122"</f>
        <v>1578728137081122</v>
      </c>
      <c r="C5310" t="s">
        <v>37</v>
      </c>
      <c r="D5310">
        <v>5.006424</v>
      </c>
      <c r="E5310">
        <v>0.51527670000000003</v>
      </c>
      <c r="F5310" t="s">
        <v>39</v>
      </c>
      <c r="G5310">
        <v>-299.8125</v>
      </c>
      <c r="H5310" s="1">
        <v>-2.4008660000000001E-6</v>
      </c>
      <c r="I5310">
        <v>-34.84825</v>
      </c>
      <c r="J5310">
        <v>-301.65429999999998</v>
      </c>
      <c r="K5310">
        <v>1.104719</v>
      </c>
      <c r="L5310">
        <v>-25.323969999999999</v>
      </c>
      <c r="M5310">
        <v>-6.4439419999999997E-2</v>
      </c>
      <c r="N5310">
        <v>0</v>
      </c>
      <c r="O5310">
        <v>-0.99783429999999995</v>
      </c>
      <c r="P5310">
        <v>0.19836039999999999</v>
      </c>
      <c r="Q5310">
        <v>2.0828570000000001E-2</v>
      </c>
      <c r="R5310">
        <v>-0.97990789999999905</v>
      </c>
      <c r="S5310">
        <v>0.55523679999999997</v>
      </c>
      <c r="T5310">
        <v>-0.33553490000000002</v>
      </c>
      <c r="U5310">
        <v>-2.956909</v>
      </c>
      <c r="V5310">
        <v>-0.26108759999999998</v>
      </c>
      <c r="W5310">
        <v>3.3661030000000002E-2</v>
      </c>
      <c r="X5310">
        <v>0.96472809999999898</v>
      </c>
      <c r="Y5310">
        <v>-0.24638260000000001</v>
      </c>
      <c r="Z5310">
        <v>0.10971309999999999</v>
      </c>
      <c r="AA5310">
        <v>0.96294269999999904</v>
      </c>
      <c r="AB5310">
        <v>23</v>
      </c>
      <c r="AC5310">
        <v>1.8417999999999699</v>
      </c>
      <c r="AD5310">
        <v>-1.104721400866</v>
      </c>
      <c r="AE5310">
        <v>-9.5242799999999903</v>
      </c>
      <c r="AF5310">
        <v>-2.4203747959570898</v>
      </c>
      <c r="AG5310">
        <v>-1.104721400866</v>
      </c>
      <c r="AH5310">
        <v>9.2656234190656708</v>
      </c>
      <c r="AI5310">
        <v>96.580390516727505</v>
      </c>
      <c r="AJ5310">
        <v>104.639721530758</v>
      </c>
      <c r="AK5310">
        <v>9.6400415388303102</v>
      </c>
    </row>
    <row r="5311" spans="1:37" x14ac:dyDescent="0.2">
      <c r="A5311" t="str">
        <f>"20200111153537107"</f>
        <v>20200111153537107</v>
      </c>
      <c r="B5311" t="str">
        <f>"1578728137101618"</f>
        <v>1578728137101618</v>
      </c>
      <c r="C5311" t="s">
        <v>37</v>
      </c>
      <c r="D5311">
        <v>4.9094660000000001</v>
      </c>
      <c r="E5311">
        <v>0.51975640000000001</v>
      </c>
      <c r="F5311" t="s">
        <v>39</v>
      </c>
      <c r="G5311">
        <v>-300.20159999999998</v>
      </c>
      <c r="H5311" s="1">
        <v>-2.3911930000000001E-6</v>
      </c>
      <c r="I5311">
        <v>-34.96199</v>
      </c>
      <c r="J5311">
        <v>-301.66980000000001</v>
      </c>
      <c r="K5311">
        <v>1.1047959999999999</v>
      </c>
      <c r="L5311">
        <v>-25.560790000000001</v>
      </c>
      <c r="M5311">
        <v>-6.4542139999999998E-2</v>
      </c>
      <c r="N5311">
        <v>0</v>
      </c>
      <c r="O5311">
        <v>-0.99782749999999998</v>
      </c>
      <c r="P5311">
        <v>0.197230399999999</v>
      </c>
      <c r="Q5311">
        <v>1.9758069999999999E-2</v>
      </c>
      <c r="R5311">
        <v>-0.98015779999999997</v>
      </c>
      <c r="S5311">
        <v>0.44885249999999999</v>
      </c>
      <c r="T5311">
        <v>-0.341331099999999</v>
      </c>
      <c r="U5311">
        <v>-2.9779049999999998</v>
      </c>
      <c r="V5311">
        <v>-0.26008179999999997</v>
      </c>
      <c r="W5311">
        <v>3.2545369999999997E-2</v>
      </c>
      <c r="X5311">
        <v>0.9650379</v>
      </c>
      <c r="Y5311">
        <v>-0.21162229999999899</v>
      </c>
      <c r="Z5311">
        <v>0.1116061</v>
      </c>
      <c r="AA5311">
        <v>0.9709584</v>
      </c>
      <c r="AB5311">
        <v>23</v>
      </c>
      <c r="AC5311">
        <v>1.4682000000000199</v>
      </c>
      <c r="AD5311">
        <v>-1.1047983911929999</v>
      </c>
      <c r="AE5311">
        <v>-9.4011999999999993</v>
      </c>
      <c r="AF5311">
        <v>-2.04440340600393</v>
      </c>
      <c r="AG5311">
        <v>-1.1047983911929999</v>
      </c>
      <c r="AH5311">
        <v>9.1632920435483705</v>
      </c>
      <c r="AI5311">
        <v>96.711396529423098</v>
      </c>
      <c r="AJ5311">
        <v>102.57715954210801</v>
      </c>
      <c r="AK5311">
        <v>9.4533637318691994</v>
      </c>
    </row>
    <row r="5312" spans="1:37" x14ac:dyDescent="0.2">
      <c r="A5312" t="str">
        <f>"20200111153537131"</f>
        <v>20200111153537131</v>
      </c>
      <c r="B5312" t="str">
        <f>"1578728137121139"</f>
        <v>1578728137121139</v>
      </c>
      <c r="C5312" t="s">
        <v>37</v>
      </c>
      <c r="D5312">
        <v>4.9394549999999997</v>
      </c>
      <c r="E5312">
        <v>0.52073080000000005</v>
      </c>
      <c r="F5312" t="s">
        <v>39</v>
      </c>
      <c r="G5312">
        <v>-300.39019999999999</v>
      </c>
      <c r="H5312" s="1">
        <v>-2.48644299999999E-6</v>
      </c>
      <c r="I5312">
        <v>-34.856909999999999</v>
      </c>
      <c r="J5312">
        <v>-301.6859</v>
      </c>
      <c r="K5312">
        <v>1.104865</v>
      </c>
      <c r="L5312">
        <v>-25.808109999999999</v>
      </c>
      <c r="M5312">
        <v>-6.4537600000000001E-2</v>
      </c>
      <c r="N5312">
        <v>0</v>
      </c>
      <c r="O5312">
        <v>-0.99782800000000005</v>
      </c>
      <c r="P5312">
        <v>0.19633020000000001</v>
      </c>
      <c r="Q5312">
        <v>1.9560319999999999E-2</v>
      </c>
      <c r="R5312">
        <v>-0.98034279999999996</v>
      </c>
      <c r="S5312">
        <v>0.41091919999999998</v>
      </c>
      <c r="T5312">
        <v>-0.35477639999999999</v>
      </c>
      <c r="U5312">
        <v>-2.9851990000000002</v>
      </c>
      <c r="V5312">
        <v>-0.25919599999999998</v>
      </c>
      <c r="W5312">
        <v>3.2309459999999998E-2</v>
      </c>
      <c r="X5312">
        <v>0.96528419999999904</v>
      </c>
      <c r="Y5312">
        <v>-0.19909649999999901</v>
      </c>
      <c r="Z5312">
        <v>0.1159237</v>
      </c>
      <c r="AA5312">
        <v>0.9730993</v>
      </c>
      <c r="AB5312">
        <v>23</v>
      </c>
      <c r="AC5312">
        <v>1.2957000000000101</v>
      </c>
      <c r="AD5312">
        <v>-1.1048674864429999</v>
      </c>
      <c r="AE5312">
        <v>-9.0488</v>
      </c>
      <c r="AF5312">
        <v>-1.85001004240628</v>
      </c>
      <c r="AG5312">
        <v>-1.1048674864429999</v>
      </c>
      <c r="AH5312">
        <v>8.8174881036543908</v>
      </c>
      <c r="AI5312">
        <v>96.991498776590802</v>
      </c>
      <c r="AJ5312">
        <v>101.849432389985</v>
      </c>
      <c r="AK5312">
        <v>9.0769689752521305</v>
      </c>
    </row>
    <row r="5313" spans="1:37" x14ac:dyDescent="0.2">
      <c r="A5313" t="str">
        <f>"20200111153537153"</f>
        <v>20200111153537153</v>
      </c>
      <c r="B5313" t="str">
        <f>"1578728137141635"</f>
        <v>1578728137141635</v>
      </c>
      <c r="C5313" t="s">
        <v>37</v>
      </c>
      <c r="D5313">
        <v>4.9489570000000001</v>
      </c>
      <c r="E5313">
        <v>0.52120379999999999</v>
      </c>
      <c r="F5313" t="s">
        <v>39</v>
      </c>
      <c r="G5313">
        <v>-300.45150000000001</v>
      </c>
      <c r="H5313" s="1">
        <v>-2.43782299999999E-6</v>
      </c>
      <c r="I5313">
        <v>-35.008270000000003</v>
      </c>
      <c r="J5313">
        <v>-301.7</v>
      </c>
      <c r="K5313">
        <v>1.10491299999999</v>
      </c>
      <c r="L5313">
        <v>-26.026209999999999</v>
      </c>
      <c r="M5313">
        <v>-6.4448729999999996E-2</v>
      </c>
      <c r="N5313">
        <v>0</v>
      </c>
      <c r="O5313">
        <v>-0.99783379999999999</v>
      </c>
      <c r="P5313">
        <v>0.19650000000000001</v>
      </c>
      <c r="Q5313">
        <v>1.809997E-2</v>
      </c>
      <c r="R5313">
        <v>-0.98033709999999996</v>
      </c>
      <c r="S5313">
        <v>0.40078740000000002</v>
      </c>
      <c r="T5313">
        <v>-0.35872229999999999</v>
      </c>
      <c r="U5313">
        <v>-2.9870610000000002</v>
      </c>
      <c r="V5313">
        <v>-0.25928289999999998</v>
      </c>
      <c r="W5313">
        <v>3.081532E-2</v>
      </c>
      <c r="X5313">
        <v>0.96530969999999905</v>
      </c>
      <c r="Y5313">
        <v>-0.19566549999999999</v>
      </c>
      <c r="Z5313">
        <v>0.117191899999999</v>
      </c>
      <c r="AA5313">
        <v>0.97364319999999904</v>
      </c>
      <c r="AB5313">
        <v>23</v>
      </c>
      <c r="AC5313">
        <v>1.24849999999997</v>
      </c>
      <c r="AD5313">
        <v>-1.10491543782299</v>
      </c>
      <c r="AE5313">
        <v>-8.9820600000000006</v>
      </c>
      <c r="AF5313">
        <v>-1.7981423390423099</v>
      </c>
      <c r="AG5313">
        <v>-1.10491543782299</v>
      </c>
      <c r="AH5313">
        <v>8.7529696258331597</v>
      </c>
      <c r="AI5313">
        <v>97.048900051571394</v>
      </c>
      <c r="AJ5313">
        <v>101.6088920776</v>
      </c>
      <c r="AK5313">
        <v>9.0038120408499207</v>
      </c>
    </row>
    <row r="5314" spans="1:37" x14ac:dyDescent="0.2">
      <c r="A5314" t="str">
        <f>"20200111153537174"</f>
        <v>20200111153537174</v>
      </c>
      <c r="B5314" t="str">
        <f>"1578728137170915"</f>
        <v>1578728137170915</v>
      </c>
      <c r="C5314" t="s">
        <v>37</v>
      </c>
      <c r="D5314">
        <v>4.9046269999999996</v>
      </c>
      <c r="E5314">
        <v>0.52137699999999998</v>
      </c>
      <c r="F5314" t="s">
        <v>39</v>
      </c>
      <c r="G5314">
        <v>-300.47989999999999</v>
      </c>
      <c r="H5314" s="1">
        <v>-2.363996E-6</v>
      </c>
      <c r="I5314">
        <v>-35.19802</v>
      </c>
      <c r="J5314">
        <v>-301.71429999999998</v>
      </c>
      <c r="K5314">
        <v>1.1049629999999999</v>
      </c>
      <c r="L5314">
        <v>-26.247920000000001</v>
      </c>
      <c r="M5314">
        <v>-6.4292150000000006E-2</v>
      </c>
      <c r="N5314">
        <v>0</v>
      </c>
      <c r="O5314">
        <v>-0.99784390000000001</v>
      </c>
      <c r="P5314">
        <v>0.1970065</v>
      </c>
      <c r="Q5314">
        <v>1.7125700000000001E-2</v>
      </c>
      <c r="R5314">
        <v>-0.98025260000000003</v>
      </c>
      <c r="S5314">
        <v>0.39736939999999998</v>
      </c>
      <c r="T5314">
        <v>-0.35985800000000001</v>
      </c>
      <c r="U5314">
        <v>-2.987152</v>
      </c>
      <c r="V5314">
        <v>-0.25963520000000001</v>
      </c>
      <c r="W5314">
        <v>2.9804890000000001E-2</v>
      </c>
      <c r="X5314">
        <v>0.96524669999999901</v>
      </c>
      <c r="Y5314">
        <v>-0.194407</v>
      </c>
      <c r="Z5314">
        <v>0.1175797</v>
      </c>
      <c r="AA5314">
        <v>0.97384850000000001</v>
      </c>
      <c r="AB5314">
        <v>23</v>
      </c>
      <c r="AC5314">
        <v>1.2343999999999899</v>
      </c>
      <c r="AD5314">
        <v>-1.104965363996</v>
      </c>
      <c r="AE5314">
        <v>-8.9500999999999902</v>
      </c>
      <c r="AF5314">
        <v>-1.7806824930291101</v>
      </c>
      <c r="AG5314">
        <v>-1.104965363996</v>
      </c>
      <c r="AH5314">
        <v>8.7217555937521691</v>
      </c>
      <c r="AI5314">
        <v>97.075932030184404</v>
      </c>
      <c r="AJ5314">
        <v>101.539239374217</v>
      </c>
      <c r="AK5314">
        <v>8.9699943831508797</v>
      </c>
    </row>
    <row r="5315" spans="1:37" x14ac:dyDescent="0.2">
      <c r="A5315" t="str">
        <f>"20200111153537197"</f>
        <v>20200111153537197</v>
      </c>
      <c r="B5315" t="str">
        <f>"1578728137191410"</f>
        <v>1578728137191410</v>
      </c>
      <c r="C5315" t="s">
        <v>37</v>
      </c>
      <c r="D5315">
        <v>4.9095659999999999</v>
      </c>
      <c r="E5315">
        <v>0.52108520000000003</v>
      </c>
      <c r="F5315" t="s">
        <v>39</v>
      </c>
      <c r="G5315">
        <v>-300.50420000000003</v>
      </c>
      <c r="H5315" s="1">
        <v>-2.3046389999999999E-6</v>
      </c>
      <c r="I5315">
        <v>-35.351430000000001</v>
      </c>
      <c r="J5315">
        <v>-301.72890000000001</v>
      </c>
      <c r="K5315">
        <v>1.1050249999999999</v>
      </c>
      <c r="L5315">
        <v>-26.478120000000001</v>
      </c>
      <c r="M5315">
        <v>-6.4073969999999994E-2</v>
      </c>
      <c r="N5315">
        <v>0</v>
      </c>
      <c r="O5315">
        <v>-0.99785780000000002</v>
      </c>
      <c r="P5315">
        <v>0.19753309999999999</v>
      </c>
      <c r="Q5315">
        <v>1.732156E-2</v>
      </c>
      <c r="R5315">
        <v>-0.98014330000000005</v>
      </c>
      <c r="S5315">
        <v>0.39703369999999999</v>
      </c>
      <c r="T5315">
        <v>-0.36255219999999999</v>
      </c>
      <c r="U5315">
        <v>-2.98696899999999</v>
      </c>
      <c r="V5315">
        <v>-0.25994679999999998</v>
      </c>
      <c r="W5315">
        <v>2.9964560000000001E-2</v>
      </c>
      <c r="X5315">
        <v>0.96515790000000001</v>
      </c>
      <c r="Y5315">
        <v>-0.194079</v>
      </c>
      <c r="Z5315">
        <v>0.1184617</v>
      </c>
      <c r="AA5315">
        <v>0.97380699999999998</v>
      </c>
      <c r="AB5315">
        <v>23</v>
      </c>
      <c r="AC5315">
        <v>1.2246999999999799</v>
      </c>
      <c r="AD5315">
        <v>-1.105027304639</v>
      </c>
      <c r="AE5315">
        <v>-8.87331</v>
      </c>
      <c r="AF5315">
        <v>-1.7639358323763299</v>
      </c>
      <c r="AG5315">
        <v>-1.105027304639</v>
      </c>
      <c r="AH5315">
        <v>8.6450286425238101</v>
      </c>
      <c r="AI5315">
        <v>97.138657037706395</v>
      </c>
      <c r="AJ5315">
        <v>101.532357284512</v>
      </c>
      <c r="AK5315">
        <v>8.8920793515800405</v>
      </c>
    </row>
    <row r="5316" spans="1:37" x14ac:dyDescent="0.2">
      <c r="A5316" t="str">
        <f>"20200111153537219"</f>
        <v>20200111153537219</v>
      </c>
      <c r="B5316" t="str">
        <f>"1578728137210930"</f>
        <v>1578728137210930</v>
      </c>
      <c r="C5316" t="s">
        <v>37</v>
      </c>
      <c r="D5316">
        <v>4.956823</v>
      </c>
      <c r="E5316">
        <v>0.52098849999999997</v>
      </c>
      <c r="F5316" t="s">
        <v>39</v>
      </c>
      <c r="G5316">
        <v>-300.49970000000002</v>
      </c>
      <c r="H5316" s="1">
        <v>-2.17621299999999E-6</v>
      </c>
      <c r="I5316">
        <v>-35.647979999999997</v>
      </c>
      <c r="J5316">
        <v>-301.7432</v>
      </c>
      <c r="K5316">
        <v>1.105078</v>
      </c>
      <c r="L5316">
        <v>-26.705109999999902</v>
      </c>
      <c r="M5316">
        <v>-6.3813659999999994E-2</v>
      </c>
      <c r="N5316">
        <v>0</v>
      </c>
      <c r="O5316">
        <v>-0.99787459999999994</v>
      </c>
      <c r="P5316">
        <v>0.19799449999999999</v>
      </c>
      <c r="Q5316">
        <v>1.7988259999999999E-2</v>
      </c>
      <c r="R5316">
        <v>-0.98003799999999996</v>
      </c>
      <c r="S5316">
        <v>0.40032960000000001</v>
      </c>
      <c r="T5316">
        <v>-0.35988619999999999</v>
      </c>
      <c r="U5316">
        <v>-2.98645</v>
      </c>
      <c r="V5316">
        <v>-0.26015159999999998</v>
      </c>
      <c r="W5316">
        <v>3.0602270000000001E-2</v>
      </c>
      <c r="X5316">
        <v>0.96508269999999996</v>
      </c>
      <c r="Y5316">
        <v>-0.19491459999999999</v>
      </c>
      <c r="Z5316">
        <v>0.1176077</v>
      </c>
      <c r="AA5316">
        <v>0.97374369999999999</v>
      </c>
      <c r="AB5316">
        <v>23</v>
      </c>
      <c r="AC5316">
        <v>1.2434999999999801</v>
      </c>
      <c r="AD5316">
        <v>-1.105080176213</v>
      </c>
      <c r="AE5316">
        <v>-8.9428699999999992</v>
      </c>
      <c r="AF5316">
        <v>-1.7849531321304399</v>
      </c>
      <c r="AG5316">
        <v>-1.105080176213</v>
      </c>
      <c r="AH5316">
        <v>8.7147323234190797</v>
      </c>
      <c r="AI5316">
        <v>97.081404371686801</v>
      </c>
      <c r="AJ5316">
        <v>101.57523902799301</v>
      </c>
      <c r="AK5316">
        <v>8.96402919164181</v>
      </c>
    </row>
    <row r="5317" spans="1:37" x14ac:dyDescent="0.2">
      <c r="A5317" t="str">
        <f>"20200111153537241"</f>
        <v>20200111153537241</v>
      </c>
      <c r="B5317" t="str">
        <f>"1578728137231426"</f>
        <v>1578728137231426</v>
      </c>
      <c r="C5317" t="s">
        <v>37</v>
      </c>
      <c r="D5317">
        <v>4.8675230000000003</v>
      </c>
      <c r="E5317">
        <v>0.52057120000000001</v>
      </c>
      <c r="F5317" t="s">
        <v>39</v>
      </c>
      <c r="G5317">
        <v>-300.49939999999998</v>
      </c>
      <c r="H5317" s="1">
        <v>-2.053127E-6</v>
      </c>
      <c r="I5317">
        <v>-35.934730000000002</v>
      </c>
      <c r="J5317">
        <v>-301.75740000000002</v>
      </c>
      <c r="K5317">
        <v>1.105111</v>
      </c>
      <c r="L5317">
        <v>-26.931609999999999</v>
      </c>
      <c r="M5317">
        <v>-6.351772E-2</v>
      </c>
      <c r="N5317">
        <v>0</v>
      </c>
      <c r="O5317">
        <v>-0.99789349999999999</v>
      </c>
      <c r="P5317">
        <v>0.1990265</v>
      </c>
      <c r="Q5317">
        <v>1.943597E-2</v>
      </c>
      <c r="R5317">
        <v>-0.97980149999999999</v>
      </c>
      <c r="S5317">
        <v>0.4024353</v>
      </c>
      <c r="T5317">
        <v>-0.3575624</v>
      </c>
      <c r="U5317">
        <v>-2.9863590000000002</v>
      </c>
      <c r="V5317">
        <v>-0.26088309999999998</v>
      </c>
      <c r="W5317">
        <v>3.2030650000000001E-2</v>
      </c>
      <c r="X5317">
        <v>0.96483890000000005</v>
      </c>
      <c r="Y5317">
        <v>-0.19531409999999999</v>
      </c>
      <c r="Z5317">
        <v>0.11685570000000001</v>
      </c>
      <c r="AA5317">
        <v>0.97375419999999901</v>
      </c>
      <c r="AB5317">
        <v>23</v>
      </c>
      <c r="AC5317">
        <v>1.25800000000003</v>
      </c>
      <c r="AD5317">
        <v>-1.1051130531269999</v>
      </c>
      <c r="AE5317">
        <v>-9.0031199999999991</v>
      </c>
      <c r="AF5317">
        <v>-1.80075431139188</v>
      </c>
      <c r="AG5317">
        <v>-1.1051130531269999</v>
      </c>
      <c r="AH5317">
        <v>8.7753385191012701</v>
      </c>
      <c r="AI5317">
        <v>97.032666967749194</v>
      </c>
      <c r="AJ5317">
        <v>101.596466436534</v>
      </c>
      <c r="AK5317">
        <v>9.02610420253448</v>
      </c>
    </row>
    <row r="5318" spans="1:37" x14ac:dyDescent="0.2">
      <c r="A5318" t="str">
        <f>"20200111153537263"</f>
        <v>20200111153537263</v>
      </c>
      <c r="B5318" t="str">
        <f>"1578728137261677"</f>
        <v>1578728137261677</v>
      </c>
      <c r="C5318" t="s">
        <v>37</v>
      </c>
      <c r="D5318">
        <v>4.9084859999999999</v>
      </c>
      <c r="E5318">
        <v>0.52023960000000002</v>
      </c>
      <c r="F5318" t="s">
        <v>39</v>
      </c>
      <c r="G5318">
        <v>-300.4726</v>
      </c>
      <c r="H5318" s="1">
        <v>-1.881703E-6</v>
      </c>
      <c r="I5318">
        <v>-36.317700000000002</v>
      </c>
      <c r="J5318">
        <v>-301.7715</v>
      </c>
      <c r="K5318">
        <v>1.1051200000000001</v>
      </c>
      <c r="L5318">
        <v>-27.160459999999901</v>
      </c>
      <c r="M5318">
        <v>-6.3196719999999998E-2</v>
      </c>
      <c r="N5318">
        <v>0</v>
      </c>
      <c r="O5318">
        <v>-0.99791399999999997</v>
      </c>
      <c r="P5318">
        <v>0.2009821</v>
      </c>
      <c r="Q5318">
        <v>2.0549810000000002E-2</v>
      </c>
      <c r="R5318">
        <v>-0.97937949999999996</v>
      </c>
      <c r="S5318">
        <v>0.40869139999999998</v>
      </c>
      <c r="T5318">
        <v>-0.351547099999999</v>
      </c>
      <c r="U5318">
        <v>-2.9858090000000002</v>
      </c>
      <c r="V5318">
        <v>-0.26249829999999902</v>
      </c>
      <c r="W5318">
        <v>3.3133469999999998E-2</v>
      </c>
      <c r="X5318">
        <v>0.96436350000000004</v>
      </c>
      <c r="Y5318">
        <v>-0.19705639999999999</v>
      </c>
      <c r="Z5318">
        <v>0.1149047</v>
      </c>
      <c r="AA5318">
        <v>0.97363529999999998</v>
      </c>
      <c r="AB5318">
        <v>23</v>
      </c>
      <c r="AC5318">
        <v>1.2988999999999999</v>
      </c>
      <c r="AD5318">
        <v>-1.105121881703</v>
      </c>
      <c r="AE5318">
        <v>-9.1572399999999998</v>
      </c>
      <c r="AF5318">
        <v>-1.8486673885435501</v>
      </c>
      <c r="AG5318">
        <v>-1.105121881703</v>
      </c>
      <c r="AH5318">
        <v>8.9293536772207407</v>
      </c>
      <c r="AI5318">
        <v>96.910133095902793</v>
      </c>
      <c r="AJ5318">
        <v>101.696844483649</v>
      </c>
      <c r="AK5318">
        <v>9.1854353505851201</v>
      </c>
    </row>
    <row r="5319" spans="1:37" x14ac:dyDescent="0.2">
      <c r="A5319" t="str">
        <f>"20200111153537287"</f>
        <v>20200111153537287</v>
      </c>
      <c r="B5319" t="str">
        <f>"1578728137281196"</f>
        <v>1578728137281196</v>
      </c>
      <c r="C5319" t="s">
        <v>37</v>
      </c>
      <c r="D5319">
        <v>4.7645140000000001</v>
      </c>
      <c r="E5319">
        <v>0.47549839999999999</v>
      </c>
      <c r="F5319" t="s">
        <v>39</v>
      </c>
      <c r="G5319">
        <v>-300.44490000000002</v>
      </c>
      <c r="H5319" s="1">
        <v>-1.724224E-6</v>
      </c>
      <c r="I5319">
        <v>-36.667639999999999</v>
      </c>
      <c r="J5319">
        <v>-301.786</v>
      </c>
      <c r="K5319">
        <v>1.1051150000000001</v>
      </c>
      <c r="L5319">
        <v>-27.395509999999899</v>
      </c>
      <c r="M5319">
        <v>-6.2859739999999997E-2</v>
      </c>
      <c r="N5319">
        <v>0</v>
      </c>
      <c r="O5319">
        <v>-0.99793529999999997</v>
      </c>
      <c r="P5319">
        <v>0.20416999999999999</v>
      </c>
      <c r="Q5319">
        <v>2.0666919999999998E-2</v>
      </c>
      <c r="R5319">
        <v>-0.97871749999999902</v>
      </c>
      <c r="S5319">
        <v>0.41650389999999998</v>
      </c>
      <c r="T5319">
        <v>-0.34697689999999998</v>
      </c>
      <c r="U5319">
        <v>-2.984985</v>
      </c>
      <c r="V5319">
        <v>-0.26531179999999999</v>
      </c>
      <c r="W5319">
        <v>3.3242130000000002E-2</v>
      </c>
      <c r="X5319">
        <v>0.96358940000000004</v>
      </c>
      <c r="Y5319">
        <v>-0.1992852</v>
      </c>
      <c r="Z5319">
        <v>0.1134192</v>
      </c>
      <c r="AA5319">
        <v>0.97335579999999999</v>
      </c>
      <c r="AB5319">
        <v>23</v>
      </c>
      <c r="AC5319">
        <v>1.34109999999998</v>
      </c>
      <c r="AD5319">
        <v>-1.1051167242240001</v>
      </c>
      <c r="AE5319">
        <v>-9.2721300000000006</v>
      </c>
      <c r="AF5319">
        <v>-1.8949741817308801</v>
      </c>
      <c r="AG5319">
        <v>-1.1051167242240001</v>
      </c>
      <c r="AH5319">
        <v>9.0436442651528601</v>
      </c>
      <c r="AI5319">
        <v>96.820224370456799</v>
      </c>
      <c r="AJ5319">
        <v>101.834345570612</v>
      </c>
      <c r="AK5319">
        <v>9.3058966101186797</v>
      </c>
    </row>
    <row r="5320" spans="1:37" x14ac:dyDescent="0.2">
      <c r="A5320" t="str">
        <f>"20200111153537309"</f>
        <v>20200111153537309</v>
      </c>
      <c r="B5320" t="str">
        <f>"1578728137300717"</f>
        <v>1578728137300717</v>
      </c>
      <c r="C5320" t="s">
        <v>37</v>
      </c>
      <c r="D5320">
        <v>4.7205649999999997</v>
      </c>
      <c r="E5320">
        <v>0.39987449999999902</v>
      </c>
      <c r="F5320" t="s">
        <v>39</v>
      </c>
      <c r="G5320">
        <v>-299.52809999999999</v>
      </c>
      <c r="H5320" s="1">
        <v>-2.0046639999999999E-6</v>
      </c>
      <c r="I5320">
        <v>-35.889429999999997</v>
      </c>
      <c r="J5320">
        <v>-301.79989999999998</v>
      </c>
      <c r="K5320">
        <v>1.1051</v>
      </c>
      <c r="L5320">
        <v>-27.622800000000002</v>
      </c>
      <c r="M5320">
        <v>-6.2541319999999997E-2</v>
      </c>
      <c r="N5320">
        <v>0</v>
      </c>
      <c r="O5320">
        <v>-0.99795529999999999</v>
      </c>
      <c r="P5320">
        <v>0.2083515</v>
      </c>
      <c r="Q5320">
        <v>1.9775560000000001E-2</v>
      </c>
      <c r="R5320">
        <v>-0.97785409999999995</v>
      </c>
      <c r="S5320">
        <v>0.77404790000000001</v>
      </c>
      <c r="T5320">
        <v>-0.37884179999999901</v>
      </c>
      <c r="U5320">
        <v>-2.9117739999999999</v>
      </c>
      <c r="V5320">
        <v>-0.26912209999999998</v>
      </c>
      <c r="W5320">
        <v>3.2342339999999997E-2</v>
      </c>
      <c r="X5320">
        <v>0.9625629</v>
      </c>
      <c r="Y5320">
        <v>-0.31488050000000001</v>
      </c>
      <c r="Z5320">
        <v>0.1232494</v>
      </c>
      <c r="AA5320">
        <v>0.94109509999999996</v>
      </c>
      <c r="AB5320">
        <v>23</v>
      </c>
      <c r="AC5320">
        <v>2.2717999999999798</v>
      </c>
      <c r="AD5320">
        <v>-1.1051020046639899</v>
      </c>
      <c r="AE5320">
        <v>-8.2666299999999904</v>
      </c>
      <c r="AF5320">
        <v>-2.7388931987825802</v>
      </c>
      <c r="AG5320">
        <v>-1.1051020046639899</v>
      </c>
      <c r="AH5320">
        <v>7.9758238308645399</v>
      </c>
      <c r="AI5320">
        <v>97.4657897872993</v>
      </c>
      <c r="AJ5320">
        <v>108.95244131733401</v>
      </c>
      <c r="AK5320">
        <v>8.5050897805982402</v>
      </c>
    </row>
    <row r="5321" spans="1:37" x14ac:dyDescent="0.2">
      <c r="A5321" t="str">
        <f>"20200111153537330"</f>
        <v>20200111153537330</v>
      </c>
      <c r="B5321" t="str">
        <f>"1578728137321212"</f>
        <v>1578728137321212</v>
      </c>
      <c r="C5321" t="s">
        <v>37</v>
      </c>
      <c r="D5321">
        <v>4.6604049999999999</v>
      </c>
      <c r="E5321">
        <v>0.3980283</v>
      </c>
      <c r="F5321" t="s">
        <v>40</v>
      </c>
      <c r="G5321">
        <v>-301.3777</v>
      </c>
      <c r="H5321">
        <v>1.0368269999999999</v>
      </c>
      <c r="I5321">
        <v>-28.467359999999999</v>
      </c>
      <c r="J5321">
        <v>-301.81360000000001</v>
      </c>
      <c r="K5321">
        <v>1.1050789999999999</v>
      </c>
      <c r="L5321">
        <v>-27.846889999999998</v>
      </c>
      <c r="M5321">
        <v>-6.224909E-2</v>
      </c>
      <c r="N5321">
        <v>0</v>
      </c>
      <c r="O5321">
        <v>-0.99797359999999902</v>
      </c>
      <c r="P5321">
        <v>0.21300340000000001</v>
      </c>
      <c r="Q5321">
        <v>1.941323E-2</v>
      </c>
      <c r="R5321">
        <v>-0.97685880000000003</v>
      </c>
      <c r="S5321">
        <v>1.388611</v>
      </c>
      <c r="T5321">
        <v>-0.22446329999999901</v>
      </c>
      <c r="U5321">
        <v>-2.7766109999999999</v>
      </c>
      <c r="V5321">
        <v>-0.27341979999999999</v>
      </c>
      <c r="W5321">
        <v>3.1971069999999997E-2</v>
      </c>
      <c r="X5321">
        <v>0.96136339999999998</v>
      </c>
      <c r="Y5321">
        <v>-0.50097060000000004</v>
      </c>
      <c r="Z5321">
        <v>7.0767750000000004E-2</v>
      </c>
      <c r="AA5321">
        <v>0.86256619999999995</v>
      </c>
      <c r="AB5321">
        <v>23</v>
      </c>
      <c r="AC5321">
        <v>0.43590000000000301</v>
      </c>
      <c r="AD5321">
        <v>-6.8252000000000201E-2</v>
      </c>
      <c r="AE5321">
        <v>-0.62046999999999697</v>
      </c>
      <c r="AF5321">
        <v>-0.46987481385343699</v>
      </c>
      <c r="AG5321">
        <v>-6.8252000000000201E-2</v>
      </c>
      <c r="AH5321">
        <v>0.58737111601179504</v>
      </c>
      <c r="AI5321">
        <v>95.184701959218103</v>
      </c>
      <c r="AJ5321">
        <v>128.65849498810499</v>
      </c>
      <c r="AK5321">
        <v>0.75527842821223501</v>
      </c>
    </row>
    <row r="5322" spans="1:37" x14ac:dyDescent="0.2">
      <c r="A5322" t="str">
        <f>"20200111153537353"</f>
        <v>20200111153537353</v>
      </c>
      <c r="B5322" t="str">
        <f>"1578728137351101"</f>
        <v>1578728137351101</v>
      </c>
      <c r="C5322" t="s">
        <v>37</v>
      </c>
      <c r="D5322">
        <v>4.5854309999999998</v>
      </c>
      <c r="E5322">
        <v>0.39831669999999902</v>
      </c>
      <c r="F5322" t="s">
        <v>40</v>
      </c>
      <c r="G5322">
        <v>-301.39139999999998</v>
      </c>
      <c r="H5322">
        <v>1.0398769999999999</v>
      </c>
      <c r="I5322">
        <v>-28.671609999999902</v>
      </c>
      <c r="J5322">
        <v>-301.82740000000001</v>
      </c>
      <c r="K5322">
        <v>1.1050500000000001</v>
      </c>
      <c r="L5322">
        <v>-28.074339999999999</v>
      </c>
      <c r="M5322">
        <v>-6.1985779999999997E-2</v>
      </c>
      <c r="N5322">
        <v>0</v>
      </c>
      <c r="O5322">
        <v>-0.99798980000000004</v>
      </c>
      <c r="P5322">
        <v>0.21705669999999999</v>
      </c>
      <c r="Q5322">
        <v>1.8423109999999999E-2</v>
      </c>
      <c r="R5322">
        <v>-0.97598510000000005</v>
      </c>
      <c r="S5322">
        <v>1.4167179999999999</v>
      </c>
      <c r="T5322">
        <v>-0.21872629999999901</v>
      </c>
      <c r="U5322">
        <v>-2.7665099999999998</v>
      </c>
      <c r="V5322">
        <v>-0.27715499999999998</v>
      </c>
      <c r="W5322">
        <v>3.0978800000000001E-2</v>
      </c>
      <c r="X5322">
        <v>0.96032569999999995</v>
      </c>
      <c r="Y5322">
        <v>-0.50901179999999902</v>
      </c>
      <c r="Z5322">
        <v>6.8871210000000002E-2</v>
      </c>
      <c r="AA5322">
        <v>0.85799989999999904</v>
      </c>
      <c r="AB5322">
        <v>23</v>
      </c>
      <c r="AC5322">
        <v>0.43600000000003503</v>
      </c>
      <c r="AD5322">
        <v>-6.5173000000000106E-2</v>
      </c>
      <c r="AE5322">
        <v>-0.59726999999999397</v>
      </c>
      <c r="AF5322">
        <v>-0.46854743601333498</v>
      </c>
      <c r="AG5322">
        <v>-6.5173000000000106E-2</v>
      </c>
      <c r="AH5322">
        <v>0.56470671743954104</v>
      </c>
      <c r="AI5322">
        <v>95.075600669521904</v>
      </c>
      <c r="AJ5322">
        <v>129.68311148015999</v>
      </c>
      <c r="AK5322">
        <v>0.736666747210035</v>
      </c>
    </row>
    <row r="5323" spans="1:37" x14ac:dyDescent="0.2">
      <c r="A5323" t="str">
        <f>"20200111153537376"</f>
        <v>20200111153537376</v>
      </c>
      <c r="B5323" t="str">
        <f>"1578728137370621"</f>
        <v>1578728137370621</v>
      </c>
      <c r="C5323" t="s">
        <v>37</v>
      </c>
      <c r="D5323">
        <v>4.5785939999999998</v>
      </c>
      <c r="E5323">
        <v>0.39879379999999998</v>
      </c>
      <c r="F5323" t="s">
        <v>40</v>
      </c>
      <c r="G5323">
        <v>-301.4126</v>
      </c>
      <c r="H5323">
        <v>1.0416110000000001</v>
      </c>
      <c r="I5323">
        <v>-28.87679</v>
      </c>
      <c r="J5323">
        <v>-301.84140000000002</v>
      </c>
      <c r="K5323">
        <v>1.1050249999999999</v>
      </c>
      <c r="L5323">
        <v>-28.304079999999999</v>
      </c>
      <c r="M5323">
        <v>-6.1754700000000003E-2</v>
      </c>
      <c r="N5323">
        <v>0</v>
      </c>
      <c r="O5323">
        <v>-0.99800429999999996</v>
      </c>
      <c r="P5323">
        <v>0.22014989999999901</v>
      </c>
      <c r="Q5323">
        <v>1.7436449999999999E-2</v>
      </c>
      <c r="R5323">
        <v>-0.97531060000000003</v>
      </c>
      <c r="S5323">
        <v>1.4264829999999999</v>
      </c>
      <c r="T5323">
        <v>-0.2182462</v>
      </c>
      <c r="U5323">
        <v>-2.7606809999999999</v>
      </c>
      <c r="V5323">
        <v>-0.27997620000000001</v>
      </c>
      <c r="W5323">
        <v>2.9997449999999998E-2</v>
      </c>
      <c r="X5323">
        <v>0.95953820000000001</v>
      </c>
      <c r="Y5323">
        <v>-0.51194759999999995</v>
      </c>
      <c r="Z5323">
        <v>6.8734009999999998E-2</v>
      </c>
      <c r="AA5323">
        <v>0.85626239999999998</v>
      </c>
      <c r="AB5323">
        <v>23</v>
      </c>
      <c r="AC5323">
        <v>0.428800000000023</v>
      </c>
      <c r="AD5323">
        <v>-6.3413999999999804E-2</v>
      </c>
      <c r="AE5323">
        <v>-0.57271000000000405</v>
      </c>
      <c r="AF5323">
        <v>-0.45974021702048001</v>
      </c>
      <c r="AG5323">
        <v>-6.3413999999999804E-2</v>
      </c>
      <c r="AH5323">
        <v>0.540884683240204</v>
      </c>
      <c r="AI5323">
        <v>95.104778161794698</v>
      </c>
      <c r="AJ5323">
        <v>130.36381312302501</v>
      </c>
      <c r="AK5323">
        <v>0.71269814304928103</v>
      </c>
    </row>
    <row r="5324" spans="1:37" x14ac:dyDescent="0.2">
      <c r="A5324" t="str">
        <f>"20200111153537397"</f>
        <v>20200111153537397</v>
      </c>
      <c r="B5324" t="str">
        <f>"1578728137391118"</f>
        <v>1578728137391118</v>
      </c>
      <c r="C5324" t="s">
        <v>37</v>
      </c>
      <c r="D5324">
        <v>4.5153749999999997</v>
      </c>
      <c r="E5324">
        <v>0.39930500000000002</v>
      </c>
      <c r="F5324" t="s">
        <v>40</v>
      </c>
      <c r="G5324">
        <v>-301.43729999999999</v>
      </c>
      <c r="H5324">
        <v>1.042211</v>
      </c>
      <c r="I5324">
        <v>-29.082329999999999</v>
      </c>
      <c r="J5324">
        <v>-301.85520000000002</v>
      </c>
      <c r="K5324">
        <v>1.104997</v>
      </c>
      <c r="L5324">
        <v>-28.53247</v>
      </c>
      <c r="M5324">
        <v>-6.1552170000000003E-2</v>
      </c>
      <c r="N5324">
        <v>0</v>
      </c>
      <c r="O5324">
        <v>-0.99801679999999904</v>
      </c>
      <c r="P5324">
        <v>0.2235712</v>
      </c>
      <c r="Q5324">
        <v>1.7234820000000001E-2</v>
      </c>
      <c r="R5324">
        <v>-0.97453539999999905</v>
      </c>
      <c r="S5324">
        <v>1.431</v>
      </c>
      <c r="T5324">
        <v>-0.22251460000000001</v>
      </c>
      <c r="U5324">
        <v>-2.7569270000000001</v>
      </c>
      <c r="V5324">
        <v>-0.28314620000000001</v>
      </c>
      <c r="W5324">
        <v>2.9799639999999999E-2</v>
      </c>
      <c r="X5324">
        <v>0.95861369999999901</v>
      </c>
      <c r="Y5324">
        <v>-0.51330949999999997</v>
      </c>
      <c r="Z5324">
        <v>7.0100780000000001E-2</v>
      </c>
      <c r="AA5324">
        <v>0.85533579999999998</v>
      </c>
      <c r="AB5324">
        <v>23</v>
      </c>
      <c r="AC5324">
        <v>0.41790000000003102</v>
      </c>
      <c r="AD5324">
        <v>-6.2785999999999995E-2</v>
      </c>
      <c r="AE5324">
        <v>-0.54985999999999802</v>
      </c>
      <c r="AF5324">
        <v>-0.447259087571724</v>
      </c>
      <c r="AG5324">
        <v>-6.2785999999999995E-2</v>
      </c>
      <c r="AH5324">
        <v>0.51880463304845403</v>
      </c>
      <c r="AI5324">
        <v>95.237150668410393</v>
      </c>
      <c r="AJ5324">
        <v>130.76447405598401</v>
      </c>
      <c r="AK5324">
        <v>0.687852469999223</v>
      </c>
    </row>
    <row r="5325" spans="1:37" x14ac:dyDescent="0.2">
      <c r="A5325" t="str">
        <f>"20200111153537420"</f>
        <v>20200111153537420</v>
      </c>
      <c r="B5325" t="str">
        <f>"1578728137410638"</f>
        <v>1578728137410638</v>
      </c>
      <c r="C5325" t="s">
        <v>37</v>
      </c>
      <c r="D5325">
        <v>4.6884600000000001</v>
      </c>
      <c r="E5325">
        <v>0.39988420000000002</v>
      </c>
      <c r="F5325" t="s">
        <v>40</v>
      </c>
      <c r="G5325">
        <v>-301.46120000000002</v>
      </c>
      <c r="H5325">
        <v>1.043636</v>
      </c>
      <c r="I5325">
        <v>-29.287579999999998</v>
      </c>
      <c r="J5325">
        <v>-301.86880000000002</v>
      </c>
      <c r="K5325">
        <v>1.104984</v>
      </c>
      <c r="L5325">
        <v>-28.75592</v>
      </c>
      <c r="M5325">
        <v>-6.1357780000000001E-2</v>
      </c>
      <c r="N5325">
        <v>0</v>
      </c>
      <c r="O5325">
        <v>-0.99802880000000005</v>
      </c>
      <c r="P5325">
        <v>0.22693429999999901</v>
      </c>
      <c r="Q5325">
        <v>1.8519259999999999E-2</v>
      </c>
      <c r="R5325">
        <v>-0.97373399999999999</v>
      </c>
      <c r="S5325">
        <v>1.4362790000000001</v>
      </c>
      <c r="T5325">
        <v>-0.22369829999999899</v>
      </c>
      <c r="U5325">
        <v>-2.7528380000000001</v>
      </c>
      <c r="V5325">
        <v>-0.28626599999999902</v>
      </c>
      <c r="W5325">
        <v>3.107936E-2</v>
      </c>
      <c r="X5325">
        <v>0.957645999999999</v>
      </c>
      <c r="Y5325">
        <v>-0.51493820000000001</v>
      </c>
      <c r="Z5325">
        <v>7.0498820000000004E-2</v>
      </c>
      <c r="AA5325">
        <v>0.85432339999999996</v>
      </c>
      <c r="AB5325">
        <v>23</v>
      </c>
      <c r="AC5325">
        <v>0.40760000000000202</v>
      </c>
      <c r="AD5325">
        <v>-6.1347999999999903E-2</v>
      </c>
      <c r="AE5325">
        <v>-0.53165999999999802</v>
      </c>
      <c r="AF5325">
        <v>-0.435801619326871</v>
      </c>
      <c r="AG5325">
        <v>-6.1347999999999903E-2</v>
      </c>
      <c r="AH5325">
        <v>0.50144146703004999</v>
      </c>
      <c r="AI5325">
        <v>95.275861960165699</v>
      </c>
      <c r="AJ5325">
        <v>130.99382977770199</v>
      </c>
      <c r="AK5325">
        <v>0.66718076513728397</v>
      </c>
    </row>
    <row r="5326" spans="1:37" x14ac:dyDescent="0.2">
      <c r="A5326" t="str">
        <f>"20200111153537442"</f>
        <v>20200111153537442</v>
      </c>
      <c r="B5326" t="str">
        <f>"1578728137431133"</f>
        <v>1578728137431133</v>
      </c>
      <c r="C5326" t="s">
        <v>37</v>
      </c>
      <c r="D5326">
        <v>4.6945870000000003</v>
      </c>
      <c r="E5326">
        <v>0.4004103</v>
      </c>
      <c r="F5326" t="s">
        <v>40</v>
      </c>
      <c r="G5326">
        <v>-301.38470000000001</v>
      </c>
      <c r="H5326">
        <v>1.032545</v>
      </c>
      <c r="I5326">
        <v>-29.67877</v>
      </c>
      <c r="J5326">
        <v>-301.88240000000002</v>
      </c>
      <c r="K5326">
        <v>1.105</v>
      </c>
      <c r="L5326">
        <v>-28.983000000000001</v>
      </c>
      <c r="M5326">
        <v>-6.1126029999999998E-2</v>
      </c>
      <c r="N5326">
        <v>0</v>
      </c>
      <c r="O5326">
        <v>-0.99804309999999996</v>
      </c>
      <c r="P5326">
        <v>0.230488099999999</v>
      </c>
      <c r="Q5326">
        <v>1.919705E-2</v>
      </c>
      <c r="R5326">
        <v>-0.97288609999999898</v>
      </c>
      <c r="S5326">
        <v>1.441406</v>
      </c>
      <c r="T5326">
        <v>-0.21578510000000001</v>
      </c>
      <c r="U5326">
        <v>-2.7490839999999999</v>
      </c>
      <c r="V5326">
        <v>-0.28953979999999901</v>
      </c>
      <c r="W5326">
        <v>3.1733740000000003E-2</v>
      </c>
      <c r="X5326">
        <v>0.95663980000000004</v>
      </c>
      <c r="Y5326">
        <v>-0.5165476</v>
      </c>
      <c r="Z5326">
        <v>6.8039160000000001E-2</v>
      </c>
      <c r="AA5326">
        <v>0.85355099999999995</v>
      </c>
      <c r="AB5326">
        <v>23</v>
      </c>
      <c r="AC5326">
        <v>0.49770000000000802</v>
      </c>
      <c r="AD5326">
        <v>-7.2454999999999894E-2</v>
      </c>
      <c r="AE5326">
        <v>-0.695769999999999</v>
      </c>
      <c r="AF5326">
        <v>-0.53546127447500902</v>
      </c>
      <c r="AG5326">
        <v>-7.2454999999999894E-2</v>
      </c>
      <c r="AH5326">
        <v>0.65931393232150803</v>
      </c>
      <c r="AI5326">
        <v>94.875831319512898</v>
      </c>
      <c r="AJ5326">
        <v>129.08174946934599</v>
      </c>
      <c r="AK5326">
        <v>0.85244552015988095</v>
      </c>
    </row>
    <row r="5327" spans="1:37" x14ac:dyDescent="0.2">
      <c r="A5327" t="str">
        <f>"20200111153537464"</f>
        <v>20200111153537464</v>
      </c>
      <c r="B5327" t="str">
        <f>"1578728137461020"</f>
        <v>1578728137461020</v>
      </c>
      <c r="C5327" t="s">
        <v>37</v>
      </c>
      <c r="D5327">
        <v>4.5658199999999898</v>
      </c>
      <c r="E5327">
        <v>0.401018599999999</v>
      </c>
      <c r="F5327" t="s">
        <v>40</v>
      </c>
      <c r="G5327">
        <v>-301.40780000000001</v>
      </c>
      <c r="H5327">
        <v>1.037982</v>
      </c>
      <c r="I5327">
        <v>-29.883389999999999</v>
      </c>
      <c r="J5327">
        <v>-301.89589999999998</v>
      </c>
      <c r="K5327">
        <v>1.1050439999999999</v>
      </c>
      <c r="L5327">
        <v>-29.208739999999999</v>
      </c>
      <c r="M5327">
        <v>-6.084676E-2</v>
      </c>
      <c r="N5327">
        <v>0</v>
      </c>
      <c r="O5327">
        <v>-0.99805999999999995</v>
      </c>
      <c r="P5327">
        <v>0.2336811</v>
      </c>
      <c r="Q5327">
        <v>1.8844489999999998E-2</v>
      </c>
      <c r="R5327">
        <v>-0.97213079999999996</v>
      </c>
      <c r="S5327">
        <v>1.447754</v>
      </c>
      <c r="T5327">
        <v>-0.2043015</v>
      </c>
      <c r="U5327">
        <v>-2.744659</v>
      </c>
      <c r="V5327">
        <v>-0.29241590000000001</v>
      </c>
      <c r="W5327">
        <v>3.1343389999999999E-2</v>
      </c>
      <c r="X5327">
        <v>0.95577749999999995</v>
      </c>
      <c r="Y5327">
        <v>-0.51853070000000001</v>
      </c>
      <c r="Z5327">
        <v>6.445555E-2</v>
      </c>
      <c r="AA5327">
        <v>0.852626199999999</v>
      </c>
      <c r="AB5327">
        <v>23</v>
      </c>
      <c r="AC5327">
        <v>0.488099999999974</v>
      </c>
      <c r="AD5327">
        <v>-6.7062000000000094E-2</v>
      </c>
      <c r="AE5327">
        <v>-0.67464999999999897</v>
      </c>
      <c r="AF5327">
        <v>-0.52484517492703697</v>
      </c>
      <c r="AG5327">
        <v>-6.7062000000000094E-2</v>
      </c>
      <c r="AH5327">
        <v>0.63954977003310498</v>
      </c>
      <c r="AI5327">
        <v>94.634130664247607</v>
      </c>
      <c r="AJ5327">
        <v>129.37394233774799</v>
      </c>
      <c r="AK5327">
        <v>0.83005040680526698</v>
      </c>
    </row>
    <row r="5328" spans="1:37" x14ac:dyDescent="0.2">
      <c r="A5328" t="str">
        <f>"20200111153537487"</f>
        <v>20200111153537487</v>
      </c>
      <c r="B5328" t="str">
        <f>"1578728137481516"</f>
        <v>1578728137481516</v>
      </c>
      <c r="C5328" t="s">
        <v>37</v>
      </c>
      <c r="D5328">
        <v>4.5948989999999998</v>
      </c>
      <c r="E5328">
        <v>0.40145219999999998</v>
      </c>
      <c r="F5328" t="s">
        <v>40</v>
      </c>
      <c r="G5328">
        <v>-301.43009999999998</v>
      </c>
      <c r="H5328">
        <v>1.0417130000000001</v>
      </c>
      <c r="I5328">
        <v>-30.0876599999999</v>
      </c>
      <c r="J5328">
        <v>-301.90969999999999</v>
      </c>
      <c r="K5328">
        <v>1.105108</v>
      </c>
      <c r="L5328">
        <v>-29.441409999999902</v>
      </c>
      <c r="M5328">
        <v>-6.0452499999999999E-2</v>
      </c>
      <c r="N5328">
        <v>0</v>
      </c>
      <c r="O5328">
        <v>-0.99808419999999898</v>
      </c>
      <c r="P5328">
        <v>0.23560410000000001</v>
      </c>
      <c r="Q5328">
        <v>1.792303E-2</v>
      </c>
      <c r="R5328">
        <v>-0.971684199999999</v>
      </c>
      <c r="S5328">
        <v>1.4526059999999901</v>
      </c>
      <c r="T5328">
        <v>-0.19747719999999999</v>
      </c>
      <c r="U5328">
        <v>-2.7406619999999999</v>
      </c>
      <c r="V5328">
        <v>-0.29393520000000001</v>
      </c>
      <c r="W5328">
        <v>3.036492E-2</v>
      </c>
      <c r="X5328">
        <v>0.95534289999999999</v>
      </c>
      <c r="Y5328">
        <v>-0.51994859999999998</v>
      </c>
      <c r="Z5328">
        <v>6.2341859999999999E-2</v>
      </c>
      <c r="AA5328">
        <v>0.8519196</v>
      </c>
      <c r="AB5328">
        <v>23</v>
      </c>
      <c r="AC5328">
        <v>0.47960000000000402</v>
      </c>
      <c r="AD5328">
        <v>-6.3395000000000007E-2</v>
      </c>
      <c r="AE5328">
        <v>-0.64624999999999799</v>
      </c>
      <c r="AF5328">
        <v>-0.51460023800374899</v>
      </c>
      <c r="AG5328">
        <v>-6.3395000000000007E-2</v>
      </c>
      <c r="AH5328">
        <v>0.61227295199883103</v>
      </c>
      <c r="AI5328">
        <v>94.531951891895503</v>
      </c>
      <c r="AJ5328">
        <v>130.04621914805</v>
      </c>
      <c r="AK5328">
        <v>0.80231571013403402</v>
      </c>
    </row>
    <row r="5329" spans="1:37" x14ac:dyDescent="0.2">
      <c r="A5329" t="str">
        <f>"20200111153537509"</f>
        <v>20200111153537509</v>
      </c>
      <c r="B5329" t="str">
        <f>"1578728137501036"</f>
        <v>1578728137501036</v>
      </c>
      <c r="C5329" t="s">
        <v>37</v>
      </c>
      <c r="D5329">
        <v>4.6116619999999999</v>
      </c>
      <c r="E5329">
        <v>0.40188669999999999</v>
      </c>
      <c r="F5329" t="s">
        <v>40</v>
      </c>
      <c r="G5329">
        <v>-301.45780000000002</v>
      </c>
      <c r="H5329">
        <v>1.043841</v>
      </c>
      <c r="I5329">
        <v>-30.292509999999901</v>
      </c>
      <c r="J5329">
        <v>-301.92290000000003</v>
      </c>
      <c r="K5329">
        <v>1.1052230000000001</v>
      </c>
      <c r="L5329">
        <v>-29.66742</v>
      </c>
      <c r="M5329">
        <v>-5.989046E-2</v>
      </c>
      <c r="N5329">
        <v>0</v>
      </c>
      <c r="O5329">
        <v>-0.99811819999999896</v>
      </c>
      <c r="P5329">
        <v>0.23571610000000001</v>
      </c>
      <c r="Q5329">
        <v>1.645841E-2</v>
      </c>
      <c r="R5329">
        <v>-0.97168279999999996</v>
      </c>
      <c r="S5329">
        <v>1.454895</v>
      </c>
      <c r="T5329">
        <v>-0.1971242</v>
      </c>
      <c r="U5329">
        <v>-2.7382810000000002</v>
      </c>
      <c r="V5329">
        <v>-0.29351630000000001</v>
      </c>
      <c r="W5329">
        <v>2.8823499999999998E-2</v>
      </c>
      <c r="X5329">
        <v>0.95551939999999902</v>
      </c>
      <c r="Y5329">
        <v>-0.52033200000000002</v>
      </c>
      <c r="Z5329">
        <v>6.2262720000000001E-2</v>
      </c>
      <c r="AA5329">
        <v>0.85169119999999998</v>
      </c>
      <c r="AB5329">
        <v>23</v>
      </c>
      <c r="AC5329">
        <v>0.46510000000000601</v>
      </c>
      <c r="AD5329">
        <v>-6.1381999999999999E-2</v>
      </c>
      <c r="AE5329">
        <v>-0.62508999999999604</v>
      </c>
      <c r="AF5329">
        <v>-0.49861047483779197</v>
      </c>
      <c r="AG5329">
        <v>-6.1381999999999999E-2</v>
      </c>
      <c r="AH5329">
        <v>0.59243328002060203</v>
      </c>
      <c r="AI5329">
        <v>94.532412256901395</v>
      </c>
      <c r="AJ5329">
        <v>130.085019813516</v>
      </c>
      <c r="AK5329">
        <v>0.77676080412050796</v>
      </c>
    </row>
    <row r="5330" spans="1:37" x14ac:dyDescent="0.2">
      <c r="A5330" t="str">
        <f>"20200111153537532"</f>
        <v>20200111153537532</v>
      </c>
      <c r="B5330" t="str">
        <f>"1578728137521533"</f>
        <v>1578728137521533</v>
      </c>
      <c r="C5330" t="s">
        <v>37</v>
      </c>
      <c r="D5330">
        <v>4.5898820000000002</v>
      </c>
      <c r="E5330">
        <v>0.40218320000000002</v>
      </c>
      <c r="F5330" t="s">
        <v>40</v>
      </c>
      <c r="G5330">
        <v>-301.48320000000001</v>
      </c>
      <c r="H5330">
        <v>1.0440339999999999</v>
      </c>
      <c r="I5330">
        <v>-30.496729999999999</v>
      </c>
      <c r="J5330">
        <v>-301.93529999999998</v>
      </c>
      <c r="K5330">
        <v>1.105375</v>
      </c>
      <c r="L5330">
        <v>-29.888059999999999</v>
      </c>
      <c r="M5330">
        <v>-5.9092260000000001E-2</v>
      </c>
      <c r="N5330">
        <v>0</v>
      </c>
      <c r="O5330">
        <v>-0.99816539999999998</v>
      </c>
      <c r="P5330">
        <v>0.2345911</v>
      </c>
      <c r="Q5330">
        <v>1.653495E-2</v>
      </c>
      <c r="R5330">
        <v>-0.97195330000000002</v>
      </c>
      <c r="S5330">
        <v>1.45166</v>
      </c>
      <c r="T5330">
        <v>-0.20206979999999999</v>
      </c>
      <c r="U5330">
        <v>-2.7387079999999999</v>
      </c>
      <c r="V5330">
        <v>-0.29165559999999902</v>
      </c>
      <c r="W5330">
        <v>2.8799189999999999E-2</v>
      </c>
      <c r="X5330">
        <v>0.95608969999999904</v>
      </c>
      <c r="Y5330">
        <v>-0.51876120000000003</v>
      </c>
      <c r="Z5330">
        <v>6.3863059999999999E-2</v>
      </c>
      <c r="AA5330">
        <v>0.85253060000000003</v>
      </c>
      <c r="AB5330">
        <v>23</v>
      </c>
      <c r="AC5330">
        <v>0.45209999999997302</v>
      </c>
      <c r="AD5330">
        <v>-6.1341E-2</v>
      </c>
      <c r="AE5330">
        <v>-0.60866999999999905</v>
      </c>
      <c r="AF5330">
        <v>-0.48411198693332402</v>
      </c>
      <c r="AG5330">
        <v>-6.1341E-2</v>
      </c>
      <c r="AH5330">
        <v>0.57711088294371704</v>
      </c>
      <c r="AI5330">
        <v>94.655468665026604</v>
      </c>
      <c r="AJ5330">
        <v>129.991752746125</v>
      </c>
      <c r="AK5330">
        <v>0.75576722963198595</v>
      </c>
    </row>
    <row r="5331" spans="1:37" x14ac:dyDescent="0.2">
      <c r="A5331" t="str">
        <f>"20200111153537556"</f>
        <v>20200111153537556</v>
      </c>
      <c r="B5331" t="str">
        <f>"1578728137550813"</f>
        <v>1578728137550813</v>
      </c>
      <c r="C5331" t="s">
        <v>37</v>
      </c>
      <c r="D5331">
        <v>4.6167550000000004</v>
      </c>
      <c r="E5331">
        <v>0.40253679999999997</v>
      </c>
      <c r="F5331" t="s">
        <v>40</v>
      </c>
      <c r="G5331">
        <v>-301.50700000000001</v>
      </c>
      <c r="H5331">
        <v>1.045007</v>
      </c>
      <c r="I5331">
        <v>-30.700429999999901</v>
      </c>
      <c r="J5331">
        <v>-301.94839999999999</v>
      </c>
      <c r="K5331">
        <v>1.1056049999999999</v>
      </c>
      <c r="L5331">
        <v>-30.130369999999999</v>
      </c>
      <c r="M5331">
        <v>-5.7863829999999998E-2</v>
      </c>
      <c r="N5331">
        <v>0</v>
      </c>
      <c r="O5331">
        <v>-0.99823739999999905</v>
      </c>
      <c r="P5331">
        <v>0.23379369999999999</v>
      </c>
      <c r="Q5331">
        <v>1.8214049999999999E-2</v>
      </c>
      <c r="R5331">
        <v>-0.97211569999999903</v>
      </c>
      <c r="S5331">
        <v>1.4456180000000001</v>
      </c>
      <c r="T5331">
        <v>-0.2037033</v>
      </c>
      <c r="U5331">
        <v>-2.7411189999999999</v>
      </c>
      <c r="V5331">
        <v>-0.2897111</v>
      </c>
      <c r="W5331">
        <v>3.0329169999999999E-2</v>
      </c>
      <c r="X5331">
        <v>0.95663339999999997</v>
      </c>
      <c r="Y5331">
        <v>-0.51591100000000001</v>
      </c>
      <c r="Z5331">
        <v>6.4425549999999998E-2</v>
      </c>
      <c r="AA5331">
        <v>0.85421619999999998</v>
      </c>
      <c r="AB5331">
        <v>23</v>
      </c>
      <c r="AC5331">
        <v>0.44139999999998702</v>
      </c>
      <c r="AD5331">
        <v>-6.0597999999999902E-2</v>
      </c>
      <c r="AE5331">
        <v>-0.57005999999999402</v>
      </c>
      <c r="AF5331">
        <v>-0.470326424531118</v>
      </c>
      <c r="AG5331">
        <v>-6.0597999999999902E-2</v>
      </c>
      <c r="AH5331">
        <v>0.53974834934299398</v>
      </c>
      <c r="AI5331">
        <v>94.838214126750003</v>
      </c>
      <c r="AJ5331">
        <v>131.06827329575</v>
      </c>
      <c r="AK5331">
        <v>0.71847570859056398</v>
      </c>
    </row>
    <row r="5332" spans="1:37" x14ac:dyDescent="0.2">
      <c r="A5332" t="str">
        <f>"20200111153537577"</f>
        <v>20200111153537577</v>
      </c>
      <c r="B5332" t="str">
        <f>"1578728137571308"</f>
        <v>1578728137571308</v>
      </c>
      <c r="C5332" t="s">
        <v>37</v>
      </c>
      <c r="D5332">
        <v>4.5947100000000001</v>
      </c>
      <c r="E5332">
        <v>0.40264719999999998</v>
      </c>
      <c r="F5332" t="s">
        <v>40</v>
      </c>
      <c r="G5332">
        <v>-301.54140000000001</v>
      </c>
      <c r="H5332">
        <v>1.048942</v>
      </c>
      <c r="I5332">
        <v>-30.905539999999998</v>
      </c>
      <c r="J5332">
        <v>-301.95940000000002</v>
      </c>
      <c r="K5332">
        <v>1.105855</v>
      </c>
      <c r="L5332">
        <v>-30.34393</v>
      </c>
      <c r="M5332">
        <v>-5.6421720000000002E-2</v>
      </c>
      <c r="N5332">
        <v>0</v>
      </c>
      <c r="O5332">
        <v>-0.99831979999999998</v>
      </c>
      <c r="P5332">
        <v>0.23333770000000001</v>
      </c>
      <c r="Q5332">
        <v>1.962525E-2</v>
      </c>
      <c r="R5332">
        <v>-0.97219769999999905</v>
      </c>
      <c r="S5332">
        <v>1.440674</v>
      </c>
      <c r="T5332">
        <v>-0.20053260000000001</v>
      </c>
      <c r="U5332">
        <v>-2.7433169999999998</v>
      </c>
      <c r="V5332">
        <v>-0.2878985</v>
      </c>
      <c r="W5332">
        <v>3.1588369999999998E-2</v>
      </c>
      <c r="X5332">
        <v>0.95713979999999999</v>
      </c>
      <c r="Y5332">
        <v>-0.51321269999999997</v>
      </c>
      <c r="Z5332">
        <v>6.3471669999999994E-2</v>
      </c>
      <c r="AA5332">
        <v>0.85591130000000004</v>
      </c>
      <c r="AB5332">
        <v>23</v>
      </c>
      <c r="AC5332">
        <v>0.41800000000000598</v>
      </c>
      <c r="AD5332">
        <v>-5.6912999999999901E-2</v>
      </c>
      <c r="AE5332">
        <v>-0.56161000000000105</v>
      </c>
      <c r="AF5332">
        <v>-0.44607582975751803</v>
      </c>
      <c r="AG5332">
        <v>-5.6912999999999901E-2</v>
      </c>
      <c r="AH5332">
        <v>0.53360249600634801</v>
      </c>
      <c r="AI5332">
        <v>94.678133694243201</v>
      </c>
      <c r="AJ5332">
        <v>129.89462110461</v>
      </c>
      <c r="AK5332">
        <v>0.69782115130387301</v>
      </c>
    </row>
    <row r="5333" spans="1:37" x14ac:dyDescent="0.2">
      <c r="A5333" t="str">
        <f>"20200111153537599"</f>
        <v>20200111153537599</v>
      </c>
      <c r="B5333" t="str">
        <f>"1578728137590828"</f>
        <v>1578728137590828</v>
      </c>
      <c r="C5333" t="s">
        <v>37</v>
      </c>
      <c r="D5333">
        <v>4.6064669999999897</v>
      </c>
      <c r="E5333">
        <v>0.40257909999999902</v>
      </c>
      <c r="F5333" t="s">
        <v>40</v>
      </c>
      <c r="G5333">
        <v>-301.5591</v>
      </c>
      <c r="H5333">
        <v>1.0511509999999999</v>
      </c>
      <c r="I5333">
        <v>-31.107800000000001</v>
      </c>
      <c r="J5333">
        <v>-301.97019999999998</v>
      </c>
      <c r="K5333">
        <v>1.106136</v>
      </c>
      <c r="L5333">
        <v>-30.568629999999999</v>
      </c>
      <c r="M5333">
        <v>-5.4532949999999997E-2</v>
      </c>
      <c r="N5333">
        <v>0</v>
      </c>
      <c r="O5333">
        <v>-0.99842469999999905</v>
      </c>
      <c r="P5333">
        <v>0.23325209999999999</v>
      </c>
      <c r="Q5333">
        <v>2.2291020000000002E-2</v>
      </c>
      <c r="R5333">
        <v>-0.97216080000000005</v>
      </c>
      <c r="S5333">
        <v>1.438812</v>
      </c>
      <c r="T5333">
        <v>-0.19654929999999901</v>
      </c>
      <c r="U5333">
        <v>-2.7444459999999999</v>
      </c>
      <c r="V5333">
        <v>-0.28602699999999998</v>
      </c>
      <c r="W5333">
        <v>3.408899E-2</v>
      </c>
      <c r="X5333">
        <v>0.95761499999999999</v>
      </c>
      <c r="Y5333">
        <v>-0.51102420000000004</v>
      </c>
      <c r="Z5333">
        <v>6.2257779999999999E-2</v>
      </c>
      <c r="AA5333">
        <v>0.85730869999999904</v>
      </c>
      <c r="AB5333">
        <v>23</v>
      </c>
      <c r="AC5333">
        <v>0.41109999999997598</v>
      </c>
      <c r="AD5333">
        <v>-5.4984999999999999E-2</v>
      </c>
      <c r="AE5333">
        <v>-0.53917000000000204</v>
      </c>
      <c r="AF5333">
        <v>-0.43701912189027098</v>
      </c>
      <c r="AG5333">
        <v>-5.4984999999999999E-2</v>
      </c>
      <c r="AH5333">
        <v>0.51257606029602698</v>
      </c>
      <c r="AI5333">
        <v>94.666712765135102</v>
      </c>
      <c r="AJ5333">
        <v>130.45070099979799</v>
      </c>
      <c r="AK5333">
        <v>0.67582784842838495</v>
      </c>
    </row>
    <row r="5334" spans="1:37" x14ac:dyDescent="0.2">
      <c r="A5334" t="str">
        <f>"20200111153537621"</f>
        <v>20200111153537621</v>
      </c>
      <c r="B5334" t="str">
        <f>"1578728137611325"</f>
        <v>1578728137611325</v>
      </c>
      <c r="C5334" t="s">
        <v>37</v>
      </c>
      <c r="D5334">
        <v>4.5752980000000001</v>
      </c>
      <c r="E5334">
        <v>0.40243190000000001</v>
      </c>
      <c r="F5334" t="s">
        <v>40</v>
      </c>
      <c r="G5334">
        <v>-301.48500000000001</v>
      </c>
      <c r="H5334">
        <v>1.0425040000000001</v>
      </c>
      <c r="I5334">
        <v>-31.494050000000001</v>
      </c>
      <c r="J5334">
        <v>-301.97989999999999</v>
      </c>
      <c r="K5334">
        <v>1.1063860000000001</v>
      </c>
      <c r="L5334">
        <v>-30.789090000000002</v>
      </c>
      <c r="M5334">
        <v>-5.2305499999999998E-2</v>
      </c>
      <c r="N5334">
        <v>0</v>
      </c>
      <c r="O5334">
        <v>-0.99854370000000003</v>
      </c>
      <c r="P5334">
        <v>0.2347429</v>
      </c>
      <c r="Q5334">
        <v>2.4595800000000001E-2</v>
      </c>
      <c r="R5334">
        <v>-0.97174629999999995</v>
      </c>
      <c r="S5334">
        <v>1.4394229999999999</v>
      </c>
      <c r="T5334">
        <v>-0.18874060000000001</v>
      </c>
      <c r="U5334">
        <v>-2.7448730000000001</v>
      </c>
      <c r="V5334">
        <v>-0.28538469999999999</v>
      </c>
      <c r="W5334">
        <v>3.6239140000000003E-2</v>
      </c>
      <c r="X5334">
        <v>0.95772769999999996</v>
      </c>
      <c r="Y5334">
        <v>-0.50927149999999999</v>
      </c>
      <c r="Z5334">
        <v>5.9828999999999903E-2</v>
      </c>
      <c r="AA5334">
        <v>0.858523699999999</v>
      </c>
      <c r="AB5334">
        <v>23</v>
      </c>
      <c r="AC5334">
        <v>0.49489999999997197</v>
      </c>
      <c r="AD5334">
        <v>-6.3881999999999994E-2</v>
      </c>
      <c r="AE5334">
        <v>-0.70495999999999903</v>
      </c>
      <c r="AF5334">
        <v>-0.52819352014740195</v>
      </c>
      <c r="AG5334">
        <v>-6.3881999999999994E-2</v>
      </c>
      <c r="AH5334">
        <v>0.67439695253158305</v>
      </c>
      <c r="AI5334">
        <v>94.264903759542605</v>
      </c>
      <c r="AJ5334">
        <v>128.06835402722101</v>
      </c>
      <c r="AK5334">
        <v>0.858999740531736</v>
      </c>
    </row>
    <row r="5335" spans="1:37" x14ac:dyDescent="0.2">
      <c r="A5335" t="str">
        <f>"20200111153537644"</f>
        <v>20200111153537644</v>
      </c>
      <c r="B5335" t="str">
        <f>"1578728137641580"</f>
        <v>1578728137641580</v>
      </c>
      <c r="C5335" t="s">
        <v>37</v>
      </c>
      <c r="D5335">
        <v>4.6289800000000003</v>
      </c>
      <c r="E5335">
        <v>0.40207029999999999</v>
      </c>
      <c r="F5335" t="s">
        <v>40</v>
      </c>
      <c r="G5335">
        <v>-301.50229999999999</v>
      </c>
      <c r="H5335">
        <v>1.0461689999999999</v>
      </c>
      <c r="I5335">
        <v>-31.69537</v>
      </c>
      <c r="J5335">
        <v>-301.9889</v>
      </c>
      <c r="K5335">
        <v>1.106582</v>
      </c>
      <c r="L5335">
        <v>-31.014859999999999</v>
      </c>
      <c r="M5335">
        <v>-4.973789E-2</v>
      </c>
      <c r="N5335">
        <v>0</v>
      </c>
      <c r="O5335">
        <v>-0.99867479999999997</v>
      </c>
      <c r="P5335">
        <v>0.2377243</v>
      </c>
      <c r="Q5335">
        <v>2.589874E-2</v>
      </c>
      <c r="R5335">
        <v>-0.97098719999999905</v>
      </c>
      <c r="S5335">
        <v>1.445343</v>
      </c>
      <c r="T5335">
        <v>-0.18223739999999999</v>
      </c>
      <c r="U5335">
        <v>-2.7427060000000001</v>
      </c>
      <c r="V5335">
        <v>-0.28588200000000002</v>
      </c>
      <c r="W5335">
        <v>3.7411369999999999E-2</v>
      </c>
      <c r="X5335">
        <v>0.95753429999999995</v>
      </c>
      <c r="Y5335">
        <v>-0.50884700000000005</v>
      </c>
      <c r="Z5335">
        <v>5.7809039999999999E-2</v>
      </c>
      <c r="AA5335">
        <v>0.85891379999999995</v>
      </c>
      <c r="AB5335">
        <v>23</v>
      </c>
      <c r="AC5335">
        <v>0.48660000000000903</v>
      </c>
      <c r="AD5335">
        <v>-6.04129999999998E-2</v>
      </c>
      <c r="AE5335">
        <v>-0.68051000000000095</v>
      </c>
      <c r="AF5335">
        <v>-0.51715086131320498</v>
      </c>
      <c r="AG5335">
        <v>-6.04129999999998E-2</v>
      </c>
      <c r="AH5335">
        <v>0.65206261163297496</v>
      </c>
      <c r="AI5335">
        <v>94.151844640180997</v>
      </c>
      <c r="AJ5335">
        <v>128.41793427880199</v>
      </c>
      <c r="AK5335">
        <v>0.83443417560380795</v>
      </c>
    </row>
    <row r="5336" spans="1:37" x14ac:dyDescent="0.2">
      <c r="A5336" t="str">
        <f>"20200111153537666"</f>
        <v>20200111153537666</v>
      </c>
      <c r="B5336" t="str">
        <f>"1578728137661103"</f>
        <v>1578728137661103</v>
      </c>
      <c r="C5336" t="s">
        <v>37</v>
      </c>
      <c r="D5336">
        <v>4.6190179999999996</v>
      </c>
      <c r="E5336">
        <v>0.40176059999999902</v>
      </c>
      <c r="F5336" t="s">
        <v>40</v>
      </c>
      <c r="G5336">
        <v>-301.52010000000001</v>
      </c>
      <c r="H5336">
        <v>1.048443</v>
      </c>
      <c r="I5336">
        <v>-31.896599999999999</v>
      </c>
      <c r="J5336">
        <v>-301.99720000000002</v>
      </c>
      <c r="K5336">
        <v>1.106722</v>
      </c>
      <c r="L5336">
        <v>-31.2431599999999</v>
      </c>
      <c r="M5336">
        <v>-4.6908520000000002E-2</v>
      </c>
      <c r="N5336">
        <v>0</v>
      </c>
      <c r="O5336">
        <v>-0.99881169999999997</v>
      </c>
      <c r="P5336">
        <v>0.24114639999999901</v>
      </c>
      <c r="Q5336">
        <v>2.535482E-2</v>
      </c>
      <c r="R5336">
        <v>-0.9701573</v>
      </c>
      <c r="S5336">
        <v>1.4564509999999999</v>
      </c>
      <c r="T5336">
        <v>-0.1805311</v>
      </c>
      <c r="U5336">
        <v>-2.7378849999999999</v>
      </c>
      <c r="V5336">
        <v>-0.2865567</v>
      </c>
      <c r="W5336">
        <v>3.6770459999999998E-2</v>
      </c>
      <c r="X5336">
        <v>0.95735740000000003</v>
      </c>
      <c r="Y5336">
        <v>-0.50976790000000005</v>
      </c>
      <c r="Z5336">
        <v>5.7303760000000002E-2</v>
      </c>
      <c r="AA5336">
        <v>0.85840139999999998</v>
      </c>
      <c r="AB5336">
        <v>23</v>
      </c>
      <c r="AC5336">
        <v>0.47710000000000702</v>
      </c>
      <c r="AD5336">
        <v>-5.82789999999999E-2</v>
      </c>
      <c r="AE5336">
        <v>-0.65344000000000302</v>
      </c>
      <c r="AF5336">
        <v>-0.50461111361750899</v>
      </c>
      <c r="AG5336">
        <v>-5.82789999999999E-2</v>
      </c>
      <c r="AH5336">
        <v>0.62708491289093704</v>
      </c>
      <c r="AI5336">
        <v>94.141277135838493</v>
      </c>
      <c r="AJ5336">
        <v>128.82340527489399</v>
      </c>
      <c r="AK5336">
        <v>0.80700948309343701</v>
      </c>
    </row>
    <row r="5337" spans="1:37" x14ac:dyDescent="0.2">
      <c r="A5337" t="str">
        <f>"20200111153537688"</f>
        <v>20200111153537688</v>
      </c>
      <c r="B5337" t="str">
        <f>"1578728137680620"</f>
        <v>1578728137680620</v>
      </c>
      <c r="C5337" t="s">
        <v>37</v>
      </c>
      <c r="D5337">
        <v>4.5534339999999904</v>
      </c>
      <c r="E5337">
        <v>0.40163699999999902</v>
      </c>
      <c r="F5337" t="s">
        <v>40</v>
      </c>
      <c r="G5337">
        <v>-301.5378</v>
      </c>
      <c r="H5337">
        <v>1.0497650000000001</v>
      </c>
      <c r="I5337">
        <v>-32.097700000000003</v>
      </c>
      <c r="J5337">
        <v>-302.0043</v>
      </c>
      <c r="K5337">
        <v>1.1068039999999999</v>
      </c>
      <c r="L5337">
        <v>-31.4621</v>
      </c>
      <c r="M5337">
        <v>-4.4036430000000001E-2</v>
      </c>
      <c r="N5337">
        <v>0</v>
      </c>
      <c r="O5337">
        <v>-0.99894240000000001</v>
      </c>
      <c r="P5337">
        <v>0.2452618</v>
      </c>
      <c r="Q5337">
        <v>2.397643E-2</v>
      </c>
      <c r="R5337">
        <v>-0.96916049999999998</v>
      </c>
      <c r="S5337">
        <v>1.4689639999999999</v>
      </c>
      <c r="T5337">
        <v>-0.1820928</v>
      </c>
      <c r="U5337">
        <v>-2.731903</v>
      </c>
      <c r="V5337">
        <v>-0.28787069999999998</v>
      </c>
      <c r="W5337">
        <v>3.5323729999999998E-2</v>
      </c>
      <c r="X5337">
        <v>0.95701759999999902</v>
      </c>
      <c r="Y5337">
        <v>-0.51111499999999999</v>
      </c>
      <c r="Z5337">
        <v>5.7837760000000002E-2</v>
      </c>
      <c r="AA5337">
        <v>0.8575642</v>
      </c>
      <c r="AB5337">
        <v>23</v>
      </c>
      <c r="AC5337">
        <v>0.46649999999999597</v>
      </c>
      <c r="AD5337">
        <v>-5.7038999999999999E-2</v>
      </c>
      <c r="AE5337">
        <v>-0.63560000000000305</v>
      </c>
      <c r="AF5337">
        <v>-0.49146709025253799</v>
      </c>
      <c r="AG5337">
        <v>-5.7038999999999999E-2</v>
      </c>
      <c r="AH5337">
        <v>0.61123935141039298</v>
      </c>
      <c r="AI5337">
        <v>94.159478809101003</v>
      </c>
      <c r="AJ5337">
        <v>128.801026720978</v>
      </c>
      <c r="AK5337">
        <v>0.78638851278162403</v>
      </c>
    </row>
    <row r="5338" spans="1:37" x14ac:dyDescent="0.2">
      <c r="A5338" t="str">
        <f>"20200111153537709"</f>
        <v>20200111153537709</v>
      </c>
      <c r="B5338" t="str">
        <f>"1578728137701116"</f>
        <v>1578728137701116</v>
      </c>
      <c r="C5338" t="s">
        <v>37</v>
      </c>
      <c r="D5338">
        <v>4.5813269999999999</v>
      </c>
      <c r="E5338">
        <v>0.39274920000000002</v>
      </c>
      <c r="F5338" t="s">
        <v>40</v>
      </c>
      <c r="G5338">
        <v>-301.55020000000002</v>
      </c>
      <c r="H5338">
        <v>1.049504</v>
      </c>
      <c r="I5338">
        <v>-32.297820000000002</v>
      </c>
      <c r="J5338">
        <v>-302.01060000000001</v>
      </c>
      <c r="K5338">
        <v>1.1068519999999999</v>
      </c>
      <c r="L5338">
        <v>-31.680299999999999</v>
      </c>
      <c r="M5338">
        <v>-4.1076429999999997E-2</v>
      </c>
      <c r="N5338">
        <v>0</v>
      </c>
      <c r="O5338">
        <v>-0.99906839999999997</v>
      </c>
      <c r="P5338">
        <v>0.25014110000000001</v>
      </c>
      <c r="Q5338">
        <v>2.4181270000000001E-2</v>
      </c>
      <c r="R5338">
        <v>-0.96790750000000003</v>
      </c>
      <c r="S5338">
        <v>1.4815670000000001</v>
      </c>
      <c r="T5338">
        <v>-0.1868523</v>
      </c>
      <c r="U5338">
        <v>-2.7251590000000001</v>
      </c>
      <c r="V5338">
        <v>-0.28986220000000001</v>
      </c>
      <c r="W5338">
        <v>3.5476689999999998E-2</v>
      </c>
      <c r="X5338">
        <v>0.9564106</v>
      </c>
      <c r="Y5338">
        <v>-0.51247759999999998</v>
      </c>
      <c r="Z5338">
        <v>5.9397360000000003E-2</v>
      </c>
      <c r="AA5338">
        <v>0.85664390000000001</v>
      </c>
      <c r="AB5338">
        <v>23</v>
      </c>
      <c r="AC5338">
        <v>0.46039999999999198</v>
      </c>
      <c r="AD5338">
        <v>-5.7347999999999899E-2</v>
      </c>
      <c r="AE5338">
        <v>-0.61752000000000196</v>
      </c>
      <c r="AF5338">
        <v>-0.482703359785777</v>
      </c>
      <c r="AG5338">
        <v>-5.7347999999999899E-2</v>
      </c>
      <c r="AH5338">
        <v>0.59478843365195899</v>
      </c>
      <c r="AI5338">
        <v>94.281494442931006</v>
      </c>
      <c r="AJ5338">
        <v>129.06121996579401</v>
      </c>
      <c r="AK5338">
        <v>0.76815662950900099</v>
      </c>
    </row>
    <row r="5339" spans="1:37" x14ac:dyDescent="0.2">
      <c r="A5339" t="str">
        <f>"20200111153537733"</f>
        <v>20200111153537733</v>
      </c>
      <c r="B5339" t="str">
        <f>"1578728137731372"</f>
        <v>1578728137731372</v>
      </c>
      <c r="C5339" t="s">
        <v>37</v>
      </c>
      <c r="D5339">
        <v>4.5934629999999999</v>
      </c>
      <c r="E5339">
        <v>0.391818099999999</v>
      </c>
      <c r="F5339" t="s">
        <v>40</v>
      </c>
      <c r="G5339">
        <v>-301.54129999999998</v>
      </c>
      <c r="H5339">
        <v>1.029228</v>
      </c>
      <c r="I5339">
        <v>-32.493989999999997</v>
      </c>
      <c r="J5339">
        <v>-302.01639999999998</v>
      </c>
      <c r="K5339">
        <v>1.1068819999999999</v>
      </c>
      <c r="L5339">
        <v>-31.906890000000001</v>
      </c>
      <c r="M5339">
        <v>-3.7942660000000003E-2</v>
      </c>
      <c r="N5339">
        <v>0</v>
      </c>
      <c r="O5339">
        <v>-0.99919219999999898</v>
      </c>
      <c r="P5339">
        <v>0.25521250000000001</v>
      </c>
      <c r="Q5339">
        <v>2.4911220000000001E-2</v>
      </c>
      <c r="R5339">
        <v>-0.96656409999999904</v>
      </c>
      <c r="S5339">
        <v>1.5593870000000001</v>
      </c>
      <c r="T5339">
        <v>-0.2578549</v>
      </c>
      <c r="U5339">
        <v>-2.7029109999999998</v>
      </c>
      <c r="V5339">
        <v>-0.2918829</v>
      </c>
      <c r="W5339">
        <v>3.6166709999999998E-2</v>
      </c>
      <c r="X5339">
        <v>0.95577000000000001</v>
      </c>
      <c r="Y5339">
        <v>-0.53056610000000004</v>
      </c>
      <c r="Z5339">
        <v>8.1393980000000005E-2</v>
      </c>
      <c r="AA5339">
        <v>0.84372659999999999</v>
      </c>
      <c r="AB5339">
        <v>22</v>
      </c>
      <c r="AC5339">
        <v>0.47509999999999702</v>
      </c>
      <c r="AD5339">
        <v>-7.7653999999999807E-2</v>
      </c>
      <c r="AE5339">
        <v>-0.58710000000000295</v>
      </c>
      <c r="AF5339">
        <v>-0.49183638958050502</v>
      </c>
      <c r="AG5339">
        <v>-7.7653999999999807E-2</v>
      </c>
      <c r="AH5339">
        <v>0.56270034994750595</v>
      </c>
      <c r="AI5339">
        <v>95.932062353697802</v>
      </c>
      <c r="AJ5339">
        <v>131.15555284853599</v>
      </c>
      <c r="AK5339">
        <v>0.75137531345036301</v>
      </c>
    </row>
    <row r="5340" spans="1:37" x14ac:dyDescent="0.2">
      <c r="A5340" t="str">
        <f>"20200111153537755"</f>
        <v>20200111153537755</v>
      </c>
      <c r="B5340" t="str">
        <f>"1578728137750892"</f>
        <v>1578728137750892</v>
      </c>
      <c r="C5340" t="s">
        <v>37</v>
      </c>
      <c r="D5340">
        <v>4.595167</v>
      </c>
      <c r="E5340">
        <v>0.3914475</v>
      </c>
      <c r="F5340" t="s">
        <v>40</v>
      </c>
      <c r="G5340">
        <v>-301.55450000000002</v>
      </c>
      <c r="H5340">
        <v>1.030567</v>
      </c>
      <c r="I5340">
        <v>-32.694099999999999</v>
      </c>
      <c r="J5340">
        <v>-302.0213</v>
      </c>
      <c r="K5340">
        <v>1.1069059999999999</v>
      </c>
      <c r="L5340">
        <v>-32.128749999999997</v>
      </c>
      <c r="M5340">
        <v>-3.4830479999999997E-2</v>
      </c>
      <c r="N5340">
        <v>0</v>
      </c>
      <c r="O5340">
        <v>-0.99930540000000001</v>
      </c>
      <c r="P5340">
        <v>0.26000400000000001</v>
      </c>
      <c r="Q5340">
        <v>2.446949E-2</v>
      </c>
      <c r="R5340">
        <v>-0.96529690000000001</v>
      </c>
      <c r="S5340">
        <v>1.5807500000000001</v>
      </c>
      <c r="T5340">
        <v>-0.26108899999999902</v>
      </c>
      <c r="U5340">
        <v>-2.6931150000000001</v>
      </c>
      <c r="V5340">
        <v>-0.29364790000000002</v>
      </c>
      <c r="W5340">
        <v>3.5693519999999999E-2</v>
      </c>
      <c r="X5340">
        <v>0.95524699999999996</v>
      </c>
      <c r="Y5340">
        <v>-0.53420400000000001</v>
      </c>
      <c r="Z5340">
        <v>8.2425330000000005E-2</v>
      </c>
      <c r="AA5340">
        <v>0.84132759999999995</v>
      </c>
      <c r="AB5340">
        <v>22</v>
      </c>
      <c r="AC5340">
        <v>0.46679999999997701</v>
      </c>
      <c r="AD5340">
        <v>-7.6338999999999907E-2</v>
      </c>
      <c r="AE5340">
        <v>-0.56535000000000202</v>
      </c>
      <c r="AF5340">
        <v>-0.48099506532506298</v>
      </c>
      <c r="AG5340">
        <v>-7.6338999999999907E-2</v>
      </c>
      <c r="AH5340">
        <v>0.54286109138746597</v>
      </c>
      <c r="AI5340">
        <v>96.008384287565505</v>
      </c>
      <c r="AJ5340">
        <v>131.54213378378199</v>
      </c>
      <c r="AK5340">
        <v>0.72930244777489495</v>
      </c>
    </row>
    <row r="5341" spans="1:37" x14ac:dyDescent="0.2">
      <c r="A5341" t="str">
        <f>"20200111153537778"</f>
        <v>20200111153537778</v>
      </c>
      <c r="B5341" t="str">
        <f>"1578728137771388"</f>
        <v>1578728137771388</v>
      </c>
      <c r="C5341" t="s">
        <v>37</v>
      </c>
      <c r="D5341">
        <v>4.6429330000000002</v>
      </c>
      <c r="E5341">
        <v>0.39132470000000003</v>
      </c>
      <c r="F5341" t="s">
        <v>40</v>
      </c>
      <c r="G5341">
        <v>-301.56619999999998</v>
      </c>
      <c r="H5341">
        <v>1.031768</v>
      </c>
      <c r="I5341">
        <v>-32.893909999999998</v>
      </c>
      <c r="J5341">
        <v>-302.02550000000002</v>
      </c>
      <c r="K5341">
        <v>1.10693</v>
      </c>
      <c r="L5341">
        <v>-32.356169999999999</v>
      </c>
      <c r="M5341">
        <v>-3.1589249999999999E-2</v>
      </c>
      <c r="N5341">
        <v>0</v>
      </c>
      <c r="O5341">
        <v>-0.99941340000000001</v>
      </c>
      <c r="P5341">
        <v>0.26499629999999902</v>
      </c>
      <c r="Q5341">
        <v>2.355208E-2</v>
      </c>
      <c r="R5341">
        <v>-0.96396199999999999</v>
      </c>
      <c r="S5341">
        <v>1.5968020000000001</v>
      </c>
      <c r="T5341">
        <v>-0.26361259999999997</v>
      </c>
      <c r="U5341">
        <v>-2.684418</v>
      </c>
      <c r="V5341">
        <v>-0.29549249999999999</v>
      </c>
      <c r="W5341">
        <v>3.4741389999999997E-2</v>
      </c>
      <c r="X5341">
        <v>0.95471319999999904</v>
      </c>
      <c r="Y5341">
        <v>-0.53634320000000002</v>
      </c>
      <c r="Z5341">
        <v>8.3282889999999998E-2</v>
      </c>
      <c r="AA5341">
        <v>0.83988090000000004</v>
      </c>
      <c r="AB5341">
        <v>22</v>
      </c>
      <c r="AC5341">
        <v>0.45930000000004101</v>
      </c>
      <c r="AD5341">
        <v>-7.5161999999999896E-2</v>
      </c>
      <c r="AE5341">
        <v>-0.537739999999999</v>
      </c>
      <c r="AF5341">
        <v>-0.47074156827677399</v>
      </c>
      <c r="AG5341">
        <v>-7.5161999999999896E-2</v>
      </c>
      <c r="AH5341">
        <v>0.51712002560193104</v>
      </c>
      <c r="AI5341">
        <v>96.134761285937998</v>
      </c>
      <c r="AJ5341">
        <v>132.3120322648</v>
      </c>
      <c r="AK5341">
        <v>0.70332074562479596</v>
      </c>
    </row>
    <row r="5342" spans="1:37" x14ac:dyDescent="0.2">
      <c r="A5342" t="str">
        <f>"20200111153537799"</f>
        <v>20200111153537799</v>
      </c>
      <c r="B5342" t="str">
        <f>"1578728137790908"</f>
        <v>1578728137790908</v>
      </c>
      <c r="C5342" t="s">
        <v>37</v>
      </c>
      <c r="D5342">
        <v>4.6481170000000001</v>
      </c>
      <c r="E5342">
        <v>0.39111449999999998</v>
      </c>
      <c r="F5342" t="s">
        <v>40</v>
      </c>
      <c r="G5342">
        <v>-301.58120000000002</v>
      </c>
      <c r="H5342">
        <v>1.0331549999999901</v>
      </c>
      <c r="I5342">
        <v>-33.094279999999998</v>
      </c>
      <c r="J5342">
        <v>-302.02870000000001</v>
      </c>
      <c r="K5342">
        <v>1.1069610000000001</v>
      </c>
      <c r="L5342">
        <v>-32.570920000000001</v>
      </c>
      <c r="M5342">
        <v>-2.8460119999999998E-2</v>
      </c>
      <c r="N5342">
        <v>0</v>
      </c>
      <c r="O5342">
        <v>-0.99950740000000005</v>
      </c>
      <c r="P5342">
        <v>0.27064739999999998</v>
      </c>
      <c r="Q5342">
        <v>2.243361E-2</v>
      </c>
      <c r="R5342">
        <v>-0.96241749999999904</v>
      </c>
      <c r="S5342">
        <v>1.61145</v>
      </c>
      <c r="T5342">
        <v>-0.26744580000000001</v>
      </c>
      <c r="U5342">
        <v>-2.6756899999999999</v>
      </c>
      <c r="V5342">
        <v>-0.2981028</v>
      </c>
      <c r="W5342">
        <v>3.3576670000000003E-2</v>
      </c>
      <c r="X5342">
        <v>0.95394310000000004</v>
      </c>
      <c r="Y5342">
        <v>-0.53823299999999996</v>
      </c>
      <c r="Z5342">
        <v>8.4567059999999999E-2</v>
      </c>
      <c r="AA5342">
        <v>0.83854259999999903</v>
      </c>
      <c r="AB5342">
        <v>22</v>
      </c>
      <c r="AC5342">
        <v>0.44749999999999002</v>
      </c>
      <c r="AD5342">
        <v>-7.3806000000000205E-2</v>
      </c>
      <c r="AE5342">
        <v>-0.52335999999999605</v>
      </c>
      <c r="AF5342">
        <v>-0.45696512750260398</v>
      </c>
      <c r="AG5342">
        <v>-7.3806000000000205E-2</v>
      </c>
      <c r="AH5342">
        <v>0.50461378046689498</v>
      </c>
      <c r="AI5342">
        <v>96.187552499774299</v>
      </c>
      <c r="AJ5342">
        <v>132.163170424859</v>
      </c>
      <c r="AK5342">
        <v>0.68476238274788603</v>
      </c>
    </row>
    <row r="5343" spans="1:37" x14ac:dyDescent="0.2">
      <c r="A5343" t="str">
        <f>"20200111153537823"</f>
        <v>20200111153537823</v>
      </c>
      <c r="B5343" t="str">
        <f>"1578728137811404"</f>
        <v>1578728137811404</v>
      </c>
      <c r="C5343" t="s">
        <v>37</v>
      </c>
      <c r="D5343">
        <v>4.6347579999999997</v>
      </c>
      <c r="E5343">
        <v>0.39109840000000001</v>
      </c>
      <c r="F5343" t="s">
        <v>40</v>
      </c>
      <c r="G5343">
        <v>-301.4796</v>
      </c>
      <c r="H5343">
        <v>1.0148759999999999</v>
      </c>
      <c r="I5343">
        <v>-33.47016</v>
      </c>
      <c r="J5343">
        <v>-302.03120000000001</v>
      </c>
      <c r="K5343">
        <v>1.107011</v>
      </c>
      <c r="L5343">
        <v>-32.797909999999902</v>
      </c>
      <c r="M5343">
        <v>-2.5055150000000002E-2</v>
      </c>
      <c r="N5343">
        <v>0</v>
      </c>
      <c r="O5343">
        <v>-0.99959849999999995</v>
      </c>
      <c r="P5343">
        <v>0.27599299999999999</v>
      </c>
      <c r="Q5343">
        <v>2.1883630000000001E-2</v>
      </c>
      <c r="R5343">
        <v>-0.96091090000000001</v>
      </c>
      <c r="S5343">
        <v>1.6286929999999999</v>
      </c>
      <c r="T5343">
        <v>-0.27297149999999998</v>
      </c>
      <c r="U5343">
        <v>-2.6654969999999998</v>
      </c>
      <c r="V5343">
        <v>-0.30015720000000001</v>
      </c>
      <c r="W5343">
        <v>3.2976680000000001E-2</v>
      </c>
      <c r="X5343">
        <v>0.95331949999999999</v>
      </c>
      <c r="Y5343">
        <v>-0.54065959999999902</v>
      </c>
      <c r="Z5343">
        <v>8.6386119999999997E-2</v>
      </c>
      <c r="AA5343">
        <v>0.83679429999999999</v>
      </c>
      <c r="AB5343">
        <v>22</v>
      </c>
      <c r="AC5343">
        <v>0.55160000000000697</v>
      </c>
      <c r="AD5343">
        <v>-9.21349999999998E-2</v>
      </c>
      <c r="AE5343">
        <v>-0.67225000000000501</v>
      </c>
      <c r="AF5343">
        <v>-0.56196304382957596</v>
      </c>
      <c r="AG5343">
        <v>-9.21349999999998E-2</v>
      </c>
      <c r="AH5343">
        <v>0.65091021631425705</v>
      </c>
      <c r="AI5343">
        <v>96.115451448743897</v>
      </c>
      <c r="AJ5343">
        <v>130.805669982148</v>
      </c>
      <c r="AK5343">
        <v>0.86485572817521095</v>
      </c>
    </row>
    <row r="5344" spans="1:37" x14ac:dyDescent="0.2">
      <c r="A5344" t="str">
        <f>"20200111153537845"</f>
        <v>20200111153537845</v>
      </c>
      <c r="B5344" t="str">
        <f>"1578728137840684"</f>
        <v>1578728137840684</v>
      </c>
      <c r="C5344" t="s">
        <v>37</v>
      </c>
      <c r="D5344">
        <v>4.6606610000000002</v>
      </c>
      <c r="E5344">
        <v>0.3907487</v>
      </c>
      <c r="F5344" t="s">
        <v>40</v>
      </c>
      <c r="G5344">
        <v>-301.49160000000001</v>
      </c>
      <c r="H5344">
        <v>1.0164770000000001</v>
      </c>
      <c r="I5344">
        <v>-33.669509999999903</v>
      </c>
      <c r="J5344">
        <v>-302.03269999999998</v>
      </c>
      <c r="K5344">
        <v>1.107059</v>
      </c>
      <c r="L5344">
        <v>-33.01773</v>
      </c>
      <c r="M5344">
        <v>-2.1670350000000001E-2</v>
      </c>
      <c r="N5344">
        <v>0</v>
      </c>
      <c r="O5344">
        <v>-0.99967739999999905</v>
      </c>
      <c r="P5344">
        <v>0.2817982</v>
      </c>
      <c r="Q5344">
        <v>2.1769690000000001E-2</v>
      </c>
      <c r="R5344">
        <v>-0.95922680000000005</v>
      </c>
      <c r="S5344">
        <v>1.644104</v>
      </c>
      <c r="T5344">
        <v>-0.2758912</v>
      </c>
      <c r="U5344">
        <v>-2.6560969999999999</v>
      </c>
      <c r="V5344">
        <v>-0.30269669999999999</v>
      </c>
      <c r="W5344">
        <v>3.2810350000000002E-2</v>
      </c>
      <c r="X5344">
        <v>0.95252199999999998</v>
      </c>
      <c r="Y5344">
        <v>-0.54260419999999998</v>
      </c>
      <c r="Z5344">
        <v>8.7393280000000004E-2</v>
      </c>
      <c r="AA5344">
        <v>0.83542989999999995</v>
      </c>
      <c r="AB5344">
        <v>22</v>
      </c>
      <c r="AC5344">
        <v>0.54109999999997105</v>
      </c>
      <c r="AD5344">
        <v>-9.0581999999999899E-2</v>
      </c>
      <c r="AE5344">
        <v>-0.65177999999999503</v>
      </c>
      <c r="AF5344">
        <v>-0.548823216612778</v>
      </c>
      <c r="AG5344">
        <v>-9.0581999999999899E-2</v>
      </c>
      <c r="AH5344">
        <v>0.63266616664161801</v>
      </c>
      <c r="AI5344">
        <v>96.172685480964404</v>
      </c>
      <c r="AJ5344">
        <v>130.94087962712399</v>
      </c>
      <c r="AK5344">
        <v>0.84242418070126401</v>
      </c>
    </row>
    <row r="5345" spans="1:37" x14ac:dyDescent="0.2">
      <c r="A5345" t="str">
        <f>"20200111153537867"</f>
        <v>20200111153537867</v>
      </c>
      <c r="B5345" t="str">
        <f>"1578728137861180"</f>
        <v>1578728137861180</v>
      </c>
      <c r="C5345" t="s">
        <v>37</v>
      </c>
      <c r="D5345">
        <v>4.6674009999999999</v>
      </c>
      <c r="E5345">
        <v>0.39057190000000003</v>
      </c>
      <c r="F5345" t="s">
        <v>40</v>
      </c>
      <c r="G5345">
        <v>-301.49849999999998</v>
      </c>
      <c r="H5345">
        <v>1.018016</v>
      </c>
      <c r="I5345">
        <v>-33.867820000000002</v>
      </c>
      <c r="J5345">
        <v>-302.0333</v>
      </c>
      <c r="K5345">
        <v>1.1071120000000001</v>
      </c>
      <c r="L5345">
        <v>-33.241030000000002</v>
      </c>
      <c r="M5345">
        <v>-1.8124560000000001E-2</v>
      </c>
      <c r="N5345">
        <v>0</v>
      </c>
      <c r="O5345">
        <v>-0.99974799999999997</v>
      </c>
      <c r="P5345">
        <v>0.28820050000000003</v>
      </c>
      <c r="Q5345">
        <v>2.2099219999999999E-2</v>
      </c>
      <c r="R5345">
        <v>-0.95731489999999997</v>
      </c>
      <c r="S5345">
        <v>1.6628719999999999</v>
      </c>
      <c r="T5345">
        <v>-0.2770936</v>
      </c>
      <c r="U5345">
        <v>-2.6452939999999998</v>
      </c>
      <c r="V5345">
        <v>-0.3056874</v>
      </c>
      <c r="W5345">
        <v>3.3080569999999997E-2</v>
      </c>
      <c r="X5345">
        <v>0.95155710000000004</v>
      </c>
      <c r="Y5345">
        <v>-0.54539359999999903</v>
      </c>
      <c r="Z5345">
        <v>8.7845720000000002E-2</v>
      </c>
      <c r="AA5345">
        <v>0.83356399999999997</v>
      </c>
      <c r="AB5345">
        <v>22</v>
      </c>
      <c r="AC5345">
        <v>0.53480000000001804</v>
      </c>
      <c r="AD5345">
        <v>-8.9095999999999995E-2</v>
      </c>
      <c r="AE5345">
        <v>-0.62678999999999896</v>
      </c>
      <c r="AF5345">
        <v>-0.53976199593802898</v>
      </c>
      <c r="AG5345">
        <v>-8.9095999999999995E-2</v>
      </c>
      <c r="AH5345">
        <v>0.60986204900923502</v>
      </c>
      <c r="AI5345">
        <v>96.243246493315993</v>
      </c>
      <c r="AJ5345">
        <v>131.51062415206999</v>
      </c>
      <c r="AK5345">
        <v>0.81927579501456504</v>
      </c>
    </row>
    <row r="5346" spans="1:37" x14ac:dyDescent="0.2">
      <c r="A5346" t="str">
        <f>"20200111153537889"</f>
        <v>20200111153537889</v>
      </c>
      <c r="B5346" t="str">
        <f>"1578728137880700"</f>
        <v>1578728137880700</v>
      </c>
      <c r="C5346" t="s">
        <v>37</v>
      </c>
      <c r="D5346">
        <v>4.8222149999999999</v>
      </c>
      <c r="E5346">
        <v>0.39070450000000001</v>
      </c>
      <c r="F5346" t="s">
        <v>40</v>
      </c>
      <c r="G5346">
        <v>-301.50630000000001</v>
      </c>
      <c r="H5346">
        <v>1.02074</v>
      </c>
      <c r="I5346">
        <v>-34.066240000000001</v>
      </c>
      <c r="J5346">
        <v>-302.03309999999999</v>
      </c>
      <c r="K5346">
        <v>1.10717</v>
      </c>
      <c r="L5346">
        <v>-33.46161</v>
      </c>
      <c r="M5346">
        <v>-1.4496240000000001E-2</v>
      </c>
      <c r="N5346">
        <v>0</v>
      </c>
      <c r="O5346">
        <v>-0.99980689999999905</v>
      </c>
      <c r="P5346">
        <v>0.2954987</v>
      </c>
      <c r="Q5346">
        <v>2.2435050000000002E-2</v>
      </c>
      <c r="R5346">
        <v>-0.95507940000000002</v>
      </c>
      <c r="S5346">
        <v>1.6822509999999999</v>
      </c>
      <c r="T5346">
        <v>-0.27566209999999902</v>
      </c>
      <c r="U5346">
        <v>-2.633667</v>
      </c>
      <c r="V5346">
        <v>-0.30950179999999999</v>
      </c>
      <c r="W5346">
        <v>3.3344579999999999E-2</v>
      </c>
      <c r="X5346">
        <v>0.95031399999999999</v>
      </c>
      <c r="Y5346">
        <v>-0.54839850000000001</v>
      </c>
      <c r="Z5346">
        <v>8.7477620000000006E-2</v>
      </c>
      <c r="AA5346">
        <v>0.83162899999999995</v>
      </c>
      <c r="AB5346">
        <v>22</v>
      </c>
      <c r="AC5346">
        <v>0.52679999999997995</v>
      </c>
      <c r="AD5346">
        <v>-8.6429999999999896E-2</v>
      </c>
      <c r="AE5346">
        <v>-0.60463</v>
      </c>
      <c r="AF5346">
        <v>-0.52936125383240595</v>
      </c>
      <c r="AG5346">
        <v>-8.6429999999999896E-2</v>
      </c>
      <c r="AH5346">
        <v>0.59007490517419103</v>
      </c>
      <c r="AI5346">
        <v>96.222328496034393</v>
      </c>
      <c r="AJ5346">
        <v>131.89555217895699</v>
      </c>
      <c r="AK5346">
        <v>0.79742201855438299</v>
      </c>
    </row>
    <row r="5347" spans="1:37" x14ac:dyDescent="0.2">
      <c r="A5347" t="str">
        <f>"20200111153537911"</f>
        <v>20200111153537911</v>
      </c>
      <c r="B5347" t="str">
        <f>"1578728137901196"</f>
        <v>1578728137901196</v>
      </c>
      <c r="C5347" t="s">
        <v>37</v>
      </c>
      <c r="D5347">
        <v>4.8497680000000001</v>
      </c>
      <c r="E5347">
        <v>0.43579849999999998</v>
      </c>
      <c r="F5347" t="s">
        <v>40</v>
      </c>
      <c r="G5347">
        <v>-301.51229999999998</v>
      </c>
      <c r="H5347">
        <v>1.0232540000000001</v>
      </c>
      <c r="I5347">
        <v>-34.264229999999998</v>
      </c>
      <c r="J5347">
        <v>-302.03199999999998</v>
      </c>
      <c r="K5347">
        <v>1.1072379999999999</v>
      </c>
      <c r="L5347">
        <v>-33.679499999999997</v>
      </c>
      <c r="M5347">
        <v>-1.077404E-2</v>
      </c>
      <c r="N5347">
        <v>0</v>
      </c>
      <c r="O5347">
        <v>-0.99985400000000002</v>
      </c>
      <c r="P5347">
        <v>0.30272909999999997</v>
      </c>
      <c r="Q5347">
        <v>2.3602700000000001E-2</v>
      </c>
      <c r="R5347">
        <v>-0.95278439999999998</v>
      </c>
      <c r="S5347">
        <v>1.70163</v>
      </c>
      <c r="T5347">
        <v>-0.27405079999999998</v>
      </c>
      <c r="U5347">
        <v>-2.6210629999999999</v>
      </c>
      <c r="V5347">
        <v>-0.31317739999999999</v>
      </c>
      <c r="W5347">
        <v>3.4431629999999998E-2</v>
      </c>
      <c r="X5347">
        <v>0.94907030000000003</v>
      </c>
      <c r="Y5347">
        <v>-0.55145900000000003</v>
      </c>
      <c r="Z5347">
        <v>8.7072700000000003E-2</v>
      </c>
      <c r="AA5347">
        <v>0.82964530000000003</v>
      </c>
      <c r="AB5347">
        <v>22</v>
      </c>
      <c r="AC5347">
        <v>0.51970000000000005</v>
      </c>
      <c r="AD5347">
        <v>-8.3983999999999795E-2</v>
      </c>
      <c r="AE5347">
        <v>-0.58472999999999997</v>
      </c>
      <c r="AF5347">
        <v>-0.51997751097164102</v>
      </c>
      <c r="AG5347">
        <v>-8.3983999999999795E-2</v>
      </c>
      <c r="AH5347">
        <v>0.57249821136776902</v>
      </c>
      <c r="AI5347">
        <v>96.197587346157306</v>
      </c>
      <c r="AJ5347">
        <v>132.24762819024599</v>
      </c>
      <c r="AK5347">
        <v>0.77793581109983501</v>
      </c>
    </row>
    <row r="5348" spans="1:37" x14ac:dyDescent="0.2">
      <c r="A5348" t="str">
        <f>"20200111153537934"</f>
        <v>20200111153537934</v>
      </c>
      <c r="B5348" t="str">
        <f>"1578728137931452"</f>
        <v>1578728137931452</v>
      </c>
      <c r="C5348" t="s">
        <v>37</v>
      </c>
      <c r="D5348">
        <v>4.8430599999999897</v>
      </c>
      <c r="E5348">
        <v>0.44558829999999999</v>
      </c>
      <c r="F5348" t="s">
        <v>40</v>
      </c>
      <c r="G5348">
        <v>-301.61439999999999</v>
      </c>
      <c r="H5348">
        <v>1.0276529999999999</v>
      </c>
      <c r="I5348">
        <v>-34.502879999999998</v>
      </c>
      <c r="J5348">
        <v>-302.02999999999997</v>
      </c>
      <c r="K5348">
        <v>1.1073249999999999</v>
      </c>
      <c r="L5348">
        <v>-33.900480000000002</v>
      </c>
      <c r="M5348">
        <v>-6.8420310000000002E-3</v>
      </c>
      <c r="N5348">
        <v>0</v>
      </c>
      <c r="O5348">
        <v>-0.99988869999999896</v>
      </c>
      <c r="P5348">
        <v>0.31030489999999999</v>
      </c>
      <c r="Q5348">
        <v>2.5249859999999999E-2</v>
      </c>
      <c r="R5348">
        <v>-0.95030190000000003</v>
      </c>
      <c r="S5348">
        <v>1.3782650000000001</v>
      </c>
      <c r="T5348">
        <v>-0.2626444</v>
      </c>
      <c r="U5348">
        <v>-2.71725499999999</v>
      </c>
      <c r="V5348">
        <v>-0.31701649999999998</v>
      </c>
      <c r="W5348">
        <v>3.5979919999999999E-2</v>
      </c>
      <c r="X5348">
        <v>0.9477373</v>
      </c>
      <c r="Y5348">
        <v>-0.4567872</v>
      </c>
      <c r="Z5348">
        <v>8.574002E-2</v>
      </c>
      <c r="AA5348">
        <v>0.88543439999999995</v>
      </c>
      <c r="AB5348">
        <v>22</v>
      </c>
      <c r="AC5348">
        <v>0.41559999999998298</v>
      </c>
      <c r="AD5348">
        <v>-7.9671999999999701E-2</v>
      </c>
      <c r="AE5348">
        <v>-0.60239999999999505</v>
      </c>
      <c r="AF5348">
        <v>-0.41479642374202302</v>
      </c>
      <c r="AG5348">
        <v>-7.9671999999999701E-2</v>
      </c>
      <c r="AH5348">
        <v>0.59252000745920097</v>
      </c>
      <c r="AI5348">
        <v>96.285989555556696</v>
      </c>
      <c r="AJ5348">
        <v>124.994124051469</v>
      </c>
      <c r="AK5348">
        <v>0.72765627872823602</v>
      </c>
    </row>
    <row r="5349" spans="1:37" x14ac:dyDescent="0.2">
      <c r="A5349" t="str">
        <f>"20200111153537956"</f>
        <v>20200111153537956</v>
      </c>
      <c r="B5349" t="str">
        <f>"1578728137950972"</f>
        <v>1578728137950972</v>
      </c>
      <c r="C5349" t="s">
        <v>37</v>
      </c>
      <c r="D5349">
        <v>4.870501</v>
      </c>
      <c r="E5349">
        <v>0.4474785</v>
      </c>
      <c r="F5349" t="s">
        <v>65</v>
      </c>
      <c r="G5349">
        <v>-296.4477</v>
      </c>
      <c r="H5349" s="1">
        <v>-3.9645559999999998E-6</v>
      </c>
      <c r="I5349">
        <v>-45.402729999999998</v>
      </c>
      <c r="J5349">
        <v>-302.02679999999998</v>
      </c>
      <c r="K5349">
        <v>1.107443</v>
      </c>
      <c r="L5349">
        <v>-34.124109999999902</v>
      </c>
      <c r="M5349">
        <v>-2.683132E-3</v>
      </c>
      <c r="N5349">
        <v>0</v>
      </c>
      <c r="O5349">
        <v>-0.99990809999999997</v>
      </c>
      <c r="P5349">
        <v>0.31826959999999999</v>
      </c>
      <c r="Q5349">
        <v>2.7609169999999999E-2</v>
      </c>
      <c r="R5349">
        <v>-0.94759819999999995</v>
      </c>
      <c r="S5349">
        <v>1.325439</v>
      </c>
      <c r="T5349">
        <v>-0.26292259999999901</v>
      </c>
      <c r="U5349">
        <v>-2.7310789999999998</v>
      </c>
      <c r="V5349">
        <v>-0.32105089999999997</v>
      </c>
      <c r="W5349">
        <v>3.822093E-2</v>
      </c>
      <c r="X5349">
        <v>0.94629039999999998</v>
      </c>
      <c r="Y5349">
        <v>-0.43740050000000003</v>
      </c>
      <c r="Z5349">
        <v>8.6232950000000003E-2</v>
      </c>
      <c r="AA5349">
        <v>0.89512269999999905</v>
      </c>
      <c r="AB5349">
        <v>22</v>
      </c>
      <c r="AC5349">
        <v>5.57909999999998</v>
      </c>
      <c r="AD5349">
        <v>-1.1074469645559999</v>
      </c>
      <c r="AE5349">
        <v>-11.27862</v>
      </c>
      <c r="AF5349">
        <v>-5.56622907622189</v>
      </c>
      <c r="AG5349">
        <v>-1.1074469645559999</v>
      </c>
      <c r="AH5349">
        <v>11.177032270691001</v>
      </c>
      <c r="AI5349">
        <v>95.0684495202199</v>
      </c>
      <c r="AJ5349">
        <v>116.473579836686</v>
      </c>
      <c r="AK5349">
        <v>12.535365781992599</v>
      </c>
    </row>
    <row r="5350" spans="1:37" x14ac:dyDescent="0.2">
      <c r="A5350" t="str">
        <f>"20200111153537979"</f>
        <v>20200111153537979</v>
      </c>
      <c r="B5350" t="str">
        <f>"1578728137971468"</f>
        <v>1578728137971468</v>
      </c>
      <c r="C5350" t="s">
        <v>37</v>
      </c>
      <c r="D5350">
        <v>4.8883169999999998</v>
      </c>
      <c r="E5350">
        <v>0.448412799999999</v>
      </c>
      <c r="F5350" t="s">
        <v>65</v>
      </c>
      <c r="G5350">
        <v>-296.17509999999999</v>
      </c>
      <c r="H5350" s="1">
        <v>-4.3661389999999996E-6</v>
      </c>
      <c r="I5350">
        <v>-46.072240000000001</v>
      </c>
      <c r="J5350">
        <v>-302.02249999999998</v>
      </c>
      <c r="K5350">
        <v>1.107583</v>
      </c>
      <c r="L5350">
        <v>-34.347110000000001</v>
      </c>
      <c r="M5350">
        <v>1.6676919999999999E-3</v>
      </c>
      <c r="N5350">
        <v>0</v>
      </c>
      <c r="O5350">
        <v>-0.99991039999999998</v>
      </c>
      <c r="P5350">
        <v>0.32643850000000002</v>
      </c>
      <c r="Q5350">
        <v>2.9746209999999999E-2</v>
      </c>
      <c r="R5350">
        <v>-0.94475030000000004</v>
      </c>
      <c r="S5350">
        <v>1.334595</v>
      </c>
      <c r="T5350">
        <v>-0.25257540000000001</v>
      </c>
      <c r="U5350">
        <v>-2.725006</v>
      </c>
      <c r="V5350">
        <v>-0.325127</v>
      </c>
      <c r="W5350">
        <v>4.0223540000000002E-2</v>
      </c>
      <c r="X5350">
        <v>0.9448145</v>
      </c>
      <c r="Y5350">
        <v>-0.43682500000000002</v>
      </c>
      <c r="Z5350">
        <v>8.2985749999999997E-2</v>
      </c>
      <c r="AA5350">
        <v>0.89571049999999997</v>
      </c>
      <c r="AB5350">
        <v>22</v>
      </c>
      <c r="AC5350">
        <v>5.8473999999999897</v>
      </c>
      <c r="AD5350">
        <v>-1.1075873661390001</v>
      </c>
      <c r="AE5350">
        <v>-11.72513</v>
      </c>
      <c r="AF5350">
        <v>-5.7864863249270897</v>
      </c>
      <c r="AG5350">
        <v>-1.1075873661390001</v>
      </c>
      <c r="AH5350">
        <v>11.651604492305401</v>
      </c>
      <c r="AI5350">
        <v>94.866299463934197</v>
      </c>
      <c r="AJ5350">
        <v>116.41017634297999</v>
      </c>
      <c r="AK5350">
        <v>13.0564183835886</v>
      </c>
    </row>
    <row r="5351" spans="1:37" x14ac:dyDescent="0.2">
      <c r="A5351" t="str">
        <f>"20200111153538001"</f>
        <v>20200111153538001</v>
      </c>
      <c r="B5351" t="str">
        <f>"1578728137990988"</f>
        <v>1578728137990988</v>
      </c>
      <c r="C5351" t="s">
        <v>37</v>
      </c>
      <c r="D5351">
        <v>4.8842449999999999</v>
      </c>
      <c r="E5351">
        <v>0.44897799999999999</v>
      </c>
      <c r="F5351" t="s">
        <v>40</v>
      </c>
      <c r="G5351">
        <v>-301.56869999999998</v>
      </c>
      <c r="H5351">
        <v>1.025393</v>
      </c>
      <c r="I5351">
        <v>-35.258829999999897</v>
      </c>
      <c r="J5351">
        <v>-302.01710000000003</v>
      </c>
      <c r="K5351">
        <v>1.107715</v>
      </c>
      <c r="L5351">
        <v>-34.562469999999998</v>
      </c>
      <c r="M5351">
        <v>6.0978819999999998E-3</v>
      </c>
      <c r="N5351">
        <v>0</v>
      </c>
      <c r="O5351">
        <v>-0.99989319999999904</v>
      </c>
      <c r="P5351">
        <v>0.33385809999999999</v>
      </c>
      <c r="Q5351">
        <v>3.0868489999999998E-2</v>
      </c>
      <c r="R5351">
        <v>-0.94211800000000001</v>
      </c>
      <c r="S5351">
        <v>1.351715</v>
      </c>
      <c r="T5351">
        <v>-0.24485079999999901</v>
      </c>
      <c r="U5351">
        <v>-2.7160950000000001</v>
      </c>
      <c r="V5351">
        <v>-0.32839159999999901</v>
      </c>
      <c r="W5351">
        <v>4.1214540000000001E-2</v>
      </c>
      <c r="X5351">
        <v>0.94364199999999998</v>
      </c>
      <c r="Y5351">
        <v>-0.43862799999999902</v>
      </c>
      <c r="Z5351">
        <v>8.0556530000000001E-2</v>
      </c>
      <c r="AA5351">
        <v>0.89505089999999998</v>
      </c>
      <c r="AB5351">
        <v>22</v>
      </c>
      <c r="AC5351">
        <v>0.44840000000004898</v>
      </c>
      <c r="AD5351">
        <v>-8.2322000000000006E-2</v>
      </c>
      <c r="AE5351">
        <v>-0.69635999999999099</v>
      </c>
      <c r="AF5351">
        <v>-0.439800105718681</v>
      </c>
      <c r="AG5351">
        <v>-8.2322000000000006E-2</v>
      </c>
      <c r="AH5351">
        <v>0.69224279749303397</v>
      </c>
      <c r="AI5351">
        <v>95.731919321200493</v>
      </c>
      <c r="AJ5351">
        <v>122.42887165754399</v>
      </c>
      <c r="AK5351">
        <v>0.82425793011359305</v>
      </c>
    </row>
    <row r="5352" spans="1:37" x14ac:dyDescent="0.2">
      <c r="A5352" t="str">
        <f>"20200111153538023"</f>
        <v>20200111153538023</v>
      </c>
      <c r="B5352" t="str">
        <f>"1578728138011485"</f>
        <v>1578728138011485</v>
      </c>
      <c r="C5352" t="s">
        <v>37</v>
      </c>
      <c r="D5352">
        <v>4.8706860000000001</v>
      </c>
      <c r="E5352">
        <v>0.44937109999999902</v>
      </c>
      <c r="F5352" t="s">
        <v>40</v>
      </c>
      <c r="G5352">
        <v>-301.56599999999997</v>
      </c>
      <c r="H5352">
        <v>1.027272</v>
      </c>
      <c r="I5352">
        <v>-35.45467</v>
      </c>
      <c r="J5352">
        <v>-302.0104</v>
      </c>
      <c r="K5352">
        <v>1.1078319999999999</v>
      </c>
      <c r="L5352">
        <v>-34.780090000000001</v>
      </c>
      <c r="M5352">
        <v>1.076012E-2</v>
      </c>
      <c r="N5352">
        <v>0</v>
      </c>
      <c r="O5352">
        <v>-0.99985349999999995</v>
      </c>
      <c r="P5352">
        <v>0.34092729999999999</v>
      </c>
      <c r="Q5352">
        <v>3.0525190000000001E-2</v>
      </c>
      <c r="R5352">
        <v>-0.93959429999999999</v>
      </c>
      <c r="S5352">
        <v>1.3697509999999999</v>
      </c>
      <c r="T5352">
        <v>-0.24407759999999901</v>
      </c>
      <c r="U5352">
        <v>-2.706909</v>
      </c>
      <c r="V5352">
        <v>-0.33109139999999998</v>
      </c>
      <c r="W5352">
        <v>4.0753820000000003E-2</v>
      </c>
      <c r="X5352">
        <v>0.94271819999999895</v>
      </c>
      <c r="Y5352">
        <v>-0.44041819999999998</v>
      </c>
      <c r="Z5352">
        <v>8.0391290000000004E-2</v>
      </c>
      <c r="AA5352">
        <v>0.89418629999999999</v>
      </c>
      <c r="AB5352">
        <v>22</v>
      </c>
      <c r="AC5352">
        <v>0.44440000000002999</v>
      </c>
      <c r="AD5352">
        <v>-8.0559999999999896E-2</v>
      </c>
      <c r="AE5352">
        <v>-0.67457999999999796</v>
      </c>
      <c r="AF5352">
        <v>-0.43281055781414601</v>
      </c>
      <c r="AG5352">
        <v>-8.0559999999999896E-2</v>
      </c>
      <c r="AH5352">
        <v>0.67263350335294603</v>
      </c>
      <c r="AI5352">
        <v>95.751367969475695</v>
      </c>
      <c r="AJ5352">
        <v>122.759527952008</v>
      </c>
      <c r="AK5352">
        <v>0.80389720884466997</v>
      </c>
    </row>
    <row r="5353" spans="1:37" x14ac:dyDescent="0.2">
      <c r="A5353" t="str">
        <f>"20200111153538045"</f>
        <v>20200111153538045</v>
      </c>
      <c r="B5353" t="str">
        <f>"1578728138040764"</f>
        <v>1578728138040764</v>
      </c>
      <c r="C5353" t="s">
        <v>37</v>
      </c>
      <c r="D5353">
        <v>4.8561019999999999</v>
      </c>
      <c r="E5353">
        <v>0.44996789999999998</v>
      </c>
      <c r="F5353" t="s">
        <v>40</v>
      </c>
      <c r="G5353">
        <v>-301.5625</v>
      </c>
      <c r="H5353">
        <v>1.0283199999999999</v>
      </c>
      <c r="I5353">
        <v>-35.650259999999903</v>
      </c>
      <c r="J5353">
        <v>-302.00229999999999</v>
      </c>
      <c r="K5353">
        <v>1.107939</v>
      </c>
      <c r="L5353">
        <v>-35.001800000000003</v>
      </c>
      <c r="M5353">
        <v>1.5707209999999999E-2</v>
      </c>
      <c r="N5353">
        <v>0</v>
      </c>
      <c r="O5353">
        <v>-0.99978799999999901</v>
      </c>
      <c r="P5353">
        <v>0.34733909999999901</v>
      </c>
      <c r="Q5353">
        <v>3.0045680000000002E-2</v>
      </c>
      <c r="R5353">
        <v>-0.93725829999999999</v>
      </c>
      <c r="S5353">
        <v>1.388458</v>
      </c>
      <c r="T5353">
        <v>-0.24644949999999999</v>
      </c>
      <c r="U5353">
        <v>-2.6970519999999998</v>
      </c>
      <c r="V5353">
        <v>-0.33287559999999999</v>
      </c>
      <c r="W5353">
        <v>4.0172560000000003E-2</v>
      </c>
      <c r="X5353">
        <v>0.94211469999999897</v>
      </c>
      <c r="Y5353">
        <v>-0.442179299999999</v>
      </c>
      <c r="Z5353">
        <v>8.1263909999999995E-2</v>
      </c>
      <c r="AA5353">
        <v>0.89323770000000002</v>
      </c>
      <c r="AB5353">
        <v>22</v>
      </c>
      <c r="AC5353">
        <v>0.43979999999999098</v>
      </c>
      <c r="AD5353">
        <v>-7.9618999999999801E-2</v>
      </c>
      <c r="AE5353">
        <v>-0.64845999999999204</v>
      </c>
      <c r="AF5353">
        <v>-0.42516917438565899</v>
      </c>
      <c r="AG5353">
        <v>-7.9618999999999801E-2</v>
      </c>
      <c r="AH5353">
        <v>0.64859148507109798</v>
      </c>
      <c r="AI5353">
        <v>95.861710839892098</v>
      </c>
      <c r="AJ5353">
        <v>123.24591993881999</v>
      </c>
      <c r="AK5353">
        <v>0.779601774315269</v>
      </c>
    </row>
    <row r="5354" spans="1:37" x14ac:dyDescent="0.2">
      <c r="A5354" t="str">
        <f>"20200111153538068"</f>
        <v>20200111153538068</v>
      </c>
      <c r="B5354" t="str">
        <f>"1578728138061260"</f>
        <v>1578728138061260</v>
      </c>
      <c r="C5354" t="s">
        <v>37</v>
      </c>
      <c r="D5354">
        <v>4.8737129999999897</v>
      </c>
      <c r="E5354">
        <v>0.45033669999999998</v>
      </c>
      <c r="F5354" t="s">
        <v>40</v>
      </c>
      <c r="G5354">
        <v>-301.56119999999999</v>
      </c>
      <c r="H5354">
        <v>1.0297609999999999</v>
      </c>
      <c r="I5354">
        <v>-35.847320000000003</v>
      </c>
      <c r="J5354">
        <v>-301.99310000000003</v>
      </c>
      <c r="K5354">
        <v>1.1080479999999999</v>
      </c>
      <c r="L5354">
        <v>-35.220950000000002</v>
      </c>
      <c r="M5354">
        <v>2.08125999999999E-2</v>
      </c>
      <c r="N5354">
        <v>0</v>
      </c>
      <c r="O5354">
        <v>-0.99969459999999999</v>
      </c>
      <c r="P5354">
        <v>0.35452719999999999</v>
      </c>
      <c r="Q5354">
        <v>2.9176400000000002E-2</v>
      </c>
      <c r="R5354">
        <v>-0.93459080000000005</v>
      </c>
      <c r="S5354">
        <v>1.4035340000000001</v>
      </c>
      <c r="T5354">
        <v>-0.24861</v>
      </c>
      <c r="U5354">
        <v>-2.68866</v>
      </c>
      <c r="V5354">
        <v>-0.33530450000000001</v>
      </c>
      <c r="W5354">
        <v>3.9193909999999998E-2</v>
      </c>
      <c r="X5354">
        <v>0.94129419999999897</v>
      </c>
      <c r="Y5354">
        <v>-0.44265159999999998</v>
      </c>
      <c r="Z5354">
        <v>8.2075670000000003E-2</v>
      </c>
      <c r="AA5354">
        <v>0.89292959999999999</v>
      </c>
      <c r="AB5354">
        <v>22</v>
      </c>
      <c r="AC5354">
        <v>0.43190000000004097</v>
      </c>
      <c r="AD5354">
        <v>-7.8286999999999704E-2</v>
      </c>
      <c r="AE5354">
        <v>-0.62637000000000098</v>
      </c>
      <c r="AF5354">
        <v>-0.41438162440051102</v>
      </c>
      <c r="AG5354">
        <v>-7.8286999999999704E-2</v>
      </c>
      <c r="AH5354">
        <v>0.62856909161526697</v>
      </c>
      <c r="AI5354">
        <v>95.936562198464003</v>
      </c>
      <c r="AJ5354">
        <v>123.39470587183099</v>
      </c>
      <c r="AK5354">
        <v>0.75692805995276002</v>
      </c>
    </row>
    <row r="5355" spans="1:37" x14ac:dyDescent="0.2">
      <c r="A5355" t="str">
        <f>"20200111153538090"</f>
        <v>20200111153538090</v>
      </c>
      <c r="B5355" t="str">
        <f>"1578728138080781"</f>
        <v>1578728138080781</v>
      </c>
      <c r="C5355" t="s">
        <v>37</v>
      </c>
      <c r="D5355">
        <v>4.8219059999999896</v>
      </c>
      <c r="E5355">
        <v>0.4507371</v>
      </c>
      <c r="F5355" t="s">
        <v>40</v>
      </c>
      <c r="G5355">
        <v>-301.54610000000002</v>
      </c>
      <c r="H5355">
        <v>1.028923</v>
      </c>
      <c r="I5355">
        <v>-36.062739999999998</v>
      </c>
      <c r="J5355">
        <v>-301.98259999999999</v>
      </c>
      <c r="K5355">
        <v>1.1081669999999999</v>
      </c>
      <c r="L5355">
        <v>-35.43741</v>
      </c>
      <c r="M5355">
        <v>2.6081110000000001E-2</v>
      </c>
      <c r="N5355">
        <v>0</v>
      </c>
      <c r="O5355">
        <v>-0.99957070000000003</v>
      </c>
      <c r="P5355">
        <v>0.3618633</v>
      </c>
      <c r="Q5355">
        <v>2.8155030000000001E-2</v>
      </c>
      <c r="R5355">
        <v>-0.93180649999999998</v>
      </c>
      <c r="S5355">
        <v>1.4220889999999999</v>
      </c>
      <c r="T5355">
        <v>-0.25175789999999998</v>
      </c>
      <c r="U5355">
        <v>-2.678375</v>
      </c>
      <c r="V5355">
        <v>-0.33774549999999998</v>
      </c>
      <c r="W5355">
        <v>3.8054159999999997E-2</v>
      </c>
      <c r="X5355">
        <v>0.94046790000000002</v>
      </c>
      <c r="Y5355">
        <v>-0.44413029999999998</v>
      </c>
      <c r="Z5355">
        <v>8.3213910000000002E-2</v>
      </c>
      <c r="AA5355">
        <v>0.89208949999999998</v>
      </c>
      <c r="AB5355">
        <v>22</v>
      </c>
      <c r="AC5355">
        <v>0.43649999999996603</v>
      </c>
      <c r="AD5355">
        <v>-7.9243999999999801E-2</v>
      </c>
      <c r="AE5355">
        <v>-0.62533000000000505</v>
      </c>
      <c r="AF5355">
        <v>-0.41555371498468802</v>
      </c>
      <c r="AG5355">
        <v>-7.9243999999999801E-2</v>
      </c>
      <c r="AH5355">
        <v>0.62970332074774005</v>
      </c>
      <c r="AI5355">
        <v>95.996016744768596</v>
      </c>
      <c r="AJ5355">
        <v>123.42161184379501</v>
      </c>
      <c r="AK5355">
        <v>0.75861108200072203</v>
      </c>
    </row>
    <row r="5356" spans="1:37" x14ac:dyDescent="0.2">
      <c r="A5356" t="str">
        <f>"20200111153538113"</f>
        <v>20200111153538113</v>
      </c>
      <c r="B5356" t="str">
        <f>"1578728138101277"</f>
        <v>1578728138101277</v>
      </c>
      <c r="C5356" t="s">
        <v>37</v>
      </c>
      <c r="D5356">
        <v>4.9110899999999997</v>
      </c>
      <c r="E5356">
        <v>0.45115420000000001</v>
      </c>
      <c r="F5356" t="s">
        <v>40</v>
      </c>
      <c r="G5356">
        <v>-301.5258</v>
      </c>
      <c r="H5356">
        <v>1.0275299999999901</v>
      </c>
      <c r="I5356">
        <v>-36.283429999999903</v>
      </c>
      <c r="J5356">
        <v>-301.97030000000001</v>
      </c>
      <c r="K5356">
        <v>1.1083069999999999</v>
      </c>
      <c r="L5356">
        <v>-35.661589999999997</v>
      </c>
      <c r="M5356">
        <v>3.1780589999999997E-2</v>
      </c>
      <c r="N5356">
        <v>0</v>
      </c>
      <c r="O5356">
        <v>-0.99940560000000001</v>
      </c>
      <c r="P5356">
        <v>0.36947979999999903</v>
      </c>
      <c r="Q5356">
        <v>2.7206459999999998E-2</v>
      </c>
      <c r="R5356">
        <v>-0.92884089999999997</v>
      </c>
      <c r="S5356">
        <v>1.4408570000000001</v>
      </c>
      <c r="T5356">
        <v>-0.2542719</v>
      </c>
      <c r="U5356">
        <v>-2.6676639999999998</v>
      </c>
      <c r="V5356">
        <v>-0.34008759999999999</v>
      </c>
      <c r="W5356">
        <v>3.6971080000000003E-2</v>
      </c>
      <c r="X5356">
        <v>0.93966669999999997</v>
      </c>
      <c r="Y5356">
        <v>-0.44534420000000002</v>
      </c>
      <c r="Z5356">
        <v>8.4155170000000001E-2</v>
      </c>
      <c r="AA5356">
        <v>0.89139579999999996</v>
      </c>
      <c r="AB5356">
        <v>22</v>
      </c>
      <c r="AC5356">
        <v>0.444500000000005</v>
      </c>
      <c r="AD5356">
        <v>-8.0777000000000099E-2</v>
      </c>
      <c r="AE5356">
        <v>-0.62183999999999096</v>
      </c>
      <c r="AF5356">
        <v>-0.41982275146008302</v>
      </c>
      <c r="AG5356">
        <v>-8.0777000000000099E-2</v>
      </c>
      <c r="AH5356">
        <v>0.62863315314146195</v>
      </c>
      <c r="AI5356">
        <v>96.099351337243505</v>
      </c>
      <c r="AJ5356">
        <v>123.73635636251601</v>
      </c>
      <c r="AK5356">
        <v>0.76023398214042803</v>
      </c>
    </row>
    <row r="5357" spans="1:37" x14ac:dyDescent="0.2">
      <c r="A5357" t="str">
        <f>"20200111153538136"</f>
        <v>20200111153538136</v>
      </c>
      <c r="B5357" t="str">
        <f>"1578728138131532"</f>
        <v>1578728138131532</v>
      </c>
      <c r="C5357" t="s">
        <v>37</v>
      </c>
      <c r="D5357">
        <v>4.7013210000000001</v>
      </c>
      <c r="E5357">
        <v>0.3881812</v>
      </c>
      <c r="F5357" t="s">
        <v>40</v>
      </c>
      <c r="G5357">
        <v>-301.50080000000003</v>
      </c>
      <c r="H5357">
        <v>1.0255209999999999</v>
      </c>
      <c r="I5357">
        <v>-36.516379999999998</v>
      </c>
      <c r="J5357">
        <v>-301.95690000000002</v>
      </c>
      <c r="K5357">
        <v>1.1084479999999901</v>
      </c>
      <c r="L5357">
        <v>-35.878970000000002</v>
      </c>
      <c r="M5357">
        <v>3.7551559999999998E-2</v>
      </c>
      <c r="N5357">
        <v>0</v>
      </c>
      <c r="O5357">
        <v>-0.99920509999999996</v>
      </c>
      <c r="P5357">
        <v>0.37757160000000001</v>
      </c>
      <c r="Q5357">
        <v>2.7115899999999998E-2</v>
      </c>
      <c r="R5357">
        <v>-0.92558359999999995</v>
      </c>
      <c r="S5357">
        <v>1.4597169999999999</v>
      </c>
      <c r="T5357">
        <v>-0.25730960000000003</v>
      </c>
      <c r="U5357">
        <v>-2.6567080000000001</v>
      </c>
      <c r="V5357">
        <v>-0.34287390000000001</v>
      </c>
      <c r="W5357">
        <v>3.6732340000000002E-2</v>
      </c>
      <c r="X5357">
        <v>0.93866299999999903</v>
      </c>
      <c r="Y5357">
        <v>-0.44654379999999999</v>
      </c>
      <c r="Z5357">
        <v>8.5270449999999998E-2</v>
      </c>
      <c r="AA5357">
        <v>0.89068939999999996</v>
      </c>
      <c r="AB5357">
        <v>22</v>
      </c>
      <c r="AC5357">
        <v>0.45609999999999201</v>
      </c>
      <c r="AD5357">
        <v>-8.2926999999999904E-2</v>
      </c>
      <c r="AE5357">
        <v>-0.63740999999999504</v>
      </c>
      <c r="AF5357">
        <v>-0.42705972011698801</v>
      </c>
      <c r="AG5357">
        <v>-8.2926999999999904E-2</v>
      </c>
      <c r="AH5357">
        <v>0.64684811656447705</v>
      </c>
      <c r="AI5357">
        <v>96.106712448330796</v>
      </c>
      <c r="AJ5357">
        <v>123.43344608586401</v>
      </c>
      <c r="AK5357">
        <v>0.77953151172894397</v>
      </c>
    </row>
    <row r="5358" spans="1:37" x14ac:dyDescent="0.2">
      <c r="A5358" t="str">
        <f>"20200111153538157"</f>
        <v>20200111153538157</v>
      </c>
      <c r="B5358" t="str">
        <f>"1578728138151052"</f>
        <v>1578728138151052</v>
      </c>
      <c r="C5358" t="s">
        <v>37</v>
      </c>
      <c r="D5358">
        <v>4.7510449999999897</v>
      </c>
      <c r="E5358">
        <v>0.36467379999999999</v>
      </c>
      <c r="F5358" t="s">
        <v>40</v>
      </c>
      <c r="G5358">
        <v>-301.33870000000002</v>
      </c>
      <c r="H5358">
        <v>1.0724</v>
      </c>
      <c r="I5358">
        <v>-36.654000000000003</v>
      </c>
      <c r="J5358">
        <v>-301.94220000000001</v>
      </c>
      <c r="K5358">
        <v>1.108595</v>
      </c>
      <c r="L5358">
        <v>-36.091000000000001</v>
      </c>
      <c r="M5358">
        <v>4.3422219999999997E-2</v>
      </c>
      <c r="N5358">
        <v>0</v>
      </c>
      <c r="O5358">
        <v>-0.99896689999999999</v>
      </c>
      <c r="P5358">
        <v>0.38581209999999999</v>
      </c>
      <c r="Q5358">
        <v>2.657936E-2</v>
      </c>
      <c r="R5358">
        <v>-0.92219470000000003</v>
      </c>
      <c r="S5358">
        <v>1.9529719999999999</v>
      </c>
      <c r="T5358">
        <v>-0.1138545</v>
      </c>
      <c r="U5358">
        <v>-2.4478759999999999</v>
      </c>
      <c r="V5358">
        <v>-0.34573880000000001</v>
      </c>
      <c r="W5358">
        <v>3.6046149999999999E-2</v>
      </c>
      <c r="X5358">
        <v>0.93763819999999998</v>
      </c>
      <c r="Y5358">
        <v>-0.5887019</v>
      </c>
      <c r="Z5358">
        <v>3.6813650000000003E-2</v>
      </c>
      <c r="AA5358">
        <v>0.80751149999999905</v>
      </c>
      <c r="AB5358">
        <v>22</v>
      </c>
      <c r="AC5358">
        <v>0.60349999999999604</v>
      </c>
      <c r="AD5358">
        <v>-3.6194999999999901E-2</v>
      </c>
      <c r="AE5358">
        <v>-0.56300000000000205</v>
      </c>
      <c r="AF5358">
        <v>-0.57737135065623102</v>
      </c>
      <c r="AG5358">
        <v>-3.6194999999999901E-2</v>
      </c>
      <c r="AH5358">
        <v>0.58754655718107895</v>
      </c>
      <c r="AI5358">
        <v>92.515909798186101</v>
      </c>
      <c r="AJ5358">
        <v>134.49955137633</v>
      </c>
      <c r="AK5358">
        <v>0.82454757985148397</v>
      </c>
    </row>
    <row r="5359" spans="1:37" x14ac:dyDescent="0.2">
      <c r="A5359" t="str">
        <f>"20200111153538180"</f>
        <v>20200111153538180</v>
      </c>
      <c r="B5359" t="str">
        <f>"1578728138171548"</f>
        <v>1578728138171548</v>
      </c>
      <c r="C5359" t="s">
        <v>37</v>
      </c>
      <c r="D5359">
        <v>4.5546939999999996</v>
      </c>
      <c r="E5359">
        <v>0.35589559999999998</v>
      </c>
      <c r="F5359" t="s">
        <v>40</v>
      </c>
      <c r="G5359">
        <v>-301.3279</v>
      </c>
      <c r="H5359">
        <v>1.0461209999999901</v>
      </c>
      <c r="I5359">
        <v>-36.767589999999998</v>
      </c>
      <c r="J5359">
        <v>-301.92610000000002</v>
      </c>
      <c r="K5359">
        <v>1.108738</v>
      </c>
      <c r="L5359">
        <v>-36.302859999999903</v>
      </c>
      <c r="M5359">
        <v>4.9532979999999997E-2</v>
      </c>
      <c r="N5359">
        <v>0</v>
      </c>
      <c r="O5359">
        <v>-0.99868259999999898</v>
      </c>
      <c r="P5359">
        <v>0.3940901</v>
      </c>
      <c r="Q5359">
        <v>2.530692E-2</v>
      </c>
      <c r="R5359">
        <v>-0.91872389999999904</v>
      </c>
      <c r="S5359">
        <v>2.1448360000000002</v>
      </c>
      <c r="T5359">
        <v>-0.21810650000000001</v>
      </c>
      <c r="U5359">
        <v>-2.3620909999999999</v>
      </c>
      <c r="V5359">
        <v>-0.34843379999999902</v>
      </c>
      <c r="W5359">
        <v>3.463082E-2</v>
      </c>
      <c r="X5359">
        <v>0.93669340000000001</v>
      </c>
      <c r="Y5359">
        <v>-0.6331331</v>
      </c>
      <c r="Z5359">
        <v>6.9324739999999996E-2</v>
      </c>
      <c r="AA5359">
        <v>0.77093230000000001</v>
      </c>
      <c r="AB5359">
        <v>22</v>
      </c>
      <c r="AC5359">
        <v>0.59820000000001905</v>
      </c>
      <c r="AD5359">
        <v>-6.2617000000000103E-2</v>
      </c>
      <c r="AE5359">
        <v>-0.46473000000001002</v>
      </c>
      <c r="AF5359">
        <v>-0.57054550891913103</v>
      </c>
      <c r="AG5359">
        <v>-6.2617000000000103E-2</v>
      </c>
      <c r="AH5359">
        <v>0.49044154180138</v>
      </c>
      <c r="AI5359">
        <v>94.757576686188102</v>
      </c>
      <c r="AJ5359">
        <v>139.317610098156</v>
      </c>
      <c r="AK5359">
        <v>0.75496753066691902</v>
      </c>
    </row>
    <row r="5360" spans="1:37" x14ac:dyDescent="0.2">
      <c r="A5360" t="str">
        <f>"20200111153538201"</f>
        <v>20200111153538201</v>
      </c>
      <c r="B5360" t="str">
        <f>"1578728138191069"</f>
        <v>1578728138191069</v>
      </c>
      <c r="C5360" t="s">
        <v>37</v>
      </c>
      <c r="D5360">
        <v>4.8230500000000003</v>
      </c>
      <c r="E5360">
        <v>0.35594979999999998</v>
      </c>
      <c r="F5360" t="s">
        <v>65</v>
      </c>
      <c r="G5360">
        <v>-292.26900000000001</v>
      </c>
      <c r="H5360" s="1">
        <v>-5.3658439999999999E-6</v>
      </c>
      <c r="I5360">
        <v>-46.334479999999999</v>
      </c>
      <c r="J5360">
        <v>-301.90780000000001</v>
      </c>
      <c r="K5360">
        <v>1.1088719999999901</v>
      </c>
      <c r="L5360">
        <v>-36.518920000000001</v>
      </c>
      <c r="M5360">
        <v>5.6015189999999999E-2</v>
      </c>
      <c r="N5360">
        <v>0</v>
      </c>
      <c r="O5360">
        <v>-0.99833950000000005</v>
      </c>
      <c r="P5360">
        <v>0.4016478</v>
      </c>
      <c r="Q5360">
        <v>2.4484039999999999E-2</v>
      </c>
      <c r="R5360">
        <v>-0.91546709999999998</v>
      </c>
      <c r="S5360">
        <v>2.229584</v>
      </c>
      <c r="T5360">
        <v>-0.25598339999999897</v>
      </c>
      <c r="U5360">
        <v>-2.316071</v>
      </c>
      <c r="V5360">
        <v>-0.35007440000000001</v>
      </c>
      <c r="W5360">
        <v>3.3690579999999998E-2</v>
      </c>
      <c r="X5360">
        <v>0.9361159</v>
      </c>
      <c r="Y5360">
        <v>-0.6498218</v>
      </c>
      <c r="Z5360">
        <v>8.0895770000000006E-2</v>
      </c>
      <c r="AA5360">
        <v>0.75576949999999998</v>
      </c>
      <c r="AB5360">
        <v>22</v>
      </c>
      <c r="AC5360">
        <v>9.6387999999999998</v>
      </c>
      <c r="AD5360">
        <v>-1.1088773658439901</v>
      </c>
      <c r="AE5360">
        <v>-9.8155599999999907</v>
      </c>
      <c r="AF5360">
        <v>-9.0152196215281197</v>
      </c>
      <c r="AG5360">
        <v>-1.1088773658439901</v>
      </c>
      <c r="AH5360">
        <v>10.273365653791499</v>
      </c>
      <c r="AI5360">
        <v>94.638192078449606</v>
      </c>
      <c r="AJ5360">
        <v>131.26802675308801</v>
      </c>
      <c r="AK5360">
        <v>13.712980554692299</v>
      </c>
    </row>
    <row r="5361" spans="1:37" x14ac:dyDescent="0.2">
      <c r="A5361" t="str">
        <f>"20200111153538224"</f>
        <v>20200111153538224</v>
      </c>
      <c r="B5361" t="str">
        <f>"1578728138221325"</f>
        <v>1578728138221325</v>
      </c>
      <c r="C5361" t="s">
        <v>37</v>
      </c>
      <c r="D5361">
        <v>4.7153109999999998</v>
      </c>
      <c r="E5361">
        <v>0.35841919999999999</v>
      </c>
      <c r="F5361" t="s">
        <v>65</v>
      </c>
      <c r="G5361">
        <v>-293.02749999999997</v>
      </c>
      <c r="H5361" s="1">
        <v>-4.8239980000000003E-6</v>
      </c>
      <c r="I5361">
        <v>-45.601120000000002</v>
      </c>
      <c r="J5361">
        <v>-301.88819999999998</v>
      </c>
      <c r="K5361">
        <v>1.1089690000000001</v>
      </c>
      <c r="L5361">
        <v>-36.733550000000001</v>
      </c>
      <c r="M5361">
        <v>6.2640210000000002E-2</v>
      </c>
      <c r="N5361">
        <v>0</v>
      </c>
      <c r="O5361">
        <v>-0.99794539999999998</v>
      </c>
      <c r="P5361">
        <v>0.4081958</v>
      </c>
      <c r="Q5361">
        <v>2.4235099999999999E-2</v>
      </c>
      <c r="R5361">
        <v>-0.91257289999999902</v>
      </c>
      <c r="S5361">
        <v>2.2474059999999998</v>
      </c>
      <c r="T5361">
        <v>-0.28063090000000002</v>
      </c>
      <c r="U5361">
        <v>-2.298492</v>
      </c>
      <c r="V5361">
        <v>-0.35057319999999997</v>
      </c>
      <c r="W5361">
        <v>3.3364129999999999E-2</v>
      </c>
      <c r="X5361">
        <v>0.93594089999999996</v>
      </c>
      <c r="Y5361">
        <v>-0.65020719999999899</v>
      </c>
      <c r="Z5361">
        <v>8.8816080000000006E-2</v>
      </c>
      <c r="AA5361">
        <v>0.75454769999999904</v>
      </c>
      <c r="AB5361">
        <v>22</v>
      </c>
      <c r="AC5361">
        <v>8.8606999999999996</v>
      </c>
      <c r="AD5361">
        <v>-1.108973823998</v>
      </c>
      <c r="AE5361">
        <v>-8.86756999999999</v>
      </c>
      <c r="AF5361">
        <v>-8.2234226934787902</v>
      </c>
      <c r="AG5361">
        <v>-1.108973823998</v>
      </c>
      <c r="AH5361">
        <v>9.3322050409796091</v>
      </c>
      <c r="AI5361">
        <v>95.094848876663704</v>
      </c>
      <c r="AJ5361">
        <v>131.386100202097</v>
      </c>
      <c r="AK5361">
        <v>12.4877762097508</v>
      </c>
    </row>
    <row r="5362" spans="1:37" x14ac:dyDescent="0.2">
      <c r="A5362" t="str">
        <f>"20200111153538246"</f>
        <v>20200111153538246</v>
      </c>
      <c r="B5362" t="str">
        <f>"1578728138240844"</f>
        <v>1578728138240844</v>
      </c>
      <c r="C5362" t="s">
        <v>37</v>
      </c>
      <c r="D5362">
        <v>4.704828</v>
      </c>
      <c r="E5362">
        <v>0.35921999999999998</v>
      </c>
      <c r="F5362" t="s">
        <v>65</v>
      </c>
      <c r="G5362">
        <v>-293.59129999999999</v>
      </c>
      <c r="H5362" s="1">
        <v>-4.4873460000000002E-6</v>
      </c>
      <c r="I5362">
        <v>-45.199280000000002</v>
      </c>
      <c r="J5362">
        <v>-301.86630000000002</v>
      </c>
      <c r="K5362">
        <v>1.109048</v>
      </c>
      <c r="L5362">
        <v>-36.953490000000002</v>
      </c>
      <c r="M5362">
        <v>6.9592650000000006E-2</v>
      </c>
      <c r="N5362">
        <v>0</v>
      </c>
      <c r="O5362">
        <v>-0.99748440000000005</v>
      </c>
      <c r="P5362">
        <v>0.41474719999999998</v>
      </c>
      <c r="Q5362">
        <v>2.4217780000000001E-2</v>
      </c>
      <c r="R5362">
        <v>-0.90961440000000005</v>
      </c>
      <c r="S5362">
        <v>2.2453609999999999</v>
      </c>
      <c r="T5362">
        <v>-0.30011690000000002</v>
      </c>
      <c r="U5362">
        <v>-2.2910459999999899</v>
      </c>
      <c r="V5362">
        <v>-0.35078730000000002</v>
      </c>
      <c r="W5362">
        <v>3.3294070000000002E-2</v>
      </c>
      <c r="X5362">
        <v>0.93586309999999995</v>
      </c>
      <c r="Y5362">
        <v>-0.64538339999999905</v>
      </c>
      <c r="Z5362">
        <v>9.5304760000000002E-2</v>
      </c>
      <c r="AA5362">
        <v>0.75788999999999995</v>
      </c>
      <c r="AB5362">
        <v>22</v>
      </c>
      <c r="AC5362">
        <v>8.2750000000000306</v>
      </c>
      <c r="AD5362">
        <v>-1.1090524873459999</v>
      </c>
      <c r="AE5362">
        <v>-8.2457899999999995</v>
      </c>
      <c r="AF5362">
        <v>-7.6124239513749297</v>
      </c>
      <c r="AG5362">
        <v>-1.1090524873459999</v>
      </c>
      <c r="AH5362">
        <v>8.7231042233152607</v>
      </c>
      <c r="AI5362">
        <v>95.471820911342604</v>
      </c>
      <c r="AJ5362">
        <v>131.11034916850599</v>
      </c>
      <c r="AK5362">
        <v>11.6306295240617</v>
      </c>
    </row>
    <row r="5363" spans="1:37" x14ac:dyDescent="0.2">
      <c r="A5363" t="str">
        <f>"20200111153538269"</f>
        <v>20200111153538269</v>
      </c>
      <c r="B5363" t="str">
        <f>"1578728138261340"</f>
        <v>1578728138261340</v>
      </c>
      <c r="C5363" t="s">
        <v>37</v>
      </c>
      <c r="D5363">
        <v>4.7265079999999999</v>
      </c>
      <c r="E5363">
        <v>0.35996790000000001</v>
      </c>
      <c r="F5363" t="s">
        <v>65</v>
      </c>
      <c r="G5363">
        <v>-293.65410000000003</v>
      </c>
      <c r="H5363" s="1">
        <v>-4.4978780000000004E-6</v>
      </c>
      <c r="I5363">
        <v>-45.244009999999903</v>
      </c>
      <c r="J5363">
        <v>-301.84410000000003</v>
      </c>
      <c r="K5363">
        <v>1.109105</v>
      </c>
      <c r="L5363">
        <v>-37.162050000000001</v>
      </c>
      <c r="M5363">
        <v>7.6313300000000001E-2</v>
      </c>
      <c r="N5363">
        <v>0</v>
      </c>
      <c r="O5363">
        <v>-0.99699259999999901</v>
      </c>
      <c r="P5363">
        <v>0.42031289999999999</v>
      </c>
      <c r="Q5363">
        <v>2.4665409999999999E-2</v>
      </c>
      <c r="R5363">
        <v>-0.90704419999999897</v>
      </c>
      <c r="S5363">
        <v>2.2560419999999999</v>
      </c>
      <c r="T5363">
        <v>-0.30467689999999997</v>
      </c>
      <c r="U5363">
        <v>-2.2775569999999998</v>
      </c>
      <c r="V5363">
        <v>-0.350224599999999</v>
      </c>
      <c r="W5363">
        <v>3.3717270000000001E-2</v>
      </c>
      <c r="X5363">
        <v>0.93605869999999902</v>
      </c>
      <c r="Y5363">
        <v>-0.64417669999999905</v>
      </c>
      <c r="Z5363">
        <v>9.6984219999999996E-2</v>
      </c>
      <c r="AA5363">
        <v>0.75870309999999996</v>
      </c>
      <c r="AB5363">
        <v>22</v>
      </c>
      <c r="AC5363">
        <v>8.1899999999999906</v>
      </c>
      <c r="AD5363">
        <v>-1.1091094978780001</v>
      </c>
      <c r="AE5363">
        <v>-8.0819599999999898</v>
      </c>
      <c r="AF5363">
        <v>-7.4797979050009102</v>
      </c>
      <c r="AG5363">
        <v>-1.1091094978780001</v>
      </c>
      <c r="AH5363">
        <v>8.6035121726325396</v>
      </c>
      <c r="AI5363">
        <v>95.556669769858203</v>
      </c>
      <c r="AJ5363">
        <v>131.00333358530199</v>
      </c>
      <c r="AK5363">
        <v>11.4541661539623</v>
      </c>
    </row>
    <row r="5364" spans="1:37" x14ac:dyDescent="0.2">
      <c r="A5364" t="str">
        <f>"20200111153538291"</f>
        <v>20200111153538291</v>
      </c>
      <c r="B5364" t="str">
        <f>"1578728138280860"</f>
        <v>1578728138280860</v>
      </c>
      <c r="C5364" t="s">
        <v>37</v>
      </c>
      <c r="D5364">
        <v>4.7264589999999904</v>
      </c>
      <c r="E5364">
        <v>0.36083470000000001</v>
      </c>
      <c r="F5364" t="s">
        <v>65</v>
      </c>
      <c r="G5364">
        <v>-293.68830000000003</v>
      </c>
      <c r="H5364" s="1">
        <v>-4.5345560000000002E-6</v>
      </c>
      <c r="I5364">
        <v>-45.324939999999998</v>
      </c>
      <c r="J5364">
        <v>-301.81909999999999</v>
      </c>
      <c r="K5364">
        <v>1.1091519999999999</v>
      </c>
      <c r="L5364">
        <v>-37.380040000000001</v>
      </c>
      <c r="M5364">
        <v>8.3447229999999997E-2</v>
      </c>
      <c r="N5364">
        <v>0</v>
      </c>
      <c r="O5364">
        <v>-0.99642070000000005</v>
      </c>
      <c r="P5364">
        <v>0.42639129999999997</v>
      </c>
      <c r="Q5364">
        <v>2.6211080000000001E-2</v>
      </c>
      <c r="R5364">
        <v>-0.9041593</v>
      </c>
      <c r="S5364">
        <v>2.2644959999999998</v>
      </c>
      <c r="T5364">
        <v>-0.30795149999999999</v>
      </c>
      <c r="U5364">
        <v>-2.2664789999999999</v>
      </c>
      <c r="V5364">
        <v>-0.34983059999999899</v>
      </c>
      <c r="W5364">
        <v>3.5244619999999997E-2</v>
      </c>
      <c r="X5364">
        <v>0.93614979999999903</v>
      </c>
      <c r="Y5364">
        <v>-0.64190159999999996</v>
      </c>
      <c r="Z5364">
        <v>9.825689E-2</v>
      </c>
      <c r="AA5364">
        <v>0.76046569999999902</v>
      </c>
      <c r="AB5364">
        <v>22</v>
      </c>
      <c r="AC5364">
        <v>8.1307999999999598</v>
      </c>
      <c r="AD5364">
        <v>-1.1091565345559999</v>
      </c>
      <c r="AE5364">
        <v>-7.9448999999999996</v>
      </c>
      <c r="AF5364">
        <v>-7.36924373127012</v>
      </c>
      <c r="AG5364">
        <v>-1.1091565345559999</v>
      </c>
      <c r="AH5364">
        <v>8.5146830895161596</v>
      </c>
      <c r="AI5364">
        <v>95.625326006487398</v>
      </c>
      <c r="AJ5364">
        <v>130.87536305915401</v>
      </c>
      <c r="AK5364">
        <v>11.3152909597546</v>
      </c>
    </row>
    <row r="5365" spans="1:37" x14ac:dyDescent="0.2">
      <c r="A5365" t="str">
        <f>"20200111153538314"</f>
        <v>20200111153538314</v>
      </c>
      <c r="B5365" t="str">
        <f>"1578728138311117"</f>
        <v>1578728138311117</v>
      </c>
      <c r="C5365" t="s">
        <v>37</v>
      </c>
      <c r="D5365">
        <v>4.772602</v>
      </c>
      <c r="E5365">
        <v>0.3622977</v>
      </c>
      <c r="F5365" t="s">
        <v>65</v>
      </c>
      <c r="G5365">
        <v>-293.58330000000001</v>
      </c>
      <c r="H5365" s="1">
        <v>-4.673184E-6</v>
      </c>
      <c r="I5365">
        <v>-45.547020000000003</v>
      </c>
      <c r="J5365">
        <v>-301.79320000000001</v>
      </c>
      <c r="K5365">
        <v>1.109194</v>
      </c>
      <c r="L5365">
        <v>-37.59216</v>
      </c>
      <c r="M5365">
        <v>9.0471079999999995E-2</v>
      </c>
      <c r="N5365">
        <v>0</v>
      </c>
      <c r="O5365">
        <v>-0.99580749999999996</v>
      </c>
      <c r="P5365">
        <v>0.43157309999999999</v>
      </c>
      <c r="Q5365">
        <v>2.6921939999999998E-2</v>
      </c>
      <c r="R5365">
        <v>-0.90167659999999905</v>
      </c>
      <c r="S5365">
        <v>2.2736509999999899</v>
      </c>
      <c r="T5365">
        <v>-0.30620619999999998</v>
      </c>
      <c r="U5365">
        <v>-2.2546689999999998</v>
      </c>
      <c r="V5365">
        <v>-0.34861399999999998</v>
      </c>
      <c r="W5365">
        <v>3.595657E-2</v>
      </c>
      <c r="X5365">
        <v>0.93657639999999998</v>
      </c>
      <c r="Y5365">
        <v>-0.64005679999999998</v>
      </c>
      <c r="Z5365">
        <v>9.7934919999999995E-2</v>
      </c>
      <c r="AA5365">
        <v>0.76206030000000002</v>
      </c>
      <c r="AB5365">
        <v>22</v>
      </c>
      <c r="AC5365">
        <v>8.2098999999999993</v>
      </c>
      <c r="AD5365">
        <v>-1.109198673184</v>
      </c>
      <c r="AE5365">
        <v>-7.95486</v>
      </c>
      <c r="AF5365">
        <v>-7.3869302811334503</v>
      </c>
      <c r="AG5365">
        <v>-1.109198673184</v>
      </c>
      <c r="AH5365">
        <v>8.5842408582158392</v>
      </c>
      <c r="AI5365">
        <v>95.593843330343404</v>
      </c>
      <c r="AJ5365">
        <v>130.71272760865199</v>
      </c>
      <c r="AK5365">
        <v>11.379202598898599</v>
      </c>
    </row>
    <row r="5366" spans="1:37" x14ac:dyDescent="0.2">
      <c r="A5366" t="str">
        <f>"20200111153538336"</f>
        <v>20200111153538336</v>
      </c>
      <c r="B5366" t="str">
        <f>"1578728138330636"</f>
        <v>1578728138330636</v>
      </c>
      <c r="C5366" t="s">
        <v>37</v>
      </c>
      <c r="D5366">
        <v>4.7787269999999999</v>
      </c>
      <c r="E5366">
        <v>0.36295859999999902</v>
      </c>
      <c r="F5366" t="s">
        <v>65</v>
      </c>
      <c r="G5366">
        <v>-293.59309999999999</v>
      </c>
      <c r="H5366" s="1">
        <v>-4.7427920000000003E-6</v>
      </c>
      <c r="I5366">
        <v>-45.687849999999997</v>
      </c>
      <c r="J5366">
        <v>-301.7654</v>
      </c>
      <c r="K5366">
        <v>1.1092219999999999</v>
      </c>
      <c r="L5366">
        <v>-37.807040000000001</v>
      </c>
      <c r="M5366">
        <v>9.7651749999999995E-2</v>
      </c>
      <c r="N5366">
        <v>0</v>
      </c>
      <c r="O5366">
        <v>-0.99512860000000003</v>
      </c>
      <c r="P5366">
        <v>0.43699739999999998</v>
      </c>
      <c r="Q5366">
        <v>2.7309409999999999E-2</v>
      </c>
      <c r="R5366">
        <v>-0.89904830000000002</v>
      </c>
      <c r="S5366">
        <v>2.27597</v>
      </c>
      <c r="T5366">
        <v>-0.30786059999999998</v>
      </c>
      <c r="U5366">
        <v>-2.2469790000000001</v>
      </c>
      <c r="V5366">
        <v>-0.34750749999999903</v>
      </c>
      <c r="W5366">
        <v>3.6347789999999998E-2</v>
      </c>
      <c r="X5366">
        <v>0.93697240000000004</v>
      </c>
      <c r="Y5366">
        <v>-0.63616229999999996</v>
      </c>
      <c r="Z5366">
        <v>9.8732550000000002E-2</v>
      </c>
      <c r="AA5366">
        <v>0.765212</v>
      </c>
      <c r="AB5366">
        <v>22</v>
      </c>
      <c r="AC5366">
        <v>8.1722999999999999</v>
      </c>
      <c r="AD5366">
        <v>-1.109226742792</v>
      </c>
      <c r="AE5366">
        <v>-7.8808099999999897</v>
      </c>
      <c r="AF5366">
        <v>-7.29396292662876</v>
      </c>
      <c r="AG5366">
        <v>-1.109226742792</v>
      </c>
      <c r="AH5366">
        <v>8.5595433295610697</v>
      </c>
      <c r="AI5366">
        <v>95.633142030061293</v>
      </c>
      <c r="AJ5366">
        <v>130.43577517326599</v>
      </c>
      <c r="AK5366">
        <v>11.300356682538499</v>
      </c>
    </row>
    <row r="5367" spans="1:37" x14ac:dyDescent="0.2">
      <c r="A5367" t="str">
        <f>"20200111153538358"</f>
        <v>20200111153538358</v>
      </c>
      <c r="B5367" t="str">
        <f>"1578728138351132"</f>
        <v>1578728138351132</v>
      </c>
      <c r="C5367" t="s">
        <v>37</v>
      </c>
      <c r="D5367">
        <v>4.7639059999999898</v>
      </c>
      <c r="E5367">
        <v>0.36330319999999999</v>
      </c>
      <c r="F5367" t="s">
        <v>40</v>
      </c>
      <c r="G5367">
        <v>-301.10050000000001</v>
      </c>
      <c r="H5367">
        <v>1.0191870000000001</v>
      </c>
      <c r="I5367">
        <v>-38.458059999999897</v>
      </c>
      <c r="J5367">
        <v>-301.73610000000002</v>
      </c>
      <c r="K5367">
        <v>1.1092409999999999</v>
      </c>
      <c r="L5367">
        <v>-38.020200000000003</v>
      </c>
      <c r="M5367">
        <v>0.1048282</v>
      </c>
      <c r="N5367">
        <v>0</v>
      </c>
      <c r="O5367">
        <v>-0.99439820000000001</v>
      </c>
      <c r="P5367">
        <v>0.442654299999999</v>
      </c>
      <c r="Q5367">
        <v>2.6937630000000001E-2</v>
      </c>
      <c r="R5367">
        <v>-0.89628790000000003</v>
      </c>
      <c r="S5367">
        <v>2.2845149999999999</v>
      </c>
      <c r="T5367">
        <v>-0.30924279999999998</v>
      </c>
      <c r="U5367">
        <v>-2.23584</v>
      </c>
      <c r="V5367">
        <v>-0.34664879999999998</v>
      </c>
      <c r="W5367">
        <v>3.5982779999999999E-2</v>
      </c>
      <c r="X5367">
        <v>0.93730460000000004</v>
      </c>
      <c r="Y5367">
        <v>-0.63390299999999999</v>
      </c>
      <c r="Z5367">
        <v>9.9387030000000001E-2</v>
      </c>
      <c r="AA5367">
        <v>0.76700009999999996</v>
      </c>
      <c r="AB5367">
        <v>22</v>
      </c>
      <c r="AC5367">
        <v>0.63560000000001005</v>
      </c>
      <c r="AD5367">
        <v>-9.0053999999999801E-2</v>
      </c>
      <c r="AE5367">
        <v>-0.43785999999999298</v>
      </c>
      <c r="AF5367">
        <v>-0.57832013610885302</v>
      </c>
      <c r="AG5367">
        <v>-9.0053999999999801E-2</v>
      </c>
      <c r="AH5367">
        <v>0.49533868168588202</v>
      </c>
      <c r="AI5367">
        <v>96.744790259227102</v>
      </c>
      <c r="AJ5367">
        <v>139.419517480146</v>
      </c>
      <c r="AK5367">
        <v>0.76676222671651595</v>
      </c>
    </row>
    <row r="5368" spans="1:37" x14ac:dyDescent="0.2">
      <c r="A5368" t="str">
        <f>"20200111153538381"</f>
        <v>20200111153538381</v>
      </c>
      <c r="B5368" t="str">
        <f>"1578728138370652"</f>
        <v>1578728138370652</v>
      </c>
      <c r="C5368" t="s">
        <v>37</v>
      </c>
      <c r="D5368">
        <v>4.9310689999999999</v>
      </c>
      <c r="E5368">
        <v>0.36351359999999999</v>
      </c>
      <c r="F5368" t="s">
        <v>40</v>
      </c>
      <c r="G5368">
        <v>-301.08629999999999</v>
      </c>
      <c r="H5368">
        <v>1.0205389999999901</v>
      </c>
      <c r="I5368">
        <v>-38.649329999999999</v>
      </c>
      <c r="J5368">
        <v>-301.70589999999999</v>
      </c>
      <c r="K5368">
        <v>1.109248</v>
      </c>
      <c r="L5368">
        <v>-38.22748</v>
      </c>
      <c r="M5368">
        <v>0.111851399999999</v>
      </c>
      <c r="N5368">
        <v>0</v>
      </c>
      <c r="O5368">
        <v>-0.99363239999999997</v>
      </c>
      <c r="P5368">
        <v>0.44877440000000002</v>
      </c>
      <c r="Q5368">
        <v>2.575672E-2</v>
      </c>
      <c r="R5368">
        <v>-0.89327400000000001</v>
      </c>
      <c r="S5368">
        <v>2.2956240000000001</v>
      </c>
      <c r="T5368">
        <v>-0.31339159999999999</v>
      </c>
      <c r="U5368">
        <v>-2.222839</v>
      </c>
      <c r="V5368">
        <v>-0.3464219</v>
      </c>
      <c r="W5368">
        <v>3.4807150000000002E-2</v>
      </c>
      <c r="X5368">
        <v>0.93743290000000001</v>
      </c>
      <c r="Y5368">
        <v>-0.63244480000000003</v>
      </c>
      <c r="Z5368">
        <v>0.10090299999999899</v>
      </c>
      <c r="AA5368">
        <v>0.7680053</v>
      </c>
      <c r="AB5368">
        <v>22</v>
      </c>
      <c r="AC5368">
        <v>0.61959999999999105</v>
      </c>
      <c r="AD5368">
        <v>-8.8709000000000093E-2</v>
      </c>
      <c r="AE5368">
        <v>-0.421849999999999</v>
      </c>
      <c r="AF5368">
        <v>-0.56066981007510897</v>
      </c>
      <c r="AG5368">
        <v>-8.8709000000000093E-2</v>
      </c>
      <c r="AH5368">
        <v>0.48176441386476698</v>
      </c>
      <c r="AI5368">
        <v>96.842963527464406</v>
      </c>
      <c r="AJ5368">
        <v>139.328658250003</v>
      </c>
      <c r="AK5368">
        <v>0.74452459534734095</v>
      </c>
    </row>
    <row r="5369" spans="1:37" x14ac:dyDescent="0.2">
      <c r="A5369" t="str">
        <f>"20200111153538404"</f>
        <v>20200111153538404</v>
      </c>
      <c r="B5369" t="str">
        <f>"1578728138400908"</f>
        <v>1578728138400908</v>
      </c>
      <c r="C5369" t="s">
        <v>37</v>
      </c>
      <c r="D5369">
        <v>4.9249989999999997</v>
      </c>
      <c r="E5369">
        <v>0.45881919999999998</v>
      </c>
      <c r="F5369" t="s">
        <v>65</v>
      </c>
      <c r="G5369">
        <v>-293.56950000000001</v>
      </c>
      <c r="H5369" s="1">
        <v>-4.9103750000000004E-6</v>
      </c>
      <c r="I5369">
        <v>-46.006500000000003</v>
      </c>
      <c r="J5369">
        <v>-301.67099999999999</v>
      </c>
      <c r="K5369">
        <v>1.1092469999999901</v>
      </c>
      <c r="L5369">
        <v>-38.45496</v>
      </c>
      <c r="M5369">
        <v>0.1195981</v>
      </c>
      <c r="N5369">
        <v>0</v>
      </c>
      <c r="O5369">
        <v>-0.9927298</v>
      </c>
      <c r="P5369">
        <v>0.45524599999999998</v>
      </c>
      <c r="Q5369">
        <v>2.5245199999999999E-2</v>
      </c>
      <c r="R5369">
        <v>-0.89000820000000003</v>
      </c>
      <c r="S5369">
        <v>2.308929</v>
      </c>
      <c r="T5369">
        <v>-0.31478220000000001</v>
      </c>
      <c r="U5369">
        <v>-2.2075200000000001</v>
      </c>
      <c r="V5369">
        <v>-0.34590650000000001</v>
      </c>
      <c r="W5369">
        <v>3.4312019999999999E-2</v>
      </c>
      <c r="X5369">
        <v>0.93764139999999996</v>
      </c>
      <c r="Y5369">
        <v>-0.63124999999999998</v>
      </c>
      <c r="Z5369">
        <v>0.1015527</v>
      </c>
      <c r="AA5369">
        <v>0.76890219999999998</v>
      </c>
      <c r="AB5369">
        <v>22</v>
      </c>
      <c r="AC5369">
        <v>8.1014999999999802</v>
      </c>
      <c r="AD5369">
        <v>-1.10925191037499</v>
      </c>
      <c r="AE5369">
        <v>-7.5515400000000001</v>
      </c>
      <c r="AF5369">
        <v>-7.0691937817054598</v>
      </c>
      <c r="AG5369">
        <v>-1.10925191037499</v>
      </c>
      <c r="AH5369">
        <v>8.38225613438523</v>
      </c>
      <c r="AI5369">
        <v>95.7764515459818</v>
      </c>
      <c r="AJ5369">
        <v>130.14268163065</v>
      </c>
      <c r="AK5369">
        <v>11.0211686506655</v>
      </c>
    </row>
    <row r="5370" spans="1:37" x14ac:dyDescent="0.2">
      <c r="A5370" t="str">
        <f>"20200111153538427"</f>
        <v>20200111153538427</v>
      </c>
      <c r="B5370" t="str">
        <f>"1578728138421404"</f>
        <v>1578728138421404</v>
      </c>
      <c r="C5370" t="s">
        <v>37</v>
      </c>
      <c r="D5370">
        <v>4.8505979999999997</v>
      </c>
      <c r="E5370">
        <v>0.4660781</v>
      </c>
      <c r="F5370" t="s">
        <v>40</v>
      </c>
      <c r="G5370">
        <v>-301.1345</v>
      </c>
      <c r="H5370">
        <v>1.016694</v>
      </c>
      <c r="I5370">
        <v>-39.280619999999999</v>
      </c>
      <c r="J5370">
        <v>-301.63720000000001</v>
      </c>
      <c r="K5370">
        <v>1.109232</v>
      </c>
      <c r="L5370">
        <v>-38.664729999999999</v>
      </c>
      <c r="M5370">
        <v>0.12676469999999901</v>
      </c>
      <c r="N5370">
        <v>0</v>
      </c>
      <c r="O5370">
        <v>-0.9918401</v>
      </c>
      <c r="P5370">
        <v>0.46085329999999902</v>
      </c>
      <c r="Q5370">
        <v>2.4566919999999999E-2</v>
      </c>
      <c r="R5370">
        <v>-0.88713679999999995</v>
      </c>
      <c r="S5370">
        <v>1.6481319999999999</v>
      </c>
      <c r="T5370">
        <v>-0.28426259999999998</v>
      </c>
      <c r="U5370">
        <v>-2.5357669999999999</v>
      </c>
      <c r="V5370">
        <v>-0.34504089999999998</v>
      </c>
      <c r="W5370">
        <v>3.3660080000000002E-2</v>
      </c>
      <c r="X5370">
        <v>0.93798389999999998</v>
      </c>
      <c r="Y5370">
        <v>-0.43178100000000003</v>
      </c>
      <c r="Z5370">
        <v>9.5529219999999998E-2</v>
      </c>
      <c r="AA5370">
        <v>0.89690539999999996</v>
      </c>
      <c r="AB5370">
        <v>22</v>
      </c>
      <c r="AC5370">
        <v>0.50270000000000403</v>
      </c>
      <c r="AD5370">
        <v>-9.2537999999999995E-2</v>
      </c>
      <c r="AE5370">
        <v>-0.61589000000000005</v>
      </c>
      <c r="AF5370">
        <v>-0.41494158327000102</v>
      </c>
      <c r="AG5370">
        <v>-9.2537999999999995E-2</v>
      </c>
      <c r="AH5370">
        <v>0.66563247192163499</v>
      </c>
      <c r="AI5370">
        <v>96.728472777578801</v>
      </c>
      <c r="AJ5370">
        <v>121.938564247068</v>
      </c>
      <c r="AK5370">
        <v>0.78981414690237195</v>
      </c>
    </row>
    <row r="5371" spans="1:37" x14ac:dyDescent="0.2">
      <c r="A5371" t="str">
        <f>"20200111153538450"</f>
        <v>20200111153538450</v>
      </c>
      <c r="B5371" t="str">
        <f>"1578728138440924"</f>
        <v>1578728138440924</v>
      </c>
      <c r="C5371" t="s">
        <v>37</v>
      </c>
      <c r="D5371">
        <v>4.8566149999999997</v>
      </c>
      <c r="E5371">
        <v>0.46634719999999902</v>
      </c>
      <c r="F5371" t="s">
        <v>65</v>
      </c>
      <c r="G5371">
        <v>-295.19470000000001</v>
      </c>
      <c r="H5371" s="1">
        <v>-5.8912419999999902E-6</v>
      </c>
      <c r="I5371">
        <v>-48.85924</v>
      </c>
      <c r="J5371">
        <v>-301.6003</v>
      </c>
      <c r="K5371">
        <v>1.109213</v>
      </c>
      <c r="L5371">
        <v>-38.883540000000004</v>
      </c>
      <c r="M5371">
        <v>0.13425809999999999</v>
      </c>
      <c r="N5371">
        <v>0</v>
      </c>
      <c r="O5371">
        <v>-0.99085369999999995</v>
      </c>
      <c r="P5371">
        <v>0.46665499999999999</v>
      </c>
      <c r="Q5371">
        <v>2.4158450000000001E-2</v>
      </c>
      <c r="R5371">
        <v>-0.8841099</v>
      </c>
      <c r="S5371">
        <v>1.612549</v>
      </c>
      <c r="T5371">
        <v>-0.27764030000000001</v>
      </c>
      <c r="U5371">
        <v>-2.551666</v>
      </c>
      <c r="V5371">
        <v>-0.34408829999999901</v>
      </c>
      <c r="W5371">
        <v>3.3282159999999998E-2</v>
      </c>
      <c r="X5371">
        <v>0.93834719999999905</v>
      </c>
      <c r="Y5371">
        <v>-0.41354659999999899</v>
      </c>
      <c r="Z5371">
        <v>9.3436359999999996E-2</v>
      </c>
      <c r="AA5371">
        <v>0.90567589999999998</v>
      </c>
      <c r="AB5371">
        <v>22</v>
      </c>
      <c r="AC5371">
        <v>6.40559999999999</v>
      </c>
      <c r="AD5371">
        <v>-1.109218891242</v>
      </c>
      <c r="AE5371">
        <v>-9.9756999999999891</v>
      </c>
      <c r="AF5371">
        <v>-4.9646922009436603</v>
      </c>
      <c r="AG5371">
        <v>-1.109218891242</v>
      </c>
      <c r="AH5371">
        <v>10.652198812920901</v>
      </c>
      <c r="AI5371">
        <v>95.391764215076904</v>
      </c>
      <c r="AJ5371">
        <v>114.98891099382899</v>
      </c>
      <c r="AK5371">
        <v>11.804570078947901</v>
      </c>
    </row>
    <row r="5372" spans="1:37" x14ac:dyDescent="0.2">
      <c r="A5372" t="str">
        <f>"20200111153538470"</f>
        <v>20200111153538470</v>
      </c>
      <c r="B5372" t="str">
        <f>"1578728138461420"</f>
        <v>1578728138461420</v>
      </c>
      <c r="C5372" t="s">
        <v>37</v>
      </c>
      <c r="D5372">
        <v>4.8755220000000001</v>
      </c>
      <c r="E5372">
        <v>0.46616170000000001</v>
      </c>
      <c r="F5372" t="s">
        <v>65</v>
      </c>
      <c r="G5372">
        <v>-295.03590000000003</v>
      </c>
      <c r="H5372" s="1">
        <v>-6.0211739999999998E-6</v>
      </c>
      <c r="I5372">
        <v>-49.136989999999997</v>
      </c>
      <c r="J5372">
        <v>-301.56720000000001</v>
      </c>
      <c r="K5372">
        <v>1.1092029999999999</v>
      </c>
      <c r="L5372">
        <v>-39.071840000000002</v>
      </c>
      <c r="M5372">
        <v>0.14072109999999999</v>
      </c>
      <c r="N5372">
        <v>0</v>
      </c>
      <c r="O5372">
        <v>-0.98995630000000001</v>
      </c>
      <c r="P5372">
        <v>0.47180359999999999</v>
      </c>
      <c r="Q5372">
        <v>2.3919510000000001E-2</v>
      </c>
      <c r="R5372">
        <v>-0.88137909999999997</v>
      </c>
      <c r="S5372">
        <v>1.627319</v>
      </c>
      <c r="T5372">
        <v>-0.27497349999999998</v>
      </c>
      <c r="U5372">
        <v>-2.5418090000000002</v>
      </c>
      <c r="V5372">
        <v>-0.3434334</v>
      </c>
      <c r="W5372">
        <v>3.3066270000000002E-2</v>
      </c>
      <c r="X5372">
        <v>0.93859479999999995</v>
      </c>
      <c r="Y5372">
        <v>-0.41298019999999902</v>
      </c>
      <c r="Z5372">
        <v>9.2600000000000002E-2</v>
      </c>
      <c r="AA5372">
        <v>0.90602019999999905</v>
      </c>
      <c r="AB5372">
        <v>22</v>
      </c>
      <c r="AC5372">
        <v>6.5312999999999803</v>
      </c>
      <c r="AD5372">
        <v>-1.109209021174</v>
      </c>
      <c r="AE5372">
        <v>-10.065149999999999</v>
      </c>
      <c r="AF5372">
        <v>-5.0069970002450397</v>
      </c>
      <c r="AG5372">
        <v>-1.109209021174</v>
      </c>
      <c r="AH5372">
        <v>10.791923107756</v>
      </c>
      <c r="AI5372">
        <v>95.326592143033295</v>
      </c>
      <c r="AJ5372">
        <v>114.88931097677499</v>
      </c>
      <c r="AK5372">
        <v>11.948471365694999</v>
      </c>
    </row>
    <row r="5373" spans="1:37" x14ac:dyDescent="0.2">
      <c r="A5373" t="str">
        <f>"20200111153538492"</f>
        <v>20200111153538492</v>
      </c>
      <c r="B5373" t="str">
        <f>"1578728138480942"</f>
        <v>1578728138480942</v>
      </c>
      <c r="C5373" t="s">
        <v>37</v>
      </c>
      <c r="D5373">
        <v>4.8606579999999999</v>
      </c>
      <c r="E5373">
        <v>0.46619159999999998</v>
      </c>
      <c r="F5373" t="s">
        <v>65</v>
      </c>
      <c r="G5373">
        <v>-294.9341</v>
      </c>
      <c r="H5373" s="1">
        <v>-6.0946510000000004E-6</v>
      </c>
      <c r="I5373">
        <v>-49.289140000000003</v>
      </c>
      <c r="J5373">
        <v>-301.52890000000002</v>
      </c>
      <c r="K5373">
        <v>1.1091949999999999</v>
      </c>
      <c r="L5373">
        <v>-39.281309999999998</v>
      </c>
      <c r="M5373">
        <v>0.14793000000000001</v>
      </c>
      <c r="N5373">
        <v>0</v>
      </c>
      <c r="O5373">
        <v>-0.98890460000000002</v>
      </c>
      <c r="P5373">
        <v>0.47792820000000003</v>
      </c>
      <c r="Q5373">
        <v>2.3961449999999999E-2</v>
      </c>
      <c r="R5373">
        <v>-0.87807230000000003</v>
      </c>
      <c r="S5373">
        <v>1.6434629999999999</v>
      </c>
      <c r="T5373">
        <v>-0.2748237</v>
      </c>
      <c r="U5373">
        <v>-2.5314939999999999</v>
      </c>
      <c r="V5373">
        <v>-0.34312929999999903</v>
      </c>
      <c r="W5373">
        <v>3.3122029999999997E-2</v>
      </c>
      <c r="X5373">
        <v>0.93870399999999998</v>
      </c>
      <c r="Y5373">
        <v>-0.41210259999999999</v>
      </c>
      <c r="Z5373">
        <v>9.2587550000000005E-2</v>
      </c>
      <c r="AA5373">
        <v>0.90642099999999903</v>
      </c>
      <c r="AB5373">
        <v>22</v>
      </c>
      <c r="AC5373">
        <v>6.5948000000000198</v>
      </c>
      <c r="AD5373">
        <v>-1.109201094651</v>
      </c>
      <c r="AE5373">
        <v>-10.00783</v>
      </c>
      <c r="AF5373">
        <v>-4.9988203884373501</v>
      </c>
      <c r="AG5373">
        <v>-1.109201094651</v>
      </c>
      <c r="AH5373">
        <v>10.781022425031001</v>
      </c>
      <c r="AI5373">
        <v>95.332494406381201</v>
      </c>
      <c r="AJ5373">
        <v>114.875668930514</v>
      </c>
      <c r="AK5373">
        <v>11.935199071370899</v>
      </c>
    </row>
    <row r="5374" spans="1:37" x14ac:dyDescent="0.2">
      <c r="A5374" t="str">
        <f>"20200111153538516"</f>
        <v>20200111153538516</v>
      </c>
      <c r="B5374" t="str">
        <f>"1578728138511197"</f>
        <v>1578728138511197</v>
      </c>
      <c r="C5374" t="s">
        <v>37</v>
      </c>
      <c r="D5374">
        <v>4.8881379999999996</v>
      </c>
      <c r="E5374">
        <v>0.46622970000000002</v>
      </c>
      <c r="F5374" t="s">
        <v>65</v>
      </c>
      <c r="G5374">
        <v>-294.7595</v>
      </c>
      <c r="H5374" s="1">
        <v>-6.222181E-6</v>
      </c>
      <c r="I5374">
        <v>-49.554040000000001</v>
      </c>
      <c r="J5374">
        <v>-301.48759999999999</v>
      </c>
      <c r="K5374">
        <v>1.1092010000000001</v>
      </c>
      <c r="L5374">
        <v>-39.49756</v>
      </c>
      <c r="M5374">
        <v>0.15540409999999999</v>
      </c>
      <c r="N5374">
        <v>0</v>
      </c>
      <c r="O5374">
        <v>-0.98775759999999901</v>
      </c>
      <c r="P5374">
        <v>0.48444870000000001</v>
      </c>
      <c r="Q5374">
        <v>2.4627219999999998E-2</v>
      </c>
      <c r="R5374">
        <v>-0.87447330000000001</v>
      </c>
      <c r="S5374">
        <v>1.6606749999999999</v>
      </c>
      <c r="T5374">
        <v>-0.27210980000000001</v>
      </c>
      <c r="U5374">
        <v>-2.520111</v>
      </c>
      <c r="V5374">
        <v>-0.34302490000000002</v>
      </c>
      <c r="W5374">
        <v>3.3792559999999999E-2</v>
      </c>
      <c r="X5374">
        <v>0.93871830000000001</v>
      </c>
      <c r="Y5374">
        <v>-0.4114603</v>
      </c>
      <c r="Z5374">
        <v>9.1720969999999999E-2</v>
      </c>
      <c r="AA5374">
        <v>0.90680079999999996</v>
      </c>
      <c r="AB5374">
        <v>22</v>
      </c>
      <c r="AC5374">
        <v>6.72809999999998</v>
      </c>
      <c r="AD5374">
        <v>-1.1092072221810001</v>
      </c>
      <c r="AE5374">
        <v>-10.056480000000001</v>
      </c>
      <c r="AF5374">
        <v>-5.0410181100403104</v>
      </c>
      <c r="AG5374">
        <v>-1.1092072221810001</v>
      </c>
      <c r="AH5374">
        <v>10.888445707544101</v>
      </c>
      <c r="AI5374">
        <v>95.281612962644999</v>
      </c>
      <c r="AJ5374">
        <v>114.84269686928501</v>
      </c>
      <c r="AK5374">
        <v>12.049915110639899</v>
      </c>
    </row>
    <row r="5375" spans="1:37" x14ac:dyDescent="0.2">
      <c r="A5375" t="str">
        <f>"20200111153538538"</f>
        <v>20200111153538538</v>
      </c>
      <c r="B5375" t="str">
        <f>"1578728138530717"</f>
        <v>1578728138530717</v>
      </c>
      <c r="C5375" t="s">
        <v>37</v>
      </c>
      <c r="D5375">
        <v>4.8776359999999999</v>
      </c>
      <c r="E5375">
        <v>0.46599629999999997</v>
      </c>
      <c r="F5375" t="s">
        <v>65</v>
      </c>
      <c r="G5375">
        <v>-294.46719999999999</v>
      </c>
      <c r="H5375" s="1">
        <v>-6.4282839999999902E-6</v>
      </c>
      <c r="I5375">
        <v>-49.978009999999998</v>
      </c>
      <c r="J5375">
        <v>-301.445999999999</v>
      </c>
      <c r="K5375">
        <v>1.1092200000000001</v>
      </c>
      <c r="L5375">
        <v>-39.706759999999903</v>
      </c>
      <c r="M5375">
        <v>0.1626697</v>
      </c>
      <c r="N5375">
        <v>0</v>
      </c>
      <c r="O5375">
        <v>-0.986587199999999</v>
      </c>
      <c r="P5375">
        <v>0.49000649999999901</v>
      </c>
      <c r="Q5375">
        <v>2.5640320000000001E-2</v>
      </c>
      <c r="R5375">
        <v>-0.87134210000000001</v>
      </c>
      <c r="S5375">
        <v>1.679718</v>
      </c>
      <c r="T5375">
        <v>-0.26539049999999997</v>
      </c>
      <c r="U5375">
        <v>-2.507568</v>
      </c>
      <c r="V5375">
        <v>-0.34210859999999998</v>
      </c>
      <c r="W5375">
        <v>3.4815249999999999E-2</v>
      </c>
      <c r="X5375">
        <v>0.9390153</v>
      </c>
      <c r="Y5375">
        <v>-0.41172179999999903</v>
      </c>
      <c r="Z5375">
        <v>8.9507799999999998E-2</v>
      </c>
      <c r="AA5375">
        <v>0.90690329999999997</v>
      </c>
      <c r="AB5375">
        <v>22</v>
      </c>
      <c r="AC5375">
        <v>6.9787999999999704</v>
      </c>
      <c r="AD5375">
        <v>-1.1092264282840001</v>
      </c>
      <c r="AE5375">
        <v>-10.27125</v>
      </c>
      <c r="AF5375">
        <v>-5.1735740048241796</v>
      </c>
      <c r="AG5375">
        <v>-1.1092264282840001</v>
      </c>
      <c r="AH5375">
        <v>11.1805515526138</v>
      </c>
      <c r="AI5375">
        <v>95.144930682585795</v>
      </c>
      <c r="AJ5375">
        <v>114.831385233338</v>
      </c>
      <c r="AK5375">
        <v>12.369356663676999</v>
      </c>
    </row>
    <row r="5376" spans="1:37" x14ac:dyDescent="0.2">
      <c r="A5376" t="str">
        <f>"20200111153538561"</f>
        <v>20200111153538561</v>
      </c>
      <c r="B5376" t="str">
        <f>"1578728138551213"</f>
        <v>1578728138551213</v>
      </c>
      <c r="C5376" t="s">
        <v>37</v>
      </c>
      <c r="D5376">
        <v>4.8923120000000004</v>
      </c>
      <c r="E5376">
        <v>0.46592470000000002</v>
      </c>
      <c r="F5376" t="s">
        <v>65</v>
      </c>
      <c r="G5376">
        <v>-294.2353</v>
      </c>
      <c r="H5376" s="1">
        <v>-6.58928E-6</v>
      </c>
      <c r="I5376">
        <v>-50.307699999999997</v>
      </c>
      <c r="J5376">
        <v>-301.40050000000002</v>
      </c>
      <c r="K5376">
        <v>1.109251</v>
      </c>
      <c r="L5376">
        <v>-39.926540000000003</v>
      </c>
      <c r="M5376">
        <v>0.1703607</v>
      </c>
      <c r="N5376">
        <v>0</v>
      </c>
      <c r="O5376">
        <v>-0.98528799999999905</v>
      </c>
      <c r="P5376">
        <v>0.49564730000000001</v>
      </c>
      <c r="Q5376">
        <v>2.7331370000000001E-2</v>
      </c>
      <c r="R5376">
        <v>-0.86809389999999997</v>
      </c>
      <c r="S5376">
        <v>1.6977229999999901</v>
      </c>
      <c r="T5376">
        <v>-0.26115870000000002</v>
      </c>
      <c r="U5376">
        <v>-2.495911</v>
      </c>
      <c r="V5376">
        <v>-0.34090110000000001</v>
      </c>
      <c r="W5376">
        <v>3.6511710000000003E-2</v>
      </c>
      <c r="X5376">
        <v>0.939389899999999</v>
      </c>
      <c r="Y5376">
        <v>-0.41113319999999998</v>
      </c>
      <c r="Z5376">
        <v>8.8105600000000006E-2</v>
      </c>
      <c r="AA5376">
        <v>0.90730750000000004</v>
      </c>
      <c r="AB5376">
        <v>22</v>
      </c>
      <c r="AC5376">
        <v>7.16520000000002</v>
      </c>
      <c r="AD5376">
        <v>-1.1092575892799901</v>
      </c>
      <c r="AE5376">
        <v>-10.3811599999999</v>
      </c>
      <c r="AF5376">
        <v>-5.2511237313284402</v>
      </c>
      <c r="AG5376">
        <v>-1.1092575892799901</v>
      </c>
      <c r="AH5376">
        <v>11.3622895581794</v>
      </c>
      <c r="AI5376">
        <v>95.064316622171106</v>
      </c>
      <c r="AJ5376">
        <v>114.80419220863401</v>
      </c>
      <c r="AK5376">
        <v>12.5660804089823</v>
      </c>
    </row>
    <row r="5377" spans="1:37" x14ac:dyDescent="0.2">
      <c r="A5377" t="str">
        <f>"20200111153538583"</f>
        <v>20200111153538583</v>
      </c>
      <c r="B5377" t="str">
        <f>"1578728138570734"</f>
        <v>1578728138570734</v>
      </c>
      <c r="C5377" t="s">
        <v>37</v>
      </c>
      <c r="D5377">
        <v>4.8898349999999997</v>
      </c>
      <c r="E5377">
        <v>0.46585690000000002</v>
      </c>
      <c r="F5377" t="s">
        <v>40</v>
      </c>
      <c r="G5377">
        <v>-300.79169999999999</v>
      </c>
      <c r="H5377">
        <v>1.0185819999999901</v>
      </c>
      <c r="I5377">
        <v>-40.808700000000002</v>
      </c>
      <c r="J5377">
        <v>-301.3569</v>
      </c>
      <c r="K5377">
        <v>1.1092869999999999</v>
      </c>
      <c r="L5377">
        <v>-40.129089999999998</v>
      </c>
      <c r="M5377">
        <v>0.17752100000000001</v>
      </c>
      <c r="N5377">
        <v>0</v>
      </c>
      <c r="O5377">
        <v>-0.98402400000000001</v>
      </c>
      <c r="P5377">
        <v>0.50111939999999999</v>
      </c>
      <c r="Q5377">
        <v>2.8657269999999999E-2</v>
      </c>
      <c r="R5377">
        <v>-0.86490400000000001</v>
      </c>
      <c r="S5377">
        <v>1.7151179999999999</v>
      </c>
      <c r="T5377">
        <v>-0.25538539999999998</v>
      </c>
      <c r="U5377">
        <v>-2.4845890000000002</v>
      </c>
      <c r="V5377">
        <v>-0.34002709999999903</v>
      </c>
      <c r="W5377">
        <v>3.7779699999999999E-2</v>
      </c>
      <c r="X5377">
        <v>0.93965650000000001</v>
      </c>
      <c r="Y5377">
        <v>-0.41084229999999999</v>
      </c>
      <c r="Z5377">
        <v>8.6178779999999996E-2</v>
      </c>
      <c r="AA5377">
        <v>0.90762419999999999</v>
      </c>
      <c r="AB5377">
        <v>22</v>
      </c>
      <c r="AC5377">
        <v>0.56520000000000403</v>
      </c>
      <c r="AD5377">
        <v>-9.0705000000000202E-2</v>
      </c>
      <c r="AE5377">
        <v>-0.67960999999999605</v>
      </c>
      <c r="AF5377">
        <v>-0.43102643007500002</v>
      </c>
      <c r="AG5377">
        <v>-9.0705000000000202E-2</v>
      </c>
      <c r="AH5377">
        <v>0.76114290328543999</v>
      </c>
      <c r="AI5377">
        <v>95.920235356173393</v>
      </c>
      <c r="AJ5377">
        <v>119.52237629667999</v>
      </c>
      <c r="AK5377">
        <v>0.87940303596814395</v>
      </c>
    </row>
    <row r="5378" spans="1:37" x14ac:dyDescent="0.2">
      <c r="A5378" t="str">
        <f>"20200111153538606"</f>
        <v>20200111153538606</v>
      </c>
      <c r="B5378" t="str">
        <f>"1578728138600988"</f>
        <v>1578728138600988</v>
      </c>
      <c r="C5378" t="s">
        <v>37</v>
      </c>
      <c r="D5378">
        <v>4.8742549999999998</v>
      </c>
      <c r="E5378">
        <v>0.46576790000000001</v>
      </c>
      <c r="F5378" t="s">
        <v>65</v>
      </c>
      <c r="G5378">
        <v>-293.71260000000001</v>
      </c>
      <c r="H5378" s="1">
        <v>-9.4039410000000004E-6</v>
      </c>
      <c r="I5378">
        <v>-51.051119999999997</v>
      </c>
      <c r="J5378">
        <v>-301.31009999999998</v>
      </c>
      <c r="K5378">
        <v>1.1092959999999901</v>
      </c>
      <c r="L5378">
        <v>-40.339109999999998</v>
      </c>
      <c r="M5378">
        <v>0.18504670000000001</v>
      </c>
      <c r="N5378">
        <v>0</v>
      </c>
      <c r="O5378">
        <v>-0.98263959999999995</v>
      </c>
      <c r="P5378">
        <v>0.50656769999999995</v>
      </c>
      <c r="Q5378">
        <v>2.9411179999999999E-2</v>
      </c>
      <c r="R5378">
        <v>-0.86169859999999898</v>
      </c>
      <c r="S5378">
        <v>1.731384</v>
      </c>
      <c r="T5378">
        <v>-0.25124999999999997</v>
      </c>
      <c r="U5378">
        <v>-2.4737849999999999</v>
      </c>
      <c r="V5378">
        <v>-0.33878190000000002</v>
      </c>
      <c r="W5378">
        <v>3.8281919999999997E-2</v>
      </c>
      <c r="X5378">
        <v>0.94008579999999997</v>
      </c>
      <c r="Y5378">
        <v>-0.40980759999999999</v>
      </c>
      <c r="Z5378">
        <v>8.4791710000000006E-2</v>
      </c>
      <c r="AA5378">
        <v>0.90822250000000004</v>
      </c>
      <c r="AB5378">
        <v>22</v>
      </c>
      <c r="AC5378">
        <v>7.5974999999999602</v>
      </c>
      <c r="AD5378">
        <v>-1.10930540394099</v>
      </c>
      <c r="AE5378">
        <v>-10.712009999999999</v>
      </c>
      <c r="AF5378">
        <v>-5.44501805563681</v>
      </c>
      <c r="AG5378">
        <v>-1.10930540394099</v>
      </c>
      <c r="AH5378">
        <v>11.848456332121801</v>
      </c>
      <c r="AI5378">
        <v>94.862518733047807</v>
      </c>
      <c r="AJ5378">
        <v>114.68138572933999</v>
      </c>
      <c r="AK5378">
        <v>13.086813881140801</v>
      </c>
    </row>
    <row r="5379" spans="1:37" x14ac:dyDescent="0.2">
      <c r="A5379" t="str">
        <f>"20200111153538628"</f>
        <v>20200111153538628</v>
      </c>
      <c r="B5379" t="str">
        <f>"1578728138621484"</f>
        <v>1578728138621484</v>
      </c>
      <c r="C5379" t="s">
        <v>37</v>
      </c>
      <c r="D5379">
        <v>4.8482159999999999</v>
      </c>
      <c r="E5379">
        <v>0.46576640000000002</v>
      </c>
      <c r="F5379" t="s">
        <v>65</v>
      </c>
      <c r="G5379">
        <v>-293.51519999999999</v>
      </c>
      <c r="H5379" s="1">
        <v>-9.4430870000000005E-6</v>
      </c>
      <c r="I5379">
        <v>-51.319279999999999</v>
      </c>
      <c r="J5379">
        <v>-301.26080000000002</v>
      </c>
      <c r="K5379">
        <v>1.1093120000000001</v>
      </c>
      <c r="L5379">
        <v>-40.551850000000002</v>
      </c>
      <c r="M5379">
        <v>0.19267010000000001</v>
      </c>
      <c r="N5379">
        <v>0</v>
      </c>
      <c r="O5379">
        <v>-0.98117600000000005</v>
      </c>
      <c r="P5379">
        <v>0.51159719999999997</v>
      </c>
      <c r="Q5379">
        <v>2.98216E-2</v>
      </c>
      <c r="R5379">
        <v>-0.85870809999999997</v>
      </c>
      <c r="S5379">
        <v>1.7480469999999999</v>
      </c>
      <c r="T5379">
        <v>-0.24876860000000001</v>
      </c>
      <c r="U5379">
        <v>-2.4623719999999998</v>
      </c>
      <c r="V5379">
        <v>-0.3369896</v>
      </c>
      <c r="W5379">
        <v>3.8484909999999997E-2</v>
      </c>
      <c r="X5379">
        <v>0.94072149999999999</v>
      </c>
      <c r="Y5379">
        <v>-0.4088463</v>
      </c>
      <c r="Z5379">
        <v>8.3957980000000001E-2</v>
      </c>
      <c r="AA5379">
        <v>0.90873300000000001</v>
      </c>
      <c r="AB5379">
        <v>22</v>
      </c>
      <c r="AC5379">
        <v>7.74560000000002</v>
      </c>
      <c r="AD5379">
        <v>-1.109321443087</v>
      </c>
      <c r="AE5379">
        <v>-10.7674299999999</v>
      </c>
      <c r="AF5379">
        <v>-5.4873276198198404</v>
      </c>
      <c r="AG5379">
        <v>-1.109321443087</v>
      </c>
      <c r="AH5379">
        <v>11.9743684537329</v>
      </c>
      <c r="AI5379">
        <v>94.814057954157803</v>
      </c>
      <c r="AJ5379">
        <v>114.619908663649</v>
      </c>
      <c r="AK5379">
        <v>13.2184287393428</v>
      </c>
    </row>
    <row r="5380" spans="1:37" x14ac:dyDescent="0.2">
      <c r="A5380" t="str">
        <f>"20200111153538648"</f>
        <v>20200111153538648</v>
      </c>
      <c r="B5380" t="str">
        <f>"1578728138641004"</f>
        <v>1578728138641004</v>
      </c>
      <c r="C5380" t="s">
        <v>37</v>
      </c>
      <c r="D5380">
        <v>4.8576649999999999</v>
      </c>
      <c r="E5380">
        <v>0.46573540000000002</v>
      </c>
      <c r="F5380" t="s">
        <v>65</v>
      </c>
      <c r="G5380">
        <v>-293.34930000000003</v>
      </c>
      <c r="H5380" s="1">
        <v>-9.4744450000000001E-6</v>
      </c>
      <c r="I5380">
        <v>-51.558169999999997</v>
      </c>
      <c r="J5380">
        <v>-301.21589999999998</v>
      </c>
      <c r="K5380">
        <v>1.109332</v>
      </c>
      <c r="L5380">
        <v>-40.739319999999999</v>
      </c>
      <c r="M5380">
        <v>0.1994206</v>
      </c>
      <c r="N5380">
        <v>0</v>
      </c>
      <c r="O5380">
        <v>-0.97982719999999901</v>
      </c>
      <c r="P5380">
        <v>0.51635940000000002</v>
      </c>
      <c r="Q5380">
        <v>3.0049090000000001E-2</v>
      </c>
      <c r="R5380">
        <v>-0.85584519999999997</v>
      </c>
      <c r="S5380">
        <v>1.7625729999999999</v>
      </c>
      <c r="T5380">
        <v>-0.24714169999999999</v>
      </c>
      <c r="U5380">
        <v>-2.4520569999999999</v>
      </c>
      <c r="V5380">
        <v>-0.33574369999999998</v>
      </c>
      <c r="W5380">
        <v>3.8651669999999999E-2</v>
      </c>
      <c r="X5380">
        <v>0.94116</v>
      </c>
      <c r="Y5380">
        <v>-0.40795599999999999</v>
      </c>
      <c r="Z5380">
        <v>8.3410960000000006E-2</v>
      </c>
      <c r="AA5380">
        <v>0.90918339999999997</v>
      </c>
      <c r="AB5380">
        <v>22</v>
      </c>
      <c r="AC5380">
        <v>7.8665999999999396</v>
      </c>
      <c r="AD5380">
        <v>-1.1093414744450001</v>
      </c>
      <c r="AE5380">
        <v>-10.818849999999999</v>
      </c>
      <c r="AF5380">
        <v>-5.5129624988339998</v>
      </c>
      <c r="AG5380">
        <v>-1.1093414744450001</v>
      </c>
      <c r="AH5380">
        <v>12.0872676600865</v>
      </c>
      <c r="AI5380">
        <v>94.773265287118406</v>
      </c>
      <c r="AJ5380">
        <v>114.51757084851999</v>
      </c>
      <c r="AK5380">
        <v>13.3313702786715</v>
      </c>
    </row>
    <row r="5381" spans="1:37" x14ac:dyDescent="0.2">
      <c r="A5381" t="str">
        <f>"20200111153538671"</f>
        <v>20200111153538671</v>
      </c>
      <c r="B5381" t="str">
        <f>"1578728138661501"</f>
        <v>1578728138661501</v>
      </c>
      <c r="C5381" t="s">
        <v>37</v>
      </c>
      <c r="D5381">
        <v>4.8168629999999997</v>
      </c>
      <c r="E5381">
        <v>0.46570539999999999</v>
      </c>
      <c r="F5381" t="s">
        <v>65</v>
      </c>
      <c r="G5381">
        <v>-293.19310000000002</v>
      </c>
      <c r="H5381" s="1">
        <v>-9.5056990000000001E-6</v>
      </c>
      <c r="I5381">
        <v>-51.767759999999903</v>
      </c>
      <c r="J5381">
        <v>-301.16559999999998</v>
      </c>
      <c r="K5381">
        <v>1.1093519999999999</v>
      </c>
      <c r="L5381">
        <v>-40.94238</v>
      </c>
      <c r="M5381">
        <v>0.2068412</v>
      </c>
      <c r="N5381">
        <v>0</v>
      </c>
      <c r="O5381">
        <v>-0.97828789999999999</v>
      </c>
      <c r="P5381">
        <v>0.52204949999999894</v>
      </c>
      <c r="Q5381">
        <v>3.0657070000000002E-2</v>
      </c>
      <c r="R5381">
        <v>-0.85236440000000002</v>
      </c>
      <c r="S5381">
        <v>1.7765200000000001</v>
      </c>
      <c r="T5381">
        <v>-0.24564659999999999</v>
      </c>
      <c r="U5381">
        <v>-2.442078</v>
      </c>
      <c r="V5381">
        <v>-0.33489219999999997</v>
      </c>
      <c r="W5381">
        <v>3.92406E-2</v>
      </c>
      <c r="X5381">
        <v>0.94143899999999903</v>
      </c>
      <c r="Y5381">
        <v>-0.406228599999999</v>
      </c>
      <c r="Z5381">
        <v>8.2894739999999995E-2</v>
      </c>
      <c r="AA5381">
        <v>0.91000369999999997</v>
      </c>
      <c r="AB5381">
        <v>22</v>
      </c>
      <c r="AC5381">
        <v>7.9724999999999602</v>
      </c>
      <c r="AD5381">
        <v>-1.1093615056990001</v>
      </c>
      <c r="AE5381">
        <v>-10.8253799999999</v>
      </c>
      <c r="AF5381">
        <v>-5.5231312492470597</v>
      </c>
      <c r="AG5381">
        <v>-1.1093615056990001</v>
      </c>
      <c r="AH5381">
        <v>12.1576385753789</v>
      </c>
      <c r="AI5381">
        <v>94.749062329805994</v>
      </c>
      <c r="AJ5381">
        <v>114.43197035644501</v>
      </c>
      <c r="AK5381">
        <v>13.399396907184901</v>
      </c>
    </row>
    <row r="5382" spans="1:37" x14ac:dyDescent="0.2">
      <c r="A5382" t="str">
        <f>"20200111153538693"</f>
        <v>20200111153538693</v>
      </c>
      <c r="B5382" t="str">
        <f>"1578728138690781"</f>
        <v>1578728138690781</v>
      </c>
      <c r="C5382" t="s">
        <v>37</v>
      </c>
      <c r="D5382">
        <v>4.5838099999999997</v>
      </c>
      <c r="E5382">
        <v>0.46367199999999997</v>
      </c>
      <c r="F5382" t="s">
        <v>65</v>
      </c>
      <c r="G5382">
        <v>-292.95409999999998</v>
      </c>
      <c r="H5382" s="1">
        <v>-9.5557439999999994E-6</v>
      </c>
      <c r="I5382">
        <v>-52.068579999999997</v>
      </c>
      <c r="J5382">
        <v>-301.11250000000001</v>
      </c>
      <c r="K5382">
        <v>1.1093839999999999</v>
      </c>
      <c r="L5382">
        <v>-41.150329999999997</v>
      </c>
      <c r="M5382">
        <v>0.21454019999999999</v>
      </c>
      <c r="N5382">
        <v>0</v>
      </c>
      <c r="O5382">
        <v>-0.97662879999999996</v>
      </c>
      <c r="P5382">
        <v>0.5278429</v>
      </c>
      <c r="Q5382">
        <v>3.0373399999999998E-2</v>
      </c>
      <c r="R5382">
        <v>-0.84879910000000003</v>
      </c>
      <c r="S5382">
        <v>1.793396</v>
      </c>
      <c r="T5382">
        <v>-0.24228479999999999</v>
      </c>
      <c r="U5382">
        <v>-2.42996199999999</v>
      </c>
      <c r="V5382">
        <v>-0.3338854</v>
      </c>
      <c r="W5382">
        <v>3.8912309999999999E-2</v>
      </c>
      <c r="X5382">
        <v>0.94181019999999904</v>
      </c>
      <c r="Y5382">
        <v>-0.4053522</v>
      </c>
      <c r="Z5382">
        <v>8.1751870000000004E-2</v>
      </c>
      <c r="AA5382">
        <v>0.91049780000000002</v>
      </c>
      <c r="AB5382">
        <v>22</v>
      </c>
      <c r="AC5382">
        <v>8.1584000000000199</v>
      </c>
      <c r="AD5382">
        <v>-1.109393555744</v>
      </c>
      <c r="AE5382">
        <v>-10.91825</v>
      </c>
      <c r="AF5382">
        <v>-5.5887724721873804</v>
      </c>
      <c r="AG5382">
        <v>-1.109393555744</v>
      </c>
      <c r="AH5382">
        <v>12.3327221462109</v>
      </c>
      <c r="AI5382">
        <v>94.684054902205801</v>
      </c>
      <c r="AJ5382">
        <v>114.37842567355</v>
      </c>
      <c r="AK5382">
        <v>13.5853291216314</v>
      </c>
    </row>
    <row r="5383" spans="1:37" x14ac:dyDescent="0.2">
      <c r="A5383" t="str">
        <f>"20200111153538716"</f>
        <v>20200111153538716</v>
      </c>
      <c r="B5383" t="str">
        <f>"1578728138711276"</f>
        <v>1578728138711276</v>
      </c>
      <c r="C5383" t="s">
        <v>37</v>
      </c>
      <c r="D5383">
        <v>4.5977420000000002</v>
      </c>
      <c r="E5383">
        <v>0.36936560000000002</v>
      </c>
      <c r="F5383" t="s">
        <v>65</v>
      </c>
      <c r="G5383">
        <v>-292.78989999999999</v>
      </c>
      <c r="H5383" s="1">
        <v>-9.6049879999999992E-6</v>
      </c>
      <c r="I5383">
        <v>-52.143140000000002</v>
      </c>
      <c r="J5383">
        <v>-301.05810000000002</v>
      </c>
      <c r="K5383">
        <v>1.109426</v>
      </c>
      <c r="L5383">
        <v>-41.356479999999998</v>
      </c>
      <c r="M5383">
        <v>0.2221978</v>
      </c>
      <c r="N5383">
        <v>0</v>
      </c>
      <c r="O5383">
        <v>-0.97491589999999995</v>
      </c>
      <c r="P5383">
        <v>0.53344609999999903</v>
      </c>
      <c r="Q5383">
        <v>3.0421340000000002E-2</v>
      </c>
      <c r="R5383">
        <v>-0.84528740000000002</v>
      </c>
      <c r="S5383">
        <v>1.8237919999999901</v>
      </c>
      <c r="T5383">
        <v>-0.24310949999999901</v>
      </c>
      <c r="U5383">
        <v>-2.4089360000000002</v>
      </c>
      <c r="V5383">
        <v>-0.33272849999999998</v>
      </c>
      <c r="W5383">
        <v>3.8888489999999998E-2</v>
      </c>
      <c r="X5383">
        <v>0.94222050000000002</v>
      </c>
      <c r="Y5383">
        <v>-0.40929850000000001</v>
      </c>
      <c r="Z5383">
        <v>8.2025529999999999E-2</v>
      </c>
      <c r="AA5383">
        <v>0.90870589999999996</v>
      </c>
      <c r="AB5383">
        <v>22</v>
      </c>
      <c r="AC5383">
        <v>8.2682000000000304</v>
      </c>
      <c r="AD5383">
        <v>-1.1094356049880001</v>
      </c>
      <c r="AE5383">
        <v>-10.786659999999999</v>
      </c>
      <c r="AF5383">
        <v>-5.6270053991364497</v>
      </c>
      <c r="AG5383">
        <v>-1.1094356049880001</v>
      </c>
      <c r="AH5383">
        <v>12.2725168209105</v>
      </c>
      <c r="AI5383">
        <v>94.697676258788306</v>
      </c>
      <c r="AJ5383">
        <v>114.631673529076</v>
      </c>
      <c r="AK5383">
        <v>13.546538533627499</v>
      </c>
    </row>
    <row r="5384" spans="1:37" x14ac:dyDescent="0.2">
      <c r="A5384" t="str">
        <f>"20200111153538738"</f>
        <v>20200111153538738</v>
      </c>
      <c r="B5384" t="str">
        <f>"1578728138730796"</f>
        <v>1578728138730796</v>
      </c>
      <c r="C5384" t="s">
        <v>37</v>
      </c>
      <c r="D5384">
        <v>4.5996100000000002</v>
      </c>
      <c r="E5384">
        <v>0.34887479999999998</v>
      </c>
      <c r="F5384" t="s">
        <v>40</v>
      </c>
      <c r="G5384">
        <v>-300.34300000000002</v>
      </c>
      <c r="H5384">
        <v>1.0332410000000001</v>
      </c>
      <c r="I5384">
        <v>-41.932989999999997</v>
      </c>
      <c r="J5384">
        <v>-301.0016</v>
      </c>
      <c r="K5384">
        <v>1.1094729999999999</v>
      </c>
      <c r="L5384">
        <v>-41.563839999999999</v>
      </c>
      <c r="M5384">
        <v>0.22989039999999999</v>
      </c>
      <c r="N5384">
        <v>0</v>
      </c>
      <c r="O5384">
        <v>-0.97313119999999997</v>
      </c>
      <c r="P5384">
        <v>0.53907019999999894</v>
      </c>
      <c r="Q5384">
        <v>3.0413340000000001E-2</v>
      </c>
      <c r="R5384">
        <v>-0.84171189999999996</v>
      </c>
      <c r="S5384">
        <v>2.476105</v>
      </c>
      <c r="T5384">
        <v>-0.26375879999999902</v>
      </c>
      <c r="U5384">
        <v>-1.9959720000000001</v>
      </c>
      <c r="V5384">
        <v>-0.3315728</v>
      </c>
      <c r="W5384">
        <v>3.8816059999999999E-2</v>
      </c>
      <c r="X5384">
        <v>0.94263079999999999</v>
      </c>
      <c r="Y5384">
        <v>-0.6104522</v>
      </c>
      <c r="Z5384">
        <v>8.6934629999999999E-2</v>
      </c>
      <c r="AA5384">
        <v>0.78726770000000001</v>
      </c>
      <c r="AB5384">
        <v>22</v>
      </c>
      <c r="AC5384">
        <v>0.65859999999997798</v>
      </c>
      <c r="AD5384">
        <v>-7.62319999999998E-2</v>
      </c>
      <c r="AE5384">
        <v>-0.36915000000000397</v>
      </c>
      <c r="AF5384">
        <v>-0.55047434894177005</v>
      </c>
      <c r="AG5384">
        <v>-7.62319999999998E-2</v>
      </c>
      <c r="AH5384">
        <v>0.50552585365750602</v>
      </c>
      <c r="AI5384">
        <v>95.823961915071905</v>
      </c>
      <c r="AJ5384">
        <v>137.43731529663501</v>
      </c>
      <c r="AK5384">
        <v>0.75125875394767705</v>
      </c>
    </row>
    <row r="5385" spans="1:37" x14ac:dyDescent="0.2">
      <c r="A5385" t="str">
        <f>"20200111153538761"</f>
        <v>20200111153538761</v>
      </c>
      <c r="B5385" t="str">
        <f>"1578728138751292"</f>
        <v>1578728138751292</v>
      </c>
      <c r="C5385" t="s">
        <v>37</v>
      </c>
      <c r="D5385">
        <v>4.4791460000000001</v>
      </c>
      <c r="E5385">
        <v>0.351570099999999</v>
      </c>
      <c r="F5385" t="s">
        <v>40</v>
      </c>
      <c r="G5385">
        <v>-300.25689999999997</v>
      </c>
      <c r="H5385">
        <v>1.07622</v>
      </c>
      <c r="I5385">
        <v>-42.097659999999998</v>
      </c>
      <c r="J5385">
        <v>-300.94450000000001</v>
      </c>
      <c r="K5385">
        <v>1.1095189999999999</v>
      </c>
      <c r="L5385">
        <v>-41.766480000000001</v>
      </c>
      <c r="M5385">
        <v>0.23743</v>
      </c>
      <c r="N5385">
        <v>0</v>
      </c>
      <c r="O5385">
        <v>-0.97131970000000001</v>
      </c>
      <c r="P5385">
        <v>0.54490039999999995</v>
      </c>
      <c r="Q5385">
        <v>3.124453E-2</v>
      </c>
      <c r="R5385">
        <v>-0.83791890000000002</v>
      </c>
      <c r="S5385">
        <v>2.6296080000000002</v>
      </c>
      <c r="T5385">
        <v>-0.117382399999999</v>
      </c>
      <c r="U5385">
        <v>-1.884277</v>
      </c>
      <c r="V5385">
        <v>-0.33082610000000001</v>
      </c>
      <c r="W5385">
        <v>3.9606999999999899E-2</v>
      </c>
      <c r="X5385">
        <v>0.94286019999999904</v>
      </c>
      <c r="Y5385">
        <v>-0.65070329999999998</v>
      </c>
      <c r="Z5385">
        <v>3.8411229999999998E-2</v>
      </c>
      <c r="AA5385">
        <v>0.75836000000000003</v>
      </c>
      <c r="AB5385">
        <v>22</v>
      </c>
      <c r="AC5385">
        <v>0.68760000000003096</v>
      </c>
      <c r="AD5385">
        <v>-3.3298999999999898E-2</v>
      </c>
      <c r="AE5385">
        <v>-0.33117999999999598</v>
      </c>
      <c r="AF5385">
        <v>-0.588176309041618</v>
      </c>
      <c r="AG5385">
        <v>-3.3298999999999898E-2</v>
      </c>
      <c r="AH5385">
        <v>0.48405707459199598</v>
      </c>
      <c r="AI5385">
        <v>92.503024632725399</v>
      </c>
      <c r="AJ5385">
        <v>140.54631812986699</v>
      </c>
      <c r="AK5385">
        <v>0.76247717695769901</v>
      </c>
    </row>
    <row r="5386" spans="1:37" x14ac:dyDescent="0.2">
      <c r="A5386" t="str">
        <f>"20200111153538783"</f>
        <v>20200111153538783</v>
      </c>
      <c r="B5386" t="str">
        <f>"1578728138770813"</f>
        <v>1578728138770813</v>
      </c>
      <c r="C5386" t="s">
        <v>37</v>
      </c>
      <c r="D5386">
        <v>4.4919719999999996</v>
      </c>
      <c r="E5386">
        <v>0.35056690000000001</v>
      </c>
      <c r="F5386" t="s">
        <v>65</v>
      </c>
      <c r="G5386">
        <v>-283.7013</v>
      </c>
      <c r="H5386" s="1">
        <v>-5.5330659999999999E-6</v>
      </c>
      <c r="I5386">
        <v>-54.120240000000003</v>
      </c>
      <c r="J5386">
        <v>-300.885999999999</v>
      </c>
      <c r="K5386">
        <v>1.1095459999999999</v>
      </c>
      <c r="L5386">
        <v>-41.967289999999998</v>
      </c>
      <c r="M5386">
        <v>0.24494539999999901</v>
      </c>
      <c r="N5386">
        <v>0</v>
      </c>
      <c r="O5386">
        <v>-0.96945190000000003</v>
      </c>
      <c r="P5386">
        <v>0.55117320000000003</v>
      </c>
      <c r="Q5386">
        <v>3.2831260000000001E-2</v>
      </c>
      <c r="R5386">
        <v>-0.83374519999999996</v>
      </c>
      <c r="S5386">
        <v>2.6242070000000002</v>
      </c>
      <c r="T5386">
        <v>-0.16885649999999999</v>
      </c>
      <c r="U5386">
        <v>-1.880096</v>
      </c>
      <c r="V5386">
        <v>-0.33063399999999998</v>
      </c>
      <c r="W5386">
        <v>4.1164039999999999E-2</v>
      </c>
      <c r="X5386">
        <v>0.9428609</v>
      </c>
      <c r="Y5386">
        <v>-0.64421870000000003</v>
      </c>
      <c r="Z5386">
        <v>5.5323009999999999E-2</v>
      </c>
      <c r="AA5386">
        <v>0.76283789999999996</v>
      </c>
      <c r="AB5386">
        <v>22</v>
      </c>
      <c r="AC5386">
        <v>17.1846999999999</v>
      </c>
      <c r="AD5386">
        <v>-1.109551533066</v>
      </c>
      <c r="AE5386">
        <v>-12.152949999999899</v>
      </c>
      <c r="AF5386">
        <v>-13.646136085287701</v>
      </c>
      <c r="AG5386">
        <v>-1.109551533066</v>
      </c>
      <c r="AH5386">
        <v>15.948012234193101</v>
      </c>
      <c r="AI5386">
        <v>93.025975742445894</v>
      </c>
      <c r="AJ5386">
        <v>130.55240527889299</v>
      </c>
      <c r="AK5386">
        <v>21.0187351875582</v>
      </c>
    </row>
    <row r="5387" spans="1:37" x14ac:dyDescent="0.2">
      <c r="A5387" t="str">
        <f>"20200111153538805"</f>
        <v>20200111153538805</v>
      </c>
      <c r="B5387" t="str">
        <f>"1578728138801071"</f>
        <v>1578728138801071</v>
      </c>
      <c r="C5387" t="s">
        <v>37</v>
      </c>
      <c r="D5387">
        <v>4.8042480000000003</v>
      </c>
      <c r="E5387">
        <v>0.3566069</v>
      </c>
      <c r="F5387" t="s">
        <v>65</v>
      </c>
      <c r="G5387">
        <v>-282.01060000000001</v>
      </c>
      <c r="H5387" s="1">
        <v>-6.0565990000000004E-6</v>
      </c>
      <c r="I5387">
        <v>-55.21011</v>
      </c>
      <c r="J5387">
        <v>-300.82440000000003</v>
      </c>
      <c r="K5387">
        <v>1.109559</v>
      </c>
      <c r="L5387">
        <v>-42.173189999999998</v>
      </c>
      <c r="M5387">
        <v>0.2526911</v>
      </c>
      <c r="N5387">
        <v>0</v>
      </c>
      <c r="O5387">
        <v>-0.96746209999999899</v>
      </c>
      <c r="P5387">
        <v>0.55796709999999905</v>
      </c>
      <c r="Q5387">
        <v>3.4473009999999998E-2</v>
      </c>
      <c r="R5387">
        <v>-0.82914699999999997</v>
      </c>
      <c r="S5387">
        <v>2.6450499999999999</v>
      </c>
      <c r="T5387">
        <v>-0.1554837</v>
      </c>
      <c r="U5387">
        <v>-1.8557429999999999</v>
      </c>
      <c r="V5387">
        <v>-0.33083319999999999</v>
      </c>
      <c r="W5387">
        <v>4.2781479999999997E-2</v>
      </c>
      <c r="X5387">
        <v>0.94271899999999997</v>
      </c>
      <c r="Y5387">
        <v>-0.64583859999999904</v>
      </c>
      <c r="Z5387">
        <v>5.09603E-2</v>
      </c>
      <c r="AA5387">
        <v>0.76177130000000004</v>
      </c>
      <c r="AB5387">
        <v>22</v>
      </c>
      <c r="AC5387">
        <v>18.813800000000001</v>
      </c>
      <c r="AD5387">
        <v>-1.1095650565989901</v>
      </c>
      <c r="AE5387">
        <v>-13.036919999999901</v>
      </c>
      <c r="AF5387">
        <v>-14.873598800664301</v>
      </c>
      <c r="AG5387">
        <v>-1.1095650565989901</v>
      </c>
      <c r="AH5387">
        <v>17.327515541721802</v>
      </c>
      <c r="AI5387">
        <v>92.781766489609097</v>
      </c>
      <c r="AJ5387">
        <v>130.642143118516</v>
      </c>
      <c r="AK5387">
        <v>22.862586702876801</v>
      </c>
    </row>
    <row r="5388" spans="1:37" x14ac:dyDescent="0.2">
      <c r="A5388" t="str">
        <f>"20200111153538828"</f>
        <v>20200111153538828</v>
      </c>
      <c r="B5388" t="str">
        <f>"1578728138821565"</f>
        <v>1578728138821565</v>
      </c>
      <c r="C5388" t="s">
        <v>37</v>
      </c>
      <c r="D5388">
        <v>4.7703119999999997</v>
      </c>
      <c r="E5388">
        <v>0.36166949999999998</v>
      </c>
      <c r="F5388" t="s">
        <v>65</v>
      </c>
      <c r="G5388">
        <v>-282.50920000000002</v>
      </c>
      <c r="H5388" s="1">
        <v>-5.8925549999999902E-6</v>
      </c>
      <c r="I5388">
        <v>-55.18479</v>
      </c>
      <c r="J5388">
        <v>-300.762</v>
      </c>
      <c r="K5388">
        <v>1.109551</v>
      </c>
      <c r="L5388">
        <v>-42.375609999999902</v>
      </c>
      <c r="M5388">
        <v>0.260322</v>
      </c>
      <c r="N5388">
        <v>0</v>
      </c>
      <c r="O5388">
        <v>-0.96543709999999905</v>
      </c>
      <c r="P5388">
        <v>0.56446399999999997</v>
      </c>
      <c r="Q5388">
        <v>3.5016060000000002E-2</v>
      </c>
      <c r="R5388">
        <v>-0.82471510000000003</v>
      </c>
      <c r="S5388">
        <v>2.6202700000000001</v>
      </c>
      <c r="T5388">
        <v>-0.1587404</v>
      </c>
      <c r="U5388">
        <v>-1.8615109999999999</v>
      </c>
      <c r="V5388">
        <v>-0.33080759999999998</v>
      </c>
      <c r="W5388">
        <v>4.3312169999999997E-2</v>
      </c>
      <c r="X5388">
        <v>0.94270379999999998</v>
      </c>
      <c r="Y5388">
        <v>-0.63520790000000005</v>
      </c>
      <c r="Z5388">
        <v>5.223614E-2</v>
      </c>
      <c r="AA5388">
        <v>0.77057279999999995</v>
      </c>
      <c r="AB5388">
        <v>22</v>
      </c>
      <c r="AC5388">
        <v>18.252799999999901</v>
      </c>
      <c r="AD5388">
        <v>-1.1095568925549999</v>
      </c>
      <c r="AE5388">
        <v>-12.80918</v>
      </c>
      <c r="AF5388">
        <v>-14.253298486695201</v>
      </c>
      <c r="AG5388">
        <v>-1.1095568925549999</v>
      </c>
      <c r="AH5388">
        <v>17.0771825439456</v>
      </c>
      <c r="AI5388">
        <v>92.855639594363396</v>
      </c>
      <c r="AJ5388">
        <v>129.84972393023301</v>
      </c>
      <c r="AK5388">
        <v>22.271457022114301</v>
      </c>
    </row>
    <row r="5389" spans="1:37" x14ac:dyDescent="0.2">
      <c r="A5389" t="str">
        <f>"20200111153538849"</f>
        <v>20200111153538849</v>
      </c>
      <c r="B5389" t="str">
        <f>"1578728138841084"</f>
        <v>1578728138841084</v>
      </c>
      <c r="C5389" t="s">
        <v>37</v>
      </c>
      <c r="D5389">
        <v>4.7535569999999998</v>
      </c>
      <c r="E5389">
        <v>0.36566650000000001</v>
      </c>
      <c r="F5389" t="s">
        <v>65</v>
      </c>
      <c r="G5389">
        <v>-284.14920000000001</v>
      </c>
      <c r="H5389" s="1">
        <v>-5.2956590000000003E-6</v>
      </c>
      <c r="I5389">
        <v>-54.28181</v>
      </c>
      <c r="J5389">
        <v>-300.69920000000002</v>
      </c>
      <c r="K5389">
        <v>1.1095429999999999</v>
      </c>
      <c r="L5389">
        <v>-42.574100000000001</v>
      </c>
      <c r="M5389">
        <v>0.26780909999999902</v>
      </c>
      <c r="N5389">
        <v>0</v>
      </c>
      <c r="O5389">
        <v>-0.96338709999999905</v>
      </c>
      <c r="P5389">
        <v>0.57059959999999998</v>
      </c>
      <c r="Q5389">
        <v>3.5351590000000002E-2</v>
      </c>
      <c r="R5389">
        <v>-0.82046770000000002</v>
      </c>
      <c r="S5389">
        <v>2.6014710000000001</v>
      </c>
      <c r="T5389">
        <v>-0.17374990000000001</v>
      </c>
      <c r="U5389">
        <v>-1.864441</v>
      </c>
      <c r="V5389">
        <v>-0.33052720000000002</v>
      </c>
      <c r="W5389">
        <v>4.364374E-2</v>
      </c>
      <c r="X5389">
        <v>0.94278680000000004</v>
      </c>
      <c r="Y5389">
        <v>-0.62574589999999997</v>
      </c>
      <c r="Z5389">
        <v>5.7340189999999999E-2</v>
      </c>
      <c r="AA5389">
        <v>0.77791659999999996</v>
      </c>
      <c r="AB5389">
        <v>22</v>
      </c>
      <c r="AC5389">
        <v>16.55</v>
      </c>
      <c r="AD5389">
        <v>-1.1095482956589999</v>
      </c>
      <c r="AE5389">
        <v>-11.707710000000001</v>
      </c>
      <c r="AF5389">
        <v>-12.771415341511201</v>
      </c>
      <c r="AG5389">
        <v>-1.1095482956589999</v>
      </c>
      <c r="AH5389">
        <v>15.6656550537038</v>
      </c>
      <c r="AI5389">
        <v>93.142140058607396</v>
      </c>
      <c r="AJ5389">
        <v>129.18861816729</v>
      </c>
      <c r="AK5389">
        <v>20.242354001138899</v>
      </c>
    </row>
    <row r="5390" spans="1:37" x14ac:dyDescent="0.2">
      <c r="A5390" t="str">
        <f>"20200111153538872"</f>
        <v>20200111153538872</v>
      </c>
      <c r="B5390" t="str">
        <f>"1578728138861580"</f>
        <v>1578728138861580</v>
      </c>
      <c r="C5390" t="s">
        <v>37</v>
      </c>
      <c r="D5390">
        <v>4.5659199999999904</v>
      </c>
      <c r="E5390">
        <v>0.36801679999999998</v>
      </c>
      <c r="F5390" t="s">
        <v>65</v>
      </c>
      <c r="G5390">
        <v>-285.12189999999998</v>
      </c>
      <c r="H5390" s="1">
        <v>-4.9248470000000001E-6</v>
      </c>
      <c r="I5390">
        <v>-53.784950000000002</v>
      </c>
      <c r="J5390">
        <v>-300.6336</v>
      </c>
      <c r="K5390">
        <v>1.1095280000000001</v>
      </c>
      <c r="L5390">
        <v>-42.775599999999997</v>
      </c>
      <c r="M5390">
        <v>0.27541500000000002</v>
      </c>
      <c r="N5390">
        <v>0</v>
      </c>
      <c r="O5390">
        <v>-0.96124030000000005</v>
      </c>
      <c r="P5390">
        <v>0.57707830000000004</v>
      </c>
      <c r="Q5390">
        <v>3.4854330000000003E-2</v>
      </c>
      <c r="R5390">
        <v>-0.81594480000000003</v>
      </c>
      <c r="S5390">
        <v>2.5894169999999899</v>
      </c>
      <c r="T5390">
        <v>-0.18444070000000001</v>
      </c>
      <c r="U5390">
        <v>-1.863586</v>
      </c>
      <c r="V5390">
        <v>-0.3305285</v>
      </c>
      <c r="W5390">
        <v>4.3147350000000001E-2</v>
      </c>
      <c r="X5390">
        <v>0.94280919999999901</v>
      </c>
      <c r="Y5390">
        <v>-0.61783549999999998</v>
      </c>
      <c r="Z5390">
        <v>6.0994590000000001E-2</v>
      </c>
      <c r="AA5390">
        <v>0.78393819999999903</v>
      </c>
      <c r="AB5390">
        <v>22</v>
      </c>
      <c r="AC5390">
        <v>15.511699999999999</v>
      </c>
      <c r="AD5390">
        <v>-1.1095329248469901</v>
      </c>
      <c r="AE5390">
        <v>-11.00935</v>
      </c>
      <c r="AF5390">
        <v>-11.8390217069929</v>
      </c>
      <c r="AG5390">
        <v>-1.1095329248469901</v>
      </c>
      <c r="AH5390">
        <v>14.805626355373001</v>
      </c>
      <c r="AI5390">
        <v>93.349633888097003</v>
      </c>
      <c r="AJ5390">
        <v>128.64687637578399</v>
      </c>
      <c r="AK5390">
        <v>18.989472611552099</v>
      </c>
    </row>
    <row r="5391" spans="1:37" x14ac:dyDescent="0.2">
      <c r="A5391" t="str">
        <f>"20200111153538894"</f>
        <v>20200111153538894</v>
      </c>
      <c r="B5391" t="str">
        <f>"1578728138891836"</f>
        <v>1578728138891836</v>
      </c>
      <c r="C5391" t="s">
        <v>37</v>
      </c>
      <c r="D5391">
        <v>4.6893139999999898</v>
      </c>
      <c r="E5391">
        <v>0.3700715</v>
      </c>
      <c r="F5391" t="s">
        <v>40</v>
      </c>
      <c r="G5391">
        <v>-299.85399999999998</v>
      </c>
      <c r="H5391">
        <v>1.0510699999999999</v>
      </c>
      <c r="I5391">
        <v>-43.333770000000001</v>
      </c>
      <c r="J5391">
        <v>-300.56810000000002</v>
      </c>
      <c r="K5391">
        <v>1.10945</v>
      </c>
      <c r="L5391">
        <v>-42.972380000000001</v>
      </c>
      <c r="M5391">
        <v>0.2822887</v>
      </c>
      <c r="N5391">
        <v>0</v>
      </c>
      <c r="O5391">
        <v>-0.95923440000000004</v>
      </c>
      <c r="P5391">
        <v>0.58271030000000001</v>
      </c>
      <c r="Q5391">
        <v>3.3287369999999997E-2</v>
      </c>
      <c r="R5391">
        <v>-0.81199790000000005</v>
      </c>
      <c r="S5391">
        <v>2.5888979999999999</v>
      </c>
      <c r="T5391">
        <v>-0.19415370000000001</v>
      </c>
      <c r="U5391">
        <v>-1.854004</v>
      </c>
      <c r="V5391">
        <v>-0.33024290000000001</v>
      </c>
      <c r="W5391">
        <v>4.2492290000000002E-2</v>
      </c>
      <c r="X5391">
        <v>0.94293899999999997</v>
      </c>
      <c r="Y5391">
        <v>-0.61387349999999996</v>
      </c>
      <c r="Z5391">
        <v>6.4292539999999995E-2</v>
      </c>
      <c r="AA5391">
        <v>0.78678199999999998</v>
      </c>
      <c r="AB5391">
        <v>22</v>
      </c>
      <c r="AC5391">
        <v>0.71409999999997298</v>
      </c>
      <c r="AD5391">
        <v>-5.83799999999998E-2</v>
      </c>
      <c r="AE5391">
        <v>-0.36138999999999999</v>
      </c>
      <c r="AF5391">
        <v>-0.57994038755170496</v>
      </c>
      <c r="AG5391">
        <v>-5.83799999999998E-2</v>
      </c>
      <c r="AH5391">
        <v>0.54538817433618803</v>
      </c>
      <c r="AI5391">
        <v>94.194122193646606</v>
      </c>
      <c r="AJ5391">
        <v>136.758663464427</v>
      </c>
      <c r="AK5391">
        <v>0.79824015071868104</v>
      </c>
    </row>
    <row r="5392" spans="1:37" x14ac:dyDescent="0.2">
      <c r="A5392" t="str">
        <f>"20200111153538918"</f>
        <v>20200111153538918</v>
      </c>
      <c r="B5392" t="str">
        <f>"1578728138911356"</f>
        <v>1578728138911356</v>
      </c>
      <c r="C5392" t="s">
        <v>37</v>
      </c>
      <c r="D5392">
        <v>4.6904870000000001</v>
      </c>
      <c r="E5392">
        <v>0.37139729999999999</v>
      </c>
      <c r="F5392" t="s">
        <v>40</v>
      </c>
      <c r="G5392">
        <v>-299.80829999999997</v>
      </c>
      <c r="H5392">
        <v>1.0478559999999999</v>
      </c>
      <c r="I5392">
        <v>-43.514539999999997</v>
      </c>
      <c r="J5392">
        <v>-300.49959999999999</v>
      </c>
      <c r="K5392">
        <v>1.1092500000000001</v>
      </c>
      <c r="L5392">
        <v>-43.175379999999997</v>
      </c>
      <c r="M5392">
        <v>0.28873130000000002</v>
      </c>
      <c r="N5392">
        <v>0</v>
      </c>
      <c r="O5392">
        <v>-0.95729200000000003</v>
      </c>
      <c r="P5392">
        <v>0.58739140000000001</v>
      </c>
      <c r="Q5392">
        <v>3.0532879999999998E-2</v>
      </c>
      <c r="R5392">
        <v>-0.80872670000000002</v>
      </c>
      <c r="S5392">
        <v>2.5881349999999999</v>
      </c>
      <c r="T5392">
        <v>-0.2097388</v>
      </c>
      <c r="U5392">
        <v>-1.84591699999999</v>
      </c>
      <c r="V5392">
        <v>-0.3292409</v>
      </c>
      <c r="W5392">
        <v>4.1654280000000002E-2</v>
      </c>
      <c r="X5392">
        <v>0.94332680000000002</v>
      </c>
      <c r="Y5392">
        <v>-0.60978840000000001</v>
      </c>
      <c r="Z5392">
        <v>6.951512E-2</v>
      </c>
      <c r="AA5392">
        <v>0.78950980000000004</v>
      </c>
      <c r="AB5392">
        <v>21</v>
      </c>
      <c r="AC5392">
        <v>0.69130000000001202</v>
      </c>
      <c r="AD5392">
        <v>-6.1394000000000101E-2</v>
      </c>
      <c r="AE5392">
        <v>-0.33916000000000601</v>
      </c>
      <c r="AF5392">
        <v>-0.56035149956391805</v>
      </c>
      <c r="AG5392">
        <v>-6.1394000000000101E-2</v>
      </c>
      <c r="AH5392">
        <v>0.52102228781952598</v>
      </c>
      <c r="AI5392">
        <v>94.587449143207905</v>
      </c>
      <c r="AJ5392">
        <v>137.08291073407401</v>
      </c>
      <c r="AK5392">
        <v>0.76761139302659298</v>
      </c>
    </row>
    <row r="5393" spans="1:37" x14ac:dyDescent="0.2">
      <c r="A5393" t="str">
        <f>"20200111153538939"</f>
        <v>20200111153538939</v>
      </c>
      <c r="B5393" t="str">
        <f>"1578728138930877"</f>
        <v>1578728138930877</v>
      </c>
      <c r="C5393" t="s">
        <v>37</v>
      </c>
      <c r="D5393">
        <v>4.6204489999999998</v>
      </c>
      <c r="E5393">
        <v>0.3727029</v>
      </c>
      <c r="F5393" t="s">
        <v>40</v>
      </c>
      <c r="G5393">
        <v>-299.767</v>
      </c>
      <c r="H5393">
        <v>1.0461940000000001</v>
      </c>
      <c r="I5393">
        <v>-43.694969999999998</v>
      </c>
      <c r="J5393">
        <v>-300.43689999999998</v>
      </c>
      <c r="K5393">
        <v>1.1090850000000001</v>
      </c>
      <c r="L5393">
        <v>-43.358519999999999</v>
      </c>
      <c r="M5393">
        <v>0.29406470000000001</v>
      </c>
      <c r="N5393">
        <v>0</v>
      </c>
      <c r="O5393">
        <v>-0.95563909999999996</v>
      </c>
      <c r="P5393">
        <v>0.59079740000000003</v>
      </c>
      <c r="Q5393">
        <v>2.8833310000000001E-2</v>
      </c>
      <c r="R5393">
        <v>-0.80630429999999997</v>
      </c>
      <c r="S5393">
        <v>2.5899349999999899</v>
      </c>
      <c r="T5393">
        <v>-0.2229246</v>
      </c>
      <c r="U5393">
        <v>-1.8368529999999901</v>
      </c>
      <c r="V5393">
        <v>-0.32787840000000001</v>
      </c>
      <c r="W5393">
        <v>4.1985870000000002E-2</v>
      </c>
      <c r="X5393">
        <v>0.94378649999999997</v>
      </c>
      <c r="Y5393">
        <v>-0.60719769999999995</v>
      </c>
      <c r="Z5393">
        <v>7.3931170000000004E-2</v>
      </c>
      <c r="AA5393">
        <v>0.79110380000000002</v>
      </c>
      <c r="AB5393">
        <v>21</v>
      </c>
      <c r="AC5393">
        <v>0.66989999999998395</v>
      </c>
      <c r="AD5393">
        <v>-6.2891000000000002E-2</v>
      </c>
      <c r="AE5393">
        <v>-0.33644999999999903</v>
      </c>
      <c r="AF5393">
        <v>-0.53753696907972004</v>
      </c>
      <c r="AG5393">
        <v>-6.2891000000000002E-2</v>
      </c>
      <c r="AH5393">
        <v>0.51496679703910198</v>
      </c>
      <c r="AI5393">
        <v>94.829170382756502</v>
      </c>
      <c r="AJ5393">
        <v>136.228477723309</v>
      </c>
      <c r="AK5393">
        <v>0.74705560238922197</v>
      </c>
    </row>
    <row r="5394" spans="1:37" x14ac:dyDescent="0.2">
      <c r="A5394" t="str">
        <f>"20200111153538961"</f>
        <v>20200111153538961</v>
      </c>
      <c r="B5394" t="str">
        <f>"1578728138951420"</f>
        <v>1578728138951420</v>
      </c>
      <c r="C5394" t="s">
        <v>37</v>
      </c>
      <c r="D5394">
        <v>4.5681659999999997</v>
      </c>
      <c r="E5394">
        <v>0.37352109999999999</v>
      </c>
      <c r="F5394" t="s">
        <v>65</v>
      </c>
      <c r="G5394">
        <v>-288.13749999999999</v>
      </c>
      <c r="H5394" s="1">
        <v>-3.7144E-6</v>
      </c>
      <c r="I5394">
        <v>-52.060029999999998</v>
      </c>
      <c r="J5394">
        <v>-300.3723</v>
      </c>
      <c r="K5394">
        <v>1.109105</v>
      </c>
      <c r="L5394">
        <v>-43.544400000000003</v>
      </c>
      <c r="M5394">
        <v>0.29921999999999999</v>
      </c>
      <c r="N5394">
        <v>0</v>
      </c>
      <c r="O5394">
        <v>-0.95400450000000003</v>
      </c>
      <c r="P5394">
        <v>0.59355619999999998</v>
      </c>
      <c r="Q5394">
        <v>2.7264940000000001E-2</v>
      </c>
      <c r="R5394">
        <v>-0.80433049999999995</v>
      </c>
      <c r="S5394">
        <v>2.5892330000000001</v>
      </c>
      <c r="T5394">
        <v>-0.2334822</v>
      </c>
      <c r="U5394">
        <v>-1.8318179999999999</v>
      </c>
      <c r="V5394">
        <v>-0.3259589</v>
      </c>
      <c r="W5394">
        <v>4.2374620000000002E-2</v>
      </c>
      <c r="X5394">
        <v>0.94443379999999999</v>
      </c>
      <c r="Y5394">
        <v>-0.60360159999999996</v>
      </c>
      <c r="Z5394">
        <v>7.7456739999999996E-2</v>
      </c>
      <c r="AA5394">
        <v>0.79351470000000002</v>
      </c>
      <c r="AB5394">
        <v>20</v>
      </c>
      <c r="AC5394">
        <v>12.2348</v>
      </c>
      <c r="AD5394">
        <v>-1.1091087144</v>
      </c>
      <c r="AE5394">
        <v>-8.5156299999999892</v>
      </c>
      <c r="AF5394">
        <v>-9.0753311812986901</v>
      </c>
      <c r="AG5394">
        <v>-1.1091087144</v>
      </c>
      <c r="AH5394">
        <v>11.7219744462015</v>
      </c>
      <c r="AI5394">
        <v>94.278660539248605</v>
      </c>
      <c r="AJ5394">
        <v>127.747582218126</v>
      </c>
      <c r="AK5394">
        <v>14.8659491156135</v>
      </c>
    </row>
    <row r="5395" spans="1:37" x14ac:dyDescent="0.2">
      <c r="A5395" t="str">
        <f>"20200111153538983"</f>
        <v>20200111153538983</v>
      </c>
      <c r="B5395" t="str">
        <f>"1578728138981676"</f>
        <v>1578728138981676</v>
      </c>
      <c r="C5395" t="s">
        <v>37</v>
      </c>
      <c r="D5395">
        <v>4.5901519999999998</v>
      </c>
      <c r="E5395">
        <v>0.37431909999999902</v>
      </c>
      <c r="F5395" t="s">
        <v>65</v>
      </c>
      <c r="G5395">
        <v>-288.54680000000002</v>
      </c>
      <c r="H5395" s="1">
        <v>-3.5394299999999999E-6</v>
      </c>
      <c r="I5395">
        <v>-51.885770000000001</v>
      </c>
      <c r="J5395">
        <v>-300.3075</v>
      </c>
      <c r="K5395">
        <v>1.109299</v>
      </c>
      <c r="L5395">
        <v>-43.72757</v>
      </c>
      <c r="M5395">
        <v>0.3051875</v>
      </c>
      <c r="N5395">
        <v>0</v>
      </c>
      <c r="O5395">
        <v>-0.95208680000000001</v>
      </c>
      <c r="P5395">
        <v>0.59679190000000004</v>
      </c>
      <c r="Q5395">
        <v>2.5853589999999999E-2</v>
      </c>
      <c r="R5395">
        <v>-0.80197949999999996</v>
      </c>
      <c r="S5395">
        <v>2.5899049999999999</v>
      </c>
      <c r="T5395">
        <v>-0.24290599999999901</v>
      </c>
      <c r="U5395">
        <v>-1.826843</v>
      </c>
      <c r="V5395">
        <v>-0.32383269999999997</v>
      </c>
      <c r="W5395">
        <v>4.2128789999999999E-2</v>
      </c>
      <c r="X5395">
        <v>0.94517589999999996</v>
      </c>
      <c r="Y5395">
        <v>-0.5995123</v>
      </c>
      <c r="Z5395">
        <v>8.0568920000000002E-2</v>
      </c>
      <c r="AA5395">
        <v>0.79630000000000001</v>
      </c>
      <c r="AB5395">
        <v>20</v>
      </c>
      <c r="AC5395">
        <v>11.7606999999999</v>
      </c>
      <c r="AD5395">
        <v>-1.10930253942999</v>
      </c>
      <c r="AE5395">
        <v>-8.1582000000000008</v>
      </c>
      <c r="AF5395">
        <v>-8.6571317326933492</v>
      </c>
      <c r="AG5395">
        <v>-1.10930253942999</v>
      </c>
      <c r="AH5395">
        <v>11.290936865300001</v>
      </c>
      <c r="AI5395">
        <v>94.458165987432693</v>
      </c>
      <c r="AJ5395">
        <v>127.478566245257</v>
      </c>
      <c r="AK5395">
        <v>14.271010379695699</v>
      </c>
    </row>
    <row r="5396" spans="1:37" x14ac:dyDescent="0.2">
      <c r="A5396" t="str">
        <f>"20200111153539007"</f>
        <v>20200111153539007</v>
      </c>
      <c r="B5396" t="str">
        <f>"1578728139001199"</f>
        <v>1578728139001199</v>
      </c>
      <c r="C5396" t="s">
        <v>37</v>
      </c>
      <c r="D5396">
        <v>4.1915750000000003</v>
      </c>
      <c r="E5396">
        <v>0.37462040000000002</v>
      </c>
      <c r="F5396" t="s">
        <v>65</v>
      </c>
      <c r="G5396">
        <v>-288.9006</v>
      </c>
      <c r="H5396" s="1">
        <v>-3.3884750000000002E-6</v>
      </c>
      <c r="I5396">
        <v>-51.733829999999998</v>
      </c>
      <c r="J5396">
        <v>-300.23689999999999</v>
      </c>
      <c r="K5396">
        <v>1.1096250000000001</v>
      </c>
      <c r="L5396">
        <v>-43.920589999999997</v>
      </c>
      <c r="M5396">
        <v>0.31271719999999997</v>
      </c>
      <c r="N5396">
        <v>0</v>
      </c>
      <c r="O5396">
        <v>-0.94964519999999997</v>
      </c>
      <c r="P5396">
        <v>0.60127790000000003</v>
      </c>
      <c r="Q5396">
        <v>2.581899E-2</v>
      </c>
      <c r="R5396">
        <v>-0.79862250000000001</v>
      </c>
      <c r="S5396">
        <v>2.5925289999999999</v>
      </c>
      <c r="T5396">
        <v>-0.25211919999999999</v>
      </c>
      <c r="U5396">
        <v>-1.8196410000000001</v>
      </c>
      <c r="V5396">
        <v>-0.32170539999999997</v>
      </c>
      <c r="W5396">
        <v>4.1424639999999999E-2</v>
      </c>
      <c r="X5396">
        <v>0.94593320000000003</v>
      </c>
      <c r="Y5396">
        <v>-0.59482860000000004</v>
      </c>
      <c r="Z5396">
        <v>8.358612E-2</v>
      </c>
      <c r="AA5396">
        <v>0.79949499999999996</v>
      </c>
      <c r="AB5396">
        <v>20</v>
      </c>
      <c r="AC5396">
        <v>11.3362999999999</v>
      </c>
      <c r="AD5396">
        <v>-1.109628388475</v>
      </c>
      <c r="AE5396">
        <v>-7.8132399999999897</v>
      </c>
      <c r="AF5396">
        <v>-8.2700003857340096</v>
      </c>
      <c r="AG5396">
        <v>-1.109628388475</v>
      </c>
      <c r="AH5396">
        <v>10.896180403112201</v>
      </c>
      <c r="AI5396">
        <v>94.637571517511901</v>
      </c>
      <c r="AJ5396">
        <v>127.197829087646</v>
      </c>
      <c r="AK5396">
        <v>13.724100295382399</v>
      </c>
    </row>
    <row r="5397" spans="1:37" x14ac:dyDescent="0.2">
      <c r="A5397" t="str">
        <f>"20200111153539028"</f>
        <v>20200111153539028</v>
      </c>
      <c r="B5397" t="str">
        <f>"1578728139021692"</f>
        <v>1578728139021692</v>
      </c>
      <c r="C5397" t="s">
        <v>37</v>
      </c>
      <c r="D5397">
        <v>4.5498519999999996</v>
      </c>
      <c r="E5397">
        <v>0.37499529999999998</v>
      </c>
      <c r="F5397" t="s">
        <v>40</v>
      </c>
      <c r="G5397">
        <v>-299.4228</v>
      </c>
      <c r="H5397">
        <v>1.0295609999999999</v>
      </c>
      <c r="I5397">
        <v>-44.486139999999999</v>
      </c>
      <c r="J5397">
        <v>-300.1687</v>
      </c>
      <c r="K5397">
        <v>1.109936</v>
      </c>
      <c r="L5397">
        <v>-44.100559999999902</v>
      </c>
      <c r="M5397">
        <v>0.31954769999999999</v>
      </c>
      <c r="N5397">
        <v>0</v>
      </c>
      <c r="O5397">
        <v>-0.94738579999999994</v>
      </c>
      <c r="P5397">
        <v>0.60570329999999994</v>
      </c>
      <c r="Q5397">
        <v>2.6547629999999999E-2</v>
      </c>
      <c r="R5397">
        <v>-0.79524759999999906</v>
      </c>
      <c r="S5397">
        <v>2.6014400000000002</v>
      </c>
      <c r="T5397">
        <v>-0.25575409999999998</v>
      </c>
      <c r="U5397">
        <v>-1.806122</v>
      </c>
      <c r="V5397">
        <v>-0.32022469999999997</v>
      </c>
      <c r="W5397">
        <v>4.0841490000000001E-2</v>
      </c>
      <c r="X5397">
        <v>0.94646079999999999</v>
      </c>
      <c r="Y5397">
        <v>-0.59305600000000003</v>
      </c>
      <c r="Z5397">
        <v>8.4763649999999996E-2</v>
      </c>
      <c r="AA5397">
        <v>0.80068709999999998</v>
      </c>
      <c r="AB5397">
        <v>20</v>
      </c>
      <c r="AC5397">
        <v>0.745900000000006</v>
      </c>
      <c r="AD5397">
        <v>-8.0375000000000002E-2</v>
      </c>
      <c r="AE5397">
        <v>-0.38558000000000398</v>
      </c>
      <c r="AF5397">
        <v>-0.57824744908157799</v>
      </c>
      <c r="AG5397">
        <v>-8.0375000000000002E-2</v>
      </c>
      <c r="AH5397">
        <v>0.59826732077371403</v>
      </c>
      <c r="AI5397">
        <v>95.517634448630204</v>
      </c>
      <c r="AJ5397">
        <v>134.025134667201</v>
      </c>
      <c r="AK5397">
        <v>0.83591509144177401</v>
      </c>
    </row>
    <row r="5398" spans="1:37" x14ac:dyDescent="0.2">
      <c r="A5398" t="str">
        <f>"20200111153539051"</f>
        <v>20200111153539051</v>
      </c>
      <c r="B5398" t="str">
        <f>"1578728139041212"</f>
        <v>1578728139041212</v>
      </c>
      <c r="C5398" t="s">
        <v>37</v>
      </c>
      <c r="D5398">
        <v>4.646674</v>
      </c>
      <c r="E5398">
        <v>0.373942</v>
      </c>
      <c r="F5398" t="s">
        <v>40</v>
      </c>
      <c r="G5398">
        <v>-299.3657</v>
      </c>
      <c r="H5398">
        <v>1.0317000000000001</v>
      </c>
      <c r="I5398">
        <v>-44.652369999999998</v>
      </c>
      <c r="J5398">
        <v>-300.09640000000002</v>
      </c>
      <c r="K5398">
        <v>1.110085</v>
      </c>
      <c r="L5398">
        <v>-44.284909999999897</v>
      </c>
      <c r="M5398">
        <v>0.32615250000000001</v>
      </c>
      <c r="N5398">
        <v>0</v>
      </c>
      <c r="O5398">
        <v>-0.94514259999999894</v>
      </c>
      <c r="P5398">
        <v>0.61072389999999999</v>
      </c>
      <c r="Q5398">
        <v>2.7242909999999999E-2</v>
      </c>
      <c r="R5398">
        <v>-0.79137489999999999</v>
      </c>
      <c r="S5398">
        <v>2.609467</v>
      </c>
      <c r="T5398">
        <v>-0.25425949999999897</v>
      </c>
      <c r="U5398">
        <v>-1.7933650000000001</v>
      </c>
      <c r="V5398">
        <v>-0.319656099999999</v>
      </c>
      <c r="W5398">
        <v>4.0770500000000001E-2</v>
      </c>
      <c r="X5398">
        <v>0.9466561</v>
      </c>
      <c r="Y5398">
        <v>-0.59129140000000002</v>
      </c>
      <c r="Z5398">
        <v>8.4250759999999994E-2</v>
      </c>
      <c r="AA5398">
        <v>0.80204500000000001</v>
      </c>
      <c r="AB5398">
        <v>20</v>
      </c>
      <c r="AC5398">
        <v>0.73070000000001301</v>
      </c>
      <c r="AD5398">
        <v>-7.8384999999999899E-2</v>
      </c>
      <c r="AE5398">
        <v>-0.36746000000000101</v>
      </c>
      <c r="AF5398">
        <v>-0.565666335758647</v>
      </c>
      <c r="AG5398">
        <v>-7.8384999999999899E-2</v>
      </c>
      <c r="AH5398">
        <v>0.58038760589569205</v>
      </c>
      <c r="AI5398">
        <v>95.524347421166595</v>
      </c>
      <c r="AJ5398">
        <v>134.26406582485299</v>
      </c>
      <c r="AK5398">
        <v>0.81423116171818699</v>
      </c>
    </row>
    <row r="5399" spans="1:37" x14ac:dyDescent="0.2">
      <c r="A5399" t="str">
        <f>"20200111153539073"</f>
        <v>20200111153539073</v>
      </c>
      <c r="B5399" t="str">
        <f>"1578728139070778"</f>
        <v>1578728139070778</v>
      </c>
      <c r="C5399" t="s">
        <v>37</v>
      </c>
      <c r="D5399">
        <v>4.5141179999999999</v>
      </c>
      <c r="E5399">
        <v>0.37212479999999998</v>
      </c>
      <c r="F5399" t="s">
        <v>40</v>
      </c>
      <c r="G5399">
        <v>-299.3075</v>
      </c>
      <c r="H5399">
        <v>1.0342129999999901</v>
      </c>
      <c r="I5399">
        <v>-44.817</v>
      </c>
      <c r="J5399">
        <v>-300.024</v>
      </c>
      <c r="K5399">
        <v>1.1099379999999901</v>
      </c>
      <c r="L5399">
        <v>-44.46481</v>
      </c>
      <c r="M5399">
        <v>0.3328139</v>
      </c>
      <c r="N5399">
        <v>0</v>
      </c>
      <c r="O5399">
        <v>-0.94282129999999997</v>
      </c>
      <c r="P5399">
        <v>0.61645550000000005</v>
      </c>
      <c r="Q5399">
        <v>2.7655530000000001E-2</v>
      </c>
      <c r="R5399">
        <v>-0.78690400000000005</v>
      </c>
      <c r="S5399">
        <v>2.6276250000000001</v>
      </c>
      <c r="T5399">
        <v>-0.25266919999999998</v>
      </c>
      <c r="U5399">
        <v>-1.7717290000000001</v>
      </c>
      <c r="V5399">
        <v>-0.31985130000000001</v>
      </c>
      <c r="W5399">
        <v>4.1060649999999997E-2</v>
      </c>
      <c r="X5399">
        <v>0.94657760000000002</v>
      </c>
      <c r="Y5399">
        <v>-0.5927694</v>
      </c>
      <c r="Z5399">
        <v>8.3668839999999994E-2</v>
      </c>
      <c r="AA5399">
        <v>0.80101440000000002</v>
      </c>
      <c r="AB5399">
        <v>20</v>
      </c>
      <c r="AC5399">
        <v>0.71649999999999603</v>
      </c>
      <c r="AD5399">
        <v>-7.5725000000000001E-2</v>
      </c>
      <c r="AE5399">
        <v>-0.35219</v>
      </c>
      <c r="AF5399">
        <v>-0.55342913187143605</v>
      </c>
      <c r="AG5399">
        <v>-7.5725000000000001E-2</v>
      </c>
      <c r="AH5399">
        <v>0.56551800627968096</v>
      </c>
      <c r="AI5399">
        <v>95.466651119914303</v>
      </c>
      <c r="AJ5399">
        <v>134.38101228190001</v>
      </c>
      <c r="AK5399">
        <v>0.79487652818253296</v>
      </c>
    </row>
    <row r="5400" spans="1:37" x14ac:dyDescent="0.2">
      <c r="A5400" t="str">
        <f>"20200111153539096"</f>
        <v>20200111153539096</v>
      </c>
      <c r="B5400" t="str">
        <f>"1578728139091276"</f>
        <v>1578728139091276</v>
      </c>
      <c r="C5400" t="s">
        <v>37</v>
      </c>
      <c r="D5400">
        <v>4.4607830000000002</v>
      </c>
      <c r="E5400">
        <v>0.37114279999999999</v>
      </c>
      <c r="F5400" t="s">
        <v>40</v>
      </c>
      <c r="G5400">
        <v>-299.24430000000001</v>
      </c>
      <c r="H5400">
        <v>1.035903</v>
      </c>
      <c r="I5400">
        <v>-44.977490000000003</v>
      </c>
      <c r="J5400">
        <v>-299.9513</v>
      </c>
      <c r="K5400">
        <v>1.109529</v>
      </c>
      <c r="L5400">
        <v>-44.642330000000001</v>
      </c>
      <c r="M5400">
        <v>0.34011239999999998</v>
      </c>
      <c r="N5400">
        <v>0</v>
      </c>
      <c r="O5400">
        <v>-0.940218</v>
      </c>
      <c r="P5400">
        <v>0.62223119999999998</v>
      </c>
      <c r="Q5400">
        <v>2.814237E-2</v>
      </c>
      <c r="R5400">
        <v>-0.78232760000000001</v>
      </c>
      <c r="S5400">
        <v>2.6519169999999899</v>
      </c>
      <c r="T5400">
        <v>-0.25182969999999999</v>
      </c>
      <c r="U5400">
        <v>-1.7437739999999999</v>
      </c>
      <c r="V5400">
        <v>-0.31945659999999998</v>
      </c>
      <c r="W5400">
        <v>4.1582340000000002E-2</v>
      </c>
      <c r="X5400">
        <v>0.94668809999999903</v>
      </c>
      <c r="Y5400">
        <v>-0.59583900000000001</v>
      </c>
      <c r="Z5400">
        <v>8.3310529999999994E-2</v>
      </c>
      <c r="AA5400">
        <v>0.79877109999999996</v>
      </c>
      <c r="AB5400">
        <v>20</v>
      </c>
      <c r="AC5400">
        <v>0.70699999999999297</v>
      </c>
      <c r="AD5400">
        <v>-7.36259999999999E-2</v>
      </c>
      <c r="AE5400">
        <v>-0.33516000000000101</v>
      </c>
      <c r="AF5400">
        <v>-0.54599374334462503</v>
      </c>
      <c r="AG5400">
        <v>-7.36259999999999E-2</v>
      </c>
      <c r="AH5400">
        <v>0.550792884607891</v>
      </c>
      <c r="AI5400">
        <v>95.423041439605399</v>
      </c>
      <c r="AJ5400">
        <v>134.749296009083</v>
      </c>
      <c r="AK5400">
        <v>0.77903963787612096</v>
      </c>
    </row>
    <row r="5401" spans="1:37" x14ac:dyDescent="0.2">
      <c r="A5401" t="str">
        <f>"20200111153539118"</f>
        <v>20200111153539118</v>
      </c>
      <c r="B5401" t="str">
        <f>"1578728139110793"</f>
        <v>1578728139110793</v>
      </c>
      <c r="C5401" t="s">
        <v>37</v>
      </c>
      <c r="D5401">
        <v>4.4778390000000003</v>
      </c>
      <c r="E5401">
        <v>0.37030959999999902</v>
      </c>
      <c r="F5401" t="s">
        <v>40</v>
      </c>
      <c r="G5401">
        <v>-299.18180000000001</v>
      </c>
      <c r="H5401">
        <v>1.0373509999999999</v>
      </c>
      <c r="I5401">
        <v>-45.137839999999997</v>
      </c>
      <c r="J5401">
        <v>-299.87389999999999</v>
      </c>
      <c r="K5401">
        <v>1.109083</v>
      </c>
      <c r="L5401">
        <v>-44.828740000000003</v>
      </c>
      <c r="M5401">
        <v>0.34822890000000001</v>
      </c>
      <c r="N5401">
        <v>0</v>
      </c>
      <c r="O5401">
        <v>-0.93725049999999899</v>
      </c>
      <c r="P5401">
        <v>0.62843169999999904</v>
      </c>
      <c r="Q5401">
        <v>2.8361359999999999E-2</v>
      </c>
      <c r="R5401">
        <v>-0.77734759999999903</v>
      </c>
      <c r="S5401">
        <v>2.6709900000000002</v>
      </c>
      <c r="T5401">
        <v>-0.250473</v>
      </c>
      <c r="U5401">
        <v>-1.7192989999999999</v>
      </c>
      <c r="V5401">
        <v>-0.31876520000000003</v>
      </c>
      <c r="W5401">
        <v>4.1669049999999999E-2</v>
      </c>
      <c r="X5401">
        <v>0.94691740000000002</v>
      </c>
      <c r="Y5401">
        <v>-0.59672579999999997</v>
      </c>
      <c r="Z5401">
        <v>8.2790699999999995E-2</v>
      </c>
      <c r="AA5401">
        <v>0.79816290000000001</v>
      </c>
      <c r="AB5401">
        <v>20</v>
      </c>
      <c r="AC5401">
        <v>0.69209999999998195</v>
      </c>
      <c r="AD5401">
        <v>-7.1732000000000101E-2</v>
      </c>
      <c r="AE5401">
        <v>-0.30909999999999999</v>
      </c>
      <c r="AF5401">
        <v>-0.53631112116544</v>
      </c>
      <c r="AG5401">
        <v>-7.1732000000000101E-2</v>
      </c>
      <c r="AH5401">
        <v>0.526081033651289</v>
      </c>
      <c r="AI5401">
        <v>95.454198805950696</v>
      </c>
      <c r="AJ5401">
        <v>135.55170091444199</v>
      </c>
      <c r="AK5401">
        <v>0.75467632298710696</v>
      </c>
    </row>
    <row r="5402" spans="1:37" x14ac:dyDescent="0.2">
      <c r="A5402" t="str">
        <f>"20200111153539141"</f>
        <v>20200111153539141</v>
      </c>
      <c r="B5402" t="str">
        <f>"1578728139131289"</f>
        <v>1578728139131289</v>
      </c>
      <c r="C5402" t="s">
        <v>37</v>
      </c>
      <c r="D5402">
        <v>4.4943489999999997</v>
      </c>
      <c r="E5402">
        <v>0.36969029999999897</v>
      </c>
      <c r="F5402" t="s">
        <v>40</v>
      </c>
      <c r="G5402">
        <v>-299.12360000000001</v>
      </c>
      <c r="H5402">
        <v>1.039391</v>
      </c>
      <c r="I5402">
        <v>-45.301079999999999</v>
      </c>
      <c r="J5402">
        <v>-299.80009999999999</v>
      </c>
      <c r="K5402">
        <v>1.108867</v>
      </c>
      <c r="L5402">
        <v>-45.003169999999997</v>
      </c>
      <c r="M5402">
        <v>0.35558279999999998</v>
      </c>
      <c r="N5402">
        <v>0</v>
      </c>
      <c r="O5402">
        <v>-0.93449309999999997</v>
      </c>
      <c r="P5402">
        <v>0.63430759999999997</v>
      </c>
      <c r="Q5402">
        <v>2.8816950000000001E-2</v>
      </c>
      <c r="R5402">
        <v>-0.77254339999999999</v>
      </c>
      <c r="S5402">
        <v>2.6899109999999999</v>
      </c>
      <c r="T5402">
        <v>-0.24987880000000001</v>
      </c>
      <c r="U5402">
        <v>-1.6937869999999999</v>
      </c>
      <c r="V5402">
        <v>-0.31849850000000002</v>
      </c>
      <c r="W5402">
        <v>4.1831510000000002E-2</v>
      </c>
      <c r="X5402">
        <v>0.94699990000000001</v>
      </c>
      <c r="Y5402">
        <v>-0.59840939999999998</v>
      </c>
      <c r="Z5402">
        <v>8.2544919999999994E-2</v>
      </c>
      <c r="AA5402">
        <v>0.79692700000000005</v>
      </c>
      <c r="AB5402">
        <v>20</v>
      </c>
      <c r="AC5402">
        <v>0.67649999999997501</v>
      </c>
      <c r="AD5402">
        <v>-6.9476000000000093E-2</v>
      </c>
      <c r="AE5402">
        <v>-0.29790999999999401</v>
      </c>
      <c r="AF5402">
        <v>-0.52171867039952902</v>
      </c>
      <c r="AG5402">
        <v>-6.9476000000000093E-2</v>
      </c>
      <c r="AH5402">
        <v>0.51447531557702697</v>
      </c>
      <c r="AI5402">
        <v>95.416568708110105</v>
      </c>
      <c r="AJ5402">
        <v>135.400510818231</v>
      </c>
      <c r="AK5402">
        <v>0.73600416843760796</v>
      </c>
    </row>
    <row r="5403" spans="1:37" x14ac:dyDescent="0.2">
      <c r="A5403" t="str">
        <f>"20200111153539162"</f>
        <v>20200111153539162</v>
      </c>
      <c r="B5403" t="str">
        <f>"1578728139151390"</f>
        <v>1578728139151390</v>
      </c>
      <c r="C5403" t="s">
        <v>37</v>
      </c>
      <c r="D5403">
        <v>4.553572</v>
      </c>
      <c r="E5403">
        <v>0.36912329999999999</v>
      </c>
      <c r="F5403" t="s">
        <v>65</v>
      </c>
      <c r="G5403">
        <v>-287.78730000000002</v>
      </c>
      <c r="H5403" s="1">
        <v>-3.8272660000000001E-6</v>
      </c>
      <c r="I5403">
        <v>-52.415959999999998</v>
      </c>
      <c r="J5403">
        <v>-299.7235</v>
      </c>
      <c r="K5403">
        <v>1.1088290000000001</v>
      </c>
      <c r="L5403">
        <v>-45.180759999999999</v>
      </c>
      <c r="M5403">
        <v>0.36257279999999997</v>
      </c>
      <c r="N5403">
        <v>0</v>
      </c>
      <c r="O5403">
        <v>-0.93180959999999902</v>
      </c>
      <c r="P5403">
        <v>0.64011300000000004</v>
      </c>
      <c r="Q5403">
        <v>2.86524999999999E-2</v>
      </c>
      <c r="R5403">
        <v>-0.76774609999999999</v>
      </c>
      <c r="S5403">
        <v>2.706696</v>
      </c>
      <c r="T5403">
        <v>-0.2498474</v>
      </c>
      <c r="U5403">
        <v>-1.6702269999999999</v>
      </c>
      <c r="V5403">
        <v>-0.31853799999999999</v>
      </c>
      <c r="W5403">
        <v>4.1331260000000002E-2</v>
      </c>
      <c r="X5403">
        <v>0.94700859999999998</v>
      </c>
      <c r="Y5403">
        <v>-0.59966109999999995</v>
      </c>
      <c r="Z5403">
        <v>8.2485829999999996E-2</v>
      </c>
      <c r="AA5403">
        <v>0.79599169999999997</v>
      </c>
      <c r="AB5403">
        <v>20</v>
      </c>
      <c r="AC5403">
        <v>11.9361999999999</v>
      </c>
      <c r="AD5403">
        <v>-1.108832827266</v>
      </c>
      <c r="AE5403">
        <v>-7.2351999999999901</v>
      </c>
      <c r="AF5403">
        <v>-8.4468267109867394</v>
      </c>
      <c r="AG5403">
        <v>-1.108832827266</v>
      </c>
      <c r="AH5403">
        <v>11.0016440314637</v>
      </c>
      <c r="AI5403">
        <v>94.5706758341708</v>
      </c>
      <c r="AJ5403">
        <v>127.516282248181</v>
      </c>
      <c r="AK5403">
        <v>13.914545020204599</v>
      </c>
    </row>
    <row r="5404" spans="1:37" x14ac:dyDescent="0.2">
      <c r="A5404" t="str">
        <f>"20200111153539185"</f>
        <v>20200111153539185</v>
      </c>
      <c r="B5404" t="str">
        <f>"1578728139181646"</f>
        <v>1578728139181646</v>
      </c>
      <c r="C5404" t="s">
        <v>37</v>
      </c>
      <c r="D5404">
        <v>4.5136890000000003</v>
      </c>
      <c r="E5404">
        <v>0.36839509999999998</v>
      </c>
      <c r="F5404" t="s">
        <v>65</v>
      </c>
      <c r="G5404">
        <v>-287.73849999999999</v>
      </c>
      <c r="H5404" s="1">
        <v>-3.8493830000000001E-6</v>
      </c>
      <c r="I5404">
        <v>-52.429630000000003</v>
      </c>
      <c r="J5404">
        <v>-299.64429999999999</v>
      </c>
      <c r="K5404">
        <v>1.1088789999999999</v>
      </c>
      <c r="L5404">
        <v>-45.360439999999997</v>
      </c>
      <c r="M5404">
        <v>0.36932670000000001</v>
      </c>
      <c r="N5404">
        <v>0</v>
      </c>
      <c r="O5404">
        <v>-0.9291587</v>
      </c>
      <c r="P5404">
        <v>0.64578780000000002</v>
      </c>
      <c r="Q5404">
        <v>2.858714E-2</v>
      </c>
      <c r="R5404">
        <v>-0.76298140000000003</v>
      </c>
      <c r="S5404">
        <v>2.7227779999999999</v>
      </c>
      <c r="T5404">
        <v>-0.25190780000000002</v>
      </c>
      <c r="U5404">
        <v>-1.64682</v>
      </c>
      <c r="V5404">
        <v>-0.31868970000000002</v>
      </c>
      <c r="W5404">
        <v>4.0925820000000002E-2</v>
      </c>
      <c r="X5404">
        <v>0.94697520000000002</v>
      </c>
      <c r="Y5404">
        <v>-0.60091340000000004</v>
      </c>
      <c r="Z5404">
        <v>8.3117629999999998E-2</v>
      </c>
      <c r="AA5404">
        <v>0.79498089999999999</v>
      </c>
      <c r="AB5404">
        <v>20</v>
      </c>
      <c r="AC5404">
        <v>11.905799999999999</v>
      </c>
      <c r="AD5404">
        <v>-1.1088828493830001</v>
      </c>
      <c r="AE5404">
        <v>-7.0691899999999901</v>
      </c>
      <c r="AF5404">
        <v>-8.3987777506239407</v>
      </c>
      <c r="AG5404">
        <v>-1.1088828493830001</v>
      </c>
      <c r="AH5404">
        <v>10.897076165453001</v>
      </c>
      <c r="AI5404">
        <v>94.607990578217596</v>
      </c>
      <c r="AJ5404">
        <v>127.622764473507</v>
      </c>
      <c r="AK5404">
        <v>13.8027300862444</v>
      </c>
    </row>
    <row r="5405" spans="1:37" x14ac:dyDescent="0.2">
      <c r="A5405" t="str">
        <f>"20200111153539207"</f>
        <v>20200111153539207</v>
      </c>
      <c r="B5405" t="str">
        <f>"1578728139201168"</f>
        <v>1578728139201168</v>
      </c>
      <c r="C5405" t="s">
        <v>37</v>
      </c>
      <c r="D5405">
        <v>4.544683</v>
      </c>
      <c r="E5405">
        <v>0.36808629999999998</v>
      </c>
      <c r="F5405" t="s">
        <v>65</v>
      </c>
      <c r="G5405">
        <v>-287.6995</v>
      </c>
      <c r="H5405" s="1">
        <v>-3.8676419999999999E-6</v>
      </c>
      <c r="I5405">
        <v>-52.437259999999903</v>
      </c>
      <c r="J5405">
        <v>-299.56360000000001</v>
      </c>
      <c r="K5405">
        <v>1.108924</v>
      </c>
      <c r="L5405">
        <v>-45.539790000000004</v>
      </c>
      <c r="M5405">
        <v>0.37600519999999998</v>
      </c>
      <c r="N5405">
        <v>0</v>
      </c>
      <c r="O5405">
        <v>-0.92648140000000001</v>
      </c>
      <c r="P5405">
        <v>0.6512635</v>
      </c>
      <c r="Q5405">
        <v>2.900937E-2</v>
      </c>
      <c r="R5405">
        <v>-0.7582972</v>
      </c>
      <c r="S5405">
        <v>2.7392880000000002</v>
      </c>
      <c r="T5405">
        <v>-0.25429980000000002</v>
      </c>
      <c r="U5405">
        <v>-1.622925</v>
      </c>
      <c r="V5405">
        <v>-0.31870500000000002</v>
      </c>
      <c r="W5405">
        <v>4.1030150000000001E-2</v>
      </c>
      <c r="X5405">
        <v>0.94696550000000002</v>
      </c>
      <c r="Y5405">
        <v>-0.60235530000000004</v>
      </c>
      <c r="Z5405">
        <v>8.3848640000000002E-2</v>
      </c>
      <c r="AA5405">
        <v>0.79381199999999996</v>
      </c>
      <c r="AB5405">
        <v>20</v>
      </c>
      <c r="AC5405">
        <v>11.864100000000001</v>
      </c>
      <c r="AD5405">
        <v>-1.108927867642</v>
      </c>
      <c r="AE5405">
        <v>-6.8974699999999904</v>
      </c>
      <c r="AF5405">
        <v>-8.3449543579041698</v>
      </c>
      <c r="AG5405">
        <v>-1.108927867642</v>
      </c>
      <c r="AH5405">
        <v>10.7823066392572</v>
      </c>
      <c r="AI5405">
        <v>94.649813590647597</v>
      </c>
      <c r="AJ5405">
        <v>127.738040087665</v>
      </c>
      <c r="AK5405">
        <v>13.679404983920399</v>
      </c>
    </row>
    <row r="5406" spans="1:37" x14ac:dyDescent="0.2">
      <c r="A5406" t="str">
        <f>"20200111153539229"</f>
        <v>20200111153539229</v>
      </c>
      <c r="B5406" t="str">
        <f>"1578728139221663"</f>
        <v>1578728139221663</v>
      </c>
      <c r="C5406" t="s">
        <v>37</v>
      </c>
      <c r="D5406">
        <v>4.5633470000000003</v>
      </c>
      <c r="E5406">
        <v>0.3678013</v>
      </c>
      <c r="F5406" t="s">
        <v>40</v>
      </c>
      <c r="G5406">
        <v>-298.70729999999998</v>
      </c>
      <c r="H5406">
        <v>1.0294889999999901</v>
      </c>
      <c r="I5406">
        <v>-46.038220000000003</v>
      </c>
      <c r="J5406">
        <v>-299.48270000000002</v>
      </c>
      <c r="K5406">
        <v>1.1089389999999999</v>
      </c>
      <c r="L5406">
        <v>-45.715969999999999</v>
      </c>
      <c r="M5406">
        <v>0.38262879999999999</v>
      </c>
      <c r="N5406">
        <v>0</v>
      </c>
      <c r="O5406">
        <v>-0.92377009999999904</v>
      </c>
      <c r="P5406">
        <v>0.65729959999999998</v>
      </c>
      <c r="Q5406">
        <v>2.944838E-2</v>
      </c>
      <c r="R5406">
        <v>-0.75305369999999905</v>
      </c>
      <c r="S5406">
        <v>2.7527469999999998</v>
      </c>
      <c r="T5406">
        <v>-0.2553318</v>
      </c>
      <c r="U5406">
        <v>-1.601837</v>
      </c>
      <c r="V5406">
        <v>-0.31950099999999998</v>
      </c>
      <c r="W5406">
        <v>4.1196429999999999E-2</v>
      </c>
      <c r="X5406">
        <v>0.94668999999999903</v>
      </c>
      <c r="Y5406">
        <v>-0.60286229999999996</v>
      </c>
      <c r="Z5406">
        <v>8.4135119999999994E-2</v>
      </c>
      <c r="AA5406">
        <v>0.79339669999999995</v>
      </c>
      <c r="AB5406">
        <v>20</v>
      </c>
      <c r="AC5406">
        <v>0.77540000000004705</v>
      </c>
      <c r="AD5406">
        <v>-7.9450000000000007E-2</v>
      </c>
      <c r="AE5406">
        <v>-0.32225000000000298</v>
      </c>
      <c r="AF5406">
        <v>-0.58779930526832103</v>
      </c>
      <c r="AG5406">
        <v>-7.9450000000000007E-2</v>
      </c>
      <c r="AH5406">
        <v>0.58917325565251</v>
      </c>
      <c r="AI5406">
        <v>95.453191722154699</v>
      </c>
      <c r="AJ5406">
        <v>134.93311524403401</v>
      </c>
      <c r="AK5406">
        <v>0.83602957540394396</v>
      </c>
    </row>
    <row r="5407" spans="1:37" x14ac:dyDescent="0.2">
      <c r="A5407" t="str">
        <f>"20200111153539252"</f>
        <v>20200111153539252</v>
      </c>
      <c r="B5407" t="str">
        <f>"1578728139241182"</f>
        <v>1578728139241182</v>
      </c>
      <c r="C5407" t="s">
        <v>37</v>
      </c>
      <c r="D5407">
        <v>4.5475629999999896</v>
      </c>
      <c r="E5407">
        <v>0.3675852</v>
      </c>
      <c r="F5407" t="s">
        <v>40</v>
      </c>
      <c r="G5407">
        <v>-298.6404</v>
      </c>
      <c r="H5407">
        <v>1.030996</v>
      </c>
      <c r="I5407">
        <v>-46.196469999999998</v>
      </c>
      <c r="J5407">
        <v>-299.4008</v>
      </c>
      <c r="K5407">
        <v>1.108924</v>
      </c>
      <c r="L5407">
        <v>-45.891109999999998</v>
      </c>
      <c r="M5407">
        <v>0.38927840000000002</v>
      </c>
      <c r="N5407">
        <v>0</v>
      </c>
      <c r="O5407">
        <v>-0.92099149999999996</v>
      </c>
      <c r="P5407">
        <v>0.66293519999999995</v>
      </c>
      <c r="Q5407">
        <v>3.0069200000000001E-2</v>
      </c>
      <c r="R5407">
        <v>-0.74807299999999999</v>
      </c>
      <c r="S5407">
        <v>2.7672119999999998</v>
      </c>
      <c r="T5407">
        <v>-0.25606010000000001</v>
      </c>
      <c r="U5407">
        <v>-1.5784910000000001</v>
      </c>
      <c r="V5407">
        <v>-0.319797</v>
      </c>
      <c r="W5407">
        <v>4.1616640000000003E-2</v>
      </c>
      <c r="X5407">
        <v>0.94657169999999902</v>
      </c>
      <c r="Y5407">
        <v>-0.6039445</v>
      </c>
      <c r="Z5407">
        <v>8.4331390000000006E-2</v>
      </c>
      <c r="AA5407">
        <v>0.79255240000000005</v>
      </c>
      <c r="AB5407">
        <v>20</v>
      </c>
      <c r="AC5407">
        <v>0.76040000000000396</v>
      </c>
      <c r="AD5407">
        <v>-7.7927999999999997E-2</v>
      </c>
      <c r="AE5407">
        <v>-0.30536000000000002</v>
      </c>
      <c r="AF5407">
        <v>-0.57630852822090495</v>
      </c>
      <c r="AG5407">
        <v>-7.7927999999999997E-2</v>
      </c>
      <c r="AH5407">
        <v>0.57213514961901002</v>
      </c>
      <c r="AI5407">
        <v>95.481391287770407</v>
      </c>
      <c r="AJ5407">
        <v>135.208208667316</v>
      </c>
      <c r="AK5407">
        <v>0.81580814062726303</v>
      </c>
    </row>
    <row r="5408" spans="1:37" x14ac:dyDescent="0.2">
      <c r="A5408" t="str">
        <f>"20200111153539274"</f>
        <v>20200111153539274</v>
      </c>
      <c r="B5408" t="str">
        <f>"1578728139271084"</f>
        <v>1578728139271084</v>
      </c>
      <c r="C5408" t="s">
        <v>37</v>
      </c>
      <c r="D5408">
        <v>4.5164419999999996</v>
      </c>
      <c r="E5408">
        <v>0.36725970000000002</v>
      </c>
      <c r="F5408" t="s">
        <v>40</v>
      </c>
      <c r="G5408">
        <v>-298.57330000000002</v>
      </c>
      <c r="H5408">
        <v>1.0327660000000001</v>
      </c>
      <c r="I5408">
        <v>-46.354599999999998</v>
      </c>
      <c r="J5408">
        <v>-299.31670000000003</v>
      </c>
      <c r="K5408">
        <v>1.1088959999999899</v>
      </c>
      <c r="L5408">
        <v>-46.067599999999999</v>
      </c>
      <c r="M5408">
        <v>0.396005</v>
      </c>
      <c r="N5408">
        <v>0</v>
      </c>
      <c r="O5408">
        <v>-0.91812269999999896</v>
      </c>
      <c r="P5408">
        <v>0.66858269999999997</v>
      </c>
      <c r="Q5408">
        <v>3.0050529999999999E-2</v>
      </c>
      <c r="R5408">
        <v>-0.74303069999999904</v>
      </c>
      <c r="S5408">
        <v>2.7803960000000001</v>
      </c>
      <c r="T5408">
        <v>-0.2558317</v>
      </c>
      <c r="U5408">
        <v>-1.5566409999999999</v>
      </c>
      <c r="V5408">
        <v>-0.32003860000000001</v>
      </c>
      <c r="W5408">
        <v>4.1438460000000003E-2</v>
      </c>
      <c r="X5408">
        <v>0.946497899999999</v>
      </c>
      <c r="Y5408">
        <v>-0.60448179999999996</v>
      </c>
      <c r="Z5408">
        <v>8.4201750000000006E-2</v>
      </c>
      <c r="AA5408">
        <v>0.79215649999999904</v>
      </c>
      <c r="AB5408">
        <v>20</v>
      </c>
      <c r="AC5408">
        <v>0.74340000000000805</v>
      </c>
      <c r="AD5408">
        <v>-7.6129999999999795E-2</v>
      </c>
      <c r="AE5408">
        <v>-0.28699999999999898</v>
      </c>
      <c r="AF5408">
        <v>-0.563798818162485</v>
      </c>
      <c r="AG5408">
        <v>-7.6129999999999795E-2</v>
      </c>
      <c r="AH5408">
        <v>0.55290929098626196</v>
      </c>
      <c r="AI5408">
        <v>95.506720446811102</v>
      </c>
      <c r="AJ5408">
        <v>135.55869941985901</v>
      </c>
      <c r="AK5408">
        <v>0.79333068030950704</v>
      </c>
    </row>
    <row r="5409" spans="1:37" x14ac:dyDescent="0.2">
      <c r="A5409" t="str">
        <f>"20200111153539297"</f>
        <v>20200111153539297</v>
      </c>
      <c r="B5409" t="str">
        <f>"1578728139291579"</f>
        <v>1578728139291579</v>
      </c>
      <c r="C5409" t="s">
        <v>37</v>
      </c>
      <c r="D5409">
        <v>4.4449750000000003</v>
      </c>
      <c r="E5409">
        <v>0.36706159999999999</v>
      </c>
      <c r="F5409" t="s">
        <v>40</v>
      </c>
      <c r="G5409">
        <v>-298.50599999999997</v>
      </c>
      <c r="H5409">
        <v>1.034286</v>
      </c>
      <c r="I5409">
        <v>-46.51267</v>
      </c>
      <c r="J5409">
        <v>-299.23140000000001</v>
      </c>
      <c r="K5409">
        <v>1.10887</v>
      </c>
      <c r="L5409">
        <v>-46.24344</v>
      </c>
      <c r="M5409">
        <v>0.40270899999999998</v>
      </c>
      <c r="N5409">
        <v>0</v>
      </c>
      <c r="O5409">
        <v>-0.91520449999999998</v>
      </c>
      <c r="P5409">
        <v>0.6741222</v>
      </c>
      <c r="Q5409">
        <v>2.9995109999999998E-2</v>
      </c>
      <c r="R5409">
        <v>-0.73801030000000001</v>
      </c>
      <c r="S5409">
        <v>2.7941889999999998</v>
      </c>
      <c r="T5409">
        <v>-0.25713609999999998</v>
      </c>
      <c r="U5409">
        <v>-1.5336909999999999</v>
      </c>
      <c r="V5409">
        <v>-0.32019189999999997</v>
      </c>
      <c r="W5409">
        <v>4.1242170000000002E-2</v>
      </c>
      <c r="X5409">
        <v>0.94645460000000003</v>
      </c>
      <c r="Y5409">
        <v>-0.60529009999999905</v>
      </c>
      <c r="Z5409">
        <v>8.4570329999999999E-2</v>
      </c>
      <c r="AA5409">
        <v>0.79149969999999903</v>
      </c>
      <c r="AB5409">
        <v>20</v>
      </c>
      <c r="AC5409">
        <v>0.72540000000003502</v>
      </c>
      <c r="AD5409">
        <v>-7.45839999999999E-2</v>
      </c>
      <c r="AE5409">
        <v>-0.26923000000000002</v>
      </c>
      <c r="AF5409">
        <v>-0.55041659254327402</v>
      </c>
      <c r="AG5409">
        <v>-7.45839999999999E-2</v>
      </c>
      <c r="AH5409">
        <v>0.53362828193082201</v>
      </c>
      <c r="AI5409">
        <v>95.556730689910196</v>
      </c>
      <c r="AJ5409">
        <v>135.88725335702699</v>
      </c>
      <c r="AK5409">
        <v>0.77024693552093304</v>
      </c>
    </row>
    <row r="5410" spans="1:37" x14ac:dyDescent="0.2">
      <c r="A5410" t="str">
        <f>"20200111153539318"</f>
        <v>20200111153539318</v>
      </c>
      <c r="B5410" t="str">
        <f>"1578728139311100"</f>
        <v>1578728139311100</v>
      </c>
      <c r="C5410" t="s">
        <v>37</v>
      </c>
      <c r="D5410">
        <v>4.5158620000000003</v>
      </c>
      <c r="E5410">
        <v>0.36691000000000001</v>
      </c>
      <c r="F5410" t="s">
        <v>40</v>
      </c>
      <c r="G5410">
        <v>-298.4384</v>
      </c>
      <c r="H5410">
        <v>1.035863</v>
      </c>
      <c r="I5410">
        <v>-46.670650000000002</v>
      </c>
      <c r="J5410">
        <v>-299.14960000000002</v>
      </c>
      <c r="K5410">
        <v>1.108851</v>
      </c>
      <c r="L5410">
        <v>-46.409030000000001</v>
      </c>
      <c r="M5410">
        <v>0.4090242</v>
      </c>
      <c r="N5410">
        <v>0</v>
      </c>
      <c r="O5410">
        <v>-0.91240219999999905</v>
      </c>
      <c r="P5410">
        <v>0.67941909999999905</v>
      </c>
      <c r="Q5410">
        <v>2.9866529999999999E-2</v>
      </c>
      <c r="R5410">
        <v>-0.73314199999999996</v>
      </c>
      <c r="S5410">
        <v>2.8067630000000001</v>
      </c>
      <c r="T5410">
        <v>-0.25837640000000001</v>
      </c>
      <c r="U5410">
        <v>-1.5116879999999999</v>
      </c>
      <c r="V5410">
        <v>-0.32046009999999903</v>
      </c>
      <c r="W5410">
        <v>4.0987280000000001E-2</v>
      </c>
      <c r="X5410">
        <v>0.94637479999999996</v>
      </c>
      <c r="Y5410">
        <v>-0.60606289999999996</v>
      </c>
      <c r="Z5410">
        <v>8.492653E-2</v>
      </c>
      <c r="AA5410">
        <v>0.79086990000000001</v>
      </c>
      <c r="AB5410">
        <v>20</v>
      </c>
      <c r="AC5410">
        <v>0.71120000000001904</v>
      </c>
      <c r="AD5410">
        <v>-7.2987999999999997E-2</v>
      </c>
      <c r="AE5410">
        <v>-0.26162000000000002</v>
      </c>
      <c r="AF5410">
        <v>-0.53697013542106597</v>
      </c>
      <c r="AG5410">
        <v>-7.2987999999999997E-2</v>
      </c>
      <c r="AH5410">
        <v>0.52479090078785995</v>
      </c>
      <c r="AI5410">
        <v>95.552279392529599</v>
      </c>
      <c r="AJ5410">
        <v>135.65719885615999</v>
      </c>
      <c r="AK5410">
        <v>0.75436706186567604</v>
      </c>
    </row>
    <row r="5411" spans="1:37" x14ac:dyDescent="0.2">
      <c r="A5411" t="str">
        <f>"20200111153539341"</f>
        <v>20200111153539341</v>
      </c>
      <c r="B5411" t="str">
        <f>"1578728139331596"</f>
        <v>1578728139331596</v>
      </c>
      <c r="C5411" t="s">
        <v>37</v>
      </c>
      <c r="D5411">
        <v>4.4986660000000001</v>
      </c>
      <c r="E5411">
        <v>0.3668651</v>
      </c>
      <c r="F5411" t="s">
        <v>40</v>
      </c>
      <c r="G5411">
        <v>-298.3646</v>
      </c>
      <c r="H5411">
        <v>1.036429</v>
      </c>
      <c r="I5411">
        <v>-46.82423</v>
      </c>
      <c r="J5411">
        <v>-299.06229999999999</v>
      </c>
      <c r="K5411">
        <v>1.108841</v>
      </c>
      <c r="L5411">
        <v>-46.582369999999997</v>
      </c>
      <c r="M5411">
        <v>0.41565419999999997</v>
      </c>
      <c r="N5411">
        <v>0</v>
      </c>
      <c r="O5411">
        <v>-0.90940319999999997</v>
      </c>
      <c r="P5411">
        <v>0.68474119999999905</v>
      </c>
      <c r="Q5411">
        <v>2.9556079999999998E-2</v>
      </c>
      <c r="R5411">
        <v>-0.72818680000000002</v>
      </c>
      <c r="S5411">
        <v>2.8184809999999998</v>
      </c>
      <c r="T5411">
        <v>-0.26001679999999999</v>
      </c>
      <c r="U5411">
        <v>-1.4906010000000001</v>
      </c>
      <c r="V5411">
        <v>-0.32045580000000001</v>
      </c>
      <c r="W5411">
        <v>4.0562290000000001E-2</v>
      </c>
      <c r="X5411">
        <v>0.94639459999999997</v>
      </c>
      <c r="Y5411">
        <v>-0.60623139999999998</v>
      </c>
      <c r="Z5411">
        <v>8.539534E-2</v>
      </c>
      <c r="AA5411">
        <v>0.79069029999999996</v>
      </c>
      <c r="AB5411">
        <v>20</v>
      </c>
      <c r="AC5411">
        <v>0.69769999999999699</v>
      </c>
      <c r="AD5411">
        <v>-7.2411999999999893E-2</v>
      </c>
      <c r="AE5411">
        <v>-0.241859999999995</v>
      </c>
      <c r="AF5411">
        <v>-0.52893225950062395</v>
      </c>
      <c r="AG5411">
        <v>-7.2411999999999893E-2</v>
      </c>
      <c r="AH5411">
        <v>0.50514806641947696</v>
      </c>
      <c r="AI5411">
        <v>95.654133599566194</v>
      </c>
      <c r="AJ5411">
        <v>136.317589767812</v>
      </c>
      <c r="AK5411">
        <v>0.73497442261059098</v>
      </c>
    </row>
    <row r="5412" spans="1:37" x14ac:dyDescent="0.2">
      <c r="A5412" t="str">
        <f>"20200111153539363"</f>
        <v>20200111153539363</v>
      </c>
      <c r="B5412" t="str">
        <f>"1578728139360876"</f>
        <v>1578728139360876</v>
      </c>
      <c r="C5412" t="s">
        <v>37</v>
      </c>
      <c r="D5412">
        <v>4.4592390000000002</v>
      </c>
      <c r="E5412">
        <v>0.36691200000000002</v>
      </c>
      <c r="F5412" t="s">
        <v>65</v>
      </c>
      <c r="G5412">
        <v>-287.07690000000002</v>
      </c>
      <c r="H5412" s="1">
        <v>-4.114818E-6</v>
      </c>
      <c r="I5412">
        <v>-52.80885</v>
      </c>
      <c r="J5412">
        <v>-298.97489999999999</v>
      </c>
      <c r="K5412">
        <v>1.1088359999999999</v>
      </c>
      <c r="L5412">
        <v>-46.752809999999997</v>
      </c>
      <c r="M5412">
        <v>0.42219399999999901</v>
      </c>
      <c r="N5412">
        <v>0</v>
      </c>
      <c r="O5412">
        <v>-0.90638719999999995</v>
      </c>
      <c r="P5412">
        <v>0.68952040000000003</v>
      </c>
      <c r="Q5412">
        <v>2.9882740000000001E-2</v>
      </c>
      <c r="R5412">
        <v>-0.72364949999999995</v>
      </c>
      <c r="S5412">
        <v>2.8293759999999999</v>
      </c>
      <c r="T5412">
        <v>-0.26176379999999999</v>
      </c>
      <c r="U5412">
        <v>-1.4698789999999999</v>
      </c>
      <c r="V5412">
        <v>-0.31987589999999999</v>
      </c>
      <c r="W5412">
        <v>4.0798609999999999E-2</v>
      </c>
      <c r="X5412">
        <v>0.94658059999999999</v>
      </c>
      <c r="Y5412">
        <v>-0.60627869999999995</v>
      </c>
      <c r="Z5412">
        <v>8.5901619999999998E-2</v>
      </c>
      <c r="AA5412">
        <v>0.79059919999999995</v>
      </c>
      <c r="AB5412">
        <v>20</v>
      </c>
      <c r="AC5412">
        <v>11.8979999999999</v>
      </c>
      <c r="AD5412">
        <v>-1.108840114818</v>
      </c>
      <c r="AE5412">
        <v>-6.0560400000000003</v>
      </c>
      <c r="AF5412">
        <v>-8.1718820584641207</v>
      </c>
      <c r="AG5412">
        <v>-1.108840114818</v>
      </c>
      <c r="AH5412">
        <v>10.441481117735201</v>
      </c>
      <c r="AI5412">
        <v>94.780436651116005</v>
      </c>
      <c r="AJ5412">
        <v>128.04802307169601</v>
      </c>
      <c r="AK5412">
        <v>13.3054015613847</v>
      </c>
    </row>
    <row r="5413" spans="1:37" x14ac:dyDescent="0.2">
      <c r="A5413" t="str">
        <f>"20200111153539386"</f>
        <v>20200111153539386</v>
      </c>
      <c r="B5413" t="str">
        <f>"1578728139381375"</f>
        <v>1578728139381375</v>
      </c>
      <c r="C5413" t="s">
        <v>37</v>
      </c>
      <c r="D5413">
        <v>4.3946559999999897</v>
      </c>
      <c r="E5413">
        <v>0.36705929999999998</v>
      </c>
      <c r="F5413" t="s">
        <v>65</v>
      </c>
      <c r="G5413">
        <v>-286.89789999999999</v>
      </c>
      <c r="H5413" s="1">
        <v>-4.1839550000000003E-6</v>
      </c>
      <c r="I5413">
        <v>-52.926389999999998</v>
      </c>
      <c r="J5413">
        <v>-298.8836</v>
      </c>
      <c r="K5413">
        <v>1.1088359999999999</v>
      </c>
      <c r="L5413">
        <v>-46.927979999999998</v>
      </c>
      <c r="M5413">
        <v>0.42893179999999997</v>
      </c>
      <c r="N5413">
        <v>0</v>
      </c>
      <c r="O5413">
        <v>-0.90322000000000002</v>
      </c>
      <c r="P5413">
        <v>0.69442119999999996</v>
      </c>
      <c r="Q5413">
        <v>2.967446E-2</v>
      </c>
      <c r="R5413">
        <v>-0.71895659999999995</v>
      </c>
      <c r="S5413">
        <v>2.8390810000000002</v>
      </c>
      <c r="T5413">
        <v>-0.2606677</v>
      </c>
      <c r="U5413">
        <v>-1.4512940000000001</v>
      </c>
      <c r="V5413">
        <v>-0.31925179999999997</v>
      </c>
      <c r="W5413">
        <v>4.0509410000000003E-2</v>
      </c>
      <c r="X5413">
        <v>0.94680370000000003</v>
      </c>
      <c r="Y5413">
        <v>-0.605603</v>
      </c>
      <c r="Z5413">
        <v>8.5452760000000003E-2</v>
      </c>
      <c r="AA5413">
        <v>0.79116549999999997</v>
      </c>
      <c r="AB5413">
        <v>20</v>
      </c>
      <c r="AC5413">
        <v>11.9857</v>
      </c>
      <c r="AD5413">
        <v>-1.1088401839549999</v>
      </c>
      <c r="AE5413">
        <v>-5.9984099999999998</v>
      </c>
      <c r="AF5413">
        <v>-8.1975784669791008</v>
      </c>
      <c r="AG5413">
        <v>-1.1088401839549999</v>
      </c>
      <c r="AH5413">
        <v>10.4882600617227</v>
      </c>
      <c r="AI5413">
        <v>94.761606686448204</v>
      </c>
      <c r="AJ5413">
        <v>128.01102858426901</v>
      </c>
      <c r="AK5413">
        <v>13.357897229660001</v>
      </c>
    </row>
    <row r="5414" spans="1:37" x14ac:dyDescent="0.2">
      <c r="A5414" t="str">
        <f>"20200111153539408"</f>
        <v>20200111153539408</v>
      </c>
      <c r="B5414" t="str">
        <f>"1578728139400892"</f>
        <v>1578728139400892</v>
      </c>
      <c r="C5414" t="s">
        <v>37</v>
      </c>
      <c r="D5414">
        <v>4.4169749999999999</v>
      </c>
      <c r="E5414">
        <v>0.39332009999999901</v>
      </c>
      <c r="F5414" t="s">
        <v>65</v>
      </c>
      <c r="G5414">
        <v>-286.779</v>
      </c>
      <c r="H5414" s="1">
        <v>-4.2275370000000001E-6</v>
      </c>
      <c r="I5414">
        <v>-53.017749999999999</v>
      </c>
      <c r="J5414">
        <v>-298.7962</v>
      </c>
      <c r="K5414">
        <v>1.108832</v>
      </c>
      <c r="L5414">
        <v>-47.092619999999997</v>
      </c>
      <c r="M5414">
        <v>0.43527159999999898</v>
      </c>
      <c r="N5414">
        <v>0</v>
      </c>
      <c r="O5414">
        <v>-0.90018319999999996</v>
      </c>
      <c r="P5414">
        <v>0.69880790000000004</v>
      </c>
      <c r="Q5414">
        <v>2.9964930000000001E-2</v>
      </c>
      <c r="R5414">
        <v>-0.71468169999999898</v>
      </c>
      <c r="S5414">
        <v>2.8479000000000001</v>
      </c>
      <c r="T5414">
        <v>-0.26088230000000001</v>
      </c>
      <c r="U5414">
        <v>-1.4327700000000001</v>
      </c>
      <c r="V5414">
        <v>-0.31839590000000001</v>
      </c>
      <c r="W5414">
        <v>4.0735239999999999E-2</v>
      </c>
      <c r="X5414">
        <v>0.94708219999999999</v>
      </c>
      <c r="Y5414">
        <v>-0.60510779999999997</v>
      </c>
      <c r="Z5414">
        <v>8.5451949999999999E-2</v>
      </c>
      <c r="AA5414">
        <v>0.79154440000000004</v>
      </c>
      <c r="AB5414">
        <v>20</v>
      </c>
      <c r="AC5414">
        <v>12.017200000000001</v>
      </c>
      <c r="AD5414">
        <v>-1.1088362275370001</v>
      </c>
      <c r="AE5414">
        <v>-5.9251299999999896</v>
      </c>
      <c r="AF5414">
        <v>-8.1834534313044003</v>
      </c>
      <c r="AG5414">
        <v>-1.1088362275370001</v>
      </c>
      <c r="AH5414">
        <v>10.493681411346399</v>
      </c>
      <c r="AI5414">
        <v>94.763163717193393</v>
      </c>
      <c r="AJ5414">
        <v>127.94873761263599</v>
      </c>
      <c r="AK5414">
        <v>13.3534930787664</v>
      </c>
    </row>
    <row r="5415" spans="1:37" x14ac:dyDescent="0.2">
      <c r="A5415" t="str">
        <f>"20200111153539431"</f>
        <v>20200111153539431</v>
      </c>
      <c r="B5415" t="str">
        <f>"1578728139421388"</f>
        <v>1578728139421388</v>
      </c>
      <c r="C5415" t="s">
        <v>37</v>
      </c>
      <c r="D5415">
        <v>4.4444299999999997</v>
      </c>
      <c r="E5415">
        <v>0.39383479999999998</v>
      </c>
      <c r="F5415" t="s">
        <v>40</v>
      </c>
      <c r="G5415">
        <v>-297.96710000000002</v>
      </c>
      <c r="H5415">
        <v>1.048497</v>
      </c>
      <c r="I5415">
        <v>-47.570520000000002</v>
      </c>
      <c r="J5415">
        <v>-298.7045</v>
      </c>
      <c r="K5415">
        <v>1.1088359999999999</v>
      </c>
      <c r="L5415">
        <v>-47.262509999999999</v>
      </c>
      <c r="M5415">
        <v>0.44181389999999998</v>
      </c>
      <c r="N5415">
        <v>0</v>
      </c>
      <c r="O5415">
        <v>-0.89699150000000005</v>
      </c>
      <c r="P5415">
        <v>0.70353900000000003</v>
      </c>
      <c r="Q5415">
        <v>3.0330570000000001E-2</v>
      </c>
      <c r="R5415">
        <v>-0.71000869999999905</v>
      </c>
      <c r="S5415">
        <v>2.706512</v>
      </c>
      <c r="T5415">
        <v>-0.1969214</v>
      </c>
      <c r="U5415">
        <v>-1.559509</v>
      </c>
      <c r="V5415">
        <v>-0.31780029999999998</v>
      </c>
      <c r="W5415">
        <v>4.103921E-2</v>
      </c>
      <c r="X5415">
        <v>0.94726909999999898</v>
      </c>
      <c r="Y5415">
        <v>-0.55472049999999995</v>
      </c>
      <c r="Z5415">
        <v>6.4886059999999995E-2</v>
      </c>
      <c r="AA5415">
        <v>0.82950279999999998</v>
      </c>
      <c r="AB5415">
        <v>19</v>
      </c>
      <c r="AC5415">
        <v>0.73739999999997896</v>
      </c>
      <c r="AD5415">
        <v>-6.0339000000000101E-2</v>
      </c>
      <c r="AE5415">
        <v>-0.308010000000003</v>
      </c>
      <c r="AF5415">
        <v>-0.52243436900776596</v>
      </c>
      <c r="AG5415">
        <v>-6.0339000000000101E-2</v>
      </c>
      <c r="AH5415">
        <v>0.59872486034766903</v>
      </c>
      <c r="AI5415">
        <v>94.342428300708505</v>
      </c>
      <c r="AJ5415">
        <v>131.10724752970901</v>
      </c>
      <c r="AK5415">
        <v>0.79690019653647903</v>
      </c>
    </row>
    <row r="5416" spans="1:37" x14ac:dyDescent="0.2">
      <c r="A5416" t="str">
        <f>"20200111153539453"</f>
        <v>20200111153539453</v>
      </c>
      <c r="B5416" t="str">
        <f>"1578728139440908"</f>
        <v>1578728139440908</v>
      </c>
      <c r="C5416" t="s">
        <v>37</v>
      </c>
      <c r="D5416">
        <v>4.4217899999999997</v>
      </c>
      <c r="E5416">
        <v>0.39358259999999901</v>
      </c>
      <c r="F5416" t="s">
        <v>40</v>
      </c>
      <c r="G5416">
        <v>-297.89319999999998</v>
      </c>
      <c r="H5416">
        <v>1.0534129999999999</v>
      </c>
      <c r="I5416">
        <v>-47.724089999999997</v>
      </c>
      <c r="J5416">
        <v>-298.61329999999998</v>
      </c>
      <c r="K5416">
        <v>1.108832</v>
      </c>
      <c r="L5416">
        <v>-47.4285</v>
      </c>
      <c r="M5416">
        <v>0.44820589999999999</v>
      </c>
      <c r="N5416">
        <v>0</v>
      </c>
      <c r="O5416">
        <v>-0.89381580000000005</v>
      </c>
      <c r="P5416">
        <v>0.70830819999999906</v>
      </c>
      <c r="Q5416">
        <v>3.0324859999999999E-2</v>
      </c>
      <c r="R5416">
        <v>-0.70525159999999998</v>
      </c>
      <c r="S5416">
        <v>2.713867</v>
      </c>
      <c r="T5416">
        <v>-0.18539330000000001</v>
      </c>
      <c r="U5416">
        <v>-1.544098</v>
      </c>
      <c r="V5416">
        <v>-0.31742159999999903</v>
      </c>
      <c r="W5416">
        <v>4.0979179999999997E-2</v>
      </c>
      <c r="X5416">
        <v>0.94739869999999904</v>
      </c>
      <c r="Y5416">
        <v>-0.553535</v>
      </c>
      <c r="Z5416">
        <v>6.1029479999999997E-2</v>
      </c>
      <c r="AA5416">
        <v>0.83058679999999996</v>
      </c>
      <c r="AB5416">
        <v>19</v>
      </c>
      <c r="AC5416">
        <v>0.72010000000000196</v>
      </c>
      <c r="AD5416">
        <v>-5.54190000000001E-2</v>
      </c>
      <c r="AE5416">
        <v>-0.29559000000000402</v>
      </c>
      <c r="AF5416">
        <v>-0.50862580714433803</v>
      </c>
      <c r="AG5416">
        <v>-5.54190000000001E-2</v>
      </c>
      <c r="AH5416">
        <v>0.58405573740489103</v>
      </c>
      <c r="AI5416">
        <v>94.092896568363003</v>
      </c>
      <c r="AJ5416">
        <v>131.051025880433</v>
      </c>
      <c r="AK5416">
        <v>0.776461577703495</v>
      </c>
    </row>
    <row r="5417" spans="1:37" x14ac:dyDescent="0.2">
      <c r="A5417" t="str">
        <f>"20200111153539476"</f>
        <v>20200111153539476</v>
      </c>
      <c r="B5417" t="str">
        <f>"1578728139471175"</f>
        <v>1578728139471175</v>
      </c>
      <c r="C5417" t="s">
        <v>37</v>
      </c>
      <c r="D5417">
        <v>4.4287669999999997</v>
      </c>
      <c r="E5417">
        <v>0.39368700000000001</v>
      </c>
      <c r="F5417" t="s">
        <v>40</v>
      </c>
      <c r="G5417">
        <v>-297.81549999999999</v>
      </c>
      <c r="H5417">
        <v>1.055728</v>
      </c>
      <c r="I5417">
        <v>-47.874809999999997</v>
      </c>
      <c r="J5417">
        <v>-298.51909999999998</v>
      </c>
      <c r="K5417">
        <v>1.1088180000000001</v>
      </c>
      <c r="L5417">
        <v>-47.597169999999998</v>
      </c>
      <c r="M5417">
        <v>0.45470290000000002</v>
      </c>
      <c r="N5417">
        <v>0</v>
      </c>
      <c r="O5417">
        <v>-0.89052900000000002</v>
      </c>
      <c r="P5417">
        <v>0.71322790000000003</v>
      </c>
      <c r="Q5417">
        <v>3.0740090000000001E-2</v>
      </c>
      <c r="R5417">
        <v>-0.70025769999999998</v>
      </c>
      <c r="S5417">
        <v>2.7258</v>
      </c>
      <c r="T5417">
        <v>-0.18138599999999999</v>
      </c>
      <c r="U5417">
        <v>-1.5239559999999901</v>
      </c>
      <c r="V5417">
        <v>-0.31716559999999999</v>
      </c>
      <c r="W5417">
        <v>4.1348410000000002E-2</v>
      </c>
      <c r="X5417">
        <v>0.94746839999999999</v>
      </c>
      <c r="Y5417">
        <v>-0.55377940000000003</v>
      </c>
      <c r="Z5417">
        <v>5.963218E-2</v>
      </c>
      <c r="AA5417">
        <v>0.83052549999999903</v>
      </c>
      <c r="AB5417">
        <v>19</v>
      </c>
      <c r="AC5417">
        <v>0.70359999999999401</v>
      </c>
      <c r="AD5417">
        <v>-5.3089999999999998E-2</v>
      </c>
      <c r="AE5417">
        <v>-0.277639999999998</v>
      </c>
      <c r="AF5417">
        <v>-0.49793039547086698</v>
      </c>
      <c r="AG5417">
        <v>-5.3089999999999998E-2</v>
      </c>
      <c r="AH5417">
        <v>0.56445242333741197</v>
      </c>
      <c r="AI5417">
        <v>94.034604268885303</v>
      </c>
      <c r="AJ5417">
        <v>131.417052460593</v>
      </c>
      <c r="AK5417">
        <v>0.75455931844040702</v>
      </c>
    </row>
    <row r="5418" spans="1:37" x14ac:dyDescent="0.2">
      <c r="A5418" t="str">
        <f>"20200111153539498"</f>
        <v>20200111153539498</v>
      </c>
      <c r="B5418" t="str">
        <f>"1578728139491659"</f>
        <v>1578728139491659</v>
      </c>
      <c r="C5418" t="s">
        <v>37</v>
      </c>
      <c r="D5418">
        <v>4.4112390000000001</v>
      </c>
      <c r="E5418">
        <v>0.393872</v>
      </c>
      <c r="F5418" t="s">
        <v>40</v>
      </c>
      <c r="G5418">
        <v>-297.7389</v>
      </c>
      <c r="H5418">
        <v>1.0579540000000001</v>
      </c>
      <c r="I5418">
        <v>-48.026490000000003</v>
      </c>
      <c r="J5418">
        <v>-298.42349999999999</v>
      </c>
      <c r="K5418">
        <v>1.1088119999999999</v>
      </c>
      <c r="L5418">
        <v>-47.765409999999903</v>
      </c>
      <c r="M5418">
        <v>0.46119090000000001</v>
      </c>
      <c r="N5418">
        <v>0</v>
      </c>
      <c r="O5418">
        <v>-0.88718730000000001</v>
      </c>
      <c r="P5418">
        <v>0.71821679999999999</v>
      </c>
      <c r="Q5418">
        <v>3.0992700000000001E-2</v>
      </c>
      <c r="R5418">
        <v>-0.69512890000000005</v>
      </c>
      <c r="S5418">
        <v>2.7359309999999999</v>
      </c>
      <c r="T5418">
        <v>-0.17835909999999999</v>
      </c>
      <c r="U5418">
        <v>-1.505341</v>
      </c>
      <c r="V5418">
        <v>-0.3170309</v>
      </c>
      <c r="W5418">
        <v>4.1560899999999998E-2</v>
      </c>
      <c r="X5418">
        <v>0.94750419999999902</v>
      </c>
      <c r="Y5418">
        <v>-0.55340199999999995</v>
      </c>
      <c r="Z5418">
        <v>5.8557869999999998E-2</v>
      </c>
      <c r="AA5418">
        <v>0.83085330000000002</v>
      </c>
      <c r="AB5418">
        <v>19</v>
      </c>
      <c r="AC5418">
        <v>0.684599999999989</v>
      </c>
      <c r="AD5418">
        <v>-5.0858E-2</v>
      </c>
      <c r="AE5418">
        <v>-0.26108000000000597</v>
      </c>
      <c r="AF5418">
        <v>-0.48467461062673001</v>
      </c>
      <c r="AG5418">
        <v>-5.0858E-2</v>
      </c>
      <c r="AH5418">
        <v>0.54478851267445305</v>
      </c>
      <c r="AI5418">
        <v>93.989736373443705</v>
      </c>
      <c r="AJ5418">
        <v>131.658096793813</v>
      </c>
      <c r="AK5418">
        <v>0.73095180271493598</v>
      </c>
    </row>
    <row r="5419" spans="1:37" x14ac:dyDescent="0.2">
      <c r="A5419" t="str">
        <f>"20200111153539520"</f>
        <v>20200111153539520</v>
      </c>
      <c r="B5419" t="str">
        <f>"1578728139511180"</f>
        <v>1578728139511180</v>
      </c>
      <c r="C5419" t="s">
        <v>37</v>
      </c>
      <c r="D5419">
        <v>4.3294790000000001</v>
      </c>
      <c r="E5419">
        <v>0.3938122</v>
      </c>
      <c r="F5419" t="s">
        <v>40</v>
      </c>
      <c r="G5419">
        <v>-297.6619</v>
      </c>
      <c r="H5419">
        <v>1.0595559999999999</v>
      </c>
      <c r="I5419">
        <v>-48.177909999999997</v>
      </c>
      <c r="J5419">
        <v>-298.3295</v>
      </c>
      <c r="K5419">
        <v>1.1088020000000001</v>
      </c>
      <c r="L5419">
        <v>-47.92792</v>
      </c>
      <c r="M5419">
        <v>0.46746660000000001</v>
      </c>
      <c r="N5419">
        <v>0</v>
      </c>
      <c r="O5419">
        <v>-0.88389740000000006</v>
      </c>
      <c r="P5419">
        <v>0.72292419999999902</v>
      </c>
      <c r="Q5419">
        <v>3.1570429999999997E-2</v>
      </c>
      <c r="R5419">
        <v>-0.69020599999999999</v>
      </c>
      <c r="S5419">
        <v>2.7456669999999899</v>
      </c>
      <c r="T5419">
        <v>-0.17756269999999999</v>
      </c>
      <c r="U5419">
        <v>-1.4868159999999999</v>
      </c>
      <c r="V5419">
        <v>-0.3167719</v>
      </c>
      <c r="W5419">
        <v>4.210879E-2</v>
      </c>
      <c r="X5419">
        <v>0.94756659999999904</v>
      </c>
      <c r="Y5419">
        <v>-0.55308900000000005</v>
      </c>
      <c r="Z5419">
        <v>5.8218909999999999E-2</v>
      </c>
      <c r="AA5419">
        <v>0.83108559999999998</v>
      </c>
      <c r="AB5419">
        <v>19</v>
      </c>
      <c r="AC5419">
        <v>0.66759999999999298</v>
      </c>
      <c r="AD5419">
        <v>-4.9246000000000102E-2</v>
      </c>
      <c r="AE5419">
        <v>-0.24998999999999599</v>
      </c>
      <c r="AF5419">
        <v>-0.47102749902741398</v>
      </c>
      <c r="AG5419">
        <v>-4.9246000000000102E-2</v>
      </c>
      <c r="AH5419">
        <v>0.53056763839673604</v>
      </c>
      <c r="AI5419">
        <v>93.970583980361496</v>
      </c>
      <c r="AJ5419">
        <v>131.59803773977001</v>
      </c>
      <c r="AK5419">
        <v>0.71119202207976895</v>
      </c>
    </row>
    <row r="5420" spans="1:37" x14ac:dyDescent="0.2">
      <c r="A5420" t="str">
        <f>"20200111153539543"</f>
        <v>20200111153539543</v>
      </c>
      <c r="B5420" t="str">
        <f>"1578728139531676"</f>
        <v>1578728139531676</v>
      </c>
      <c r="C5420" t="s">
        <v>37</v>
      </c>
      <c r="D5420">
        <v>4.3789879999999997</v>
      </c>
      <c r="E5420">
        <v>0.39393010000000001</v>
      </c>
      <c r="F5420" t="s">
        <v>40</v>
      </c>
      <c r="G5420">
        <v>-297.42430000000002</v>
      </c>
      <c r="H5420">
        <v>1.0509819999999901</v>
      </c>
      <c r="I5420">
        <v>-48.410179999999997</v>
      </c>
      <c r="J5420">
        <v>-298.23230000000001</v>
      </c>
      <c r="K5420">
        <v>1.108797</v>
      </c>
      <c r="L5420">
        <v>-48.093020000000003</v>
      </c>
      <c r="M5420">
        <v>0.47384779999999999</v>
      </c>
      <c r="N5420">
        <v>0</v>
      </c>
      <c r="O5420">
        <v>-0.88049349999999904</v>
      </c>
      <c r="P5420">
        <v>0.72790080000000001</v>
      </c>
      <c r="Q5420">
        <v>3.2311079999999999E-2</v>
      </c>
      <c r="R5420">
        <v>-0.684921</v>
      </c>
      <c r="S5420">
        <v>2.7561650000000002</v>
      </c>
      <c r="T5420">
        <v>-0.176018799999999</v>
      </c>
      <c r="U5420">
        <v>-1.467773</v>
      </c>
      <c r="V5420">
        <v>-0.31679800000000002</v>
      </c>
      <c r="W5420">
        <v>4.282101E-2</v>
      </c>
      <c r="X5420">
        <v>0.94752590000000003</v>
      </c>
      <c r="Y5420">
        <v>-0.552886199999999</v>
      </c>
      <c r="Z5420">
        <v>5.762312E-2</v>
      </c>
      <c r="AA5420">
        <v>0.8312619</v>
      </c>
      <c r="AB5420">
        <v>19</v>
      </c>
      <c r="AC5420">
        <v>0.80799999999999195</v>
      </c>
      <c r="AD5420">
        <v>-5.7815000000000102E-2</v>
      </c>
      <c r="AE5420">
        <v>-0.317159999999994</v>
      </c>
      <c r="AF5420">
        <v>-0.55873043784943099</v>
      </c>
      <c r="AG5420">
        <v>-5.7815000000000102E-2</v>
      </c>
      <c r="AH5420">
        <v>0.65926765398325904</v>
      </c>
      <c r="AI5420">
        <v>93.827457594692703</v>
      </c>
      <c r="AJ5420">
        <v>130.28133172792499</v>
      </c>
      <c r="AK5420">
        <v>0.86611553270508201</v>
      </c>
    </row>
    <row r="5421" spans="1:37" x14ac:dyDescent="0.2">
      <c r="A5421" t="str">
        <f>"20200111153539565"</f>
        <v>20200111153539565</v>
      </c>
      <c r="B5421" t="str">
        <f>"1578728139561518"</f>
        <v>1578728139561518</v>
      </c>
      <c r="C5421" t="s">
        <v>37</v>
      </c>
      <c r="D5421">
        <v>4.3909500000000001</v>
      </c>
      <c r="E5421">
        <v>0.39444590000000002</v>
      </c>
      <c r="F5421" t="s">
        <v>40</v>
      </c>
      <c r="G5421">
        <v>-297.34379999999999</v>
      </c>
      <c r="H5421">
        <v>1.0524249999999999</v>
      </c>
      <c r="I5421">
        <v>-48.558169999999997</v>
      </c>
      <c r="J5421">
        <v>-298.13639999999998</v>
      </c>
      <c r="K5421">
        <v>1.108787</v>
      </c>
      <c r="L5421">
        <v>-48.253360000000001</v>
      </c>
      <c r="M5421">
        <v>0.48004669999999999</v>
      </c>
      <c r="N5421">
        <v>0</v>
      </c>
      <c r="O5421">
        <v>-0.87712979999999996</v>
      </c>
      <c r="P5421">
        <v>0.73281890000000005</v>
      </c>
      <c r="Q5421">
        <v>3.2521769999999998E-2</v>
      </c>
      <c r="R5421">
        <v>-0.67964609999999903</v>
      </c>
      <c r="S5421">
        <v>2.7661129999999998</v>
      </c>
      <c r="T5421">
        <v>-0.175531399999999</v>
      </c>
      <c r="U5421">
        <v>-1.448669</v>
      </c>
      <c r="V5421">
        <v>-0.31695050000000002</v>
      </c>
      <c r="W5421">
        <v>4.3007280000000002E-2</v>
      </c>
      <c r="X5421">
        <v>0.94746649999999999</v>
      </c>
      <c r="Y5421">
        <v>-0.55275920000000001</v>
      </c>
      <c r="Z5421">
        <v>5.7380479999999998E-2</v>
      </c>
      <c r="AA5421">
        <v>0.83136330000000003</v>
      </c>
      <c r="AB5421">
        <v>19</v>
      </c>
      <c r="AC5421">
        <v>0.79259999999999298</v>
      </c>
      <c r="AD5421">
        <v>-5.6362000000000197E-2</v>
      </c>
      <c r="AE5421">
        <v>-0.30481000000000302</v>
      </c>
      <c r="AF5421">
        <v>-0.54653693535538495</v>
      </c>
      <c r="AG5421">
        <v>-5.6362000000000197E-2</v>
      </c>
      <c r="AH5421">
        <v>0.64506562493882103</v>
      </c>
      <c r="AI5421">
        <v>93.813914173416407</v>
      </c>
      <c r="AJ5421">
        <v>130.273201583597</v>
      </c>
      <c r="AK5421">
        <v>0.84734229047614995</v>
      </c>
    </row>
    <row r="5422" spans="1:37" x14ac:dyDescent="0.2">
      <c r="A5422" t="str">
        <f>"20200111153539587"</f>
        <v>20200111153539587</v>
      </c>
      <c r="B5422" t="str">
        <f>"1578728139581037"</f>
        <v>1578728139581037</v>
      </c>
      <c r="C5422" t="s">
        <v>37</v>
      </c>
      <c r="D5422">
        <v>4.4502889999999997</v>
      </c>
      <c r="E5422">
        <v>0.3946865</v>
      </c>
      <c r="F5422" t="s">
        <v>40</v>
      </c>
      <c r="G5422">
        <v>-297.26190000000003</v>
      </c>
      <c r="H5422">
        <v>1.0535139999999901</v>
      </c>
      <c r="I5422">
        <v>-48.704940000000001</v>
      </c>
      <c r="J5422">
        <v>-298.03550000000001</v>
      </c>
      <c r="K5422">
        <v>1.108773</v>
      </c>
      <c r="L5422">
        <v>-48.419530000000002</v>
      </c>
      <c r="M5422">
        <v>0.48647629999999997</v>
      </c>
      <c r="N5422">
        <v>0</v>
      </c>
      <c r="O5422">
        <v>-0.87358049999999998</v>
      </c>
      <c r="P5422">
        <v>0.73814760000000001</v>
      </c>
      <c r="Q5422">
        <v>3.2467969999999999E-2</v>
      </c>
      <c r="R5422">
        <v>-0.67385719999999905</v>
      </c>
      <c r="S5422">
        <v>2.77371199999999</v>
      </c>
      <c r="T5422">
        <v>-0.1752812</v>
      </c>
      <c r="U5422">
        <v>-1.431732</v>
      </c>
      <c r="V5422">
        <v>-0.31744889999999998</v>
      </c>
      <c r="W5422">
        <v>4.2927720000000003E-2</v>
      </c>
      <c r="X5422">
        <v>0.94730319999999901</v>
      </c>
      <c r="Y5422">
        <v>-0.55158509999999905</v>
      </c>
      <c r="Z5422">
        <v>5.7207590000000003E-2</v>
      </c>
      <c r="AA5422">
        <v>0.83215459999999997</v>
      </c>
      <c r="AB5422">
        <v>19</v>
      </c>
      <c r="AC5422">
        <v>0.77359999999998696</v>
      </c>
      <c r="AD5422">
        <v>-5.52590000000001E-2</v>
      </c>
      <c r="AE5422">
        <v>-0.285409999999998</v>
      </c>
      <c r="AF5422">
        <v>-0.534608847364196</v>
      </c>
      <c r="AG5422">
        <v>-5.52590000000001E-2</v>
      </c>
      <c r="AH5422">
        <v>0.62293096775786305</v>
      </c>
      <c r="AI5422">
        <v>93.851141218756098</v>
      </c>
      <c r="AJ5422">
        <v>130.63669583155499</v>
      </c>
      <c r="AK5422">
        <v>0.82274125176316704</v>
      </c>
    </row>
    <row r="5423" spans="1:37" x14ac:dyDescent="0.2">
      <c r="A5423" t="str">
        <f>"20200111153539609"</f>
        <v>20200111153539609</v>
      </c>
      <c r="B5423" t="str">
        <f>"1578728139601533"</f>
        <v>1578728139601533</v>
      </c>
      <c r="C5423" t="s">
        <v>37</v>
      </c>
      <c r="D5423">
        <v>4.4274089999999999</v>
      </c>
      <c r="E5423">
        <v>0.39496729999999902</v>
      </c>
      <c r="F5423" t="s">
        <v>40</v>
      </c>
      <c r="G5423">
        <v>-297.18110000000001</v>
      </c>
      <c r="H5423">
        <v>1.054905</v>
      </c>
      <c r="I5423">
        <v>-48.852779999999903</v>
      </c>
      <c r="J5423">
        <v>-297.94049999999999</v>
      </c>
      <c r="K5423">
        <v>1.10876</v>
      </c>
      <c r="L5423">
        <v>-48.573459999999997</v>
      </c>
      <c r="M5423">
        <v>0.49243769999999998</v>
      </c>
      <c r="N5423">
        <v>0</v>
      </c>
      <c r="O5423">
        <v>-0.87023439999999996</v>
      </c>
      <c r="P5423">
        <v>0.74317880000000003</v>
      </c>
      <c r="Q5423">
        <v>3.2390639999999998E-2</v>
      </c>
      <c r="R5423">
        <v>-0.66830829999999997</v>
      </c>
      <c r="S5423">
        <v>2.7833860000000001</v>
      </c>
      <c r="T5423">
        <v>-0.17548910000000001</v>
      </c>
      <c r="U5423">
        <v>-1.4114690000000001</v>
      </c>
      <c r="V5423">
        <v>-0.31806999999999902</v>
      </c>
      <c r="W5423">
        <v>4.282768E-2</v>
      </c>
      <c r="X5423">
        <v>0.94709940000000004</v>
      </c>
      <c r="Y5423">
        <v>-0.55186959999999996</v>
      </c>
      <c r="Z5423">
        <v>5.720488E-2</v>
      </c>
      <c r="AA5423">
        <v>0.83196610000000004</v>
      </c>
      <c r="AB5423">
        <v>19</v>
      </c>
      <c r="AC5423">
        <v>0.75939999999997099</v>
      </c>
      <c r="AD5423">
        <v>-5.3854999999999903E-2</v>
      </c>
      <c r="AE5423">
        <v>-0.27931999999999801</v>
      </c>
      <c r="AF5423">
        <v>-0.52105164863078701</v>
      </c>
      <c r="AG5423">
        <v>-5.3854999999999903E-2</v>
      </c>
      <c r="AH5423">
        <v>0.61437024605928503</v>
      </c>
      <c r="AI5423">
        <v>93.824712152934097</v>
      </c>
      <c r="AJ5423">
        <v>130.30150744988799</v>
      </c>
      <c r="AK5423">
        <v>0.80736979186046398</v>
      </c>
    </row>
    <row r="5424" spans="1:37" x14ac:dyDescent="0.2">
      <c r="A5424" t="str">
        <f>"20200111153539631"</f>
        <v>20200111153539631</v>
      </c>
      <c r="B5424" t="str">
        <f>"1578728139621054"</f>
        <v>1578728139621054</v>
      </c>
      <c r="C5424" t="s">
        <v>37</v>
      </c>
      <c r="D5424">
        <v>4.3447639999999996</v>
      </c>
      <c r="E5424">
        <v>0.39509870000000002</v>
      </c>
      <c r="F5424" t="s">
        <v>40</v>
      </c>
      <c r="G5424">
        <v>-297.09449999999998</v>
      </c>
      <c r="H5424">
        <v>1.0556989999999999</v>
      </c>
      <c r="I5424">
        <v>-48.995559999999998</v>
      </c>
      <c r="J5424">
        <v>-297.83969999999999</v>
      </c>
      <c r="K5424">
        <v>1.1087469999999999</v>
      </c>
      <c r="L5424">
        <v>-48.734189999999998</v>
      </c>
      <c r="M5424">
        <v>0.4986659</v>
      </c>
      <c r="N5424">
        <v>0</v>
      </c>
      <c r="O5424">
        <v>-0.86668099999999904</v>
      </c>
      <c r="P5424">
        <v>0.74781189999999997</v>
      </c>
      <c r="Q5424">
        <v>3.2348290000000002E-2</v>
      </c>
      <c r="R5424">
        <v>-0.66312219999999999</v>
      </c>
      <c r="S5424">
        <v>2.7923279999999999</v>
      </c>
      <c r="T5424">
        <v>-0.17508009999999999</v>
      </c>
      <c r="U5424">
        <v>-1.392242</v>
      </c>
      <c r="V5424">
        <v>-0.31786700000000001</v>
      </c>
      <c r="W5424">
        <v>4.2776229999999998E-2</v>
      </c>
      <c r="X5424">
        <v>0.94716990000000001</v>
      </c>
      <c r="Y5424">
        <v>-0.5515544</v>
      </c>
      <c r="Z5424">
        <v>5.6984189999999997E-2</v>
      </c>
      <c r="AA5424">
        <v>0.83219019999999999</v>
      </c>
      <c r="AB5424">
        <v>19</v>
      </c>
      <c r="AC5424">
        <v>0.74520000000001096</v>
      </c>
      <c r="AD5424">
        <v>-5.3047999999999901E-2</v>
      </c>
      <c r="AE5424">
        <v>-0.261369999999992</v>
      </c>
      <c r="AF5424">
        <v>-0.51324902065760902</v>
      </c>
      <c r="AG5424">
        <v>-5.3047999999999901E-2</v>
      </c>
      <c r="AH5424">
        <v>0.59550184376910897</v>
      </c>
      <c r="AI5424">
        <v>93.860317706655707</v>
      </c>
      <c r="AJ5424">
        <v>130.75727714076601</v>
      </c>
      <c r="AK5424">
        <v>0.78794739256019097</v>
      </c>
    </row>
    <row r="5425" spans="1:37" x14ac:dyDescent="0.2">
      <c r="A5425" t="str">
        <f>"20200111153539654"</f>
        <v>20200111153539654</v>
      </c>
      <c r="B5425" t="str">
        <f>"1578728139651680"</f>
        <v>1578728139651680</v>
      </c>
      <c r="C5425" t="s">
        <v>37</v>
      </c>
      <c r="D5425">
        <v>4.3708119999999999</v>
      </c>
      <c r="E5425">
        <v>0.39530749999999998</v>
      </c>
      <c r="F5425" t="s">
        <v>40</v>
      </c>
      <c r="G5425">
        <v>-297.01060000000001</v>
      </c>
      <c r="H5425">
        <v>1.0566659999999899</v>
      </c>
      <c r="I5425">
        <v>-49.14087</v>
      </c>
      <c r="J5425">
        <v>-297.73610000000002</v>
      </c>
      <c r="K5425">
        <v>1.108735</v>
      </c>
      <c r="L5425">
        <v>-48.896790000000003</v>
      </c>
      <c r="M5425">
        <v>0.50497029999999998</v>
      </c>
      <c r="N5425">
        <v>0</v>
      </c>
      <c r="O5425">
        <v>-0.86302330000000005</v>
      </c>
      <c r="P5425">
        <v>0.75256060000000002</v>
      </c>
      <c r="Q5425">
        <v>3.2651430000000002E-2</v>
      </c>
      <c r="R5425">
        <v>-0.6577132</v>
      </c>
      <c r="S5425">
        <v>2.8013309999999998</v>
      </c>
      <c r="T5425">
        <v>-0.1759493</v>
      </c>
      <c r="U5425">
        <v>-1.373535</v>
      </c>
      <c r="V5425">
        <v>-0.3177817</v>
      </c>
      <c r="W5425">
        <v>4.3070169999999998E-2</v>
      </c>
      <c r="X5425">
        <v>0.94718519999999995</v>
      </c>
      <c r="Y5425">
        <v>-0.55100329999999997</v>
      </c>
      <c r="Z5425">
        <v>5.7161400000000001E-2</v>
      </c>
      <c r="AA5425">
        <v>0.83254300000000003</v>
      </c>
      <c r="AB5425">
        <v>19</v>
      </c>
      <c r="AC5425">
        <v>0.72550000000001003</v>
      </c>
      <c r="AD5425">
        <v>-5.2069000000000101E-2</v>
      </c>
      <c r="AE5425">
        <v>-0.24407999999999599</v>
      </c>
      <c r="AF5425">
        <v>-0.50060310668342001</v>
      </c>
      <c r="AG5425">
        <v>-5.2069000000000101E-2</v>
      </c>
      <c r="AH5425">
        <v>0.57440131349791201</v>
      </c>
      <c r="AI5425">
        <v>93.909407721340898</v>
      </c>
      <c r="AJ5425">
        <v>131.07285130314199</v>
      </c>
      <c r="AK5425">
        <v>0.76370905463417105</v>
      </c>
    </row>
    <row r="5426" spans="1:37" x14ac:dyDescent="0.2">
      <c r="A5426" t="str">
        <f>"20200111153539677"</f>
        <v>20200111153539677</v>
      </c>
      <c r="B5426" t="str">
        <f>"1578728139671200"</f>
        <v>1578728139671200</v>
      </c>
      <c r="C5426" t="s">
        <v>37</v>
      </c>
      <c r="D5426">
        <v>4.4048699999999998</v>
      </c>
      <c r="E5426">
        <v>0.39564479999999902</v>
      </c>
      <c r="F5426" t="s">
        <v>40</v>
      </c>
      <c r="G5426">
        <v>-296.92739999999998</v>
      </c>
      <c r="H5426">
        <v>1.0575859999999999</v>
      </c>
      <c r="I5426">
        <v>-49.286799999999999</v>
      </c>
      <c r="J5426">
        <v>-297.63380000000001</v>
      </c>
      <c r="K5426">
        <v>1.108714</v>
      </c>
      <c r="L5426">
        <v>-49.054989999999997</v>
      </c>
      <c r="M5426">
        <v>0.51110670000000002</v>
      </c>
      <c r="N5426">
        <v>0</v>
      </c>
      <c r="O5426">
        <v>-0.85940369999999999</v>
      </c>
      <c r="P5426">
        <v>0.75705129999999998</v>
      </c>
      <c r="Q5426">
        <v>3.2334359999999999E-2</v>
      </c>
      <c r="R5426">
        <v>-0.65255529999999995</v>
      </c>
      <c r="S5426">
        <v>2.8102419999999899</v>
      </c>
      <c r="T5426">
        <v>-0.17769550000000001</v>
      </c>
      <c r="U5426">
        <v>-1.3545529999999999</v>
      </c>
      <c r="V5426">
        <v>-0.3175132</v>
      </c>
      <c r="W5426">
        <v>4.275002E-2</v>
      </c>
      <c r="X5426">
        <v>0.94728969999999901</v>
      </c>
      <c r="Y5426">
        <v>-0.55062809999999995</v>
      </c>
      <c r="Z5426">
        <v>5.7624809999999999E-2</v>
      </c>
      <c r="AA5426">
        <v>0.83275929999999998</v>
      </c>
      <c r="AB5426">
        <v>19</v>
      </c>
      <c r="AC5426">
        <v>0.70640000000003</v>
      </c>
      <c r="AD5426">
        <v>-5.1127999999999799E-2</v>
      </c>
      <c r="AE5426">
        <v>-0.23180999999999499</v>
      </c>
      <c r="AF5426">
        <v>-0.48635071866014401</v>
      </c>
      <c r="AG5426">
        <v>-5.1127999999999799E-2</v>
      </c>
      <c r="AH5426">
        <v>0.557681383669827</v>
      </c>
      <c r="AI5426">
        <v>93.952588527567599</v>
      </c>
      <c r="AJ5426">
        <v>131.09149508224999</v>
      </c>
      <c r="AK5426">
        <v>0.74172745642663995</v>
      </c>
    </row>
    <row r="5427" spans="1:37" x14ac:dyDescent="0.2">
      <c r="A5427" t="str">
        <f>"20200111153539699"</f>
        <v>20200111153539699</v>
      </c>
      <c r="B5427" t="str">
        <f>"1578728139691697"</f>
        <v>1578728139691697</v>
      </c>
      <c r="C5427" t="s">
        <v>37</v>
      </c>
      <c r="D5427">
        <v>4.348687</v>
      </c>
      <c r="E5427">
        <v>0.39594499999999999</v>
      </c>
      <c r="F5427" t="s">
        <v>40</v>
      </c>
      <c r="G5427">
        <v>-296.84199999999998</v>
      </c>
      <c r="H5427">
        <v>1.0582450000000001</v>
      </c>
      <c r="I5427">
        <v>-49.43094</v>
      </c>
      <c r="J5427">
        <v>-297.53160000000003</v>
      </c>
      <c r="K5427">
        <v>1.108695</v>
      </c>
      <c r="L5427">
        <v>-49.210359999999902</v>
      </c>
      <c r="M5427">
        <v>0.5171365</v>
      </c>
      <c r="N5427">
        <v>0</v>
      </c>
      <c r="O5427">
        <v>-0.85578889999999996</v>
      </c>
      <c r="P5427">
        <v>0.76126119999999997</v>
      </c>
      <c r="Q5427">
        <v>3.1617920000000001E-2</v>
      </c>
      <c r="R5427">
        <v>-0.64767410000000003</v>
      </c>
      <c r="S5427">
        <v>2.8174440000000001</v>
      </c>
      <c r="T5427">
        <v>-0.17958859999999999</v>
      </c>
      <c r="U5427">
        <v>-1.3376159999999999</v>
      </c>
      <c r="V5427">
        <v>-0.3169613</v>
      </c>
      <c r="W5427">
        <v>4.2035889999999999E-2</v>
      </c>
      <c r="X5427">
        <v>0.94750650000000003</v>
      </c>
      <c r="Y5427">
        <v>-0.54963980000000001</v>
      </c>
      <c r="Z5427">
        <v>5.8129750000000001E-2</v>
      </c>
      <c r="AA5427">
        <v>0.83337689999999998</v>
      </c>
      <c r="AB5427">
        <v>19</v>
      </c>
      <c r="AC5427">
        <v>0.68960000000004096</v>
      </c>
      <c r="AD5427">
        <v>-5.0449999999999801E-2</v>
      </c>
      <c r="AE5427">
        <v>-0.22058000000000499</v>
      </c>
      <c r="AF5427">
        <v>-0.47382791894537302</v>
      </c>
      <c r="AG5427">
        <v>-5.0449999999999801E-2</v>
      </c>
      <c r="AH5427">
        <v>0.54280496475372297</v>
      </c>
      <c r="AI5427">
        <v>94.005245077684506</v>
      </c>
      <c r="AJ5427">
        <v>131.11851438156901</v>
      </c>
      <c r="AK5427">
        <v>0.72228479773105703</v>
      </c>
    </row>
    <row r="5428" spans="1:37" x14ac:dyDescent="0.2">
      <c r="A5428" t="str">
        <f>"20200111153539720"</f>
        <v>20200111153539720</v>
      </c>
      <c r="B5428" t="str">
        <f>"1578728139711216"</f>
        <v>1578728139711216</v>
      </c>
      <c r="C5428" t="s">
        <v>37</v>
      </c>
      <c r="D5428">
        <v>4.4369559999999897</v>
      </c>
      <c r="E5428">
        <v>0.39635219999999999</v>
      </c>
      <c r="F5428" t="s">
        <v>40</v>
      </c>
      <c r="G5428">
        <v>-296.59609999999998</v>
      </c>
      <c r="H5428">
        <v>1.0483439999999999</v>
      </c>
      <c r="I5428">
        <v>-49.647880000000001</v>
      </c>
      <c r="J5428">
        <v>-297.42899999999997</v>
      </c>
      <c r="K5428">
        <v>1.1086780000000001</v>
      </c>
      <c r="L5428">
        <v>-49.364109999999997</v>
      </c>
      <c r="M5428">
        <v>0.52310690000000004</v>
      </c>
      <c r="N5428">
        <v>0</v>
      </c>
      <c r="O5428">
        <v>-0.852153099999999</v>
      </c>
      <c r="P5428">
        <v>0.76510769999999995</v>
      </c>
      <c r="Q5428">
        <v>3.1337469999999999E-2</v>
      </c>
      <c r="R5428">
        <v>-0.64313949999999998</v>
      </c>
      <c r="S5428">
        <v>2.82437099999999</v>
      </c>
      <c r="T5428">
        <v>-0.1822172</v>
      </c>
      <c r="U5428">
        <v>-1.3211979999999901</v>
      </c>
      <c r="V5428">
        <v>-0.31597259999999999</v>
      </c>
      <c r="W5428">
        <v>4.1764809999999999E-2</v>
      </c>
      <c r="X5428">
        <v>0.94784859999999904</v>
      </c>
      <c r="Y5428">
        <v>-0.54851510000000003</v>
      </c>
      <c r="Z5428">
        <v>5.886243E-2</v>
      </c>
      <c r="AA5428">
        <v>0.83406610000000003</v>
      </c>
      <c r="AB5428">
        <v>19</v>
      </c>
      <c r="AC5428">
        <v>0.83290000000005104</v>
      </c>
      <c r="AD5428">
        <v>-6.0334000000000103E-2</v>
      </c>
      <c r="AE5428">
        <v>-0.28377000000000402</v>
      </c>
      <c r="AF5428">
        <v>-0.558743820786328</v>
      </c>
      <c r="AG5428">
        <v>-6.0334000000000103E-2</v>
      </c>
      <c r="AH5428">
        <v>0.67440626223546696</v>
      </c>
      <c r="AI5428">
        <v>93.940907232220198</v>
      </c>
      <c r="AJ5428">
        <v>129.64165921857199</v>
      </c>
      <c r="AK5428">
        <v>0.87787166224073898</v>
      </c>
    </row>
    <row r="5429" spans="1:37" x14ac:dyDescent="0.2">
      <c r="A5429" t="str">
        <f>"20200111153539743"</f>
        <v>20200111153539743</v>
      </c>
      <c r="B5429" t="str">
        <f>"1578728139741473"</f>
        <v>1578728139741473</v>
      </c>
      <c r="C5429" t="s">
        <v>37</v>
      </c>
      <c r="D5429">
        <v>4.3793980000000001</v>
      </c>
      <c r="E5429">
        <v>0.39688959999999901</v>
      </c>
      <c r="F5429" t="s">
        <v>40</v>
      </c>
      <c r="G5429">
        <v>-296.50839999999999</v>
      </c>
      <c r="H5429">
        <v>1.0491219999999899</v>
      </c>
      <c r="I5429">
        <v>-49.789189999999998</v>
      </c>
      <c r="J5429">
        <v>-297.32409999999999</v>
      </c>
      <c r="K5429">
        <v>1.1086659999999999</v>
      </c>
      <c r="L5429">
        <v>-49.518709999999999</v>
      </c>
      <c r="M5429">
        <v>0.52911379999999997</v>
      </c>
      <c r="N5429">
        <v>0</v>
      </c>
      <c r="O5429">
        <v>-0.84843649999999904</v>
      </c>
      <c r="P5429">
        <v>0.76875839999999995</v>
      </c>
      <c r="Q5429">
        <v>3.1506340000000001E-2</v>
      </c>
      <c r="R5429">
        <v>-0.63876279999999996</v>
      </c>
      <c r="S5429">
        <v>2.8300169999999998</v>
      </c>
      <c r="T5429">
        <v>-0.183085</v>
      </c>
      <c r="U5429">
        <v>-1.306824</v>
      </c>
      <c r="V5429">
        <v>-0.31467859999999998</v>
      </c>
      <c r="W5429">
        <v>4.1947749999999999E-2</v>
      </c>
      <c r="X5429">
        <v>0.94827090000000003</v>
      </c>
      <c r="Y5429">
        <v>-0.54672339999999997</v>
      </c>
      <c r="Z5429">
        <v>5.9011210000000001E-2</v>
      </c>
      <c r="AA5429">
        <v>0.83523119999999995</v>
      </c>
      <c r="AB5429">
        <v>19</v>
      </c>
      <c r="AC5429">
        <v>0.81569999999999199</v>
      </c>
      <c r="AD5429">
        <v>-5.9544E-2</v>
      </c>
      <c r="AE5429">
        <v>-0.27048000000000599</v>
      </c>
      <c r="AF5429">
        <v>-0.54638516837981499</v>
      </c>
      <c r="AG5429">
        <v>-5.9544E-2</v>
      </c>
      <c r="AH5429">
        <v>0.65798854894210101</v>
      </c>
      <c r="AI5429">
        <v>93.982515934730998</v>
      </c>
      <c r="AJ5429">
        <v>129.70580120134801</v>
      </c>
      <c r="AK5429">
        <v>0.85733958890300299</v>
      </c>
    </row>
    <row r="5430" spans="1:37" x14ac:dyDescent="0.2">
      <c r="A5430" t="str">
        <f>"20200111153539766"</f>
        <v>20200111153539766</v>
      </c>
      <c r="B5430" t="str">
        <f>"1578728139760992"</f>
        <v>1578728139760992</v>
      </c>
      <c r="C5430" t="s">
        <v>37</v>
      </c>
      <c r="D5430">
        <v>4.4114170000000001</v>
      </c>
      <c r="E5430">
        <v>0.39726539999999999</v>
      </c>
      <c r="F5430" t="s">
        <v>40</v>
      </c>
      <c r="G5430">
        <v>-296.42110000000002</v>
      </c>
      <c r="H5430">
        <v>1.0500860000000001</v>
      </c>
      <c r="I5430">
        <v>-49.930990000000001</v>
      </c>
      <c r="J5430">
        <v>-297.21620000000001</v>
      </c>
      <c r="K5430">
        <v>1.1086450000000001</v>
      </c>
      <c r="L5430">
        <v>-49.675449999999998</v>
      </c>
      <c r="M5430">
        <v>0.53520690000000004</v>
      </c>
      <c r="N5430">
        <v>0</v>
      </c>
      <c r="O5430">
        <v>-0.84460619999999997</v>
      </c>
      <c r="P5430">
        <v>0.77286169999999899</v>
      </c>
      <c r="Q5430">
        <v>3.1004049999999998E-2</v>
      </c>
      <c r="R5430">
        <v>-0.6338165</v>
      </c>
      <c r="S5430">
        <v>2.8347169999999999</v>
      </c>
      <c r="T5430">
        <v>-0.18388209999999999</v>
      </c>
      <c r="U5430">
        <v>-1.2940370000000001</v>
      </c>
      <c r="V5430">
        <v>-0.31394929999999999</v>
      </c>
      <c r="W5430">
        <v>4.145418E-2</v>
      </c>
      <c r="X5430">
        <v>0.9485344</v>
      </c>
      <c r="Y5430">
        <v>-0.54432879999999995</v>
      </c>
      <c r="Z5430">
        <v>5.9120140000000002E-2</v>
      </c>
      <c r="AA5430">
        <v>0.83678609999999898</v>
      </c>
      <c r="AB5430">
        <v>19</v>
      </c>
      <c r="AC5430">
        <v>0.79509999999999004</v>
      </c>
      <c r="AD5430">
        <v>-5.8559E-2</v>
      </c>
      <c r="AE5430">
        <v>-0.25554000000000299</v>
      </c>
      <c r="AF5430">
        <v>-0.53221487005092905</v>
      </c>
      <c r="AG5430">
        <v>-5.8559E-2</v>
      </c>
      <c r="AH5430">
        <v>0.63829771200600405</v>
      </c>
      <c r="AI5430">
        <v>94.030525718612395</v>
      </c>
      <c r="AJ5430">
        <v>129.82146578442999</v>
      </c>
      <c r="AK5430">
        <v>0.83313011801064196</v>
      </c>
    </row>
    <row r="5431" spans="1:37" x14ac:dyDescent="0.2">
      <c r="A5431" t="str">
        <f>"20200111153539789"</f>
        <v>20200111153539789</v>
      </c>
      <c r="B5431" t="str">
        <f>"1578728139781488"</f>
        <v>1578728139781488</v>
      </c>
      <c r="C5431" t="s">
        <v>37</v>
      </c>
      <c r="D5431">
        <v>4.4794080000000003</v>
      </c>
      <c r="E5431">
        <v>0.39771899999999999</v>
      </c>
      <c r="F5431" t="s">
        <v>40</v>
      </c>
      <c r="G5431">
        <v>-296.33370000000002</v>
      </c>
      <c r="H5431">
        <v>1.0506070000000001</v>
      </c>
      <c r="I5431">
        <v>-50.072809999999997</v>
      </c>
      <c r="J5431">
        <v>-297.10500000000002</v>
      </c>
      <c r="K5431">
        <v>1.1086229999999999</v>
      </c>
      <c r="L5431">
        <v>-49.834319999999998</v>
      </c>
      <c r="M5431">
        <v>0.54138439999999999</v>
      </c>
      <c r="N5431">
        <v>0</v>
      </c>
      <c r="O5431">
        <v>-0.84066019999999897</v>
      </c>
      <c r="P5431">
        <v>0.77786769999999905</v>
      </c>
      <c r="Q5431">
        <v>2.9511269999999999E-2</v>
      </c>
      <c r="R5431">
        <v>-0.62773480000000004</v>
      </c>
      <c r="S5431">
        <v>2.8408509999999998</v>
      </c>
      <c r="T5431">
        <v>-0.1867896</v>
      </c>
      <c r="U5431">
        <v>-1.278259</v>
      </c>
      <c r="V5431">
        <v>-0.31447049999999999</v>
      </c>
      <c r="W5431">
        <v>3.9954820000000002E-2</v>
      </c>
      <c r="X5431">
        <v>0.94842599999999999</v>
      </c>
      <c r="Y5431">
        <v>-0.54267019999999899</v>
      </c>
      <c r="Z5431">
        <v>5.9909089999999998E-2</v>
      </c>
      <c r="AA5431">
        <v>0.83780659999999896</v>
      </c>
      <c r="AB5431">
        <v>19</v>
      </c>
      <c r="AC5431">
        <v>0.77129999999999599</v>
      </c>
      <c r="AD5431">
        <v>-5.8015999999999797E-2</v>
      </c>
      <c r="AE5431">
        <v>-0.23848999999999801</v>
      </c>
      <c r="AF5431">
        <v>-0.51666853595933104</v>
      </c>
      <c r="AG5431">
        <v>-5.8015999999999797E-2</v>
      </c>
      <c r="AH5431">
        <v>0.61494298072994602</v>
      </c>
      <c r="AI5431">
        <v>94.131453388030096</v>
      </c>
      <c r="AJ5431">
        <v>130.03661906520901</v>
      </c>
      <c r="AK5431">
        <v>0.805274550607052</v>
      </c>
    </row>
    <row r="5432" spans="1:37" x14ac:dyDescent="0.2">
      <c r="A5432" t="str">
        <f>"20200111153539810"</f>
        <v>20200111153539810</v>
      </c>
      <c r="B5432" t="str">
        <f>"1578728139801008"</f>
        <v>1578728139801008</v>
      </c>
      <c r="C5432" t="s">
        <v>37</v>
      </c>
      <c r="D5432">
        <v>4.4781559999999896</v>
      </c>
      <c r="E5432">
        <v>0.39811099999999999</v>
      </c>
      <c r="F5432" t="s">
        <v>40</v>
      </c>
      <c r="G5432">
        <v>-296.2457</v>
      </c>
      <c r="H5432">
        <v>1.05036</v>
      </c>
      <c r="I5432">
        <v>-50.21416</v>
      </c>
      <c r="J5432">
        <v>-297.00349999999997</v>
      </c>
      <c r="K5432">
        <v>1.108606</v>
      </c>
      <c r="L5432">
        <v>-49.977420000000002</v>
      </c>
      <c r="M5432">
        <v>0.54694560000000003</v>
      </c>
      <c r="N5432">
        <v>0</v>
      </c>
      <c r="O5432">
        <v>-0.83705249999999998</v>
      </c>
      <c r="P5432">
        <v>0.78260889999999905</v>
      </c>
      <c r="Q5432">
        <v>2.855676E-2</v>
      </c>
      <c r="R5432">
        <v>-0.62185789999999996</v>
      </c>
      <c r="S5432">
        <v>2.848236</v>
      </c>
      <c r="T5432">
        <v>-0.19309000000000001</v>
      </c>
      <c r="U5432">
        <v>-1.2586979999999901</v>
      </c>
      <c r="V5432">
        <v>-0.31534659999999998</v>
      </c>
      <c r="W5432">
        <v>3.8990940000000002E-2</v>
      </c>
      <c r="X5432">
        <v>0.9481752</v>
      </c>
      <c r="Y5432">
        <v>-0.54259630000000003</v>
      </c>
      <c r="Z5432">
        <v>6.1825629999999999E-2</v>
      </c>
      <c r="AA5432">
        <v>0.83771530000000005</v>
      </c>
      <c r="AB5432">
        <v>19</v>
      </c>
      <c r="AC5432">
        <v>0.75779999999997405</v>
      </c>
      <c r="AD5432">
        <v>-5.8245999999999999E-2</v>
      </c>
      <c r="AE5432">
        <v>-0.23673999999999701</v>
      </c>
      <c r="AF5432">
        <v>-0.50218040120182705</v>
      </c>
      <c r="AG5432">
        <v>-5.8245999999999999E-2</v>
      </c>
      <c r="AH5432">
        <v>0.60941833758247899</v>
      </c>
      <c r="AI5432">
        <v>94.2185027773222</v>
      </c>
      <c r="AJ5432">
        <v>129.489625199898</v>
      </c>
      <c r="AK5432">
        <v>0.79181340102894204</v>
      </c>
    </row>
    <row r="5433" spans="1:37" x14ac:dyDescent="0.2">
      <c r="A5433" t="str">
        <f>"20200111153539833"</f>
        <v>20200111153539833</v>
      </c>
      <c r="B5433" t="str">
        <f>"1578728139821505"</f>
        <v>1578728139821505</v>
      </c>
      <c r="C5433" t="s">
        <v>37</v>
      </c>
      <c r="D5433">
        <v>4.4286880000000002</v>
      </c>
      <c r="E5433">
        <v>0.39823370000000002</v>
      </c>
      <c r="F5433" t="s">
        <v>40</v>
      </c>
      <c r="G5433">
        <v>-296.15019999999998</v>
      </c>
      <c r="H5433">
        <v>1.0494239999999999</v>
      </c>
      <c r="I5433">
        <v>-50.348089999999999</v>
      </c>
      <c r="J5433">
        <v>-296.89280000000002</v>
      </c>
      <c r="K5433">
        <v>1.1085879999999999</v>
      </c>
      <c r="L5433">
        <v>-50.131129999999999</v>
      </c>
      <c r="M5433">
        <v>0.55291009999999996</v>
      </c>
      <c r="N5433">
        <v>0</v>
      </c>
      <c r="O5433">
        <v>-0.8331248</v>
      </c>
      <c r="P5433">
        <v>0.78748790000000002</v>
      </c>
      <c r="Q5433">
        <v>2.8985759999999999E-2</v>
      </c>
      <c r="R5433">
        <v>-0.61564790000000003</v>
      </c>
      <c r="S5433">
        <v>2.8553470000000001</v>
      </c>
      <c r="T5433">
        <v>-0.19800379999999901</v>
      </c>
      <c r="U5433">
        <v>-1.2398990000000001</v>
      </c>
      <c r="V5433">
        <v>-0.31606420000000002</v>
      </c>
      <c r="W5433">
        <v>3.9416890000000003E-2</v>
      </c>
      <c r="X5433">
        <v>0.94791859999999994</v>
      </c>
      <c r="Y5433">
        <v>-0.54190389999999999</v>
      </c>
      <c r="Z5433">
        <v>6.3262479999999996E-2</v>
      </c>
      <c r="AA5433">
        <v>0.83805609999999997</v>
      </c>
      <c r="AB5433">
        <v>19</v>
      </c>
      <c r="AC5433">
        <v>0.74260000000003801</v>
      </c>
      <c r="AD5433">
        <v>-5.9164000000000001E-2</v>
      </c>
      <c r="AE5433">
        <v>-0.21695999999999999</v>
      </c>
      <c r="AF5433">
        <v>-0.49586736137739401</v>
      </c>
      <c r="AG5433">
        <v>-5.9164000000000001E-2</v>
      </c>
      <c r="AH5433">
        <v>0.58796440573138198</v>
      </c>
      <c r="AI5433">
        <v>94.398621852120499</v>
      </c>
      <c r="AJ5433">
        <v>130.14304108336</v>
      </c>
      <c r="AK5433">
        <v>0.77141879765950505</v>
      </c>
    </row>
    <row r="5434" spans="1:37" x14ac:dyDescent="0.2">
      <c r="A5434" t="str">
        <f>"20200111153539856"</f>
        <v>20200111153539856</v>
      </c>
      <c r="B5434" t="str">
        <f>"1578728139850784"</f>
        <v>1578728139850784</v>
      </c>
      <c r="C5434" t="s">
        <v>37</v>
      </c>
      <c r="D5434">
        <v>4.4847469999999996</v>
      </c>
      <c r="E5434">
        <v>0.4069256</v>
      </c>
      <c r="F5434" t="s">
        <v>40</v>
      </c>
      <c r="G5434">
        <v>-296.05840000000001</v>
      </c>
      <c r="H5434">
        <v>1.051069</v>
      </c>
      <c r="I5434">
        <v>-50.485880000000002</v>
      </c>
      <c r="J5434">
        <v>-296.77870000000001</v>
      </c>
      <c r="K5434">
        <v>1.1085590000000001</v>
      </c>
      <c r="L5434">
        <v>-50.287289999999999</v>
      </c>
      <c r="M5434">
        <v>0.55894860000000002</v>
      </c>
      <c r="N5434">
        <v>0</v>
      </c>
      <c r="O5434">
        <v>-0.82908599999999999</v>
      </c>
      <c r="P5434">
        <v>0.79253909999999905</v>
      </c>
      <c r="Q5434">
        <v>2.9013939999999998E-2</v>
      </c>
      <c r="R5434">
        <v>-0.60913059999999997</v>
      </c>
      <c r="S5434">
        <v>2.8644409999999998</v>
      </c>
      <c r="T5434">
        <v>-0.1974832</v>
      </c>
      <c r="U5434">
        <v>-1.218262</v>
      </c>
      <c r="V5434">
        <v>-0.31699440000000001</v>
      </c>
      <c r="W5434">
        <v>3.9445479999999998E-2</v>
      </c>
      <c r="X5434">
        <v>0.94760679999999997</v>
      </c>
      <c r="Y5434">
        <v>-0.54213829999999996</v>
      </c>
      <c r="Z5434">
        <v>6.2963169999999999E-2</v>
      </c>
      <c r="AA5434">
        <v>0.83792699999999998</v>
      </c>
      <c r="AB5434">
        <v>19</v>
      </c>
      <c r="AC5434">
        <v>0.72030000000000804</v>
      </c>
      <c r="AD5434">
        <v>-5.7489999999999999E-2</v>
      </c>
      <c r="AE5434">
        <v>-0.19858999999999499</v>
      </c>
      <c r="AF5434">
        <v>-0.48337423728516898</v>
      </c>
      <c r="AG5434">
        <v>-5.7489999999999999E-2</v>
      </c>
      <c r="AH5434">
        <v>0.56397470311449405</v>
      </c>
      <c r="AI5434">
        <v>94.425795453611201</v>
      </c>
      <c r="AJ5434">
        <v>130.59938236983501</v>
      </c>
      <c r="AK5434">
        <v>0.74499880478031699</v>
      </c>
    </row>
    <row r="5435" spans="1:37" x14ac:dyDescent="0.2">
      <c r="A5435" t="str">
        <f>"20200111153539878"</f>
        <v>20200111153539878</v>
      </c>
      <c r="B5435" t="str">
        <f>"1578728139871283"</f>
        <v>1578728139871283</v>
      </c>
      <c r="C5435" t="s">
        <v>37</v>
      </c>
      <c r="D5435">
        <v>4.5202299999999997</v>
      </c>
      <c r="E5435">
        <v>0.40767350000000002</v>
      </c>
      <c r="F5435" t="s">
        <v>40</v>
      </c>
      <c r="G5435">
        <v>-295.98180000000002</v>
      </c>
      <c r="H5435">
        <v>1.04626</v>
      </c>
      <c r="I5435">
        <v>-50.639299999999999</v>
      </c>
      <c r="J5435">
        <v>-296.67090000000002</v>
      </c>
      <c r="K5435">
        <v>1.108514</v>
      </c>
      <c r="L5435">
        <v>-50.432859999999998</v>
      </c>
      <c r="M5435">
        <v>0.56454499999999996</v>
      </c>
      <c r="N5435">
        <v>0</v>
      </c>
      <c r="O5435">
        <v>-0.82528550000000001</v>
      </c>
      <c r="P5435">
        <v>0.79743489999999995</v>
      </c>
      <c r="Q5435">
        <v>2.8498929999999999E-2</v>
      </c>
      <c r="R5435">
        <v>-0.60273160000000003</v>
      </c>
      <c r="S5435">
        <v>2.832306</v>
      </c>
      <c r="T5435">
        <v>-0.221376499999999</v>
      </c>
      <c r="U5435">
        <v>-1.2504879999999901</v>
      </c>
      <c r="V5435">
        <v>-0.3182178</v>
      </c>
      <c r="W5435">
        <v>3.8933750000000003E-2</v>
      </c>
      <c r="X5435">
        <v>0.9472178</v>
      </c>
      <c r="Y5435">
        <v>-0.52438479999999998</v>
      </c>
      <c r="Z5435">
        <v>7.0321259999999997E-2</v>
      </c>
      <c r="AA5435">
        <v>0.84857260000000001</v>
      </c>
      <c r="AB5435">
        <v>19</v>
      </c>
      <c r="AC5435">
        <v>0.68909999999999605</v>
      </c>
      <c r="AD5435">
        <v>-6.2253999999999997E-2</v>
      </c>
      <c r="AE5435">
        <v>-0.20644000000000001</v>
      </c>
      <c r="AF5435">
        <v>-0.44884162805203398</v>
      </c>
      <c r="AG5435">
        <v>-6.2253999999999997E-2</v>
      </c>
      <c r="AH5435">
        <v>0.55529502997379998</v>
      </c>
      <c r="AI5435">
        <v>94.982969690814102</v>
      </c>
      <c r="AJ5435">
        <v>128.94840031765699</v>
      </c>
      <c r="AK5435">
        <v>0.71671956712650398</v>
      </c>
    </row>
    <row r="5436" spans="1:37" x14ac:dyDescent="0.2">
      <c r="A5436" t="str">
        <f>"20200111153539900"</f>
        <v>20200111153539900</v>
      </c>
      <c r="B5436" t="str">
        <f>"1578728139890803"</f>
        <v>1578728139890803</v>
      </c>
      <c r="C5436" t="s">
        <v>37</v>
      </c>
      <c r="D5436">
        <v>4.4037620000000004</v>
      </c>
      <c r="E5436">
        <v>0.40816340000000001</v>
      </c>
      <c r="F5436" t="s">
        <v>40</v>
      </c>
      <c r="G5436">
        <v>-295.88630000000001</v>
      </c>
      <c r="H5436">
        <v>1.0467089999999999</v>
      </c>
      <c r="I5436">
        <v>-50.773650000000004</v>
      </c>
      <c r="J5436">
        <v>-296.56310000000002</v>
      </c>
      <c r="K5436">
        <v>1.1084529999999999</v>
      </c>
      <c r="L5436">
        <v>-50.57629</v>
      </c>
      <c r="M5436">
        <v>0.5700172</v>
      </c>
      <c r="N5436">
        <v>0</v>
      </c>
      <c r="O5436">
        <v>-0.82151580000000002</v>
      </c>
      <c r="P5436">
        <v>0.80280799999999997</v>
      </c>
      <c r="Q5436">
        <v>2.724911E-2</v>
      </c>
      <c r="R5436">
        <v>-0.59561509999999995</v>
      </c>
      <c r="S5436">
        <v>2.8383790000000002</v>
      </c>
      <c r="T5436">
        <v>-0.22358069999999999</v>
      </c>
      <c r="U5436">
        <v>-1.232605</v>
      </c>
      <c r="V5436">
        <v>-0.32036870000000001</v>
      </c>
      <c r="W5436">
        <v>3.768345E-2</v>
      </c>
      <c r="X5436">
        <v>0.94654309999999997</v>
      </c>
      <c r="Y5436">
        <v>-0.52384330000000001</v>
      </c>
      <c r="Z5436">
        <v>7.0882189999999998E-2</v>
      </c>
      <c r="AA5436">
        <v>0.84886030000000001</v>
      </c>
      <c r="AB5436">
        <v>19</v>
      </c>
      <c r="AC5436">
        <v>0.67680000000001395</v>
      </c>
      <c r="AD5436">
        <v>-6.1744E-2</v>
      </c>
      <c r="AE5436">
        <v>-0.19736000000000301</v>
      </c>
      <c r="AF5436">
        <v>-0.44016958986377303</v>
      </c>
      <c r="AG5436">
        <v>-6.1744E-2</v>
      </c>
      <c r="AH5436">
        <v>0.54380339968787605</v>
      </c>
      <c r="AI5436">
        <v>95.043476430966606</v>
      </c>
      <c r="AJ5436">
        <v>128.98767074241701</v>
      </c>
      <c r="AK5436">
        <v>0.70234160270407897</v>
      </c>
    </row>
    <row r="5437" spans="1:37" x14ac:dyDescent="0.2">
      <c r="A5437" t="str">
        <f>"20200111153539933"</f>
        <v>20200111153539933</v>
      </c>
      <c r="B5437" t="str">
        <f>"1578728139930817"</f>
        <v>1578728139930817</v>
      </c>
      <c r="C5437" t="s">
        <v>37</v>
      </c>
      <c r="D5437">
        <v>4.5342760000000002</v>
      </c>
      <c r="E5437">
        <v>0.40980450000000002</v>
      </c>
      <c r="F5437" t="s">
        <v>40</v>
      </c>
      <c r="G5437">
        <v>-295.6309</v>
      </c>
      <c r="H5437">
        <v>1.033498</v>
      </c>
      <c r="I5437">
        <v>-50.97278</v>
      </c>
      <c r="J5437">
        <v>-296.3947</v>
      </c>
      <c r="K5437">
        <v>1.1083620000000001</v>
      </c>
      <c r="L5437">
        <v>-50.796689999999998</v>
      </c>
      <c r="M5437">
        <v>0.57831540000000003</v>
      </c>
      <c r="N5437">
        <v>0</v>
      </c>
      <c r="O5437">
        <v>-0.81569579999999997</v>
      </c>
      <c r="P5437">
        <v>0.80954490000000001</v>
      </c>
      <c r="Q5437">
        <v>2.5773359999999999E-2</v>
      </c>
      <c r="R5437">
        <v>-0.58649219999999902</v>
      </c>
      <c r="S5437">
        <v>2.8464659999999999</v>
      </c>
      <c r="T5437">
        <v>-0.2288587</v>
      </c>
      <c r="U5437">
        <v>-1.2106319999999999</v>
      </c>
      <c r="V5437">
        <v>-0.32150499999999999</v>
      </c>
      <c r="W5437">
        <v>3.6244859999999997E-2</v>
      </c>
      <c r="X5437">
        <v>0.946213999999999</v>
      </c>
      <c r="Y5437">
        <v>-0.52151530000000001</v>
      </c>
      <c r="Z5437">
        <v>7.2259870000000004E-2</v>
      </c>
      <c r="AA5437">
        <v>0.85017659999999995</v>
      </c>
      <c r="AB5437">
        <v>19</v>
      </c>
      <c r="AC5437">
        <v>0.76380000000000303</v>
      </c>
      <c r="AD5437">
        <v>-7.4864E-2</v>
      </c>
      <c r="AE5437">
        <v>-0.176089999999994</v>
      </c>
      <c r="AF5437">
        <v>-0.51653098448128498</v>
      </c>
      <c r="AG5437">
        <v>-7.4864E-2</v>
      </c>
      <c r="AH5437">
        <v>0.58011737334110902</v>
      </c>
      <c r="AI5437">
        <v>95.505224887885504</v>
      </c>
      <c r="AJ5437">
        <v>131.68156424336499</v>
      </c>
      <c r="AK5437">
        <v>0.78034930850061901</v>
      </c>
    </row>
    <row r="5438" spans="1:37" x14ac:dyDescent="0.2">
      <c r="A5438" t="str">
        <f>"20200111153539956"</f>
        <v>20200111153539956</v>
      </c>
      <c r="B5438" t="str">
        <f>"1578728139951315"</f>
        <v>1578728139951315</v>
      </c>
      <c r="C5438" t="s">
        <v>37</v>
      </c>
      <c r="D5438">
        <v>4.5273760000000003</v>
      </c>
      <c r="E5438">
        <v>0.41430220000000001</v>
      </c>
      <c r="F5438" t="s">
        <v>40</v>
      </c>
      <c r="G5438">
        <v>-295.56760000000003</v>
      </c>
      <c r="H5438">
        <v>1.040402</v>
      </c>
      <c r="I5438">
        <v>-51.141750000000002</v>
      </c>
      <c r="J5438">
        <v>-296.28019999999998</v>
      </c>
      <c r="K5438">
        <v>1.1082959999999999</v>
      </c>
      <c r="L5438">
        <v>-50.944339999999997</v>
      </c>
      <c r="M5438">
        <v>0.58380369999999904</v>
      </c>
      <c r="N5438">
        <v>0</v>
      </c>
      <c r="O5438">
        <v>-0.81177709999999903</v>
      </c>
      <c r="P5438">
        <v>0.81346010000000002</v>
      </c>
      <c r="Q5438">
        <v>2.516842E-2</v>
      </c>
      <c r="R5438">
        <v>-0.58107600000000004</v>
      </c>
      <c r="S5438">
        <v>2.8519290000000002</v>
      </c>
      <c r="T5438">
        <v>-0.234288</v>
      </c>
      <c r="U5438">
        <v>-1.188904</v>
      </c>
      <c r="V5438">
        <v>-0.32144349999999999</v>
      </c>
      <c r="W5438">
        <v>3.5674930000000001E-2</v>
      </c>
      <c r="X5438">
        <v>0.94625649999999994</v>
      </c>
      <c r="Y5438">
        <v>-0.52172289999999999</v>
      </c>
      <c r="Z5438">
        <v>7.3875380000000004E-2</v>
      </c>
      <c r="AA5438">
        <v>0.84991039999999995</v>
      </c>
      <c r="AB5438">
        <v>19</v>
      </c>
      <c r="AC5438">
        <v>0.71259999999995205</v>
      </c>
      <c r="AD5438">
        <v>-6.7893999999999899E-2</v>
      </c>
      <c r="AE5438">
        <v>-0.197409999999997</v>
      </c>
      <c r="AF5438">
        <v>-0.45939498307998999</v>
      </c>
      <c r="AG5438">
        <v>-6.7893999999999899E-2</v>
      </c>
      <c r="AH5438">
        <v>0.57150836851908104</v>
      </c>
      <c r="AI5438">
        <v>95.290069575923496</v>
      </c>
      <c r="AJ5438">
        <v>128.79332923711399</v>
      </c>
      <c r="AK5438">
        <v>0.73639334665816103</v>
      </c>
    </row>
    <row r="5439" spans="1:37" x14ac:dyDescent="0.2">
      <c r="A5439" t="str">
        <f>"20200111153539978"</f>
        <v>20200111153539978</v>
      </c>
      <c r="B5439" t="str">
        <f>"1578728139970835"</f>
        <v>1578728139970835</v>
      </c>
      <c r="C5439" t="s">
        <v>37</v>
      </c>
      <c r="D5439">
        <v>4.511101</v>
      </c>
      <c r="E5439">
        <v>0.41544189999999998</v>
      </c>
      <c r="F5439" t="s">
        <v>40</v>
      </c>
      <c r="G5439">
        <v>-295.47820000000002</v>
      </c>
      <c r="H5439">
        <v>1.046756</v>
      </c>
      <c r="I5439">
        <v>-51.282820000000001</v>
      </c>
      <c r="J5439">
        <v>-296.16559999999998</v>
      </c>
      <c r="K5439">
        <v>1.1082270000000001</v>
      </c>
      <c r="L5439">
        <v>-51.089970000000001</v>
      </c>
      <c r="M5439">
        <v>0.58915269999999897</v>
      </c>
      <c r="N5439">
        <v>0</v>
      </c>
      <c r="O5439">
        <v>-0.80790360000000006</v>
      </c>
      <c r="P5439">
        <v>0.81712369999999901</v>
      </c>
      <c r="Q5439">
        <v>2.4085840000000001E-2</v>
      </c>
      <c r="R5439">
        <v>-0.57595879999999999</v>
      </c>
      <c r="S5439">
        <v>2.8387150000000001</v>
      </c>
      <c r="T5439">
        <v>-0.21785299999999999</v>
      </c>
      <c r="U5439">
        <v>-1.1983029999999999</v>
      </c>
      <c r="V5439">
        <v>-0.32114540000000003</v>
      </c>
      <c r="W5439">
        <v>3.4610340000000003E-2</v>
      </c>
      <c r="X5439">
        <v>0.94639719999999905</v>
      </c>
      <c r="Y5439">
        <v>-0.51267450000000003</v>
      </c>
      <c r="Z5439">
        <v>6.8497630000000004E-2</v>
      </c>
      <c r="AA5439">
        <v>0.85584629999999995</v>
      </c>
      <c r="AB5439">
        <v>19</v>
      </c>
      <c r="AC5439">
        <v>0.68739999999996804</v>
      </c>
      <c r="AD5439">
        <v>-6.1470999999999998E-2</v>
      </c>
      <c r="AE5439">
        <v>-0.19284999999999999</v>
      </c>
      <c r="AF5439">
        <v>-0.43852602988144301</v>
      </c>
      <c r="AG5439">
        <v>-6.1470999999999998E-2</v>
      </c>
      <c r="AH5439">
        <v>0.55671415607872099</v>
      </c>
      <c r="AI5439">
        <v>94.957394393603195</v>
      </c>
      <c r="AJ5439">
        <v>128.22764962334301</v>
      </c>
      <c r="AK5439">
        <v>0.71134690152064595</v>
      </c>
    </row>
    <row r="5440" spans="1:37" x14ac:dyDescent="0.2">
      <c r="A5440" t="str">
        <f>"20200111153540001"</f>
        <v>20200111153540001</v>
      </c>
      <c r="B5440" t="str">
        <f>"1578728139991331"</f>
        <v>1578728139991331</v>
      </c>
      <c r="C5440" t="s">
        <v>37</v>
      </c>
      <c r="D5440">
        <v>4.6198119999999996</v>
      </c>
      <c r="E5440">
        <v>0.41726229999999997</v>
      </c>
      <c r="F5440" t="s">
        <v>40</v>
      </c>
      <c r="G5440">
        <v>-295.38260000000002</v>
      </c>
      <c r="H5440">
        <v>1.0480399999999901</v>
      </c>
      <c r="I5440">
        <v>-51.41733</v>
      </c>
      <c r="J5440">
        <v>-296.05290000000002</v>
      </c>
      <c r="K5440">
        <v>1.108158</v>
      </c>
      <c r="L5440">
        <v>-51.231569999999998</v>
      </c>
      <c r="M5440">
        <v>0.59428510000000001</v>
      </c>
      <c r="N5440">
        <v>0</v>
      </c>
      <c r="O5440">
        <v>-0.80413730000000005</v>
      </c>
      <c r="P5440">
        <v>0.82033219999999996</v>
      </c>
      <c r="Q5440">
        <v>2.2897359999999999E-2</v>
      </c>
      <c r="R5440">
        <v>-0.57142899999999996</v>
      </c>
      <c r="S5440">
        <v>2.8408199999999999</v>
      </c>
      <c r="T5440">
        <v>-0.21834770000000001</v>
      </c>
      <c r="U5440">
        <v>-1.1875309999999999</v>
      </c>
      <c r="V5440">
        <v>-0.32036979999999998</v>
      </c>
      <c r="W5440">
        <v>3.3400829999999999E-2</v>
      </c>
      <c r="X5440">
        <v>0.94670359999999998</v>
      </c>
      <c r="Y5440">
        <v>-0.51019300000000001</v>
      </c>
      <c r="Z5440">
        <v>6.8470870000000003E-2</v>
      </c>
      <c r="AA5440">
        <v>0.85733009999999998</v>
      </c>
      <c r="AB5440">
        <v>19</v>
      </c>
      <c r="AC5440">
        <v>0.67029999999999701</v>
      </c>
      <c r="AD5440">
        <v>-6.0118000000000102E-2</v>
      </c>
      <c r="AE5440">
        <v>-0.18576000000000101</v>
      </c>
      <c r="AF5440">
        <v>-0.42548077010744301</v>
      </c>
      <c r="AG5440">
        <v>-6.0118000000000102E-2</v>
      </c>
      <c r="AH5440">
        <v>0.54371576315277903</v>
      </c>
      <c r="AI5440">
        <v>94.976550532466305</v>
      </c>
      <c r="AJ5440">
        <v>128.04469540666801</v>
      </c>
      <c r="AK5440">
        <v>0.69301867994739597</v>
      </c>
    </row>
    <row r="5441" spans="1:37" x14ac:dyDescent="0.2">
      <c r="A5441" t="str">
        <f>"20200111153540023"</f>
        <v>20200111153540023</v>
      </c>
      <c r="B5441" t="str">
        <f>"1578728140010848"</f>
        <v>1578728140010848</v>
      </c>
      <c r="C5441" t="s">
        <v>37</v>
      </c>
      <c r="D5441">
        <v>4.5870129999999998</v>
      </c>
      <c r="E5441">
        <v>0.41916199999999998</v>
      </c>
      <c r="F5441" t="s">
        <v>40</v>
      </c>
      <c r="G5441">
        <v>-295.12970000000001</v>
      </c>
      <c r="H5441">
        <v>1.033101</v>
      </c>
      <c r="I5441">
        <v>-51.616700000000002</v>
      </c>
      <c r="J5441">
        <v>-295.93599999999998</v>
      </c>
      <c r="K5441">
        <v>1.108082</v>
      </c>
      <c r="L5441">
        <v>-51.376559999999998</v>
      </c>
      <c r="M5441">
        <v>0.5994794</v>
      </c>
      <c r="N5441">
        <v>0</v>
      </c>
      <c r="O5441">
        <v>-0.80027459999999995</v>
      </c>
      <c r="P5441">
        <v>0.82349130000000004</v>
      </c>
      <c r="Q5441">
        <v>2.2048809999999999E-2</v>
      </c>
      <c r="R5441">
        <v>-0.56690019999999997</v>
      </c>
      <c r="S5441">
        <v>2.8389279999999899</v>
      </c>
      <c r="T5441">
        <v>-0.230772899999999</v>
      </c>
      <c r="U5441">
        <v>-1.183746</v>
      </c>
      <c r="V5441">
        <v>-0.31946419999999998</v>
      </c>
      <c r="W5441">
        <v>3.2481509999999998E-2</v>
      </c>
      <c r="X5441">
        <v>0.94704149999999998</v>
      </c>
      <c r="Y5441">
        <v>-0.5051023</v>
      </c>
      <c r="Z5441">
        <v>7.2102699999999895E-2</v>
      </c>
      <c r="AA5441">
        <v>0.86004230000000004</v>
      </c>
      <c r="AB5441">
        <v>19</v>
      </c>
      <c r="AC5441">
        <v>0.80629999999996405</v>
      </c>
      <c r="AD5441">
        <v>-7.4980999999999895E-2</v>
      </c>
      <c r="AE5441">
        <v>-0.24014000000000299</v>
      </c>
      <c r="AF5441">
        <v>-0.49739783635768398</v>
      </c>
      <c r="AG5441">
        <v>-7.4980999999999895E-2</v>
      </c>
      <c r="AH5441">
        <v>0.67027648865790301</v>
      </c>
      <c r="AI5441">
        <v>95.133274736371007</v>
      </c>
      <c r="AJ5441">
        <v>126.57831920107</v>
      </c>
      <c r="AK5441">
        <v>0.83803181874071697</v>
      </c>
    </row>
    <row r="5442" spans="1:37" x14ac:dyDescent="0.2">
      <c r="A5442" t="str">
        <f>"20200111153540045"</f>
        <v>20200111153540045</v>
      </c>
      <c r="B5442" t="str">
        <f>"1578728140041104"</f>
        <v>1578728140041104</v>
      </c>
      <c r="C5442" t="s">
        <v>37</v>
      </c>
      <c r="D5442">
        <v>4.6393219999999999</v>
      </c>
      <c r="E5442">
        <v>0.42083199999999998</v>
      </c>
      <c r="F5442" t="s">
        <v>40</v>
      </c>
      <c r="G5442">
        <v>-295.0342</v>
      </c>
      <c r="H5442">
        <v>1.031668</v>
      </c>
      <c r="I5442">
        <v>-51.751909999999903</v>
      </c>
      <c r="J5442">
        <v>-295.82080000000002</v>
      </c>
      <c r="K5442">
        <v>1.108015</v>
      </c>
      <c r="L5442">
        <v>-51.517789999999998</v>
      </c>
      <c r="M5442">
        <v>0.60449330000000001</v>
      </c>
      <c r="N5442">
        <v>0</v>
      </c>
      <c r="O5442">
        <v>-0.79649619999999999</v>
      </c>
      <c r="P5442">
        <v>0.82656779999999996</v>
      </c>
      <c r="Q5442">
        <v>2.154704E-2</v>
      </c>
      <c r="R5442">
        <v>-0.56242449999999999</v>
      </c>
      <c r="S5442">
        <v>2.8367</v>
      </c>
      <c r="T5442">
        <v>-0.2403699</v>
      </c>
      <c r="U5442">
        <v>-1.180634</v>
      </c>
      <c r="V5442">
        <v>-0.31865789999999999</v>
      </c>
      <c r="W5442">
        <v>3.1884330000000002E-2</v>
      </c>
      <c r="X5442">
        <v>0.94733339999999999</v>
      </c>
      <c r="Y5442">
        <v>-0.5000135</v>
      </c>
      <c r="Z5442">
        <v>7.4830359999999999E-2</v>
      </c>
      <c r="AA5442">
        <v>0.86277859999999995</v>
      </c>
      <c r="AB5442">
        <v>19</v>
      </c>
      <c r="AC5442">
        <v>0.78660000000002095</v>
      </c>
      <c r="AD5442">
        <v>-7.6346999999999901E-2</v>
      </c>
      <c r="AE5442">
        <v>-0.23411999999999</v>
      </c>
      <c r="AF5442">
        <v>-0.480882476913567</v>
      </c>
      <c r="AG5442">
        <v>-7.6346999999999901E-2</v>
      </c>
      <c r="AH5442">
        <v>0.65635024886891802</v>
      </c>
      <c r="AI5442">
        <v>95.360454171598306</v>
      </c>
      <c r="AJ5442">
        <v>126.228793403979</v>
      </c>
      <c r="AK5442">
        <v>0.817234648189746</v>
      </c>
    </row>
    <row r="5443" spans="1:37" x14ac:dyDescent="0.2">
      <c r="A5443" t="str">
        <f>"20200111153540068"</f>
        <v>20200111153540068</v>
      </c>
      <c r="B5443" t="str">
        <f>"1578728140061599"</f>
        <v>1578728140061599</v>
      </c>
      <c r="C5443" t="s">
        <v>37</v>
      </c>
      <c r="D5443">
        <v>4.6522019999999999</v>
      </c>
      <c r="E5443">
        <v>0.42190839999999902</v>
      </c>
      <c r="F5443" t="s">
        <v>40</v>
      </c>
      <c r="G5443">
        <v>-294.93630000000002</v>
      </c>
      <c r="H5443">
        <v>1.0303290000000001</v>
      </c>
      <c r="I5443">
        <v>-51.884869999999999</v>
      </c>
      <c r="J5443">
        <v>-295.69940000000003</v>
      </c>
      <c r="K5443">
        <v>1.107953</v>
      </c>
      <c r="L5443">
        <v>-51.664670000000001</v>
      </c>
      <c r="M5443">
        <v>0.60968350000000004</v>
      </c>
      <c r="N5443">
        <v>0</v>
      </c>
      <c r="O5443">
        <v>-0.7925333</v>
      </c>
      <c r="P5443">
        <v>0.82984020000000003</v>
      </c>
      <c r="Q5443">
        <v>2.120236E-2</v>
      </c>
      <c r="R5443">
        <v>-0.55759749999999997</v>
      </c>
      <c r="S5443">
        <v>2.83550999999999</v>
      </c>
      <c r="T5443">
        <v>-0.24903320000000001</v>
      </c>
      <c r="U5443">
        <v>-1.176361</v>
      </c>
      <c r="V5443">
        <v>-0.31799319999999998</v>
      </c>
      <c r="W5443">
        <v>3.1400589999999999E-2</v>
      </c>
      <c r="X5443">
        <v>0.94757289999999905</v>
      </c>
      <c r="Y5443">
        <v>-0.49512309999999998</v>
      </c>
      <c r="Z5443">
        <v>7.7227290000000004E-2</v>
      </c>
      <c r="AA5443">
        <v>0.86538379999999904</v>
      </c>
      <c r="AB5443">
        <v>19</v>
      </c>
      <c r="AC5443">
        <v>0.76310000000000799</v>
      </c>
      <c r="AD5443">
        <v>-7.7623999999999901E-2</v>
      </c>
      <c r="AE5443">
        <v>-0.22019999999999801</v>
      </c>
      <c r="AF5443">
        <v>-0.46611913773564401</v>
      </c>
      <c r="AG5443">
        <v>-7.7623999999999901E-2</v>
      </c>
      <c r="AH5443">
        <v>0.63376819235430903</v>
      </c>
      <c r="AI5443">
        <v>95.635010762841503</v>
      </c>
      <c r="AJ5443">
        <v>126.333462852</v>
      </c>
      <c r="AK5443">
        <v>0.79054073745725995</v>
      </c>
    </row>
    <row r="5444" spans="1:37" x14ac:dyDescent="0.2">
      <c r="A5444" t="str">
        <f>"20200111153540089"</f>
        <v>20200111153540089</v>
      </c>
      <c r="B5444" t="str">
        <f>"1578728140081120"</f>
        <v>1578728140081120</v>
      </c>
      <c r="C5444" t="s">
        <v>37</v>
      </c>
      <c r="D5444">
        <v>4.6483379999999999</v>
      </c>
      <c r="E5444">
        <v>0.42275309999999999</v>
      </c>
      <c r="F5444" t="s">
        <v>40</v>
      </c>
      <c r="G5444">
        <v>-294.83870000000002</v>
      </c>
      <c r="H5444">
        <v>1.031196</v>
      </c>
      <c r="I5444">
        <v>-52.018770000000004</v>
      </c>
      <c r="J5444">
        <v>-295.58429999999998</v>
      </c>
      <c r="K5444">
        <v>1.107904</v>
      </c>
      <c r="L5444">
        <v>-51.802459999999897</v>
      </c>
      <c r="M5444">
        <v>0.61453999999999998</v>
      </c>
      <c r="N5444">
        <v>0</v>
      </c>
      <c r="O5444">
        <v>-0.7887769</v>
      </c>
      <c r="P5444">
        <v>0.83281059999999996</v>
      </c>
      <c r="Q5444">
        <v>2.0646250000000001E-2</v>
      </c>
      <c r="R5444">
        <v>-0.55317320000000003</v>
      </c>
      <c r="S5444">
        <v>2.8374329999999999</v>
      </c>
      <c r="T5444">
        <v>-0.25300660000000003</v>
      </c>
      <c r="U5444">
        <v>-1.167084</v>
      </c>
      <c r="V5444">
        <v>-0.31722309999999998</v>
      </c>
      <c r="W5444">
        <v>3.0672330000000001E-2</v>
      </c>
      <c r="X5444">
        <v>0.9478548</v>
      </c>
      <c r="Y5444">
        <v>-0.49232159999999903</v>
      </c>
      <c r="Z5444">
        <v>7.8208860000000005E-2</v>
      </c>
      <c r="AA5444">
        <v>0.86689259999999901</v>
      </c>
      <c r="AB5444">
        <v>19</v>
      </c>
      <c r="AC5444">
        <v>0.74559999999996696</v>
      </c>
      <c r="AD5444">
        <v>-7.6707999999999998E-2</v>
      </c>
      <c r="AE5444">
        <v>-0.216310000000007</v>
      </c>
      <c r="AF5444">
        <v>-0.45081872391861699</v>
      </c>
      <c r="AG5444">
        <v>-7.6707999999999998E-2</v>
      </c>
      <c r="AH5444">
        <v>0.62279510231428103</v>
      </c>
      <c r="AI5444">
        <v>95.697624406164294</v>
      </c>
      <c r="AJ5444">
        <v>125.899411775148</v>
      </c>
      <c r="AK5444">
        <v>0.77265476026894897</v>
      </c>
    </row>
    <row r="5445" spans="1:37" x14ac:dyDescent="0.2">
      <c r="A5445" t="str">
        <f>"20200111153540112"</f>
        <v>20200111153540112</v>
      </c>
      <c r="B5445" t="str">
        <f>"1578728140101616"</f>
        <v>1578728140101616</v>
      </c>
      <c r="C5445" t="s">
        <v>37</v>
      </c>
      <c r="D5445">
        <v>4.6664479999999999</v>
      </c>
      <c r="E5445">
        <v>0.42340839999999902</v>
      </c>
      <c r="F5445" t="s">
        <v>40</v>
      </c>
      <c r="G5445">
        <v>-294.7364</v>
      </c>
      <c r="H5445">
        <v>1.0311969999999999</v>
      </c>
      <c r="I5445">
        <v>-52.148029999999999</v>
      </c>
      <c r="J5445">
        <v>-295.46319999999997</v>
      </c>
      <c r="K5445">
        <v>1.107869</v>
      </c>
      <c r="L5445">
        <v>-51.945500000000003</v>
      </c>
      <c r="M5445">
        <v>0.61957649999999997</v>
      </c>
      <c r="N5445">
        <v>0</v>
      </c>
      <c r="O5445">
        <v>-0.78483059999999905</v>
      </c>
      <c r="P5445">
        <v>0.83606879999999995</v>
      </c>
      <c r="Q5445">
        <v>1.9968940000000001E-2</v>
      </c>
      <c r="R5445">
        <v>-0.548261199999999</v>
      </c>
      <c r="S5445">
        <v>2.839874</v>
      </c>
      <c r="T5445">
        <v>-0.25692350000000003</v>
      </c>
      <c r="U5445">
        <v>-1.1573789999999999</v>
      </c>
      <c r="V5445">
        <v>-0.31674340000000001</v>
      </c>
      <c r="W5445">
        <v>2.9781530000000001E-2</v>
      </c>
      <c r="X5445">
        <v>0.94804359999999999</v>
      </c>
      <c r="Y5445">
        <v>-0.48946229999999902</v>
      </c>
      <c r="Z5445">
        <v>7.9141050000000004E-2</v>
      </c>
      <c r="AA5445">
        <v>0.86842580000000003</v>
      </c>
      <c r="AB5445">
        <v>19</v>
      </c>
      <c r="AC5445">
        <v>0.72679999999996803</v>
      </c>
      <c r="AD5445">
        <v>-7.6672000000000004E-2</v>
      </c>
      <c r="AE5445">
        <v>-0.20252999999999499</v>
      </c>
      <c r="AF5445">
        <v>-0.440420826230767</v>
      </c>
      <c r="AG5445">
        <v>-7.6672000000000004E-2</v>
      </c>
      <c r="AH5445">
        <v>0.603082573959282</v>
      </c>
      <c r="AI5445">
        <v>95.862031875241797</v>
      </c>
      <c r="AJ5445">
        <v>126.14001276212301</v>
      </c>
      <c r="AK5445">
        <v>0.75070479602513795</v>
      </c>
    </row>
    <row r="5446" spans="1:37" x14ac:dyDescent="0.2">
      <c r="A5446" t="str">
        <f>"20200111153540134"</f>
        <v>20200111153540134</v>
      </c>
      <c r="B5446" t="str">
        <f>"1578728140130897"</f>
        <v>1578728140130897</v>
      </c>
      <c r="C5446" t="s">
        <v>37</v>
      </c>
      <c r="D5446">
        <v>4.6758309999999996</v>
      </c>
      <c r="E5446">
        <v>0.42438579999999998</v>
      </c>
      <c r="F5446" t="s">
        <v>40</v>
      </c>
      <c r="G5446">
        <v>-294.63490000000002</v>
      </c>
      <c r="H5446">
        <v>1.0322100000000001</v>
      </c>
      <c r="I5446">
        <v>-52.278790000000001</v>
      </c>
      <c r="J5446">
        <v>-295.34449999999998</v>
      </c>
      <c r="K5446">
        <v>1.1078459999999899</v>
      </c>
      <c r="L5446">
        <v>-52.084009999999999</v>
      </c>
      <c r="M5446">
        <v>0.62445419999999996</v>
      </c>
      <c r="N5446">
        <v>0</v>
      </c>
      <c r="O5446">
        <v>-0.78095899999999996</v>
      </c>
      <c r="P5446">
        <v>0.83919949999999999</v>
      </c>
      <c r="Q5446">
        <v>1.958447E-2</v>
      </c>
      <c r="R5446">
        <v>-0.54347089999999998</v>
      </c>
      <c r="S5446">
        <v>2.8438720000000002</v>
      </c>
      <c r="T5446">
        <v>-0.2597892</v>
      </c>
      <c r="U5446">
        <v>-1.1445620000000001</v>
      </c>
      <c r="V5446">
        <v>-0.31626399999999999</v>
      </c>
      <c r="W5446">
        <v>2.9177640000000001E-2</v>
      </c>
      <c r="X5446">
        <v>0.94822240000000002</v>
      </c>
      <c r="Y5446">
        <v>-0.48775940000000001</v>
      </c>
      <c r="Z5446">
        <v>7.9774349999999994E-2</v>
      </c>
      <c r="AA5446">
        <v>0.86932549999999997</v>
      </c>
      <c r="AB5446">
        <v>19</v>
      </c>
      <c r="AC5446">
        <v>0.70959999999996604</v>
      </c>
      <c r="AD5446">
        <v>-7.5635999999999801E-2</v>
      </c>
      <c r="AE5446">
        <v>-0.19478000000000101</v>
      </c>
      <c r="AF5446">
        <v>-0.428049454588463</v>
      </c>
      <c r="AG5446">
        <v>-7.5635999999999801E-2</v>
      </c>
      <c r="AH5446">
        <v>0.589052008516599</v>
      </c>
      <c r="AI5446">
        <v>95.930251097566199</v>
      </c>
      <c r="AJ5446">
        <v>126.004972956343</v>
      </c>
      <c r="AK5446">
        <v>0.73207199701048598</v>
      </c>
    </row>
    <row r="5447" spans="1:37" x14ac:dyDescent="0.2">
      <c r="A5447" t="str">
        <f>"20200111153540157"</f>
        <v>20200111153540157</v>
      </c>
      <c r="B5447" t="str">
        <f>"1578728140151392"</f>
        <v>1578728140151392</v>
      </c>
      <c r="C5447" t="s">
        <v>37</v>
      </c>
      <c r="D5447">
        <v>4.6728509999999996</v>
      </c>
      <c r="E5447">
        <v>0.42490119999999998</v>
      </c>
      <c r="F5447" t="s">
        <v>40</v>
      </c>
      <c r="G5447">
        <v>-294.53160000000003</v>
      </c>
      <c r="H5447">
        <v>1.032872</v>
      </c>
      <c r="I5447">
        <v>-52.408259999999999</v>
      </c>
      <c r="J5447">
        <v>-295.22050000000002</v>
      </c>
      <c r="K5447">
        <v>1.107839</v>
      </c>
      <c r="L5447">
        <v>-52.226959999999998</v>
      </c>
      <c r="M5447">
        <v>0.62949909999999998</v>
      </c>
      <c r="N5447">
        <v>0</v>
      </c>
      <c r="O5447">
        <v>-0.77690219999999999</v>
      </c>
      <c r="P5447">
        <v>0.84274979999999999</v>
      </c>
      <c r="Q5447">
        <v>1.8913780000000002E-2</v>
      </c>
      <c r="R5447">
        <v>-0.53797329999999999</v>
      </c>
      <c r="S5447">
        <v>2.8459779999999899</v>
      </c>
      <c r="T5447">
        <v>-0.26248199999999999</v>
      </c>
      <c r="U5447">
        <v>-1.1349180000000001</v>
      </c>
      <c r="V5447">
        <v>-0.31633059999999902</v>
      </c>
      <c r="W5447">
        <v>2.8262490000000001E-2</v>
      </c>
      <c r="X5447">
        <v>0.94822790000000001</v>
      </c>
      <c r="Y5447">
        <v>-0.48481239999999998</v>
      </c>
      <c r="Z5447">
        <v>8.0309149999999996E-2</v>
      </c>
      <c r="AA5447">
        <v>0.87092329999999996</v>
      </c>
      <c r="AB5447">
        <v>19</v>
      </c>
      <c r="AC5447">
        <v>0.68889999999998897</v>
      </c>
      <c r="AD5447">
        <v>-7.4966999999999895E-2</v>
      </c>
      <c r="AE5447">
        <v>-0.18129999999999999</v>
      </c>
      <c r="AF5447">
        <v>-0.41649939584551998</v>
      </c>
      <c r="AG5447">
        <v>-7.4966999999999895E-2</v>
      </c>
      <c r="AH5447">
        <v>0.56826495401077803</v>
      </c>
      <c r="AI5447">
        <v>96.073615273339797</v>
      </c>
      <c r="AJ5447">
        <v>126.238870295209</v>
      </c>
      <c r="AK5447">
        <v>0.70853147833074803</v>
      </c>
    </row>
    <row r="5448" spans="1:37" x14ac:dyDescent="0.2">
      <c r="A5448" t="str">
        <f>"20200111153540180"</f>
        <v>20200111153540180</v>
      </c>
      <c r="B5448" t="str">
        <f>"1578728140170912"</f>
        <v>1578728140170912</v>
      </c>
      <c r="C5448" t="s">
        <v>37</v>
      </c>
      <c r="D5448">
        <v>4.6467879999999999</v>
      </c>
      <c r="E5448">
        <v>0.42531479999999999</v>
      </c>
      <c r="F5448" t="s">
        <v>40</v>
      </c>
      <c r="G5448">
        <v>-294.42320000000001</v>
      </c>
      <c r="H5448">
        <v>1.033291</v>
      </c>
      <c r="I5448">
        <v>-52.540089999999999</v>
      </c>
      <c r="J5448">
        <v>-295.09589999999997</v>
      </c>
      <c r="K5448">
        <v>1.1078319999999999</v>
      </c>
      <c r="L5448">
        <v>-52.368589999999998</v>
      </c>
      <c r="M5448">
        <v>0.63451650000000004</v>
      </c>
      <c r="N5448">
        <v>0</v>
      </c>
      <c r="O5448">
        <v>-0.77281390000000005</v>
      </c>
      <c r="P5448">
        <v>0.84625790000000001</v>
      </c>
      <c r="Q5448">
        <v>1.9347159999999999E-2</v>
      </c>
      <c r="R5448">
        <v>-0.53242279999999997</v>
      </c>
      <c r="S5448">
        <v>2.8508909999999998</v>
      </c>
      <c r="T5448">
        <v>-0.26657829999999999</v>
      </c>
      <c r="U5448">
        <v>-1.1198429999999999</v>
      </c>
      <c r="V5448">
        <v>-0.31642129999999902</v>
      </c>
      <c r="W5448">
        <v>2.8436940000000001E-2</v>
      </c>
      <c r="X5448">
        <v>0.94819240000000005</v>
      </c>
      <c r="Y5448">
        <v>-0.48355399999999998</v>
      </c>
      <c r="Z5448">
        <v>8.1298309999999999E-2</v>
      </c>
      <c r="AA5448">
        <v>0.87153099999999994</v>
      </c>
      <c r="AB5448">
        <v>19</v>
      </c>
      <c r="AC5448">
        <v>0.67269999999996299</v>
      </c>
      <c r="AD5448">
        <v>-7.4540999999999899E-2</v>
      </c>
      <c r="AE5448">
        <v>-0.17149999999999399</v>
      </c>
      <c r="AF5448">
        <v>-0.40639720654476802</v>
      </c>
      <c r="AG5448">
        <v>-7.4540999999999899E-2</v>
      </c>
      <c r="AH5448">
        <v>0.55304194983701505</v>
      </c>
      <c r="AI5448">
        <v>96.198717357140197</v>
      </c>
      <c r="AJ5448">
        <v>126.30992462099</v>
      </c>
      <c r="AK5448">
        <v>0.69034082049949697</v>
      </c>
    </row>
    <row r="5449" spans="1:37" x14ac:dyDescent="0.2">
      <c r="A5449" t="str">
        <f>"20200111153540201"</f>
        <v>20200111153540201</v>
      </c>
      <c r="B5449" t="str">
        <f>"1578728140191408"</f>
        <v>1578728140191408</v>
      </c>
      <c r="C5449" t="s">
        <v>37</v>
      </c>
      <c r="D5449">
        <v>4.6600549999999998</v>
      </c>
      <c r="E5449">
        <v>0.425676099999999</v>
      </c>
      <c r="F5449" t="s">
        <v>40</v>
      </c>
      <c r="G5449">
        <v>-294.16419999999999</v>
      </c>
      <c r="H5449">
        <v>1.020559</v>
      </c>
      <c r="I5449">
        <v>-52.728719999999903</v>
      </c>
      <c r="J5449">
        <v>-294.97669999999999</v>
      </c>
      <c r="K5449">
        <v>1.1078269999999999</v>
      </c>
      <c r="L5449">
        <v>-52.502380000000002</v>
      </c>
      <c r="M5449">
        <v>0.63927749999999905</v>
      </c>
      <c r="N5449">
        <v>0</v>
      </c>
      <c r="O5449">
        <v>-0.76888380000000001</v>
      </c>
      <c r="P5449">
        <v>0.84930289999999997</v>
      </c>
      <c r="Q5449">
        <v>1.9943519999999999E-2</v>
      </c>
      <c r="R5449">
        <v>-0.52752900000000003</v>
      </c>
      <c r="S5449">
        <v>2.8563839999999998</v>
      </c>
      <c r="T5449">
        <v>-0.26756929999999901</v>
      </c>
      <c r="U5449">
        <v>-1.104309</v>
      </c>
      <c r="V5449">
        <v>-0.31603429999999999</v>
      </c>
      <c r="W5449">
        <v>2.877679E-2</v>
      </c>
      <c r="X5449">
        <v>0.94831129999999997</v>
      </c>
      <c r="Y5449">
        <v>-0.4828267</v>
      </c>
      <c r="Z5449">
        <v>8.1353490000000001E-2</v>
      </c>
      <c r="AA5449">
        <v>0.87192890000000001</v>
      </c>
      <c r="AB5449">
        <v>19</v>
      </c>
      <c r="AC5449">
        <v>0.8125</v>
      </c>
      <c r="AD5449">
        <v>-8.7268000000000095E-2</v>
      </c>
      <c r="AE5449">
        <v>-0.22633999999999299</v>
      </c>
      <c r="AF5449">
        <v>-0.47497329842432001</v>
      </c>
      <c r="AG5449">
        <v>-8.7268000000000095E-2</v>
      </c>
      <c r="AH5449">
        <v>0.68614586430873303</v>
      </c>
      <c r="AI5449">
        <v>95.969994218334506</v>
      </c>
      <c r="AJ5449">
        <v>124.692288019405</v>
      </c>
      <c r="AK5449">
        <v>0.83905392267008505</v>
      </c>
    </row>
    <row r="5450" spans="1:37" x14ac:dyDescent="0.2">
      <c r="A5450" t="str">
        <f>"20200111153540223"</f>
        <v>20200111153540223</v>
      </c>
      <c r="B5450" t="str">
        <f>"1578728140221664"</f>
        <v>1578728140221664</v>
      </c>
      <c r="C5450" t="s">
        <v>37</v>
      </c>
      <c r="D5450">
        <v>4.6796809999999898</v>
      </c>
      <c r="E5450">
        <v>0.43259619999999999</v>
      </c>
      <c r="F5450" t="s">
        <v>40</v>
      </c>
      <c r="G5450">
        <v>-294.05509999999998</v>
      </c>
      <c r="H5450">
        <v>1.021876</v>
      </c>
      <c r="I5450">
        <v>-52.85378</v>
      </c>
      <c r="J5450">
        <v>-294.85079999999999</v>
      </c>
      <c r="K5450">
        <v>1.1078379999999901</v>
      </c>
      <c r="L5450">
        <v>-52.641909999999903</v>
      </c>
      <c r="M5450">
        <v>0.64425739999999998</v>
      </c>
      <c r="N5450">
        <v>0</v>
      </c>
      <c r="O5450">
        <v>-0.76472019999999996</v>
      </c>
      <c r="P5450">
        <v>0.85220810000000002</v>
      </c>
      <c r="Q5450">
        <v>2.0762630000000001E-2</v>
      </c>
      <c r="R5450">
        <v>-0.5227908</v>
      </c>
      <c r="S5450">
        <v>2.861389</v>
      </c>
      <c r="T5450">
        <v>-0.26680979999999999</v>
      </c>
      <c r="U5450">
        <v>-1.0902399999999901</v>
      </c>
      <c r="V5450">
        <v>-0.31515149999999997</v>
      </c>
      <c r="W5450">
        <v>2.9330640000000002E-2</v>
      </c>
      <c r="X5450">
        <v>0.94858809999999905</v>
      </c>
      <c r="Y5450">
        <v>-0.48143590000000003</v>
      </c>
      <c r="Z5450">
        <v>8.0836370000000005E-2</v>
      </c>
      <c r="AA5450">
        <v>0.87274560000000001</v>
      </c>
      <c r="AB5450">
        <v>19</v>
      </c>
      <c r="AC5450">
        <v>0.79570000000000995</v>
      </c>
      <c r="AD5450">
        <v>-8.5961999999999802E-2</v>
      </c>
      <c r="AE5450">
        <v>-0.21187000000001099</v>
      </c>
      <c r="AF5450">
        <v>-0.46693215991120801</v>
      </c>
      <c r="AG5450">
        <v>-8.5961999999999802E-2</v>
      </c>
      <c r="AH5450">
        <v>0.66742861207639803</v>
      </c>
      <c r="AI5450">
        <v>96.024326526649801</v>
      </c>
      <c r="AJ5450">
        <v>124.976584185348</v>
      </c>
      <c r="AK5450">
        <v>0.81907024095713099</v>
      </c>
    </row>
    <row r="5451" spans="1:37" x14ac:dyDescent="0.2">
      <c r="A5451" t="str">
        <f>"20200111153540247"</f>
        <v>20200111153540247</v>
      </c>
      <c r="B5451" t="str">
        <f>"1578728140241184"</f>
        <v>1578728140241184</v>
      </c>
      <c r="C5451" t="s">
        <v>37</v>
      </c>
      <c r="D5451">
        <v>4.5800549999999998</v>
      </c>
      <c r="E5451">
        <v>0.43672040000000001</v>
      </c>
      <c r="F5451" t="s">
        <v>40</v>
      </c>
      <c r="G5451">
        <v>-293.95760000000001</v>
      </c>
      <c r="H5451">
        <v>1.0181450000000001</v>
      </c>
      <c r="I5451">
        <v>-52.99483</v>
      </c>
      <c r="J5451">
        <v>-294.71769999999998</v>
      </c>
      <c r="K5451">
        <v>1.1078379999999901</v>
      </c>
      <c r="L5451">
        <v>-52.787480000000002</v>
      </c>
      <c r="M5451">
        <v>0.64947769999999905</v>
      </c>
      <c r="N5451">
        <v>0</v>
      </c>
      <c r="O5451">
        <v>-0.76029599999999997</v>
      </c>
      <c r="P5451">
        <v>0.85518780000000005</v>
      </c>
      <c r="Q5451">
        <v>2.1299869999999999E-2</v>
      </c>
      <c r="R5451">
        <v>-0.51788049999999997</v>
      </c>
      <c r="S5451">
        <v>2.8391419999999998</v>
      </c>
      <c r="T5451">
        <v>-0.28508249999999902</v>
      </c>
      <c r="U5451">
        <v>-1.121704</v>
      </c>
      <c r="V5451">
        <v>-0.31411050000000001</v>
      </c>
      <c r="W5451">
        <v>2.9572770000000002E-2</v>
      </c>
      <c r="X5451">
        <v>0.94892569999999998</v>
      </c>
      <c r="Y5451">
        <v>-0.46418919999999902</v>
      </c>
      <c r="Z5451">
        <v>8.5686479999999995E-2</v>
      </c>
      <c r="AA5451">
        <v>0.88158169999999902</v>
      </c>
      <c r="AB5451">
        <v>19</v>
      </c>
      <c r="AC5451">
        <v>0.76009999999996503</v>
      </c>
      <c r="AD5451">
        <v>-8.9692999999999801E-2</v>
      </c>
      <c r="AE5451">
        <v>-0.207350000000005</v>
      </c>
      <c r="AF5451">
        <v>-0.43758918372994299</v>
      </c>
      <c r="AG5451">
        <v>-8.9692999999999801E-2</v>
      </c>
      <c r="AH5451">
        <v>0.64302374254394301</v>
      </c>
      <c r="AI5451">
        <v>96.578129121206899</v>
      </c>
      <c r="AJ5451">
        <v>124.23598921897</v>
      </c>
      <c r="AK5451">
        <v>0.78294869655786403</v>
      </c>
    </row>
    <row r="5452" spans="1:37" x14ac:dyDescent="0.2">
      <c r="A5452" t="str">
        <f>"20200111153540268"</f>
        <v>20200111153540268</v>
      </c>
      <c r="B5452" t="str">
        <f>"1578728140261681"</f>
        <v>1578728140261681</v>
      </c>
      <c r="C5452" t="s">
        <v>37</v>
      </c>
      <c r="D5452">
        <v>4.7182750000000002</v>
      </c>
      <c r="E5452">
        <v>0.43580779999999902</v>
      </c>
      <c r="F5452" t="s">
        <v>40</v>
      </c>
      <c r="G5452">
        <v>-293.85520000000002</v>
      </c>
      <c r="H5452">
        <v>1.025641</v>
      </c>
      <c r="I5452">
        <v>-53.133029999999998</v>
      </c>
      <c r="J5452">
        <v>-294.59440000000001</v>
      </c>
      <c r="K5452">
        <v>1.107836</v>
      </c>
      <c r="L5452">
        <v>-52.920529999999999</v>
      </c>
      <c r="M5452">
        <v>0.65427539999999995</v>
      </c>
      <c r="N5452">
        <v>0</v>
      </c>
      <c r="O5452">
        <v>-0.75617579999999995</v>
      </c>
      <c r="P5452">
        <v>0.85734869999999996</v>
      </c>
      <c r="Q5452">
        <v>2.1475069999999999E-2</v>
      </c>
      <c r="R5452">
        <v>-0.51428779999999996</v>
      </c>
      <c r="S5452">
        <v>2.828735</v>
      </c>
      <c r="T5452">
        <v>-0.26956720000000001</v>
      </c>
      <c r="U5452">
        <v>-1.132843</v>
      </c>
      <c r="V5452">
        <v>-0.31208740000000001</v>
      </c>
      <c r="W5452">
        <v>2.9450750000000001E-2</v>
      </c>
      <c r="X5452">
        <v>0.94959680000000002</v>
      </c>
      <c r="Y5452">
        <v>-0.45493980000000001</v>
      </c>
      <c r="Z5452">
        <v>8.0616839999999995E-2</v>
      </c>
      <c r="AA5452">
        <v>0.88686569999999998</v>
      </c>
      <c r="AB5452">
        <v>19</v>
      </c>
      <c r="AC5452">
        <v>0.73919999999998198</v>
      </c>
      <c r="AD5452">
        <v>-8.2195000000000004E-2</v>
      </c>
      <c r="AE5452">
        <v>-0.212499999999998</v>
      </c>
      <c r="AF5452">
        <v>-0.41521527981536999</v>
      </c>
      <c r="AG5452">
        <v>-8.2195000000000004E-2</v>
      </c>
      <c r="AH5452">
        <v>0.637091139696773</v>
      </c>
      <c r="AI5452">
        <v>96.168973003524698</v>
      </c>
      <c r="AJ5452">
        <v>123.09373818260801</v>
      </c>
      <c r="AK5452">
        <v>0.76488225688486799</v>
      </c>
    </row>
    <row r="5453" spans="1:37" x14ac:dyDescent="0.2">
      <c r="A5453" t="str">
        <f>"20200111153540290"</f>
        <v>20200111153540290</v>
      </c>
      <c r="B5453" t="str">
        <f>"1578728140281200"</f>
        <v>1578728140281200</v>
      </c>
      <c r="C5453" t="s">
        <v>37</v>
      </c>
      <c r="D5453">
        <v>4.6805139999999996</v>
      </c>
      <c r="E5453">
        <v>0.44921409999999901</v>
      </c>
      <c r="F5453" t="s">
        <v>40</v>
      </c>
      <c r="G5453">
        <v>-293.74029999999999</v>
      </c>
      <c r="H5453">
        <v>1.024127</v>
      </c>
      <c r="I5453">
        <v>-53.256079999999997</v>
      </c>
      <c r="J5453">
        <v>-294.46519999999998</v>
      </c>
      <c r="K5453">
        <v>1.1078319999999999</v>
      </c>
      <c r="L5453">
        <v>-53.058259999999997</v>
      </c>
      <c r="M5453">
        <v>0.65927729999999996</v>
      </c>
      <c r="N5453">
        <v>0</v>
      </c>
      <c r="O5453">
        <v>-0.75182399999999905</v>
      </c>
      <c r="P5453">
        <v>0.85962469999999902</v>
      </c>
      <c r="Q5453">
        <v>2.1757909999999998E-2</v>
      </c>
      <c r="R5453">
        <v>-0.51046259999999999</v>
      </c>
      <c r="S5453">
        <v>2.8376160000000001</v>
      </c>
      <c r="T5453">
        <v>-0.2780861</v>
      </c>
      <c r="U5453">
        <v>-1.114471</v>
      </c>
      <c r="V5453">
        <v>-0.3100194</v>
      </c>
      <c r="W5453">
        <v>2.9377830000000001E-2</v>
      </c>
      <c r="X5453">
        <v>0.95027629999999996</v>
      </c>
      <c r="Y5453">
        <v>-0.45473720000000001</v>
      </c>
      <c r="Z5453">
        <v>8.2817769999999999E-2</v>
      </c>
      <c r="AA5453">
        <v>0.88676679999999997</v>
      </c>
      <c r="AB5453">
        <v>19</v>
      </c>
      <c r="AC5453">
        <v>0.72489999999999</v>
      </c>
      <c r="AD5453">
        <v>-8.3704999999999904E-2</v>
      </c>
      <c r="AE5453">
        <v>-0.19782000000000699</v>
      </c>
      <c r="AF5453">
        <v>-0.40952071700724202</v>
      </c>
      <c r="AG5453">
        <v>-8.3704999999999904E-2</v>
      </c>
      <c r="AH5453">
        <v>0.61899037309612503</v>
      </c>
      <c r="AI5453">
        <v>96.434630758789197</v>
      </c>
      <c r="AJ5453">
        <v>123.48840796230699</v>
      </c>
      <c r="AK5453">
        <v>0.74690215334326504</v>
      </c>
    </row>
    <row r="5454" spans="1:37" x14ac:dyDescent="0.2">
      <c r="A5454" t="str">
        <f>"20200111153540313"</f>
        <v>20200111153540313</v>
      </c>
      <c r="B5454" t="str">
        <f>"1578728140301696"</f>
        <v>1578728140301696</v>
      </c>
      <c r="C5454" t="s">
        <v>37</v>
      </c>
      <c r="D5454">
        <v>4.6649010000000004</v>
      </c>
      <c r="E5454">
        <v>0.45039439999999997</v>
      </c>
      <c r="F5454" t="s">
        <v>65</v>
      </c>
      <c r="G5454">
        <v>-282.91699999999997</v>
      </c>
      <c r="H5454" s="1">
        <v>-5.2076269999999996E-6</v>
      </c>
      <c r="I5454">
        <v>-58.000609999999902</v>
      </c>
      <c r="J5454">
        <v>-294.33479999999997</v>
      </c>
      <c r="K5454">
        <v>1.107842</v>
      </c>
      <c r="L5454">
        <v>-53.195309999999999</v>
      </c>
      <c r="M5454">
        <v>0.66429719999999903</v>
      </c>
      <c r="N5454">
        <v>0</v>
      </c>
      <c r="O5454">
        <v>-0.74739769999999905</v>
      </c>
      <c r="P5454">
        <v>0.86166520000000002</v>
      </c>
      <c r="Q5454">
        <v>2.247062E-2</v>
      </c>
      <c r="R5454">
        <v>-0.50697959999999997</v>
      </c>
      <c r="S5454">
        <v>2.7880859999999998</v>
      </c>
      <c r="T5454">
        <v>-0.26746639999999999</v>
      </c>
      <c r="U5454">
        <v>-1.1932370000000001</v>
      </c>
      <c r="V5454">
        <v>-0.3074963</v>
      </c>
      <c r="W5454">
        <v>2.9705740000000001E-2</v>
      </c>
      <c r="X5454">
        <v>0.95108549999999903</v>
      </c>
      <c r="Y5454">
        <v>-0.42210239999999999</v>
      </c>
      <c r="Z5454">
        <v>7.8683639999999999E-2</v>
      </c>
      <c r="AA5454">
        <v>0.90312709999999996</v>
      </c>
      <c r="AB5454">
        <v>19</v>
      </c>
      <c r="AC5454">
        <v>11.4177999999999</v>
      </c>
      <c r="AD5454">
        <v>-1.1078472076270001</v>
      </c>
      <c r="AE5454">
        <v>-4.8052999999999901</v>
      </c>
      <c r="AF5454">
        <v>-5.2993893188176298</v>
      </c>
      <c r="AG5454">
        <v>-1.1078472076270001</v>
      </c>
      <c r="AH5454">
        <v>11.088192993313999</v>
      </c>
      <c r="AI5454">
        <v>95.151057293178098</v>
      </c>
      <c r="AJ5454">
        <v>115.54457362780001</v>
      </c>
      <c r="AK5454">
        <v>12.339322365706501</v>
      </c>
    </row>
    <row r="5455" spans="1:37" x14ac:dyDescent="0.2">
      <c r="A5455" t="str">
        <f>"20200111153540335"</f>
        <v>20200111153540335</v>
      </c>
      <c r="B5455" t="str">
        <f>"1578728140330978"</f>
        <v>1578728140330978</v>
      </c>
      <c r="C5455" t="s">
        <v>37</v>
      </c>
      <c r="D5455">
        <v>4.6696679999999997</v>
      </c>
      <c r="E5455">
        <v>0.45048640000000001</v>
      </c>
      <c r="F5455" t="s">
        <v>65</v>
      </c>
      <c r="G5455">
        <v>-282.33530000000002</v>
      </c>
      <c r="H5455" s="1">
        <v>-5.4225259999999996E-6</v>
      </c>
      <c r="I5455">
        <v>-58.315530000000003</v>
      </c>
      <c r="J5455">
        <v>-294.20030000000003</v>
      </c>
      <c r="K5455">
        <v>1.1078649999999901</v>
      </c>
      <c r="L5455">
        <v>-53.33475</v>
      </c>
      <c r="M5455">
        <v>0.66945350000000003</v>
      </c>
      <c r="N5455">
        <v>0</v>
      </c>
      <c r="O5455">
        <v>-0.742788</v>
      </c>
      <c r="P5455">
        <v>0.86415140000000001</v>
      </c>
      <c r="Q5455">
        <v>2.3031220000000002E-2</v>
      </c>
      <c r="R5455">
        <v>-0.50270490000000001</v>
      </c>
      <c r="S5455">
        <v>2.78832999999999</v>
      </c>
      <c r="T5455">
        <v>-0.25743149999999998</v>
      </c>
      <c r="U5455">
        <v>-1.189789</v>
      </c>
      <c r="V5455">
        <v>-0.30562509999999998</v>
      </c>
      <c r="W5455">
        <v>2.9850640000000001E-2</v>
      </c>
      <c r="X5455">
        <v>0.95168390000000003</v>
      </c>
      <c r="Y5455">
        <v>-0.41709579999999902</v>
      </c>
      <c r="Z5455">
        <v>7.5316809999999998E-2</v>
      </c>
      <c r="AA5455">
        <v>0.9057364</v>
      </c>
      <c r="AB5455">
        <v>19</v>
      </c>
      <c r="AC5455">
        <v>11.865</v>
      </c>
      <c r="AD5455">
        <v>-1.1078704225260001</v>
      </c>
      <c r="AE5455">
        <v>-4.9807800000000002</v>
      </c>
      <c r="AF5455">
        <v>-5.4387339365661296</v>
      </c>
      <c r="AG5455">
        <v>-1.1078704225260001</v>
      </c>
      <c r="AH5455">
        <v>11.557631229740201</v>
      </c>
      <c r="AI5455">
        <v>94.957024358318094</v>
      </c>
      <c r="AJ5455">
        <v>115.200509380342</v>
      </c>
      <c r="AK5455">
        <v>12.8213120759355</v>
      </c>
    </row>
    <row r="5456" spans="1:37" x14ac:dyDescent="0.2">
      <c r="A5456" t="str">
        <f>"20200111153540358"</f>
        <v>20200111153540358</v>
      </c>
      <c r="B5456" t="str">
        <f>"1578728140351472"</f>
        <v>1578728140351472</v>
      </c>
      <c r="C5456" t="s">
        <v>37</v>
      </c>
      <c r="D5456">
        <v>4.6617980000000001</v>
      </c>
      <c r="E5456">
        <v>0.4506309</v>
      </c>
      <c r="F5456" t="s">
        <v>65</v>
      </c>
      <c r="G5456">
        <v>-281.78320000000002</v>
      </c>
      <c r="H5456" s="1">
        <v>-5.6357379999999999E-6</v>
      </c>
      <c r="I5456">
        <v>-58.562660000000001</v>
      </c>
      <c r="J5456">
        <v>-294.0659</v>
      </c>
      <c r="K5456">
        <v>1.107904</v>
      </c>
      <c r="L5456">
        <v>-53.472079999999998</v>
      </c>
      <c r="M5456">
        <v>0.67458869999999904</v>
      </c>
      <c r="N5456">
        <v>0</v>
      </c>
      <c r="O5456">
        <v>-0.73813280000000003</v>
      </c>
      <c r="P5456">
        <v>0.86675139999999995</v>
      </c>
      <c r="Q5456">
        <v>2.3404580000000001E-2</v>
      </c>
      <c r="R5456">
        <v>-0.49819179999999902</v>
      </c>
      <c r="S5456">
        <v>2.7939759999999998</v>
      </c>
      <c r="T5456">
        <v>-0.24928159999999999</v>
      </c>
      <c r="U5456">
        <v>-1.176331</v>
      </c>
      <c r="V5456">
        <v>-0.30398909999999901</v>
      </c>
      <c r="W5456">
        <v>2.9808230000000002E-2</v>
      </c>
      <c r="X5456">
        <v>0.95220910000000003</v>
      </c>
      <c r="Y5456">
        <v>-0.41538789999999998</v>
      </c>
      <c r="Z5456">
        <v>7.2600929999999994E-2</v>
      </c>
      <c r="AA5456">
        <v>0.90674249999999901</v>
      </c>
      <c r="AB5456">
        <v>19</v>
      </c>
      <c r="AC5456">
        <v>12.282699999999901</v>
      </c>
      <c r="AD5456">
        <v>-1.1079096357380001</v>
      </c>
      <c r="AE5456">
        <v>-5.0905799999999903</v>
      </c>
      <c r="AF5456">
        <v>-5.5936302276264103</v>
      </c>
      <c r="AG5456">
        <v>-1.1079096357380001</v>
      </c>
      <c r="AH5456">
        <v>11.9607872400498</v>
      </c>
      <c r="AI5456">
        <v>94.796240947049796</v>
      </c>
      <c r="AJ5456">
        <v>115.063801981285</v>
      </c>
      <c r="AK5456">
        <v>13.2505318491793</v>
      </c>
    </row>
    <row r="5457" spans="1:37" x14ac:dyDescent="0.2">
      <c r="A5457" t="str">
        <f>"20200111153540380"</f>
        <v>20200111153540380</v>
      </c>
      <c r="B5457" t="str">
        <f>"1578728140370992"</f>
        <v>1578728140370992</v>
      </c>
      <c r="C5457" t="s">
        <v>37</v>
      </c>
      <c r="D5457">
        <v>4.6580309999999896</v>
      </c>
      <c r="E5457">
        <v>0.45043519999999998</v>
      </c>
      <c r="F5457" t="s">
        <v>65</v>
      </c>
      <c r="G5457">
        <v>-281.55889999999999</v>
      </c>
      <c r="H5457" s="1">
        <v>-5.7216869999999899E-6</v>
      </c>
      <c r="I5457">
        <v>-58.66666</v>
      </c>
      <c r="J5457">
        <v>-293.93119999999999</v>
      </c>
      <c r="K5457">
        <v>1.1079570000000001</v>
      </c>
      <c r="L5457">
        <v>-53.607700000000001</v>
      </c>
      <c r="M5457">
        <v>0.67972880000000002</v>
      </c>
      <c r="N5457">
        <v>0</v>
      </c>
      <c r="O5457">
        <v>-0.73340669999999897</v>
      </c>
      <c r="P5457">
        <v>0.86967899999999998</v>
      </c>
      <c r="Q5457">
        <v>2.4059469999999999E-2</v>
      </c>
      <c r="R5457">
        <v>-0.493031099999999</v>
      </c>
      <c r="S5457">
        <v>2.7995610000000002</v>
      </c>
      <c r="T5457">
        <v>-0.24799350000000001</v>
      </c>
      <c r="U5457">
        <v>-1.16275</v>
      </c>
      <c r="V5457">
        <v>-0.30299549999999997</v>
      </c>
      <c r="W5457">
        <v>3.004749E-2</v>
      </c>
      <c r="X5457">
        <v>0.95251819999999898</v>
      </c>
      <c r="Y5457">
        <v>-0.41348180000000001</v>
      </c>
      <c r="Z5457">
        <v>7.1874709999999994E-2</v>
      </c>
      <c r="AA5457">
        <v>0.90767119999999901</v>
      </c>
      <c r="AB5457">
        <v>19</v>
      </c>
      <c r="AC5457">
        <v>12.3722999999999</v>
      </c>
      <c r="AD5457">
        <v>-1.1079627216870001</v>
      </c>
      <c r="AE5457">
        <v>-5.0589599999999901</v>
      </c>
      <c r="AF5457">
        <v>-5.5969861475612603</v>
      </c>
      <c r="AG5457">
        <v>-1.1079627216870001</v>
      </c>
      <c r="AH5457">
        <v>12.0378793961446</v>
      </c>
      <c r="AI5457">
        <v>94.770832362833602</v>
      </c>
      <c r="AJ5457">
        <v>114.93597085958601</v>
      </c>
      <c r="AK5457">
        <v>13.3215755706584</v>
      </c>
    </row>
    <row r="5458" spans="1:37" x14ac:dyDescent="0.2">
      <c r="A5458" t="str">
        <f>"20200111153540403"</f>
        <v>20200111153540403</v>
      </c>
      <c r="B5458" t="str">
        <f>"1578728140391488"</f>
        <v>1578728140391488</v>
      </c>
      <c r="C5458" t="s">
        <v>37</v>
      </c>
      <c r="D5458">
        <v>4.702744</v>
      </c>
      <c r="E5458">
        <v>0.45029829999999998</v>
      </c>
      <c r="F5458" t="s">
        <v>40</v>
      </c>
      <c r="G5458">
        <v>-292.94779999999997</v>
      </c>
      <c r="H5458">
        <v>1.0218639999999899</v>
      </c>
      <c r="I5458">
        <v>-54.008769999999998</v>
      </c>
      <c r="J5458">
        <v>-293.79320000000001</v>
      </c>
      <c r="K5458">
        <v>1.1080129999999999</v>
      </c>
      <c r="L5458">
        <v>-53.744540000000001</v>
      </c>
      <c r="M5458">
        <v>0.68498380000000003</v>
      </c>
      <c r="N5458">
        <v>0</v>
      </c>
      <c r="O5458">
        <v>-0.72850559999999998</v>
      </c>
      <c r="P5458">
        <v>0.87288549999999998</v>
      </c>
      <c r="Q5458">
        <v>2.498885E-2</v>
      </c>
      <c r="R5458">
        <v>-0.48728490000000002</v>
      </c>
      <c r="S5458">
        <v>2.807312</v>
      </c>
      <c r="T5458">
        <v>-0.24576770000000001</v>
      </c>
      <c r="U5458">
        <v>-1.1448670000000001</v>
      </c>
      <c r="V5458">
        <v>-0.30242570000000002</v>
      </c>
      <c r="W5458">
        <v>3.056271E-2</v>
      </c>
      <c r="X5458">
        <v>0.9526829</v>
      </c>
      <c r="Y5458">
        <v>-0.41284969999999999</v>
      </c>
      <c r="Z5458">
        <v>7.0900089999999999E-2</v>
      </c>
      <c r="AA5458">
        <v>0.90803539999999905</v>
      </c>
      <c r="AB5458">
        <v>20</v>
      </c>
      <c r="AC5458">
        <v>0.84540000000004001</v>
      </c>
      <c r="AD5458">
        <v>-8.6149000000000003E-2</v>
      </c>
      <c r="AE5458">
        <v>-0.26422999999999702</v>
      </c>
      <c r="AF5458">
        <v>-0.43082638735978901</v>
      </c>
      <c r="AG5458">
        <v>-8.6149000000000003E-2</v>
      </c>
      <c r="AH5458">
        <v>0.764376857392983</v>
      </c>
      <c r="AI5458">
        <v>95.607517979844999</v>
      </c>
      <c r="AJ5458">
        <v>119.406949856384</v>
      </c>
      <c r="AK5458">
        <v>0.88164902674729895</v>
      </c>
    </row>
    <row r="5459" spans="1:37" x14ac:dyDescent="0.2">
      <c r="A5459" t="str">
        <f>"20200111153540425"</f>
        <v>20200111153540425</v>
      </c>
      <c r="B5459" t="str">
        <f>"1578728140420770"</f>
        <v>1578728140420770</v>
      </c>
      <c r="C5459" t="s">
        <v>37</v>
      </c>
      <c r="D5459">
        <v>4.6910720000000001</v>
      </c>
      <c r="E5459">
        <v>0.45021070000000002</v>
      </c>
      <c r="F5459" t="s">
        <v>65</v>
      </c>
      <c r="G5459">
        <v>-281.0215</v>
      </c>
      <c r="H5459" s="1">
        <v>-5.9393970000000004E-6</v>
      </c>
      <c r="I5459">
        <v>-58.850050000000003</v>
      </c>
      <c r="J5459">
        <v>-293.6515</v>
      </c>
      <c r="K5459">
        <v>1.1080649999999901</v>
      </c>
      <c r="L5459">
        <v>-53.882899999999999</v>
      </c>
      <c r="M5459">
        <v>0.690353199999999</v>
      </c>
      <c r="N5459">
        <v>0</v>
      </c>
      <c r="O5459">
        <v>-0.72342340000000005</v>
      </c>
      <c r="P5459">
        <v>0.87642070000000005</v>
      </c>
      <c r="Q5459">
        <v>2.5499339999999999E-2</v>
      </c>
      <c r="R5459">
        <v>-0.48087029999999997</v>
      </c>
      <c r="S5459">
        <v>2.8155519999999998</v>
      </c>
      <c r="T5459">
        <v>-0.244264799999999</v>
      </c>
      <c r="U5459">
        <v>-1.1255189999999999</v>
      </c>
      <c r="V5459">
        <v>-0.302367</v>
      </c>
      <c r="W5459">
        <v>3.0671859999999999E-2</v>
      </c>
      <c r="X5459">
        <v>0.95269799999999905</v>
      </c>
      <c r="Y5459">
        <v>-0.41247060000000002</v>
      </c>
      <c r="Z5459">
        <v>7.0132600000000003E-2</v>
      </c>
      <c r="AA5459">
        <v>0.9082673</v>
      </c>
      <c r="AB5459">
        <v>20</v>
      </c>
      <c r="AC5459">
        <v>12.6299999999999</v>
      </c>
      <c r="AD5459">
        <v>-1.1080709393970001</v>
      </c>
      <c r="AE5459">
        <v>-4.9671500000000002</v>
      </c>
      <c r="AF5459">
        <v>-5.6701547183048602</v>
      </c>
      <c r="AG5459">
        <v>-1.1080709393970001</v>
      </c>
      <c r="AH5459">
        <v>12.2314152899056</v>
      </c>
      <c r="AI5459">
        <v>94.698596492843507</v>
      </c>
      <c r="AJ5459">
        <v>114.871168931515</v>
      </c>
      <c r="AK5459">
        <v>13.527231635866499</v>
      </c>
    </row>
    <row r="5460" spans="1:37" x14ac:dyDescent="0.2">
      <c r="A5460" t="str">
        <f>"20200111153540448"</f>
        <v>20200111153540448</v>
      </c>
      <c r="B5460" t="str">
        <f>"1578728140441267"</f>
        <v>1578728140441267</v>
      </c>
      <c r="C5460" t="s">
        <v>37</v>
      </c>
      <c r="D5460">
        <v>4.7140069999999996</v>
      </c>
      <c r="E5460">
        <v>0.4502717</v>
      </c>
      <c r="F5460" t="s">
        <v>65</v>
      </c>
      <c r="G5460">
        <v>-280.70179999999999</v>
      </c>
      <c r="H5460" s="1">
        <v>-6.0712259999999999E-6</v>
      </c>
      <c r="I5460">
        <v>-58.945999999999998</v>
      </c>
      <c r="J5460">
        <v>-293.50729999999999</v>
      </c>
      <c r="K5460">
        <v>1.1081190000000001</v>
      </c>
      <c r="L5460">
        <v>-54.021639999999998</v>
      </c>
      <c r="M5460">
        <v>0.69578709999999999</v>
      </c>
      <c r="N5460">
        <v>0</v>
      </c>
      <c r="O5460">
        <v>-0.71820249999999997</v>
      </c>
      <c r="P5460">
        <v>0.8796138</v>
      </c>
      <c r="Q5460">
        <v>2.5935150000000001E-2</v>
      </c>
      <c r="R5460">
        <v>-0.47498119999999999</v>
      </c>
      <c r="S5460">
        <v>2.8242189999999998</v>
      </c>
      <c r="T5460">
        <v>-0.241660399999999</v>
      </c>
      <c r="U5460">
        <v>-1.1042179999999999</v>
      </c>
      <c r="V5460">
        <v>-0.30157529999999999</v>
      </c>
      <c r="W5460">
        <v>3.0744779999999999E-2</v>
      </c>
      <c r="X5460">
        <v>0.95294650000000003</v>
      </c>
      <c r="Y5460">
        <v>-0.41257739999999998</v>
      </c>
      <c r="Z5460">
        <v>6.9065029999999999E-2</v>
      </c>
      <c r="AA5460">
        <v>0.90830059999999901</v>
      </c>
      <c r="AB5460">
        <v>20</v>
      </c>
      <c r="AC5460">
        <v>12.805499999999901</v>
      </c>
      <c r="AD5460">
        <v>-1.108125071226</v>
      </c>
      <c r="AE5460">
        <v>-4.9243600000000001</v>
      </c>
      <c r="AF5460">
        <v>-5.7334222478244001</v>
      </c>
      <c r="AG5460">
        <v>-1.108125071226</v>
      </c>
      <c r="AH5460">
        <v>12.366323752366799</v>
      </c>
      <c r="AI5460">
        <v>94.647685829218503</v>
      </c>
      <c r="AJ5460">
        <v>114.873943683668</v>
      </c>
      <c r="AK5460">
        <v>13.6757462316935</v>
      </c>
    </row>
    <row r="5461" spans="1:37" x14ac:dyDescent="0.2">
      <c r="A5461" t="str">
        <f>"20200111153540462"</f>
        <v>20200111153540462</v>
      </c>
      <c r="B5461" t="str">
        <f>"1578728140451024"</f>
        <v>1578728140451024</v>
      </c>
      <c r="C5461" t="s">
        <v>37</v>
      </c>
      <c r="D5461">
        <v>4.6650519999999904</v>
      </c>
      <c r="E5461">
        <v>0.45029979999999997</v>
      </c>
      <c r="F5461" t="s">
        <v>65</v>
      </c>
      <c r="G5461">
        <v>-280.46359999999999</v>
      </c>
      <c r="H5461" s="1">
        <v>-6.1454009999999999E-6</v>
      </c>
      <c r="I5461">
        <v>-59.024719999999903</v>
      </c>
      <c r="J5461">
        <v>-293.41239999999999</v>
      </c>
      <c r="K5461">
        <v>1.108158</v>
      </c>
      <c r="L5461">
        <v>-54.111849999999997</v>
      </c>
      <c r="M5461">
        <v>0.69934479999999999</v>
      </c>
      <c r="N5461">
        <v>0</v>
      </c>
      <c r="O5461">
        <v>-0.71474110000000002</v>
      </c>
      <c r="P5461">
        <v>0.8819129</v>
      </c>
      <c r="Q5461">
        <v>2.598352E-2</v>
      </c>
      <c r="R5461">
        <v>-0.47069620000000001</v>
      </c>
      <c r="S5461">
        <v>2.8312680000000001</v>
      </c>
      <c r="T5461">
        <v>-0.240529299999999</v>
      </c>
      <c r="U5461">
        <v>-1.085968</v>
      </c>
      <c r="V5461">
        <v>-0.30148330000000001</v>
      </c>
      <c r="W5461">
        <v>3.0567960000000002E-2</v>
      </c>
      <c r="X5461">
        <v>0.95298130000000003</v>
      </c>
      <c r="Y5461">
        <v>-0.4139524</v>
      </c>
      <c r="Z5461">
        <v>6.8574640000000006E-2</v>
      </c>
      <c r="AA5461">
        <v>0.90771190000000002</v>
      </c>
      <c r="AB5461">
        <v>20</v>
      </c>
      <c r="AC5461">
        <v>12.9488</v>
      </c>
      <c r="AD5461">
        <v>-1.1081641454009901</v>
      </c>
      <c r="AE5461">
        <v>-4.9128699999999901</v>
      </c>
      <c r="AF5461">
        <v>-5.7824086692061796</v>
      </c>
      <c r="AG5461">
        <v>-1.1081641454009901</v>
      </c>
      <c r="AH5461">
        <v>12.487545583485399</v>
      </c>
      <c r="AI5461">
        <v>94.603935527902095</v>
      </c>
      <c r="AJ5461">
        <v>114.846687126714</v>
      </c>
      <c r="AK5461">
        <v>13.8059071592739</v>
      </c>
    </row>
    <row r="5462" spans="1:37" x14ac:dyDescent="0.2">
      <c r="A5462" t="str">
        <f>"20200111153540477"</f>
        <v>20200111153540477</v>
      </c>
      <c r="B5462" t="str">
        <f>"1578728140471520"</f>
        <v>1578728140471520</v>
      </c>
      <c r="C5462" t="s">
        <v>37</v>
      </c>
      <c r="D5462">
        <v>4.6748529999999997</v>
      </c>
      <c r="E5462">
        <v>0.45037559999999899</v>
      </c>
      <c r="F5462" t="s">
        <v>65</v>
      </c>
      <c r="G5462">
        <v>-280.35660000000001</v>
      </c>
      <c r="H5462" s="1">
        <v>-6.1785920000000002E-6</v>
      </c>
      <c r="I5462">
        <v>-59.048069999999903</v>
      </c>
      <c r="J5462">
        <v>-293.31119999999999</v>
      </c>
      <c r="K5462">
        <v>1.1081939999999999</v>
      </c>
      <c r="L5462">
        <v>-54.207000000000001</v>
      </c>
      <c r="M5462">
        <v>0.70311859999999904</v>
      </c>
      <c r="N5462">
        <v>0</v>
      </c>
      <c r="O5462">
        <v>-0.71103090000000002</v>
      </c>
      <c r="P5462">
        <v>0.88410290000000002</v>
      </c>
      <c r="Q5462">
        <v>2.6049320000000001E-2</v>
      </c>
      <c r="R5462">
        <v>-0.46656579999999898</v>
      </c>
      <c r="S5462">
        <v>2.8364259999999999</v>
      </c>
      <c r="T5462">
        <v>-0.24075389999999899</v>
      </c>
      <c r="U5462">
        <v>-1.0724180000000001</v>
      </c>
      <c r="V5462">
        <v>-0.30089890000000002</v>
      </c>
      <c r="W5462">
        <v>3.0418299999999999E-2</v>
      </c>
      <c r="X5462">
        <v>0.95317079999999998</v>
      </c>
      <c r="Y5462">
        <v>-0.41348359999999901</v>
      </c>
      <c r="Z5462">
        <v>6.8394819999999995E-2</v>
      </c>
      <c r="AA5462">
        <v>0.9079391</v>
      </c>
      <c r="AB5462">
        <v>20</v>
      </c>
      <c r="AC5462">
        <v>12.9545999999999</v>
      </c>
      <c r="AD5462">
        <v>-1.1082001785919999</v>
      </c>
      <c r="AE5462">
        <v>-4.8410699999999904</v>
      </c>
      <c r="AF5462">
        <v>-5.7703937317850897</v>
      </c>
      <c r="AG5462">
        <v>-1.1082001785919999</v>
      </c>
      <c r="AH5462">
        <v>12.471063215790901</v>
      </c>
      <c r="AI5462">
        <v>94.610758340280199</v>
      </c>
      <c r="AJ5462">
        <v>114.830104569141</v>
      </c>
      <c r="AK5462">
        <v>13.785970012585601</v>
      </c>
    </row>
    <row r="5463" spans="1:37" x14ac:dyDescent="0.2">
      <c r="A5463" t="str">
        <f>"20200111153540491"</f>
        <v>20200111153540491</v>
      </c>
      <c r="B5463" t="str">
        <f>"1578728140481281"</f>
        <v>1578728140481281</v>
      </c>
      <c r="C5463" t="s">
        <v>37</v>
      </c>
      <c r="D5463">
        <v>4.6516400000000004</v>
      </c>
      <c r="E5463">
        <v>0.45044899999999999</v>
      </c>
      <c r="F5463" t="s">
        <v>65</v>
      </c>
      <c r="G5463">
        <v>-280.28989999999999</v>
      </c>
      <c r="H5463" s="1">
        <v>-6.199112E-6</v>
      </c>
      <c r="I5463">
        <v>-59.064050000000002</v>
      </c>
      <c r="J5463">
        <v>-293.2276</v>
      </c>
      <c r="K5463">
        <v>1.108225</v>
      </c>
      <c r="L5463">
        <v>-54.284610000000001</v>
      </c>
      <c r="M5463">
        <v>0.70622159999999901</v>
      </c>
      <c r="N5463">
        <v>0</v>
      </c>
      <c r="O5463">
        <v>-0.70795059999999999</v>
      </c>
      <c r="P5463">
        <v>0.88603779999999999</v>
      </c>
      <c r="Q5463">
        <v>2.591301E-2</v>
      </c>
      <c r="R5463">
        <v>-0.46288820000000003</v>
      </c>
      <c r="S5463">
        <v>2.8410950000000001</v>
      </c>
      <c r="T5463">
        <v>-0.24179709999999999</v>
      </c>
      <c r="U5463">
        <v>-1.0597529999999999</v>
      </c>
      <c r="V5463">
        <v>-0.30069489999999999</v>
      </c>
      <c r="W5463">
        <v>3.011755E-2</v>
      </c>
      <c r="X5463">
        <v>0.95324469999999994</v>
      </c>
      <c r="Y5463">
        <v>-0.41352929999999999</v>
      </c>
      <c r="Z5463">
        <v>6.8502049999999995E-2</v>
      </c>
      <c r="AA5463">
        <v>0.907910199999999</v>
      </c>
      <c r="AB5463">
        <v>20</v>
      </c>
      <c r="AC5463">
        <v>12.9377</v>
      </c>
      <c r="AD5463">
        <v>-1.108231199112</v>
      </c>
      <c r="AE5463">
        <v>-4.7794400000000001</v>
      </c>
      <c r="AF5463">
        <v>-5.7469690128550797</v>
      </c>
      <c r="AG5463">
        <v>-1.108231199112</v>
      </c>
      <c r="AH5463">
        <v>12.4405268345067</v>
      </c>
      <c r="AI5463">
        <v>94.623465707854393</v>
      </c>
      <c r="AJ5463">
        <v>114.794832906311</v>
      </c>
      <c r="AK5463">
        <v>13.7485467284903</v>
      </c>
    </row>
    <row r="5464" spans="1:37" x14ac:dyDescent="0.2">
      <c r="A5464" t="str">
        <f>"20200111153540503"</f>
        <v>20200111153540503</v>
      </c>
      <c r="B5464" t="str">
        <f>"1578728140491040"</f>
        <v>1578728140491040</v>
      </c>
      <c r="C5464" t="s">
        <v>37</v>
      </c>
      <c r="D5464">
        <v>4.6465259999999997</v>
      </c>
      <c r="E5464">
        <v>0.45051379999999902</v>
      </c>
      <c r="F5464" t="s">
        <v>65</v>
      </c>
      <c r="G5464">
        <v>-280.26029999999997</v>
      </c>
      <c r="H5464" s="1">
        <v>-6.2091319999999996E-6</v>
      </c>
      <c r="I5464">
        <v>-59.063269999999903</v>
      </c>
      <c r="J5464">
        <v>-293.15069999999997</v>
      </c>
      <c r="K5464">
        <v>1.1082510000000001</v>
      </c>
      <c r="L5464">
        <v>-54.355559999999997</v>
      </c>
      <c r="M5464">
        <v>0.70906000000000002</v>
      </c>
      <c r="N5464">
        <v>0</v>
      </c>
      <c r="O5464">
        <v>-0.70510899999999999</v>
      </c>
      <c r="P5464">
        <v>0.8875537</v>
      </c>
      <c r="Q5464">
        <v>2.577958E-2</v>
      </c>
      <c r="R5464">
        <v>-0.45998289999999997</v>
      </c>
      <c r="S5464">
        <v>2.8451840000000002</v>
      </c>
      <c r="T5464">
        <v>-0.2431586</v>
      </c>
      <c r="U5464">
        <v>-1.048492</v>
      </c>
      <c r="V5464">
        <v>-0.29999179999999998</v>
      </c>
      <c r="W5464">
        <v>2.9845400000000001E-2</v>
      </c>
      <c r="X5464">
        <v>0.95347479999999996</v>
      </c>
      <c r="Y5464">
        <v>-0.41343629999999998</v>
      </c>
      <c r="Z5464">
        <v>6.8707149999999995E-2</v>
      </c>
      <c r="AA5464">
        <v>0.90793709999999905</v>
      </c>
      <c r="AB5464">
        <v>20</v>
      </c>
      <c r="AC5464">
        <v>12.8904</v>
      </c>
      <c r="AD5464">
        <v>-1.108257209132</v>
      </c>
      <c r="AE5464">
        <v>-4.7077099999999898</v>
      </c>
      <c r="AF5464">
        <v>-5.7139810398756401</v>
      </c>
      <c r="AG5464">
        <v>-1.108257209132</v>
      </c>
      <c r="AH5464">
        <v>12.3791244491221</v>
      </c>
      <c r="AI5464">
        <v>94.647064791751106</v>
      </c>
      <c r="AJ5464">
        <v>114.777197104219</v>
      </c>
      <c r="AK5464">
        <v>13.6792008353012</v>
      </c>
    </row>
    <row r="5465" spans="1:37" x14ac:dyDescent="0.2">
      <c r="A5465" t="str">
        <f>"20200111153540520"</f>
        <v>20200111153540520</v>
      </c>
      <c r="B5465" t="str">
        <f>"1578728140511537"</f>
        <v>1578728140511537</v>
      </c>
      <c r="C5465" t="s">
        <v>37</v>
      </c>
      <c r="D5465">
        <v>4.659764</v>
      </c>
      <c r="E5465">
        <v>0.450625</v>
      </c>
      <c r="F5465" t="s">
        <v>65</v>
      </c>
      <c r="G5465">
        <v>-280.20769999999999</v>
      </c>
      <c r="H5465" s="1">
        <v>-6.2249350000000002E-6</v>
      </c>
      <c r="I5465">
        <v>-59.079209999999897</v>
      </c>
      <c r="J5465">
        <v>-293.03859999999997</v>
      </c>
      <c r="K5465">
        <v>1.1082889999999901</v>
      </c>
      <c r="L5465">
        <v>-54.4580699999999</v>
      </c>
      <c r="M5465">
        <v>0.71317549999999996</v>
      </c>
      <c r="N5465">
        <v>0</v>
      </c>
      <c r="O5465">
        <v>-0.70094789999999996</v>
      </c>
      <c r="P5465">
        <v>0.89002139999999996</v>
      </c>
      <c r="Q5465">
        <v>2.5942179999999999E-2</v>
      </c>
      <c r="R5465">
        <v>-0.45518039999999999</v>
      </c>
      <c r="S5465">
        <v>2.8484189999999998</v>
      </c>
      <c r="T5465">
        <v>-0.243898</v>
      </c>
      <c r="U5465">
        <v>-1.0395509999999999</v>
      </c>
      <c r="V5465">
        <v>-0.2995642</v>
      </c>
      <c r="W5465">
        <v>2.9815370000000001E-2</v>
      </c>
      <c r="X5465">
        <v>0.95361019999999896</v>
      </c>
      <c r="Y5465">
        <v>-0.41095569999999998</v>
      </c>
      <c r="Z5465">
        <v>6.857249E-2</v>
      </c>
      <c r="AA5465">
        <v>0.90907280000000001</v>
      </c>
      <c r="AB5465">
        <v>20</v>
      </c>
      <c r="AC5465">
        <v>12.8308999999999</v>
      </c>
      <c r="AD5465">
        <v>-1.10829522493499</v>
      </c>
      <c r="AE5465">
        <v>-4.6211399999999996</v>
      </c>
      <c r="AF5465">
        <v>-5.6608726190859304</v>
      </c>
      <c r="AG5465">
        <v>-1.10829522493499</v>
      </c>
      <c r="AH5465">
        <v>12.3088967167912</v>
      </c>
      <c r="AI5465">
        <v>94.676594643183094</v>
      </c>
      <c r="AJ5465">
        <v>114.697743450031</v>
      </c>
      <c r="AK5465">
        <v>13.5934813605553</v>
      </c>
    </row>
    <row r="5466" spans="1:37" x14ac:dyDescent="0.2">
      <c r="A5466" t="str">
        <f>"20200111153540533"</f>
        <v>20200111153540533</v>
      </c>
      <c r="B5466" t="str">
        <f>"1578728140531057"</f>
        <v>1578728140531057</v>
      </c>
      <c r="C5466" t="s">
        <v>37</v>
      </c>
      <c r="D5466">
        <v>4.6713440000000004</v>
      </c>
      <c r="E5466">
        <v>0.45064499999999902</v>
      </c>
      <c r="F5466" t="s">
        <v>40</v>
      </c>
      <c r="G5466">
        <v>-292.02359999999999</v>
      </c>
      <c r="H5466">
        <v>1.021693</v>
      </c>
      <c r="I5466">
        <v>-54.822850000000003</v>
      </c>
      <c r="J5466">
        <v>-292.93950000000001</v>
      </c>
      <c r="K5466">
        <v>1.1083259999999999</v>
      </c>
      <c r="L5466">
        <v>-54.547359999999998</v>
      </c>
      <c r="M5466">
        <v>0.71677880000000005</v>
      </c>
      <c r="N5466">
        <v>0</v>
      </c>
      <c r="O5466">
        <v>-0.69726429999999995</v>
      </c>
      <c r="P5466">
        <v>0.8923683</v>
      </c>
      <c r="Q5466">
        <v>2.5927410000000001E-2</v>
      </c>
      <c r="R5466">
        <v>-0.45056269999999998</v>
      </c>
      <c r="S5466">
        <v>2.8536069999999998</v>
      </c>
      <c r="T5466">
        <v>-0.24342240000000001</v>
      </c>
      <c r="U5466">
        <v>-1.024994</v>
      </c>
      <c r="V5466">
        <v>-0.299593</v>
      </c>
      <c r="W5466">
        <v>2.964379E-2</v>
      </c>
      <c r="X5466">
        <v>0.95360650000000002</v>
      </c>
      <c r="Y5466">
        <v>-0.41091640000000001</v>
      </c>
      <c r="Z5466">
        <v>6.8207320000000002E-2</v>
      </c>
      <c r="AA5466">
        <v>0.90911790000000003</v>
      </c>
      <c r="AB5466">
        <v>20</v>
      </c>
      <c r="AC5466">
        <v>0.91590000000002103</v>
      </c>
      <c r="AD5466">
        <v>-8.6632999999999905E-2</v>
      </c>
      <c r="AE5466">
        <v>-0.27549000000000401</v>
      </c>
      <c r="AF5466">
        <v>-0.43757999624640498</v>
      </c>
      <c r="AG5466">
        <v>-8.6632999999999905E-2</v>
      </c>
      <c r="AH5466">
        <v>0.84170272425576098</v>
      </c>
      <c r="AI5466">
        <v>95.217906726216995</v>
      </c>
      <c r="AJ5466">
        <v>117.468782644155</v>
      </c>
      <c r="AK5466">
        <v>0.95259907926869902</v>
      </c>
    </row>
    <row r="5467" spans="1:37" x14ac:dyDescent="0.2">
      <c r="A5467" t="str">
        <f>"20200111153540548"</f>
        <v>20200111153540548</v>
      </c>
      <c r="B5467" t="str">
        <f>"1578728140540817"</f>
        <v>1578728140540817</v>
      </c>
      <c r="C5467" t="s">
        <v>37</v>
      </c>
      <c r="D5467">
        <v>4.6752649999999996</v>
      </c>
      <c r="E5467">
        <v>0.45069490000000001</v>
      </c>
      <c r="F5467" t="s">
        <v>71</v>
      </c>
      <c r="G5467">
        <v>-279.91489999999999</v>
      </c>
      <c r="H5467" s="1">
        <v>-3.6804349999999999E-6</v>
      </c>
      <c r="I5467">
        <v>-59.150329999999997</v>
      </c>
      <c r="J5467">
        <v>-292.84480000000002</v>
      </c>
      <c r="K5467">
        <v>1.1083499999999999</v>
      </c>
      <c r="L5467">
        <v>-54.631900000000002</v>
      </c>
      <c r="M5467">
        <v>0.72019239999999995</v>
      </c>
      <c r="N5467">
        <v>0</v>
      </c>
      <c r="O5467">
        <v>-0.69373890000000005</v>
      </c>
      <c r="P5467">
        <v>0.89458530000000003</v>
      </c>
      <c r="Q5467">
        <v>2.544602E-2</v>
      </c>
      <c r="R5467">
        <v>-0.44617250000000003</v>
      </c>
      <c r="S5467">
        <v>2.8587950000000002</v>
      </c>
      <c r="T5467">
        <v>-0.24326929999999899</v>
      </c>
      <c r="U5467">
        <v>-1.0103150000000001</v>
      </c>
      <c r="V5467">
        <v>-0.29960529999999902</v>
      </c>
      <c r="W5467">
        <v>2.9025120000000001E-2</v>
      </c>
      <c r="X5467">
        <v>0.95362159999999996</v>
      </c>
      <c r="Y5467">
        <v>-0.41112669999999901</v>
      </c>
      <c r="Z5467">
        <v>6.7949469999999998E-2</v>
      </c>
      <c r="AA5467">
        <v>0.90904219999999902</v>
      </c>
      <c r="AB5467">
        <v>20</v>
      </c>
      <c r="AC5467">
        <v>12.9299</v>
      </c>
      <c r="AD5467">
        <v>-1.108353680435</v>
      </c>
      <c r="AE5467">
        <v>-4.5184300000000004</v>
      </c>
      <c r="AF5467">
        <v>-5.6787900880531597</v>
      </c>
      <c r="AG5467">
        <v>-1.108353680435</v>
      </c>
      <c r="AH5467">
        <v>12.3659570888458</v>
      </c>
      <c r="AI5467">
        <v>94.656538917656704</v>
      </c>
      <c r="AJ5467">
        <v>114.66589816767799</v>
      </c>
      <c r="AK5467">
        <v>13.6526187769336</v>
      </c>
    </row>
    <row r="5468" spans="1:37" x14ac:dyDescent="0.2">
      <c r="A5468" t="str">
        <f>"20200111153540571"</f>
        <v>20200111153540571</v>
      </c>
      <c r="B5468" t="str">
        <f>"1578728140561312"</f>
        <v>1578728140561312</v>
      </c>
      <c r="C5468" t="s">
        <v>37</v>
      </c>
      <c r="D5468">
        <v>4.6583100000000002</v>
      </c>
      <c r="E5468">
        <v>0.45078069999999998</v>
      </c>
      <c r="F5468" t="s">
        <v>71</v>
      </c>
      <c r="G5468">
        <v>-279.91399999999999</v>
      </c>
      <c r="H5468" s="1">
        <v>-3.68381399999999E-6</v>
      </c>
      <c r="I5468">
        <v>-59.133240000000001</v>
      </c>
      <c r="J5468">
        <v>-292.69240000000002</v>
      </c>
      <c r="K5468">
        <v>1.1083909999999999</v>
      </c>
      <c r="L5468">
        <v>-54.766390000000001</v>
      </c>
      <c r="M5468">
        <v>0.72562769999999899</v>
      </c>
      <c r="N5468">
        <v>0</v>
      </c>
      <c r="O5468">
        <v>-0.68805349999999998</v>
      </c>
      <c r="P5468">
        <v>0.89799089999999904</v>
      </c>
      <c r="Q5468">
        <v>2.458865E-2</v>
      </c>
      <c r="R5468">
        <v>-0.43932700000000002</v>
      </c>
      <c r="S5468">
        <v>2.8633730000000002</v>
      </c>
      <c r="T5468">
        <v>-0.2454308</v>
      </c>
      <c r="U5468">
        <v>-0.99676509999999996</v>
      </c>
      <c r="V5468">
        <v>-0.29939779999999999</v>
      </c>
      <c r="W5468">
        <v>2.797173E-2</v>
      </c>
      <c r="X5468">
        <v>0.95371819999999896</v>
      </c>
      <c r="Y5468">
        <v>-0.40821649999999998</v>
      </c>
      <c r="Z5468">
        <v>6.8092429999999995E-2</v>
      </c>
      <c r="AA5468">
        <v>0.91034210000000004</v>
      </c>
      <c r="AB5468">
        <v>21</v>
      </c>
      <c r="AC5468">
        <v>12.7784</v>
      </c>
      <c r="AD5468">
        <v>-1.108394683814</v>
      </c>
      <c r="AE5468">
        <v>-4.3668500000000003</v>
      </c>
      <c r="AF5468">
        <v>-5.5860141887722996</v>
      </c>
      <c r="AG5468">
        <v>-1.108394683814</v>
      </c>
      <c r="AH5468">
        <v>12.1951163276374</v>
      </c>
      <c r="AI5468">
        <v>94.723745172273894</v>
      </c>
      <c r="AJ5468">
        <v>114.610307572849</v>
      </c>
      <c r="AK5468">
        <v>13.459307394397401</v>
      </c>
    </row>
    <row r="5469" spans="1:37" x14ac:dyDescent="0.2">
      <c r="A5469" t="str">
        <f>"20200111153540592"</f>
        <v>20200111153540592</v>
      </c>
      <c r="B5469" t="str">
        <f>"1578728140580835"</f>
        <v>1578728140580835</v>
      </c>
      <c r="C5469" t="s">
        <v>37</v>
      </c>
      <c r="D5469">
        <v>4.6762410000000001</v>
      </c>
      <c r="E5469">
        <v>0.45097959999999898</v>
      </c>
      <c r="F5469" t="s">
        <v>71</v>
      </c>
      <c r="G5469">
        <v>-279.84039999999999</v>
      </c>
      <c r="H5469" s="1">
        <v>-3.6520080000000002E-6</v>
      </c>
      <c r="I5469">
        <v>-59.1342199999999</v>
      </c>
      <c r="J5469">
        <v>-292.54309999999998</v>
      </c>
      <c r="K5469">
        <v>1.108422</v>
      </c>
      <c r="L5469">
        <v>-54.896180000000001</v>
      </c>
      <c r="M5469">
        <v>0.73087559999999996</v>
      </c>
      <c r="N5469">
        <v>0</v>
      </c>
      <c r="O5469">
        <v>-0.68247769999999996</v>
      </c>
      <c r="P5469">
        <v>0.90074529999999997</v>
      </c>
      <c r="Q5469">
        <v>2.4522789999999999E-2</v>
      </c>
      <c r="R5469">
        <v>-0.4336547</v>
      </c>
      <c r="S5469">
        <v>2.8703310000000002</v>
      </c>
      <c r="T5469">
        <v>-0.247544299999999</v>
      </c>
      <c r="U5469">
        <v>-0.97549439999999998</v>
      </c>
      <c r="V5469">
        <v>-0.29811149999999997</v>
      </c>
      <c r="W5469">
        <v>2.775391E-2</v>
      </c>
      <c r="X5469">
        <v>0.95412750000000002</v>
      </c>
      <c r="Y5469">
        <v>-0.40791430000000001</v>
      </c>
      <c r="Z5469">
        <v>6.8311499999999997E-2</v>
      </c>
      <c r="AA5469">
        <v>0.91046109999999902</v>
      </c>
      <c r="AB5469">
        <v>21</v>
      </c>
      <c r="AC5469">
        <v>12.702699999999901</v>
      </c>
      <c r="AD5469">
        <v>-1.108425652008</v>
      </c>
      <c r="AE5469">
        <v>-4.2380399999999803</v>
      </c>
      <c r="AF5469">
        <v>-5.5340385054410897</v>
      </c>
      <c r="AG5469">
        <v>-1.108425652008</v>
      </c>
      <c r="AH5469">
        <v>12.093874398231501</v>
      </c>
      <c r="AI5469">
        <v>94.764071769557404</v>
      </c>
      <c r="AJ5469">
        <v>114.588368534567</v>
      </c>
      <c r="AK5469">
        <v>13.346010174053299</v>
      </c>
    </row>
    <row r="5470" spans="1:37" x14ac:dyDescent="0.2">
      <c r="A5470" t="str">
        <f>"20200111153540608"</f>
        <v>20200111153540608</v>
      </c>
      <c r="B5470" t="str">
        <f>"1578728140601328"</f>
        <v>1578728140601328</v>
      </c>
      <c r="C5470" t="s">
        <v>37</v>
      </c>
      <c r="D5470">
        <v>4.6341060000000001</v>
      </c>
      <c r="E5470">
        <v>0.45105079999999997</v>
      </c>
      <c r="F5470" t="s">
        <v>71</v>
      </c>
      <c r="G5470">
        <v>-279.66899999999998</v>
      </c>
      <c r="H5470" s="1">
        <v>-3.566712E-6</v>
      </c>
      <c r="I5470">
        <v>-59.187429999999999</v>
      </c>
      <c r="J5470">
        <v>-292.4348</v>
      </c>
      <c r="K5470">
        <v>1.108444</v>
      </c>
      <c r="L5470">
        <v>-54.988979999999998</v>
      </c>
      <c r="M5470">
        <v>0.7346298</v>
      </c>
      <c r="N5470">
        <v>0</v>
      </c>
      <c r="O5470">
        <v>-0.67843580000000003</v>
      </c>
      <c r="P5470">
        <v>0.90260189999999996</v>
      </c>
      <c r="Q5470">
        <v>2.4694420000000002E-2</v>
      </c>
      <c r="R5470">
        <v>-0.42976729999999902</v>
      </c>
      <c r="S5470">
        <v>2.8758539999999999</v>
      </c>
      <c r="T5470">
        <v>-0.247602299999999</v>
      </c>
      <c r="U5470">
        <v>-0.95858759999999998</v>
      </c>
      <c r="V5470">
        <v>-0.29696040000000001</v>
      </c>
      <c r="W5470">
        <v>2.7833509999999999E-2</v>
      </c>
      <c r="X5470">
        <v>0.954484</v>
      </c>
      <c r="Y5470">
        <v>-0.40823219999999999</v>
      </c>
      <c r="Z5470">
        <v>6.8078360000000004E-2</v>
      </c>
      <c r="AA5470">
        <v>0.91033609999999898</v>
      </c>
      <c r="AB5470">
        <v>21</v>
      </c>
      <c r="AC5470">
        <v>12.765799999999899</v>
      </c>
      <c r="AD5470">
        <v>-1.108447566712</v>
      </c>
      <c r="AE5470">
        <v>-4.1984500000000002</v>
      </c>
      <c r="AF5470">
        <v>-5.5389079440690203</v>
      </c>
      <c r="AG5470">
        <v>-1.108447566712</v>
      </c>
      <c r="AH5470">
        <v>12.144161997024799</v>
      </c>
      <c r="AI5470">
        <v>94.747195272130696</v>
      </c>
      <c r="AJ5470">
        <v>114.51755572538001</v>
      </c>
      <c r="AK5470">
        <v>13.3936114558771</v>
      </c>
    </row>
    <row r="5471" spans="1:37" x14ac:dyDescent="0.2">
      <c r="A5471" t="str">
        <f>"20200111153540621"</f>
        <v>20200111153540621</v>
      </c>
      <c r="B5471" t="str">
        <f>"1578728140611089"</f>
        <v>1578728140611089</v>
      </c>
      <c r="C5471" t="s">
        <v>37</v>
      </c>
      <c r="D5471">
        <v>4.6515230000000001</v>
      </c>
      <c r="E5471">
        <v>0.4511674</v>
      </c>
      <c r="F5471" t="s">
        <v>71</v>
      </c>
      <c r="G5471">
        <v>-279.46899999999999</v>
      </c>
      <c r="H5471" s="1">
        <v>-3.4668759999999898E-6</v>
      </c>
      <c r="I5471">
        <v>-59.250929999999997</v>
      </c>
      <c r="J5471">
        <v>-292.33440000000002</v>
      </c>
      <c r="K5471">
        <v>1.1084590000000001</v>
      </c>
      <c r="L5471">
        <v>-55.074280000000002</v>
      </c>
      <c r="M5471">
        <v>0.73807509999999998</v>
      </c>
      <c r="N5471">
        <v>0</v>
      </c>
      <c r="O5471">
        <v>-0.67468680000000003</v>
      </c>
      <c r="P5471">
        <v>0.90431729999999999</v>
      </c>
      <c r="Q5471">
        <v>2.486565E-2</v>
      </c>
      <c r="R5471">
        <v>-0.42613659999999998</v>
      </c>
      <c r="S5471">
        <v>2.8797609999999998</v>
      </c>
      <c r="T5471">
        <v>-0.2461901</v>
      </c>
      <c r="U5471">
        <v>-0.94659419999999905</v>
      </c>
      <c r="V5471">
        <v>-0.29593639999999999</v>
      </c>
      <c r="W5471">
        <v>2.792598E-2</v>
      </c>
      <c r="X5471">
        <v>0.95479939999999996</v>
      </c>
      <c r="Y5471">
        <v>-0.40742299999999998</v>
      </c>
      <c r="Z5471">
        <v>6.7421579999999995E-2</v>
      </c>
      <c r="AA5471">
        <v>0.91074739999999998</v>
      </c>
      <c r="AB5471">
        <v>21</v>
      </c>
      <c r="AC5471">
        <v>12.865399999999999</v>
      </c>
      <c r="AD5471">
        <v>-1.1084624668759999</v>
      </c>
      <c r="AE5471">
        <v>-4.1766500000000004</v>
      </c>
      <c r="AF5471">
        <v>-5.5602145042719497</v>
      </c>
      <c r="AG5471">
        <v>-1.1084624668759999</v>
      </c>
      <c r="AH5471">
        <v>12.2316839798325</v>
      </c>
      <c r="AI5471">
        <v>94.716137544742097</v>
      </c>
      <c r="AJ5471">
        <v>114.445345145397</v>
      </c>
      <c r="AK5471">
        <v>13.4817939220447</v>
      </c>
    </row>
    <row r="5472" spans="1:37" x14ac:dyDescent="0.2">
      <c r="A5472" t="str">
        <f>"20200111153540634"</f>
        <v>20200111153540634</v>
      </c>
      <c r="B5472" t="str">
        <f>"1578728140631584"</f>
        <v>1578728140631584</v>
      </c>
      <c r="C5472" t="s">
        <v>37</v>
      </c>
      <c r="D5472">
        <v>4.6334299999999997</v>
      </c>
      <c r="E5472">
        <v>0.45139289999999999</v>
      </c>
      <c r="F5472" t="s">
        <v>71</v>
      </c>
      <c r="G5472">
        <v>-279.28960000000001</v>
      </c>
      <c r="H5472" s="1">
        <v>-3.3774519999999998E-6</v>
      </c>
      <c r="I5472">
        <v>-59.307419999999901</v>
      </c>
      <c r="J5472">
        <v>-292.24099999999999</v>
      </c>
      <c r="K5472">
        <v>1.108473</v>
      </c>
      <c r="L5472">
        <v>-55.152650000000001</v>
      </c>
      <c r="M5472">
        <v>0.74124159999999994</v>
      </c>
      <c r="N5472">
        <v>0</v>
      </c>
      <c r="O5472">
        <v>-0.671207199999999</v>
      </c>
      <c r="P5472">
        <v>0.90582469999999904</v>
      </c>
      <c r="Q5472">
        <v>2.4888670000000002E-2</v>
      </c>
      <c r="R5472">
        <v>-0.42292089999999999</v>
      </c>
      <c r="S5472">
        <v>2.8832399999999998</v>
      </c>
      <c r="T5472">
        <v>-0.2450001</v>
      </c>
      <c r="U5472">
        <v>-0.93563839999999998</v>
      </c>
      <c r="V5472">
        <v>-0.2948366</v>
      </c>
      <c r="W5472">
        <v>2.7884510000000001E-2</v>
      </c>
      <c r="X5472">
        <v>0.95514080000000001</v>
      </c>
      <c r="Y5472">
        <v>-0.40662409999999999</v>
      </c>
      <c r="Z5472">
        <v>6.6845950000000001E-2</v>
      </c>
      <c r="AA5472">
        <v>0.91114680000000003</v>
      </c>
      <c r="AB5472">
        <v>21</v>
      </c>
      <c r="AC5472">
        <v>12.9513999999999</v>
      </c>
      <c r="AD5472">
        <v>-1.1084763774519999</v>
      </c>
      <c r="AE5472">
        <v>-4.1547699999999903</v>
      </c>
      <c r="AF5472">
        <v>-5.5764646570895096</v>
      </c>
      <c r="AG5472">
        <v>-1.1084763774519999</v>
      </c>
      <c r="AH5472">
        <v>12.307345173512401</v>
      </c>
      <c r="AI5472">
        <v>94.689922110838395</v>
      </c>
      <c r="AJ5472">
        <v>114.375305547924</v>
      </c>
      <c r="AK5472">
        <v>13.557153948049599</v>
      </c>
    </row>
    <row r="5473" spans="1:37" x14ac:dyDescent="0.2">
      <c r="A5473" t="str">
        <f>"20200111153540649"</f>
        <v>20200111153540649</v>
      </c>
      <c r="B5473" t="str">
        <f>"1578728140641344"</f>
        <v>1578728140641344</v>
      </c>
      <c r="C5473" t="s">
        <v>37</v>
      </c>
      <c r="D5473">
        <v>4.6223559999999999</v>
      </c>
      <c r="E5473">
        <v>0.45149329999999999</v>
      </c>
      <c r="F5473" t="s">
        <v>71</v>
      </c>
      <c r="G5473">
        <v>-279.15559999999999</v>
      </c>
      <c r="H5473" s="1">
        <v>-3.3093079999999899E-6</v>
      </c>
      <c r="I5473">
        <v>-59.355559999999997</v>
      </c>
      <c r="J5473">
        <v>-292.14249999999998</v>
      </c>
      <c r="K5473">
        <v>1.108481</v>
      </c>
      <c r="L5473">
        <v>-55.234529999999999</v>
      </c>
      <c r="M5473">
        <v>0.74454500000000001</v>
      </c>
      <c r="N5473">
        <v>0</v>
      </c>
      <c r="O5473">
        <v>-0.66754159999999996</v>
      </c>
      <c r="P5473">
        <v>0.90713299999999997</v>
      </c>
      <c r="Q5473">
        <v>2.406755E-2</v>
      </c>
      <c r="R5473">
        <v>-0.42015559999999902</v>
      </c>
      <c r="S5473">
        <v>2.88586399999999</v>
      </c>
      <c r="T5473">
        <v>-0.2444636</v>
      </c>
      <c r="U5473">
        <v>-0.92691039999999902</v>
      </c>
      <c r="V5473">
        <v>-0.2930432</v>
      </c>
      <c r="W5473">
        <v>2.7006499999999999E-2</v>
      </c>
      <c r="X5473">
        <v>0.9557177</v>
      </c>
      <c r="Y5473">
        <v>-0.404885099999999</v>
      </c>
      <c r="Z5473">
        <v>6.6406469999999995E-2</v>
      </c>
      <c r="AA5473">
        <v>0.91195300000000001</v>
      </c>
      <c r="AB5473">
        <v>21</v>
      </c>
      <c r="AC5473">
        <v>12.986899999999901</v>
      </c>
      <c r="AD5473">
        <v>-1.1084843093079999</v>
      </c>
      <c r="AE5473">
        <v>-4.1210299999999904</v>
      </c>
      <c r="AF5473">
        <v>-5.5642892901719998</v>
      </c>
      <c r="AG5473">
        <v>-1.1084843093079999</v>
      </c>
      <c r="AH5473">
        <v>12.3388757401571</v>
      </c>
      <c r="AI5473">
        <v>94.6817744600922</v>
      </c>
      <c r="AJ5473">
        <v>114.27327683313599</v>
      </c>
      <c r="AK5473">
        <v>13.5807918509836</v>
      </c>
    </row>
    <row r="5474" spans="1:37" x14ac:dyDescent="0.2">
      <c r="A5474" t="str">
        <f>"20200111153540662"</f>
        <v>20200111153540662</v>
      </c>
      <c r="B5474" t="str">
        <f>"1578728140651104"</f>
        <v>1578728140651104</v>
      </c>
      <c r="C5474" t="s">
        <v>37</v>
      </c>
      <c r="D5474">
        <v>4.6510199999999999</v>
      </c>
      <c r="E5474">
        <v>0.45154339999999998</v>
      </c>
      <c r="F5474" t="s">
        <v>71</v>
      </c>
      <c r="G5474">
        <v>-279.15989999999999</v>
      </c>
      <c r="H5474" s="1">
        <v>-3.3093639999999999E-6</v>
      </c>
      <c r="I5474">
        <v>-59.36354</v>
      </c>
      <c r="J5474">
        <v>-292.04590000000002</v>
      </c>
      <c r="K5474">
        <v>1.1084879999999999</v>
      </c>
      <c r="L5474">
        <v>-55.314209999999903</v>
      </c>
      <c r="M5474">
        <v>0.74775419999999904</v>
      </c>
      <c r="N5474">
        <v>0</v>
      </c>
      <c r="O5474">
        <v>-0.66394529999999996</v>
      </c>
      <c r="P5474">
        <v>0.90891379999999999</v>
      </c>
      <c r="Q5474">
        <v>2.320707E-2</v>
      </c>
      <c r="R5474">
        <v>-0.41633779999999998</v>
      </c>
      <c r="S5474">
        <v>2.888245</v>
      </c>
      <c r="T5474">
        <v>-0.246603499999999</v>
      </c>
      <c r="U5474">
        <v>-0.91857909999999898</v>
      </c>
      <c r="V5474">
        <v>-0.292460099999999</v>
      </c>
      <c r="W5474">
        <v>2.6076999999999999E-2</v>
      </c>
      <c r="X5474">
        <v>0.9559221</v>
      </c>
      <c r="Y5474">
        <v>-0.40304770000000001</v>
      </c>
      <c r="Z5474">
        <v>6.6691120000000007E-2</v>
      </c>
      <c r="AA5474">
        <v>0.91274580000000005</v>
      </c>
      <c r="AB5474">
        <v>21</v>
      </c>
      <c r="AC5474">
        <v>12.885999999999999</v>
      </c>
      <c r="AD5474">
        <v>-1.1084913093639901</v>
      </c>
      <c r="AE5474">
        <v>-4.0493300000000003</v>
      </c>
      <c r="AF5474">
        <v>-5.4908269153060996</v>
      </c>
      <c r="AG5474">
        <v>-1.1084913093639901</v>
      </c>
      <c r="AH5474">
        <v>12.2418948172415</v>
      </c>
      <c r="AI5474">
        <v>94.722995653695406</v>
      </c>
      <c r="AJ5474">
        <v>114.157547847533</v>
      </c>
      <c r="AK5474">
        <v>13.462612001881</v>
      </c>
    </row>
    <row r="5475" spans="1:37" x14ac:dyDescent="0.2">
      <c r="A5475" t="str">
        <f>"20200111153540676"</f>
        <v>20200111153540676</v>
      </c>
      <c r="B5475" t="str">
        <f>"1578728140671600"</f>
        <v>1578728140671600</v>
      </c>
      <c r="C5475" t="s">
        <v>37</v>
      </c>
      <c r="D5475">
        <v>4.6285989999999897</v>
      </c>
      <c r="E5475">
        <v>0.45170749999999998</v>
      </c>
      <c r="F5475" t="s">
        <v>71</v>
      </c>
      <c r="G5475">
        <v>-279.1771</v>
      </c>
      <c r="H5475" s="1">
        <v>-3.3198800000000001E-6</v>
      </c>
      <c r="I5475">
        <v>-59.34948</v>
      </c>
      <c r="J5475">
        <v>-291.93979999999999</v>
      </c>
      <c r="K5475">
        <v>1.108495</v>
      </c>
      <c r="L5475">
        <v>-55.400819999999896</v>
      </c>
      <c r="M5475">
        <v>0.75123419999999996</v>
      </c>
      <c r="N5475">
        <v>0</v>
      </c>
      <c r="O5475">
        <v>-0.66000599999999998</v>
      </c>
      <c r="P5475">
        <v>0.91087790000000002</v>
      </c>
      <c r="Q5475">
        <v>2.2631189999999999E-2</v>
      </c>
      <c r="R5475">
        <v>-0.41205509999999901</v>
      </c>
      <c r="S5475">
        <v>2.8916629999999999</v>
      </c>
      <c r="T5475">
        <v>-0.249082</v>
      </c>
      <c r="U5475">
        <v>-0.9067383</v>
      </c>
      <c r="V5475">
        <v>-0.29193849999999999</v>
      </c>
      <c r="W5475">
        <v>2.5426339999999999E-2</v>
      </c>
      <c r="X5475">
        <v>0.95609900000000003</v>
      </c>
      <c r="Y5475">
        <v>-0.40190340000000002</v>
      </c>
      <c r="Z5475">
        <v>6.7062640000000007E-2</v>
      </c>
      <c r="AA5475">
        <v>0.91322300000000001</v>
      </c>
      <c r="AB5475">
        <v>21</v>
      </c>
      <c r="AC5475">
        <v>12.762699999999899</v>
      </c>
      <c r="AD5475">
        <v>-1.10849831987999</v>
      </c>
      <c r="AE5475">
        <v>-3.9486600000000101</v>
      </c>
      <c r="AF5475">
        <v>-5.4198830458421501</v>
      </c>
      <c r="AG5475">
        <v>-1.10849831987999</v>
      </c>
      <c r="AH5475">
        <v>12.110776436401</v>
      </c>
      <c r="AI5475">
        <v>94.775701296094496</v>
      </c>
      <c r="AJ5475">
        <v>114.10974012360499</v>
      </c>
      <c r="AK5475">
        <v>13.3144585563315</v>
      </c>
    </row>
    <row r="5476" spans="1:37" x14ac:dyDescent="0.2">
      <c r="A5476" t="str">
        <f>"20200111153540690"</f>
        <v>20200111153540690</v>
      </c>
      <c r="B5476" t="str">
        <f>"1578728140681360"</f>
        <v>1578728140681360</v>
      </c>
      <c r="C5476" t="s">
        <v>37</v>
      </c>
      <c r="D5476">
        <v>4.6566169999999998</v>
      </c>
      <c r="E5476">
        <v>0.451793</v>
      </c>
      <c r="F5476" t="s">
        <v>71</v>
      </c>
      <c r="G5476">
        <v>-279.15820000000002</v>
      </c>
      <c r="H5476" s="1">
        <v>-3.3118289999999999E-6</v>
      </c>
      <c r="I5476">
        <v>-59.349159999999998</v>
      </c>
      <c r="J5476">
        <v>-291.83940000000001</v>
      </c>
      <c r="K5476">
        <v>1.1084959999999999</v>
      </c>
      <c r="L5476">
        <v>-55.481719999999903</v>
      </c>
      <c r="M5476">
        <v>0.7544807</v>
      </c>
      <c r="N5476">
        <v>0</v>
      </c>
      <c r="O5476">
        <v>-0.65629300000000002</v>
      </c>
      <c r="P5476">
        <v>0.91270289999999998</v>
      </c>
      <c r="Q5476">
        <v>2.2196770000000001E-2</v>
      </c>
      <c r="R5476">
        <v>-0.40802119999999997</v>
      </c>
      <c r="S5476">
        <v>2.895203</v>
      </c>
      <c r="T5476">
        <v>-0.2510886</v>
      </c>
      <c r="U5476">
        <v>-0.89434809999999998</v>
      </c>
      <c r="V5476">
        <v>-0.29145529999999997</v>
      </c>
      <c r="W5476">
        <v>2.4922960000000001E-2</v>
      </c>
      <c r="X5476">
        <v>0.95625969999999905</v>
      </c>
      <c r="Y5476">
        <v>-0.4012348</v>
      </c>
      <c r="Z5476">
        <v>6.7333390000000007E-2</v>
      </c>
      <c r="AA5476">
        <v>0.913496999999999</v>
      </c>
      <c r="AB5476">
        <v>21</v>
      </c>
      <c r="AC5476">
        <v>12.681199999999899</v>
      </c>
      <c r="AD5476">
        <v>-1.1084993118289901</v>
      </c>
      <c r="AE5476">
        <v>-3.8674400000000002</v>
      </c>
      <c r="AF5476">
        <v>-5.3672562846475698</v>
      </c>
      <c r="AG5476">
        <v>-1.1084993118289901</v>
      </c>
      <c r="AH5476">
        <v>12.022082857464801</v>
      </c>
      <c r="AI5476">
        <v>94.812693382411297</v>
      </c>
      <c r="AJ5476">
        <v>114.05836281921999</v>
      </c>
      <c r="AK5476">
        <v>13.2123687119745</v>
      </c>
    </row>
    <row r="5477" spans="1:37" x14ac:dyDescent="0.2">
      <c r="A5477" t="str">
        <f>"20200111153540704"</f>
        <v>20200111153540704</v>
      </c>
      <c r="B5477" t="str">
        <f>"1578728140700881"</f>
        <v>1578728140700881</v>
      </c>
      <c r="C5477" t="s">
        <v>37</v>
      </c>
      <c r="D5477">
        <v>4.6444599999999996</v>
      </c>
      <c r="E5477">
        <v>0.45192729999999998</v>
      </c>
      <c r="F5477" t="s">
        <v>71</v>
      </c>
      <c r="G5477">
        <v>-279.09870000000001</v>
      </c>
      <c r="H5477" s="1">
        <v>-3.2842179999999999E-6</v>
      </c>
      <c r="I5477">
        <v>-59.358559999999997</v>
      </c>
      <c r="J5477">
        <v>-291.73939999999999</v>
      </c>
      <c r="K5477">
        <v>1.108495</v>
      </c>
      <c r="L5477">
        <v>-55.561799999999998</v>
      </c>
      <c r="M5477">
        <v>0.75768019999999903</v>
      </c>
      <c r="N5477">
        <v>0</v>
      </c>
      <c r="O5477">
        <v>-0.65259709999999904</v>
      </c>
      <c r="P5477">
        <v>0.91425559999999995</v>
      </c>
      <c r="Q5477">
        <v>2.197122E-2</v>
      </c>
      <c r="R5477">
        <v>-0.40454200000000001</v>
      </c>
      <c r="S5477">
        <v>2.8987430000000001</v>
      </c>
      <c r="T5477">
        <v>-0.2522028</v>
      </c>
      <c r="U5477">
        <v>-0.88204959999999899</v>
      </c>
      <c r="V5477">
        <v>-0.29042390000000001</v>
      </c>
      <c r="W5477">
        <v>2.463885E-2</v>
      </c>
      <c r="X5477">
        <v>0.95658080000000001</v>
      </c>
      <c r="Y5477">
        <v>-0.40060259999999998</v>
      </c>
      <c r="Z5477">
        <v>6.7362350000000001E-2</v>
      </c>
      <c r="AA5477">
        <v>0.91377229999999998</v>
      </c>
      <c r="AB5477">
        <v>21</v>
      </c>
      <c r="AC5477">
        <v>12.640699999999899</v>
      </c>
      <c r="AD5477">
        <v>-1.108498284218</v>
      </c>
      <c r="AE5477">
        <v>-3.7967599999999901</v>
      </c>
      <c r="AF5477">
        <v>-5.33502416148833</v>
      </c>
      <c r="AG5477">
        <v>-1.108498284218</v>
      </c>
      <c r="AH5477">
        <v>11.9711496051801</v>
      </c>
      <c r="AI5477">
        <v>94.8344878310685</v>
      </c>
      <c r="AJ5477">
        <v>114.02046767810999</v>
      </c>
      <c r="AK5477">
        <v>13.1529340498378</v>
      </c>
    </row>
    <row r="5478" spans="1:37" x14ac:dyDescent="0.2">
      <c r="A5478" t="str">
        <f>"20200111153540717"</f>
        <v>20200111153540717</v>
      </c>
      <c r="B5478" t="str">
        <f>"1578728140711616"</f>
        <v>1578728140711616</v>
      </c>
      <c r="C5478" t="s">
        <v>37</v>
      </c>
      <c r="D5478">
        <v>4.635554</v>
      </c>
      <c r="E5478">
        <v>0.4519898</v>
      </c>
      <c r="F5478" t="s">
        <v>71</v>
      </c>
      <c r="G5478">
        <v>-279.01729999999998</v>
      </c>
      <c r="H5478" s="1">
        <v>-3.2435660000000001E-6</v>
      </c>
      <c r="I5478">
        <v>-59.384659999999997</v>
      </c>
      <c r="J5478">
        <v>-291.63889999999998</v>
      </c>
      <c r="K5478">
        <v>1.1084940000000001</v>
      </c>
      <c r="L5478">
        <v>-55.641539999999999</v>
      </c>
      <c r="M5478">
        <v>0.76085519999999995</v>
      </c>
      <c r="N5478">
        <v>0</v>
      </c>
      <c r="O5478">
        <v>-0.64889319999999995</v>
      </c>
      <c r="P5478">
        <v>0.91610319999999901</v>
      </c>
      <c r="Q5478">
        <v>2.2040669999999998E-2</v>
      </c>
      <c r="R5478">
        <v>-0.40033619999999998</v>
      </c>
      <c r="S5478">
        <v>2.9016419999999998</v>
      </c>
      <c r="T5478">
        <v>-0.2528263</v>
      </c>
      <c r="U5478">
        <v>-0.87191770000000002</v>
      </c>
      <c r="V5478">
        <v>-0.29015289999999999</v>
      </c>
      <c r="W5478">
        <v>2.4641710000000001E-2</v>
      </c>
      <c r="X5478">
        <v>0.95666299999999904</v>
      </c>
      <c r="Y5478">
        <v>-0.39931250000000001</v>
      </c>
      <c r="Z5478">
        <v>6.7232440000000004E-2</v>
      </c>
      <c r="AA5478">
        <v>0.9143464</v>
      </c>
      <c r="AB5478">
        <v>21</v>
      </c>
      <c r="AC5478">
        <v>12.621600000000001</v>
      </c>
      <c r="AD5478">
        <v>-1.1084972435660001</v>
      </c>
      <c r="AE5478">
        <v>-3.74311999999999</v>
      </c>
      <c r="AF5478">
        <v>-5.3045886387376502</v>
      </c>
      <c r="AG5478">
        <v>-1.1084972435660001</v>
      </c>
      <c r="AH5478">
        <v>11.9476119396684</v>
      </c>
      <c r="AI5478">
        <v>94.846951903300095</v>
      </c>
      <c r="AJ5478">
        <v>113.940615913307</v>
      </c>
      <c r="AK5478">
        <v>13.1191790073207</v>
      </c>
    </row>
    <row r="5479" spans="1:37" x14ac:dyDescent="0.2">
      <c r="A5479" t="str">
        <f>"20200111153540730"</f>
        <v>20200111153540730</v>
      </c>
      <c r="B5479" t="str">
        <f>"1578728140721377"</f>
        <v>1578728140721377</v>
      </c>
      <c r="C5479" t="s">
        <v>37</v>
      </c>
      <c r="D5479">
        <v>4.6352029999999997</v>
      </c>
      <c r="E5479">
        <v>0.45209499999999903</v>
      </c>
      <c r="F5479" t="s">
        <v>71</v>
      </c>
      <c r="G5479">
        <v>-278.885999999999</v>
      </c>
      <c r="H5479" s="1">
        <v>-3.1812059999999999E-6</v>
      </c>
      <c r="I5479">
        <v>-59.411900000000003</v>
      </c>
      <c r="J5479">
        <v>-291.54860000000002</v>
      </c>
      <c r="K5479">
        <v>1.1084940000000001</v>
      </c>
      <c r="L5479">
        <v>-55.712249999999997</v>
      </c>
      <c r="M5479">
        <v>0.76366279999999997</v>
      </c>
      <c r="N5479">
        <v>0</v>
      </c>
      <c r="O5479">
        <v>-0.64558729999999998</v>
      </c>
      <c r="P5479">
        <v>0.91771069999999999</v>
      </c>
      <c r="Q5479">
        <v>2.1968310000000001E-2</v>
      </c>
      <c r="R5479">
        <v>-0.39664179999999999</v>
      </c>
      <c r="S5479">
        <v>2.9053960000000001</v>
      </c>
      <c r="T5479">
        <v>-0.25254179999999998</v>
      </c>
      <c r="U5479">
        <v>-0.85897829999999997</v>
      </c>
      <c r="V5479">
        <v>-0.28985870000000002</v>
      </c>
      <c r="W5479">
        <v>2.451443E-2</v>
      </c>
      <c r="X5479">
        <v>0.95675549999999998</v>
      </c>
      <c r="Y5479">
        <v>-0.39942169999999999</v>
      </c>
      <c r="Z5479">
        <v>6.6937440000000001E-2</v>
      </c>
      <c r="AA5479">
        <v>0.91432029999999997</v>
      </c>
      <c r="AB5479">
        <v>21</v>
      </c>
      <c r="AC5479">
        <v>12.662599999999999</v>
      </c>
      <c r="AD5479">
        <v>-1.108497181206</v>
      </c>
      <c r="AE5479">
        <v>-3.6996500000000001</v>
      </c>
      <c r="AF5479">
        <v>-5.3121181171646299</v>
      </c>
      <c r="AG5479">
        <v>-1.108497181206</v>
      </c>
      <c r="AH5479">
        <v>11.974076288238299</v>
      </c>
      <c r="AI5479">
        <v>94.836919140703301</v>
      </c>
      <c r="AJ5479">
        <v>113.92374466489601</v>
      </c>
      <c r="AK5479">
        <v>13.146325260239101</v>
      </c>
    </row>
    <row r="5480" spans="1:37" x14ac:dyDescent="0.2">
      <c r="A5480" t="str">
        <f>"20200111153540744"</f>
        <v>20200111153540744</v>
      </c>
      <c r="B5480" t="str">
        <f>"1578728140740896"</f>
        <v>1578728140740896</v>
      </c>
      <c r="C5480" t="s">
        <v>37</v>
      </c>
      <c r="D5480">
        <v>4.6515919999999999</v>
      </c>
      <c r="E5480">
        <v>0.45227990000000001</v>
      </c>
      <c r="F5480" t="s">
        <v>71</v>
      </c>
      <c r="G5480">
        <v>-278.77199999999999</v>
      </c>
      <c r="H5480" s="1">
        <v>-3.1268479999999999E-6</v>
      </c>
      <c r="I5480">
        <v>-59.436529999999998</v>
      </c>
      <c r="J5480">
        <v>-291.43849999999998</v>
      </c>
      <c r="K5480">
        <v>1.10849</v>
      </c>
      <c r="L5480">
        <v>-55.797879999999999</v>
      </c>
      <c r="M5480">
        <v>0.76704530000000004</v>
      </c>
      <c r="N5480">
        <v>0</v>
      </c>
      <c r="O5480">
        <v>-0.64156530000000001</v>
      </c>
      <c r="P5480">
        <v>0.9196261</v>
      </c>
      <c r="Q5480">
        <v>2.1490869999999999E-2</v>
      </c>
      <c r="R5480">
        <v>-0.39220690000000002</v>
      </c>
      <c r="S5480">
        <v>2.9085999999999999</v>
      </c>
      <c r="T5480">
        <v>-0.25235099999999999</v>
      </c>
      <c r="U5480">
        <v>-0.84783940000000002</v>
      </c>
      <c r="V5480">
        <v>-0.28945100000000001</v>
      </c>
      <c r="W5480">
        <v>2.3972899999999998E-2</v>
      </c>
      <c r="X5480">
        <v>0.95689259999999998</v>
      </c>
      <c r="Y5480">
        <v>-0.39812540000000002</v>
      </c>
      <c r="Z5480">
        <v>6.6566239999999999E-2</v>
      </c>
      <c r="AA5480">
        <v>0.91491259999999996</v>
      </c>
      <c r="AB5480">
        <v>22</v>
      </c>
      <c r="AC5480">
        <v>12.6664999999999</v>
      </c>
      <c r="AD5480">
        <v>-1.1084931268480001</v>
      </c>
      <c r="AE5480">
        <v>-3.6386499999999899</v>
      </c>
      <c r="AF5480">
        <v>-5.2979897326479399</v>
      </c>
      <c r="AG5480">
        <v>-1.1084931268480001</v>
      </c>
      <c r="AH5480">
        <v>11.965768790083899</v>
      </c>
      <c r="AI5480">
        <v>94.841801328375297</v>
      </c>
      <c r="AJ5480">
        <v>113.881950351234</v>
      </c>
      <c r="AK5480">
        <v>13.1330527661035</v>
      </c>
    </row>
    <row r="5481" spans="1:37" x14ac:dyDescent="0.2">
      <c r="A5481" t="str">
        <f>"20200111153540757"</f>
        <v>20200111153540757</v>
      </c>
      <c r="B5481" t="str">
        <f>"1578728140751632"</f>
        <v>1578728140751632</v>
      </c>
      <c r="C5481" t="s">
        <v>37</v>
      </c>
      <c r="D5481">
        <v>4.6384040000000004</v>
      </c>
      <c r="E5481">
        <v>0.45237539999999998</v>
      </c>
      <c r="F5481" t="s">
        <v>71</v>
      </c>
      <c r="G5481">
        <v>-278.7022</v>
      </c>
      <c r="H5481" s="1">
        <v>-3.0938509999999998E-6</v>
      </c>
      <c r="I5481">
        <v>-59.4503699999999</v>
      </c>
      <c r="J5481">
        <v>-291.33569999999997</v>
      </c>
      <c r="K5481">
        <v>1.108484</v>
      </c>
      <c r="L5481">
        <v>-55.8771699999999</v>
      </c>
      <c r="M5481">
        <v>0.77016430000000002</v>
      </c>
      <c r="N5481">
        <v>0</v>
      </c>
      <c r="O5481">
        <v>-0.63781829999999995</v>
      </c>
      <c r="P5481">
        <v>0.92143390000000003</v>
      </c>
      <c r="Q5481">
        <v>2.108314E-2</v>
      </c>
      <c r="R5481">
        <v>-0.38796239999999999</v>
      </c>
      <c r="S5481">
        <v>2.9119570000000001</v>
      </c>
      <c r="T5481">
        <v>-0.25343929999999998</v>
      </c>
      <c r="U5481">
        <v>-0.83508300000000002</v>
      </c>
      <c r="V5481">
        <v>-0.28919909999999999</v>
      </c>
      <c r="W5481">
        <v>2.3507159999999999E-2</v>
      </c>
      <c r="X5481">
        <v>0.95698030000000001</v>
      </c>
      <c r="Y5481">
        <v>-0.39762399999999998</v>
      </c>
      <c r="Z5481">
        <v>6.6582559999999999E-2</v>
      </c>
      <c r="AA5481">
        <v>0.91512939999999998</v>
      </c>
      <c r="AB5481">
        <v>22</v>
      </c>
      <c r="AC5481">
        <v>12.6334999999999</v>
      </c>
      <c r="AD5481">
        <v>-1.1084870938510001</v>
      </c>
      <c r="AE5481">
        <v>-3.5731999999999999</v>
      </c>
      <c r="AF5481">
        <v>-5.2684629626371198</v>
      </c>
      <c r="AG5481">
        <v>-1.1084870938510001</v>
      </c>
      <c r="AH5481">
        <v>11.924131859328099</v>
      </c>
      <c r="AI5481">
        <v>94.860265035840996</v>
      </c>
      <c r="AJ5481">
        <v>113.837375386337</v>
      </c>
      <c r="AK5481">
        <v>13.083209324342199</v>
      </c>
    </row>
    <row r="5482" spans="1:37" x14ac:dyDescent="0.2">
      <c r="A5482" t="str">
        <f>"20200111153540771"</f>
        <v>20200111153540771</v>
      </c>
      <c r="B5482" t="str">
        <f>"1578728140761393"</f>
        <v>1578728140761393</v>
      </c>
      <c r="C5482" t="s">
        <v>37</v>
      </c>
      <c r="D5482">
        <v>4.6308980000000002</v>
      </c>
      <c r="E5482">
        <v>0.45247209999999899</v>
      </c>
      <c r="F5482" t="s">
        <v>71</v>
      </c>
      <c r="G5482">
        <v>-278.63240000000002</v>
      </c>
      <c r="H5482" s="1">
        <v>-3.061667E-6</v>
      </c>
      <c r="I5482">
        <v>-59.4604199999999</v>
      </c>
      <c r="J5482">
        <v>-291.23219999999998</v>
      </c>
      <c r="K5482">
        <v>1.1084780000000001</v>
      </c>
      <c r="L5482">
        <v>-55.9559</v>
      </c>
      <c r="M5482">
        <v>0.77324910000000002</v>
      </c>
      <c r="N5482">
        <v>0</v>
      </c>
      <c r="O5482">
        <v>-0.6340751</v>
      </c>
      <c r="P5482">
        <v>0.92319039999999997</v>
      </c>
      <c r="Q5482">
        <v>1.9795790000000001E-2</v>
      </c>
      <c r="R5482">
        <v>-0.38383229999999902</v>
      </c>
      <c r="S5482">
        <v>2.9154049999999998</v>
      </c>
      <c r="T5482">
        <v>-0.25439800000000001</v>
      </c>
      <c r="U5482">
        <v>-0.82235720000000001</v>
      </c>
      <c r="V5482">
        <v>-0.28884599999999999</v>
      </c>
      <c r="W5482">
        <v>2.2166169999999999E-2</v>
      </c>
      <c r="X5482">
        <v>0.95711889999999999</v>
      </c>
      <c r="Y5482">
        <v>-0.39714820000000001</v>
      </c>
      <c r="Z5482">
        <v>6.6559930000000003E-2</v>
      </c>
      <c r="AA5482">
        <v>0.91533770000000003</v>
      </c>
      <c r="AB5482">
        <v>22</v>
      </c>
      <c r="AC5482">
        <v>12.599799999999901</v>
      </c>
      <c r="AD5482">
        <v>-1.108481061667</v>
      </c>
      <c r="AE5482">
        <v>-3.5045199999999901</v>
      </c>
      <c r="AF5482">
        <v>-5.2417867425606799</v>
      </c>
      <c r="AG5482">
        <v>-1.108481061667</v>
      </c>
      <c r="AH5482">
        <v>11.879775332459801</v>
      </c>
      <c r="AI5482">
        <v>94.8793672845092</v>
      </c>
      <c r="AJ5482">
        <v>113.80880739339</v>
      </c>
      <c r="AK5482">
        <v>13.032042068236301</v>
      </c>
    </row>
    <row r="5483" spans="1:37" x14ac:dyDescent="0.2">
      <c r="A5483" t="str">
        <f>"20200111153540784"</f>
        <v>20200111153540784</v>
      </c>
      <c r="B5483" t="str">
        <f>"1578728140780912"</f>
        <v>1578728140780912</v>
      </c>
      <c r="C5483" t="s">
        <v>37</v>
      </c>
      <c r="D5483">
        <v>4.6500120000000003</v>
      </c>
      <c r="E5483">
        <v>0.452715799999999</v>
      </c>
      <c r="F5483" t="s">
        <v>71</v>
      </c>
      <c r="G5483">
        <v>-278.69080000000002</v>
      </c>
      <c r="H5483" s="1">
        <v>-3.0922179999999999E-6</v>
      </c>
      <c r="I5483">
        <v>-59.435630000000003</v>
      </c>
      <c r="J5483">
        <v>-291.13409999999999</v>
      </c>
      <c r="K5483">
        <v>1.1084769999999999</v>
      </c>
      <c r="L5483">
        <v>-56.030090000000001</v>
      </c>
      <c r="M5483">
        <v>0.77614189999999905</v>
      </c>
      <c r="N5483">
        <v>0</v>
      </c>
      <c r="O5483">
        <v>-0.63053149999999902</v>
      </c>
      <c r="P5483">
        <v>0.92481780000000002</v>
      </c>
      <c r="Q5483">
        <v>1.9053150000000001E-2</v>
      </c>
      <c r="R5483">
        <v>-0.37993290000000002</v>
      </c>
      <c r="S5483">
        <v>2.9184570000000001</v>
      </c>
      <c r="T5483">
        <v>-0.25795020000000002</v>
      </c>
      <c r="U5483">
        <v>-0.80975339999999996</v>
      </c>
      <c r="V5483">
        <v>-0.28850819999999999</v>
      </c>
      <c r="W5483">
        <v>2.137528E-2</v>
      </c>
      <c r="X5483">
        <v>0.95723879999999995</v>
      </c>
      <c r="Y5483">
        <v>-0.39679109999999901</v>
      </c>
      <c r="Z5483">
        <v>6.7232360000000005E-2</v>
      </c>
      <c r="AA5483">
        <v>0.91544340000000002</v>
      </c>
      <c r="AB5483">
        <v>22</v>
      </c>
      <c r="AC5483">
        <v>12.443299999999899</v>
      </c>
      <c r="AD5483">
        <v>-1.108480092218</v>
      </c>
      <c r="AE5483">
        <v>-3.4055399999999998</v>
      </c>
      <c r="AF5483">
        <v>-5.1646689945147397</v>
      </c>
      <c r="AG5483">
        <v>-1.108480092218</v>
      </c>
      <c r="AH5483">
        <v>11.7187501079079</v>
      </c>
      <c r="AI5483">
        <v>94.947019977514898</v>
      </c>
      <c r="AJ5483">
        <v>113.78397115826201</v>
      </c>
      <c r="AK5483">
        <v>12.854245914457101</v>
      </c>
    </row>
    <row r="5484" spans="1:37" x14ac:dyDescent="0.2">
      <c r="A5484" t="str">
        <f>"20200111153540797"</f>
        <v>20200111153540797</v>
      </c>
      <c r="B5484" t="str">
        <f>"1578728140791649"</f>
        <v>1578728140791649</v>
      </c>
      <c r="C5484" t="s">
        <v>37</v>
      </c>
      <c r="D5484">
        <v>4.6953440000000004</v>
      </c>
      <c r="E5484">
        <v>0.45280949999999998</v>
      </c>
      <c r="F5484" t="s">
        <v>71</v>
      </c>
      <c r="G5484">
        <v>-278.66269999999997</v>
      </c>
      <c r="H5484" s="1">
        <v>-3.0789049999999998E-6</v>
      </c>
      <c r="I5484">
        <v>-59.441229999999997</v>
      </c>
      <c r="J5484">
        <v>-291.02929999999998</v>
      </c>
      <c r="K5484">
        <v>1.108473</v>
      </c>
      <c r="L5484">
        <v>-56.108580000000003</v>
      </c>
      <c r="M5484">
        <v>0.77918779999999999</v>
      </c>
      <c r="N5484">
        <v>0</v>
      </c>
      <c r="O5484">
        <v>-0.62676390000000004</v>
      </c>
      <c r="P5484">
        <v>0.92653009999999902</v>
      </c>
      <c r="Q5484">
        <v>1.8929390000000001E-2</v>
      </c>
      <c r="R5484">
        <v>-0.37574400000000002</v>
      </c>
      <c r="S5484">
        <v>2.9210210000000001</v>
      </c>
      <c r="T5484">
        <v>-0.25962570000000001</v>
      </c>
      <c r="U5484">
        <v>-0.79895019999999894</v>
      </c>
      <c r="V5484">
        <v>-0.28820259999999998</v>
      </c>
      <c r="W5484">
        <v>2.120033E-2</v>
      </c>
      <c r="X5484">
        <v>0.95733480000000004</v>
      </c>
      <c r="Y5484">
        <v>-0.3956732</v>
      </c>
      <c r="Z5484">
        <v>6.7365770000000005E-2</v>
      </c>
      <c r="AA5484">
        <v>0.91591730000000005</v>
      </c>
      <c r="AB5484">
        <v>22</v>
      </c>
      <c r="AC5484">
        <v>12.3666</v>
      </c>
      <c r="AD5484">
        <v>-1.1084760789050001</v>
      </c>
      <c r="AE5484">
        <v>-3.3326500000000001</v>
      </c>
      <c r="AF5484">
        <v>-5.1159438347934003</v>
      </c>
      <c r="AG5484">
        <v>-1.1084760789050001</v>
      </c>
      <c r="AH5484">
        <v>11.6377132376258</v>
      </c>
      <c r="AI5484">
        <v>94.983320370711795</v>
      </c>
      <c r="AJ5484">
        <v>113.73031168734801</v>
      </c>
      <c r="AK5484">
        <v>12.7607981701568</v>
      </c>
    </row>
    <row r="5485" spans="1:37" x14ac:dyDescent="0.2">
      <c r="A5485" t="str">
        <f>"20200111153540809"</f>
        <v>20200111153540809</v>
      </c>
      <c r="B5485" t="str">
        <f>"1578728140801408"</f>
        <v>1578728140801408</v>
      </c>
      <c r="C5485" t="s">
        <v>37</v>
      </c>
      <c r="D5485">
        <v>4.6458120000000003</v>
      </c>
      <c r="E5485">
        <v>0.45280949999999998</v>
      </c>
      <c r="F5485" t="s">
        <v>71</v>
      </c>
      <c r="G5485">
        <v>-278.56020000000001</v>
      </c>
      <c r="H5485" s="1">
        <v>-3.0303879999999999E-6</v>
      </c>
      <c r="I5485">
        <v>-59.461819999999904</v>
      </c>
      <c r="J5485">
        <v>-290.93599999999998</v>
      </c>
      <c r="K5485">
        <v>1.1084719999999999</v>
      </c>
      <c r="L5485">
        <v>-56.177639999999997</v>
      </c>
      <c r="M5485">
        <v>0.78185930000000003</v>
      </c>
      <c r="N5485">
        <v>0</v>
      </c>
      <c r="O5485">
        <v>-0.62342880000000001</v>
      </c>
      <c r="P5485">
        <v>0.92805579999999999</v>
      </c>
      <c r="Q5485">
        <v>1.913753E-2</v>
      </c>
      <c r="R5485">
        <v>-0.37194899999999997</v>
      </c>
      <c r="S5485">
        <v>2.9242859999999999</v>
      </c>
      <c r="T5485">
        <v>-0.25996180000000002</v>
      </c>
      <c r="U5485">
        <v>-0.78640750000000004</v>
      </c>
      <c r="V5485">
        <v>-0.28802899999999998</v>
      </c>
      <c r="W5485">
        <v>2.1361939999999999E-2</v>
      </c>
      <c r="X5485">
        <v>0.9573834</v>
      </c>
      <c r="Y5485">
        <v>-0.39567399999999903</v>
      </c>
      <c r="Z5485">
        <v>6.7217609999999997E-2</v>
      </c>
      <c r="AA5485">
        <v>0.91592790000000002</v>
      </c>
      <c r="AB5485">
        <v>22</v>
      </c>
      <c r="AC5485">
        <v>12.3757999999999</v>
      </c>
      <c r="AD5485">
        <v>-1.108475030388</v>
      </c>
      <c r="AE5485">
        <v>-3.2841799999999899</v>
      </c>
      <c r="AF5485">
        <v>-5.1094538141302204</v>
      </c>
      <c r="AG5485">
        <v>-1.108475030388</v>
      </c>
      <c r="AH5485">
        <v>11.6365658459668</v>
      </c>
      <c r="AI5485">
        <v>94.984743968372001</v>
      </c>
      <c r="AJ5485">
        <v>113.705608169505</v>
      </c>
      <c r="AK5485">
        <v>12.757150930330999</v>
      </c>
    </row>
    <row r="5486" spans="1:37" x14ac:dyDescent="0.2">
      <c r="A5486" t="str">
        <f>"20200111153540822"</f>
        <v>20200111153540822</v>
      </c>
      <c r="B5486" t="str">
        <f>"1578728140811168"</f>
        <v>1578728140811168</v>
      </c>
      <c r="C5486" t="s">
        <v>37</v>
      </c>
      <c r="D5486">
        <v>4.6514139999999999</v>
      </c>
      <c r="E5486">
        <v>0.4588257</v>
      </c>
      <c r="F5486" t="s">
        <v>71</v>
      </c>
      <c r="G5486">
        <v>-278.42160000000001</v>
      </c>
      <c r="H5486" s="1">
        <v>-2.9651549999999998E-6</v>
      </c>
      <c r="I5486">
        <v>-59.487900000000003</v>
      </c>
      <c r="J5486">
        <v>-290.83269999999999</v>
      </c>
      <c r="K5486">
        <v>1.108473</v>
      </c>
      <c r="L5486">
        <v>-56.253659999999897</v>
      </c>
      <c r="M5486">
        <v>0.78478510000000001</v>
      </c>
      <c r="N5486">
        <v>0</v>
      </c>
      <c r="O5486">
        <v>-0.61974200000000002</v>
      </c>
      <c r="P5486">
        <v>0.92970180000000002</v>
      </c>
      <c r="Q5486">
        <v>1.9438529999999999E-2</v>
      </c>
      <c r="R5486">
        <v>-0.36779980000000001</v>
      </c>
      <c r="S5486">
        <v>2.9275509999999998</v>
      </c>
      <c r="T5486">
        <v>-0.25931070000000001</v>
      </c>
      <c r="U5486">
        <v>-0.7743835</v>
      </c>
      <c r="V5486">
        <v>-0.28779919999999998</v>
      </c>
      <c r="W5486">
        <v>2.1610310000000001E-2</v>
      </c>
      <c r="X5486">
        <v>0.95744689999999999</v>
      </c>
      <c r="Y5486">
        <v>-0.3951537</v>
      </c>
      <c r="Z5486">
        <v>6.6765999999999895E-2</v>
      </c>
      <c r="AA5486">
        <v>0.91618549999999999</v>
      </c>
      <c r="AB5486">
        <v>22</v>
      </c>
      <c r="AC5486">
        <v>12.4110999999999</v>
      </c>
      <c r="AD5486">
        <v>-1.108475965155</v>
      </c>
      <c r="AE5486">
        <v>-3.2342399999999998</v>
      </c>
      <c r="AF5486">
        <v>-5.1153697267040297</v>
      </c>
      <c r="AG5486">
        <v>-1.108475965155</v>
      </c>
      <c r="AH5486">
        <v>11.657552431178599</v>
      </c>
      <c r="AI5486">
        <v>94.976335079622999</v>
      </c>
      <c r="AJ5486">
        <v>113.69201323865001</v>
      </c>
      <c r="AK5486">
        <v>12.778664057399901</v>
      </c>
    </row>
    <row r="5487" spans="1:37" x14ac:dyDescent="0.2">
      <c r="A5487" t="str">
        <f>"20200111153540835"</f>
        <v>20200111153540835</v>
      </c>
      <c r="B5487" t="str">
        <f>"1578728140831664"</f>
        <v>1578728140831664</v>
      </c>
      <c r="C5487" t="s">
        <v>37</v>
      </c>
      <c r="D5487">
        <v>4.6379599999999996</v>
      </c>
      <c r="E5487">
        <v>0.4581132</v>
      </c>
      <c r="F5487" t="s">
        <v>71</v>
      </c>
      <c r="G5487">
        <v>-277.76670000000001</v>
      </c>
      <c r="H5487" s="1">
        <v>-2.60041E-6</v>
      </c>
      <c r="I5487">
        <v>-59.866930000000004</v>
      </c>
      <c r="J5487">
        <v>-290.72739999999999</v>
      </c>
      <c r="K5487">
        <v>1.108474</v>
      </c>
      <c r="L5487">
        <v>-56.330289999999998</v>
      </c>
      <c r="M5487">
        <v>0.78772299999999995</v>
      </c>
      <c r="N5487">
        <v>0</v>
      </c>
      <c r="O5487">
        <v>-0.61600429999999995</v>
      </c>
      <c r="P5487">
        <v>0.93133159999999904</v>
      </c>
      <c r="Q5487">
        <v>1.944334E-2</v>
      </c>
      <c r="R5487">
        <v>-0.3636529</v>
      </c>
      <c r="S5487">
        <v>2.9132689999999899</v>
      </c>
      <c r="T5487">
        <v>-0.2471516</v>
      </c>
      <c r="U5487">
        <v>-0.8056335</v>
      </c>
      <c r="V5487">
        <v>-0.28751369999999998</v>
      </c>
      <c r="W5487">
        <v>2.156216E-2</v>
      </c>
      <c r="X5487">
        <v>0.95753379999999999</v>
      </c>
      <c r="Y5487">
        <v>-0.38081540000000003</v>
      </c>
      <c r="Z5487">
        <v>6.2989059999999999E-2</v>
      </c>
      <c r="AA5487">
        <v>0.92250309999999902</v>
      </c>
      <c r="AB5487">
        <v>22</v>
      </c>
      <c r="AC5487">
        <v>12.9606999999999</v>
      </c>
      <c r="AD5487">
        <v>-1.10847660041</v>
      </c>
      <c r="AE5487">
        <v>-3.53663999999999</v>
      </c>
      <c r="AF5487">
        <v>-5.1628874693975897</v>
      </c>
      <c r="AG5487">
        <v>-1.10847660041</v>
      </c>
      <c r="AH5487">
        <v>12.3044539877777</v>
      </c>
      <c r="AI5487">
        <v>94.748714548139802</v>
      </c>
      <c r="AJ5487">
        <v>112.762678012679</v>
      </c>
      <c r="AK5487">
        <v>13.389686901965201</v>
      </c>
    </row>
    <row r="5488" spans="1:37" x14ac:dyDescent="0.2">
      <c r="A5488" t="str">
        <f>"20200111153540849"</f>
        <v>20200111153540849</v>
      </c>
      <c r="B5488" t="str">
        <f>"1578728140841424"</f>
        <v>1578728140841424</v>
      </c>
      <c r="C5488" t="s">
        <v>37</v>
      </c>
      <c r="D5488">
        <v>4.6420149999999998</v>
      </c>
      <c r="E5488">
        <v>0.45812229999999998</v>
      </c>
      <c r="F5488" t="s">
        <v>71</v>
      </c>
      <c r="G5488">
        <v>-277.97829999999999</v>
      </c>
      <c r="H5488" s="1">
        <v>-2.712727E-6</v>
      </c>
      <c r="I5488">
        <v>-59.769530000000003</v>
      </c>
      <c r="J5488">
        <v>-290.61900000000003</v>
      </c>
      <c r="K5488">
        <v>1.108479</v>
      </c>
      <c r="L5488">
        <v>-56.408479999999997</v>
      </c>
      <c r="M5488">
        <v>0.7907073</v>
      </c>
      <c r="N5488">
        <v>0</v>
      </c>
      <c r="O5488">
        <v>-0.61216930000000003</v>
      </c>
      <c r="P5488">
        <v>0.93289429999999995</v>
      </c>
      <c r="Q5488">
        <v>1.9884740000000001E-2</v>
      </c>
      <c r="R5488">
        <v>-0.35960130000000001</v>
      </c>
      <c r="S5488">
        <v>2.9190369999999999</v>
      </c>
      <c r="T5488">
        <v>-0.25379629999999997</v>
      </c>
      <c r="U5488">
        <v>-0.78744510000000001</v>
      </c>
      <c r="V5488">
        <v>-0.28702220000000001</v>
      </c>
      <c r="W5488">
        <v>2.1949260000000002E-2</v>
      </c>
      <c r="X5488">
        <v>0.95767239999999998</v>
      </c>
      <c r="Y5488">
        <v>-0.3819922</v>
      </c>
      <c r="Z5488">
        <v>6.4431799999999997E-2</v>
      </c>
      <c r="AA5488">
        <v>0.92191679999999998</v>
      </c>
      <c r="AB5488">
        <v>22</v>
      </c>
      <c r="AC5488">
        <v>12.640700000000001</v>
      </c>
      <c r="AD5488">
        <v>-1.1084817127269999</v>
      </c>
      <c r="AE5488">
        <v>-3.3610499999999899</v>
      </c>
      <c r="AF5488">
        <v>-5.04448999843531</v>
      </c>
      <c r="AG5488">
        <v>-1.1084817127269999</v>
      </c>
      <c r="AH5488">
        <v>11.9668639989118</v>
      </c>
      <c r="AI5488">
        <v>94.878688829640197</v>
      </c>
      <c r="AJ5488">
        <v>112.857280310478</v>
      </c>
      <c r="AK5488">
        <v>13.033857641550901</v>
      </c>
    </row>
    <row r="5489" spans="1:37" x14ac:dyDescent="0.2">
      <c r="A5489" t="str">
        <f>"20200111153540862"</f>
        <v>20200111153540862</v>
      </c>
      <c r="B5489" t="str">
        <f>"1578728140851185"</f>
        <v>1578728140851185</v>
      </c>
      <c r="C5489" t="s">
        <v>37</v>
      </c>
      <c r="D5489">
        <v>4.6611139999999898</v>
      </c>
      <c r="E5489">
        <v>0.45827289999999998</v>
      </c>
      <c r="F5489" t="s">
        <v>71</v>
      </c>
      <c r="G5489">
        <v>-277.89479999999998</v>
      </c>
      <c r="H5489" s="1">
        <v>-2.6742649999999899E-6</v>
      </c>
      <c r="I5489">
        <v>-59.781410000000001</v>
      </c>
      <c r="J5489">
        <v>-290.51350000000002</v>
      </c>
      <c r="K5489">
        <v>1.108474</v>
      </c>
      <c r="L5489">
        <v>-56.48386</v>
      </c>
      <c r="M5489">
        <v>0.79357339999999998</v>
      </c>
      <c r="N5489">
        <v>0</v>
      </c>
      <c r="O5489">
        <v>-0.60844949999999998</v>
      </c>
      <c r="P5489">
        <v>0.93445990000000001</v>
      </c>
      <c r="Q5489">
        <v>2.0093779999999999E-2</v>
      </c>
      <c r="R5489">
        <v>-0.35550090000000001</v>
      </c>
      <c r="S5489">
        <v>2.922577</v>
      </c>
      <c r="T5489">
        <v>-0.25460339999999998</v>
      </c>
      <c r="U5489">
        <v>-0.77471919999999905</v>
      </c>
      <c r="V5489">
        <v>-0.2867304</v>
      </c>
      <c r="W5489">
        <v>2.2101340000000001E-2</v>
      </c>
      <c r="X5489">
        <v>0.9577563</v>
      </c>
      <c r="Y5489">
        <v>-0.38167610000000002</v>
      </c>
      <c r="Z5489">
        <v>6.4356930000000007E-2</v>
      </c>
      <c r="AA5489">
        <v>0.92205289999999995</v>
      </c>
      <c r="AB5489">
        <v>22</v>
      </c>
      <c r="AC5489">
        <v>12.6187</v>
      </c>
      <c r="AD5489">
        <v>-1.1084766742649901</v>
      </c>
      <c r="AE5489">
        <v>-3.2975500000000002</v>
      </c>
      <c r="AF5489">
        <v>-5.0247754314589903</v>
      </c>
      <c r="AG5489">
        <v>-1.1084766742649901</v>
      </c>
      <c r="AH5489">
        <v>11.9342359850324</v>
      </c>
      <c r="AI5489">
        <v>94.892810336204903</v>
      </c>
      <c r="AJ5489">
        <v>112.832977081517</v>
      </c>
      <c r="AK5489">
        <v>12.996271666151999</v>
      </c>
    </row>
    <row r="5490" spans="1:37" x14ac:dyDescent="0.2">
      <c r="A5490" t="str">
        <f>"20200111153540876"</f>
        <v>20200111153540876</v>
      </c>
      <c r="B5490" t="str">
        <f>"1578728140871681"</f>
        <v>1578728140871681</v>
      </c>
      <c r="C5490" t="s">
        <v>37</v>
      </c>
      <c r="D5490">
        <v>4.6635580000000001</v>
      </c>
      <c r="E5490">
        <v>0.45836199999999999</v>
      </c>
      <c r="F5490" t="s">
        <v>71</v>
      </c>
      <c r="G5490">
        <v>-277.7568</v>
      </c>
      <c r="H5490" s="1">
        <v>-2.60862E-6</v>
      </c>
      <c r="I5490">
        <v>-59.810659999999999</v>
      </c>
      <c r="J5490">
        <v>-290.40159999999997</v>
      </c>
      <c r="K5490">
        <v>1.108476</v>
      </c>
      <c r="L5490">
        <v>-56.563079999999999</v>
      </c>
      <c r="M5490">
        <v>0.796574</v>
      </c>
      <c r="N5490">
        <v>0</v>
      </c>
      <c r="O5490">
        <v>-0.60451669999999902</v>
      </c>
      <c r="P5490">
        <v>0.93607379999999996</v>
      </c>
      <c r="Q5490">
        <v>2.0131960000000001E-2</v>
      </c>
      <c r="R5490">
        <v>-0.35122759999999997</v>
      </c>
      <c r="S5490">
        <v>2.9256289999999998</v>
      </c>
      <c r="T5490">
        <v>-0.25421880000000002</v>
      </c>
      <c r="U5490">
        <v>-0.76297000000000004</v>
      </c>
      <c r="V5490">
        <v>-0.28636879999999998</v>
      </c>
      <c r="W5490">
        <v>2.20775E-2</v>
      </c>
      <c r="X5490">
        <v>0.95786510000000002</v>
      </c>
      <c r="Y5490">
        <v>-0.38083329999999999</v>
      </c>
      <c r="Z5490">
        <v>6.3949619999999999E-2</v>
      </c>
      <c r="AA5490">
        <v>0.92242969999999902</v>
      </c>
      <c r="AB5490">
        <v>22</v>
      </c>
      <c r="AC5490">
        <v>12.644799999999901</v>
      </c>
      <c r="AD5490">
        <v>-1.10847860862</v>
      </c>
      <c r="AE5490">
        <v>-3.2475799999999899</v>
      </c>
      <c r="AF5490">
        <v>-5.0209323190454498</v>
      </c>
      <c r="AG5490">
        <v>-1.10847860862</v>
      </c>
      <c r="AH5490">
        <v>11.949763730335301</v>
      </c>
      <c r="AI5490">
        <v>94.888001766748403</v>
      </c>
      <c r="AJ5490">
        <v>112.790685341692</v>
      </c>
      <c r="AK5490">
        <v>13.009048366004301</v>
      </c>
    </row>
    <row r="5491" spans="1:37" x14ac:dyDescent="0.2">
      <c r="A5491" t="str">
        <f>"20200111153540890"</f>
        <v>20200111153540890</v>
      </c>
      <c r="B5491" t="str">
        <f>"1578728140881440"</f>
        <v>1578728140881440</v>
      </c>
      <c r="C5491" t="s">
        <v>37</v>
      </c>
      <c r="D5491">
        <v>4.693352</v>
      </c>
      <c r="E5491">
        <v>0.4585167</v>
      </c>
      <c r="F5491" t="s">
        <v>71</v>
      </c>
      <c r="G5491">
        <v>-277.49299999999999</v>
      </c>
      <c r="H5491" s="1">
        <v>-2.482465E-6</v>
      </c>
      <c r="I5491">
        <v>-59.869349999999997</v>
      </c>
      <c r="J5491">
        <v>-290.28800000000001</v>
      </c>
      <c r="K5491">
        <v>1.108482</v>
      </c>
      <c r="L5491">
        <v>-56.64255</v>
      </c>
      <c r="M5491">
        <v>0.79957639999999996</v>
      </c>
      <c r="N5491">
        <v>0</v>
      </c>
      <c r="O5491">
        <v>-0.60054030000000003</v>
      </c>
      <c r="P5491">
        <v>0.93774409999999897</v>
      </c>
      <c r="Q5491">
        <v>1.9622750000000001E-2</v>
      </c>
      <c r="R5491">
        <v>-0.34677199999999903</v>
      </c>
      <c r="S5491">
        <v>2.9288020000000001</v>
      </c>
      <c r="T5491">
        <v>-0.25150059999999902</v>
      </c>
      <c r="U5491">
        <v>-0.75015259999999995</v>
      </c>
      <c r="V5491">
        <v>-0.28615229999999903</v>
      </c>
      <c r="W5491">
        <v>2.1499239999999999E-2</v>
      </c>
      <c r="X5491">
        <v>0.95794299999999999</v>
      </c>
      <c r="Y5491">
        <v>-0.3803375</v>
      </c>
      <c r="Z5491">
        <v>6.2972639999999996E-2</v>
      </c>
      <c r="AA5491">
        <v>0.9227014</v>
      </c>
      <c r="AB5491">
        <v>22</v>
      </c>
      <c r="AC5491">
        <v>12.795</v>
      </c>
      <c r="AD5491">
        <v>-1.108484482465</v>
      </c>
      <c r="AE5491">
        <v>-3.2267999999999901</v>
      </c>
      <c r="AF5491">
        <v>-5.06814956600304</v>
      </c>
      <c r="AG5491">
        <v>-1.108484482465</v>
      </c>
      <c r="AH5491">
        <v>12.0833115210319</v>
      </c>
      <c r="AI5491">
        <v>94.8355256133663</v>
      </c>
      <c r="AJ5491">
        <v>112.754824964904</v>
      </c>
      <c r="AK5491">
        <v>13.1499541894846</v>
      </c>
    </row>
    <row r="5492" spans="1:37" x14ac:dyDescent="0.2">
      <c r="A5492" t="str">
        <f>"20200111153540904"</f>
        <v>20200111153540904</v>
      </c>
      <c r="B5492" t="str">
        <f>"1578728140900960"</f>
        <v>1578728140900960</v>
      </c>
      <c r="C5492" t="s">
        <v>37</v>
      </c>
      <c r="D5492">
        <v>4.6886769999999904</v>
      </c>
      <c r="E5492">
        <v>0.45895390000000003</v>
      </c>
      <c r="F5492" t="s">
        <v>71</v>
      </c>
      <c r="G5492">
        <v>-277.42899999999997</v>
      </c>
      <c r="H5492" s="1">
        <v>-2.4536679999999999E-6</v>
      </c>
      <c r="I5492">
        <v>-59.875509999999998</v>
      </c>
      <c r="J5492">
        <v>-290.16750000000002</v>
      </c>
      <c r="K5492">
        <v>1.1084909999999999</v>
      </c>
      <c r="L5492">
        <v>-56.726100000000002</v>
      </c>
      <c r="M5492">
        <v>0.80272169999999998</v>
      </c>
      <c r="N5492">
        <v>0</v>
      </c>
      <c r="O5492">
        <v>-0.59633029999999998</v>
      </c>
      <c r="P5492">
        <v>0.93936779999999998</v>
      </c>
      <c r="Q5492">
        <v>2.003081E-2</v>
      </c>
      <c r="R5492">
        <v>-0.34232620000000002</v>
      </c>
      <c r="S5492">
        <v>2.931854</v>
      </c>
      <c r="T5492">
        <v>-0.25273640000000003</v>
      </c>
      <c r="U5492">
        <v>-0.73712159999999904</v>
      </c>
      <c r="V5492">
        <v>-0.2856551</v>
      </c>
      <c r="W5492">
        <v>2.1833419999999999E-2</v>
      </c>
      <c r="X5492">
        <v>0.95808369999999998</v>
      </c>
      <c r="Y5492">
        <v>-0.37954969999999999</v>
      </c>
      <c r="Z5492">
        <v>6.2957429999999995E-2</v>
      </c>
      <c r="AA5492">
        <v>0.92302680000000004</v>
      </c>
      <c r="AB5492">
        <v>23</v>
      </c>
      <c r="AC5492">
        <v>12.738499999999901</v>
      </c>
      <c r="AD5492">
        <v>-1.10849345366799</v>
      </c>
      <c r="AE5492">
        <v>-3.1494099999999898</v>
      </c>
      <c r="AF5492">
        <v>-5.0324128799479801</v>
      </c>
      <c r="AG5492">
        <v>-1.10849345366799</v>
      </c>
      <c r="AH5492">
        <v>12.017966899048799</v>
      </c>
      <c r="AI5492">
        <v>94.862926521163502</v>
      </c>
      <c r="AJ5492">
        <v>112.721048886338</v>
      </c>
      <c r="AK5492">
        <v>13.076141078992899</v>
      </c>
    </row>
    <row r="5493" spans="1:37" x14ac:dyDescent="0.2">
      <c r="A5493" t="str">
        <f>"20200111153540917"</f>
        <v>20200111153540917</v>
      </c>
      <c r="B5493" t="str">
        <f>"1578728140911696"</f>
        <v>1578728140911696</v>
      </c>
      <c r="C5493" t="s">
        <v>37</v>
      </c>
      <c r="D5493">
        <v>4.6397430000000002</v>
      </c>
      <c r="E5493">
        <v>0.45931309999999897</v>
      </c>
      <c r="F5493" t="s">
        <v>71</v>
      </c>
      <c r="G5493">
        <v>-277.2835</v>
      </c>
      <c r="H5493" s="1">
        <v>-2.3824729999999999E-6</v>
      </c>
      <c r="I5493">
        <v>-59.915199999999999</v>
      </c>
      <c r="J5493">
        <v>-290.065</v>
      </c>
      <c r="K5493">
        <v>1.1084959999999999</v>
      </c>
      <c r="L5493">
        <v>-56.796569999999903</v>
      </c>
      <c r="M5493">
        <v>0.80536549999999996</v>
      </c>
      <c r="N5493">
        <v>0</v>
      </c>
      <c r="O5493">
        <v>-0.59275509999999998</v>
      </c>
      <c r="P5493">
        <v>0.940463099999999</v>
      </c>
      <c r="Q5493">
        <v>2.0146810000000001E-2</v>
      </c>
      <c r="R5493">
        <v>-0.33929759999999998</v>
      </c>
      <c r="S5493">
        <v>2.934326</v>
      </c>
      <c r="T5493">
        <v>-0.25246010000000002</v>
      </c>
      <c r="U5493">
        <v>-0.72631840000000003</v>
      </c>
      <c r="V5493">
        <v>-0.2844816</v>
      </c>
      <c r="W5493">
        <v>2.1894440000000001E-2</v>
      </c>
      <c r="X5493">
        <v>0.95843140000000004</v>
      </c>
      <c r="Y5493">
        <v>-0.3788415</v>
      </c>
      <c r="Z5493">
        <v>6.2612539999999994E-2</v>
      </c>
      <c r="AA5493">
        <v>0.92334110000000003</v>
      </c>
      <c r="AB5493">
        <v>23</v>
      </c>
      <c r="AC5493">
        <v>12.7814999999999</v>
      </c>
      <c r="AD5493">
        <v>-1.1084983824729999</v>
      </c>
      <c r="AE5493">
        <v>-3.11863</v>
      </c>
      <c r="AF5493">
        <v>-5.0290320654865202</v>
      </c>
      <c r="AG5493">
        <v>-1.1084983824729999</v>
      </c>
      <c r="AH5493">
        <v>12.0569406452212</v>
      </c>
      <c r="AI5493">
        <v>94.850109010168893</v>
      </c>
      <c r="AJ5493">
        <v>112.641349478317</v>
      </c>
      <c r="AK5493">
        <v>13.110673129249401</v>
      </c>
    </row>
    <row r="5494" spans="1:37" x14ac:dyDescent="0.2">
      <c r="A5494" t="str">
        <f>"20200111153540931"</f>
        <v>20200111153540931</v>
      </c>
      <c r="B5494" t="str">
        <f>"1578728140921458"</f>
        <v>1578728140921458</v>
      </c>
      <c r="C5494" t="s">
        <v>37</v>
      </c>
      <c r="D5494">
        <v>4.6540349999999897</v>
      </c>
      <c r="E5494">
        <v>0.45942519999999998</v>
      </c>
      <c r="F5494" t="s">
        <v>71</v>
      </c>
      <c r="G5494">
        <v>-277.13099999999997</v>
      </c>
      <c r="H5494" s="1">
        <v>-2.3062189999999999E-6</v>
      </c>
      <c r="I5494">
        <v>-59.964179999999999</v>
      </c>
      <c r="J5494">
        <v>-289.95330000000001</v>
      </c>
      <c r="K5494">
        <v>1.108509</v>
      </c>
      <c r="L5494">
        <v>-56.872309999999999</v>
      </c>
      <c r="M5494">
        <v>0.80820599999999998</v>
      </c>
      <c r="N5494">
        <v>0</v>
      </c>
      <c r="O5494">
        <v>-0.58887699999999998</v>
      </c>
      <c r="P5494">
        <v>0.94190269999999998</v>
      </c>
      <c r="Q5494">
        <v>2.017733E-2</v>
      </c>
      <c r="R5494">
        <v>-0.3352791</v>
      </c>
      <c r="S5494">
        <v>2.9359130000000002</v>
      </c>
      <c r="T5494">
        <v>-0.2516215</v>
      </c>
      <c r="U5494">
        <v>-0.71902469999999996</v>
      </c>
      <c r="V5494">
        <v>-0.28396729999999998</v>
      </c>
      <c r="W5494">
        <v>2.1850580000000001E-2</v>
      </c>
      <c r="X5494">
        <v>0.95858500000000002</v>
      </c>
      <c r="Y5494">
        <v>-0.37671209999999899</v>
      </c>
      <c r="Z5494">
        <v>6.2053919999999999E-2</v>
      </c>
      <c r="AA5494">
        <v>0.92424959999999901</v>
      </c>
      <c r="AB5494">
        <v>23</v>
      </c>
      <c r="AC5494">
        <v>12.8223</v>
      </c>
      <c r="AD5494">
        <v>-1.108511306219</v>
      </c>
      <c r="AE5494">
        <v>-3.0918700000000001</v>
      </c>
      <c r="AF5494">
        <v>-5.0165248583078403</v>
      </c>
      <c r="AG5494">
        <v>-1.108511306219</v>
      </c>
      <c r="AH5494">
        <v>12.098500562636501</v>
      </c>
      <c r="AI5494">
        <v>94.837792357762595</v>
      </c>
      <c r="AJ5494">
        <v>112.520862236456</v>
      </c>
      <c r="AK5494">
        <v>13.1441254876143</v>
      </c>
    </row>
    <row r="5495" spans="1:37" x14ac:dyDescent="0.2">
      <c r="A5495" t="str">
        <f>"20200111153540944"</f>
        <v>20200111153540944</v>
      </c>
      <c r="B5495" t="str">
        <f>"1578728140940977"</f>
        <v>1578728140940977</v>
      </c>
      <c r="C5495" t="s">
        <v>37</v>
      </c>
      <c r="D5495">
        <v>4.6760699999999904</v>
      </c>
      <c r="E5495">
        <v>0.45981959999999999</v>
      </c>
      <c r="F5495" t="s">
        <v>71</v>
      </c>
      <c r="G5495">
        <v>-277.07049999999998</v>
      </c>
      <c r="H5495" s="1">
        <v>-2.278359E-6</v>
      </c>
      <c r="I5495">
        <v>-59.972630000000002</v>
      </c>
      <c r="J5495">
        <v>-289.83609999999999</v>
      </c>
      <c r="K5495">
        <v>1.1085209999999901</v>
      </c>
      <c r="L5495">
        <v>-56.951230000000002</v>
      </c>
      <c r="M5495">
        <v>0.81115729999999997</v>
      </c>
      <c r="N5495">
        <v>0</v>
      </c>
      <c r="O5495">
        <v>-0.58480559999999904</v>
      </c>
      <c r="P5495">
        <v>0.94331489999999996</v>
      </c>
      <c r="Q5495">
        <v>2.0208859999999999E-2</v>
      </c>
      <c r="R5495">
        <v>-0.331283099999999</v>
      </c>
      <c r="S5495">
        <v>2.9387209999999899</v>
      </c>
      <c r="T5495">
        <v>-0.252863</v>
      </c>
      <c r="U5495">
        <v>-0.70721440000000002</v>
      </c>
      <c r="V5495">
        <v>-0.2832115</v>
      </c>
      <c r="W5495">
        <v>2.1803389999999999E-2</v>
      </c>
      <c r="X5495">
        <v>0.95880959999999904</v>
      </c>
      <c r="Y5495">
        <v>-0.3757548</v>
      </c>
      <c r="Z5495">
        <v>6.2032450000000003E-2</v>
      </c>
      <c r="AA5495">
        <v>0.92464069999999898</v>
      </c>
      <c r="AB5495">
        <v>23</v>
      </c>
      <c r="AC5495">
        <v>12.765599999999999</v>
      </c>
      <c r="AD5495">
        <v>-1.10852327835899</v>
      </c>
      <c r="AE5495">
        <v>-3.0213999999999999</v>
      </c>
      <c r="AF5495">
        <v>-4.97907585073429</v>
      </c>
      <c r="AG5495">
        <v>-1.10852327835899</v>
      </c>
      <c r="AH5495">
        <v>12.036055522397101</v>
      </c>
      <c r="AI5495">
        <v>94.864466857283801</v>
      </c>
      <c r="AJ5495">
        <v>112.47390284188999</v>
      </c>
      <c r="AK5495">
        <v>13.0723621707882</v>
      </c>
    </row>
    <row r="5496" spans="1:37" x14ac:dyDescent="0.2">
      <c r="A5496" t="str">
        <f>"20200111153540959"</f>
        <v>20200111153540959</v>
      </c>
      <c r="B5496" t="str">
        <f>"1578728140951712"</f>
        <v>1578728140951712</v>
      </c>
      <c r="C5496" t="s">
        <v>37</v>
      </c>
      <c r="D5496">
        <v>4.6776039999999997</v>
      </c>
      <c r="E5496">
        <v>0.4600612</v>
      </c>
      <c r="F5496" t="s">
        <v>71</v>
      </c>
      <c r="G5496">
        <v>-277.01229999999998</v>
      </c>
      <c r="H5496" s="1">
        <v>-2.2488209999999999E-6</v>
      </c>
      <c r="I5496">
        <v>-59.993310000000001</v>
      </c>
      <c r="J5496">
        <v>-289.71019999999999</v>
      </c>
      <c r="K5496">
        <v>1.1085339999999999</v>
      </c>
      <c r="L5496">
        <v>-57.035159999999998</v>
      </c>
      <c r="M5496">
        <v>0.8142895</v>
      </c>
      <c r="N5496">
        <v>0</v>
      </c>
      <c r="O5496">
        <v>-0.58043719999999999</v>
      </c>
      <c r="P5496">
        <v>0.94488130000000004</v>
      </c>
      <c r="Q5496">
        <v>2.0195850000000001E-2</v>
      </c>
      <c r="R5496">
        <v>-0.32679000000000002</v>
      </c>
      <c r="S5496">
        <v>2.9407349999999899</v>
      </c>
      <c r="T5496">
        <v>-0.25420409999999999</v>
      </c>
      <c r="U5496">
        <v>-0.69760129999999998</v>
      </c>
      <c r="V5496">
        <v>-0.28262140000000002</v>
      </c>
      <c r="W5496">
        <v>2.1697080000000001E-2</v>
      </c>
      <c r="X5496">
        <v>0.95898609999999895</v>
      </c>
      <c r="Y5496">
        <v>-0.37376670000000001</v>
      </c>
      <c r="Z5496">
        <v>6.1974679999999997E-2</v>
      </c>
      <c r="AA5496">
        <v>0.92544999999999999</v>
      </c>
      <c r="AB5496">
        <v>23</v>
      </c>
      <c r="AC5496">
        <v>12.697900000000001</v>
      </c>
      <c r="AD5496">
        <v>-1.108536248821</v>
      </c>
      <c r="AE5496">
        <v>-2.9581499999999998</v>
      </c>
      <c r="AF5496">
        <v>-4.9259952858403997</v>
      </c>
      <c r="AG5496">
        <v>-1.108536248821</v>
      </c>
      <c r="AH5496">
        <v>11.970404208173401</v>
      </c>
      <c r="AI5496">
        <v>94.894791390925107</v>
      </c>
      <c r="AJ5496">
        <v>112.367878058559</v>
      </c>
      <c r="AK5496">
        <v>12.991722714025601</v>
      </c>
    </row>
    <row r="5497" spans="1:37" x14ac:dyDescent="0.2">
      <c r="A5497" t="str">
        <f>"20200111153540972"</f>
        <v>20200111153540972</v>
      </c>
      <c r="B5497" t="str">
        <f>"1578728140961473"</f>
        <v>1578728140961473</v>
      </c>
      <c r="C5497" t="s">
        <v>37</v>
      </c>
      <c r="D5497">
        <v>4.6816139999999997</v>
      </c>
      <c r="E5497">
        <v>0.46025479999999902</v>
      </c>
      <c r="F5497" t="s">
        <v>71</v>
      </c>
      <c r="G5497">
        <v>-276.88350000000003</v>
      </c>
      <c r="H5497" s="1">
        <v>-2.1872929999999998E-6</v>
      </c>
      <c r="I5497">
        <v>-60.021680000000003</v>
      </c>
      <c r="J5497">
        <v>-289.60129999999998</v>
      </c>
      <c r="K5497">
        <v>1.10854599999999</v>
      </c>
      <c r="L5497">
        <v>-57.106780000000001</v>
      </c>
      <c r="M5497">
        <v>0.81696449999999998</v>
      </c>
      <c r="N5497">
        <v>0</v>
      </c>
      <c r="O5497">
        <v>-0.57666700000000004</v>
      </c>
      <c r="P5497">
        <v>0.94587389999999905</v>
      </c>
      <c r="Q5497">
        <v>2.0070480000000002E-2</v>
      </c>
      <c r="R5497">
        <v>-0.32391350000000002</v>
      </c>
      <c r="S5497">
        <v>2.9434200000000001</v>
      </c>
      <c r="T5497">
        <v>-0.25438149999999998</v>
      </c>
      <c r="U5497">
        <v>-0.68533330000000003</v>
      </c>
      <c r="V5497">
        <v>-0.28110580000000002</v>
      </c>
      <c r="W5497">
        <v>2.1499709999999998E-2</v>
      </c>
      <c r="X5497">
        <v>0.95943590000000001</v>
      </c>
      <c r="Y5497">
        <v>-0.37333569999999999</v>
      </c>
      <c r="Z5497">
        <v>6.173244E-2</v>
      </c>
      <c r="AA5497">
        <v>0.92564000000000002</v>
      </c>
      <c r="AB5497">
        <v>23</v>
      </c>
      <c r="AC5497">
        <v>12.717799999999899</v>
      </c>
      <c r="AD5497">
        <v>-1.1085481872930001</v>
      </c>
      <c r="AE5497">
        <v>-2.9148999999999901</v>
      </c>
      <c r="AF5497">
        <v>-4.9171310711910197</v>
      </c>
      <c r="AG5497">
        <v>-1.1085481872930001</v>
      </c>
      <c r="AH5497">
        <v>11.984552600681701</v>
      </c>
      <c r="AI5497">
        <v>94.891189728271002</v>
      </c>
      <c r="AJ5497">
        <v>112.30780725498499</v>
      </c>
      <c r="AK5497">
        <v>13.00140600448</v>
      </c>
    </row>
    <row r="5498" spans="1:37" x14ac:dyDescent="0.2">
      <c r="A5498" t="str">
        <f>"20200111153540983"</f>
        <v>20200111153540983</v>
      </c>
      <c r="B5498" t="str">
        <f>"1578728140980992"</f>
        <v>1578728140980992</v>
      </c>
      <c r="C5498" t="s">
        <v>37</v>
      </c>
      <c r="D5498">
        <v>4.7276800000000003</v>
      </c>
      <c r="E5498">
        <v>0.46025690000000002</v>
      </c>
      <c r="F5498" t="s">
        <v>71</v>
      </c>
      <c r="G5498">
        <v>-276.81709999999998</v>
      </c>
      <c r="H5498" s="1">
        <v>-2.15297E-6</v>
      </c>
      <c r="I5498">
        <v>-60.048200000000001</v>
      </c>
      <c r="J5498">
        <v>-289.50139999999999</v>
      </c>
      <c r="K5498">
        <v>1.108557</v>
      </c>
      <c r="L5498">
        <v>-57.171969999999902</v>
      </c>
      <c r="M5498">
        <v>0.81939470000000003</v>
      </c>
      <c r="N5498">
        <v>0</v>
      </c>
      <c r="O5498">
        <v>-0.57320909999999903</v>
      </c>
      <c r="P5498">
        <v>0.94703499999999996</v>
      </c>
      <c r="Q5498">
        <v>2.045336E-2</v>
      </c>
      <c r="R5498">
        <v>-0.32047769999999998</v>
      </c>
      <c r="S5498">
        <v>2.945068</v>
      </c>
      <c r="T5498">
        <v>-0.25537489999999902</v>
      </c>
      <c r="U5498">
        <v>-0.67761229999999995</v>
      </c>
      <c r="V5498">
        <v>-0.28053440000000002</v>
      </c>
      <c r="W5498">
        <v>2.1803860000000001E-2</v>
      </c>
      <c r="X5498">
        <v>0.95959629999999996</v>
      </c>
      <c r="Y5498">
        <v>-0.37182659999999901</v>
      </c>
      <c r="Z5498">
        <v>6.1665369999999997E-2</v>
      </c>
      <c r="AA5498">
        <v>0.92625179999999996</v>
      </c>
      <c r="AB5498">
        <v>23</v>
      </c>
      <c r="AC5498">
        <v>12.6843</v>
      </c>
      <c r="AD5498">
        <v>-1.1085591529700001</v>
      </c>
      <c r="AE5498">
        <v>-2.8762300000000001</v>
      </c>
      <c r="AF5498">
        <v>-4.8786057571642703</v>
      </c>
      <c r="AG5498">
        <v>-1.1085591529700001</v>
      </c>
      <c r="AH5498">
        <v>11.955420938981501</v>
      </c>
      <c r="AI5498">
        <v>94.906900797272201</v>
      </c>
      <c r="AJ5498">
        <v>112.198721683166</v>
      </c>
      <c r="AK5498">
        <v>12.960007228304599</v>
      </c>
    </row>
    <row r="5499" spans="1:37" x14ac:dyDescent="0.2">
      <c r="A5499" t="str">
        <f>"20200111153540995"</f>
        <v>20200111153540995</v>
      </c>
      <c r="B5499" t="str">
        <f>"1578728140991729"</f>
        <v>1578728140991729</v>
      </c>
      <c r="C5499" t="s">
        <v>37</v>
      </c>
      <c r="D5499">
        <v>4.6792629999999997</v>
      </c>
      <c r="E5499">
        <v>0.46026509999999998</v>
      </c>
      <c r="F5499" t="s">
        <v>71</v>
      </c>
      <c r="G5499">
        <v>-276.5523</v>
      </c>
      <c r="H5499" s="1">
        <v>-2.02741899999999E-6</v>
      </c>
      <c r="I5499">
        <v>-60.102219999999903</v>
      </c>
      <c r="J5499">
        <v>-289.3956</v>
      </c>
      <c r="K5499">
        <v>1.108573</v>
      </c>
      <c r="L5499">
        <v>-57.240419999999901</v>
      </c>
      <c r="M5499">
        <v>0.82194310000000004</v>
      </c>
      <c r="N5499">
        <v>0</v>
      </c>
      <c r="O5499">
        <v>-0.56954930000000004</v>
      </c>
      <c r="P5499">
        <v>0.94821409999999995</v>
      </c>
      <c r="Q5499">
        <v>2.0250810000000001E-2</v>
      </c>
      <c r="R5499">
        <v>-0.31698579999999998</v>
      </c>
      <c r="S5499">
        <v>2.9475099999999999</v>
      </c>
      <c r="T5499">
        <v>-0.25233369999999999</v>
      </c>
      <c r="U5499">
        <v>-0.66699219999999904</v>
      </c>
      <c r="V5499">
        <v>-0.27979199999999999</v>
      </c>
      <c r="W5499">
        <v>2.1517350000000001E-2</v>
      </c>
      <c r="X5499">
        <v>0.95981949999999905</v>
      </c>
      <c r="Y5499">
        <v>-0.37111569999999999</v>
      </c>
      <c r="Z5499">
        <v>6.0642750000000002E-2</v>
      </c>
      <c r="AA5499">
        <v>0.92660429999999905</v>
      </c>
      <c r="AB5499">
        <v>23</v>
      </c>
      <c r="AC5499">
        <v>12.843299999999999</v>
      </c>
      <c r="AD5499">
        <v>-1.108575027419</v>
      </c>
      <c r="AE5499">
        <v>-2.8618000000000001</v>
      </c>
      <c r="AF5499">
        <v>-4.9277364063362903</v>
      </c>
      <c r="AG5499">
        <v>-1.108575027419</v>
      </c>
      <c r="AH5499">
        <v>12.1006493281145</v>
      </c>
      <c r="AI5499">
        <v>94.849773669277894</v>
      </c>
      <c r="AJ5499">
        <v>112.15758280546299</v>
      </c>
      <c r="AK5499">
        <v>13.1124840836413</v>
      </c>
    </row>
    <row r="5500" spans="1:37" x14ac:dyDescent="0.2">
      <c r="A5500" t="str">
        <f>"20200111153541008"</f>
        <v>20200111153541008</v>
      </c>
      <c r="B5500" t="str">
        <f>"1578728141001488"</f>
        <v>1578728141001488</v>
      </c>
      <c r="C5500" t="s">
        <v>37</v>
      </c>
      <c r="D5500">
        <v>4.6873430000000003</v>
      </c>
      <c r="E5500">
        <v>0.46026509999999998</v>
      </c>
      <c r="F5500" t="s">
        <v>71</v>
      </c>
      <c r="G5500">
        <v>-276.4529</v>
      </c>
      <c r="H5500" s="1">
        <v>-1.9809649999999998E-6</v>
      </c>
      <c r="I5500">
        <v>-60.119369999999897</v>
      </c>
      <c r="J5500">
        <v>-289.29360000000003</v>
      </c>
      <c r="K5500">
        <v>1.108589</v>
      </c>
      <c r="L5500">
        <v>-57.305630000000001</v>
      </c>
      <c r="M5500">
        <v>0.82437399999999905</v>
      </c>
      <c r="N5500">
        <v>0</v>
      </c>
      <c r="O5500">
        <v>-0.56602569999999996</v>
      </c>
      <c r="P5500">
        <v>0.94938419999999901</v>
      </c>
      <c r="Q5500">
        <v>2.0646459999999998E-2</v>
      </c>
      <c r="R5500">
        <v>-0.3134381</v>
      </c>
      <c r="S5500">
        <v>2.9498599999999899</v>
      </c>
      <c r="T5500">
        <v>-0.25266179999999999</v>
      </c>
      <c r="U5500">
        <v>-0.65615840000000003</v>
      </c>
      <c r="V5500">
        <v>-0.27927249999999998</v>
      </c>
      <c r="W5500">
        <v>2.182769E-2</v>
      </c>
      <c r="X5500">
        <v>0.95996380000000003</v>
      </c>
      <c r="Y5500">
        <v>-0.37054740000000003</v>
      </c>
      <c r="Z5500">
        <v>6.0446430000000002E-2</v>
      </c>
      <c r="AA5500">
        <v>0.92684460000000002</v>
      </c>
      <c r="AB5500">
        <v>23</v>
      </c>
      <c r="AC5500">
        <v>12.8407</v>
      </c>
      <c r="AD5500">
        <v>-1.1085909809650001</v>
      </c>
      <c r="AE5500">
        <v>-2.8137399999999801</v>
      </c>
      <c r="AF5500">
        <v>-4.9137008933152702</v>
      </c>
      <c r="AG5500">
        <v>-1.1085909809650001</v>
      </c>
      <c r="AH5500">
        <v>12.092323190138901</v>
      </c>
      <c r="AI5500">
        <v>94.854650783804203</v>
      </c>
      <c r="AJ5500">
        <v>112.114306583854</v>
      </c>
      <c r="AK5500">
        <v>13.099530929266701</v>
      </c>
    </row>
    <row r="5501" spans="1:37" x14ac:dyDescent="0.2">
      <c r="A5501" t="str">
        <f>"20200111153541020"</f>
        <v>20200111153541020</v>
      </c>
      <c r="B5501" t="str">
        <f>"1578728141011248"</f>
        <v>1578728141011248</v>
      </c>
      <c r="C5501" t="s">
        <v>37</v>
      </c>
      <c r="D5501">
        <v>4.6796559999999996</v>
      </c>
      <c r="E5501">
        <v>0.46839380000000003</v>
      </c>
      <c r="F5501" t="s">
        <v>71</v>
      </c>
      <c r="G5501">
        <v>-276.27940000000001</v>
      </c>
      <c r="H5501" s="1">
        <v>-1.899801E-6</v>
      </c>
      <c r="I5501">
        <v>-60.149850000000001</v>
      </c>
      <c r="J5501">
        <v>-289.19310000000002</v>
      </c>
      <c r="K5501">
        <v>1.1086049999999901</v>
      </c>
      <c r="L5501">
        <v>-57.369599999999998</v>
      </c>
      <c r="M5501">
        <v>0.82674999999999998</v>
      </c>
      <c r="N5501">
        <v>0</v>
      </c>
      <c r="O5501">
        <v>-0.5625502</v>
      </c>
      <c r="P5501">
        <v>0.95047559999999998</v>
      </c>
      <c r="Q5501">
        <v>2.0572969999999999E-2</v>
      </c>
      <c r="R5501">
        <v>-0.31011739999999999</v>
      </c>
      <c r="S5501">
        <v>2.9523929999999998</v>
      </c>
      <c r="T5501">
        <v>-0.25149310000000002</v>
      </c>
      <c r="U5501">
        <v>-0.64523319999999995</v>
      </c>
      <c r="V5501">
        <v>-0.27858719999999998</v>
      </c>
      <c r="W5501">
        <v>2.1672279999999999E-2</v>
      </c>
      <c r="X5501">
        <v>0.96016639999999998</v>
      </c>
      <c r="Y5501">
        <v>-0.37011909999999998</v>
      </c>
      <c r="Z5501">
        <v>5.9898720000000003E-2</v>
      </c>
      <c r="AA5501">
        <v>0.92705119999999896</v>
      </c>
      <c r="AB5501">
        <v>23</v>
      </c>
      <c r="AC5501">
        <v>12.9137</v>
      </c>
      <c r="AD5501">
        <v>-1.1086068998009999</v>
      </c>
      <c r="AE5501">
        <v>-2.7802500000000001</v>
      </c>
      <c r="AF5501">
        <v>-4.93135374403741</v>
      </c>
      <c r="AG5501">
        <v>-1.1086068998009999</v>
      </c>
      <c r="AH5501">
        <v>12.154953581815301</v>
      </c>
      <c r="AI5501">
        <v>94.830898968643098</v>
      </c>
      <c r="AJ5501">
        <v>112.082755095347</v>
      </c>
      <c r="AK5501">
        <v>13.1639718771806</v>
      </c>
    </row>
    <row r="5502" spans="1:37" x14ac:dyDescent="0.2">
      <c r="A5502" t="str">
        <f>"20200111153541031"</f>
        <v>20200111153541031</v>
      </c>
      <c r="B5502" t="str">
        <f>"1578728141021009"</f>
        <v>1578728141021009</v>
      </c>
      <c r="C5502" t="s">
        <v>37</v>
      </c>
      <c r="D5502">
        <v>4.6784610000000004</v>
      </c>
      <c r="E5502">
        <v>0.46709040000000002</v>
      </c>
      <c r="F5502" t="s">
        <v>71</v>
      </c>
      <c r="G5502">
        <v>-274.58139999999997</v>
      </c>
      <c r="H5502" s="1">
        <v>-1.2201799999999899E-6</v>
      </c>
      <c r="I5502">
        <v>-60.835639999999998</v>
      </c>
      <c r="J5502">
        <v>-289.0806</v>
      </c>
      <c r="K5502">
        <v>1.1086279999999999</v>
      </c>
      <c r="L5502">
        <v>-57.440119999999901</v>
      </c>
      <c r="M5502">
        <v>0.82937839999999996</v>
      </c>
      <c r="N5502">
        <v>0</v>
      </c>
      <c r="O5502">
        <v>-0.55866850000000001</v>
      </c>
      <c r="P5502">
        <v>0.95170390000000005</v>
      </c>
      <c r="Q5502">
        <v>2.0724860000000001E-2</v>
      </c>
      <c r="R5502">
        <v>-0.30631720000000001</v>
      </c>
      <c r="S5502">
        <v>2.9340519999999999</v>
      </c>
      <c r="T5502">
        <v>-0.22260920000000001</v>
      </c>
      <c r="U5502">
        <v>-0.69598389999999999</v>
      </c>
      <c r="V5502">
        <v>-0.27792329999999998</v>
      </c>
      <c r="W5502">
        <v>2.1729970000000001E-2</v>
      </c>
      <c r="X5502">
        <v>0.96035740000000003</v>
      </c>
      <c r="Y5502">
        <v>-0.34990919999999998</v>
      </c>
      <c r="Z5502">
        <v>5.2222730000000002E-2</v>
      </c>
      <c r="AA5502">
        <v>0.93532689999999996</v>
      </c>
      <c r="AB5502">
        <v>24</v>
      </c>
      <c r="AC5502">
        <v>14.4992</v>
      </c>
      <c r="AD5502">
        <v>-1.1086292201800001</v>
      </c>
      <c r="AE5502">
        <v>-3.3955200000000101</v>
      </c>
      <c r="AF5502">
        <v>-5.2550055371933899</v>
      </c>
      <c r="AG5502">
        <v>-1.1086292201800001</v>
      </c>
      <c r="AH5502">
        <v>13.845701202377301</v>
      </c>
      <c r="AI5502">
        <v>94.281165313473196</v>
      </c>
      <c r="AJ5502">
        <v>110.78378634443899</v>
      </c>
      <c r="AK5502">
        <v>14.8508445459941</v>
      </c>
    </row>
    <row r="5503" spans="1:37" x14ac:dyDescent="0.2">
      <c r="A5503" t="str">
        <f>"20200111153541045"</f>
        <v>20200111153541045</v>
      </c>
      <c r="B5503" t="str">
        <f>"1578728141041505"</f>
        <v>1578728141041505</v>
      </c>
      <c r="C5503" t="s">
        <v>37</v>
      </c>
      <c r="D5503">
        <v>4.6917359999999997</v>
      </c>
      <c r="E5503">
        <v>0.46647329999999998</v>
      </c>
      <c r="F5503" t="s">
        <v>71</v>
      </c>
      <c r="G5503">
        <v>-274.21890000000002</v>
      </c>
      <c r="H5503" s="1">
        <v>-1.0674060000000001E-6</v>
      </c>
      <c r="I5503">
        <v>-60.847819999999999</v>
      </c>
      <c r="J5503">
        <v>-288.96839999999997</v>
      </c>
      <c r="K5503">
        <v>1.1086499999999999</v>
      </c>
      <c r="L5503">
        <v>-57.510010000000001</v>
      </c>
      <c r="M5503">
        <v>0.83197639999999995</v>
      </c>
      <c r="N5503">
        <v>0</v>
      </c>
      <c r="O5503">
        <v>-0.55479279999999997</v>
      </c>
      <c r="P5503">
        <v>0.95296309999999995</v>
      </c>
      <c r="Q5503">
        <v>2.0710619999999999E-2</v>
      </c>
      <c r="R5503">
        <v>-0.30237779999999997</v>
      </c>
      <c r="S5503">
        <v>2.9400330000000001</v>
      </c>
      <c r="T5503">
        <v>-0.21931590000000001</v>
      </c>
      <c r="U5503">
        <v>-0.67413330000000005</v>
      </c>
      <c r="V5503">
        <v>-0.27741569999999999</v>
      </c>
      <c r="W5503">
        <v>2.1618410000000001E-2</v>
      </c>
      <c r="X5503">
        <v>0.96050669999999905</v>
      </c>
      <c r="Y5503">
        <v>-0.35263049999999901</v>
      </c>
      <c r="Z5503">
        <v>5.1281640000000003E-2</v>
      </c>
      <c r="AA5503">
        <v>0.93435650000000003</v>
      </c>
      <c r="AB5503">
        <v>24</v>
      </c>
      <c r="AC5503">
        <v>14.7494999999999</v>
      </c>
      <c r="AD5503">
        <v>-1.1086510674059999</v>
      </c>
      <c r="AE5503">
        <v>-3.33780999999999</v>
      </c>
      <c r="AF5503">
        <v>-5.3770922638490504</v>
      </c>
      <c r="AG5503">
        <v>-1.1086510674059999</v>
      </c>
      <c r="AH5503">
        <v>14.0476712308879</v>
      </c>
      <c r="AI5503">
        <v>94.215396645791799</v>
      </c>
      <c r="AJ5503">
        <v>110.94557848054799</v>
      </c>
      <c r="AK5503">
        <v>15.0824167630497</v>
      </c>
    </row>
    <row r="5504" spans="1:37" x14ac:dyDescent="0.2">
      <c r="A5504" t="str">
        <f>"20200111153541058"</f>
        <v>20200111153541058</v>
      </c>
      <c r="B5504" t="str">
        <f>"1578728141051264"</f>
        <v>1578728141051264</v>
      </c>
      <c r="C5504" t="s">
        <v>37</v>
      </c>
      <c r="D5504">
        <v>4.7173319999999999</v>
      </c>
      <c r="E5504">
        <v>0.46630079999999902</v>
      </c>
      <c r="F5504" t="s">
        <v>71</v>
      </c>
      <c r="G5504">
        <v>-273.66750000000002</v>
      </c>
      <c r="H5504" s="1">
        <v>-8.4788829999999998E-7</v>
      </c>
      <c r="I5504">
        <v>-60.924419999999998</v>
      </c>
      <c r="J5504">
        <v>-288.84679999999997</v>
      </c>
      <c r="K5504">
        <v>1.108673</v>
      </c>
      <c r="L5504">
        <v>-57.585019999999901</v>
      </c>
      <c r="M5504">
        <v>0.83476059999999996</v>
      </c>
      <c r="N5504">
        <v>0</v>
      </c>
      <c r="O5504">
        <v>-0.55059550000000002</v>
      </c>
      <c r="P5504">
        <v>0.95433609999999902</v>
      </c>
      <c r="Q5504">
        <v>2.0983419999999999E-2</v>
      </c>
      <c r="R5504">
        <v>-0.29799699999999901</v>
      </c>
      <c r="S5504">
        <v>2.9442439999999999</v>
      </c>
      <c r="T5504">
        <v>-0.21333060000000001</v>
      </c>
      <c r="U5504">
        <v>-0.65701290000000001</v>
      </c>
      <c r="V5504">
        <v>-0.2769915</v>
      </c>
      <c r="W5504">
        <v>2.17848E-2</v>
      </c>
      <c r="X5504">
        <v>0.96062539999999996</v>
      </c>
      <c r="Y5504">
        <v>-0.35350579999999998</v>
      </c>
      <c r="Z5504">
        <v>4.9648930000000001E-2</v>
      </c>
      <c r="AA5504">
        <v>0.93411379999999999</v>
      </c>
      <c r="AB5504">
        <v>24</v>
      </c>
      <c r="AC5504">
        <v>15.1792999999999</v>
      </c>
      <c r="AD5504">
        <v>-1.1086738478883</v>
      </c>
      <c r="AE5504">
        <v>-3.3393999999999999</v>
      </c>
      <c r="AF5504">
        <v>-5.5419093590351904</v>
      </c>
      <c r="AG5504">
        <v>-1.1086738478883</v>
      </c>
      <c r="AH5504">
        <v>14.436422783841801</v>
      </c>
      <c r="AI5504">
        <v>94.100843781962396</v>
      </c>
      <c r="AJ5504">
        <v>111.000988811737</v>
      </c>
      <c r="AK5504">
        <v>15.5032970634823</v>
      </c>
    </row>
    <row r="5505" spans="1:37" x14ac:dyDescent="0.2">
      <c r="A5505" t="str">
        <f>"20200111153541069"</f>
        <v>20200111153541069</v>
      </c>
      <c r="B5505" t="str">
        <f>"1578728141061024"</f>
        <v>1578728141061024</v>
      </c>
      <c r="C5505" t="s">
        <v>37</v>
      </c>
      <c r="D5505">
        <v>4.7043339999999896</v>
      </c>
      <c r="E5505">
        <v>0.46609830000000002</v>
      </c>
      <c r="F5505" t="s">
        <v>71</v>
      </c>
      <c r="G5505">
        <v>-273.11320000000001</v>
      </c>
      <c r="H5505" s="1">
        <v>-6.2958379999999997E-7</v>
      </c>
      <c r="I5505">
        <v>-61.012069999999902</v>
      </c>
      <c r="J5505">
        <v>-288.74630000000002</v>
      </c>
      <c r="K5505">
        <v>1.1086879999999999</v>
      </c>
      <c r="L5505">
        <v>-57.646059999999999</v>
      </c>
      <c r="M5505">
        <v>0.83703419999999895</v>
      </c>
      <c r="N5505">
        <v>0</v>
      </c>
      <c r="O5505">
        <v>-0.54713369999999995</v>
      </c>
      <c r="P5505">
        <v>0.95535020000000004</v>
      </c>
      <c r="Q5505">
        <v>2.110687E-2</v>
      </c>
      <c r="R5505">
        <v>-0.29472169999999998</v>
      </c>
      <c r="S5505">
        <v>2.9476930000000001</v>
      </c>
      <c r="T5505">
        <v>-0.2077106</v>
      </c>
      <c r="U5505">
        <v>-0.6420593</v>
      </c>
      <c r="V5505">
        <v>-0.27630870000000002</v>
      </c>
      <c r="W5505">
        <v>2.1824840000000002E-2</v>
      </c>
      <c r="X5505">
        <v>0.96082109999999998</v>
      </c>
      <c r="Y5505">
        <v>-0.35449799999999998</v>
      </c>
      <c r="Z5505">
        <v>4.8164489999999997E-2</v>
      </c>
      <c r="AA5505">
        <v>0.93381550000000002</v>
      </c>
      <c r="AB5505">
        <v>24</v>
      </c>
      <c r="AC5505">
        <v>15.633100000000001</v>
      </c>
      <c r="AD5505">
        <v>-1.1086886295837901</v>
      </c>
      <c r="AE5505">
        <v>-3.36600999999999</v>
      </c>
      <c r="AF5505">
        <v>-5.7085439893680103</v>
      </c>
      <c r="AG5505">
        <v>-1.1086886295837901</v>
      </c>
      <c r="AH5505">
        <v>14.855826993635601</v>
      </c>
      <c r="AI5505">
        <v>93.984997653316299</v>
      </c>
      <c r="AJ5505">
        <v>111.019918407945</v>
      </c>
      <c r="AK5505">
        <v>15.9534404007647</v>
      </c>
    </row>
    <row r="5506" spans="1:37" x14ac:dyDescent="0.2">
      <c r="A5506" t="str">
        <f>"20200111153541083"</f>
        <v>20200111153541083</v>
      </c>
      <c r="B5506" t="str">
        <f>"1578728141070785"</f>
        <v>1578728141070785</v>
      </c>
      <c r="C5506" t="s">
        <v>37</v>
      </c>
      <c r="D5506">
        <v>4.7284350000000002</v>
      </c>
      <c r="E5506">
        <v>0.46610429999999903</v>
      </c>
      <c r="F5506" t="s">
        <v>71</v>
      </c>
      <c r="G5506">
        <v>-272.67399999999998</v>
      </c>
      <c r="H5506" s="1">
        <v>-4.5613209999999898E-7</v>
      </c>
      <c r="I5506">
        <v>-61.079519999999903</v>
      </c>
      <c r="J5506">
        <v>-288.6259</v>
      </c>
      <c r="K5506">
        <v>1.1087119999999999</v>
      </c>
      <c r="L5506">
        <v>-57.718869999999903</v>
      </c>
      <c r="M5506">
        <v>0.83973529999999996</v>
      </c>
      <c r="N5506">
        <v>0</v>
      </c>
      <c r="O5506">
        <v>-0.5429794</v>
      </c>
      <c r="P5506">
        <v>0.95656189999999996</v>
      </c>
      <c r="Q5506">
        <v>2.145963E-2</v>
      </c>
      <c r="R5506">
        <v>-0.2907381</v>
      </c>
      <c r="S5506">
        <v>2.950256</v>
      </c>
      <c r="T5506">
        <v>-0.20351129999999901</v>
      </c>
      <c r="U5506">
        <v>-0.63024899999999995</v>
      </c>
      <c r="V5506">
        <v>-0.27555249999999998</v>
      </c>
      <c r="W5506">
        <v>2.20775E-2</v>
      </c>
      <c r="X5506">
        <v>0.96103249999999996</v>
      </c>
      <c r="Y5506">
        <v>-0.35369609999999901</v>
      </c>
      <c r="Z5506">
        <v>4.6921610000000002E-2</v>
      </c>
      <c r="AA5506">
        <v>0.93418279999999998</v>
      </c>
      <c r="AB5506">
        <v>24</v>
      </c>
      <c r="AC5506">
        <v>15.951899999999901</v>
      </c>
      <c r="AD5506">
        <v>-1.1087124561321</v>
      </c>
      <c r="AE5506">
        <v>-3.3606500000000001</v>
      </c>
      <c r="AF5506">
        <v>-5.8126630811135396</v>
      </c>
      <c r="AG5506">
        <v>-1.1087124561321</v>
      </c>
      <c r="AH5506">
        <v>15.1501978896881</v>
      </c>
      <c r="AI5506">
        <v>93.908668697035907</v>
      </c>
      <c r="AJ5506">
        <v>110.99026577474299</v>
      </c>
      <c r="AK5506">
        <v>16.264832968759102</v>
      </c>
    </row>
    <row r="5507" spans="1:37" x14ac:dyDescent="0.2">
      <c r="A5507" t="str">
        <f>"20200111153541095"</f>
        <v>20200111153541095</v>
      </c>
      <c r="B5507" t="str">
        <f>"1578728141091280"</f>
        <v>1578728141091280</v>
      </c>
      <c r="C5507" t="s">
        <v>37</v>
      </c>
      <c r="D5507">
        <v>4.7161429999999998</v>
      </c>
      <c r="E5507">
        <v>0.46639619999999998</v>
      </c>
      <c r="F5507" t="s">
        <v>71</v>
      </c>
      <c r="G5507">
        <v>-272.31869999999998</v>
      </c>
      <c r="H5507" s="1">
        <v>-3.152422E-7</v>
      </c>
      <c r="I5507">
        <v>-61.131269999999901</v>
      </c>
      <c r="J5507">
        <v>-288.51139999999998</v>
      </c>
      <c r="K5507">
        <v>1.1087419999999999</v>
      </c>
      <c r="L5507">
        <v>-57.787230000000001</v>
      </c>
      <c r="M5507">
        <v>0.84227160000000001</v>
      </c>
      <c r="N5507">
        <v>0</v>
      </c>
      <c r="O5507">
        <v>-0.53903749999999995</v>
      </c>
      <c r="P5507">
        <v>0.95745190000000002</v>
      </c>
      <c r="Q5507">
        <v>2.1940729999999999E-2</v>
      </c>
      <c r="R5507">
        <v>-0.28775800000000001</v>
      </c>
      <c r="S5507">
        <v>2.9529109999999998</v>
      </c>
      <c r="T5507">
        <v>-0.20076659999999999</v>
      </c>
      <c r="U5507">
        <v>-0.61791989999999997</v>
      </c>
      <c r="V5507">
        <v>-0.2740416</v>
      </c>
      <c r="W5507">
        <v>2.247509E-2</v>
      </c>
      <c r="X5507">
        <v>0.96145519999999995</v>
      </c>
      <c r="Y5507">
        <v>-0.35327789999999998</v>
      </c>
      <c r="Z5507">
        <v>4.6045709999999997E-2</v>
      </c>
      <c r="AA5507">
        <v>0.93438460000000001</v>
      </c>
      <c r="AB5507">
        <v>24</v>
      </c>
      <c r="AC5507">
        <v>16.192699999999999</v>
      </c>
      <c r="AD5507">
        <v>-1.10874231524219</v>
      </c>
      <c r="AE5507">
        <v>-3.3440399999999801</v>
      </c>
      <c r="AF5507">
        <v>-5.8854685987481803</v>
      </c>
      <c r="AG5507">
        <v>-1.10874231524219</v>
      </c>
      <c r="AH5507">
        <v>15.372223698352901</v>
      </c>
      <c r="AI5507">
        <v>93.8535229930268</v>
      </c>
      <c r="AJ5507">
        <v>110.950036146709</v>
      </c>
      <c r="AK5507">
        <v>16.497675944831201</v>
      </c>
    </row>
    <row r="5508" spans="1:37" x14ac:dyDescent="0.2">
      <c r="A5508" t="str">
        <f>"20200111153541106"</f>
        <v>20200111153541106</v>
      </c>
      <c r="B5508" t="str">
        <f>"1578728141101040"</f>
        <v>1578728141101040</v>
      </c>
      <c r="C5508" t="s">
        <v>37</v>
      </c>
      <c r="D5508">
        <v>4.7125260000000004</v>
      </c>
      <c r="E5508">
        <v>0.46654449999999997</v>
      </c>
      <c r="F5508" t="s">
        <v>71</v>
      </c>
      <c r="G5508">
        <v>-271.75349999999997</v>
      </c>
      <c r="H5508" s="1">
        <v>-9.9565799999999995E-8</v>
      </c>
      <c r="I5508">
        <v>-61.251669999999997</v>
      </c>
      <c r="J5508">
        <v>-288.40410000000003</v>
      </c>
      <c r="K5508">
        <v>1.1087639999999901</v>
      </c>
      <c r="L5508">
        <v>-57.8506199999999</v>
      </c>
      <c r="M5508">
        <v>0.84462420000000005</v>
      </c>
      <c r="N5508">
        <v>0</v>
      </c>
      <c r="O5508">
        <v>-0.53534440000000005</v>
      </c>
      <c r="P5508">
        <v>0.95853129999999998</v>
      </c>
      <c r="Q5508">
        <v>2.2109119999999999E-2</v>
      </c>
      <c r="R5508">
        <v>-0.28412880000000001</v>
      </c>
      <c r="S5508">
        <v>2.9542540000000002</v>
      </c>
      <c r="T5508">
        <v>-0.19546089999999999</v>
      </c>
      <c r="U5508">
        <v>-0.61074830000000002</v>
      </c>
      <c r="V5508">
        <v>-0.27347480000000002</v>
      </c>
      <c r="W5508">
        <v>2.255422E-2</v>
      </c>
      <c r="X5508">
        <v>0.96161469999999905</v>
      </c>
      <c r="Y5508">
        <v>-0.35154669999999999</v>
      </c>
      <c r="Z5508">
        <v>4.4570569999999997E-2</v>
      </c>
      <c r="AA5508">
        <v>0.93510869999999902</v>
      </c>
      <c r="AB5508">
        <v>24</v>
      </c>
      <c r="AC5508">
        <v>16.650600000000001</v>
      </c>
      <c r="AD5508">
        <v>-1.1087640995657999</v>
      </c>
      <c r="AE5508">
        <v>-3.4010500000000001</v>
      </c>
      <c r="AF5508">
        <v>-6.0156392758115498</v>
      </c>
      <c r="AG5508">
        <v>-1.1087640995657999</v>
      </c>
      <c r="AH5508">
        <v>15.817035122714801</v>
      </c>
      <c r="AI5508">
        <v>93.748697138083898</v>
      </c>
      <c r="AJ5508">
        <v>110.823141136456</v>
      </c>
      <c r="AK5508">
        <v>16.958651886230999</v>
      </c>
    </row>
    <row r="5509" spans="1:37" x14ac:dyDescent="0.2">
      <c r="A5509" t="str">
        <f>"20200111153541129"</f>
        <v>20200111153541129</v>
      </c>
      <c r="B5509" t="str">
        <f>"1578728141121537"</f>
        <v>1578728141121537</v>
      </c>
      <c r="C5509" t="s">
        <v>37</v>
      </c>
      <c r="D5509">
        <v>4.7168910000000004</v>
      </c>
      <c r="E5509">
        <v>0.46669569999999999</v>
      </c>
      <c r="F5509" t="s">
        <v>71</v>
      </c>
      <c r="G5509">
        <v>-271.5634</v>
      </c>
      <c r="H5509" s="1">
        <v>-2.2492089999999999E-8</v>
      </c>
      <c r="I5509">
        <v>-61.271909999999998</v>
      </c>
      <c r="J5509">
        <v>-288.19349999999997</v>
      </c>
      <c r="K5509">
        <v>1.108806</v>
      </c>
      <c r="L5509">
        <v>-57.973329999999997</v>
      </c>
      <c r="M5509">
        <v>0.84916689999999995</v>
      </c>
      <c r="N5509">
        <v>0</v>
      </c>
      <c r="O5509">
        <v>-0.52810990000000002</v>
      </c>
      <c r="P5509">
        <v>0.96054419999999996</v>
      </c>
      <c r="Q5509">
        <v>2.181257E-2</v>
      </c>
      <c r="R5509">
        <v>-0.27727059999999998</v>
      </c>
      <c r="S5509">
        <v>2.9562680000000001</v>
      </c>
      <c r="T5509">
        <v>-0.19463649999999999</v>
      </c>
      <c r="U5509">
        <v>-0.60058590000000001</v>
      </c>
      <c r="V5509">
        <v>-0.2721344</v>
      </c>
      <c r="W5509">
        <v>2.2088460000000001E-2</v>
      </c>
      <c r="X5509">
        <v>0.96200569999999896</v>
      </c>
      <c r="Y5509">
        <v>-0.346796299999999</v>
      </c>
      <c r="Z5509">
        <v>4.3827860000000003E-2</v>
      </c>
      <c r="AA5509">
        <v>0.93691589999999902</v>
      </c>
      <c r="AB5509">
        <v>24</v>
      </c>
      <c r="AC5509">
        <v>16.630099999999899</v>
      </c>
      <c r="AD5509">
        <v>-1.1088060224920899</v>
      </c>
      <c r="AE5509">
        <v>-3.2985799999999901</v>
      </c>
      <c r="AF5509">
        <v>-5.9560464965567501</v>
      </c>
      <c r="AG5509">
        <v>-1.1088060224920899</v>
      </c>
      <c r="AH5509">
        <v>15.796301814297101</v>
      </c>
      <c r="AI5509">
        <v>93.757804997393905</v>
      </c>
      <c r="AJ5509">
        <v>110.659112815733</v>
      </c>
      <c r="AK5509">
        <v>16.918247299085898</v>
      </c>
    </row>
    <row r="5510" spans="1:37" x14ac:dyDescent="0.2">
      <c r="A5510" t="str">
        <f>"20200111153541143"</f>
        <v>20200111153541143</v>
      </c>
      <c r="B5510" t="str">
        <f>"1578728141131296"</f>
        <v>1578728141131296</v>
      </c>
      <c r="C5510" t="s">
        <v>37</v>
      </c>
      <c r="D5510">
        <v>4.6987569999999996</v>
      </c>
      <c r="E5510">
        <v>0.46681430000000002</v>
      </c>
      <c r="F5510" t="s">
        <v>71</v>
      </c>
      <c r="G5510">
        <v>-271.4631</v>
      </c>
      <c r="H5510" s="1">
        <v>2.464225E-8</v>
      </c>
      <c r="I5510">
        <v>-61.253419999999998</v>
      </c>
      <c r="J5510">
        <v>-288.07409999999999</v>
      </c>
      <c r="K5510">
        <v>1.1088279999999999</v>
      </c>
      <c r="L5510">
        <v>-58.041989999999998</v>
      </c>
      <c r="M5510">
        <v>0.85170210000000002</v>
      </c>
      <c r="N5510">
        <v>0</v>
      </c>
      <c r="O5510">
        <v>-0.52401229999999999</v>
      </c>
      <c r="P5510">
        <v>0.96172089999999999</v>
      </c>
      <c r="Q5510">
        <v>2.1693250000000001E-2</v>
      </c>
      <c r="R5510">
        <v>-0.27317140000000001</v>
      </c>
      <c r="S5510">
        <v>2.9601439999999899</v>
      </c>
      <c r="T5510">
        <v>-0.19618289999999999</v>
      </c>
      <c r="U5510">
        <v>-0.5803528</v>
      </c>
      <c r="V5510">
        <v>-0.27160259999999897</v>
      </c>
      <c r="W5510">
        <v>2.1872989999999998E-2</v>
      </c>
      <c r="X5510">
        <v>0.96216089999999999</v>
      </c>
      <c r="Y5510">
        <v>-0.34865359999999901</v>
      </c>
      <c r="Z5510">
        <v>4.3997710000000002E-2</v>
      </c>
      <c r="AA5510">
        <v>0.93621840000000001</v>
      </c>
      <c r="AB5510">
        <v>24</v>
      </c>
      <c r="AC5510">
        <v>16.610999999999901</v>
      </c>
      <c r="AD5510">
        <v>-1.1088279753577499</v>
      </c>
      <c r="AE5510">
        <v>-3.2114299999999898</v>
      </c>
      <c r="AF5510">
        <v>-5.9436999771121704</v>
      </c>
      <c r="AG5510">
        <v>-1.1088279753577499</v>
      </c>
      <c r="AH5510">
        <v>15.762861049491301</v>
      </c>
      <c r="AI5510">
        <v>93.765807936202904</v>
      </c>
      <c r="AJ5510">
        <v>110.659947968776</v>
      </c>
      <c r="AK5510">
        <v>16.8826792116189</v>
      </c>
    </row>
    <row r="5511" spans="1:37" x14ac:dyDescent="0.2">
      <c r="A5511" t="str">
        <f>"20200111153541155"</f>
        <v>20200111153541155</v>
      </c>
      <c r="B5511" t="str">
        <f>"1578728141150816"</f>
        <v>1578728141150816</v>
      </c>
      <c r="C5511" t="s">
        <v>37</v>
      </c>
      <c r="D5511">
        <v>4.7585129999999998</v>
      </c>
      <c r="E5511">
        <v>0.46660810000000003</v>
      </c>
      <c r="F5511" t="s">
        <v>71</v>
      </c>
      <c r="G5511">
        <v>-271.28859999999997</v>
      </c>
      <c r="H5511" s="1">
        <v>9.7385679999999894E-8</v>
      </c>
      <c r="I5511">
        <v>-61.262969999999903</v>
      </c>
      <c r="J5511">
        <v>-287.945999999999</v>
      </c>
      <c r="K5511">
        <v>1.1088519999999999</v>
      </c>
      <c r="L5511">
        <v>-58.114719999999998</v>
      </c>
      <c r="M5511">
        <v>0.85438510000000001</v>
      </c>
      <c r="N5511">
        <v>0</v>
      </c>
      <c r="O5511">
        <v>-0.5196269</v>
      </c>
      <c r="P5511">
        <v>0.96291949999999904</v>
      </c>
      <c r="Q5511">
        <v>2.1810690000000001E-2</v>
      </c>
      <c r="R5511">
        <v>-0.26890579999999997</v>
      </c>
      <c r="S5511">
        <v>2.9623719999999998</v>
      </c>
      <c r="T5511">
        <v>-0.19569029999999901</v>
      </c>
      <c r="U5511">
        <v>-0.56845089999999998</v>
      </c>
      <c r="V5511">
        <v>-0.27092159999999998</v>
      </c>
      <c r="W5511">
        <v>2.18910999999999E-2</v>
      </c>
      <c r="X5511">
        <v>0.96235249999999894</v>
      </c>
      <c r="Y5511">
        <v>-0.34761360000000002</v>
      </c>
      <c r="Z5511">
        <v>4.3604209999999997E-2</v>
      </c>
      <c r="AA5511">
        <v>0.93662339999999999</v>
      </c>
      <c r="AB5511">
        <v>24</v>
      </c>
      <c r="AC5511">
        <v>16.6573999999999</v>
      </c>
      <c r="AD5511">
        <v>-1.10885190261432</v>
      </c>
      <c r="AE5511">
        <v>-3.1482499999999898</v>
      </c>
      <c r="AF5511">
        <v>-5.94044087286251</v>
      </c>
      <c r="AG5511">
        <v>-1.10885190261432</v>
      </c>
      <c r="AH5511">
        <v>15.8002595638419</v>
      </c>
      <c r="AI5511">
        <v>93.758358499887194</v>
      </c>
      <c r="AJ5511">
        <v>110.604809548967</v>
      </c>
      <c r="AK5511">
        <v>16.916459221441201</v>
      </c>
    </row>
    <row r="5512" spans="1:37" x14ac:dyDescent="0.2">
      <c r="A5512" t="str">
        <f>"20200111153541166"</f>
        <v>20200111153541166</v>
      </c>
      <c r="B5512" t="str">
        <f>"1578728141161123"</f>
        <v>1578728141161123</v>
      </c>
      <c r="C5512" t="s">
        <v>37</v>
      </c>
      <c r="D5512">
        <v>4.7806660000000001</v>
      </c>
      <c r="E5512">
        <v>0.46658450000000001</v>
      </c>
      <c r="F5512" t="s">
        <v>71</v>
      </c>
      <c r="G5512">
        <v>-271.20389999999998</v>
      </c>
      <c r="H5512" s="1">
        <v>1.386214E-7</v>
      </c>
      <c r="I5512">
        <v>-61.24091</v>
      </c>
      <c r="J5512">
        <v>-287.83510000000001</v>
      </c>
      <c r="K5512">
        <v>1.1088719999999901</v>
      </c>
      <c r="L5512">
        <v>-58.176879999999997</v>
      </c>
      <c r="M5512">
        <v>0.85667719999999903</v>
      </c>
      <c r="N5512">
        <v>0</v>
      </c>
      <c r="O5512">
        <v>-0.51583979999999996</v>
      </c>
      <c r="P5512">
        <v>0.96391870000000002</v>
      </c>
      <c r="Q5512">
        <v>2.2102549999999999E-2</v>
      </c>
      <c r="R5512">
        <v>-0.26527770000000001</v>
      </c>
      <c r="S5512">
        <v>2.965363</v>
      </c>
      <c r="T5512">
        <v>-0.19639949999999901</v>
      </c>
      <c r="U5512">
        <v>-0.55371090000000001</v>
      </c>
      <c r="V5512">
        <v>-0.27028649999999999</v>
      </c>
      <c r="W5512">
        <v>2.210086E-2</v>
      </c>
      <c r="X5512">
        <v>0.96252629999999995</v>
      </c>
      <c r="Y5512">
        <v>-0.3481284</v>
      </c>
      <c r="Z5512">
        <v>4.3555459999999997E-2</v>
      </c>
      <c r="AA5512">
        <v>0.9364344</v>
      </c>
      <c r="AB5512">
        <v>24</v>
      </c>
      <c r="AC5512">
        <v>16.6312</v>
      </c>
      <c r="AD5512">
        <v>-1.1088718613785999</v>
      </c>
      <c r="AE5512">
        <v>-3.06402999999999</v>
      </c>
      <c r="AF5512">
        <v>-5.92869983361817</v>
      </c>
      <c r="AG5512">
        <v>-1.1088718613785999</v>
      </c>
      <c r="AH5512">
        <v>15.760462795369101</v>
      </c>
      <c r="AI5512">
        <v>93.767636053010094</v>
      </c>
      <c r="AJ5512">
        <v>110.61506956362901</v>
      </c>
      <c r="AK5512">
        <v>16.875167141285299</v>
      </c>
    </row>
    <row r="5513" spans="1:37" x14ac:dyDescent="0.2">
      <c r="A5513" t="str">
        <f>"20200111153541179"</f>
        <v>20200111153541179</v>
      </c>
      <c r="B5513" t="str">
        <f>"1578728141170883"</f>
        <v>1578728141170883</v>
      </c>
      <c r="C5513" t="s">
        <v>37</v>
      </c>
      <c r="D5513">
        <v>4.7455660000000002</v>
      </c>
      <c r="E5513">
        <v>0.4665009</v>
      </c>
      <c r="F5513" t="s">
        <v>71</v>
      </c>
      <c r="G5513">
        <v>-271.03269999999998</v>
      </c>
      <c r="H5513" s="1">
        <v>2.1066119999999999E-7</v>
      </c>
      <c r="I5513">
        <v>-61.24718</v>
      </c>
      <c r="J5513">
        <v>-287.72000000000003</v>
      </c>
      <c r="K5513">
        <v>1.1088910000000001</v>
      </c>
      <c r="L5513">
        <v>-58.241059999999997</v>
      </c>
      <c r="M5513">
        <v>0.85903130000000005</v>
      </c>
      <c r="N5513">
        <v>0</v>
      </c>
      <c r="O5513">
        <v>-0.51191019999999998</v>
      </c>
      <c r="P5513">
        <v>0.96499959999999996</v>
      </c>
      <c r="Q5513">
        <v>2.246006E-2</v>
      </c>
      <c r="R5513">
        <v>-0.26128829999999997</v>
      </c>
      <c r="S5513">
        <v>2.96759</v>
      </c>
      <c r="T5513">
        <v>-0.19584550000000001</v>
      </c>
      <c r="U5513">
        <v>-0.54226680000000005</v>
      </c>
      <c r="V5513">
        <v>-0.26985989999999999</v>
      </c>
      <c r="W5513">
        <v>2.2370210000000001E-2</v>
      </c>
      <c r="X5513">
        <v>0.96263969999999899</v>
      </c>
      <c r="Y5513">
        <v>-0.34747339999999999</v>
      </c>
      <c r="Z5513">
        <v>4.3183949999999999E-2</v>
      </c>
      <c r="AA5513">
        <v>0.9366949</v>
      </c>
      <c r="AB5513">
        <v>25</v>
      </c>
      <c r="AC5513">
        <v>16.6873</v>
      </c>
      <c r="AD5513">
        <v>-1.1088907893388</v>
      </c>
      <c r="AE5513">
        <v>-3.0061200000000001</v>
      </c>
      <c r="AF5513">
        <v>-5.9347046479596504</v>
      </c>
      <c r="AG5513">
        <v>-1.1088907893388</v>
      </c>
      <c r="AH5513">
        <v>15.8062781763511</v>
      </c>
      <c r="AI5513">
        <v>93.757687145591703</v>
      </c>
      <c r="AJ5513">
        <v>110.579400799475</v>
      </c>
      <c r="AK5513">
        <v>16.920070562187</v>
      </c>
    </row>
    <row r="5514" spans="1:37" x14ac:dyDescent="0.2">
      <c r="A5514" t="str">
        <f>"20200111153541190"</f>
        <v>20200111153541190</v>
      </c>
      <c r="B5514" t="str">
        <f>"1578728141181618"</f>
        <v>1578728141181618</v>
      </c>
      <c r="C5514" t="s">
        <v>37</v>
      </c>
      <c r="D5514">
        <v>4.7525969999999997</v>
      </c>
      <c r="E5514">
        <v>0.46655200000000002</v>
      </c>
      <c r="F5514" t="s">
        <v>71</v>
      </c>
      <c r="G5514">
        <v>-270.83640000000003</v>
      </c>
      <c r="H5514" s="1">
        <v>2.9436170000000002E-7</v>
      </c>
      <c r="I5514">
        <v>-61.249519999999997</v>
      </c>
      <c r="J5514">
        <v>-287.6071</v>
      </c>
      <c r="K5514">
        <v>1.108908</v>
      </c>
      <c r="L5514">
        <v>-58.303040000000003</v>
      </c>
      <c r="M5514">
        <v>0.86130519999999999</v>
      </c>
      <c r="N5514">
        <v>0</v>
      </c>
      <c r="O5514">
        <v>-0.50807559999999996</v>
      </c>
      <c r="P5514">
        <v>0.96607319999999997</v>
      </c>
      <c r="Q5514">
        <v>2.253314E-2</v>
      </c>
      <c r="R5514">
        <v>-0.25728400000000001</v>
      </c>
      <c r="S5514">
        <v>2.9700929999999999</v>
      </c>
      <c r="T5514">
        <v>-0.1950712</v>
      </c>
      <c r="U5514">
        <v>-0.52923580000000003</v>
      </c>
      <c r="V5514">
        <v>-0.26956160000000001</v>
      </c>
      <c r="W5514">
        <v>2.235972E-2</v>
      </c>
      <c r="X5514">
        <v>0.96272359999999901</v>
      </c>
      <c r="Y5514">
        <v>-0.34743540000000001</v>
      </c>
      <c r="Z5514">
        <v>4.2789170000000001E-2</v>
      </c>
      <c r="AA5514">
        <v>0.93672719999999898</v>
      </c>
      <c r="AB5514">
        <v>25</v>
      </c>
      <c r="AC5514">
        <v>16.770699999999898</v>
      </c>
      <c r="AD5514">
        <v>-1.1089077056383001</v>
      </c>
      <c r="AE5514">
        <v>-2.94647999999999</v>
      </c>
      <c r="AF5514">
        <v>-5.9577346703438696</v>
      </c>
      <c r="AG5514">
        <v>-1.1089077056383001</v>
      </c>
      <c r="AH5514">
        <v>15.874499225544699</v>
      </c>
      <c r="AI5514">
        <v>93.741841152205794</v>
      </c>
      <c r="AJ5514">
        <v>110.571224388207</v>
      </c>
      <c r="AK5514">
        <v>16.991880542296101</v>
      </c>
    </row>
    <row r="5515" spans="1:37" x14ac:dyDescent="0.2">
      <c r="A5515" t="str">
        <f>"20200111153541203"</f>
        <v>20200111153541203</v>
      </c>
      <c r="B5515" t="str">
        <f>"1578728141191378"</f>
        <v>1578728141191378</v>
      </c>
      <c r="C5515" t="s">
        <v>37</v>
      </c>
      <c r="D5515">
        <v>4.7719420000000001</v>
      </c>
      <c r="E5515">
        <v>0.46655239999999998</v>
      </c>
      <c r="F5515" t="s">
        <v>71</v>
      </c>
      <c r="G5515">
        <v>-270.70690000000002</v>
      </c>
      <c r="H5515" s="1">
        <v>3.5105680000000001E-7</v>
      </c>
      <c r="I5515">
        <v>-61.244399999999999</v>
      </c>
      <c r="J5515">
        <v>-287.49669999999998</v>
      </c>
      <c r="K5515">
        <v>1.1089279999999999</v>
      </c>
      <c r="L5515">
        <v>-58.363280000000003</v>
      </c>
      <c r="M5515">
        <v>0.86350550000000004</v>
      </c>
      <c r="N5515">
        <v>0</v>
      </c>
      <c r="O5515">
        <v>-0.50432770000000005</v>
      </c>
      <c r="P5515">
        <v>0.96716429999999998</v>
      </c>
      <c r="Q5515">
        <v>2.280722E-2</v>
      </c>
      <c r="R5515">
        <v>-0.25312689999999999</v>
      </c>
      <c r="S5515">
        <v>2.9721069999999998</v>
      </c>
      <c r="T5515">
        <v>-0.19501450000000001</v>
      </c>
      <c r="U5515">
        <v>-0.51727290000000004</v>
      </c>
      <c r="V5515">
        <v>-0.2695186</v>
      </c>
      <c r="W5515">
        <v>2.2549929999999999E-2</v>
      </c>
      <c r="X5515">
        <v>0.96273109999999995</v>
      </c>
      <c r="Y5515">
        <v>-0.34713690000000003</v>
      </c>
      <c r="Z5515">
        <v>4.2552520000000003E-2</v>
      </c>
      <c r="AA5515">
        <v>0.93684859999999903</v>
      </c>
      <c r="AB5515">
        <v>25</v>
      </c>
      <c r="AC5515">
        <v>16.7897999999999</v>
      </c>
      <c r="AD5515">
        <v>-1.1089276489432001</v>
      </c>
      <c r="AE5515">
        <v>-2.8811199999999899</v>
      </c>
      <c r="AF5515">
        <v>-5.9545012869251499</v>
      </c>
      <c r="AG5515">
        <v>-1.1089276489432001</v>
      </c>
      <c r="AH5515">
        <v>15.883899234403399</v>
      </c>
      <c r="AI5515">
        <v>93.7402220970652</v>
      </c>
      <c r="AJ5515">
        <v>110.549843652467</v>
      </c>
      <c r="AK5515">
        <v>16.9995311992792</v>
      </c>
    </row>
    <row r="5516" spans="1:37" x14ac:dyDescent="0.2">
      <c r="A5516" t="str">
        <f>"20200111153541215"</f>
        <v>20200111153541215</v>
      </c>
      <c r="B5516" t="str">
        <f>"1578728141210899"</f>
        <v>1578728141210899</v>
      </c>
      <c r="C5516" t="s">
        <v>37</v>
      </c>
      <c r="D5516">
        <v>4.6899809999999897</v>
      </c>
      <c r="E5516">
        <v>0.46672170000000002</v>
      </c>
      <c r="F5516" t="s">
        <v>71</v>
      </c>
      <c r="G5516">
        <v>-270.54430000000002</v>
      </c>
      <c r="H5516" s="1">
        <v>4.2209240000000001E-7</v>
      </c>
      <c r="I5516">
        <v>-61.23856</v>
      </c>
      <c r="J5516">
        <v>-287.37110000000001</v>
      </c>
      <c r="K5516">
        <v>1.1089439999999999</v>
      </c>
      <c r="L5516">
        <v>-58.430999999999997</v>
      </c>
      <c r="M5516">
        <v>0.86597369999999996</v>
      </c>
      <c r="N5516">
        <v>0</v>
      </c>
      <c r="O5516">
        <v>-0.50007800000000002</v>
      </c>
      <c r="P5516">
        <v>0.96833619999999898</v>
      </c>
      <c r="Q5516">
        <v>2.290859E-2</v>
      </c>
      <c r="R5516">
        <v>-0.2485967</v>
      </c>
      <c r="S5516">
        <v>2.974396</v>
      </c>
      <c r="T5516">
        <v>-0.1945682</v>
      </c>
      <c r="U5516">
        <v>-0.50448609999999905</v>
      </c>
      <c r="V5516">
        <v>-0.26929500000000001</v>
      </c>
      <c r="W5516">
        <v>2.2561370000000001E-2</v>
      </c>
      <c r="X5516">
        <v>0.96279340000000002</v>
      </c>
      <c r="Y5516">
        <v>-0.34658059999999902</v>
      </c>
      <c r="Z5516">
        <v>4.2191869999999999E-2</v>
      </c>
      <c r="AA5516">
        <v>0.93707079999999998</v>
      </c>
      <c r="AB5516">
        <v>25</v>
      </c>
      <c r="AC5516">
        <v>16.826799999999899</v>
      </c>
      <c r="AD5516">
        <v>-1.1089435779076</v>
      </c>
      <c r="AE5516">
        <v>-2.8075599999999898</v>
      </c>
      <c r="AF5516">
        <v>-5.9582963966158502</v>
      </c>
      <c r="AG5516">
        <v>-1.1089435779076</v>
      </c>
      <c r="AH5516">
        <v>15.9084344234798</v>
      </c>
      <c r="AI5516">
        <v>93.734939030341195</v>
      </c>
      <c r="AJ5516">
        <v>110.532781437919</v>
      </c>
      <c r="AK5516">
        <v>17.023787405130101</v>
      </c>
    </row>
    <row r="5517" spans="1:37" x14ac:dyDescent="0.2">
      <c r="A5517" t="str">
        <f>"20200111153541229"</f>
        <v>20200111153541229</v>
      </c>
      <c r="B5517" t="str">
        <f>"1578728141221635"</f>
        <v>1578728141221635</v>
      </c>
      <c r="C5517" t="s">
        <v>37</v>
      </c>
      <c r="D5517">
        <v>4.6867049999999999</v>
      </c>
      <c r="E5517">
        <v>0.46683029999999998</v>
      </c>
      <c r="F5517" t="s">
        <v>71</v>
      </c>
      <c r="G5517">
        <v>-270.3929</v>
      </c>
      <c r="H5517" s="1">
        <v>4.8755859999999996E-7</v>
      </c>
      <c r="I5517">
        <v>-61.236269999999998</v>
      </c>
      <c r="J5517">
        <v>-287.23309999999998</v>
      </c>
      <c r="K5517">
        <v>1.1089599999999999</v>
      </c>
      <c r="L5517">
        <v>-58.504390000000001</v>
      </c>
      <c r="M5517">
        <v>0.86864039999999998</v>
      </c>
      <c r="N5517">
        <v>0</v>
      </c>
      <c r="O5517">
        <v>-0.49543199999999998</v>
      </c>
      <c r="P5517">
        <v>0.96953919999999905</v>
      </c>
      <c r="Q5517">
        <v>2.275806E-2</v>
      </c>
      <c r="R5517">
        <v>-0.2438766</v>
      </c>
      <c r="S5517">
        <v>2.9764400000000002</v>
      </c>
      <c r="T5517">
        <v>-0.1944089</v>
      </c>
      <c r="U5517">
        <v>-0.49179079999999997</v>
      </c>
      <c r="V5517">
        <v>-0.2688277</v>
      </c>
      <c r="W5517">
        <v>2.232015E-2</v>
      </c>
      <c r="X5517">
        <v>0.962929699999999</v>
      </c>
      <c r="Y5517">
        <v>-0.34556490000000001</v>
      </c>
      <c r="Z5517">
        <v>4.185908E-2</v>
      </c>
      <c r="AA5517">
        <v>0.93746079999999998</v>
      </c>
      <c r="AB5517">
        <v>25</v>
      </c>
      <c r="AC5517">
        <v>16.8401999999999</v>
      </c>
      <c r="AD5517">
        <v>-1.10895951244139</v>
      </c>
      <c r="AE5517">
        <v>-2.7318799999999901</v>
      </c>
      <c r="AF5517">
        <v>-5.9450658613739202</v>
      </c>
      <c r="AG5517">
        <v>-1.10895951244139</v>
      </c>
      <c r="AH5517">
        <v>15.914383907538699</v>
      </c>
      <c r="AI5517">
        <v>93.734787089285106</v>
      </c>
      <c r="AJ5517">
        <v>110.483956985449</v>
      </c>
      <c r="AK5517">
        <v>17.024723623390699</v>
      </c>
    </row>
    <row r="5518" spans="1:37" x14ac:dyDescent="0.2">
      <c r="A5518" t="str">
        <f>"20200111153541242"</f>
        <v>20200111153541242</v>
      </c>
      <c r="B5518" t="str">
        <f>"1578728141231394"</f>
        <v>1578728141231394</v>
      </c>
      <c r="C5518" t="s">
        <v>37</v>
      </c>
      <c r="D5518">
        <v>4.689495</v>
      </c>
      <c r="E5518">
        <v>0.46691509999999897</v>
      </c>
      <c r="F5518" t="s">
        <v>71</v>
      </c>
      <c r="G5518">
        <v>-270.21940000000001</v>
      </c>
      <c r="H5518" s="1">
        <v>5.6263780000000003E-7</v>
      </c>
      <c r="I5518">
        <v>-61.233460000000001</v>
      </c>
      <c r="J5518">
        <v>-287.11290000000002</v>
      </c>
      <c r="K5518">
        <v>1.108975</v>
      </c>
      <c r="L5518">
        <v>-58.5678699999999</v>
      </c>
      <c r="M5518">
        <v>0.8709344</v>
      </c>
      <c r="N5518">
        <v>0</v>
      </c>
      <c r="O5518">
        <v>-0.49138850000000001</v>
      </c>
      <c r="P5518">
        <v>0.97056249999999999</v>
      </c>
      <c r="Q5518">
        <v>2.2496720000000001E-2</v>
      </c>
      <c r="R5518">
        <v>-0.23979589999999901</v>
      </c>
      <c r="S5518">
        <v>2.9786380000000001</v>
      </c>
      <c r="T5518">
        <v>-0.19414809999999999</v>
      </c>
      <c r="U5518">
        <v>-0.47778320000000002</v>
      </c>
      <c r="V5518">
        <v>-0.26840170000000002</v>
      </c>
      <c r="W5518">
        <v>2.198263E-2</v>
      </c>
      <c r="X5518">
        <v>0.96305620000000003</v>
      </c>
      <c r="Y5518">
        <v>-0.34562189999999998</v>
      </c>
      <c r="Z5518">
        <v>4.1572459999999999E-2</v>
      </c>
      <c r="AA5518">
        <v>0.93745249999999902</v>
      </c>
      <c r="AB5518">
        <v>25</v>
      </c>
      <c r="AC5518">
        <v>16.8935</v>
      </c>
      <c r="AD5518">
        <v>-1.1089744373621999</v>
      </c>
      <c r="AE5518">
        <v>-2.6655899999999999</v>
      </c>
      <c r="AF5518">
        <v>-5.9547122105307402</v>
      </c>
      <c r="AG5518">
        <v>-1.1089744373621999</v>
      </c>
      <c r="AH5518">
        <v>15.955967297185699</v>
      </c>
      <c r="AI5518">
        <v>93.725580369265103</v>
      </c>
      <c r="AJ5518">
        <v>110.465401631213</v>
      </c>
      <c r="AK5518">
        <v>17.0669655827223</v>
      </c>
    </row>
    <row r="5519" spans="1:37" x14ac:dyDescent="0.2">
      <c r="A5519" t="str">
        <f>"20200111153541253"</f>
        <v>20200111153541253</v>
      </c>
      <c r="B5519" t="str">
        <f>"1578728141241154"</f>
        <v>1578728141241154</v>
      </c>
      <c r="C5519" t="s">
        <v>37</v>
      </c>
      <c r="D5519">
        <v>4.6490119999999999</v>
      </c>
      <c r="E5519">
        <v>0.46709070000000003</v>
      </c>
      <c r="F5519" t="s">
        <v>71</v>
      </c>
      <c r="G5519">
        <v>-270.20089999999999</v>
      </c>
      <c r="H5519" s="1">
        <v>5.7568669999999998E-7</v>
      </c>
      <c r="I5519">
        <v>-61.210389999999997</v>
      </c>
      <c r="J5519">
        <v>-286.99270000000001</v>
      </c>
      <c r="K5519">
        <v>1.1089869999999999</v>
      </c>
      <c r="L5519">
        <v>-58.630400000000002</v>
      </c>
      <c r="M5519">
        <v>0.8731894</v>
      </c>
      <c r="N5519">
        <v>0</v>
      </c>
      <c r="O5519">
        <v>-0.48737049999999998</v>
      </c>
      <c r="P5519">
        <v>0.97149490000000005</v>
      </c>
      <c r="Q5519">
        <v>2.2550850000000001E-2</v>
      </c>
      <c r="R5519">
        <v>-0.235985799999999</v>
      </c>
      <c r="S5519">
        <v>2.9804379999999999</v>
      </c>
      <c r="T5519">
        <v>-0.19543769999999999</v>
      </c>
      <c r="U5519">
        <v>-0.46569820000000001</v>
      </c>
      <c r="V5519">
        <v>-0.26774419999999999</v>
      </c>
      <c r="W5519">
        <v>2.1968809999999998E-2</v>
      </c>
      <c r="X5519">
        <v>0.96323959999999997</v>
      </c>
      <c r="Y5519">
        <v>-0.3450838</v>
      </c>
      <c r="Z5519">
        <v>4.1598950000000003E-2</v>
      </c>
      <c r="AA5519">
        <v>0.93764950000000002</v>
      </c>
      <c r="AB5519">
        <v>25</v>
      </c>
      <c r="AC5519">
        <v>16.791799999999999</v>
      </c>
      <c r="AD5519">
        <v>-1.1089864243133001</v>
      </c>
      <c r="AE5519">
        <v>-2.57999</v>
      </c>
      <c r="AF5519">
        <v>-5.9058728039120698</v>
      </c>
      <c r="AG5519">
        <v>-1.1089864243133001</v>
      </c>
      <c r="AH5519">
        <v>15.852365536293901</v>
      </c>
      <c r="AI5519">
        <v>93.750685556224795</v>
      </c>
      <c r="AJ5519">
        <v>110.433112942767</v>
      </c>
      <c r="AK5519">
        <v>16.953072805883199</v>
      </c>
    </row>
    <row r="5520" spans="1:37" x14ac:dyDescent="0.2">
      <c r="A5520" t="str">
        <f>"20200111153541265"</f>
        <v>20200111153541265</v>
      </c>
      <c r="B5520" t="str">
        <f>"1578728141261702"</f>
        <v>1578728141261702</v>
      </c>
      <c r="C5520" t="s">
        <v>37</v>
      </c>
      <c r="D5520">
        <v>4.6744830000000004</v>
      </c>
      <c r="E5520">
        <v>0.46714279999999903</v>
      </c>
      <c r="F5520" t="s">
        <v>71</v>
      </c>
      <c r="G5520">
        <v>-270.09960000000001</v>
      </c>
      <c r="H5520" s="1">
        <v>6.1939769999999997E-7</v>
      </c>
      <c r="I5520">
        <v>-61.209269999999997</v>
      </c>
      <c r="J5520">
        <v>-286.88310000000001</v>
      </c>
      <c r="K5520">
        <v>1.1089929999999999</v>
      </c>
      <c r="L5520">
        <v>-58.686919999999901</v>
      </c>
      <c r="M5520">
        <v>0.87521959999999999</v>
      </c>
      <c r="N5520">
        <v>0</v>
      </c>
      <c r="O5520">
        <v>-0.48371579999999897</v>
      </c>
      <c r="P5520">
        <v>0.97232199999999902</v>
      </c>
      <c r="Q5520">
        <v>2.2208760000000001E-2</v>
      </c>
      <c r="R5520">
        <v>-0.23258719999999999</v>
      </c>
      <c r="S5520">
        <v>2.9820250000000001</v>
      </c>
      <c r="T5520">
        <v>-0.19576189999999999</v>
      </c>
      <c r="U5520">
        <v>-0.45523069999999999</v>
      </c>
      <c r="V5520">
        <v>-0.26708459999999901</v>
      </c>
      <c r="W5520">
        <v>2.1567880000000001E-2</v>
      </c>
      <c r="X5520">
        <v>0.963431699999999</v>
      </c>
      <c r="Y5520">
        <v>-0.34445500000000001</v>
      </c>
      <c r="Z5520">
        <v>4.1435239999999998E-2</v>
      </c>
      <c r="AA5520">
        <v>0.93788799999999894</v>
      </c>
      <c r="AB5520">
        <v>25</v>
      </c>
      <c r="AC5520">
        <v>16.7835</v>
      </c>
      <c r="AD5520">
        <v>-1.1089923806023001</v>
      </c>
      <c r="AE5520">
        <v>-2.5223499999999999</v>
      </c>
      <c r="AF5520">
        <v>-5.8857325633165702</v>
      </c>
      <c r="AG5520">
        <v>-1.1089923806023001</v>
      </c>
      <c r="AH5520">
        <v>15.8417868253782</v>
      </c>
      <c r="AI5520">
        <v>93.754453968758398</v>
      </c>
      <c r="AJ5520">
        <v>110.38164840999301</v>
      </c>
      <c r="AK5520">
        <v>16.936171991564201</v>
      </c>
    </row>
    <row r="5521" spans="1:37" x14ac:dyDescent="0.2">
      <c r="A5521" t="str">
        <f>"20200111153541276"</f>
        <v>20200111153541276</v>
      </c>
      <c r="B5521" t="str">
        <f>"1578728141271462"</f>
        <v>1578728141271462</v>
      </c>
      <c r="C5521" t="s">
        <v>37</v>
      </c>
      <c r="D5521">
        <v>4.668806</v>
      </c>
      <c r="E5521">
        <v>0.46720620000000002</v>
      </c>
      <c r="F5521" t="s">
        <v>71</v>
      </c>
      <c r="G5521">
        <v>-270.10270000000003</v>
      </c>
      <c r="H5521" s="1">
        <v>6.223785E-7</v>
      </c>
      <c r="I5521">
        <v>-61.189839999999997</v>
      </c>
      <c r="J5521">
        <v>-286.76310000000001</v>
      </c>
      <c r="K5521">
        <v>1.1090059999999999</v>
      </c>
      <c r="L5521">
        <v>-58.74823</v>
      </c>
      <c r="M5521">
        <v>0.87741250000000004</v>
      </c>
      <c r="N5521">
        <v>0</v>
      </c>
      <c r="O5521">
        <v>-0.47972680000000001</v>
      </c>
      <c r="P5521">
        <v>0.97327319999999995</v>
      </c>
      <c r="Q5521">
        <v>2.19834E-2</v>
      </c>
      <c r="R5521">
        <v>-0.2285962</v>
      </c>
      <c r="S5521">
        <v>2.9834589999999999</v>
      </c>
      <c r="T5521">
        <v>-0.1971734</v>
      </c>
      <c r="U5521">
        <v>-0.44500729999999999</v>
      </c>
      <c r="V5521">
        <v>-0.26665159999999999</v>
      </c>
      <c r="W5521">
        <v>2.127565E-2</v>
      </c>
      <c r="X5521">
        <v>0.96355809999999997</v>
      </c>
      <c r="Y5521">
        <v>-0.34337859999999998</v>
      </c>
      <c r="Z5521">
        <v>4.1466030000000001E-2</v>
      </c>
      <c r="AA5521">
        <v>0.93828120000000004</v>
      </c>
      <c r="AB5521">
        <v>25</v>
      </c>
      <c r="AC5521">
        <v>16.6603999999999</v>
      </c>
      <c r="AD5521">
        <v>-1.1090053776215001</v>
      </c>
      <c r="AE5521">
        <v>-2.4416099999999901</v>
      </c>
      <c r="AF5521">
        <v>-5.8249018865852298</v>
      </c>
      <c r="AG5521">
        <v>-1.1090053776215001</v>
      </c>
      <c r="AH5521">
        <v>15.7212287261724</v>
      </c>
      <c r="AI5521">
        <v>93.784461218108703</v>
      </c>
      <c r="AJ5521">
        <v>110.330265971771</v>
      </c>
      <c r="AK5521">
        <v>16.8022738811318</v>
      </c>
    </row>
    <row r="5522" spans="1:37" x14ac:dyDescent="0.2">
      <c r="A5522" t="str">
        <f>"20200111153541289"</f>
        <v>20200111153541289</v>
      </c>
      <c r="B5522" t="str">
        <f>"1578728141281222"</f>
        <v>1578728141281222</v>
      </c>
      <c r="C5522" t="s">
        <v>37</v>
      </c>
      <c r="D5522">
        <v>4.6619279999999996</v>
      </c>
      <c r="E5522">
        <v>0.4672848</v>
      </c>
      <c r="F5522" t="s">
        <v>71</v>
      </c>
      <c r="G5522">
        <v>-270.05360000000002</v>
      </c>
      <c r="H5522" s="1">
        <v>6.4738909999999999E-7</v>
      </c>
      <c r="I5522">
        <v>-61.172229999999999</v>
      </c>
      <c r="J5522">
        <v>-286.64670000000001</v>
      </c>
      <c r="K5522">
        <v>1.1090169999999999</v>
      </c>
      <c r="L5522">
        <v>-58.806849999999997</v>
      </c>
      <c r="M5522">
        <v>0.8795058</v>
      </c>
      <c r="N5522">
        <v>0</v>
      </c>
      <c r="O5522">
        <v>-0.4758791</v>
      </c>
      <c r="P5522">
        <v>0.97416139999999996</v>
      </c>
      <c r="Q5522">
        <v>2.1560099999999999E-2</v>
      </c>
      <c r="R5522">
        <v>-0.22482269999999999</v>
      </c>
      <c r="S5522">
        <v>2.9851380000000001</v>
      </c>
      <c r="T5522">
        <v>-0.19812199999999999</v>
      </c>
      <c r="U5522">
        <v>-0.4330444</v>
      </c>
      <c r="V5522">
        <v>-0.26616409999999902</v>
      </c>
      <c r="W5522">
        <v>2.0791770000000001E-2</v>
      </c>
      <c r="X5522">
        <v>0.96370349999999905</v>
      </c>
      <c r="Y5522">
        <v>-0.34301619999999999</v>
      </c>
      <c r="Z5522">
        <v>4.1426730000000002E-2</v>
      </c>
      <c r="AA5522">
        <v>0.93841549999999996</v>
      </c>
      <c r="AB5522">
        <v>25</v>
      </c>
      <c r="AC5522">
        <v>16.5930999999999</v>
      </c>
      <c r="AD5522">
        <v>-1.10901635261089</v>
      </c>
      <c r="AE5522">
        <v>-2.36538</v>
      </c>
      <c r="AF5522">
        <v>-5.7906173580526801</v>
      </c>
      <c r="AG5522">
        <v>-1.10901635261089</v>
      </c>
      <c r="AH5522">
        <v>15.650909445799901</v>
      </c>
      <c r="AI5522">
        <v>93.802101578912698</v>
      </c>
      <c r="AJ5522">
        <v>110.303768077962</v>
      </c>
      <c r="AK5522">
        <v>16.724596650991899</v>
      </c>
    </row>
    <row r="5523" spans="1:37" x14ac:dyDescent="0.2">
      <c r="A5523" t="str">
        <f>"20200111153541300"</f>
        <v>20200111153541300</v>
      </c>
      <c r="B5523" t="str">
        <f>"1578728141290981"</f>
        <v>1578728141290981</v>
      </c>
      <c r="C5523" t="s">
        <v>37</v>
      </c>
      <c r="D5523">
        <v>4.6865839999999999</v>
      </c>
      <c r="E5523">
        <v>0.46734910000000002</v>
      </c>
      <c r="F5523" t="s">
        <v>71</v>
      </c>
      <c r="G5523">
        <v>-270.07429999999999</v>
      </c>
      <c r="H5523" s="1">
        <v>6.4366709999999995E-7</v>
      </c>
      <c r="I5523">
        <v>-61.148989999999998</v>
      </c>
      <c r="J5523">
        <v>-286.5222</v>
      </c>
      <c r="K5523">
        <v>1.1090309999999901</v>
      </c>
      <c r="L5523">
        <v>-58.869230000000002</v>
      </c>
      <c r="M5523">
        <v>0.88171949999999999</v>
      </c>
      <c r="N5523">
        <v>0</v>
      </c>
      <c r="O5523">
        <v>-0.47176489999999999</v>
      </c>
      <c r="P5523">
        <v>0.97516080000000005</v>
      </c>
      <c r="Q5523">
        <v>2.109654E-2</v>
      </c>
      <c r="R5523">
        <v>-0.2204911</v>
      </c>
      <c r="S5523">
        <v>2.9866029999999899</v>
      </c>
      <c r="T5523">
        <v>-0.19986119999999999</v>
      </c>
      <c r="U5523">
        <v>-0.42208859999999898</v>
      </c>
      <c r="V5523">
        <v>-0.26594309999999899</v>
      </c>
      <c r="W5523">
        <v>2.0260210000000001E-2</v>
      </c>
      <c r="X5523">
        <v>0.96377579999999996</v>
      </c>
      <c r="Y5523">
        <v>-0.34204869999999998</v>
      </c>
      <c r="Z5523">
        <v>4.151374E-2</v>
      </c>
      <c r="AA5523">
        <v>0.93876479999999995</v>
      </c>
      <c r="AB5523">
        <v>26</v>
      </c>
      <c r="AC5523">
        <v>16.447900000000001</v>
      </c>
      <c r="AD5523">
        <v>-1.10903035633289</v>
      </c>
      <c r="AE5523">
        <v>-2.27976</v>
      </c>
      <c r="AF5523">
        <v>-5.7239251448916102</v>
      </c>
      <c r="AG5523">
        <v>-1.10903035633289</v>
      </c>
      <c r="AH5523">
        <v>15.508831878421301</v>
      </c>
      <c r="AI5523">
        <v>93.838010646823705</v>
      </c>
      <c r="AJ5523">
        <v>110.257852738636</v>
      </c>
      <c r="AK5523">
        <v>16.568558586332301</v>
      </c>
    </row>
    <row r="5524" spans="1:37" x14ac:dyDescent="0.2">
      <c r="A5524" t="str">
        <f>"20200111153541311"</f>
        <v>20200111153541311</v>
      </c>
      <c r="B5524" t="str">
        <f>"1578728141301718"</f>
        <v>1578728141301718</v>
      </c>
      <c r="C5524" t="s">
        <v>37</v>
      </c>
      <c r="D5524">
        <v>4.6635410000000004</v>
      </c>
      <c r="E5524">
        <v>0.46742499999999998</v>
      </c>
      <c r="F5524" t="s">
        <v>71</v>
      </c>
      <c r="G5524">
        <v>-270.0822</v>
      </c>
      <c r="H5524" s="1">
        <v>6.4662499999999898E-7</v>
      </c>
      <c r="I5524">
        <v>-61.120369999999902</v>
      </c>
      <c r="J5524">
        <v>-286.40170000000001</v>
      </c>
      <c r="K5524">
        <v>1.109043</v>
      </c>
      <c r="L5524">
        <v>-58.928649999999998</v>
      </c>
      <c r="M5524">
        <v>0.88382320000000003</v>
      </c>
      <c r="N5524">
        <v>0</v>
      </c>
      <c r="O5524">
        <v>-0.46781239999999902</v>
      </c>
      <c r="P5524">
        <v>0.97606530000000002</v>
      </c>
      <c r="Q5524">
        <v>2.0705009999999999E-2</v>
      </c>
      <c r="R5524">
        <v>-0.21649070000000001</v>
      </c>
      <c r="S5524">
        <v>2.9882200000000001</v>
      </c>
      <c r="T5524">
        <v>-0.20158309999999999</v>
      </c>
      <c r="U5524">
        <v>-0.40917969999999998</v>
      </c>
      <c r="V5524">
        <v>-0.26557829999999999</v>
      </c>
      <c r="W5524">
        <v>1.9807299999999899E-2</v>
      </c>
      <c r="X5524">
        <v>0.96388580000000001</v>
      </c>
      <c r="Y5524">
        <v>-0.34187089999999998</v>
      </c>
      <c r="Z5524">
        <v>4.16283E-2</v>
      </c>
      <c r="AA5524">
        <v>0.93882449999999995</v>
      </c>
      <c r="AB5524">
        <v>26</v>
      </c>
      <c r="AC5524">
        <v>16.319500000000001</v>
      </c>
      <c r="AD5524">
        <v>-1.109042353375</v>
      </c>
      <c r="AE5524">
        <v>-2.1917199999999899</v>
      </c>
      <c r="AF5524">
        <v>-5.6716651755063996</v>
      </c>
      <c r="AG5524">
        <v>-1.109042353375</v>
      </c>
      <c r="AH5524">
        <v>15.3791618646468</v>
      </c>
      <c r="AI5524">
        <v>93.870673449790203</v>
      </c>
      <c r="AJ5524">
        <v>110.243417708824</v>
      </c>
      <c r="AK5524">
        <v>16.4291320666564</v>
      </c>
    </row>
    <row r="5525" spans="1:37" x14ac:dyDescent="0.2">
      <c r="A5525" t="str">
        <f>"20200111153541323"</f>
        <v>20200111153541323</v>
      </c>
      <c r="B5525" t="str">
        <f>"1578728141311478"</f>
        <v>1578728141311478</v>
      </c>
      <c r="C5525" t="s">
        <v>37</v>
      </c>
      <c r="D5525">
        <v>4.6861360000000003</v>
      </c>
      <c r="E5525">
        <v>0.46749960000000002</v>
      </c>
      <c r="F5525" t="s">
        <v>71</v>
      </c>
      <c r="G5525">
        <v>-270.02140000000003</v>
      </c>
      <c r="H5525" s="1">
        <v>6.757966E-7</v>
      </c>
      <c r="I5525">
        <v>-61.106459999999998</v>
      </c>
      <c r="J5525">
        <v>-286.2842</v>
      </c>
      <c r="K5525">
        <v>1.1090530000000001</v>
      </c>
      <c r="L5525">
        <v>-58.986109999999996</v>
      </c>
      <c r="M5525">
        <v>0.88584909999999994</v>
      </c>
      <c r="N5525">
        <v>0</v>
      </c>
      <c r="O5525">
        <v>-0.46396480000000001</v>
      </c>
      <c r="P5525">
        <v>0.97696090000000002</v>
      </c>
      <c r="Q5525">
        <v>2.0760339999999999E-2</v>
      </c>
      <c r="R5525">
        <v>-0.2124064</v>
      </c>
      <c r="S5525">
        <v>2.989716</v>
      </c>
      <c r="T5525">
        <v>-0.2024212</v>
      </c>
      <c r="U5525">
        <v>-0.3974915</v>
      </c>
      <c r="V5525">
        <v>-0.26541940000000003</v>
      </c>
      <c r="W5525">
        <v>1.9801099999999999E-2</v>
      </c>
      <c r="X5525">
        <v>0.963929699999999</v>
      </c>
      <c r="Y5525">
        <v>-0.34144869999999999</v>
      </c>
      <c r="Z5525">
        <v>4.1554489999999999E-2</v>
      </c>
      <c r="AA5525">
        <v>0.93898139999999997</v>
      </c>
      <c r="AB5525">
        <v>26</v>
      </c>
      <c r="AC5525">
        <v>16.262799999999899</v>
      </c>
      <c r="AD5525">
        <v>-1.1090523242033901</v>
      </c>
      <c r="AE5525">
        <v>-2.1203500000000002</v>
      </c>
      <c r="AF5525">
        <v>-5.6412822917324199</v>
      </c>
      <c r="AG5525">
        <v>-1.1090523242033901</v>
      </c>
      <c r="AH5525">
        <v>15.320158604231899</v>
      </c>
      <c r="AI5525">
        <v>93.886277480964694</v>
      </c>
      <c r="AJ5525">
        <v>110.215023916603</v>
      </c>
      <c r="AK5525">
        <v>16.3634141489988</v>
      </c>
    </row>
    <row r="5526" spans="1:37" x14ac:dyDescent="0.2">
      <c r="A5526" t="str">
        <f>"20200111153541334"</f>
        <v>20200111153541334</v>
      </c>
      <c r="B5526" t="str">
        <f>"1578728141330998"</f>
        <v>1578728141330998</v>
      </c>
      <c r="C5526" t="s">
        <v>37</v>
      </c>
      <c r="D5526">
        <v>4.6941930000000003</v>
      </c>
      <c r="E5526">
        <v>0.46764349999999999</v>
      </c>
      <c r="F5526" t="s">
        <v>39</v>
      </c>
      <c r="G5526">
        <v>-269.899</v>
      </c>
      <c r="H5526" s="1">
        <v>-3.3838839999999999E-6</v>
      </c>
      <c r="I5526">
        <v>-61.098199999999999</v>
      </c>
      <c r="J5526">
        <v>-286.16520000000003</v>
      </c>
      <c r="K5526">
        <v>1.109059</v>
      </c>
      <c r="L5526">
        <v>-59.043729999999996</v>
      </c>
      <c r="M5526">
        <v>0.887871999999999</v>
      </c>
      <c r="N5526">
        <v>0</v>
      </c>
      <c r="O5526">
        <v>-0.46008260000000001</v>
      </c>
      <c r="P5526">
        <v>0.97779570000000005</v>
      </c>
      <c r="Q5526">
        <v>2.0698230000000001E-2</v>
      </c>
      <c r="R5526">
        <v>-0.20853659999999999</v>
      </c>
      <c r="S5526">
        <v>2.991241</v>
      </c>
      <c r="T5526">
        <v>-0.2024667</v>
      </c>
      <c r="U5526">
        <v>-0.38558959999999998</v>
      </c>
      <c r="V5526">
        <v>-0.26501590000000003</v>
      </c>
      <c r="W5526">
        <v>1.9680960000000001E-2</v>
      </c>
      <c r="X5526">
        <v>0.96404310000000004</v>
      </c>
      <c r="Y5526">
        <v>-0.34107949999999998</v>
      </c>
      <c r="Z5526">
        <v>4.1315900000000003E-2</v>
      </c>
      <c r="AA5526">
        <v>0.93912609999999996</v>
      </c>
      <c r="AB5526">
        <v>26</v>
      </c>
      <c r="AC5526">
        <v>16.266200000000001</v>
      </c>
      <c r="AD5526">
        <v>-1.1090623838839999</v>
      </c>
      <c r="AE5526">
        <v>-2.05446999999999</v>
      </c>
      <c r="AF5526">
        <v>-5.6339301970609803</v>
      </c>
      <c r="AG5526">
        <v>-1.1090623838839999</v>
      </c>
      <c r="AH5526">
        <v>15.3174960004671</v>
      </c>
      <c r="AI5526">
        <v>93.887508592645005</v>
      </c>
      <c r="AJ5526">
        <v>110.194033362657</v>
      </c>
      <c r="AK5526">
        <v>16.358388446330199</v>
      </c>
    </row>
    <row r="5527" spans="1:37" x14ac:dyDescent="0.2">
      <c r="A5527" t="str">
        <f>"20200111153541346"</f>
        <v>20200111153541346</v>
      </c>
      <c r="B5527" t="str">
        <f>"1578728141341734"</f>
        <v>1578728141341734</v>
      </c>
      <c r="C5527" t="s">
        <v>37</v>
      </c>
      <c r="D5527">
        <v>4.680593</v>
      </c>
      <c r="E5527">
        <v>0.46777380000000002</v>
      </c>
      <c r="F5527" t="s">
        <v>74</v>
      </c>
      <c r="G5527">
        <v>-269.80110000000002</v>
      </c>
      <c r="H5527" s="1">
        <v>-3.3496929999999999E-6</v>
      </c>
      <c r="I5527">
        <v>-61.093299999999999</v>
      </c>
      <c r="J5527">
        <v>-286.04349999999999</v>
      </c>
      <c r="K5527">
        <v>1.1090659999999899</v>
      </c>
      <c r="L5527">
        <v>-59.101869999999998</v>
      </c>
      <c r="M5527">
        <v>0.8899068</v>
      </c>
      <c r="N5527">
        <v>0</v>
      </c>
      <c r="O5527">
        <v>-0.456134599999999</v>
      </c>
      <c r="P5527">
        <v>0.9786144</v>
      </c>
      <c r="Q5527">
        <v>2.0838189999999999E-2</v>
      </c>
      <c r="R5527">
        <v>-0.2046451</v>
      </c>
      <c r="S5527">
        <v>2.9924930000000001</v>
      </c>
      <c r="T5527">
        <v>-0.202814299999999</v>
      </c>
      <c r="U5527">
        <v>-0.37481690000000001</v>
      </c>
      <c r="V5527">
        <v>-0.26456960000000002</v>
      </c>
      <c r="W5527">
        <v>1.976439E-2</v>
      </c>
      <c r="X5527">
        <v>0.96416409999999997</v>
      </c>
      <c r="Y5527">
        <v>-0.3402868</v>
      </c>
      <c r="Z5527">
        <v>4.112126E-2</v>
      </c>
      <c r="AA5527">
        <v>0.93942209999999904</v>
      </c>
      <c r="AB5527">
        <v>26</v>
      </c>
      <c r="AC5527">
        <v>16.2423999999999</v>
      </c>
      <c r="AD5527">
        <v>-1.109069349693</v>
      </c>
      <c r="AE5527">
        <v>-1.99143</v>
      </c>
      <c r="AF5527">
        <v>-5.6107808499426701</v>
      </c>
      <c r="AG5527">
        <v>-1.109069349693</v>
      </c>
      <c r="AH5527">
        <v>15.2923924494962</v>
      </c>
      <c r="AI5527">
        <v>93.8950385383488</v>
      </c>
      <c r="AJ5527">
        <v>110.14809397891899</v>
      </c>
      <c r="AK5527">
        <v>16.3269153056516</v>
      </c>
    </row>
    <row r="5528" spans="1:37" x14ac:dyDescent="0.2">
      <c r="A5528" t="str">
        <f>"20200111153541357"</f>
        <v>20200111153541357</v>
      </c>
      <c r="B5528" t="str">
        <f>"1578728141351494"</f>
        <v>1578728141351494</v>
      </c>
      <c r="C5528" t="s">
        <v>37</v>
      </c>
      <c r="D5528">
        <v>4.6569719999999997</v>
      </c>
      <c r="E5528">
        <v>0.46789380000000003</v>
      </c>
      <c r="F5528" t="s">
        <v>74</v>
      </c>
      <c r="G5528">
        <v>-269.62540000000001</v>
      </c>
      <c r="H5528" s="1">
        <v>-3.290542E-6</v>
      </c>
      <c r="I5528">
        <v>-61.097079999999998</v>
      </c>
      <c r="J5528">
        <v>-285.92559999999997</v>
      </c>
      <c r="K5528">
        <v>1.1090739999999999</v>
      </c>
      <c r="L5528">
        <v>-59.15793</v>
      </c>
      <c r="M5528">
        <v>0.89185599999999998</v>
      </c>
      <c r="N5528">
        <v>0</v>
      </c>
      <c r="O5528">
        <v>-0.45231199999999999</v>
      </c>
      <c r="P5528">
        <v>0.97931679999999999</v>
      </c>
      <c r="Q5528">
        <v>2.1265300000000001E-2</v>
      </c>
      <c r="R5528">
        <v>-0.201213</v>
      </c>
      <c r="S5528">
        <v>2.9937740000000002</v>
      </c>
      <c r="T5528">
        <v>-0.20223379999999999</v>
      </c>
      <c r="U5528">
        <v>-0.363830599999999</v>
      </c>
      <c r="V5528">
        <v>-0.26381529999999997</v>
      </c>
      <c r="W5528">
        <v>2.0141969999999999E-2</v>
      </c>
      <c r="X5528">
        <v>0.96436290000000002</v>
      </c>
      <c r="Y5528">
        <v>-0.33971780000000001</v>
      </c>
      <c r="Z5528">
        <v>4.075318E-2</v>
      </c>
      <c r="AA5528">
        <v>0.93964409999999898</v>
      </c>
      <c r="AB5528">
        <v>26</v>
      </c>
      <c r="AC5528">
        <v>16.300199999999901</v>
      </c>
      <c r="AD5528">
        <v>-1.1090772905419899</v>
      </c>
      <c r="AE5528">
        <v>-1.9391499999999899</v>
      </c>
      <c r="AF5528">
        <v>-5.6177080269689901</v>
      </c>
      <c r="AG5528">
        <v>-1.1090772905419899</v>
      </c>
      <c r="AH5528">
        <v>15.3445370665622</v>
      </c>
      <c r="AI5528">
        <v>93.882865127809595</v>
      </c>
      <c r="AJ5528">
        <v>110.10791874200601</v>
      </c>
      <c r="AK5528">
        <v>16.378141338374402</v>
      </c>
    </row>
    <row r="5529" spans="1:37" x14ac:dyDescent="0.2">
      <c r="A5529" t="str">
        <f>"20200111153541369"</f>
        <v>20200111153541369</v>
      </c>
      <c r="B5529" t="str">
        <f>"1578728141361254"</f>
        <v>1578728141361254</v>
      </c>
      <c r="C5529" t="s">
        <v>37</v>
      </c>
      <c r="D5529">
        <v>4.649127</v>
      </c>
      <c r="E5529">
        <v>0.46803489999999998</v>
      </c>
      <c r="F5529" t="s">
        <v>74</v>
      </c>
      <c r="G5529">
        <v>-269.39</v>
      </c>
      <c r="H5529" s="1">
        <v>-3.2134339999999899E-6</v>
      </c>
      <c r="I5529">
        <v>-61.113889999999998</v>
      </c>
      <c r="J5529">
        <v>-285.81150000000002</v>
      </c>
      <c r="K5529">
        <v>1.109089</v>
      </c>
      <c r="L5529">
        <v>-59.211209999999902</v>
      </c>
      <c r="M5529">
        <v>0.89370550000000004</v>
      </c>
      <c r="N5529">
        <v>0</v>
      </c>
      <c r="O5529">
        <v>-0.4486463</v>
      </c>
      <c r="P5529">
        <v>0.98002929999999999</v>
      </c>
      <c r="Q5529">
        <v>2.134985E-2</v>
      </c>
      <c r="R5529">
        <v>-0.19770409999999999</v>
      </c>
      <c r="S5529">
        <v>2.9949340000000002</v>
      </c>
      <c r="T5529">
        <v>-0.2008771</v>
      </c>
      <c r="U5529">
        <v>-0.354278599999999</v>
      </c>
      <c r="V5529">
        <v>-0.26331019999999999</v>
      </c>
      <c r="W5529">
        <v>2.0176779999999998E-2</v>
      </c>
      <c r="X5529">
        <v>0.96450020000000003</v>
      </c>
      <c r="Y5529">
        <v>-0.33888759999999901</v>
      </c>
      <c r="Z5529">
        <v>4.0230990000000001E-2</v>
      </c>
      <c r="AA5529">
        <v>0.93996630000000003</v>
      </c>
      <c r="AB5529">
        <v>26</v>
      </c>
      <c r="AC5529">
        <v>16.421500000000002</v>
      </c>
      <c r="AD5529">
        <v>-1.109092213434</v>
      </c>
      <c r="AE5529">
        <v>-1.9026800000000099</v>
      </c>
      <c r="AF5529">
        <v>-5.6416358655709899</v>
      </c>
      <c r="AG5529">
        <v>-1.109092213434</v>
      </c>
      <c r="AH5529">
        <v>15.4600820885353</v>
      </c>
      <c r="AI5529">
        <v>93.855457664691698</v>
      </c>
      <c r="AJ5529">
        <v>110.047849878272</v>
      </c>
      <c r="AK5529">
        <v>16.4946136348157</v>
      </c>
    </row>
    <row r="5530" spans="1:37" x14ac:dyDescent="0.2">
      <c r="A5530" t="str">
        <f>"20200111153541379"</f>
        <v>20200111153541379</v>
      </c>
      <c r="B5530" t="str">
        <f>"1578728141371015"</f>
        <v>1578728141371015</v>
      </c>
      <c r="C5530" t="s">
        <v>37</v>
      </c>
      <c r="D5530">
        <v>4.6973799999999999</v>
      </c>
      <c r="E5530">
        <v>0.46818759999999998</v>
      </c>
      <c r="F5530" t="s">
        <v>74</v>
      </c>
      <c r="G5530">
        <v>-269.27089999999998</v>
      </c>
      <c r="H5530" s="1">
        <v>-3.17287699999999E-6</v>
      </c>
      <c r="I5530">
        <v>-61.11383</v>
      </c>
      <c r="J5530">
        <v>-285.68639999999999</v>
      </c>
      <c r="K5530">
        <v>1.1090979999999999</v>
      </c>
      <c r="L5530">
        <v>-59.269379999999998</v>
      </c>
      <c r="M5530">
        <v>0.89571100000000003</v>
      </c>
      <c r="N5530">
        <v>0</v>
      </c>
      <c r="O5530">
        <v>-0.44462940000000001</v>
      </c>
      <c r="P5530">
        <v>0.98085409999999995</v>
      </c>
      <c r="Q5530">
        <v>2.1213099999999999E-2</v>
      </c>
      <c r="R5530">
        <v>-0.19358539999999999</v>
      </c>
      <c r="S5530">
        <v>2.9960019999999998</v>
      </c>
      <c r="T5530">
        <v>-0.20089019999999999</v>
      </c>
      <c r="U5530">
        <v>-0.34463499999999903</v>
      </c>
      <c r="V5530">
        <v>-0.26303070000000001</v>
      </c>
      <c r="W5530">
        <v>1.9981789999999999E-2</v>
      </c>
      <c r="X5530">
        <v>0.96458049999999995</v>
      </c>
      <c r="Y5530">
        <v>-0.33769959999999999</v>
      </c>
      <c r="Z5530">
        <v>3.99517E-2</v>
      </c>
      <c r="AA5530">
        <v>0.94040569999999901</v>
      </c>
      <c r="AB5530">
        <v>26</v>
      </c>
      <c r="AC5530">
        <v>16.415500000000002</v>
      </c>
      <c r="AD5530">
        <v>-1.1091011728769999</v>
      </c>
      <c r="AE5530">
        <v>-1.8444499999999999</v>
      </c>
      <c r="AF5530">
        <v>-5.6213967658198403</v>
      </c>
      <c r="AG5530">
        <v>-1.1091011728769999</v>
      </c>
      <c r="AH5530">
        <v>15.454024078036401</v>
      </c>
      <c r="AI5530">
        <v>93.858438633823098</v>
      </c>
      <c r="AJ5530">
        <v>109.988842090972</v>
      </c>
      <c r="AK5530">
        <v>16.482022546246402</v>
      </c>
    </row>
    <row r="5531" spans="1:37" x14ac:dyDescent="0.2">
      <c r="A5531" t="str">
        <f>"20200111153541391"</f>
        <v>20200111153541391</v>
      </c>
      <c r="B5531" t="str">
        <f>"1578728141381750"</f>
        <v>1578728141381750</v>
      </c>
      <c r="C5531" t="s">
        <v>37</v>
      </c>
      <c r="D5531">
        <v>4.6709189999999996</v>
      </c>
      <c r="E5531">
        <v>0.46818759999999998</v>
      </c>
      <c r="F5531" t="s">
        <v>74</v>
      </c>
      <c r="G5531">
        <v>-269.19209999999998</v>
      </c>
      <c r="H5531" s="1">
        <v>-3.140138E-6</v>
      </c>
      <c r="I5531">
        <v>-61.103279999999998</v>
      </c>
      <c r="J5531">
        <v>-285.5659</v>
      </c>
      <c r="K5531">
        <v>1.109102</v>
      </c>
      <c r="L5531">
        <v>-59.324489999999997</v>
      </c>
      <c r="M5531">
        <v>0.89760580000000001</v>
      </c>
      <c r="N5531">
        <v>0</v>
      </c>
      <c r="O5531">
        <v>-0.44079220000000002</v>
      </c>
      <c r="P5531">
        <v>0.98158349999999905</v>
      </c>
      <c r="Q5531">
        <v>2.1263489999999999E-2</v>
      </c>
      <c r="R5531">
        <v>-0.18984809999999999</v>
      </c>
      <c r="S5531">
        <v>2.9971919999999899</v>
      </c>
      <c r="T5531">
        <v>-0.2015364</v>
      </c>
      <c r="U5531">
        <v>-0.33325199999999999</v>
      </c>
      <c r="V5531">
        <v>-0.26257720000000001</v>
      </c>
      <c r="W5531">
        <v>1.998084E-2</v>
      </c>
      <c r="X5531">
        <v>0.96470409999999995</v>
      </c>
      <c r="Y5531">
        <v>-0.33724009999999999</v>
      </c>
      <c r="Z5531">
        <v>3.9832119999999999E-2</v>
      </c>
      <c r="AA5531">
        <v>0.94057570000000001</v>
      </c>
      <c r="AB5531">
        <v>27</v>
      </c>
      <c r="AC5531">
        <v>16.373799999999999</v>
      </c>
      <c r="AD5531">
        <v>-1.1091051401380001</v>
      </c>
      <c r="AE5531">
        <v>-1.7787900000000001</v>
      </c>
      <c r="AF5531">
        <v>-5.5954343874686199</v>
      </c>
      <c r="AG5531">
        <v>-1.1091051401380001</v>
      </c>
      <c r="AH5531">
        <v>15.4114548299018</v>
      </c>
      <c r="AI5531">
        <v>93.869919765207797</v>
      </c>
      <c r="AJ5531">
        <v>109.954432604041</v>
      </c>
      <c r="AK5531">
        <v>16.433257138207502</v>
      </c>
    </row>
    <row r="5532" spans="1:37" x14ac:dyDescent="0.2">
      <c r="A5532" t="str">
        <f>"20200111153541402"</f>
        <v>20200111153541402</v>
      </c>
      <c r="B5532" t="str">
        <f>"1578728141391510"</f>
        <v>1578728141391510</v>
      </c>
      <c r="C5532" t="s">
        <v>37</v>
      </c>
      <c r="D5532">
        <v>4.7027390000000002</v>
      </c>
      <c r="E5532">
        <v>0.47510649999999999</v>
      </c>
      <c r="F5532" t="s">
        <v>74</v>
      </c>
      <c r="G5532">
        <v>-269.05759999999998</v>
      </c>
      <c r="H5532" s="1">
        <v>-3.0806089999999998E-6</v>
      </c>
      <c r="I5532">
        <v>-61.096539999999997</v>
      </c>
      <c r="J5532">
        <v>-285.45519999999999</v>
      </c>
      <c r="K5532">
        <v>1.1091089999999999</v>
      </c>
      <c r="L5532">
        <v>-59.374879999999997</v>
      </c>
      <c r="M5532">
        <v>0.89932610000000002</v>
      </c>
      <c r="N5532">
        <v>0</v>
      </c>
      <c r="O5532">
        <v>-0.43727149999999998</v>
      </c>
      <c r="P5532">
        <v>0.98231619999999997</v>
      </c>
      <c r="Q5532">
        <v>2.1260649999999999E-2</v>
      </c>
      <c r="R5532">
        <v>-0.18601779999999901</v>
      </c>
      <c r="S5532">
        <v>2.9984130000000002</v>
      </c>
      <c r="T5532">
        <v>-0.20144699999999999</v>
      </c>
      <c r="U5532">
        <v>-0.32186890000000001</v>
      </c>
      <c r="V5532">
        <v>-0.2625595</v>
      </c>
      <c r="W5532">
        <v>1.9925060000000001E-2</v>
      </c>
      <c r="X5532">
        <v>0.96471010000000001</v>
      </c>
      <c r="Y5532">
        <v>-0.33713219999999999</v>
      </c>
      <c r="Z5532">
        <v>3.9596390000000002E-2</v>
      </c>
      <c r="AA5532">
        <v>0.94062420000000002</v>
      </c>
      <c r="AB5532">
        <v>27</v>
      </c>
      <c r="AC5532">
        <v>16.397600000000001</v>
      </c>
      <c r="AD5532">
        <v>-1.109112080609</v>
      </c>
      <c r="AE5532">
        <v>-1.72165999999999</v>
      </c>
      <c r="AF5532">
        <v>-5.5965617635121996</v>
      </c>
      <c r="AG5532">
        <v>-1.109112080609</v>
      </c>
      <c r="AH5532">
        <v>15.429848843879199</v>
      </c>
      <c r="AI5532">
        <v>93.865789095690303</v>
      </c>
      <c r="AJ5532">
        <v>109.936218827414</v>
      </c>
      <c r="AK5532">
        <v>16.4508926361192</v>
      </c>
    </row>
    <row r="5533" spans="1:37" x14ac:dyDescent="0.2">
      <c r="A5533" t="str">
        <f>"20200111153541413"</f>
        <v>20200111153541413</v>
      </c>
      <c r="B5533" t="str">
        <f>"1578728141401269"</f>
        <v>1578728141401269</v>
      </c>
      <c r="C5533" t="s">
        <v>37</v>
      </c>
      <c r="D5533">
        <v>4.646134</v>
      </c>
      <c r="E5533">
        <v>0.47480129999999998</v>
      </c>
      <c r="F5533" t="s">
        <v>39</v>
      </c>
      <c r="G5533">
        <v>-269.29079999999999</v>
      </c>
      <c r="H5533" s="1">
        <v>-3.220817E-6</v>
      </c>
      <c r="I5533">
        <v>-61.345759999999999</v>
      </c>
      <c r="J5533">
        <v>-285.3236</v>
      </c>
      <c r="K5533">
        <v>1.1091150000000001</v>
      </c>
      <c r="L5533">
        <v>-59.433959999999999</v>
      </c>
      <c r="M5533">
        <v>0.90133580000000002</v>
      </c>
      <c r="N5533">
        <v>0</v>
      </c>
      <c r="O5533">
        <v>-0.43311450000000001</v>
      </c>
      <c r="P5533">
        <v>0.98317149999999998</v>
      </c>
      <c r="Q5533">
        <v>2.1295250000000002E-2</v>
      </c>
      <c r="R5533">
        <v>-0.1814405</v>
      </c>
      <c r="S5533">
        <v>2.9893800000000001</v>
      </c>
      <c r="T5533">
        <v>-0.20511559999999901</v>
      </c>
      <c r="U5533">
        <v>-0.36450199999999999</v>
      </c>
      <c r="V5533">
        <v>-0.26259919999999998</v>
      </c>
      <c r="W5533">
        <v>1.989788E-2</v>
      </c>
      <c r="X5533">
        <v>0.9646998</v>
      </c>
      <c r="Y5533">
        <v>-0.31916879999999997</v>
      </c>
      <c r="Z5533">
        <v>3.9511629999999999E-2</v>
      </c>
      <c r="AA5533">
        <v>0.94687379999999999</v>
      </c>
      <c r="AB5533">
        <v>27</v>
      </c>
      <c r="AC5533">
        <v>16.032800000000002</v>
      </c>
      <c r="AD5533">
        <v>-1.1091182208170001</v>
      </c>
      <c r="AE5533">
        <v>-1.91179999999999</v>
      </c>
      <c r="AF5533">
        <v>-5.1963599101959499</v>
      </c>
      <c r="AG5533">
        <v>-1.1091182208170001</v>
      </c>
      <c r="AH5533">
        <v>15.2072521101153</v>
      </c>
      <c r="AI5533">
        <v>93.948039911799498</v>
      </c>
      <c r="AJ5533">
        <v>108.865438992585</v>
      </c>
      <c r="AK5533">
        <v>16.1087807199876</v>
      </c>
    </row>
    <row r="5534" spans="1:37" x14ac:dyDescent="0.2">
      <c r="A5534" t="str">
        <f>"20200111153541426"</f>
        <v>20200111153541426</v>
      </c>
      <c r="B5534" t="str">
        <f>"1578728141421766"</f>
        <v>1578728141421766</v>
      </c>
      <c r="C5534" t="s">
        <v>37</v>
      </c>
      <c r="D5534">
        <v>4.7098230000000001</v>
      </c>
      <c r="E5534">
        <v>0.474999</v>
      </c>
      <c r="F5534" t="s">
        <v>39</v>
      </c>
      <c r="G5534">
        <v>-269.2165</v>
      </c>
      <c r="H5534" s="1">
        <v>-3.1889079999999999E-6</v>
      </c>
      <c r="I5534">
        <v>-61.308540000000001</v>
      </c>
      <c r="J5534">
        <v>-285.19279999999998</v>
      </c>
      <c r="K5534">
        <v>1.1091219999999999</v>
      </c>
      <c r="L5534">
        <v>-59.491969999999903</v>
      </c>
      <c r="M5534">
        <v>0.90329899999999996</v>
      </c>
      <c r="N5534">
        <v>0</v>
      </c>
      <c r="O5534">
        <v>-0.42900500000000003</v>
      </c>
      <c r="P5534">
        <v>0.9838732</v>
      </c>
      <c r="Q5534">
        <v>2.1106219999999998E-2</v>
      </c>
      <c r="R5534">
        <v>-0.17761740000000001</v>
      </c>
      <c r="S5534">
        <v>2.9915470000000002</v>
      </c>
      <c r="T5534">
        <v>-0.2059947</v>
      </c>
      <c r="U5534">
        <v>-0.34817500000000001</v>
      </c>
      <c r="V5534">
        <v>-0.26195360000000001</v>
      </c>
      <c r="W5534">
        <v>1.9659989999999999E-2</v>
      </c>
      <c r="X5534">
        <v>0.96488019999999997</v>
      </c>
      <c r="Y5534">
        <v>-0.3200249</v>
      </c>
      <c r="Z5534">
        <v>3.944773E-2</v>
      </c>
      <c r="AA5534">
        <v>0.94658750000000003</v>
      </c>
      <c r="AB5534">
        <v>27</v>
      </c>
      <c r="AC5534">
        <v>15.976299999999901</v>
      </c>
      <c r="AD5534">
        <v>-1.109125188908</v>
      </c>
      <c r="AE5534">
        <v>-1.81657</v>
      </c>
      <c r="AF5534">
        <v>-5.1883349753840298</v>
      </c>
      <c r="AG5534">
        <v>-1.109125188908</v>
      </c>
      <c r="AH5534">
        <v>15.138705355279001</v>
      </c>
      <c r="AI5534">
        <v>93.964652672572996</v>
      </c>
      <c r="AJ5534">
        <v>108.917605742484</v>
      </c>
      <c r="AK5534">
        <v>16.041489280469499</v>
      </c>
    </row>
    <row r="5535" spans="1:37" x14ac:dyDescent="0.2">
      <c r="A5535" t="str">
        <f>"20200111153541437"</f>
        <v>20200111153541437</v>
      </c>
      <c r="B5535" t="str">
        <f>"1578728141431526"</f>
        <v>1578728141431526</v>
      </c>
      <c r="C5535" t="s">
        <v>37</v>
      </c>
      <c r="D5535">
        <v>4.701098</v>
      </c>
      <c r="E5535">
        <v>0.47503519999999999</v>
      </c>
      <c r="F5535" t="s">
        <v>74</v>
      </c>
      <c r="G5535">
        <v>-269.37290000000002</v>
      </c>
      <c r="H5535" s="1">
        <v>-3.2368110000000002E-6</v>
      </c>
      <c r="I5535">
        <v>-61.278569999999903</v>
      </c>
      <c r="J5535">
        <v>-285.06830000000002</v>
      </c>
      <c r="K5535">
        <v>1.109124</v>
      </c>
      <c r="L5535">
        <v>-59.546779999999998</v>
      </c>
      <c r="M5535">
        <v>0.90514139999999998</v>
      </c>
      <c r="N5535">
        <v>0</v>
      </c>
      <c r="O5535">
        <v>-0.425104599999999</v>
      </c>
      <c r="P5535">
        <v>0.98455969999999904</v>
      </c>
      <c r="Q5535">
        <v>2.1274560000000001E-2</v>
      </c>
      <c r="R5535">
        <v>-0.17375189999999999</v>
      </c>
      <c r="S5535">
        <v>2.992645</v>
      </c>
      <c r="T5535">
        <v>-0.20981279999999899</v>
      </c>
      <c r="U5535">
        <v>-0.33798220000000001</v>
      </c>
      <c r="V5535">
        <v>-0.2615826</v>
      </c>
      <c r="W5535">
        <v>1.9779169999999999E-2</v>
      </c>
      <c r="X5535">
        <v>0.96497840000000001</v>
      </c>
      <c r="Y5535">
        <v>-0.3191099</v>
      </c>
      <c r="Z5535">
        <v>3.9896559999999998E-2</v>
      </c>
      <c r="AA5535">
        <v>0.94687759999999999</v>
      </c>
      <c r="AB5535">
        <v>27</v>
      </c>
      <c r="AC5535">
        <v>15.695399999999999</v>
      </c>
      <c r="AD5535">
        <v>-1.1091272368109999</v>
      </c>
      <c r="AE5535">
        <v>-1.73178999999998</v>
      </c>
      <c r="AF5535">
        <v>-5.0796242354061203</v>
      </c>
      <c r="AG5535">
        <v>-1.1091272368109999</v>
      </c>
      <c r="AH5535">
        <v>14.8694269306551</v>
      </c>
      <c r="AI5535">
        <v>94.037584183788994</v>
      </c>
      <c r="AJ5535">
        <v>108.860953775664</v>
      </c>
      <c r="AK5535">
        <v>15.7522253299797</v>
      </c>
    </row>
    <row r="5536" spans="1:37" x14ac:dyDescent="0.2">
      <c r="A5536" t="str">
        <f>"20200111153541449"</f>
        <v>20200111153541449</v>
      </c>
      <c r="B5536" t="str">
        <f>"1578728141441286"</f>
        <v>1578728141441286</v>
      </c>
      <c r="C5536" t="s">
        <v>37</v>
      </c>
      <c r="D5536">
        <v>4.7364489999999897</v>
      </c>
      <c r="E5536">
        <v>0.47509589999999902</v>
      </c>
      <c r="F5536" t="s">
        <v>74</v>
      </c>
      <c r="G5536">
        <v>-269.1309</v>
      </c>
      <c r="H5536" s="1">
        <v>-3.1554770000000001E-6</v>
      </c>
      <c r="I5536">
        <v>-61.284289999999999</v>
      </c>
      <c r="J5536">
        <v>-284.94409999999999</v>
      </c>
      <c r="K5536">
        <v>1.109132</v>
      </c>
      <c r="L5536">
        <v>-59.600519999999896</v>
      </c>
      <c r="M5536">
        <v>0.90694219999999903</v>
      </c>
      <c r="N5536">
        <v>0</v>
      </c>
      <c r="O5536">
        <v>-0.42124879999999998</v>
      </c>
      <c r="P5536">
        <v>0.98519639999999997</v>
      </c>
      <c r="Q5536">
        <v>2.1152859999999999E-2</v>
      </c>
      <c r="R5536">
        <v>-0.1701191</v>
      </c>
      <c r="S5536">
        <v>2.9939580000000001</v>
      </c>
      <c r="T5536">
        <v>-0.20835799999999999</v>
      </c>
      <c r="U5536">
        <v>-0.32641599999999998</v>
      </c>
      <c r="V5536">
        <v>-0.2610344</v>
      </c>
      <c r="W5536">
        <v>1.9613740000000001E-2</v>
      </c>
      <c r="X5536">
        <v>0.96513019999999905</v>
      </c>
      <c r="Y5536">
        <v>-0.31877149999999999</v>
      </c>
      <c r="Z5536">
        <v>3.936286E-2</v>
      </c>
      <c r="AA5536">
        <v>0.94701389999999996</v>
      </c>
      <c r="AB5536">
        <v>27</v>
      </c>
      <c r="AC5536">
        <v>15.813199999999901</v>
      </c>
      <c r="AD5536">
        <v>-1.1091351554769999</v>
      </c>
      <c r="AE5536">
        <v>-1.68377</v>
      </c>
      <c r="AF5536">
        <v>-5.1093688089708902</v>
      </c>
      <c r="AG5536">
        <v>-1.1091351554769999</v>
      </c>
      <c r="AH5536">
        <v>14.9781240862453</v>
      </c>
      <c r="AI5536">
        <v>94.009010148504103</v>
      </c>
      <c r="AJ5536">
        <v>108.835641970297</v>
      </c>
      <c r="AK5536">
        <v>15.864426606787999</v>
      </c>
    </row>
    <row r="5537" spans="1:37" x14ac:dyDescent="0.2">
      <c r="A5537" t="str">
        <f>"20200111153541459"</f>
        <v>20200111153541459</v>
      </c>
      <c r="B5537" t="str">
        <f>"1578728141451046"</f>
        <v>1578728141451046</v>
      </c>
      <c r="C5537" t="s">
        <v>37</v>
      </c>
      <c r="D5537">
        <v>4.6900219999999999</v>
      </c>
      <c r="E5537">
        <v>0.47518729999999998</v>
      </c>
      <c r="F5537" t="s">
        <v>74</v>
      </c>
      <c r="G5537">
        <v>-269.05410000000001</v>
      </c>
      <c r="H5537" s="1">
        <v>-3.12681199999999E-6</v>
      </c>
      <c r="I5537">
        <v>-61.275700000000001</v>
      </c>
      <c r="J5537">
        <v>-284.81779999999998</v>
      </c>
      <c r="K5537">
        <v>1.109138</v>
      </c>
      <c r="L5537">
        <v>-59.654910000000001</v>
      </c>
      <c r="M5537">
        <v>0.90875099999999998</v>
      </c>
      <c r="N5537">
        <v>0</v>
      </c>
      <c r="O5537">
        <v>-0.41733339999999902</v>
      </c>
      <c r="P5537">
        <v>0.98585489999999998</v>
      </c>
      <c r="Q5537">
        <v>2.1178180000000001E-2</v>
      </c>
      <c r="R5537">
        <v>-0.1662585</v>
      </c>
      <c r="S5537">
        <v>2.9950869999999998</v>
      </c>
      <c r="T5537">
        <v>-0.20906039999999901</v>
      </c>
      <c r="U5537">
        <v>-0.31576539999999997</v>
      </c>
      <c r="V5537">
        <v>-0.26065300000000002</v>
      </c>
      <c r="W5537">
        <v>1.9592760000000001E-2</v>
      </c>
      <c r="X5537">
        <v>0.96523369999999997</v>
      </c>
      <c r="Y5537">
        <v>-0.3180518</v>
      </c>
      <c r="Z5537">
        <v>3.9219999999999998E-2</v>
      </c>
      <c r="AA5537">
        <v>0.94726180000000004</v>
      </c>
      <c r="AB5537">
        <v>27</v>
      </c>
      <c r="AC5537">
        <v>15.763699999999901</v>
      </c>
      <c r="AD5537">
        <v>-1.1091411268119999</v>
      </c>
      <c r="AE5537">
        <v>-1.62078999999999</v>
      </c>
      <c r="AF5537">
        <v>-5.0809447900790001</v>
      </c>
      <c r="AG5537">
        <v>-1.1091411268119999</v>
      </c>
      <c r="AH5537">
        <v>14.9285890810374</v>
      </c>
      <c r="AI5537">
        <v>94.023235688533305</v>
      </c>
      <c r="AJ5537">
        <v>108.796005121612</v>
      </c>
      <c r="AK5537">
        <v>15.8085092892874</v>
      </c>
    </row>
    <row r="5538" spans="1:37" x14ac:dyDescent="0.2">
      <c r="A5538" t="str">
        <f>"20200111153541471"</f>
        <v>20200111153541471</v>
      </c>
      <c r="B5538" t="str">
        <f>"1578728141461782"</f>
        <v>1578728141461782</v>
      </c>
      <c r="C5538" t="s">
        <v>37</v>
      </c>
      <c r="D5538">
        <v>4.6758100000000002</v>
      </c>
      <c r="E5538">
        <v>0.47522950000000003</v>
      </c>
      <c r="F5538" t="s">
        <v>74</v>
      </c>
      <c r="G5538">
        <v>-268.79309999999998</v>
      </c>
      <c r="H5538" s="1">
        <v>-3.017157E-6</v>
      </c>
      <c r="I5538">
        <v>-61.284469999999999</v>
      </c>
      <c r="J5538">
        <v>-284.68920000000003</v>
      </c>
      <c r="K5538">
        <v>1.1091469999999899</v>
      </c>
      <c r="L5538">
        <v>-59.709350000000001</v>
      </c>
      <c r="M5538">
        <v>0.91055509999999995</v>
      </c>
      <c r="N5538">
        <v>0</v>
      </c>
      <c r="O5538">
        <v>-0.41338209999999997</v>
      </c>
      <c r="P5538">
        <v>0.98651599999999995</v>
      </c>
      <c r="Q5538">
        <v>2.0814780000000001E-2</v>
      </c>
      <c r="R5538">
        <v>-0.1623366</v>
      </c>
      <c r="S5538">
        <v>2.9960939999999998</v>
      </c>
      <c r="T5538">
        <v>-0.207373</v>
      </c>
      <c r="U5538">
        <v>-0.3046875</v>
      </c>
      <c r="V5538">
        <v>-0.2602971</v>
      </c>
      <c r="W5538">
        <v>1.9184670000000001E-2</v>
      </c>
      <c r="X5538">
        <v>0.96533799999999903</v>
      </c>
      <c r="Y5538">
        <v>-0.317471</v>
      </c>
      <c r="Z5538">
        <v>3.8634960000000003E-2</v>
      </c>
      <c r="AA5538">
        <v>0.94748060000000001</v>
      </c>
      <c r="AB5538">
        <v>27</v>
      </c>
      <c r="AC5538">
        <v>15.896100000000001</v>
      </c>
      <c r="AD5538">
        <v>-1.1091500171569999</v>
      </c>
      <c r="AE5538">
        <v>-1.5751199999999901</v>
      </c>
      <c r="AF5538">
        <v>-5.1122941470014602</v>
      </c>
      <c r="AG5538">
        <v>-1.1091500171569999</v>
      </c>
      <c r="AH5538">
        <v>15.052863479094</v>
      </c>
      <c r="AI5538">
        <v>93.991041635342896</v>
      </c>
      <c r="AJ5538">
        <v>108.75865338495301</v>
      </c>
      <c r="AK5538">
        <v>15.935948799060199</v>
      </c>
    </row>
    <row r="5539" spans="1:37" x14ac:dyDescent="0.2">
      <c r="A5539" t="str">
        <f>"20200111153541483"</f>
        <v>20200111153541483</v>
      </c>
      <c r="B5539" t="str">
        <f>"1578728141471542"</f>
        <v>1578728141471542</v>
      </c>
      <c r="C5539" t="s">
        <v>37</v>
      </c>
      <c r="D5539">
        <v>4.6701129999999997</v>
      </c>
      <c r="E5539">
        <v>0.47519979999999901</v>
      </c>
      <c r="F5539" t="s">
        <v>74</v>
      </c>
      <c r="G5539">
        <v>-268.7208</v>
      </c>
      <c r="H5539" s="1">
        <v>-2.982575E-6</v>
      </c>
      <c r="I5539">
        <v>-61.271000000000001</v>
      </c>
      <c r="J5539">
        <v>-284.56810000000002</v>
      </c>
      <c r="K5539">
        <v>1.109154</v>
      </c>
      <c r="L5539">
        <v>-59.760249999999999</v>
      </c>
      <c r="M5539">
        <v>0.9122325</v>
      </c>
      <c r="N5539">
        <v>0</v>
      </c>
      <c r="O5539">
        <v>-0.409667</v>
      </c>
      <c r="P5539">
        <v>0.9871259</v>
      </c>
      <c r="Q5539">
        <v>2.0828659999999999E-2</v>
      </c>
      <c r="R5539">
        <v>-0.15858249999999999</v>
      </c>
      <c r="S5539">
        <v>2.997131</v>
      </c>
      <c r="T5539">
        <v>-0.2081781</v>
      </c>
      <c r="U5539">
        <v>-0.29312129999999997</v>
      </c>
      <c r="V5539">
        <v>-0.26003480000000001</v>
      </c>
      <c r="W5539">
        <v>1.9156059999999999E-2</v>
      </c>
      <c r="X5539">
        <v>0.96540919999999897</v>
      </c>
      <c r="Y5539">
        <v>-0.31725629999999999</v>
      </c>
      <c r="Z5539">
        <v>3.8541239999999997E-2</v>
      </c>
      <c r="AA5539">
        <v>0.94755630000000002</v>
      </c>
      <c r="AB5539">
        <v>27</v>
      </c>
      <c r="AC5539">
        <v>15.847300000000001</v>
      </c>
      <c r="AD5539">
        <v>-1.1091569825750001</v>
      </c>
      <c r="AE5539">
        <v>-1.51075</v>
      </c>
      <c r="AF5539">
        <v>-5.0892669588133099</v>
      </c>
      <c r="AG5539">
        <v>-1.1091569825750001</v>
      </c>
      <c r="AH5539">
        <v>15.0025327029231</v>
      </c>
      <c r="AI5539">
        <v>94.0048929424227</v>
      </c>
      <c r="AJ5539">
        <v>108.738333170731</v>
      </c>
      <c r="AK5539">
        <v>15.8810218466049</v>
      </c>
    </row>
    <row r="5540" spans="1:37" x14ac:dyDescent="0.2">
      <c r="A5540" t="str">
        <f>"20200111153541494"</f>
        <v>20200111153541494</v>
      </c>
      <c r="B5540" t="str">
        <f>"1578728141491062"</f>
        <v>1578728141491062</v>
      </c>
      <c r="C5540" t="s">
        <v>37</v>
      </c>
      <c r="D5540">
        <v>4.7178570000000004</v>
      </c>
      <c r="E5540">
        <v>0.47524250000000001</v>
      </c>
      <c r="F5540" t="s">
        <v>74</v>
      </c>
      <c r="G5540">
        <v>-268.63990000000001</v>
      </c>
      <c r="H5540" s="1">
        <v>-2.94371899999999E-6</v>
      </c>
      <c r="I5540">
        <v>-61.255419999999901</v>
      </c>
      <c r="J5540">
        <v>-284.42320000000001</v>
      </c>
      <c r="K5540">
        <v>1.109164</v>
      </c>
      <c r="L5540">
        <v>-59.820369999999997</v>
      </c>
      <c r="M5540">
        <v>0.91420279999999998</v>
      </c>
      <c r="N5540">
        <v>0</v>
      </c>
      <c r="O5540">
        <v>-0.40525159999999999</v>
      </c>
      <c r="P5540">
        <v>0.98782639999999999</v>
      </c>
      <c r="Q5540">
        <v>2.078087E-2</v>
      </c>
      <c r="R5540">
        <v>-0.1541669</v>
      </c>
      <c r="S5540">
        <v>2.9983219999999999</v>
      </c>
      <c r="T5540">
        <v>-0.208787799999999</v>
      </c>
      <c r="U5540">
        <v>-0.28146359999999998</v>
      </c>
      <c r="V5540">
        <v>-0.25968400000000003</v>
      </c>
      <c r="W5540">
        <v>1.906072E-2</v>
      </c>
      <c r="X5540">
        <v>0.96550550000000002</v>
      </c>
      <c r="Y5540">
        <v>-0.31636199999999998</v>
      </c>
      <c r="Z5540">
        <v>3.8338860000000002E-2</v>
      </c>
      <c r="AA5540">
        <v>0.94786349999999997</v>
      </c>
      <c r="AB5540">
        <v>27</v>
      </c>
      <c r="AC5540">
        <v>15.783299999999899</v>
      </c>
      <c r="AD5540">
        <v>-1.1091669437189999</v>
      </c>
      <c r="AE5540">
        <v>-1.4350499999999899</v>
      </c>
      <c r="AF5540">
        <v>-5.0595102805875003</v>
      </c>
      <c r="AG5540">
        <v>-1.1091669437189999</v>
      </c>
      <c r="AH5540">
        <v>14.9375614017828</v>
      </c>
      <c r="AI5540">
        <v>94.022921005126406</v>
      </c>
      <c r="AJ5540">
        <v>108.71178493581399</v>
      </c>
      <c r="AK5540">
        <v>15.810111834533</v>
      </c>
    </row>
    <row r="5541" spans="1:37" x14ac:dyDescent="0.2">
      <c r="A5541" t="str">
        <f>"20200111153541509"</f>
        <v>20200111153541509</v>
      </c>
      <c r="B5541" t="str">
        <f>"1578728141501801"</f>
        <v>1578728141501801</v>
      </c>
      <c r="C5541" t="s">
        <v>37</v>
      </c>
      <c r="D5541">
        <v>4.7103950000000001</v>
      </c>
      <c r="E5541">
        <v>0.47524739999999999</v>
      </c>
      <c r="F5541" t="s">
        <v>39</v>
      </c>
      <c r="G5541">
        <v>-268.62329999999997</v>
      </c>
      <c r="H5541" s="1">
        <v>-2.9308299999999902E-6</v>
      </c>
      <c r="I5541">
        <v>-61.233800000000002</v>
      </c>
      <c r="J5541">
        <v>-284.26560000000001</v>
      </c>
      <c r="K5541">
        <v>1.109175</v>
      </c>
      <c r="L5541">
        <v>-59.884830000000001</v>
      </c>
      <c r="M5541">
        <v>0.91630489999999998</v>
      </c>
      <c r="N5541">
        <v>0</v>
      </c>
      <c r="O5541">
        <v>-0.400476</v>
      </c>
      <c r="P5541">
        <v>0.98851529999999999</v>
      </c>
      <c r="Q5541">
        <v>2.0531199999999999E-2</v>
      </c>
      <c r="R5541">
        <v>-0.14971999999999999</v>
      </c>
      <c r="S5541">
        <v>2.99951199999999</v>
      </c>
      <c r="T5541">
        <v>-0.21056749999999999</v>
      </c>
      <c r="U5541">
        <v>-0.268341099999999</v>
      </c>
      <c r="V5541">
        <v>-0.25898969999999999</v>
      </c>
      <c r="W5541">
        <v>1.8767989999999998E-2</v>
      </c>
      <c r="X5541">
        <v>0.96569769999999899</v>
      </c>
      <c r="Y5541">
        <v>-0.31554559999999998</v>
      </c>
      <c r="Z5541">
        <v>3.8327220000000002E-2</v>
      </c>
      <c r="AA5541">
        <v>0.94813599999999998</v>
      </c>
      <c r="AB5541">
        <v>27</v>
      </c>
      <c r="AC5541">
        <v>15.642300000000001</v>
      </c>
      <c r="AD5541">
        <v>-1.1091779308299901</v>
      </c>
      <c r="AE5541">
        <v>-1.34896999999999</v>
      </c>
      <c r="AF5541">
        <v>-5.0033373240163002</v>
      </c>
      <c r="AG5541">
        <v>-1.1091779308299901</v>
      </c>
      <c r="AH5541">
        <v>14.799514604266699</v>
      </c>
      <c r="AI5541">
        <v>94.061142873307006</v>
      </c>
      <c r="AJ5541">
        <v>108.679079967471</v>
      </c>
      <c r="AK5541">
        <v>15.661714228718299</v>
      </c>
    </row>
    <row r="5542" spans="1:37" x14ac:dyDescent="0.2">
      <c r="A5542" t="str">
        <f>"20200111153541522"</f>
        <v>20200111153541522</v>
      </c>
      <c r="B5542" t="str">
        <f>"1578728141511558"</f>
        <v>1578728141511558</v>
      </c>
      <c r="C5542" t="s">
        <v>37</v>
      </c>
      <c r="D5542">
        <v>4.7196559999999996</v>
      </c>
      <c r="E5542">
        <v>0.47522779999999998</v>
      </c>
      <c r="F5542" t="s">
        <v>74</v>
      </c>
      <c r="G5542">
        <v>-268.56459999999998</v>
      </c>
      <c r="H5542" s="1">
        <v>-2.9014069999999998E-6</v>
      </c>
      <c r="I5542">
        <v>-61.217769999999902</v>
      </c>
      <c r="J5542">
        <v>-284.12110000000001</v>
      </c>
      <c r="K5542">
        <v>1.109186</v>
      </c>
      <c r="L5542">
        <v>-59.943210000000001</v>
      </c>
      <c r="M5542">
        <v>0.91819759999999995</v>
      </c>
      <c r="N5542">
        <v>0</v>
      </c>
      <c r="O5542">
        <v>-0.39611790000000002</v>
      </c>
      <c r="P5542">
        <v>0.98915739999999996</v>
      </c>
      <c r="Q5542">
        <v>2.0117119999999999E-2</v>
      </c>
      <c r="R5542">
        <v>-0.14547479999999999</v>
      </c>
      <c r="S5542">
        <v>3.000702</v>
      </c>
      <c r="T5542">
        <v>-0.21198209999999901</v>
      </c>
      <c r="U5542">
        <v>-0.25476070000000001</v>
      </c>
      <c r="V5542">
        <v>-0.25854429999999901</v>
      </c>
      <c r="W5542">
        <v>1.831269E-2</v>
      </c>
      <c r="X5542">
        <v>0.96582579999999996</v>
      </c>
      <c r="Y5542">
        <v>-0.31531859999999901</v>
      </c>
      <c r="Z5542">
        <v>3.8291350000000002E-2</v>
      </c>
      <c r="AA5542">
        <v>0.94821299999999997</v>
      </c>
      <c r="AB5542">
        <v>28</v>
      </c>
      <c r="AC5542">
        <v>15.5565</v>
      </c>
      <c r="AD5542">
        <v>-1.109188901407</v>
      </c>
      <c r="AE5542">
        <v>-1.2745599999999899</v>
      </c>
      <c r="AF5542">
        <v>-4.96683763359641</v>
      </c>
      <c r="AG5542">
        <v>-1.109188901407</v>
      </c>
      <c r="AH5542">
        <v>14.714538159490299</v>
      </c>
      <c r="AI5542">
        <v>94.085209005714106</v>
      </c>
      <c r="AJ5542">
        <v>108.651919271772</v>
      </c>
      <c r="AK5542">
        <v>15.569759450441399</v>
      </c>
    </row>
    <row r="5543" spans="1:37" x14ac:dyDescent="0.2">
      <c r="A5543" t="str">
        <f>"20200111153541534"</f>
        <v>20200111153541534</v>
      </c>
      <c r="B5543" t="str">
        <f>"1578728141521319"</f>
        <v>1578728141521319</v>
      </c>
      <c r="C5543" t="s">
        <v>37</v>
      </c>
      <c r="D5543">
        <v>4.6865639999999997</v>
      </c>
      <c r="E5543">
        <v>0.47528329999999902</v>
      </c>
      <c r="F5543" t="s">
        <v>39</v>
      </c>
      <c r="G5543">
        <v>-268.40480000000002</v>
      </c>
      <c r="H5543" s="1">
        <v>-2.8305069999999998E-6</v>
      </c>
      <c r="I5543">
        <v>-61.208959999999998</v>
      </c>
      <c r="J5543">
        <v>-283.97820000000002</v>
      </c>
      <c r="K5543">
        <v>1.109189</v>
      </c>
      <c r="L5543">
        <v>-60.000149999999998</v>
      </c>
      <c r="M5543">
        <v>0.92003389999999996</v>
      </c>
      <c r="N5543">
        <v>0</v>
      </c>
      <c r="O5543">
        <v>-0.3918335</v>
      </c>
      <c r="P5543">
        <v>0.98976059999999999</v>
      </c>
      <c r="Q5543">
        <v>1.9901269999999999E-2</v>
      </c>
      <c r="R5543">
        <v>-0.14134269999999999</v>
      </c>
      <c r="S5543">
        <v>3.0016780000000001</v>
      </c>
      <c r="T5543">
        <v>-0.2118456</v>
      </c>
      <c r="U5543">
        <v>-0.24176030000000001</v>
      </c>
      <c r="V5543">
        <v>-0.2580752</v>
      </c>
      <c r="W5543">
        <v>1.8059530000000001E-2</v>
      </c>
      <c r="X5543">
        <v>0.96595599999999904</v>
      </c>
      <c r="Y5543">
        <v>-0.31501459999999998</v>
      </c>
      <c r="Z5543">
        <v>3.7977379999999998E-2</v>
      </c>
      <c r="AA5543">
        <v>0.94832669999999997</v>
      </c>
      <c r="AB5543">
        <v>28</v>
      </c>
      <c r="AC5543">
        <v>15.5733999999999</v>
      </c>
      <c r="AD5543">
        <v>-1.1091918305069901</v>
      </c>
      <c r="AE5543">
        <v>-1.2088099999999899</v>
      </c>
      <c r="AF5543">
        <v>-4.9650083746615801</v>
      </c>
      <c r="AG5543">
        <v>-1.1091918305069901</v>
      </c>
      <c r="AH5543">
        <v>14.7274768630114</v>
      </c>
      <c r="AI5543">
        <v>94.082161273588895</v>
      </c>
      <c r="AJ5543">
        <v>108.63027478968201</v>
      </c>
      <c r="AK5543">
        <v>15.581405245608</v>
      </c>
    </row>
    <row r="5544" spans="1:37" x14ac:dyDescent="0.2">
      <c r="A5544" t="str">
        <f>"20200111153541547"</f>
        <v>20200111153541547</v>
      </c>
      <c r="B5544" t="str">
        <f>"1578728141541815"</f>
        <v>1578728141541815</v>
      </c>
      <c r="C5544" t="s">
        <v>37</v>
      </c>
      <c r="D5544">
        <v>4.7026349999999999</v>
      </c>
      <c r="E5544">
        <v>0.47529339999999998</v>
      </c>
      <c r="F5544" t="s">
        <v>39</v>
      </c>
      <c r="G5544">
        <v>-268.2473</v>
      </c>
      <c r="H5544" s="1">
        <v>-2.7614499999999899E-6</v>
      </c>
      <c r="I5544">
        <v>-61.203409999999998</v>
      </c>
      <c r="J5544">
        <v>-283.83510000000001</v>
      </c>
      <c r="K5544">
        <v>1.109199</v>
      </c>
      <c r="L5544">
        <v>-60.056369999999902</v>
      </c>
      <c r="M5544">
        <v>0.92184029999999995</v>
      </c>
      <c r="N5544">
        <v>0</v>
      </c>
      <c r="O5544">
        <v>-0.38756469999999998</v>
      </c>
      <c r="P5544">
        <v>0.99037219999999904</v>
      </c>
      <c r="Q5544">
        <v>1.924818E-2</v>
      </c>
      <c r="R5544">
        <v>-0.1370846</v>
      </c>
      <c r="S5544">
        <v>3.0025019999999998</v>
      </c>
      <c r="T5544">
        <v>-0.21170739999999999</v>
      </c>
      <c r="U5544">
        <v>-0.229675299999999</v>
      </c>
      <c r="V5544">
        <v>-0.25774760000000002</v>
      </c>
      <c r="W5544">
        <v>1.7368700000000001E-2</v>
      </c>
      <c r="X5544">
        <v>0.96605620000000003</v>
      </c>
      <c r="Y5544">
        <v>-0.31444470000000002</v>
      </c>
      <c r="Z5544">
        <v>3.765516E-2</v>
      </c>
      <c r="AA5544">
        <v>0.94852860000000006</v>
      </c>
      <c r="AB5544">
        <v>28</v>
      </c>
      <c r="AC5544">
        <v>15.5878</v>
      </c>
      <c r="AD5544">
        <v>-1.10920176145</v>
      </c>
      <c r="AE5544">
        <v>-1.1470400000000001</v>
      </c>
      <c r="AF5544">
        <v>-4.9589291199813799</v>
      </c>
      <c r="AG5544">
        <v>-1.10920176145</v>
      </c>
      <c r="AH5544">
        <v>14.7398113666996</v>
      </c>
      <c r="AI5544">
        <v>94.079647263556694</v>
      </c>
      <c r="AJ5544">
        <v>108.59453376025699</v>
      </c>
      <c r="AK5544">
        <v>15.5911303532005</v>
      </c>
    </row>
    <row r="5545" spans="1:37" x14ac:dyDescent="0.2">
      <c r="A5545" t="str">
        <f>"20200111153541560"</f>
        <v>20200111153541560</v>
      </c>
      <c r="B5545" t="str">
        <f>"1578728141551574"</f>
        <v>1578728141551574</v>
      </c>
      <c r="C5545" t="s">
        <v>37</v>
      </c>
      <c r="D5545">
        <v>4.721489</v>
      </c>
      <c r="E5545">
        <v>0.47535829999999901</v>
      </c>
      <c r="F5545" t="s">
        <v>74</v>
      </c>
      <c r="G5545">
        <v>-268.2389</v>
      </c>
      <c r="H5545" s="1">
        <v>-2.752258E-6</v>
      </c>
      <c r="I5545">
        <v>-61.182450000000003</v>
      </c>
      <c r="J5545">
        <v>-283.68700000000001</v>
      </c>
      <c r="K5545">
        <v>1.1092089999999999</v>
      </c>
      <c r="L5545">
        <v>-60.114069999999998</v>
      </c>
      <c r="M5545">
        <v>0.92368099999999997</v>
      </c>
      <c r="N5545">
        <v>0</v>
      </c>
      <c r="O5545">
        <v>-0.38315739999999998</v>
      </c>
      <c r="P5545">
        <v>0.99096329999999999</v>
      </c>
      <c r="Q5545">
        <v>1.847619E-2</v>
      </c>
      <c r="R5545">
        <v>-0.13285339999999901</v>
      </c>
      <c r="S5545">
        <v>3.00329599999999</v>
      </c>
      <c r="T5545">
        <v>-0.21359420000000001</v>
      </c>
      <c r="U5545">
        <v>-0.21685789999999899</v>
      </c>
      <c r="V5545">
        <v>-0.2572545</v>
      </c>
      <c r="W5545">
        <v>1.6561530000000001E-2</v>
      </c>
      <c r="X5545">
        <v>0.96620169999999905</v>
      </c>
      <c r="Y5545">
        <v>-0.31393890000000002</v>
      </c>
      <c r="Z5545">
        <v>3.768295E-2</v>
      </c>
      <c r="AA5545">
        <v>0.94869509999999901</v>
      </c>
      <c r="AB5545">
        <v>28</v>
      </c>
      <c r="AC5545">
        <v>15.4481</v>
      </c>
      <c r="AD5545">
        <v>-1.1092117522579901</v>
      </c>
      <c r="AE5545">
        <v>-1.0683800000000001</v>
      </c>
      <c r="AF5545">
        <v>-4.9070426417970996</v>
      </c>
      <c r="AG5545">
        <v>-1.1092117522579901</v>
      </c>
      <c r="AH5545">
        <v>14.603570479988001</v>
      </c>
      <c r="AI5545">
        <v>94.118127738738707</v>
      </c>
      <c r="AJ5545">
        <v>108.57320504030901</v>
      </c>
      <c r="AK5545">
        <v>15.445830795516899</v>
      </c>
    </row>
    <row r="5546" spans="1:37" x14ac:dyDescent="0.2">
      <c r="A5546" t="str">
        <f>"20200111153541570"</f>
        <v>20200111153541570</v>
      </c>
      <c r="B5546" t="str">
        <f>"1578728141561140"</f>
        <v>1578728141561140</v>
      </c>
      <c r="C5546" t="s">
        <v>37</v>
      </c>
      <c r="D5546">
        <v>4.6795200000000001</v>
      </c>
      <c r="E5546">
        <v>0.47544629999999999</v>
      </c>
      <c r="F5546" t="s">
        <v>39</v>
      </c>
      <c r="G5546">
        <v>-268.24939999999998</v>
      </c>
      <c r="H5546" s="1">
        <v>-2.7520929999999999E-6</v>
      </c>
      <c r="I5546">
        <v>-61.164940000000001</v>
      </c>
      <c r="J5546">
        <v>-283.5487</v>
      </c>
      <c r="K5546">
        <v>1.109221</v>
      </c>
      <c r="L5546">
        <v>-60.166869999999903</v>
      </c>
      <c r="M5546">
        <v>0.92536209999999997</v>
      </c>
      <c r="N5546">
        <v>0</v>
      </c>
      <c r="O5546">
        <v>-0.37907920000000001</v>
      </c>
      <c r="P5546">
        <v>0.99148539999999996</v>
      </c>
      <c r="Q5546">
        <v>1.7866420000000001E-2</v>
      </c>
      <c r="R5546">
        <v>-0.12898579999999901</v>
      </c>
      <c r="S5546">
        <v>3.0039669999999998</v>
      </c>
      <c r="T5546">
        <v>-0.21583859999999999</v>
      </c>
      <c r="U5546">
        <v>-0.20449829999999999</v>
      </c>
      <c r="V5546">
        <v>-0.25675769999999998</v>
      </c>
      <c r="W5546">
        <v>1.5923130000000001E-2</v>
      </c>
      <c r="X5546">
        <v>0.9663446</v>
      </c>
      <c r="Y5546">
        <v>-0.31362640000000003</v>
      </c>
      <c r="Z5546">
        <v>3.7796719999999999E-2</v>
      </c>
      <c r="AA5546">
        <v>0.94879389999999997</v>
      </c>
      <c r="AB5546">
        <v>28</v>
      </c>
      <c r="AC5546">
        <v>15.299300000000001</v>
      </c>
      <c r="AD5546">
        <v>-1.1092237520929999</v>
      </c>
      <c r="AE5546">
        <v>-0.99807000000000501</v>
      </c>
      <c r="AF5546">
        <v>-4.8506903535886501</v>
      </c>
      <c r="AG5546">
        <v>-1.1092237520929999</v>
      </c>
      <c r="AH5546">
        <v>14.460081563879699</v>
      </c>
      <c r="AI5546">
        <v>94.159598269088093</v>
      </c>
      <c r="AJ5546">
        <v>108.544227308508</v>
      </c>
      <c r="AK5546">
        <v>15.292270370113799</v>
      </c>
    </row>
    <row r="5547" spans="1:37" x14ac:dyDescent="0.2">
      <c r="A5547" t="str">
        <f>"20200111153541583"</f>
        <v>20200111153541583</v>
      </c>
      <c r="B5547" t="str">
        <f>"1578728141571876"</f>
        <v>1578728141571876</v>
      </c>
      <c r="C5547" t="s">
        <v>37</v>
      </c>
      <c r="D5547">
        <v>4.7477299999999998</v>
      </c>
      <c r="E5547">
        <v>0.47552699999999998</v>
      </c>
      <c r="F5547" t="s">
        <v>39</v>
      </c>
      <c r="G5547">
        <v>-268.28890000000001</v>
      </c>
      <c r="H5547" s="1">
        <v>-2.764916E-6</v>
      </c>
      <c r="I5547">
        <v>-61.149319999999904</v>
      </c>
      <c r="J5547">
        <v>-283.40910000000002</v>
      </c>
      <c r="K5547">
        <v>1.1092309999999901</v>
      </c>
      <c r="L5547">
        <v>-60.219729999999998</v>
      </c>
      <c r="M5547">
        <v>0.92703389999999997</v>
      </c>
      <c r="N5547">
        <v>0</v>
      </c>
      <c r="O5547">
        <v>-0.374973</v>
      </c>
      <c r="P5547">
        <v>0.99199590000000004</v>
      </c>
      <c r="Q5547">
        <v>1.727853E-2</v>
      </c>
      <c r="R5547">
        <v>-0.12508259999999999</v>
      </c>
      <c r="S5547">
        <v>3.0045470000000001</v>
      </c>
      <c r="T5547">
        <v>-0.2183987</v>
      </c>
      <c r="U5547">
        <v>-0.19345090000000001</v>
      </c>
      <c r="V5547">
        <v>-0.2562721</v>
      </c>
      <c r="W5547">
        <v>1.530666E-2</v>
      </c>
      <c r="X5547">
        <v>0.96648349999999905</v>
      </c>
      <c r="Y5547">
        <v>-0.31287480000000001</v>
      </c>
      <c r="Z5547">
        <v>3.794061E-2</v>
      </c>
      <c r="AA5547">
        <v>0.94903630000000005</v>
      </c>
      <c r="AB5547">
        <v>28</v>
      </c>
      <c r="AC5547">
        <v>15.120200000000001</v>
      </c>
      <c r="AD5547">
        <v>-1.10923376491599</v>
      </c>
      <c r="AE5547">
        <v>-0.92958999999999004</v>
      </c>
      <c r="AF5547">
        <v>-4.7822729487421798</v>
      </c>
      <c r="AG5547">
        <v>-1.10923376491599</v>
      </c>
      <c r="AH5547">
        <v>14.288922355262001</v>
      </c>
      <c r="AI5547">
        <v>94.210256552585193</v>
      </c>
      <c r="AJ5547">
        <v>108.50456665672</v>
      </c>
      <c r="AK5547">
        <v>15.108733771438599</v>
      </c>
    </row>
    <row r="5548" spans="1:37" x14ac:dyDescent="0.2">
      <c r="A5548" t="str">
        <f>"20200111153541595"</f>
        <v>20200111153541595</v>
      </c>
      <c r="B5548" t="str">
        <f>"1578728141591396"</f>
        <v>1578728141591396</v>
      </c>
      <c r="C5548" t="s">
        <v>37</v>
      </c>
      <c r="D5548">
        <v>4.7119849999999897</v>
      </c>
      <c r="E5548">
        <v>0.47565269999999998</v>
      </c>
      <c r="F5548" t="s">
        <v>74</v>
      </c>
      <c r="G5548">
        <v>-268.26229999999998</v>
      </c>
      <c r="H5548" s="1">
        <v>-2.7504759999999999E-6</v>
      </c>
      <c r="I5548">
        <v>-61.137969999999903</v>
      </c>
      <c r="J5548">
        <v>-283.27030000000002</v>
      </c>
      <c r="K5548">
        <v>1.10924</v>
      </c>
      <c r="L5548">
        <v>-60.271609999999903</v>
      </c>
      <c r="M5548">
        <v>0.92866749999999998</v>
      </c>
      <c r="N5548">
        <v>0</v>
      </c>
      <c r="O5548">
        <v>-0.37090859999999998</v>
      </c>
      <c r="P5548">
        <v>0.99244840000000001</v>
      </c>
      <c r="Q5548">
        <v>1.708871E-2</v>
      </c>
      <c r="R5548">
        <v>-0.1214663</v>
      </c>
      <c r="S5548">
        <v>3.0050659999999998</v>
      </c>
      <c r="T5548">
        <v>-0.2200677</v>
      </c>
      <c r="U5548">
        <v>-0.18218989999999999</v>
      </c>
      <c r="V5548">
        <v>-0.2555595</v>
      </c>
      <c r="W5548">
        <v>1.5094959999999999E-2</v>
      </c>
      <c r="X5548">
        <v>0.96667549999999902</v>
      </c>
      <c r="Y5548">
        <v>-0.31225370000000002</v>
      </c>
      <c r="Z5548">
        <v>3.7931949999999999E-2</v>
      </c>
      <c r="AA5548">
        <v>0.94924120000000001</v>
      </c>
      <c r="AB5548">
        <v>28</v>
      </c>
      <c r="AC5548">
        <v>15.007999999999999</v>
      </c>
      <c r="AD5548">
        <v>-1.1092427504760001</v>
      </c>
      <c r="AE5548">
        <v>-0.86636000000000002</v>
      </c>
      <c r="AF5548">
        <v>-4.7362573566725104</v>
      </c>
      <c r="AG5548">
        <v>-1.1092427504760001</v>
      </c>
      <c r="AH5548">
        <v>14.181594526350599</v>
      </c>
      <c r="AI5548">
        <v>94.242943392906895</v>
      </c>
      <c r="AJ5548">
        <v>108.467882919704</v>
      </c>
      <c r="AK5548">
        <v>14.992670760672899</v>
      </c>
    </row>
    <row r="5549" spans="1:37" x14ac:dyDescent="0.2">
      <c r="A5549" t="str">
        <f>"20200111153541609"</f>
        <v>20200111153541609</v>
      </c>
      <c r="B5549" t="str">
        <f>"1578728141601155"</f>
        <v>1578728141601155</v>
      </c>
      <c r="C5549" t="s">
        <v>37</v>
      </c>
      <c r="D5549">
        <v>4.735303</v>
      </c>
      <c r="E5549">
        <v>0.47570559999999901</v>
      </c>
      <c r="F5549" t="s">
        <v>74</v>
      </c>
      <c r="G5549">
        <v>-268.2122</v>
      </c>
      <c r="H5549" s="1">
        <v>-2.7281549999999998E-6</v>
      </c>
      <c r="I5549">
        <v>-61.13494</v>
      </c>
      <c r="J5549">
        <v>-283.10059999999999</v>
      </c>
      <c r="K5549">
        <v>1.109251</v>
      </c>
      <c r="L5549">
        <v>-60.334009999999999</v>
      </c>
      <c r="M5549">
        <v>0.93062279999999997</v>
      </c>
      <c r="N5549">
        <v>0</v>
      </c>
      <c r="O5549">
        <v>-0.36597550000000001</v>
      </c>
      <c r="P5549">
        <v>0.992932699999999</v>
      </c>
      <c r="Q5549">
        <v>1.693629E-2</v>
      </c>
      <c r="R5549">
        <v>-0.1174641</v>
      </c>
      <c r="S5549">
        <v>3.0055540000000001</v>
      </c>
      <c r="T5549">
        <v>-0.2214015</v>
      </c>
      <c r="U5549">
        <v>-0.17233280000000001</v>
      </c>
      <c r="V5549">
        <v>-0.25432650000000001</v>
      </c>
      <c r="W5549">
        <v>1.4924750000000001E-2</v>
      </c>
      <c r="X5549">
        <v>0.96700319999999995</v>
      </c>
      <c r="Y5549">
        <v>-0.31032189999999998</v>
      </c>
      <c r="Z5549">
        <v>3.7751939999999998E-2</v>
      </c>
      <c r="AA5549">
        <v>0.94988159999999899</v>
      </c>
      <c r="AB5549">
        <v>28</v>
      </c>
      <c r="AC5549">
        <v>14.888399999999899</v>
      </c>
      <c r="AD5549">
        <v>-1.1092537281549999</v>
      </c>
      <c r="AE5549">
        <v>-0.80093000000000103</v>
      </c>
      <c r="AF5549">
        <v>-4.6775435019110203</v>
      </c>
      <c r="AG5549">
        <v>-1.1092537281549999</v>
      </c>
      <c r="AH5549">
        <v>14.070747101603001</v>
      </c>
      <c r="AI5549">
        <v>94.2782577858476</v>
      </c>
      <c r="AJ5549">
        <v>108.38837322867001</v>
      </c>
      <c r="AK5549">
        <v>14.869289863438899</v>
      </c>
    </row>
    <row r="5550" spans="1:37" x14ac:dyDescent="0.2">
      <c r="A5550" t="str">
        <f>"20200111153541620"</f>
        <v>20200111153541620</v>
      </c>
      <c r="B5550" t="str">
        <f>"1578728141610917"</f>
        <v>1578728141610917</v>
      </c>
      <c r="C5550" t="s">
        <v>37</v>
      </c>
      <c r="D5550">
        <v>4.7171430000000001</v>
      </c>
      <c r="E5550">
        <v>0.47584769999999998</v>
      </c>
      <c r="F5550" t="s">
        <v>74</v>
      </c>
      <c r="G5550">
        <v>-268.0779</v>
      </c>
      <c r="H5550" s="1">
        <v>-2.671278E-6</v>
      </c>
      <c r="I5550">
        <v>-61.1376699999999</v>
      </c>
      <c r="J5550">
        <v>-282.9753</v>
      </c>
      <c r="K5550">
        <v>1.109262</v>
      </c>
      <c r="L5550">
        <v>-60.379759999999997</v>
      </c>
      <c r="M5550">
        <v>0.93204469999999995</v>
      </c>
      <c r="N5550">
        <v>0</v>
      </c>
      <c r="O5550">
        <v>-0.36233880000000002</v>
      </c>
      <c r="P5550">
        <v>0.99331819999999904</v>
      </c>
      <c r="Q5550">
        <v>1.686124E-2</v>
      </c>
      <c r="R5550">
        <v>-0.1141682</v>
      </c>
      <c r="S5550">
        <v>3.0061040000000001</v>
      </c>
      <c r="T5550">
        <v>-0.22196569999999999</v>
      </c>
      <c r="U5550">
        <v>-0.16082759999999999</v>
      </c>
      <c r="V5550">
        <v>-0.25375920000000002</v>
      </c>
      <c r="W5550">
        <v>1.4832730000000001E-2</v>
      </c>
      <c r="X5550">
        <v>0.96715370000000001</v>
      </c>
      <c r="Y5550">
        <v>-0.31024600000000002</v>
      </c>
      <c r="Z5550">
        <v>3.7595169999999997E-2</v>
      </c>
      <c r="AA5550">
        <v>0.94991270000000005</v>
      </c>
      <c r="AB5550">
        <v>28</v>
      </c>
      <c r="AC5550">
        <v>14.897399999999999</v>
      </c>
      <c r="AD5550">
        <v>-1.1092646712780001</v>
      </c>
      <c r="AE5550">
        <v>-0.75790999999999498</v>
      </c>
      <c r="AF5550">
        <v>-4.6657062608170197</v>
      </c>
      <c r="AG5550">
        <v>-1.1092646712780001</v>
      </c>
      <c r="AH5550">
        <v>14.0818133510676</v>
      </c>
      <c r="AI5550">
        <v>94.276353357079699</v>
      </c>
      <c r="AJ5550">
        <v>108.331505687586</v>
      </c>
      <c r="AK5550">
        <v>14.876046191023899</v>
      </c>
    </row>
    <row r="5551" spans="1:37" x14ac:dyDescent="0.2">
      <c r="A5551" t="str">
        <f>"20200111153541631"</f>
        <v>20200111153541631</v>
      </c>
      <c r="B5551" t="str">
        <f>"1578728141621652"</f>
        <v>1578728141621652</v>
      </c>
      <c r="C5551" t="s">
        <v>37</v>
      </c>
      <c r="D5551">
        <v>4.7191140000000003</v>
      </c>
      <c r="E5551">
        <v>0.47594899999999901</v>
      </c>
      <c r="F5551" t="s">
        <v>74</v>
      </c>
      <c r="G5551">
        <v>-267.935</v>
      </c>
      <c r="H5551" s="1">
        <v>-2.6106309999999998E-6</v>
      </c>
      <c r="I5551">
        <v>-61.140129999999999</v>
      </c>
      <c r="J5551">
        <v>-282.83640000000003</v>
      </c>
      <c r="K5551">
        <v>1.1092709999999999</v>
      </c>
      <c r="L5551">
        <v>-60.429469999999903</v>
      </c>
      <c r="M5551">
        <v>0.93358669999999999</v>
      </c>
      <c r="N5551">
        <v>0</v>
      </c>
      <c r="O5551">
        <v>-0.35834719999999998</v>
      </c>
      <c r="P5551">
        <v>0.9937243</v>
      </c>
      <c r="Q5551">
        <v>1.7126720000000002E-2</v>
      </c>
      <c r="R5551">
        <v>-0.110538</v>
      </c>
      <c r="S5551">
        <v>3.0064700000000002</v>
      </c>
      <c r="T5551">
        <v>-0.22173599999999999</v>
      </c>
      <c r="U5551">
        <v>-0.15200810000000001</v>
      </c>
      <c r="V5551">
        <v>-0.25315679999999902</v>
      </c>
      <c r="W5551">
        <v>1.508257E-2</v>
      </c>
      <c r="X5551">
        <v>0.96730769999999899</v>
      </c>
      <c r="Y5551">
        <v>-0.30898199999999998</v>
      </c>
      <c r="Z5551">
        <v>3.7235230000000001E-2</v>
      </c>
      <c r="AA5551">
        <v>0.95033869999999898</v>
      </c>
      <c r="AB5551">
        <v>29</v>
      </c>
      <c r="AC5551">
        <v>14.901400000000001</v>
      </c>
      <c r="AD5551">
        <v>-1.1092736106309999</v>
      </c>
      <c r="AE5551">
        <v>-0.71066000000001095</v>
      </c>
      <c r="AF5551">
        <v>-4.6507064625743402</v>
      </c>
      <c r="AG5551">
        <v>-1.1092736106309999</v>
      </c>
      <c r="AH5551">
        <v>14.0885404963566</v>
      </c>
      <c r="AI5551">
        <v>94.275906074586501</v>
      </c>
      <c r="AJ5551">
        <v>108.26834729903</v>
      </c>
      <c r="AK5551">
        <v>14.877719309818801</v>
      </c>
    </row>
    <row r="5552" spans="1:37" x14ac:dyDescent="0.2">
      <c r="A5552" t="str">
        <f>"20200111153541643"</f>
        <v>20200111153541643</v>
      </c>
      <c r="B5552" t="str">
        <f>"1578728141631413"</f>
        <v>1578728141631413</v>
      </c>
      <c r="C5552" t="s">
        <v>37</v>
      </c>
      <c r="D5552">
        <v>4.7009749999999997</v>
      </c>
      <c r="E5552">
        <v>0.476097099999999</v>
      </c>
      <c r="F5552" t="s">
        <v>74</v>
      </c>
      <c r="G5552">
        <v>-267.78070000000002</v>
      </c>
      <c r="H5552" s="1">
        <v>-2.5442230000000001E-6</v>
      </c>
      <c r="I5552">
        <v>-61.139299999999999</v>
      </c>
      <c r="J5552">
        <v>-282.70519999999999</v>
      </c>
      <c r="K5552">
        <v>1.1092770000000001</v>
      </c>
      <c r="L5552">
        <v>-60.476039999999998</v>
      </c>
      <c r="M5552">
        <v>0.9350212</v>
      </c>
      <c r="N5552">
        <v>0</v>
      </c>
      <c r="O5552">
        <v>-0.35458729999999999</v>
      </c>
      <c r="P5552">
        <v>0.99408560000000001</v>
      </c>
      <c r="Q5552">
        <v>1.7189320000000001E-2</v>
      </c>
      <c r="R5552">
        <v>-0.10723050000000001</v>
      </c>
      <c r="S5552">
        <v>3.0070189999999899</v>
      </c>
      <c r="T5552">
        <v>-0.2215521</v>
      </c>
      <c r="U5552">
        <v>-0.14178470000000001</v>
      </c>
      <c r="V5552">
        <v>-0.2524845</v>
      </c>
      <c r="W5552">
        <v>1.5133580000000001E-2</v>
      </c>
      <c r="X5552">
        <v>0.96748259999999897</v>
      </c>
      <c r="Y5552">
        <v>-0.30840240000000002</v>
      </c>
      <c r="Z5552">
        <v>3.692281E-2</v>
      </c>
      <c r="AA5552">
        <v>0.95053920000000003</v>
      </c>
      <c r="AB5552">
        <v>29</v>
      </c>
      <c r="AC5552">
        <v>14.924499999999901</v>
      </c>
      <c r="AD5552">
        <v>-1.1092795442229999</v>
      </c>
      <c r="AE5552">
        <v>-0.66325999999999397</v>
      </c>
      <c r="AF5552">
        <v>-4.6462663966196303</v>
      </c>
      <c r="AG5552">
        <v>-1.1092795442229999</v>
      </c>
      <c r="AH5552">
        <v>14.112123329088201</v>
      </c>
      <c r="AI5552">
        <v>94.269905447491993</v>
      </c>
      <c r="AJ5552">
        <v>108.223579317518</v>
      </c>
      <c r="AK5552">
        <v>14.8986683093149</v>
      </c>
    </row>
    <row r="5553" spans="1:37" x14ac:dyDescent="0.2">
      <c r="A5553" t="str">
        <f>"20200111153541653"</f>
        <v>20200111153541653</v>
      </c>
      <c r="B5553" t="str">
        <f>"1578728141641171"</f>
        <v>1578728141641171</v>
      </c>
      <c r="C5553" t="s">
        <v>37</v>
      </c>
      <c r="D5553">
        <v>4.6858469999999999</v>
      </c>
      <c r="E5553">
        <v>0.476097099999999</v>
      </c>
      <c r="F5553" t="s">
        <v>74</v>
      </c>
      <c r="G5553">
        <v>-267.60090000000002</v>
      </c>
      <c r="H5553" s="1">
        <v>-2.4683569999999998E-6</v>
      </c>
      <c r="I5553">
        <v>-61.144100000000002</v>
      </c>
      <c r="J5553">
        <v>-282.57</v>
      </c>
      <c r="K5553">
        <v>1.1092839999999999</v>
      </c>
      <c r="L5553">
        <v>-60.523380000000003</v>
      </c>
      <c r="M5553">
        <v>0.93647199999999997</v>
      </c>
      <c r="N5553">
        <v>0</v>
      </c>
      <c r="O5553">
        <v>-0.3507383</v>
      </c>
      <c r="P5553">
        <v>0.99440039999999996</v>
      </c>
      <c r="Q5553">
        <v>1.7673350000000001E-2</v>
      </c>
      <c r="R5553">
        <v>-0.1041904</v>
      </c>
      <c r="S5553">
        <v>3.0073240000000001</v>
      </c>
      <c r="T5553">
        <v>-0.220862</v>
      </c>
      <c r="U5553">
        <v>-0.13302610000000001</v>
      </c>
      <c r="V5553">
        <v>-0.2514672</v>
      </c>
      <c r="W5553">
        <v>1.5613699999999999E-2</v>
      </c>
      <c r="X5553">
        <v>0.96773989999999999</v>
      </c>
      <c r="Y5553">
        <v>-0.30728169999999999</v>
      </c>
      <c r="Z5553">
        <v>3.6502710000000001E-2</v>
      </c>
      <c r="AA5553">
        <v>0.95091829999999999</v>
      </c>
      <c r="AB5553">
        <v>29</v>
      </c>
      <c r="AC5553">
        <v>14.9690999999999</v>
      </c>
      <c r="AD5553">
        <v>-1.1092864683569901</v>
      </c>
      <c r="AE5553">
        <v>-0.62071999999999805</v>
      </c>
      <c r="AF5553">
        <v>-4.6435001060277097</v>
      </c>
      <c r="AG5553">
        <v>-1.1092864683569901</v>
      </c>
      <c r="AH5553">
        <v>14.158255987855499</v>
      </c>
      <c r="AI5553">
        <v>94.257665416741602</v>
      </c>
      <c r="AJ5553">
        <v>108.15800025196999</v>
      </c>
      <c r="AK5553">
        <v>14.9415133879137</v>
      </c>
    </row>
    <row r="5554" spans="1:37" x14ac:dyDescent="0.2">
      <c r="A5554" t="str">
        <f>"20200111153541665"</f>
        <v>20200111153541665</v>
      </c>
      <c r="B5554" t="str">
        <f>"1578728141661671"</f>
        <v>1578728141661671</v>
      </c>
      <c r="C5554" t="s">
        <v>37</v>
      </c>
      <c r="D5554">
        <v>4.6938949999999897</v>
      </c>
      <c r="E5554">
        <v>0.47860379999999902</v>
      </c>
      <c r="F5554" t="s">
        <v>74</v>
      </c>
      <c r="G5554">
        <v>-267.36259999999999</v>
      </c>
      <c r="H5554" s="1">
        <v>-2.367545E-6</v>
      </c>
      <c r="I5554">
        <v>-61.149439999999998</v>
      </c>
      <c r="J5554">
        <v>-282.43369999999999</v>
      </c>
      <c r="K5554">
        <v>1.109289</v>
      </c>
      <c r="L5554">
        <v>-60.570430000000002</v>
      </c>
      <c r="M5554">
        <v>0.93790859999999998</v>
      </c>
      <c r="N5554">
        <v>0</v>
      </c>
      <c r="O5554">
        <v>-0.34687820000000003</v>
      </c>
      <c r="P5554">
        <v>0.99474390000000001</v>
      </c>
      <c r="Q5554">
        <v>1.7821699999999999E-2</v>
      </c>
      <c r="R5554">
        <v>-0.1008337</v>
      </c>
      <c r="S5554">
        <v>3.0078130000000001</v>
      </c>
      <c r="T5554">
        <v>-0.21940119999999999</v>
      </c>
      <c r="U5554">
        <v>-0.1238403</v>
      </c>
      <c r="V5554">
        <v>-0.250749</v>
      </c>
      <c r="W5554">
        <v>1.575435E-2</v>
      </c>
      <c r="X5554">
        <v>0.96792389999999995</v>
      </c>
      <c r="Y5554">
        <v>-0.30630449999999998</v>
      </c>
      <c r="Z5554">
        <v>3.5960449999999998E-2</v>
      </c>
      <c r="AA5554">
        <v>0.95125409999999899</v>
      </c>
      <c r="AB5554">
        <v>29</v>
      </c>
      <c r="AC5554">
        <v>15.071099999999999</v>
      </c>
      <c r="AD5554">
        <v>-1.109291367545</v>
      </c>
      <c r="AE5554">
        <v>-0.57901000000000302</v>
      </c>
      <c r="AF5554">
        <v>-4.6595783403936801</v>
      </c>
      <c r="AG5554">
        <v>-1.109291367545</v>
      </c>
      <c r="AH5554">
        <v>14.2590465851563</v>
      </c>
      <c r="AI5554">
        <v>94.229181372888505</v>
      </c>
      <c r="AJ5554">
        <v>108.096382343702</v>
      </c>
      <c r="AK5554">
        <v>15.0420280270326</v>
      </c>
    </row>
    <row r="5555" spans="1:37" x14ac:dyDescent="0.2">
      <c r="A5555" t="str">
        <f>"20200111153541676"</f>
        <v>20200111153541676</v>
      </c>
      <c r="B5555" t="str">
        <f>"1578728141671430"</f>
        <v>1578728141671430</v>
      </c>
      <c r="C5555" t="s">
        <v>37</v>
      </c>
      <c r="D5555">
        <v>4.6736570000000004</v>
      </c>
      <c r="E5555">
        <v>0.4782518</v>
      </c>
      <c r="F5555" t="s">
        <v>39</v>
      </c>
      <c r="G5555">
        <v>-260.19639999999998</v>
      </c>
      <c r="H5555" s="1">
        <v>5.9838799999999899E-7</v>
      </c>
      <c r="I5555">
        <v>-61.556569999999901</v>
      </c>
      <c r="J5555">
        <v>-282.29539999999997</v>
      </c>
      <c r="K5555">
        <v>1.1092949999999999</v>
      </c>
      <c r="L5555">
        <v>-60.617769999999901</v>
      </c>
      <c r="M5555">
        <v>0.93934200000000001</v>
      </c>
      <c r="N5555">
        <v>0</v>
      </c>
      <c r="O5555">
        <v>-0.34297810000000001</v>
      </c>
      <c r="P5555">
        <v>0.99503920000000001</v>
      </c>
      <c r="Q5555">
        <v>1.8026730000000001E-2</v>
      </c>
      <c r="R5555">
        <v>-9.7838060000000004E-2</v>
      </c>
      <c r="S5555">
        <v>3.0050349999999999</v>
      </c>
      <c r="T5555">
        <v>-0.14990339999999999</v>
      </c>
      <c r="U5555">
        <v>-0.13327030000000001</v>
      </c>
      <c r="V5555">
        <v>-0.24964349999999999</v>
      </c>
      <c r="W5555">
        <v>1.5959370000000001E-2</v>
      </c>
      <c r="X5555">
        <v>0.96820629999999996</v>
      </c>
      <c r="Y5555">
        <v>-0.30024190000000001</v>
      </c>
      <c r="Z5555">
        <v>2.4270759999999999E-2</v>
      </c>
      <c r="AA5555">
        <v>0.95355429999999997</v>
      </c>
      <c r="AB5555">
        <v>29</v>
      </c>
      <c r="AC5555">
        <v>22.098999999999901</v>
      </c>
      <c r="AD5555">
        <v>-1.1092944016120001</v>
      </c>
      <c r="AE5555">
        <v>-0.93879999999999997</v>
      </c>
      <c r="AF5555">
        <v>-6.6808242383461396</v>
      </c>
      <c r="AG5555">
        <v>-1.1092944016120001</v>
      </c>
      <c r="AH5555">
        <v>21.0276465568971</v>
      </c>
      <c r="AI5555">
        <v>92.878264564066697</v>
      </c>
      <c r="AJ5555">
        <v>107.625896266673</v>
      </c>
      <c r="AK5555">
        <v>22.091307482693399</v>
      </c>
    </row>
    <row r="5556" spans="1:37" x14ac:dyDescent="0.2">
      <c r="A5556" t="str">
        <f>"20200111153541688"</f>
        <v>20200111153541688</v>
      </c>
      <c r="B5556" t="str">
        <f>"1578728141681191"</f>
        <v>1578728141681191</v>
      </c>
      <c r="C5556" t="s">
        <v>37</v>
      </c>
      <c r="D5556">
        <v>4.7134179999999999</v>
      </c>
      <c r="E5556">
        <v>0.47794049999999999</v>
      </c>
      <c r="F5556" t="s">
        <v>75</v>
      </c>
      <c r="G5556">
        <v>-258.62079999999997</v>
      </c>
      <c r="H5556" s="1">
        <v>-3.0990709999999999E-6</v>
      </c>
      <c r="I5556">
        <v>-61.573769999999897</v>
      </c>
      <c r="J5556">
        <v>-282.15440000000001</v>
      </c>
      <c r="K5556">
        <v>1.1093</v>
      </c>
      <c r="L5556">
        <v>-60.665190000000003</v>
      </c>
      <c r="M5556">
        <v>0.94077279999999996</v>
      </c>
      <c r="N5556">
        <v>0</v>
      </c>
      <c r="O5556">
        <v>-0.33903349999999999</v>
      </c>
      <c r="P5556">
        <v>0.99534330000000004</v>
      </c>
      <c r="Q5556">
        <v>1.8095340000000001E-2</v>
      </c>
      <c r="R5556">
        <v>-9.4679920000000001E-2</v>
      </c>
      <c r="S5556">
        <v>3.005585</v>
      </c>
      <c r="T5556">
        <v>-0.14082929999999999</v>
      </c>
      <c r="U5556">
        <v>-0.1213684</v>
      </c>
      <c r="V5556">
        <v>-0.24865419999999999</v>
      </c>
      <c r="W5556">
        <v>1.602802E-2</v>
      </c>
      <c r="X5556">
        <v>0.96845969999999904</v>
      </c>
      <c r="Y5556">
        <v>-0.30011309999999902</v>
      </c>
      <c r="Z5556">
        <v>2.2625579999999999E-2</v>
      </c>
      <c r="AA5556">
        <v>0.95363529999999996</v>
      </c>
      <c r="AB5556">
        <v>29</v>
      </c>
      <c r="AC5556">
        <v>23.5336</v>
      </c>
      <c r="AD5556">
        <v>-1.109303099071</v>
      </c>
      <c r="AE5556">
        <v>-0.90857999999999295</v>
      </c>
      <c r="AF5556">
        <v>-7.1081514196817901</v>
      </c>
      <c r="AG5556">
        <v>-1.109303099071</v>
      </c>
      <c r="AH5556">
        <v>22.398149239519299</v>
      </c>
      <c r="AI5556">
        <v>92.702721058892493</v>
      </c>
      <c r="AJ5556">
        <v>107.607065138916</v>
      </c>
      <c r="AK5556">
        <v>23.525166510069798</v>
      </c>
    </row>
    <row r="5557" spans="1:37" x14ac:dyDescent="0.2">
      <c r="A5557" t="str">
        <f>"20200111153541698"</f>
        <v>20200111153541698</v>
      </c>
      <c r="B5557" t="str">
        <f>"1578728141690951"</f>
        <v>1578728141690951</v>
      </c>
      <c r="C5557" t="s">
        <v>37</v>
      </c>
      <c r="D5557">
        <v>4.7040290000000002</v>
      </c>
      <c r="E5557">
        <v>0.47789300000000001</v>
      </c>
      <c r="F5557" t="s">
        <v>75</v>
      </c>
      <c r="G5557">
        <v>-257.81920000000002</v>
      </c>
      <c r="H5557" s="1">
        <v>-2.749673E-6</v>
      </c>
      <c r="I5557">
        <v>-61.548869999999901</v>
      </c>
      <c r="J5557">
        <v>-282.01729999999998</v>
      </c>
      <c r="K5557">
        <v>1.109308</v>
      </c>
      <c r="L5557">
        <v>-60.710999999999999</v>
      </c>
      <c r="M5557">
        <v>0.9421427</v>
      </c>
      <c r="N5557">
        <v>0</v>
      </c>
      <c r="O5557">
        <v>-0.335207599999999</v>
      </c>
      <c r="P5557">
        <v>0.99561809999999995</v>
      </c>
      <c r="Q5557">
        <v>1.8271639999999999E-2</v>
      </c>
      <c r="R5557">
        <v>-9.1709289999999999E-2</v>
      </c>
      <c r="S5557">
        <v>3.0061339999999999</v>
      </c>
      <c r="T5557">
        <v>-0.13703270000000001</v>
      </c>
      <c r="U5557">
        <v>-0.10916140000000001</v>
      </c>
      <c r="V5557">
        <v>-0.24760969999999999</v>
      </c>
      <c r="W5557">
        <v>1.620634E-2</v>
      </c>
      <c r="X5557">
        <v>0.96872429999999998</v>
      </c>
      <c r="Y5557">
        <v>-0.30015130000000001</v>
      </c>
      <c r="Z5557">
        <v>2.1851969999999998E-2</v>
      </c>
      <c r="AA5557">
        <v>0.95364130000000003</v>
      </c>
      <c r="AB5557">
        <v>29</v>
      </c>
      <c r="AC5557">
        <v>24.198099999999901</v>
      </c>
      <c r="AD5557">
        <v>-1.1093107496729999</v>
      </c>
      <c r="AE5557">
        <v>-0.83786999999998801</v>
      </c>
      <c r="AF5557">
        <v>-7.3066678086326498</v>
      </c>
      <c r="AG5557">
        <v>-1.1093107496729999</v>
      </c>
      <c r="AH5557">
        <v>23.030615755359101</v>
      </c>
      <c r="AI5557">
        <v>92.628694911272504</v>
      </c>
      <c r="AJ5557">
        <v>107.602093404559</v>
      </c>
      <c r="AK5557">
        <v>24.187336084737499</v>
      </c>
    </row>
    <row r="5558" spans="1:37" x14ac:dyDescent="0.2">
      <c r="A5558" t="str">
        <f>"20200111153541710"</f>
        <v>20200111153541710</v>
      </c>
      <c r="B5558" t="str">
        <f>"1578728141701687"</f>
        <v>1578728141701687</v>
      </c>
      <c r="C5558" t="s">
        <v>37</v>
      </c>
      <c r="D5558">
        <v>4.668228</v>
      </c>
      <c r="E5558">
        <v>0.47812290000000002</v>
      </c>
      <c r="F5558" t="s">
        <v>75</v>
      </c>
      <c r="G5558">
        <v>-257.42720000000003</v>
      </c>
      <c r="H5558" s="1">
        <v>-2.5764879999999999E-6</v>
      </c>
      <c r="I5558">
        <v>-61.52619</v>
      </c>
      <c r="J5558">
        <v>-281.88099999999997</v>
      </c>
      <c r="K5558">
        <v>1.109313</v>
      </c>
      <c r="L5558">
        <v>-60.755549999999999</v>
      </c>
      <c r="M5558">
        <v>0.94347269999999905</v>
      </c>
      <c r="N5558">
        <v>0</v>
      </c>
      <c r="O5558">
        <v>-0.33144590000000002</v>
      </c>
      <c r="P5558">
        <v>0.99587599999999998</v>
      </c>
      <c r="Q5558">
        <v>1.824456E-2</v>
      </c>
      <c r="R5558">
        <v>-8.8872450000000006E-2</v>
      </c>
      <c r="S5558">
        <v>3.0065309999999998</v>
      </c>
      <c r="T5558">
        <v>-0.1356311</v>
      </c>
      <c r="U5558">
        <v>-9.9670410000000001E-2</v>
      </c>
      <c r="V5558">
        <v>-0.24650469999999999</v>
      </c>
      <c r="W5558">
        <v>1.6185350000000001E-2</v>
      </c>
      <c r="X5558">
        <v>0.96900640000000005</v>
      </c>
      <c r="Y5558">
        <v>-0.2993748</v>
      </c>
      <c r="Z5558">
        <v>2.1450190000000001E-2</v>
      </c>
      <c r="AA5558">
        <v>0.95389439999999903</v>
      </c>
      <c r="AB5558">
        <v>29</v>
      </c>
      <c r="AC5558">
        <v>24.453799999999902</v>
      </c>
      <c r="AD5558">
        <v>-1.1093155764880001</v>
      </c>
      <c r="AE5558">
        <v>-0.77063999999999999</v>
      </c>
      <c r="AF5558">
        <v>-7.3629077122469999</v>
      </c>
      <c r="AG5558">
        <v>-1.1093155764880001</v>
      </c>
      <c r="AH5558">
        <v>23.279093994528001</v>
      </c>
      <c r="AI5558">
        <v>92.601412276014898</v>
      </c>
      <c r="AJ5558">
        <v>107.55155951974101</v>
      </c>
      <c r="AK5558">
        <v>24.440933047520399</v>
      </c>
    </row>
    <row r="5559" spans="1:37" x14ac:dyDescent="0.2">
      <c r="A5559" t="str">
        <f>"20200111153541721"</f>
        <v>20200111153541721</v>
      </c>
      <c r="B5559" t="str">
        <f>"1578728141711447"</f>
        <v>1578728141711447</v>
      </c>
      <c r="C5559" t="s">
        <v>37</v>
      </c>
      <c r="D5559">
        <v>4.6921749999999998</v>
      </c>
      <c r="E5559">
        <v>0.47823579999999999</v>
      </c>
      <c r="F5559" t="s">
        <v>75</v>
      </c>
      <c r="G5559">
        <v>-257.31720000000001</v>
      </c>
      <c r="H5559" s="1">
        <v>-2.5267249999999999E-6</v>
      </c>
      <c r="I5559">
        <v>-61.514749999999999</v>
      </c>
      <c r="J5559">
        <v>-281.73989999999998</v>
      </c>
      <c r="K5559">
        <v>1.1093170000000001</v>
      </c>
      <c r="L5559">
        <v>-60.801419999999901</v>
      </c>
      <c r="M5559">
        <v>0.94482909999999998</v>
      </c>
      <c r="N5559">
        <v>0</v>
      </c>
      <c r="O5559">
        <v>-0.32755970000000001</v>
      </c>
      <c r="P5559">
        <v>0.99614709999999995</v>
      </c>
      <c r="Q5559">
        <v>1.8240449999999998E-2</v>
      </c>
      <c r="R5559">
        <v>-8.5781949999999996E-2</v>
      </c>
      <c r="S5559">
        <v>3.0066220000000001</v>
      </c>
      <c r="T5559">
        <v>-0.13578099999999901</v>
      </c>
      <c r="U5559">
        <v>-9.2926030000000007E-2</v>
      </c>
      <c r="V5559">
        <v>-0.24552309999999999</v>
      </c>
      <c r="W5559">
        <v>1.6185829999999998E-2</v>
      </c>
      <c r="X5559">
        <v>0.96925559999999999</v>
      </c>
      <c r="Y5559">
        <v>-0.29759029999999997</v>
      </c>
      <c r="Z5559">
        <v>2.126805E-2</v>
      </c>
      <c r="AA5559">
        <v>0.95445669999999905</v>
      </c>
      <c r="AB5559">
        <v>29</v>
      </c>
      <c r="AC5559">
        <v>24.422699999999899</v>
      </c>
      <c r="AD5559">
        <v>-1.109319526725</v>
      </c>
      <c r="AE5559">
        <v>-0.71333000000000601</v>
      </c>
      <c r="AF5559">
        <v>-7.3108565516406898</v>
      </c>
      <c r="AG5559">
        <v>-1.109319526725</v>
      </c>
      <c r="AH5559">
        <v>23.261016767762701</v>
      </c>
      <c r="AI5559">
        <v>92.604926005562106</v>
      </c>
      <c r="AJ5559">
        <v>107.447751729586</v>
      </c>
      <c r="AK5559">
        <v>24.408074778670599</v>
      </c>
    </row>
    <row r="5560" spans="1:37" x14ac:dyDescent="0.2">
      <c r="A5560" t="str">
        <f>"20200111153541731"</f>
        <v>20200111153541731</v>
      </c>
      <c r="B5560" t="str">
        <f>"1578728141721210"</f>
        <v>1578728141721210</v>
      </c>
      <c r="C5560" t="s">
        <v>37</v>
      </c>
      <c r="D5560">
        <v>4.6955080000000002</v>
      </c>
      <c r="E5560">
        <v>0.47829259999999901</v>
      </c>
      <c r="F5560" t="s">
        <v>75</v>
      </c>
      <c r="G5560">
        <v>-256.66390000000001</v>
      </c>
      <c r="H5560" s="1">
        <v>-2.2444679999999998E-6</v>
      </c>
      <c r="I5560">
        <v>-61.505659999999999</v>
      </c>
      <c r="J5560">
        <v>-281.59949999999998</v>
      </c>
      <c r="K5560">
        <v>1.1093200000000001</v>
      </c>
      <c r="L5560">
        <v>-60.846219999999903</v>
      </c>
      <c r="M5560">
        <v>0.94614849999999995</v>
      </c>
      <c r="N5560">
        <v>0</v>
      </c>
      <c r="O5560">
        <v>-0.32372889999999999</v>
      </c>
      <c r="P5560">
        <v>0.99638879999999996</v>
      </c>
      <c r="Q5560">
        <v>1.8344949999999999E-2</v>
      </c>
      <c r="R5560">
        <v>-8.2902399999999904E-2</v>
      </c>
      <c r="S5560">
        <v>3.0067439999999999</v>
      </c>
      <c r="T5560">
        <v>-0.13301350000000001</v>
      </c>
      <c r="U5560">
        <v>-8.4442139999999999E-2</v>
      </c>
      <c r="V5560">
        <v>-0.24439849999999999</v>
      </c>
      <c r="W5560">
        <v>1.6299310000000001E-2</v>
      </c>
      <c r="X5560">
        <v>0.96953789999999995</v>
      </c>
      <c r="Y5560">
        <v>-0.2964444</v>
      </c>
      <c r="Z5560">
        <v>2.0649770000000001E-2</v>
      </c>
      <c r="AA5560">
        <v>0.95482679999999998</v>
      </c>
      <c r="AB5560">
        <v>30</v>
      </c>
      <c r="AC5560">
        <v>24.935599999999901</v>
      </c>
      <c r="AD5560">
        <v>-1.109322244468</v>
      </c>
      <c r="AE5560">
        <v>-0.65944000000000302</v>
      </c>
      <c r="AF5560">
        <v>-7.4337537989664701</v>
      </c>
      <c r="AG5560">
        <v>-1.109322244468</v>
      </c>
      <c r="AH5560">
        <v>23.7593014098724</v>
      </c>
      <c r="AI5560">
        <v>92.551406163392997</v>
      </c>
      <c r="AJ5560">
        <v>107.373733900714</v>
      </c>
      <c r="AK5560">
        <v>24.919785209164299</v>
      </c>
    </row>
    <row r="5561" spans="1:37" x14ac:dyDescent="0.2">
      <c r="A5561" t="str">
        <f>"20200111153541743"</f>
        <v>20200111153541743</v>
      </c>
      <c r="B5561" t="str">
        <f>"1578728141730967"</f>
        <v>1578728141730967</v>
      </c>
      <c r="C5561" t="s">
        <v>37</v>
      </c>
      <c r="D5561">
        <v>4.6809969999999996</v>
      </c>
      <c r="E5561">
        <v>0.47843340000000001</v>
      </c>
      <c r="F5561" t="s">
        <v>75</v>
      </c>
      <c r="G5561">
        <v>-256.0761</v>
      </c>
      <c r="H5561" s="1">
        <v>-1.9892960000000001E-6</v>
      </c>
      <c r="I5561">
        <v>-61.492269999999998</v>
      </c>
      <c r="J5561">
        <v>-281.46120000000002</v>
      </c>
      <c r="K5561">
        <v>1.109324</v>
      </c>
      <c r="L5561">
        <v>-60.889949999999999</v>
      </c>
      <c r="M5561">
        <v>0.94742709999999997</v>
      </c>
      <c r="N5561">
        <v>0</v>
      </c>
      <c r="O5561">
        <v>-0.31996760000000002</v>
      </c>
      <c r="P5561">
        <v>0.99661650000000002</v>
      </c>
      <c r="Q5561">
        <v>1.8294810000000002E-2</v>
      </c>
      <c r="R5561">
        <v>-8.0131770000000005E-2</v>
      </c>
      <c r="S5561">
        <v>3.0069270000000001</v>
      </c>
      <c r="T5561">
        <v>-0.13068949999999999</v>
      </c>
      <c r="U5561">
        <v>-7.6110839999999999E-2</v>
      </c>
      <c r="V5561">
        <v>-0.24324219999999999</v>
      </c>
      <c r="W5561">
        <v>1.6260210000000001E-2</v>
      </c>
      <c r="X5561">
        <v>0.96982930000000001</v>
      </c>
      <c r="Y5561">
        <v>-0.2953209</v>
      </c>
      <c r="Z5561">
        <v>2.0109910000000002E-2</v>
      </c>
      <c r="AA5561">
        <v>0.95518639999999999</v>
      </c>
      <c r="AB5561">
        <v>30</v>
      </c>
      <c r="AC5561">
        <v>25.385100000000001</v>
      </c>
      <c r="AD5561">
        <v>-1.1093259892959999</v>
      </c>
      <c r="AE5561">
        <v>-0.60231999999999797</v>
      </c>
      <c r="AF5561">
        <v>-7.5373792600934504</v>
      </c>
      <c r="AG5561">
        <v>-1.1093259892959999</v>
      </c>
      <c r="AH5561">
        <v>24.197103655315299</v>
      </c>
      <c r="AI5561">
        <v>92.506292229138893</v>
      </c>
      <c r="AJ5561">
        <v>107.301771502794</v>
      </c>
      <c r="AK5561">
        <v>25.3681397734853</v>
      </c>
    </row>
    <row r="5562" spans="1:37" x14ac:dyDescent="0.2">
      <c r="A5562" t="str">
        <f>"20200111153541754"</f>
        <v>20200111153541754</v>
      </c>
      <c r="B5562" t="str">
        <f>"1578728141741704"</f>
        <v>1578728141741704</v>
      </c>
      <c r="C5562" t="s">
        <v>37</v>
      </c>
      <c r="D5562">
        <v>4.7021899999999999</v>
      </c>
      <c r="E5562">
        <v>0.47860979999999997</v>
      </c>
      <c r="F5562" t="s">
        <v>75</v>
      </c>
      <c r="G5562">
        <v>-256.03500000000003</v>
      </c>
      <c r="H5562" s="1">
        <v>-1.9670590000000001E-6</v>
      </c>
      <c r="I5562">
        <v>-61.471589999999999</v>
      </c>
      <c r="J5562">
        <v>-281.32260000000002</v>
      </c>
      <c r="K5562">
        <v>1.109326</v>
      </c>
      <c r="L5562">
        <v>-60.933109999999999</v>
      </c>
      <c r="M5562">
        <v>0.94868330000000001</v>
      </c>
      <c r="N5562">
        <v>0</v>
      </c>
      <c r="O5562">
        <v>-0.31622339999999999</v>
      </c>
      <c r="P5562">
        <v>0.99684889999999904</v>
      </c>
      <c r="Q5562">
        <v>1.8452349999999999E-2</v>
      </c>
      <c r="R5562">
        <v>-7.7148010000000003E-2</v>
      </c>
      <c r="S5562">
        <v>3.0070189999999899</v>
      </c>
      <c r="T5562">
        <v>-0.131193899999999</v>
      </c>
      <c r="U5562">
        <v>-6.8786620000000007E-2</v>
      </c>
      <c r="V5562">
        <v>-0.24231659999999999</v>
      </c>
      <c r="W5562">
        <v>1.6425169999999999E-2</v>
      </c>
      <c r="X5562">
        <v>0.97005819999999998</v>
      </c>
      <c r="Y5562">
        <v>-0.29387419999999997</v>
      </c>
      <c r="Z5562">
        <v>2.0001049999999999E-2</v>
      </c>
      <c r="AA5562">
        <v>0.95563480000000001</v>
      </c>
      <c r="AB5562">
        <v>30</v>
      </c>
      <c r="AC5562">
        <v>25.287600000000001</v>
      </c>
      <c r="AD5562">
        <v>-1.1093279670589999</v>
      </c>
      <c r="AE5562">
        <v>-0.53847999999999896</v>
      </c>
      <c r="AF5562">
        <v>-7.4713225817328297</v>
      </c>
      <c r="AG5562">
        <v>-1.1093279670589999</v>
      </c>
      <c r="AH5562">
        <v>24.113852441806699</v>
      </c>
      <c r="AI5562">
        <v>92.516122773577095</v>
      </c>
      <c r="AJ5562">
        <v>107.214826257352</v>
      </c>
      <c r="AK5562">
        <v>25.269134319244898</v>
      </c>
    </row>
    <row r="5563" spans="1:37" x14ac:dyDescent="0.2">
      <c r="A5563" t="str">
        <f>"20200111153541766"</f>
        <v>20200111153541766</v>
      </c>
      <c r="B5563" t="str">
        <f>"1578728141761223"</f>
        <v>1578728141761223</v>
      </c>
      <c r="C5563" t="s">
        <v>37</v>
      </c>
      <c r="D5563">
        <v>4.7007149999999998</v>
      </c>
      <c r="E5563">
        <v>0.47899890000000001</v>
      </c>
      <c r="F5563" t="s">
        <v>75</v>
      </c>
      <c r="G5563">
        <v>-255.84229999999999</v>
      </c>
      <c r="H5563" s="1">
        <v>-1.8796739999999999E-6</v>
      </c>
      <c r="I5563">
        <v>-61.450279999999999</v>
      </c>
      <c r="J5563">
        <v>-281.1746</v>
      </c>
      <c r="K5563">
        <v>1.1093309999999901</v>
      </c>
      <c r="L5563">
        <v>-60.978580000000001</v>
      </c>
      <c r="M5563">
        <v>0.94999789999999995</v>
      </c>
      <c r="N5563">
        <v>0</v>
      </c>
      <c r="O5563">
        <v>-0.31225190000000003</v>
      </c>
      <c r="P5563">
        <v>0.99708529999999995</v>
      </c>
      <c r="Q5563">
        <v>1.8490309999999999E-2</v>
      </c>
      <c r="R5563">
        <v>-7.4019870000000001E-2</v>
      </c>
      <c r="S5563">
        <v>3.0071720000000002</v>
      </c>
      <c r="T5563">
        <v>-0.13092239999999999</v>
      </c>
      <c r="U5563">
        <v>-6.1035159999999998E-2</v>
      </c>
      <c r="V5563">
        <v>-0.24130279999999901</v>
      </c>
      <c r="W5563">
        <v>1.6472850000000001E-2</v>
      </c>
      <c r="X5563">
        <v>0.97031000000000001</v>
      </c>
      <c r="Y5563">
        <v>-0.292346299999999</v>
      </c>
      <c r="Z5563">
        <v>1.9761850000000001E-2</v>
      </c>
      <c r="AA5563">
        <v>0.95610830000000002</v>
      </c>
      <c r="AB5563">
        <v>30</v>
      </c>
      <c r="AC5563">
        <v>25.3323</v>
      </c>
      <c r="AD5563">
        <v>-1.1093328796739901</v>
      </c>
      <c r="AE5563">
        <v>-0.47169999999999801</v>
      </c>
      <c r="AF5563">
        <v>-7.4476777639571496</v>
      </c>
      <c r="AG5563">
        <v>-1.1093328796739901</v>
      </c>
      <c r="AH5563">
        <v>24.166626585119801</v>
      </c>
      <c r="AI5563">
        <v>92.511817136581797</v>
      </c>
      <c r="AJ5563">
        <v>107.128266199348</v>
      </c>
      <c r="AK5563">
        <v>25.312533733672101</v>
      </c>
    </row>
    <row r="5564" spans="1:37" x14ac:dyDescent="0.2">
      <c r="A5564" t="str">
        <f>"20200111153541776"</f>
        <v>20200111153541776</v>
      </c>
      <c r="B5564" t="str">
        <f>"1578728141770983"</f>
        <v>1578728141770983</v>
      </c>
      <c r="C5564" t="s">
        <v>37</v>
      </c>
      <c r="D5564">
        <v>4.7006239999999897</v>
      </c>
      <c r="E5564">
        <v>0.47904219999999997</v>
      </c>
      <c r="F5564" t="s">
        <v>75</v>
      </c>
      <c r="G5564">
        <v>-255.70050000000001</v>
      </c>
      <c r="H5564" s="1">
        <v>-1.8168929999999999E-6</v>
      </c>
      <c r="I5564">
        <v>-61.441589999999998</v>
      </c>
      <c r="J5564">
        <v>-281.03210000000001</v>
      </c>
      <c r="K5564">
        <v>1.1093360000000001</v>
      </c>
      <c r="L5564">
        <v>-61.021880000000003</v>
      </c>
      <c r="M5564">
        <v>0.95124189999999997</v>
      </c>
      <c r="N5564">
        <v>0</v>
      </c>
      <c r="O5564">
        <v>-0.30844129999999997</v>
      </c>
      <c r="P5564">
        <v>0.99728019999999995</v>
      </c>
      <c r="Q5564">
        <v>1.8687809999999999E-2</v>
      </c>
      <c r="R5564">
        <v>-7.1294399999999994E-2</v>
      </c>
      <c r="S5564">
        <v>3.0071409999999998</v>
      </c>
      <c r="T5564">
        <v>-0.13095319999999999</v>
      </c>
      <c r="U5564">
        <v>-5.4656980000000001E-2</v>
      </c>
      <c r="V5564">
        <v>-0.24006729999999901</v>
      </c>
      <c r="W5564">
        <v>1.6685019999999998E-2</v>
      </c>
      <c r="X5564">
        <v>0.97061280000000005</v>
      </c>
      <c r="Y5564">
        <v>-0.29054469999999999</v>
      </c>
      <c r="Z5564">
        <v>1.9569900000000001E-2</v>
      </c>
      <c r="AA5564">
        <v>0.95666130000000005</v>
      </c>
      <c r="AB5564">
        <v>30</v>
      </c>
      <c r="AC5564">
        <v>25.331600000000002</v>
      </c>
      <c r="AD5564">
        <v>-1.1093378168929999</v>
      </c>
      <c r="AE5564">
        <v>-0.41971000000000203</v>
      </c>
      <c r="AF5564">
        <v>-7.3998887401918196</v>
      </c>
      <c r="AG5564">
        <v>-1.1093378168929999</v>
      </c>
      <c r="AH5564">
        <v>24.179610443348601</v>
      </c>
      <c r="AI5564">
        <v>92.511988818523704</v>
      </c>
      <c r="AJ5564">
        <v>107.01612127200001</v>
      </c>
      <c r="AK5564">
        <v>25.310917505126099</v>
      </c>
    </row>
    <row r="5565" spans="1:37" x14ac:dyDescent="0.2">
      <c r="A5565" t="str">
        <f>"20200111153541788"</f>
        <v>20200111153541788</v>
      </c>
      <c r="B5565" t="str">
        <f>"1578728141781719"</f>
        <v>1578728141781719</v>
      </c>
      <c r="C5565" t="s">
        <v>37</v>
      </c>
      <c r="D5565">
        <v>4.7217919999999998</v>
      </c>
      <c r="E5565">
        <v>0.47906769999999999</v>
      </c>
      <c r="F5565" t="s">
        <v>75</v>
      </c>
      <c r="G5565">
        <v>-255.53489999999999</v>
      </c>
      <c r="H5565" s="1">
        <v>-1.7406309999999999E-6</v>
      </c>
      <c r="I5565">
        <v>-61.418019999999999</v>
      </c>
      <c r="J5565">
        <v>-280.88310000000001</v>
      </c>
      <c r="K5565">
        <v>1.1093420000000001</v>
      </c>
      <c r="L5565">
        <v>-61.066249999999997</v>
      </c>
      <c r="M5565">
        <v>0.95251249999999998</v>
      </c>
      <c r="N5565">
        <v>0</v>
      </c>
      <c r="O5565">
        <v>-0.30449520000000002</v>
      </c>
      <c r="P5565">
        <v>0.99749270000000001</v>
      </c>
      <c r="Q5565">
        <v>1.871399E-2</v>
      </c>
      <c r="R5565">
        <v>-6.8252880000000002E-2</v>
      </c>
      <c r="S5565">
        <v>3.0072939999999999</v>
      </c>
      <c r="T5565">
        <v>-0.13084200000000001</v>
      </c>
      <c r="U5565">
        <v>-4.6722409999999999E-2</v>
      </c>
      <c r="V5565">
        <v>-0.23900349999999901</v>
      </c>
      <c r="W5565">
        <v>1.6724590000000001E-2</v>
      </c>
      <c r="X5565">
        <v>0.97087469999999998</v>
      </c>
      <c r="Y5565">
        <v>-0.28910829999999998</v>
      </c>
      <c r="Z5565">
        <v>1.935804E-2</v>
      </c>
      <c r="AA5565">
        <v>0.95710069999999903</v>
      </c>
      <c r="AB5565">
        <v>30</v>
      </c>
      <c r="AC5565">
        <v>25.348199999999999</v>
      </c>
      <c r="AD5565">
        <v>-1.1093437406310001</v>
      </c>
      <c r="AE5565">
        <v>-0.35177000000000103</v>
      </c>
      <c r="AF5565">
        <v>-7.3692379205105896</v>
      </c>
      <c r="AG5565">
        <v>-1.1093437406310001</v>
      </c>
      <c r="AH5565">
        <v>24.205269727460301</v>
      </c>
      <c r="AI5565">
        <v>92.510456113571905</v>
      </c>
      <c r="AJ5565">
        <v>106.932748478298</v>
      </c>
      <c r="AK5565">
        <v>25.326495881646899</v>
      </c>
    </row>
    <row r="5566" spans="1:37" x14ac:dyDescent="0.2">
      <c r="A5566" t="str">
        <f>"20200111153541799"</f>
        <v>20200111153541799</v>
      </c>
      <c r="B5566" t="str">
        <f>"1578728141791480"</f>
        <v>1578728141791480</v>
      </c>
      <c r="C5566" t="s">
        <v>37</v>
      </c>
      <c r="D5566">
        <v>4.7188650000000001</v>
      </c>
      <c r="E5566">
        <v>0.47909819999999997</v>
      </c>
      <c r="F5566" t="s">
        <v>75</v>
      </c>
      <c r="G5566">
        <v>-255.3845</v>
      </c>
      <c r="H5566" s="1">
        <v>-1.6690099999999899E-6</v>
      </c>
      <c r="I5566">
        <v>-61.386060000000001</v>
      </c>
      <c r="J5566">
        <v>-280.75049999999999</v>
      </c>
      <c r="K5566">
        <v>1.1093440000000001</v>
      </c>
      <c r="L5566">
        <v>-61.105589999999999</v>
      </c>
      <c r="M5566">
        <v>0.95362749999999996</v>
      </c>
      <c r="N5566">
        <v>0</v>
      </c>
      <c r="O5566">
        <v>-0.30098449999999999</v>
      </c>
      <c r="P5566">
        <v>0.99764560000000002</v>
      </c>
      <c r="Q5566">
        <v>1.913813E-2</v>
      </c>
      <c r="R5566">
        <v>-6.5856189999999995E-2</v>
      </c>
      <c r="S5566">
        <v>3.0074160000000001</v>
      </c>
      <c r="T5566">
        <v>-0.13084100000000001</v>
      </c>
      <c r="U5566">
        <v>-3.771973E-2</v>
      </c>
      <c r="V5566">
        <v>-0.237763999999999</v>
      </c>
      <c r="W5566">
        <v>1.716465E-2</v>
      </c>
      <c r="X5566">
        <v>0.97117129999999996</v>
      </c>
      <c r="Y5566">
        <v>-0.28845140000000002</v>
      </c>
      <c r="Z5566">
        <v>1.9197909999999999E-2</v>
      </c>
      <c r="AA5566">
        <v>0.95730210000000004</v>
      </c>
      <c r="AB5566">
        <v>30</v>
      </c>
      <c r="AC5566">
        <v>25.3659999999999</v>
      </c>
      <c r="AD5566">
        <v>-1.1093456690100001</v>
      </c>
      <c r="AE5566">
        <v>-0.280470000000001</v>
      </c>
      <c r="AF5566">
        <v>-7.3532573816943998</v>
      </c>
      <c r="AG5566">
        <v>-1.1093456690100001</v>
      </c>
      <c r="AH5566">
        <v>24.227834656700299</v>
      </c>
      <c r="AI5566">
        <v>92.508782793691097</v>
      </c>
      <c r="AJ5566">
        <v>106.883281071615</v>
      </c>
      <c r="AK5566">
        <v>25.3434215150047</v>
      </c>
    </row>
    <row r="5567" spans="1:37" x14ac:dyDescent="0.2">
      <c r="A5567" t="str">
        <f>"20200111153541810"</f>
        <v>20200111153541810</v>
      </c>
      <c r="B5567" t="str">
        <f>"1578728141801240"</f>
        <v>1578728141801240</v>
      </c>
      <c r="C5567" t="s">
        <v>37</v>
      </c>
      <c r="D5567">
        <v>4.7010120000000004</v>
      </c>
      <c r="E5567">
        <v>0.47928270000000001</v>
      </c>
      <c r="F5567" t="s">
        <v>75</v>
      </c>
      <c r="G5567">
        <v>-255.08629999999999</v>
      </c>
      <c r="H5567" s="1">
        <v>-1.5369999999999899E-6</v>
      </c>
      <c r="I5567">
        <v>-61.367829999999998</v>
      </c>
      <c r="J5567">
        <v>-280.6069</v>
      </c>
      <c r="K5567">
        <v>1.1093469999999901</v>
      </c>
      <c r="L5567">
        <v>-61.14716</v>
      </c>
      <c r="M5567">
        <v>0.9548046</v>
      </c>
      <c r="N5567">
        <v>0</v>
      </c>
      <c r="O5567">
        <v>-0.29722939999999998</v>
      </c>
      <c r="P5567">
        <v>0.99779759999999995</v>
      </c>
      <c r="Q5567">
        <v>1.9372710000000001E-2</v>
      </c>
      <c r="R5567">
        <v>-6.3439560000000006E-2</v>
      </c>
      <c r="S5567">
        <v>3.0075069999999999</v>
      </c>
      <c r="T5567">
        <v>-0.1300008</v>
      </c>
      <c r="U5567">
        <v>-3.07312E-2</v>
      </c>
      <c r="V5567">
        <v>-0.23629699999999901</v>
      </c>
      <c r="W5567">
        <v>1.7421619999999999E-2</v>
      </c>
      <c r="X5567">
        <v>0.97152469999999902</v>
      </c>
      <c r="Y5567">
        <v>-0.28691990000000001</v>
      </c>
      <c r="Z5567">
        <v>1.888625E-2</v>
      </c>
      <c r="AA5567">
        <v>0.95776839999999996</v>
      </c>
      <c r="AB5567">
        <v>30</v>
      </c>
      <c r="AC5567">
        <v>25.520600000000002</v>
      </c>
      <c r="AD5567">
        <v>-1.10934853699999</v>
      </c>
      <c r="AE5567">
        <v>-0.220670000000005</v>
      </c>
      <c r="AF5567">
        <v>-7.3608788621141503</v>
      </c>
      <c r="AG5567">
        <v>-1.10934853699999</v>
      </c>
      <c r="AH5567">
        <v>24.386734747846798</v>
      </c>
      <c r="AI5567">
        <v>92.493612598229205</v>
      </c>
      <c r="AJ5567">
        <v>106.79588634250101</v>
      </c>
      <c r="AK5567">
        <v>25.497568971592202</v>
      </c>
    </row>
    <row r="5568" spans="1:37" x14ac:dyDescent="0.2">
      <c r="A5568" t="str">
        <f>"20200111153541820"</f>
        <v>20200111153541820</v>
      </c>
      <c r="B5568" t="str">
        <f>"1578728141810999"</f>
        <v>1578728141810999</v>
      </c>
      <c r="C5568" t="s">
        <v>37</v>
      </c>
      <c r="D5568">
        <v>4.7136069999999997</v>
      </c>
      <c r="E5568">
        <v>0.47927969999999998</v>
      </c>
      <c r="F5568" t="s">
        <v>75</v>
      </c>
      <c r="G5568">
        <v>-254.89920000000001</v>
      </c>
      <c r="H5568" s="1">
        <v>-1.454899E-6</v>
      </c>
      <c r="I5568">
        <v>-61.359490000000001</v>
      </c>
      <c r="J5568">
        <v>-280.46469999999999</v>
      </c>
      <c r="K5568">
        <v>1.1093489999999999</v>
      </c>
      <c r="L5568">
        <v>-61.188079999999999</v>
      </c>
      <c r="M5568">
        <v>0.95595209999999997</v>
      </c>
      <c r="N5568">
        <v>0</v>
      </c>
      <c r="O5568">
        <v>-0.29351729999999998</v>
      </c>
      <c r="P5568">
        <v>0.99793869999999896</v>
      </c>
      <c r="Q5568">
        <v>1.962177E-2</v>
      </c>
      <c r="R5568">
        <v>-6.1099199999999999E-2</v>
      </c>
      <c r="S5568">
        <v>3.007568</v>
      </c>
      <c r="T5568">
        <v>-0.12978399999999901</v>
      </c>
      <c r="U5568">
        <v>-2.4841309999999998E-2</v>
      </c>
      <c r="V5568">
        <v>-0.23480300000000001</v>
      </c>
      <c r="W5568">
        <v>1.769242E-2</v>
      </c>
      <c r="X5568">
        <v>0.97188200000000002</v>
      </c>
      <c r="Y5568">
        <v>-0.28508030000000001</v>
      </c>
      <c r="Z5568">
        <v>1.8661460000000001E-2</v>
      </c>
      <c r="AA5568">
        <v>0.95832199999999901</v>
      </c>
      <c r="AB5568">
        <v>30</v>
      </c>
      <c r="AC5568">
        <v>25.565499999999901</v>
      </c>
      <c r="AD5568">
        <v>-1.1093504548989901</v>
      </c>
      <c r="AE5568">
        <v>-0.17140999999999401</v>
      </c>
      <c r="AF5568">
        <v>-7.3262743680539204</v>
      </c>
      <c r="AG5568">
        <v>-1.1093504548989901</v>
      </c>
      <c r="AH5568">
        <v>24.443720923451401</v>
      </c>
      <c r="AI5568">
        <v>92.489263703481697</v>
      </c>
      <c r="AJ5568">
        <v>106.68452993559301</v>
      </c>
      <c r="AK5568">
        <v>25.5421308259778</v>
      </c>
    </row>
    <row r="5569" spans="1:37" x14ac:dyDescent="0.2">
      <c r="A5569" t="str">
        <f>"20200111153541832"</f>
        <v>20200111153541832</v>
      </c>
      <c r="B5569" t="str">
        <f>"1578728141821735"</f>
        <v>1578728141821735</v>
      </c>
      <c r="C5569" t="s">
        <v>37</v>
      </c>
      <c r="D5569">
        <v>4.6833839999999904</v>
      </c>
      <c r="E5569">
        <v>0.47941309999999898</v>
      </c>
      <c r="F5569" t="s">
        <v>75</v>
      </c>
      <c r="G5569">
        <v>-254.69579999999999</v>
      </c>
      <c r="H5569" s="1">
        <v>-1.363057E-6</v>
      </c>
      <c r="I5569">
        <v>-61.338949999999997</v>
      </c>
      <c r="J5569">
        <v>-280.31630000000001</v>
      </c>
      <c r="K5569">
        <v>1.109351</v>
      </c>
      <c r="L5569">
        <v>-61.229950000000002</v>
      </c>
      <c r="M5569">
        <v>0.95712350000000002</v>
      </c>
      <c r="N5569">
        <v>0</v>
      </c>
      <c r="O5569">
        <v>-0.28967490000000001</v>
      </c>
      <c r="P5569">
        <v>0.99807169999999901</v>
      </c>
      <c r="Q5569">
        <v>1.9706959999999999E-2</v>
      </c>
      <c r="R5569">
        <v>-5.8859929999999998E-2</v>
      </c>
      <c r="S5569">
        <v>3.00766</v>
      </c>
      <c r="T5569">
        <v>-0.1294796</v>
      </c>
      <c r="U5569">
        <v>-1.7608639999999998E-2</v>
      </c>
      <c r="V5569">
        <v>-0.23308099999999901</v>
      </c>
      <c r="W5569">
        <v>1.7804939999999998E-2</v>
      </c>
      <c r="X5569">
        <v>0.97229429999999994</v>
      </c>
      <c r="Y5569">
        <v>-0.28354209999999902</v>
      </c>
      <c r="Z5569">
        <v>1.8425759999999999E-2</v>
      </c>
      <c r="AA5569">
        <v>0.95878269999999899</v>
      </c>
      <c r="AB5569">
        <v>30</v>
      </c>
      <c r="AC5569">
        <v>25.6205</v>
      </c>
      <c r="AD5569">
        <v>-1.1093523630569999</v>
      </c>
      <c r="AE5569">
        <v>-0.108999999999994</v>
      </c>
      <c r="AF5569">
        <v>-7.30360766656983</v>
      </c>
      <c r="AG5569">
        <v>-1.1093523630569999</v>
      </c>
      <c r="AH5569">
        <v>24.507647693427799</v>
      </c>
      <c r="AI5569">
        <v>92.483944376287695</v>
      </c>
      <c r="AJ5569">
        <v>106.59476226114801</v>
      </c>
      <c r="AK5569">
        <v>25.596838536775898</v>
      </c>
    </row>
    <row r="5570" spans="1:37" x14ac:dyDescent="0.2">
      <c r="A5570" t="str">
        <f>"20200111153541844"</f>
        <v>20200111153541844</v>
      </c>
      <c r="B5570" t="str">
        <f>"1578728141831495"</f>
        <v>1578728141831495</v>
      </c>
      <c r="C5570" t="s">
        <v>37</v>
      </c>
      <c r="D5570">
        <v>6.3631859999999998</v>
      </c>
      <c r="E5570">
        <v>0.47964179999999901</v>
      </c>
      <c r="F5570" t="s">
        <v>75</v>
      </c>
      <c r="G5570">
        <v>-254.72579999999999</v>
      </c>
      <c r="H5570" s="1">
        <v>-1.3741459999999999E-6</v>
      </c>
      <c r="I5570">
        <v>-61.330959999999997</v>
      </c>
      <c r="J5570">
        <v>-280.17320000000001</v>
      </c>
      <c r="K5570">
        <v>1.109354</v>
      </c>
      <c r="L5570">
        <v>-61.269869999999997</v>
      </c>
      <c r="M5570">
        <v>0.95823219999999998</v>
      </c>
      <c r="N5570">
        <v>0</v>
      </c>
      <c r="O5570">
        <v>-0.28598639999999997</v>
      </c>
      <c r="P5570">
        <v>0.9981833</v>
      </c>
      <c r="Q5570">
        <v>1.996734E-2</v>
      </c>
      <c r="R5570">
        <v>-5.684782E-2</v>
      </c>
      <c r="S5570">
        <v>3.00766</v>
      </c>
      <c r="T5570">
        <v>-0.13038269999999999</v>
      </c>
      <c r="U5570">
        <v>-1.1871339999999999E-2</v>
      </c>
      <c r="V5570">
        <v>-0.23129859999999999</v>
      </c>
      <c r="W5570">
        <v>1.8093850000000002E-2</v>
      </c>
      <c r="X5570">
        <v>0.97271450000000004</v>
      </c>
      <c r="Y5570">
        <v>-0.28167520000000001</v>
      </c>
      <c r="Z5570">
        <v>1.8360209999999998E-2</v>
      </c>
      <c r="AA5570">
        <v>0.95933409999999997</v>
      </c>
      <c r="AB5570">
        <v>30</v>
      </c>
      <c r="AC5570">
        <v>25.447399999999998</v>
      </c>
      <c r="AD5570">
        <v>-1.1093553741460001</v>
      </c>
      <c r="AE5570">
        <v>-6.1089999999999998E-2</v>
      </c>
      <c r="AF5570">
        <v>-7.20538878253869</v>
      </c>
      <c r="AG5570">
        <v>-1.1093553741460001</v>
      </c>
      <c r="AH5570">
        <v>24.355737131465901</v>
      </c>
      <c r="AI5570">
        <v>92.500905521138293</v>
      </c>
      <c r="AJ5570">
        <v>106.4802974956</v>
      </c>
      <c r="AK5570">
        <v>25.423418890282001</v>
      </c>
    </row>
    <row r="5571" spans="1:37" x14ac:dyDescent="0.2">
      <c r="A5571" t="str">
        <f>"20200111153541854"</f>
        <v>20200111153541854</v>
      </c>
      <c r="B5571" t="str">
        <f>"1578728141851014"</f>
        <v>1578728141851014</v>
      </c>
      <c r="C5571" t="s">
        <v>37</v>
      </c>
      <c r="D5571">
        <v>4.6420469999999998</v>
      </c>
      <c r="E5571">
        <v>0.48013479999999997</v>
      </c>
      <c r="F5571" t="s">
        <v>75</v>
      </c>
      <c r="G5571">
        <v>-254.3322</v>
      </c>
      <c r="H5571" s="1">
        <v>-1.2062479999999901E-6</v>
      </c>
      <c r="I5571">
        <v>-61.335159999999902</v>
      </c>
      <c r="J5571">
        <v>-280.02460000000002</v>
      </c>
      <c r="K5571">
        <v>1.1093569999999999</v>
      </c>
      <c r="L5571">
        <v>-61.31073</v>
      </c>
      <c r="M5571">
        <v>0.95935969999999904</v>
      </c>
      <c r="N5571">
        <v>0</v>
      </c>
      <c r="O5571">
        <v>-0.28218119999999902</v>
      </c>
      <c r="P5571">
        <v>0.99831759999999903</v>
      </c>
      <c r="Q5571">
        <v>1.9732900000000001E-2</v>
      </c>
      <c r="R5571">
        <v>-5.452514E-2</v>
      </c>
      <c r="S5571">
        <v>3.0075989999999999</v>
      </c>
      <c r="T5571">
        <v>-0.1291166</v>
      </c>
      <c r="U5571">
        <v>-7.59887699999999E-3</v>
      </c>
      <c r="V5571">
        <v>-0.2296994</v>
      </c>
      <c r="W5571">
        <v>1.788551E-2</v>
      </c>
      <c r="X5571">
        <v>0.97309729999999905</v>
      </c>
      <c r="Y5571">
        <v>-0.27924520000000003</v>
      </c>
      <c r="Z5571">
        <v>1.7973039999999999E-2</v>
      </c>
      <c r="AA5571">
        <v>0.9600516</v>
      </c>
      <c r="AB5571">
        <v>31</v>
      </c>
      <c r="AC5571">
        <v>25.692399999999999</v>
      </c>
      <c r="AD5571">
        <v>-1.1093582062479901</v>
      </c>
      <c r="AE5571">
        <v>-2.44299999999881E-2</v>
      </c>
      <c r="AF5571">
        <v>-7.213037168264</v>
      </c>
      <c r="AG5571">
        <v>-1.1093582062479901</v>
      </c>
      <c r="AH5571">
        <v>24.609299551094399</v>
      </c>
      <c r="AI5571">
        <v>92.4770102995126</v>
      </c>
      <c r="AJ5571">
        <v>106.33597130111799</v>
      </c>
      <c r="AK5571">
        <v>25.668584012680199</v>
      </c>
    </row>
    <row r="5572" spans="1:37" x14ac:dyDescent="0.2">
      <c r="A5572" t="str">
        <f>"20200111153541866"</f>
        <v>20200111153541866</v>
      </c>
      <c r="B5572" t="str">
        <f>"1578728141861751"</f>
        <v>1578728141861751</v>
      </c>
      <c r="C5572" t="s">
        <v>37</v>
      </c>
      <c r="D5572">
        <v>4.719265</v>
      </c>
      <c r="E5572">
        <v>0.48035280000000002</v>
      </c>
      <c r="F5572" t="s">
        <v>75</v>
      </c>
      <c r="G5572">
        <v>-254.35830000000001</v>
      </c>
      <c r="H5572" s="1">
        <v>-1.220461E-6</v>
      </c>
      <c r="I5572">
        <v>-61.348759999999999</v>
      </c>
      <c r="J5572">
        <v>-279.87380000000002</v>
      </c>
      <c r="K5572">
        <v>1.1093599999999999</v>
      </c>
      <c r="L5572">
        <v>-61.351439999999997</v>
      </c>
      <c r="M5572">
        <v>0.96047899999999997</v>
      </c>
      <c r="N5572">
        <v>0</v>
      </c>
      <c r="O5572">
        <v>-0.27834759999999997</v>
      </c>
      <c r="P5572">
        <v>0.9984402</v>
      </c>
      <c r="Q5572">
        <v>1.9894240000000001E-2</v>
      </c>
      <c r="R5572">
        <v>-5.2165360000000001E-2</v>
      </c>
      <c r="S5572">
        <v>3.007355</v>
      </c>
      <c r="T5572">
        <v>-0.12998499999999999</v>
      </c>
      <c r="U5572">
        <v>-4.4555659999999898E-3</v>
      </c>
      <c r="V5572">
        <v>-0.22811419999999999</v>
      </c>
      <c r="W5572">
        <v>1.8073829999999999E-2</v>
      </c>
      <c r="X5572">
        <v>0.97346659999999996</v>
      </c>
      <c r="Y5572">
        <v>-0.27641209999999899</v>
      </c>
      <c r="Z5572">
        <v>1.787416E-2</v>
      </c>
      <c r="AA5572">
        <v>0.96087299999999998</v>
      </c>
      <c r="AB5572">
        <v>31</v>
      </c>
      <c r="AC5572">
        <v>25.515499999999999</v>
      </c>
      <c r="AD5572">
        <v>-1.1093612204609999</v>
      </c>
      <c r="AE5572">
        <v>2.6800000000051201E-3</v>
      </c>
      <c r="AF5572">
        <v>-7.0913568679842296</v>
      </c>
      <c r="AG5572">
        <v>-1.1093612204609999</v>
      </c>
      <c r="AH5572">
        <v>24.460151312061299</v>
      </c>
      <c r="AI5572">
        <v>92.494234310483805</v>
      </c>
      <c r="AJ5572">
        <v>106.167649508284</v>
      </c>
      <c r="AK5572">
        <v>25.491508914842601</v>
      </c>
    </row>
    <row r="5573" spans="1:37" x14ac:dyDescent="0.2">
      <c r="A5573" t="str">
        <f>"20200111153541877"</f>
        <v>20200111153541877</v>
      </c>
      <c r="B5573" t="str">
        <f>"1578728141871511"</f>
        <v>1578728141871511</v>
      </c>
      <c r="C5573" t="s">
        <v>37</v>
      </c>
      <c r="D5573">
        <v>4.7270479999999999</v>
      </c>
      <c r="E5573">
        <v>0.48045729999999998</v>
      </c>
      <c r="F5573" t="s">
        <v>75</v>
      </c>
      <c r="G5573">
        <v>-254.03630000000001</v>
      </c>
      <c r="H5573" s="1">
        <v>-1.0810750000000001E-6</v>
      </c>
      <c r="I5573">
        <v>-61.343059999999902</v>
      </c>
      <c r="J5573">
        <v>-279.7235</v>
      </c>
      <c r="K5573">
        <v>1.109362</v>
      </c>
      <c r="L5573">
        <v>-61.3917199999999</v>
      </c>
      <c r="M5573">
        <v>0.96157499999999996</v>
      </c>
      <c r="N5573">
        <v>0</v>
      </c>
      <c r="O5573">
        <v>-0.27453689999999997</v>
      </c>
      <c r="P5573">
        <v>0.99855659999999902</v>
      </c>
      <c r="Q5573">
        <v>2.0183880000000001E-2</v>
      </c>
      <c r="R5573">
        <v>-4.9774779999999998E-2</v>
      </c>
      <c r="S5573">
        <v>3.007355</v>
      </c>
      <c r="T5573">
        <v>-0.12912399999999999</v>
      </c>
      <c r="U5573">
        <v>9.765625E-4</v>
      </c>
      <c r="V5573">
        <v>-0.22658819999999999</v>
      </c>
      <c r="W5573">
        <v>1.8390879999999998E-2</v>
      </c>
      <c r="X5573">
        <v>0.97381700000000004</v>
      </c>
      <c r="Y5573">
        <v>-0.2743488</v>
      </c>
      <c r="Z5573">
        <v>1.7553829999999999E-2</v>
      </c>
      <c r="AA5573">
        <v>0.96147000000000005</v>
      </c>
      <c r="AB5573">
        <v>31</v>
      </c>
      <c r="AC5573">
        <v>25.687199999999901</v>
      </c>
      <c r="AD5573">
        <v>-1.1093630810749999</v>
      </c>
      <c r="AE5573">
        <v>4.8659999999998101E-2</v>
      </c>
      <c r="AF5573">
        <v>-7.0856693882591699</v>
      </c>
      <c r="AG5573">
        <v>-1.1093630810749999</v>
      </c>
      <c r="AH5573">
        <v>24.6408887258759</v>
      </c>
      <c r="AI5573">
        <v>92.477520554290507</v>
      </c>
      <c r="AJ5573">
        <v>106.042979863336</v>
      </c>
      <c r="AK5573">
        <v>25.6634135361289</v>
      </c>
    </row>
    <row r="5574" spans="1:37" x14ac:dyDescent="0.2">
      <c r="A5574" t="str">
        <f>"20200111153541890"</f>
        <v>20200111153541890</v>
      </c>
      <c r="B5574" t="str">
        <f>"1578728141881271"</f>
        <v>1578728141881271</v>
      </c>
      <c r="C5574" t="s">
        <v>37</v>
      </c>
      <c r="D5574">
        <v>4.6783779999999897</v>
      </c>
      <c r="E5574">
        <v>0.48059979999999902</v>
      </c>
      <c r="F5574" t="s">
        <v>75</v>
      </c>
      <c r="G5574">
        <v>-253.83269999999999</v>
      </c>
      <c r="H5574" s="1">
        <v>-9.9063810000000002E-7</v>
      </c>
      <c r="I5574">
        <v>-61.329189999999997</v>
      </c>
      <c r="J5574">
        <v>-279.56619999999998</v>
      </c>
      <c r="K5574">
        <v>1.109362</v>
      </c>
      <c r="L5574">
        <v>-61.432859999999998</v>
      </c>
      <c r="M5574">
        <v>0.96269150000000003</v>
      </c>
      <c r="N5574">
        <v>0</v>
      </c>
      <c r="O5574">
        <v>-0.270596</v>
      </c>
      <c r="P5574">
        <v>0.99866139999999903</v>
      </c>
      <c r="Q5574">
        <v>2.0330259999999999E-2</v>
      </c>
      <c r="R5574">
        <v>-4.7561890000000002E-2</v>
      </c>
      <c r="S5574">
        <v>3.0072939999999999</v>
      </c>
      <c r="T5574">
        <v>-0.1288559</v>
      </c>
      <c r="U5574">
        <v>7.2631839999999998E-3</v>
      </c>
      <c r="V5574">
        <v>-0.22475889999999901</v>
      </c>
      <c r="W5574">
        <v>1.8570610000000001E-2</v>
      </c>
      <c r="X5574">
        <v>0.97423740000000003</v>
      </c>
      <c r="Y5574">
        <v>-0.27242709999999998</v>
      </c>
      <c r="Z5574">
        <v>1.731365E-2</v>
      </c>
      <c r="AA5574">
        <v>0.9620206</v>
      </c>
      <c r="AB5574">
        <v>31</v>
      </c>
      <c r="AC5574">
        <v>25.7334999999999</v>
      </c>
      <c r="AD5574">
        <v>-1.1093629906381</v>
      </c>
      <c r="AE5574">
        <v>0.103669999999993</v>
      </c>
      <c r="AF5574">
        <v>-7.0500925728252302</v>
      </c>
      <c r="AG5574">
        <v>-1.1093629906381</v>
      </c>
      <c r="AH5574">
        <v>24.699502755250499</v>
      </c>
      <c r="AI5574">
        <v>92.473036107769204</v>
      </c>
      <c r="AJ5574">
        <v>105.93057916580401</v>
      </c>
      <c r="AK5574">
        <v>25.709918861930099</v>
      </c>
    </row>
    <row r="5575" spans="1:37" x14ac:dyDescent="0.2">
      <c r="A5575" t="str">
        <f>"20200111153541899"</f>
        <v>20200111153541899</v>
      </c>
      <c r="B5575" t="str">
        <f>"1578728141891031"</f>
        <v>1578728141891031</v>
      </c>
      <c r="C5575" t="s">
        <v>37</v>
      </c>
      <c r="D5575">
        <v>4.6829619999999998</v>
      </c>
      <c r="E5575">
        <v>0.48075499999999999</v>
      </c>
      <c r="F5575" t="s">
        <v>75</v>
      </c>
      <c r="G5575">
        <v>-253.67859999999999</v>
      </c>
      <c r="H5575" s="1">
        <v>-9.2309149999999998E-7</v>
      </c>
      <c r="I5575">
        <v>-61.322789999999998</v>
      </c>
      <c r="J5575">
        <v>-279.42219999999998</v>
      </c>
      <c r="K5575">
        <v>1.1093599999999999</v>
      </c>
      <c r="L5575">
        <v>-61.47025</v>
      </c>
      <c r="M5575">
        <v>0.96369590000000005</v>
      </c>
      <c r="N5575">
        <v>0</v>
      </c>
      <c r="O5575">
        <v>-0.26699650000000003</v>
      </c>
      <c r="P5575">
        <v>0.99874180000000001</v>
      </c>
      <c r="Q5575">
        <v>2.035524E-2</v>
      </c>
      <c r="R5575">
        <v>-4.5827609999999998E-2</v>
      </c>
      <c r="S5575">
        <v>3.007263</v>
      </c>
      <c r="T5575">
        <v>-0.12887029999999999</v>
      </c>
      <c r="U5575">
        <v>1.2786870000000001E-2</v>
      </c>
      <c r="V5575">
        <v>-0.22280939999999999</v>
      </c>
      <c r="W5575">
        <v>1.8631640000000001E-2</v>
      </c>
      <c r="X5575">
        <v>0.97468390000000005</v>
      </c>
      <c r="Y5575">
        <v>-0.27060319999999999</v>
      </c>
      <c r="Z5575">
        <v>1.712758E-2</v>
      </c>
      <c r="AA5575">
        <v>0.96253860000000002</v>
      </c>
      <c r="AB5575">
        <v>31</v>
      </c>
      <c r="AC5575">
        <v>25.743599999999901</v>
      </c>
      <c r="AD5575">
        <v>-1.1093609230915</v>
      </c>
      <c r="AE5575">
        <v>0.14745999999999501</v>
      </c>
      <c r="AF5575">
        <v>-7.0025653079893697</v>
      </c>
      <c r="AG5575">
        <v>-1.1093609230915</v>
      </c>
      <c r="AH5575">
        <v>24.723758615883</v>
      </c>
      <c r="AI5575">
        <v>92.472038308522301</v>
      </c>
      <c r="AJ5575">
        <v>105.81383153164199</v>
      </c>
      <c r="AK5575">
        <v>25.720241885464201</v>
      </c>
    </row>
    <row r="5576" spans="1:37" x14ac:dyDescent="0.2">
      <c r="A5576" t="str">
        <f>"20200111153541910"</f>
        <v>20200111153541910</v>
      </c>
      <c r="B5576" t="str">
        <f>"1578728141901767"</f>
        <v>1578728141901767</v>
      </c>
      <c r="C5576" t="s">
        <v>37</v>
      </c>
      <c r="D5576">
        <v>4.6749289999999997</v>
      </c>
      <c r="E5576">
        <v>0.48088530000000002</v>
      </c>
      <c r="F5576" t="s">
        <v>75</v>
      </c>
      <c r="G5576">
        <v>-253.68729999999999</v>
      </c>
      <c r="H5576" s="1">
        <v>-9.2757819999999897E-7</v>
      </c>
      <c r="I5576">
        <v>-61.326079999999997</v>
      </c>
      <c r="J5576">
        <v>-279.2783</v>
      </c>
      <c r="K5576">
        <v>1.109356</v>
      </c>
      <c r="L5576">
        <v>-61.506769999999896</v>
      </c>
      <c r="M5576">
        <v>0.96467259999999999</v>
      </c>
      <c r="N5576">
        <v>0</v>
      </c>
      <c r="O5576">
        <v>-0.26344590000000001</v>
      </c>
      <c r="P5576">
        <v>0.99881149999999996</v>
      </c>
      <c r="Q5576">
        <v>2.0569980000000002E-2</v>
      </c>
      <c r="R5576">
        <v>-4.4185589999999997E-2</v>
      </c>
      <c r="S5576">
        <v>3.0072019999999999</v>
      </c>
      <c r="T5576">
        <v>-0.12963250000000001</v>
      </c>
      <c r="U5576">
        <v>1.6845699999999901E-2</v>
      </c>
      <c r="V5576">
        <v>-0.2208243</v>
      </c>
      <c r="W5576">
        <v>1.8884789999999999E-2</v>
      </c>
      <c r="X5576">
        <v>0.97513069999999902</v>
      </c>
      <c r="Y5576">
        <v>-0.26835629999999999</v>
      </c>
      <c r="Z5576">
        <v>1.7032439999999999E-2</v>
      </c>
      <c r="AA5576">
        <v>0.96316919999999995</v>
      </c>
      <c r="AB5576">
        <v>31</v>
      </c>
      <c r="AC5576">
        <v>25.591000000000001</v>
      </c>
      <c r="AD5576">
        <v>-1.1093569275782</v>
      </c>
      <c r="AE5576">
        <v>0.180689999999991</v>
      </c>
      <c r="AF5576">
        <v>-6.9031895257385401</v>
      </c>
      <c r="AG5576">
        <v>-1.1093569275782</v>
      </c>
      <c r="AH5576">
        <v>24.593159189858401</v>
      </c>
      <c r="AI5576">
        <v>92.486785548090594</v>
      </c>
      <c r="AJ5576">
        <v>105.679192831519</v>
      </c>
      <c r="AK5576">
        <v>25.567717484334601</v>
      </c>
    </row>
    <row r="5577" spans="1:37" x14ac:dyDescent="0.2">
      <c r="A5577" t="str">
        <f>"20200111153541922"</f>
        <v>20200111153541922</v>
      </c>
      <c r="B5577" t="str">
        <f>"1578728141911527"</f>
        <v>1578728141911527</v>
      </c>
      <c r="C5577" t="s">
        <v>37</v>
      </c>
      <c r="D5577">
        <v>4.7093809999999996</v>
      </c>
      <c r="E5577">
        <v>0.48098190000000002</v>
      </c>
      <c r="F5577" t="s">
        <v>75</v>
      </c>
      <c r="G5577">
        <v>-253.53799999999899</v>
      </c>
      <c r="H5577" s="1">
        <v>-8.6391209999999995E-7</v>
      </c>
      <c r="I5577">
        <v>-61.327840000000002</v>
      </c>
      <c r="J5577">
        <v>-279.12650000000002</v>
      </c>
      <c r="K5577">
        <v>1.1093500000000001</v>
      </c>
      <c r="L5577">
        <v>-61.544980000000002</v>
      </c>
      <c r="M5577">
        <v>0.9656846</v>
      </c>
      <c r="N5577">
        <v>0</v>
      </c>
      <c r="O5577">
        <v>-0.259712</v>
      </c>
      <c r="P5577">
        <v>0.99887559999999997</v>
      </c>
      <c r="Q5577">
        <v>2.083573E-2</v>
      </c>
      <c r="R5577">
        <v>-4.2586270000000002E-2</v>
      </c>
      <c r="S5577">
        <v>3.0071720000000002</v>
      </c>
      <c r="T5577">
        <v>-0.1296033</v>
      </c>
      <c r="U5577">
        <v>2.0904539999999999E-2</v>
      </c>
      <c r="V5577">
        <v>-0.2186157</v>
      </c>
      <c r="W5577">
        <v>1.9193249999999999E-2</v>
      </c>
      <c r="X5577">
        <v>0.97562219999999999</v>
      </c>
      <c r="Y5577">
        <v>-0.26593499999999998</v>
      </c>
      <c r="Z5577">
        <v>1.682051E-2</v>
      </c>
      <c r="AA5577">
        <v>0.96384419999999904</v>
      </c>
      <c r="AB5577">
        <v>31</v>
      </c>
      <c r="AC5577">
        <v>25.5885</v>
      </c>
      <c r="AD5577">
        <v>-1.1093508639120999</v>
      </c>
      <c r="AE5577">
        <v>0.21714</v>
      </c>
      <c r="AF5577">
        <v>-6.8424796223068904</v>
      </c>
      <c r="AG5577">
        <v>-1.1093508639120999</v>
      </c>
      <c r="AH5577">
        <v>24.6078149637389</v>
      </c>
      <c r="AI5577">
        <v>92.486987866612395</v>
      </c>
      <c r="AJ5577">
        <v>105.539187846811</v>
      </c>
      <c r="AK5577">
        <v>25.565499095667199</v>
      </c>
    </row>
    <row r="5578" spans="1:37" x14ac:dyDescent="0.2">
      <c r="A5578" t="str">
        <f>"20200111153541933"</f>
        <v>20200111153541933</v>
      </c>
      <c r="B5578" t="str">
        <f>"1578728141921287"</f>
        <v>1578728141921287</v>
      </c>
      <c r="C5578" t="s">
        <v>37</v>
      </c>
      <c r="D5578">
        <v>4.6590429999999996</v>
      </c>
      <c r="E5578">
        <v>0.481095299999999</v>
      </c>
      <c r="F5578" t="s">
        <v>75</v>
      </c>
      <c r="G5578">
        <v>-253.2637</v>
      </c>
      <c r="H5578" s="1">
        <v>-7.4664009999999996E-7</v>
      </c>
      <c r="I5578">
        <v>-61.32976</v>
      </c>
      <c r="J5578">
        <v>-278.97930000000002</v>
      </c>
      <c r="K5578">
        <v>1.1093440000000001</v>
      </c>
      <c r="L5578">
        <v>-61.581330000000001</v>
      </c>
      <c r="M5578">
        <v>0.96664119999999998</v>
      </c>
      <c r="N5578">
        <v>0</v>
      </c>
      <c r="O5578">
        <v>-0.25612809999999903</v>
      </c>
      <c r="P5578">
        <v>0.99894430000000001</v>
      </c>
      <c r="Q5578">
        <v>2.0939070000000001E-2</v>
      </c>
      <c r="R5578">
        <v>-4.0885419999999999E-2</v>
      </c>
      <c r="S5578">
        <v>3.0072019999999999</v>
      </c>
      <c r="T5578">
        <v>-0.12898959999999901</v>
      </c>
      <c r="U5578">
        <v>2.502441E-2</v>
      </c>
      <c r="V5578">
        <v>-0.216658399999999</v>
      </c>
      <c r="W5578">
        <v>1.9336269999999999E-2</v>
      </c>
      <c r="X5578">
        <v>0.97605599999999904</v>
      </c>
      <c r="Y5578">
        <v>-0.26368909999999901</v>
      </c>
      <c r="Z5578">
        <v>1.654336E-2</v>
      </c>
      <c r="AA5578">
        <v>0.96446589999999999</v>
      </c>
      <c r="AB5578">
        <v>31</v>
      </c>
      <c r="AC5578">
        <v>25.715599999999998</v>
      </c>
      <c r="AD5578">
        <v>-1.1093447466401001</v>
      </c>
      <c r="AE5578">
        <v>0.25157000000000002</v>
      </c>
      <c r="AF5578">
        <v>-6.8169915641338399</v>
      </c>
      <c r="AG5578">
        <v>-1.1093447466401001</v>
      </c>
      <c r="AH5578">
        <v>24.747314162013001</v>
      </c>
      <c r="AI5578">
        <v>92.4746224022728</v>
      </c>
      <c r="AJ5578">
        <v>105.400958842146</v>
      </c>
      <c r="AK5578">
        <v>25.693025862784999</v>
      </c>
    </row>
    <row r="5579" spans="1:37" x14ac:dyDescent="0.2">
      <c r="A5579" t="str">
        <f>"20200111153541944"</f>
        <v>20200111153541944</v>
      </c>
      <c r="B5579" t="str">
        <f>"1578728141941783"</f>
        <v>1578728141941783</v>
      </c>
      <c r="C5579" t="s">
        <v>37</v>
      </c>
      <c r="D5579">
        <v>5.6632910000000001</v>
      </c>
      <c r="E5579">
        <v>0.48119919999999999</v>
      </c>
      <c r="F5579" t="s">
        <v>75</v>
      </c>
      <c r="G5579">
        <v>-253.10310000000001</v>
      </c>
      <c r="H5579" s="1">
        <v>-6.7764479999999997E-7</v>
      </c>
      <c r="I5579">
        <v>-61.329230000000003</v>
      </c>
      <c r="J5579">
        <v>-278.82780000000002</v>
      </c>
      <c r="K5579">
        <v>1.1093360000000001</v>
      </c>
      <c r="L5579">
        <v>-61.618229999999997</v>
      </c>
      <c r="M5579">
        <v>0.96760489999999999</v>
      </c>
      <c r="N5579">
        <v>0</v>
      </c>
      <c r="O5579">
        <v>-0.25246380000000002</v>
      </c>
      <c r="P5579">
        <v>0.99900679999999997</v>
      </c>
      <c r="Q5579">
        <v>2.1017830000000001E-2</v>
      </c>
      <c r="R5579">
        <v>-3.9291039999999999E-2</v>
      </c>
      <c r="S5579">
        <v>3.00705</v>
      </c>
      <c r="T5579">
        <v>-0.128916</v>
      </c>
      <c r="U5579">
        <v>2.9296880000000001E-2</v>
      </c>
      <c r="V5579">
        <v>-0.2145183</v>
      </c>
      <c r="W5579">
        <v>1.9457849999999999E-2</v>
      </c>
      <c r="X5579">
        <v>0.97652609999999995</v>
      </c>
      <c r="Y5579">
        <v>-0.26141039999999999</v>
      </c>
      <c r="Z5579">
        <v>1.6333250000000001E-2</v>
      </c>
      <c r="AA5579">
        <v>0.96508959999999999</v>
      </c>
      <c r="AB5579">
        <v>31</v>
      </c>
      <c r="AC5579">
        <v>25.724699999999999</v>
      </c>
      <c r="AD5579">
        <v>-1.1093366776447999</v>
      </c>
      <c r="AE5579">
        <v>0.28900000000000098</v>
      </c>
      <c r="AF5579">
        <v>-6.7616302414332798</v>
      </c>
      <c r="AG5579">
        <v>-1.1093366776447999</v>
      </c>
      <c r="AH5579">
        <v>24.772356761605</v>
      </c>
      <c r="AI5579">
        <v>92.473688997228507</v>
      </c>
      <c r="AJ5579">
        <v>105.26702917244801</v>
      </c>
      <c r="AK5579">
        <v>25.702527714418899</v>
      </c>
    </row>
    <row r="5580" spans="1:37" x14ac:dyDescent="0.2">
      <c r="A5580" t="str">
        <f>"20200111153541955"</f>
        <v>20200111153541955</v>
      </c>
      <c r="B5580" t="str">
        <f>"1578728141951543"</f>
        <v>1578728141951543</v>
      </c>
      <c r="C5580" t="s">
        <v>37</v>
      </c>
      <c r="D5580">
        <v>4.6833220000000004</v>
      </c>
      <c r="E5580">
        <v>0.48704170000000002</v>
      </c>
      <c r="F5580" t="s">
        <v>75</v>
      </c>
      <c r="G5580">
        <v>-252.93</v>
      </c>
      <c r="H5580" s="1">
        <v>-6.0396039999999998E-7</v>
      </c>
      <c r="I5580">
        <v>-61.33173</v>
      </c>
      <c r="J5580">
        <v>-278.67380000000003</v>
      </c>
      <c r="K5580">
        <v>1.1093249999999999</v>
      </c>
      <c r="L5580">
        <v>-61.655180000000001</v>
      </c>
      <c r="M5580">
        <v>0.96856129999999996</v>
      </c>
      <c r="N5580">
        <v>0</v>
      </c>
      <c r="O5580">
        <v>-0.24876869999999901</v>
      </c>
      <c r="P5580">
        <v>0.99906890000000004</v>
      </c>
      <c r="Q5580">
        <v>2.1121520000000001E-2</v>
      </c>
      <c r="R5580">
        <v>-3.762157E-2</v>
      </c>
      <c r="S5580">
        <v>3.006958</v>
      </c>
      <c r="T5580">
        <v>-0.128804</v>
      </c>
      <c r="U5580">
        <v>3.3264160000000001E-2</v>
      </c>
      <c r="V5580">
        <v>-0.21242320000000001</v>
      </c>
      <c r="W5580">
        <v>1.9605629999999999E-2</v>
      </c>
      <c r="X5580">
        <v>0.97698099999999999</v>
      </c>
      <c r="Y5580">
        <v>-0.2590056</v>
      </c>
      <c r="Z5580">
        <v>1.6114050000000001E-2</v>
      </c>
      <c r="AA5580">
        <v>0.96574139999999997</v>
      </c>
      <c r="AB5580">
        <v>32</v>
      </c>
      <c r="AC5580">
        <v>25.7438</v>
      </c>
      <c r="AD5580">
        <v>-1.10932560396039</v>
      </c>
      <c r="AE5580">
        <v>0.32344999999999402</v>
      </c>
      <c r="AF5580">
        <v>-6.7050950904220397</v>
      </c>
      <c r="AG5580">
        <v>-1.10932560396039</v>
      </c>
      <c r="AH5580">
        <v>24.807966233529498</v>
      </c>
      <c r="AI5580">
        <v>92.471785242867895</v>
      </c>
      <c r="AJ5580">
        <v>105.12452247581</v>
      </c>
      <c r="AK5580">
        <v>25.722054585727498</v>
      </c>
    </row>
    <row r="5581" spans="1:37" x14ac:dyDescent="0.2">
      <c r="A5581" t="str">
        <f>"20200111153541967"</f>
        <v>20200111153541967</v>
      </c>
      <c r="B5581" t="str">
        <f>"1578728141961302"</f>
        <v>1578728141961302</v>
      </c>
      <c r="C5581" t="s">
        <v>37</v>
      </c>
      <c r="D5581">
        <v>4.6889669999999999</v>
      </c>
      <c r="E5581">
        <v>0.48704170000000002</v>
      </c>
      <c r="F5581" t="s">
        <v>75</v>
      </c>
      <c r="G5581">
        <v>-253.31720000000001</v>
      </c>
      <c r="H5581" s="1">
        <v>-8.5738519999999898E-7</v>
      </c>
      <c r="I5581">
        <v>-61.724449999999997</v>
      </c>
      <c r="J5581">
        <v>-278.51029999999997</v>
      </c>
      <c r="K5581">
        <v>1.10931</v>
      </c>
      <c r="L5581">
        <v>-61.6937</v>
      </c>
      <c r="M5581">
        <v>0.96954830000000003</v>
      </c>
      <c r="N5581">
        <v>0</v>
      </c>
      <c r="O5581">
        <v>-0.24489420000000001</v>
      </c>
      <c r="P5581">
        <v>0.99913680000000005</v>
      </c>
      <c r="Q5581">
        <v>2.0989259999999999E-2</v>
      </c>
      <c r="R5581">
        <v>-3.5849800000000001E-2</v>
      </c>
      <c r="S5581">
        <v>3.0052490000000001</v>
      </c>
      <c r="T5581">
        <v>-0.13147679999999901</v>
      </c>
      <c r="U5581">
        <v>-8.2092290000000002E-3</v>
      </c>
      <c r="V5581">
        <v>-0.21024699999999999</v>
      </c>
      <c r="W5581">
        <v>1.952077E-2</v>
      </c>
      <c r="X5581">
        <v>0.97745339999999903</v>
      </c>
      <c r="Y5581">
        <v>-0.24178339999999901</v>
      </c>
      <c r="Z5581">
        <v>1.5911399999999999E-2</v>
      </c>
      <c r="AA5581">
        <v>0.97019979999999995</v>
      </c>
      <c r="AB5581">
        <v>32</v>
      </c>
      <c r="AC5581">
        <v>25.193099999999902</v>
      </c>
      <c r="AD5581">
        <v>-1.1093108573852</v>
      </c>
      <c r="AE5581">
        <v>-3.0749999999997599E-2</v>
      </c>
      <c r="AF5581">
        <v>-6.1279582891436997</v>
      </c>
      <c r="AG5581">
        <v>-1.1093108573852</v>
      </c>
      <c r="AH5581">
        <v>24.386212465519002</v>
      </c>
      <c r="AI5581">
        <v>92.5261180806216</v>
      </c>
      <c r="AJ5581">
        <v>104.105668923094</v>
      </c>
      <c r="AK5581">
        <v>25.168825991397199</v>
      </c>
    </row>
    <row r="5582" spans="1:37" x14ac:dyDescent="0.2">
      <c r="A5582" t="str">
        <f>"20200111153541977"</f>
        <v>20200111153541977</v>
      </c>
      <c r="B5582" t="str">
        <f>"1578728141971063"</f>
        <v>1578728141971063</v>
      </c>
      <c r="C5582" t="s">
        <v>37</v>
      </c>
      <c r="D5582">
        <v>4.6540549999999996</v>
      </c>
      <c r="E5582">
        <v>0.48258190000000001</v>
      </c>
      <c r="F5582" t="s">
        <v>75</v>
      </c>
      <c r="G5582">
        <v>-253.22280000000001</v>
      </c>
      <c r="H5582" s="1">
        <v>-8.1522989999999998E-7</v>
      </c>
      <c r="I5582">
        <v>-61.717059999999996</v>
      </c>
      <c r="J5582">
        <v>-278.36059999999998</v>
      </c>
      <c r="K5582">
        <v>1.109294</v>
      </c>
      <c r="L5582">
        <v>-61.728609999999897</v>
      </c>
      <c r="M5582">
        <v>0.97043330000000005</v>
      </c>
      <c r="N5582">
        <v>0</v>
      </c>
      <c r="O5582">
        <v>-0.24136350000000001</v>
      </c>
      <c r="P5582">
        <v>0.99918490000000004</v>
      </c>
      <c r="Q5582">
        <v>2.1034890000000001E-2</v>
      </c>
      <c r="R5582">
        <v>-3.4456939999999998E-2</v>
      </c>
      <c r="S5582">
        <v>3.00528</v>
      </c>
      <c r="T5582">
        <v>-0.13183549999999999</v>
      </c>
      <c r="U5582">
        <v>-2.7770999999999998E-3</v>
      </c>
      <c r="V5582">
        <v>-0.20805129999999999</v>
      </c>
      <c r="W5582">
        <v>1.9613740000000001E-2</v>
      </c>
      <c r="X5582">
        <v>0.97792119999999905</v>
      </c>
      <c r="Y5582">
        <v>-0.24000749999999901</v>
      </c>
      <c r="Z5582">
        <v>1.5765109999999999E-2</v>
      </c>
      <c r="AA5582">
        <v>0.97064300000000003</v>
      </c>
      <c r="AB5582">
        <v>32</v>
      </c>
      <c r="AC5582">
        <v>25.137799999999899</v>
      </c>
      <c r="AD5582">
        <v>-1.10929481522989</v>
      </c>
      <c r="AE5582">
        <v>1.1549999999999699E-2</v>
      </c>
      <c r="AF5582">
        <v>-6.0667506612948001</v>
      </c>
      <c r="AG5582">
        <v>-1.10929481522989</v>
      </c>
      <c r="AH5582">
        <v>24.344398921141401</v>
      </c>
      <c r="AI5582">
        <v>92.531654467040298</v>
      </c>
      <c r="AJ5582">
        <v>103.99337520792101</v>
      </c>
      <c r="AK5582">
        <v>25.113457695130101</v>
      </c>
    </row>
    <row r="5583" spans="1:37" x14ac:dyDescent="0.2">
      <c r="A5583" t="str">
        <f>"20200111153541989"</f>
        <v>20200111153541989</v>
      </c>
      <c r="B5583" t="str">
        <f>"1578728141981799"</f>
        <v>1578728141981799</v>
      </c>
      <c r="C5583" t="s">
        <v>37</v>
      </c>
      <c r="D5583">
        <v>4.7112119999999997</v>
      </c>
      <c r="E5583">
        <v>0.48277219999999998</v>
      </c>
      <c r="F5583" t="s">
        <v>75</v>
      </c>
      <c r="G5583">
        <v>-255.13480000000001</v>
      </c>
      <c r="H5583" s="1">
        <v>-1.5742459999999999E-6</v>
      </c>
      <c r="I5583">
        <v>-61.441719999999997</v>
      </c>
      <c r="J5583">
        <v>-278.20370000000003</v>
      </c>
      <c r="K5583">
        <v>1.1092709999999999</v>
      </c>
      <c r="L5583">
        <v>-61.764249999999997</v>
      </c>
      <c r="M5583">
        <v>0.97132870000000004</v>
      </c>
      <c r="N5583">
        <v>0</v>
      </c>
      <c r="O5583">
        <v>-0.23773429999999901</v>
      </c>
      <c r="P5583">
        <v>0.99924959999999996</v>
      </c>
      <c r="Q5583">
        <v>2.0517730000000001E-2</v>
      </c>
      <c r="R5583">
        <v>-3.285163E-2</v>
      </c>
      <c r="S5583">
        <v>3.0067140000000001</v>
      </c>
      <c r="T5583">
        <v>-0.1436047</v>
      </c>
      <c r="U5583">
        <v>3.7139890000000002E-2</v>
      </c>
      <c r="V5583">
        <v>-0.20596039999999999</v>
      </c>
      <c r="W5583">
        <v>1.9145579999999999E-2</v>
      </c>
      <c r="X5583">
        <v>0.9783731</v>
      </c>
      <c r="Y5583">
        <v>-0.24916239999999901</v>
      </c>
      <c r="Z5583">
        <v>1.721578E-2</v>
      </c>
      <c r="AA5583">
        <v>0.96830869999999902</v>
      </c>
      <c r="AB5583">
        <v>32</v>
      </c>
      <c r="AC5583">
        <v>23.068899999999999</v>
      </c>
      <c r="AD5583">
        <v>-1.1092725742459999</v>
      </c>
      <c r="AE5583">
        <v>0.32252999999999998</v>
      </c>
      <c r="AF5583">
        <v>-5.7841885105722204</v>
      </c>
      <c r="AG5583">
        <v>-1.1092725742459999</v>
      </c>
      <c r="AH5583">
        <v>22.2793373383644</v>
      </c>
      <c r="AI5583">
        <v>92.759043355606195</v>
      </c>
      <c r="AJ5583">
        <v>104.553885467203</v>
      </c>
      <c r="AK5583">
        <v>23.044656530450801</v>
      </c>
    </row>
    <row r="5584" spans="1:37" x14ac:dyDescent="0.2">
      <c r="A5584" t="str">
        <f>"20200111153542000"</f>
        <v>20200111153542000</v>
      </c>
      <c r="B5584" t="str">
        <f>"1578728141991559"</f>
        <v>1578728141991559</v>
      </c>
      <c r="C5584" t="s">
        <v>37</v>
      </c>
      <c r="D5584">
        <v>4.7246379999999997</v>
      </c>
      <c r="E5584">
        <v>0.48334269999999901</v>
      </c>
      <c r="F5584" t="s">
        <v>75</v>
      </c>
      <c r="G5584">
        <v>-255.2328</v>
      </c>
      <c r="H5584" s="1">
        <v>-1.6191749999999901E-6</v>
      </c>
      <c r="I5584">
        <v>-61.454609999999903</v>
      </c>
      <c r="J5584">
        <v>-278.05950000000001</v>
      </c>
      <c r="K5584">
        <v>1.109246</v>
      </c>
      <c r="L5584">
        <v>-61.796880000000002</v>
      </c>
      <c r="M5584">
        <v>0.97213680000000002</v>
      </c>
      <c r="N5584">
        <v>0</v>
      </c>
      <c r="O5584">
        <v>-0.234407899999999</v>
      </c>
      <c r="P5584">
        <v>0.99929279999999998</v>
      </c>
      <c r="Q5584">
        <v>2.0163009999999999E-2</v>
      </c>
      <c r="R5584">
        <v>-3.1743E-2</v>
      </c>
      <c r="S5584">
        <v>3.006561</v>
      </c>
      <c r="T5584">
        <v>-0.14518789999999901</v>
      </c>
      <c r="U5584">
        <v>4.0527340000000002E-2</v>
      </c>
      <c r="V5584">
        <v>-0.20369179999999901</v>
      </c>
      <c r="W5584">
        <v>1.8841409999999999E-2</v>
      </c>
      <c r="X5584">
        <v>0.9788538</v>
      </c>
      <c r="Y5584">
        <v>-0.2469324</v>
      </c>
      <c r="Z5584">
        <v>1.719555E-2</v>
      </c>
      <c r="AA5584">
        <v>0.96888009999999902</v>
      </c>
      <c r="AB5584">
        <v>32</v>
      </c>
      <c r="AC5584">
        <v>22.826699999999999</v>
      </c>
      <c r="AD5584">
        <v>-1.109247619175</v>
      </c>
      <c r="AE5584">
        <v>0.34227000000000601</v>
      </c>
      <c r="AF5584">
        <v>-5.67011410317743</v>
      </c>
      <c r="AG5584">
        <v>-1.109247619175</v>
      </c>
      <c r="AH5584">
        <v>22.058400088530298</v>
      </c>
      <c r="AI5584">
        <v>92.788304906698798</v>
      </c>
      <c r="AJ5584">
        <v>104.415788418516</v>
      </c>
      <c r="AK5584">
        <v>22.8024919403422</v>
      </c>
    </row>
    <row r="5585" spans="1:37" x14ac:dyDescent="0.2">
      <c r="A5585" t="str">
        <f>"20200111153542011"</f>
        <v>20200111153542011</v>
      </c>
      <c r="B5585" t="str">
        <f>"1578728142001319"</f>
        <v>1578728142001319</v>
      </c>
      <c r="C5585" t="s">
        <v>37</v>
      </c>
      <c r="D5585">
        <v>4.7029969999999999</v>
      </c>
      <c r="E5585">
        <v>0.48344589999999998</v>
      </c>
      <c r="F5585" t="s">
        <v>75</v>
      </c>
      <c r="G5585">
        <v>-255.16050000000001</v>
      </c>
      <c r="H5585" s="1">
        <v>-1.5975799999999901E-6</v>
      </c>
      <c r="I5585">
        <v>-61.497009999999896</v>
      </c>
      <c r="J5585">
        <v>-277.90289999999999</v>
      </c>
      <c r="K5585">
        <v>1.1092120000000001</v>
      </c>
      <c r="L5585">
        <v>-61.831419999999902</v>
      </c>
      <c r="M5585">
        <v>0.97298240000000003</v>
      </c>
      <c r="N5585">
        <v>0</v>
      </c>
      <c r="O5585">
        <v>-0.23087299999999999</v>
      </c>
      <c r="P5585">
        <v>0.99934730000000005</v>
      </c>
      <c r="Q5585">
        <v>1.982629E-2</v>
      </c>
      <c r="R5585">
        <v>-3.0203230000000001E-2</v>
      </c>
      <c r="S5585">
        <v>3.0063169999999899</v>
      </c>
      <c r="T5585">
        <v>-0.1456287</v>
      </c>
      <c r="U5585">
        <v>3.9367680000000002E-2</v>
      </c>
      <c r="V5585">
        <v>-0.20163689999999901</v>
      </c>
      <c r="W5585">
        <v>1.8556309999999999E-2</v>
      </c>
      <c r="X5585">
        <v>0.97928459999999995</v>
      </c>
      <c r="Y5585">
        <v>-0.24304139999999899</v>
      </c>
      <c r="Z5585">
        <v>1.6987209999999999E-2</v>
      </c>
      <c r="AA5585">
        <v>0.96986719999999904</v>
      </c>
      <c r="AB5585">
        <v>32</v>
      </c>
      <c r="AC5585">
        <v>22.7423999999999</v>
      </c>
      <c r="AD5585">
        <v>-1.1092135975799999</v>
      </c>
      <c r="AE5585">
        <v>0.33440999999999799</v>
      </c>
      <c r="AF5585">
        <v>-5.56275943757639</v>
      </c>
      <c r="AG5585">
        <v>-1.1092135975799999</v>
      </c>
      <c r="AH5585">
        <v>21.9984621345778</v>
      </c>
      <c r="AI5585">
        <v>92.798598866478002</v>
      </c>
      <c r="AJ5585">
        <v>104.190925023234</v>
      </c>
      <c r="AK5585">
        <v>22.717988107485599</v>
      </c>
    </row>
    <row r="5586" spans="1:37" x14ac:dyDescent="0.2">
      <c r="A5586" t="str">
        <f>"20200111153542022"</f>
        <v>20200111153542022</v>
      </c>
      <c r="B5586" t="str">
        <f>"1578728142011079"</f>
        <v>1578728142011079</v>
      </c>
      <c r="C5586" t="s">
        <v>37</v>
      </c>
      <c r="D5586">
        <v>4.722861</v>
      </c>
      <c r="E5586">
        <v>0.48344989999999999</v>
      </c>
      <c r="F5586" t="s">
        <v>75</v>
      </c>
      <c r="G5586">
        <v>-254.91030000000001</v>
      </c>
      <c r="H5586" s="1">
        <v>-1.491193E-6</v>
      </c>
      <c r="I5586">
        <v>-61.501369999999902</v>
      </c>
      <c r="J5586">
        <v>-277.74610000000001</v>
      </c>
      <c r="K5586">
        <v>1.109178</v>
      </c>
      <c r="L5586">
        <v>-61.865690000000001</v>
      </c>
      <c r="M5586">
        <v>0.973809499999999</v>
      </c>
      <c r="N5586">
        <v>0</v>
      </c>
      <c r="O5586">
        <v>-0.22735859999999999</v>
      </c>
      <c r="P5586">
        <v>0.99940289999999998</v>
      </c>
      <c r="Q5586">
        <v>1.9401760000000001E-2</v>
      </c>
      <c r="R5586">
        <v>-2.8595949999999998E-2</v>
      </c>
      <c r="S5586">
        <v>3.0061040000000001</v>
      </c>
      <c r="T5586">
        <v>-0.14502100000000001</v>
      </c>
      <c r="U5586">
        <v>4.315186E-2</v>
      </c>
      <c r="V5586">
        <v>-0.1996705</v>
      </c>
      <c r="W5586">
        <v>1.8183009999999999E-2</v>
      </c>
      <c r="X5586">
        <v>0.97969439999999997</v>
      </c>
      <c r="Y5586">
        <v>-0.2407716</v>
      </c>
      <c r="Z5586">
        <v>1.669706E-2</v>
      </c>
      <c r="AA5586">
        <v>0.97043819999999903</v>
      </c>
      <c r="AB5586">
        <v>32</v>
      </c>
      <c r="AC5586">
        <v>22.835799999999999</v>
      </c>
      <c r="AD5586">
        <v>-1.109179491193</v>
      </c>
      <c r="AE5586">
        <v>0.36432000000000597</v>
      </c>
      <c r="AF5586">
        <v>-5.5336506008019999</v>
      </c>
      <c r="AG5586">
        <v>-1.109179491193</v>
      </c>
      <c r="AH5586">
        <v>22.102789902722201</v>
      </c>
      <c r="AI5586">
        <v>92.786977082481997</v>
      </c>
      <c r="AJ5586">
        <v>104.055645518341</v>
      </c>
      <c r="AK5586">
        <v>22.811946203674001</v>
      </c>
    </row>
    <row r="5587" spans="1:37" x14ac:dyDescent="0.2">
      <c r="A5587" t="str">
        <f>"20200111153542033"</f>
        <v>20200111153542033</v>
      </c>
      <c r="B5587" t="str">
        <f>"1578728142021816"</f>
        <v>1578728142021816</v>
      </c>
      <c r="C5587" t="s">
        <v>37</v>
      </c>
      <c r="D5587">
        <v>6.0697890000000001</v>
      </c>
      <c r="E5587">
        <v>0.48383779999999998</v>
      </c>
      <c r="F5587" t="s">
        <v>75</v>
      </c>
      <c r="G5587">
        <v>-254.92349999999999</v>
      </c>
      <c r="H5587" s="1">
        <v>-1.4970410000000001E-6</v>
      </c>
      <c r="I5587">
        <v>-61.502159999999897</v>
      </c>
      <c r="J5587">
        <v>-277.59289999999999</v>
      </c>
      <c r="K5587">
        <v>1.1091409999999999</v>
      </c>
      <c r="L5587">
        <v>-61.898499999999999</v>
      </c>
      <c r="M5587">
        <v>0.9745914</v>
      </c>
      <c r="N5587">
        <v>0</v>
      </c>
      <c r="O5587">
        <v>-0.22398280000000001</v>
      </c>
      <c r="P5587">
        <v>0.99943959999999998</v>
      </c>
      <c r="Q5587">
        <v>1.942762E-2</v>
      </c>
      <c r="R5587">
        <v>-2.7263329999999999E-2</v>
      </c>
      <c r="S5587">
        <v>3.0060419999999999</v>
      </c>
      <c r="T5587">
        <v>-0.1460938</v>
      </c>
      <c r="U5587">
        <v>4.788208E-2</v>
      </c>
      <c r="V5587">
        <v>-0.1975807</v>
      </c>
      <c r="W5587">
        <v>1.8262629999999998E-2</v>
      </c>
      <c r="X5587">
        <v>0.98011649999999995</v>
      </c>
      <c r="Y5587">
        <v>-0.23893339999999999</v>
      </c>
      <c r="Z5587">
        <v>1.6615609999999999E-2</v>
      </c>
      <c r="AA5587">
        <v>0.97089380000000003</v>
      </c>
      <c r="AB5587">
        <v>32</v>
      </c>
      <c r="AC5587">
        <v>22.6694</v>
      </c>
      <c r="AD5587">
        <v>-1.109142497041</v>
      </c>
      <c r="AE5587">
        <v>0.39634000000000202</v>
      </c>
      <c r="AF5587">
        <v>-5.45078996258618</v>
      </c>
      <c r="AG5587">
        <v>-1.109142497041</v>
      </c>
      <c r="AH5587">
        <v>21.952131565301102</v>
      </c>
      <c r="AI5587">
        <v>92.807332945329904</v>
      </c>
      <c r="AJ5587">
        <v>103.94471970794601</v>
      </c>
      <c r="AK5587">
        <v>22.645913285960901</v>
      </c>
    </row>
    <row r="5588" spans="1:37" x14ac:dyDescent="0.2">
      <c r="A5588" t="str">
        <f>"20200111153542045"</f>
        <v>20200111153542045</v>
      </c>
      <c r="B5588" t="str">
        <f>"1578728142041335"</f>
        <v>1578728142041335</v>
      </c>
      <c r="C5588" t="s">
        <v>37</v>
      </c>
      <c r="D5588">
        <v>4.6997519999999904</v>
      </c>
      <c r="E5588">
        <v>0.48462690000000003</v>
      </c>
      <c r="F5588" t="s">
        <v>75</v>
      </c>
      <c r="G5588">
        <v>-254.80619999999999</v>
      </c>
      <c r="H5588" s="1">
        <v>-1.452574E-6</v>
      </c>
      <c r="I5588">
        <v>-61.528579999999998</v>
      </c>
      <c r="J5588">
        <v>-277.43299999999999</v>
      </c>
      <c r="K5588">
        <v>1.1091009999999999</v>
      </c>
      <c r="L5588">
        <v>-61.932310000000001</v>
      </c>
      <c r="M5588">
        <v>0.97538419999999904</v>
      </c>
      <c r="N5588">
        <v>0</v>
      </c>
      <c r="O5588">
        <v>-0.22050529999999999</v>
      </c>
      <c r="P5588">
        <v>0.99948250000000005</v>
      </c>
      <c r="Q5588">
        <v>1.956623E-2</v>
      </c>
      <c r="R5588">
        <v>-2.553472E-2</v>
      </c>
      <c r="S5588">
        <v>3.0058590000000001</v>
      </c>
      <c r="T5588">
        <v>-0.14631</v>
      </c>
      <c r="U5588">
        <v>4.8797609999999998E-2</v>
      </c>
      <c r="V5588">
        <v>-0.19577939999999999</v>
      </c>
      <c r="W5588">
        <v>1.8452380000000001E-2</v>
      </c>
      <c r="X5588">
        <v>0.98047439999999997</v>
      </c>
      <c r="Y5588">
        <v>-0.235771799999999</v>
      </c>
      <c r="Z5588">
        <v>1.6398289999999999E-2</v>
      </c>
      <c r="AA5588">
        <v>0.97167009999999898</v>
      </c>
      <c r="AB5588">
        <v>32</v>
      </c>
      <c r="AC5588">
        <v>22.626799999999999</v>
      </c>
      <c r="AD5588">
        <v>-1.1091024525740001</v>
      </c>
      <c r="AE5588">
        <v>0.40372999999999498</v>
      </c>
      <c r="AF5588">
        <v>-5.3702305895286697</v>
      </c>
      <c r="AG5588">
        <v>-1.1091024525740001</v>
      </c>
      <c r="AH5588">
        <v>21.928162682628699</v>
      </c>
      <c r="AI5588">
        <v>92.812515382673098</v>
      </c>
      <c r="AJ5588">
        <v>103.76095347397499</v>
      </c>
      <c r="AK5588">
        <v>22.603402475531102</v>
      </c>
    </row>
    <row r="5589" spans="1:37" x14ac:dyDescent="0.2">
      <c r="A5589" t="str">
        <f>"20200111153542055"</f>
        <v>20200111153542055</v>
      </c>
      <c r="B5589" t="str">
        <f>"1578728142051095"</f>
        <v>1578728142051095</v>
      </c>
      <c r="C5589" t="s">
        <v>37</v>
      </c>
      <c r="D5589">
        <v>5.8147089999999997</v>
      </c>
      <c r="E5589">
        <v>0.48480810000000002</v>
      </c>
      <c r="F5589" t="s">
        <v>75</v>
      </c>
      <c r="G5589">
        <v>-254.2199</v>
      </c>
      <c r="H5589" s="1">
        <v>-1.2088349999999899E-6</v>
      </c>
      <c r="I5589">
        <v>-61.563450000000003</v>
      </c>
      <c r="J5589">
        <v>-277.27260000000001</v>
      </c>
      <c r="K5589">
        <v>1.1090580000000001</v>
      </c>
      <c r="L5589">
        <v>-61.965730000000001</v>
      </c>
      <c r="M5589">
        <v>0.97615609999999997</v>
      </c>
      <c r="N5589">
        <v>0</v>
      </c>
      <c r="O5589">
        <v>-0.21706259999999999</v>
      </c>
      <c r="P5589">
        <v>0.99951599999999996</v>
      </c>
      <c r="Q5589">
        <v>1.9694590000000001E-2</v>
      </c>
      <c r="R5589">
        <v>-2.4081200000000001E-2</v>
      </c>
      <c r="S5589">
        <v>3.005585</v>
      </c>
      <c r="T5589">
        <v>-0.1436045</v>
      </c>
      <c r="U5589">
        <v>4.7760009999999999E-2</v>
      </c>
      <c r="V5589">
        <v>-0.19374459999999999</v>
      </c>
      <c r="W5589">
        <v>1.8636409999999999E-2</v>
      </c>
      <c r="X5589">
        <v>0.98087500000000005</v>
      </c>
      <c r="Y5589">
        <v>-0.23203550000000001</v>
      </c>
      <c r="Z5589">
        <v>1.584617E-2</v>
      </c>
      <c r="AA5589">
        <v>0.97257819999999995</v>
      </c>
      <c r="AB5589">
        <v>32</v>
      </c>
      <c r="AC5589">
        <v>23.052700000000002</v>
      </c>
      <c r="AD5589">
        <v>-1.109059208835</v>
      </c>
      <c r="AE5589">
        <v>0.40228000000000402</v>
      </c>
      <c r="AF5589">
        <v>-5.3841174338971598</v>
      </c>
      <c r="AG5589">
        <v>-1.109059208835</v>
      </c>
      <c r="AH5589">
        <v>22.364001725653299</v>
      </c>
      <c r="AI5589">
        <v>92.760304557430899</v>
      </c>
      <c r="AJ5589">
        <v>103.53631912117901</v>
      </c>
      <c r="AK5589">
        <v>23.029704862540498</v>
      </c>
    </row>
    <row r="5590" spans="1:37" x14ac:dyDescent="0.2">
      <c r="A5590" t="str">
        <f>"20200111153542067"</f>
        <v>20200111153542067</v>
      </c>
      <c r="B5590" t="str">
        <f>"1578728142061847"</f>
        <v>1578728142061847</v>
      </c>
      <c r="C5590" t="s">
        <v>37</v>
      </c>
      <c r="D5590">
        <v>4.7133149999999997</v>
      </c>
      <c r="E5590">
        <v>0.485056499999999</v>
      </c>
      <c r="F5590" t="s">
        <v>75</v>
      </c>
      <c r="G5590">
        <v>-253.8013</v>
      </c>
      <c r="H5590" s="1">
        <v>-1.0307839999999999E-6</v>
      </c>
      <c r="I5590">
        <v>-61.570349999999998</v>
      </c>
      <c r="J5590">
        <v>-277.10849999999999</v>
      </c>
      <c r="K5590">
        <v>1.1090070000000001</v>
      </c>
      <c r="L5590">
        <v>-61.999180000000003</v>
      </c>
      <c r="M5590">
        <v>0.97691489999999903</v>
      </c>
      <c r="N5590">
        <v>0</v>
      </c>
      <c r="O5590">
        <v>-0.21362059999999999</v>
      </c>
      <c r="P5590">
        <v>0.99954989999999999</v>
      </c>
      <c r="Q5590">
        <v>1.9794840000000001E-2</v>
      </c>
      <c r="R5590">
        <v>-2.2540689999999999E-2</v>
      </c>
      <c r="S5590">
        <v>3.005493</v>
      </c>
      <c r="T5590">
        <v>-0.14201469999999999</v>
      </c>
      <c r="U5590">
        <v>5.0628659999999999E-2</v>
      </c>
      <c r="V5590">
        <v>-0.19179789999999999</v>
      </c>
      <c r="W5590">
        <v>1.8793730000000002E-2</v>
      </c>
      <c r="X5590">
        <v>0.98125450000000003</v>
      </c>
      <c r="Y5590">
        <v>-0.2295529</v>
      </c>
      <c r="Z5590">
        <v>1.54532E-2</v>
      </c>
      <c r="AA5590">
        <v>0.97317350000000002</v>
      </c>
      <c r="AB5590">
        <v>32</v>
      </c>
      <c r="AC5590">
        <v>23.307199999999899</v>
      </c>
      <c r="AD5590">
        <v>-1.109008030784</v>
      </c>
      <c r="AE5590">
        <v>0.42883000000000399</v>
      </c>
      <c r="AF5590">
        <v>-5.3856486179508902</v>
      </c>
      <c r="AG5590">
        <v>-1.109008030784</v>
      </c>
      <c r="AH5590">
        <v>22.626373640280601</v>
      </c>
      <c r="AI5590">
        <v>92.729900036085894</v>
      </c>
      <c r="AJ5590">
        <v>103.388703701588</v>
      </c>
      <c r="AK5590">
        <v>23.284928472253501</v>
      </c>
    </row>
    <row r="5591" spans="1:37" x14ac:dyDescent="0.2">
      <c r="A5591" t="str">
        <f>"20200111153542079"</f>
        <v>20200111153542079</v>
      </c>
      <c r="B5591" t="str">
        <f>"1578728142071591"</f>
        <v>1578728142071591</v>
      </c>
      <c r="C5591" t="s">
        <v>37</v>
      </c>
      <c r="D5591">
        <v>4.7355320000000001</v>
      </c>
      <c r="E5591">
        <v>0.48529070000000002</v>
      </c>
      <c r="F5591" t="s">
        <v>75</v>
      </c>
      <c r="G5591">
        <v>-253.39160000000001</v>
      </c>
      <c r="H5591" s="1">
        <v>-8.5689269999999904E-7</v>
      </c>
      <c r="I5591">
        <v>-61.578690000000002</v>
      </c>
      <c r="J5591">
        <v>-276.94760000000002</v>
      </c>
      <c r="K5591">
        <v>1.1089560000000001</v>
      </c>
      <c r="L5591">
        <v>-62.031769999999902</v>
      </c>
      <c r="M5591">
        <v>0.97764150000000005</v>
      </c>
      <c r="N5591">
        <v>0</v>
      </c>
      <c r="O5591">
        <v>-0.2102716</v>
      </c>
      <c r="P5591">
        <v>0.99958259999999899</v>
      </c>
      <c r="Q5591">
        <v>2.0030590000000001E-2</v>
      </c>
      <c r="R5591">
        <v>-2.081703E-2</v>
      </c>
      <c r="S5591">
        <v>3.0053709999999998</v>
      </c>
      <c r="T5591">
        <v>-0.1405323</v>
      </c>
      <c r="U5591">
        <v>5.3283690000000002E-2</v>
      </c>
      <c r="V5591">
        <v>-0.19012709999999999</v>
      </c>
      <c r="W5591">
        <v>1.9083119999999999E-2</v>
      </c>
      <c r="X5591">
        <v>0.98157399999999995</v>
      </c>
      <c r="Y5591">
        <v>-0.22709369999999901</v>
      </c>
      <c r="Z5591">
        <v>1.508144E-2</v>
      </c>
      <c r="AA5591">
        <v>0.97375610000000001</v>
      </c>
      <c r="AB5591">
        <v>33</v>
      </c>
      <c r="AC5591">
        <v>23.556000000000001</v>
      </c>
      <c r="AD5591">
        <v>-1.1089568568927</v>
      </c>
      <c r="AE5591">
        <v>0.45307999999999199</v>
      </c>
      <c r="AF5591">
        <v>-5.3841870876566196</v>
      </c>
      <c r="AG5591">
        <v>-1.1089568568927</v>
      </c>
      <c r="AH5591">
        <v>22.883389736758101</v>
      </c>
      <c r="AI5591">
        <v>92.700814055022207</v>
      </c>
      <c r="AJ5591">
        <v>103.24018798463401</v>
      </c>
      <c r="AK5591">
        <v>23.534416962179101</v>
      </c>
    </row>
    <row r="5592" spans="1:37" x14ac:dyDescent="0.2">
      <c r="A5592" t="str">
        <f>"20200111153542089"</f>
        <v>20200111153542089</v>
      </c>
      <c r="B5592" t="str">
        <f>"1578728142081351"</f>
        <v>1578728142081351</v>
      </c>
      <c r="C5592" t="s">
        <v>37</v>
      </c>
      <c r="D5592">
        <v>4.7190349999999999</v>
      </c>
      <c r="E5592">
        <v>0.48538179999999997</v>
      </c>
      <c r="F5592" t="s">
        <v>75</v>
      </c>
      <c r="G5592">
        <v>-253.18</v>
      </c>
      <c r="H5592" s="1">
        <v>-7.674088E-7</v>
      </c>
      <c r="I5592">
        <v>-61.58455</v>
      </c>
      <c r="J5592">
        <v>-276.7901</v>
      </c>
      <c r="K5592">
        <v>1.1088979999999999</v>
      </c>
      <c r="L5592">
        <v>-62.062769999999901</v>
      </c>
      <c r="M5592">
        <v>0.97831630000000003</v>
      </c>
      <c r="N5592">
        <v>0</v>
      </c>
      <c r="O5592">
        <v>-0.207108399999999</v>
      </c>
      <c r="P5592">
        <v>0.99961019999999901</v>
      </c>
      <c r="Q5592">
        <v>2.0063999999999999E-2</v>
      </c>
      <c r="R5592">
        <v>-1.9409530000000001E-2</v>
      </c>
      <c r="S5592">
        <v>3.0052490000000001</v>
      </c>
      <c r="T5592">
        <v>-0.14022019999999999</v>
      </c>
      <c r="U5592">
        <v>5.654907E-2</v>
      </c>
      <c r="V5592">
        <v>-0.188332</v>
      </c>
      <c r="W5592">
        <v>1.9174179999999999E-2</v>
      </c>
      <c r="X5592">
        <v>0.98191819999999896</v>
      </c>
      <c r="Y5592">
        <v>-0.22500970000000001</v>
      </c>
      <c r="Z5592">
        <v>1.485499E-2</v>
      </c>
      <c r="AA5592">
        <v>0.97424330000000003</v>
      </c>
      <c r="AB5592">
        <v>33</v>
      </c>
      <c r="AC5592">
        <v>23.6100999999999</v>
      </c>
      <c r="AD5592">
        <v>-1.1088987674088</v>
      </c>
      <c r="AE5592">
        <v>0.47821999999999298</v>
      </c>
      <c r="AF5592">
        <v>-5.3459215749960096</v>
      </c>
      <c r="AG5592">
        <v>-1.1088987674088</v>
      </c>
      <c r="AH5592">
        <v>22.948538870588401</v>
      </c>
      <c r="AI5592">
        <v>92.694411334105197</v>
      </c>
      <c r="AJ5592">
        <v>103.113331977513</v>
      </c>
      <c r="AK5592">
        <v>23.589064632945401</v>
      </c>
    </row>
    <row r="5593" spans="1:37" x14ac:dyDescent="0.2">
      <c r="A5593" t="str">
        <f>"20200111153542100"</f>
        <v>20200111153542100</v>
      </c>
      <c r="B5593" t="str">
        <f>"1578728142091111"</f>
        <v>1578728142091111</v>
      </c>
      <c r="C5593" t="s">
        <v>37</v>
      </c>
      <c r="D5593">
        <v>4.7377139999999898</v>
      </c>
      <c r="E5593">
        <v>0.48535450000000002</v>
      </c>
      <c r="F5593" t="s">
        <v>75</v>
      </c>
      <c r="G5593">
        <v>-253.00370000000001</v>
      </c>
      <c r="H5593" s="1">
        <v>-6.9234569999999904E-7</v>
      </c>
      <c r="I5593">
        <v>-61.587159999999997</v>
      </c>
      <c r="J5593">
        <v>-276.63470000000001</v>
      </c>
      <c r="K5593">
        <v>1.108838</v>
      </c>
      <c r="L5593">
        <v>-62.093200000000003</v>
      </c>
      <c r="M5593">
        <v>0.97896810000000001</v>
      </c>
      <c r="N5593">
        <v>0</v>
      </c>
      <c r="O5593">
        <v>-0.20400499999999999</v>
      </c>
      <c r="P5593">
        <v>0.99963109999999999</v>
      </c>
      <c r="Q5593">
        <v>2.0547909999999999E-2</v>
      </c>
      <c r="R5593">
        <v>-1.775796E-2</v>
      </c>
      <c r="S5593">
        <v>3.0051570000000001</v>
      </c>
      <c r="T5593">
        <v>-0.14009730000000001</v>
      </c>
      <c r="U5593">
        <v>6.0089110000000001E-2</v>
      </c>
      <c r="V5593">
        <v>-0.186842799999999</v>
      </c>
      <c r="W5593">
        <v>1.9710999999999999E-2</v>
      </c>
      <c r="X5593">
        <v>0.98219199999999995</v>
      </c>
      <c r="Y5593">
        <v>-0.22307370000000001</v>
      </c>
      <c r="Z5593">
        <v>1.4655120000000001E-2</v>
      </c>
      <c r="AA5593">
        <v>0.97469139999999999</v>
      </c>
      <c r="AB5593">
        <v>33</v>
      </c>
      <c r="AC5593">
        <v>23.631</v>
      </c>
      <c r="AD5593">
        <v>-1.1088386923457001</v>
      </c>
      <c r="AE5593">
        <v>0.50604000000000504</v>
      </c>
      <c r="AF5593">
        <v>-5.3045741460908502</v>
      </c>
      <c r="AG5593">
        <v>-1.1088386923457001</v>
      </c>
      <c r="AH5593">
        <v>22.980225804699199</v>
      </c>
      <c r="AI5593">
        <v>92.691809914193698</v>
      </c>
      <c r="AJ5593">
        <v>102.998037619917</v>
      </c>
      <c r="AK5593">
        <v>23.610565604236999</v>
      </c>
    </row>
    <row r="5594" spans="1:37" x14ac:dyDescent="0.2">
      <c r="A5594" t="str">
        <f>"20200111153542111"</f>
        <v>20200111153542111</v>
      </c>
      <c r="B5594" t="str">
        <f>"1578728142100872"</f>
        <v>1578728142100872</v>
      </c>
      <c r="C5594" t="s">
        <v>37</v>
      </c>
      <c r="D5594">
        <v>4.7719949999999898</v>
      </c>
      <c r="E5594">
        <v>0.48532409999999998</v>
      </c>
      <c r="F5594" t="s">
        <v>75</v>
      </c>
      <c r="G5594">
        <v>-252.7492</v>
      </c>
      <c r="H5594" s="1">
        <v>-5.8038049999999997E-7</v>
      </c>
      <c r="I5594">
        <v>-61.574599999999997</v>
      </c>
      <c r="J5594">
        <v>-276.47340000000003</v>
      </c>
      <c r="K5594">
        <v>1.1087719999999901</v>
      </c>
      <c r="L5594">
        <v>-62.124109999999902</v>
      </c>
      <c r="M5594">
        <v>0.9796146</v>
      </c>
      <c r="N5594">
        <v>0</v>
      </c>
      <c r="O5594">
        <v>-0.200878</v>
      </c>
      <c r="P5594">
        <v>0.99964730000000002</v>
      </c>
      <c r="Q5594">
        <v>2.1099840000000002E-2</v>
      </c>
      <c r="R5594">
        <v>-1.6128679999999999E-2</v>
      </c>
      <c r="S5594">
        <v>3.005096</v>
      </c>
      <c r="T5594">
        <v>-0.13950560000000001</v>
      </c>
      <c r="U5594">
        <v>6.5246579999999998E-2</v>
      </c>
      <c r="V5594">
        <v>-0.18530929999999901</v>
      </c>
      <c r="W5594">
        <v>2.0318369999999999E-2</v>
      </c>
      <c r="X5594">
        <v>0.98247019999999996</v>
      </c>
      <c r="Y5594">
        <v>-0.22164229999999999</v>
      </c>
      <c r="Z5594">
        <v>1.4417620000000001E-2</v>
      </c>
      <c r="AA5594">
        <v>0.97502140000000004</v>
      </c>
      <c r="AB5594">
        <v>33</v>
      </c>
      <c r="AC5594">
        <v>23.7242</v>
      </c>
      <c r="AD5594">
        <v>-1.1087725803805</v>
      </c>
      <c r="AE5594">
        <v>0.54950999999999794</v>
      </c>
      <c r="AF5594">
        <v>-5.2924327409159302</v>
      </c>
      <c r="AG5594">
        <v>-1.1087725803805</v>
      </c>
      <c r="AH5594">
        <v>23.079840930753502</v>
      </c>
      <c r="AI5594">
        <v>92.680939522654597</v>
      </c>
      <c r="AJ5594">
        <v>102.915197882436</v>
      </c>
      <c r="AK5594">
        <v>23.704815509533301</v>
      </c>
    </row>
    <row r="5595" spans="1:37" x14ac:dyDescent="0.2">
      <c r="A5595" t="str">
        <f>"20200111153542124"</f>
        <v>20200111153542124</v>
      </c>
      <c r="B5595" t="str">
        <f>"1578728142111607"</f>
        <v>1578728142111607</v>
      </c>
      <c r="C5595" t="s">
        <v>37</v>
      </c>
      <c r="D5595">
        <v>4.7436499999999997</v>
      </c>
      <c r="E5595">
        <v>0.48520649999999999</v>
      </c>
      <c r="F5595" t="s">
        <v>75</v>
      </c>
      <c r="G5595">
        <v>-252.44730000000001</v>
      </c>
      <c r="H5595" s="1">
        <v>-4.4794550000000002E-7</v>
      </c>
      <c r="I5595">
        <v>-61.561459999999997</v>
      </c>
      <c r="J5595">
        <v>-276.30340000000001</v>
      </c>
      <c r="K5595">
        <v>1.1087</v>
      </c>
      <c r="L5595">
        <v>-62.156309999999998</v>
      </c>
      <c r="M5595">
        <v>0.98027389999999903</v>
      </c>
      <c r="N5595">
        <v>0</v>
      </c>
      <c r="O5595">
        <v>-0.19763549999999999</v>
      </c>
      <c r="P5595">
        <v>0.999673699999999</v>
      </c>
      <c r="Q5595">
        <v>2.119909E-2</v>
      </c>
      <c r="R5595">
        <v>-1.4253719999999999E-2</v>
      </c>
      <c r="S5595">
        <v>3.0050659999999998</v>
      </c>
      <c r="T5595">
        <v>-0.13867969999999999</v>
      </c>
      <c r="U5595">
        <v>7.0373539999999998E-2</v>
      </c>
      <c r="V5595">
        <v>-0.18389839999999999</v>
      </c>
      <c r="W5595">
        <v>2.0474740000000002E-2</v>
      </c>
      <c r="X5595">
        <v>0.98273199999999905</v>
      </c>
      <c r="Y5595">
        <v>-0.22008899999999901</v>
      </c>
      <c r="Z5595">
        <v>1.4149399999999999E-2</v>
      </c>
      <c r="AA5595">
        <v>0.97537719999999895</v>
      </c>
      <c r="AB5595">
        <v>33</v>
      </c>
      <c r="AC5595">
        <v>23.856100000000001</v>
      </c>
      <c r="AD5595">
        <v>-1.1087004479455</v>
      </c>
      <c r="AE5595">
        <v>0.59485000000000099</v>
      </c>
      <c r="AF5595">
        <v>-5.2865257319355097</v>
      </c>
      <c r="AG5595">
        <v>-1.1087004479455</v>
      </c>
      <c r="AH5595">
        <v>23.217870340221101</v>
      </c>
      <c r="AI5595">
        <v>92.665786312288304</v>
      </c>
      <c r="AJ5595">
        <v>102.827112289369</v>
      </c>
      <c r="AK5595">
        <v>23.837912537238001</v>
      </c>
    </row>
    <row r="5596" spans="1:37" x14ac:dyDescent="0.2">
      <c r="A5596" t="str">
        <f>"20200111153542135"</f>
        <v>20200111153542135</v>
      </c>
      <c r="B5596" t="str">
        <f>"1578728142131127"</f>
        <v>1578728142131127</v>
      </c>
      <c r="C5596" t="s">
        <v>37</v>
      </c>
      <c r="D5596">
        <v>4.8097310000000002</v>
      </c>
      <c r="E5596">
        <v>0.48532409999999998</v>
      </c>
      <c r="F5596" t="s">
        <v>75</v>
      </c>
      <c r="G5596">
        <v>-252.3999</v>
      </c>
      <c r="H5596" s="1">
        <v>-4.2372059999999999E-7</v>
      </c>
      <c r="I5596">
        <v>-61.543849999999999</v>
      </c>
      <c r="J5596">
        <v>-276.14359999999999</v>
      </c>
      <c r="K5596">
        <v>1.1086279999999999</v>
      </c>
      <c r="L5596">
        <v>-62.186100000000003</v>
      </c>
      <c r="M5596">
        <v>0.98086980000000001</v>
      </c>
      <c r="N5596">
        <v>0</v>
      </c>
      <c r="O5596">
        <v>-0.19465669999999999</v>
      </c>
      <c r="P5596">
        <v>0.99967909999999904</v>
      </c>
      <c r="Q5596">
        <v>2.1671559999999999E-2</v>
      </c>
      <c r="R5596">
        <v>-1.312196E-2</v>
      </c>
      <c r="S5596">
        <v>3.0050659999999998</v>
      </c>
      <c r="T5596">
        <v>-0.13938210000000001</v>
      </c>
      <c r="U5596">
        <v>7.6995850000000005E-2</v>
      </c>
      <c r="V5596">
        <v>-0.1820263</v>
      </c>
      <c r="W5596">
        <v>2.1009159999999999E-2</v>
      </c>
      <c r="X5596">
        <v>0.98306919999999898</v>
      </c>
      <c r="Y5596">
        <v>-0.21927350000000001</v>
      </c>
      <c r="Z5596">
        <v>1.406602E-2</v>
      </c>
      <c r="AA5596">
        <v>0.97556200000000004</v>
      </c>
      <c r="AB5596">
        <v>33</v>
      </c>
      <c r="AC5596">
        <v>23.743699999999901</v>
      </c>
      <c r="AD5596">
        <v>-1.1086284237206001</v>
      </c>
      <c r="AE5596">
        <v>0.64225000000000398</v>
      </c>
      <c r="AF5596">
        <v>-5.2404260631513599</v>
      </c>
      <c r="AG5596">
        <v>-1.1086284237206001</v>
      </c>
      <c r="AH5596">
        <v>23.114142958355199</v>
      </c>
      <c r="AI5596">
        <v>92.678120169169404</v>
      </c>
      <c r="AJ5596">
        <v>102.774119678023</v>
      </c>
      <c r="AK5596">
        <v>23.7266670015938</v>
      </c>
    </row>
    <row r="5597" spans="1:37" x14ac:dyDescent="0.2">
      <c r="A5597" t="str">
        <f>"20200111153542146"</f>
        <v>20200111153542146</v>
      </c>
      <c r="B5597" t="str">
        <f>"1578728142140887"</f>
        <v>1578728142140887</v>
      </c>
      <c r="C5597" t="s">
        <v>37</v>
      </c>
      <c r="D5597">
        <v>4.9084969999999997</v>
      </c>
      <c r="E5597">
        <v>0.48532409999999998</v>
      </c>
      <c r="F5597" t="s">
        <v>75</v>
      </c>
      <c r="G5597">
        <v>-251.99459999999999</v>
      </c>
      <c r="H5597" s="1">
        <v>-2.503252E-7</v>
      </c>
      <c r="I5597">
        <v>-61.545999999999999</v>
      </c>
      <c r="J5597">
        <v>-275.97989999999999</v>
      </c>
      <c r="K5597">
        <v>1.1085499999999999</v>
      </c>
      <c r="L5597">
        <v>-62.216059999999999</v>
      </c>
      <c r="M5597">
        <v>0.9814543</v>
      </c>
      <c r="N5597">
        <v>0</v>
      </c>
      <c r="O5597">
        <v>-0.1916872</v>
      </c>
      <c r="P5597">
        <v>0.99969769999999902</v>
      </c>
      <c r="Q5597">
        <v>2.1463690000000001E-2</v>
      </c>
      <c r="R5597">
        <v>-1.1976570000000001E-2</v>
      </c>
      <c r="S5597">
        <v>3.0050050000000001</v>
      </c>
      <c r="T5597">
        <v>-0.137953399999999</v>
      </c>
      <c r="U5597">
        <v>7.9650879999999993E-2</v>
      </c>
      <c r="V5597">
        <v>-0.1801711</v>
      </c>
      <c r="W5597">
        <v>2.0864710000000002E-2</v>
      </c>
      <c r="X5597">
        <v>0.98341389999999995</v>
      </c>
      <c r="Y5597">
        <v>-0.21719669999999999</v>
      </c>
      <c r="Z5597">
        <v>1.3740230000000001E-2</v>
      </c>
      <c r="AA5597">
        <v>0.97603119999999999</v>
      </c>
      <c r="AB5597">
        <v>33</v>
      </c>
      <c r="AC5597">
        <v>23.985299999999899</v>
      </c>
      <c r="AD5597">
        <v>-1.1085502503251901</v>
      </c>
      <c r="AE5597">
        <v>0.670059999999992</v>
      </c>
      <c r="AF5597">
        <v>-5.2441241866960597</v>
      </c>
      <c r="AG5597">
        <v>-1.1085502503251901</v>
      </c>
      <c r="AH5597">
        <v>23.362209596958898</v>
      </c>
      <c r="AI5597">
        <v>92.650814994490403</v>
      </c>
      <c r="AJ5597">
        <v>102.651497701005</v>
      </c>
      <c r="AK5597">
        <v>23.969200224355099</v>
      </c>
    </row>
    <row r="5598" spans="1:37" x14ac:dyDescent="0.2">
      <c r="A5598" t="str">
        <f>"20200111153542157"</f>
        <v>20200111153542157</v>
      </c>
      <c r="B5598" t="str">
        <f>"1578728142151622"</f>
        <v>1578728142151622</v>
      </c>
      <c r="C5598" t="s">
        <v>37</v>
      </c>
      <c r="D5598">
        <v>4.8638779999999997</v>
      </c>
      <c r="E5598">
        <v>0.48718640000000002</v>
      </c>
      <c r="F5598" t="s">
        <v>75</v>
      </c>
      <c r="G5598">
        <v>-251.9265</v>
      </c>
      <c r="H5598" s="1">
        <v>-2.218553E-7</v>
      </c>
      <c r="I5598">
        <v>-61.549399999999999</v>
      </c>
      <c r="J5598">
        <v>-275.80779999999999</v>
      </c>
      <c r="K5598">
        <v>1.108463</v>
      </c>
      <c r="L5598">
        <v>-62.247280000000003</v>
      </c>
      <c r="M5598">
        <v>0.98204959999999997</v>
      </c>
      <c r="N5598">
        <v>0</v>
      </c>
      <c r="O5598">
        <v>-0.18861439999999999</v>
      </c>
      <c r="P5598">
        <v>0.99971559999999904</v>
      </c>
      <c r="Q5598">
        <v>2.1343959999999999E-2</v>
      </c>
      <c r="R5598">
        <v>-1.0645430000000001E-2</v>
      </c>
      <c r="S5598">
        <v>3.0048520000000001</v>
      </c>
      <c r="T5598">
        <v>-0.13848479999999999</v>
      </c>
      <c r="U5598">
        <v>8.3282469999999997E-2</v>
      </c>
      <c r="V5598">
        <v>-0.17839759999999999</v>
      </c>
      <c r="W5598">
        <v>2.081131E-2</v>
      </c>
      <c r="X5598">
        <v>0.98373840000000001</v>
      </c>
      <c r="Y5598">
        <v>-0.21532319999999999</v>
      </c>
      <c r="Z5598">
        <v>1.361097E-2</v>
      </c>
      <c r="AA5598">
        <v>0.97644799999999998</v>
      </c>
      <c r="AB5598">
        <v>33</v>
      </c>
      <c r="AC5598">
        <v>23.8812999999999</v>
      </c>
      <c r="AD5598">
        <v>-1.1084632218553001</v>
      </c>
      <c r="AE5598">
        <v>0.69788000000000405</v>
      </c>
      <c r="AF5598">
        <v>-5.1785709247763902</v>
      </c>
      <c r="AG5598">
        <v>-1.1084632218553001</v>
      </c>
      <c r="AH5598">
        <v>23.270935944328301</v>
      </c>
      <c r="AI5598">
        <v>92.662084107935797</v>
      </c>
      <c r="AJ5598">
        <v>102.54582120582999</v>
      </c>
      <c r="AK5598">
        <v>23.865932775866501</v>
      </c>
    </row>
    <row r="5599" spans="1:37" x14ac:dyDescent="0.2">
      <c r="A5599" t="str">
        <f>"20200111153542169"</f>
        <v>20200111153542169</v>
      </c>
      <c r="B5599" t="str">
        <f>"1578728142161383"</f>
        <v>1578728142161383</v>
      </c>
      <c r="C5599" t="s">
        <v>37</v>
      </c>
      <c r="D5599">
        <v>4.8876689999999998</v>
      </c>
      <c r="E5599">
        <v>0.48718640000000002</v>
      </c>
      <c r="F5599" t="s">
        <v>75</v>
      </c>
      <c r="G5599">
        <v>-251.78620000000001</v>
      </c>
      <c r="H5599" s="1">
        <v>-1.8786139999999901E-7</v>
      </c>
      <c r="I5599">
        <v>-61.667319999999997</v>
      </c>
      <c r="J5599">
        <v>-275.6429</v>
      </c>
      <c r="K5599">
        <v>1.108376</v>
      </c>
      <c r="L5599">
        <v>-62.276519999999998</v>
      </c>
      <c r="M5599">
        <v>0.98258769999999995</v>
      </c>
      <c r="N5599">
        <v>0</v>
      </c>
      <c r="O5599">
        <v>-0.18579039999999999</v>
      </c>
      <c r="P5599">
        <v>0.99973089999999998</v>
      </c>
      <c r="Q5599">
        <v>2.123212E-2</v>
      </c>
      <c r="R5599">
        <v>-9.3477649999999992E-3</v>
      </c>
      <c r="S5599">
        <v>3.004578</v>
      </c>
      <c r="T5599">
        <v>-0.13864409999999999</v>
      </c>
      <c r="U5599">
        <v>7.2540279999999999E-2</v>
      </c>
      <c r="V5599">
        <v>-0.1768402</v>
      </c>
      <c r="W5599">
        <v>2.0761729999999999E-2</v>
      </c>
      <c r="X5599">
        <v>0.98402060000000002</v>
      </c>
      <c r="Y5599">
        <v>-0.209034</v>
      </c>
      <c r="Z5599">
        <v>1.335414E-2</v>
      </c>
      <c r="AA5599">
        <v>0.97781719999999905</v>
      </c>
      <c r="AB5599">
        <v>33</v>
      </c>
      <c r="AC5599">
        <v>23.856699999999901</v>
      </c>
      <c r="AD5599">
        <v>-1.1083761878614</v>
      </c>
      <c r="AE5599">
        <v>0.60920000000000096</v>
      </c>
      <c r="AF5599">
        <v>-5.0201177595045099</v>
      </c>
      <c r="AG5599">
        <v>-1.1083761878614</v>
      </c>
      <c r="AH5599">
        <v>23.277942538842499</v>
      </c>
      <c r="AI5599">
        <v>92.6648967095487</v>
      </c>
      <c r="AJ5599">
        <v>102.17001187365</v>
      </c>
      <c r="AK5599">
        <v>23.8388902622325</v>
      </c>
    </row>
    <row r="5600" spans="1:37" x14ac:dyDescent="0.2">
      <c r="A5600" t="str">
        <f>"20200111153542180"</f>
        <v>20200111153542180</v>
      </c>
      <c r="B5600" t="str">
        <f>"1578728142171143"</f>
        <v>1578728142171143</v>
      </c>
      <c r="C5600" t="s">
        <v>37</v>
      </c>
      <c r="D5600">
        <v>4.8411210000000002</v>
      </c>
      <c r="E5600">
        <v>0.51076359999999998</v>
      </c>
      <c r="F5600" t="s">
        <v>75</v>
      </c>
      <c r="G5600">
        <v>-251.67410000000001</v>
      </c>
      <c r="H5600" s="1">
        <v>-1.3950139999999999E-7</v>
      </c>
      <c r="I5600">
        <v>-61.665930000000003</v>
      </c>
      <c r="J5600">
        <v>-275.46789999999999</v>
      </c>
      <c r="K5600">
        <v>1.1082809999999901</v>
      </c>
      <c r="L5600">
        <v>-62.307310000000001</v>
      </c>
      <c r="M5600">
        <v>0.98314199999999996</v>
      </c>
      <c r="N5600">
        <v>0</v>
      </c>
      <c r="O5600">
        <v>-0.1828341</v>
      </c>
      <c r="P5600">
        <v>0.99974200000000002</v>
      </c>
      <c r="Q5600">
        <v>2.1176400000000001E-2</v>
      </c>
      <c r="R5600">
        <v>-8.2019320000000003E-3</v>
      </c>
      <c r="S5600">
        <v>3.004486</v>
      </c>
      <c r="T5600">
        <v>-0.13893539999999999</v>
      </c>
      <c r="U5600">
        <v>7.6538090000000003E-2</v>
      </c>
      <c r="V5600">
        <v>-0.17500279999999999</v>
      </c>
      <c r="W5600">
        <v>2.0775080000000001E-2</v>
      </c>
      <c r="X5600">
        <v>0.98434869999999997</v>
      </c>
      <c r="Y5600">
        <v>-0.20739669999999999</v>
      </c>
      <c r="Z5600">
        <v>1.3209810000000001E-2</v>
      </c>
      <c r="AA5600">
        <v>0.97816769999999997</v>
      </c>
      <c r="AB5600">
        <v>33</v>
      </c>
      <c r="AC5600">
        <v>23.793799999999901</v>
      </c>
      <c r="AD5600">
        <v>-1.1082811395013901</v>
      </c>
      <c r="AE5600">
        <v>0.64137999999999795</v>
      </c>
      <c r="AF5600">
        <v>-4.9701191829391496</v>
      </c>
      <c r="AG5600">
        <v>-1.1082811395013901</v>
      </c>
      <c r="AH5600">
        <v>23.2251069661096</v>
      </c>
      <c r="AI5600">
        <v>92.671632117369398</v>
      </c>
      <c r="AJ5600">
        <v>102.07897793728699</v>
      </c>
      <c r="AK5600">
        <v>23.7767946822953</v>
      </c>
    </row>
    <row r="5601" spans="1:37" x14ac:dyDescent="0.2">
      <c r="A5601" t="str">
        <f>"20200111153542191"</f>
        <v>20200111153542191</v>
      </c>
      <c r="B5601" t="str">
        <f>"1578728142180903"</f>
        <v>1578728142180903</v>
      </c>
      <c r="C5601" t="s">
        <v>37</v>
      </c>
      <c r="D5601">
        <v>4.8383539999999998</v>
      </c>
      <c r="E5601">
        <v>0.51041000000000003</v>
      </c>
      <c r="F5601" t="s">
        <v>76</v>
      </c>
      <c r="G5601">
        <v>-248.35249999999999</v>
      </c>
      <c r="H5601" s="1">
        <v>-3.2309849999999999E-6</v>
      </c>
      <c r="I5601">
        <v>-63.2842699999999</v>
      </c>
      <c r="J5601">
        <v>-275.29989999999998</v>
      </c>
      <c r="K5601">
        <v>1.1081799999999999</v>
      </c>
      <c r="L5601">
        <v>-62.336209999999902</v>
      </c>
      <c r="M5601">
        <v>0.98364409999999902</v>
      </c>
      <c r="N5601">
        <v>0</v>
      </c>
      <c r="O5601">
        <v>-0.180113299999999</v>
      </c>
      <c r="P5601">
        <v>0.99975119999999895</v>
      </c>
      <c r="Q5601">
        <v>2.1108539999999999E-2</v>
      </c>
      <c r="R5601">
        <v>-7.2141289999999997E-3</v>
      </c>
      <c r="S5601">
        <v>3.002472</v>
      </c>
      <c r="T5601">
        <v>-0.1227195</v>
      </c>
      <c r="U5601">
        <v>-0.1081848</v>
      </c>
      <c r="V5601">
        <v>-0.1732466</v>
      </c>
      <c r="W5601">
        <v>2.0775080000000001E-2</v>
      </c>
      <c r="X5601">
        <v>0.98465930000000002</v>
      </c>
      <c r="Y5601">
        <v>-0.144308299999999</v>
      </c>
      <c r="Z5601">
        <v>1.026697E-2</v>
      </c>
      <c r="AA5601">
        <v>0.98947949999999996</v>
      </c>
      <c r="AB5601">
        <v>34</v>
      </c>
      <c r="AC5601">
        <v>26.947399999999899</v>
      </c>
      <c r="AD5601">
        <v>-1.1081832309849999</v>
      </c>
      <c r="AE5601">
        <v>-0.94805999999999702</v>
      </c>
      <c r="AF5601">
        <v>-3.9144265352880998</v>
      </c>
      <c r="AG5601">
        <v>-1.1081832309849999</v>
      </c>
      <c r="AH5601">
        <v>26.632471125400301</v>
      </c>
      <c r="AI5601">
        <v>92.3574174944536</v>
      </c>
      <c r="AJ5601">
        <v>98.361435789743894</v>
      </c>
      <c r="AK5601">
        <v>26.941405372008401</v>
      </c>
    </row>
    <row r="5602" spans="1:37" x14ac:dyDescent="0.2">
      <c r="A5602" t="str">
        <f>"20200111153542203"</f>
        <v>20200111153542203</v>
      </c>
      <c r="B5602" t="str">
        <f>"1578728142191639"</f>
        <v>1578728142191639</v>
      </c>
      <c r="C5602" t="s">
        <v>37</v>
      </c>
      <c r="D5602">
        <v>4.8331499999999998</v>
      </c>
      <c r="E5602">
        <v>0.51042140000000003</v>
      </c>
      <c r="F5602" t="s">
        <v>76</v>
      </c>
      <c r="G5602">
        <v>-247.09010000000001</v>
      </c>
      <c r="H5602" s="1">
        <v>-2.8038810000000001E-6</v>
      </c>
      <c r="I5602">
        <v>-63.298409999999997</v>
      </c>
      <c r="J5602">
        <v>-275.14670000000001</v>
      </c>
      <c r="K5602">
        <v>1.1080939999999999</v>
      </c>
      <c r="L5602">
        <v>-62.362369999999999</v>
      </c>
      <c r="M5602">
        <v>0.98408809999999902</v>
      </c>
      <c r="N5602">
        <v>0</v>
      </c>
      <c r="O5602">
        <v>-0.17767149999999901</v>
      </c>
      <c r="P5602">
        <v>0.99976209999999899</v>
      </c>
      <c r="Q5602">
        <v>2.0772349999999998E-2</v>
      </c>
      <c r="R5602">
        <v>-6.6717169999999998E-3</v>
      </c>
      <c r="S5602">
        <v>3.002472</v>
      </c>
      <c r="T5602">
        <v>-0.117947699999999</v>
      </c>
      <c r="U5602">
        <v>-0.10241699999999999</v>
      </c>
      <c r="V5602">
        <v>-0.17133019999999999</v>
      </c>
      <c r="W5602">
        <v>2.0503819999999999E-2</v>
      </c>
      <c r="X5602">
        <v>0.98500030000000005</v>
      </c>
      <c r="Y5602">
        <v>-0.1437737</v>
      </c>
      <c r="Z5602">
        <v>9.7636709999999998E-3</v>
      </c>
      <c r="AA5602">
        <v>0.98956250000000001</v>
      </c>
      <c r="AB5602">
        <v>34</v>
      </c>
      <c r="AC5602">
        <v>28.0566</v>
      </c>
      <c r="AD5602">
        <v>-1.108096803881</v>
      </c>
      <c r="AE5602">
        <v>-0.93603999999999798</v>
      </c>
      <c r="AF5602">
        <v>-4.0573974597676798</v>
      </c>
      <c r="AG5602">
        <v>-1.108096803881</v>
      </c>
      <c r="AH5602">
        <v>27.733309771899499</v>
      </c>
      <c r="AI5602">
        <v>92.263986208040507</v>
      </c>
      <c r="AJ5602">
        <v>98.323353251331895</v>
      </c>
      <c r="AK5602">
        <v>28.050433572004501</v>
      </c>
    </row>
    <row r="5603" spans="1:37" x14ac:dyDescent="0.2">
      <c r="A5603" t="str">
        <f>"20200111153542213"</f>
        <v>20200111153542213</v>
      </c>
      <c r="B5603" t="str">
        <f>"1578728142201400"</f>
        <v>1578728142201400</v>
      </c>
      <c r="C5603" t="s">
        <v>37</v>
      </c>
      <c r="D5603">
        <v>4.8473280000000001</v>
      </c>
      <c r="E5603">
        <v>0.51029159999999996</v>
      </c>
      <c r="F5603" t="s">
        <v>76</v>
      </c>
      <c r="G5603">
        <v>-247.30760000000001</v>
      </c>
      <c r="H5603" s="1">
        <v>-2.8774959999999999E-6</v>
      </c>
      <c r="I5603">
        <v>-63.296039999999998</v>
      </c>
      <c r="J5603">
        <v>-274.99059999999997</v>
      </c>
      <c r="K5603">
        <v>1.108006</v>
      </c>
      <c r="L5603">
        <v>-62.388579999999997</v>
      </c>
      <c r="M5603">
        <v>0.98452019999999996</v>
      </c>
      <c r="N5603">
        <v>0</v>
      </c>
      <c r="O5603">
        <v>-0.17526149999999999</v>
      </c>
      <c r="P5603">
        <v>0.99977019999999905</v>
      </c>
      <c r="Q5603">
        <v>2.0583170000000001E-2</v>
      </c>
      <c r="R5603">
        <v>-6.0221980000000003E-3</v>
      </c>
      <c r="S5603">
        <v>3.0025629999999999</v>
      </c>
      <c r="T5603">
        <v>-0.1195131</v>
      </c>
      <c r="U5603">
        <v>-0.10070800000000001</v>
      </c>
      <c r="V5603">
        <v>-0.16955209999999901</v>
      </c>
      <c r="W5603">
        <v>2.0377490000000002E-2</v>
      </c>
      <c r="X5603">
        <v>0.98531049999999998</v>
      </c>
      <c r="Y5603">
        <v>-0.14191099999999901</v>
      </c>
      <c r="Z5603">
        <v>9.7614190000000003E-3</v>
      </c>
      <c r="AA5603">
        <v>0.98983129999999997</v>
      </c>
      <c r="AB5603">
        <v>34</v>
      </c>
      <c r="AC5603">
        <v>27.6829999999999</v>
      </c>
      <c r="AD5603">
        <v>-1.108008877496</v>
      </c>
      <c r="AE5603">
        <v>-0.90746000000000004</v>
      </c>
      <c r="AF5603">
        <v>-3.9520337700182999</v>
      </c>
      <c r="AG5603">
        <v>-1.108008877496</v>
      </c>
      <c r="AH5603">
        <v>27.369762799831602</v>
      </c>
      <c r="AI5603">
        <v>92.294466379632993</v>
      </c>
      <c r="AJ5603">
        <v>98.216386740632103</v>
      </c>
      <c r="AK5603">
        <v>27.675804781632198</v>
      </c>
    </row>
    <row r="5604" spans="1:37" x14ac:dyDescent="0.2">
      <c r="A5604" t="str">
        <f>"20200111153542223"</f>
        <v>20200111153542223</v>
      </c>
      <c r="B5604" t="str">
        <f>"1578728142211159"</f>
        <v>1578728142211159</v>
      </c>
      <c r="C5604" t="s">
        <v>37</v>
      </c>
      <c r="D5604">
        <v>4.8741659999999998</v>
      </c>
      <c r="E5604">
        <v>0.51042189999999998</v>
      </c>
      <c r="F5604" t="s">
        <v>76</v>
      </c>
      <c r="G5604">
        <v>-247.55240000000001</v>
      </c>
      <c r="H5604" s="1">
        <v>-2.9577589999999998E-6</v>
      </c>
      <c r="I5604">
        <v>-63.278959999999998</v>
      </c>
      <c r="J5604">
        <v>-274.82639999999998</v>
      </c>
      <c r="K5604">
        <v>1.1079190000000001</v>
      </c>
      <c r="L5604">
        <v>-62.41583</v>
      </c>
      <c r="M5604">
        <v>0.98495779999999999</v>
      </c>
      <c r="N5604">
        <v>0</v>
      </c>
      <c r="O5604">
        <v>-0.17278499999999999</v>
      </c>
      <c r="P5604">
        <v>0.99977479999999996</v>
      </c>
      <c r="Q5604">
        <v>2.046073E-2</v>
      </c>
      <c r="R5604">
        <v>-5.626893E-3</v>
      </c>
      <c r="S5604">
        <v>3.00259399999999</v>
      </c>
      <c r="T5604">
        <v>-0.1212506</v>
      </c>
      <c r="U5604">
        <v>-9.7442630000000002E-2</v>
      </c>
      <c r="V5604">
        <v>-0.16745789999999999</v>
      </c>
      <c r="W5604">
        <v>2.032457E-2</v>
      </c>
      <c r="X5604">
        <v>0.98566969999999998</v>
      </c>
      <c r="Y5604">
        <v>-0.140492899999999</v>
      </c>
      <c r="Z5604">
        <v>9.7762179999999997E-3</v>
      </c>
      <c r="AA5604">
        <v>0.99003339999999995</v>
      </c>
      <c r="AB5604">
        <v>34</v>
      </c>
      <c r="AC5604">
        <v>27.273999999999901</v>
      </c>
      <c r="AD5604">
        <v>-1.107921957759</v>
      </c>
      <c r="AE5604">
        <v>-0.86312999999999096</v>
      </c>
      <c r="AF5604">
        <v>-3.8560415366074898</v>
      </c>
      <c r="AG5604">
        <v>-1.107921957759</v>
      </c>
      <c r="AH5604">
        <v>26.968464697407601</v>
      </c>
      <c r="AI5604">
        <v>92.328850879315198</v>
      </c>
      <c r="AJ5604">
        <v>98.137188971441702</v>
      </c>
      <c r="AK5604">
        <v>27.2652642666791</v>
      </c>
    </row>
    <row r="5605" spans="1:37" x14ac:dyDescent="0.2">
      <c r="A5605" t="str">
        <f>"20200111153542235"</f>
        <v>20200111153542235</v>
      </c>
      <c r="B5605" t="str">
        <f>"1578728142231655"</f>
        <v>1578728142231655</v>
      </c>
      <c r="C5605" t="s">
        <v>37</v>
      </c>
      <c r="D5605">
        <v>4.8448479999999998</v>
      </c>
      <c r="E5605">
        <v>0.51030730000000002</v>
      </c>
      <c r="F5605" t="s">
        <v>76</v>
      </c>
      <c r="G5605">
        <v>-247.73320000000001</v>
      </c>
      <c r="H5605" s="1">
        <v>-3.0216309999999998E-6</v>
      </c>
      <c r="I5605">
        <v>-63.29224</v>
      </c>
      <c r="J5605">
        <v>-274.65649999999999</v>
      </c>
      <c r="K5605">
        <v>1.107828</v>
      </c>
      <c r="L5605">
        <v>-62.443659999999902</v>
      </c>
      <c r="M5605">
        <v>0.98539290000000002</v>
      </c>
      <c r="N5605">
        <v>0</v>
      </c>
      <c r="O5605">
        <v>-0.1702864</v>
      </c>
      <c r="P5605">
        <v>0.99978389999999995</v>
      </c>
      <c r="Q5605">
        <v>2.0132009999999999E-2</v>
      </c>
      <c r="R5605">
        <v>-5.18341799999999E-3</v>
      </c>
      <c r="S5605">
        <v>3.0026860000000002</v>
      </c>
      <c r="T5605">
        <v>-0.12278840000000001</v>
      </c>
      <c r="U5605">
        <v>-9.713745E-2</v>
      </c>
      <c r="V5605">
        <v>-0.16538800000000001</v>
      </c>
      <c r="W5605">
        <v>2.0065220000000002E-2</v>
      </c>
      <c r="X5605">
        <v>0.98602440000000002</v>
      </c>
      <c r="Y5605">
        <v>-0.13808049999999999</v>
      </c>
      <c r="Z5605">
        <v>9.7497279999999992E-3</v>
      </c>
      <c r="AA5605">
        <v>0.99037299999999995</v>
      </c>
      <c r="AB5605">
        <v>34</v>
      </c>
      <c r="AC5605">
        <v>26.923299999999902</v>
      </c>
      <c r="AD5605">
        <v>-1.1078310216309999</v>
      </c>
      <c r="AE5605">
        <v>-0.848580000000005</v>
      </c>
      <c r="AF5605">
        <v>-3.7421637668129</v>
      </c>
      <c r="AG5605">
        <v>-1.1078310216309999</v>
      </c>
      <c r="AH5605">
        <v>26.629532774464501</v>
      </c>
      <c r="AI5605">
        <v>92.359069363623206</v>
      </c>
      <c r="AJ5605">
        <v>97.999213007005906</v>
      </c>
      <c r="AK5605">
        <v>26.9139944084191</v>
      </c>
    </row>
    <row r="5606" spans="1:37" x14ac:dyDescent="0.2">
      <c r="A5606" t="str">
        <f>"20200111153542247"</f>
        <v>20200111153542247</v>
      </c>
      <c r="B5606" t="str">
        <f>"1578728142241414"</f>
        <v>1578728142241414</v>
      </c>
      <c r="C5606" t="s">
        <v>37</v>
      </c>
      <c r="D5606">
        <v>4.8895660000000003</v>
      </c>
      <c r="E5606">
        <v>0.51028649999999998</v>
      </c>
      <c r="F5606" t="s">
        <v>76</v>
      </c>
      <c r="G5606">
        <v>-248.52670000000001</v>
      </c>
      <c r="H5606" s="1">
        <v>-3.2873129999999898E-6</v>
      </c>
      <c r="I5606">
        <v>-63.267650000000003</v>
      </c>
      <c r="J5606">
        <v>-274.48750000000001</v>
      </c>
      <c r="K5606">
        <v>1.1077349999999999</v>
      </c>
      <c r="L5606">
        <v>-62.470889999999997</v>
      </c>
      <c r="M5606">
        <v>0.98580460000000003</v>
      </c>
      <c r="N5606">
        <v>0</v>
      </c>
      <c r="O5606">
        <v>-0.1678867</v>
      </c>
      <c r="P5606">
        <v>0.99978559999999905</v>
      </c>
      <c r="Q5606">
        <v>2.0161149999999999E-2</v>
      </c>
      <c r="R5606">
        <v>-4.7392620000000002E-3</v>
      </c>
      <c r="S5606">
        <v>3.0027159999999999</v>
      </c>
      <c r="T5606">
        <v>-0.1273069</v>
      </c>
      <c r="U5606">
        <v>-9.4696039999999995E-2</v>
      </c>
      <c r="V5606">
        <v>-0.16342019999999999</v>
      </c>
      <c r="W5606">
        <v>2.0161040000000002E-2</v>
      </c>
      <c r="X5606">
        <v>0.98635049999999902</v>
      </c>
      <c r="Y5606">
        <v>-0.1364582</v>
      </c>
      <c r="Z5606">
        <v>9.9735680000000004E-3</v>
      </c>
      <c r="AA5606">
        <v>0.99059560000000002</v>
      </c>
      <c r="AB5606">
        <v>34</v>
      </c>
      <c r="AC5606">
        <v>25.960799999999999</v>
      </c>
      <c r="AD5606">
        <v>-1.1077382873129999</v>
      </c>
      <c r="AE5606">
        <v>-0.79675999999999803</v>
      </c>
      <c r="AF5606">
        <v>-3.5665418580050399</v>
      </c>
      <c r="AG5606">
        <v>-1.1077382873129999</v>
      </c>
      <c r="AH5606">
        <v>25.679374097291401</v>
      </c>
      <c r="AI5606">
        <v>92.446597170084004</v>
      </c>
      <c r="AJ5606">
        <v>97.907079789617995</v>
      </c>
      <c r="AK5606">
        <v>25.9495194361422</v>
      </c>
    </row>
    <row r="5607" spans="1:37" x14ac:dyDescent="0.2">
      <c r="A5607" t="str">
        <f>"20200111153542258"</f>
        <v>20200111153542258</v>
      </c>
      <c r="B5607" t="str">
        <f>"1578728142251174"</f>
        <v>1578728142251174</v>
      </c>
      <c r="C5607" t="s">
        <v>37</v>
      </c>
      <c r="D5607">
        <v>4.855804</v>
      </c>
      <c r="E5607">
        <v>0.51041270000000005</v>
      </c>
      <c r="F5607" t="s">
        <v>76</v>
      </c>
      <c r="G5607">
        <v>-248.67070000000001</v>
      </c>
      <c r="H5607" s="1">
        <v>-3.3368329999999998E-6</v>
      </c>
      <c r="I5607">
        <v>-63.270559999999897</v>
      </c>
      <c r="J5607">
        <v>-274.30950000000001</v>
      </c>
      <c r="K5607">
        <v>1.1076409999999901</v>
      </c>
      <c r="L5607">
        <v>-62.499389999999998</v>
      </c>
      <c r="M5607">
        <v>0.98622509999999997</v>
      </c>
      <c r="N5607">
        <v>0</v>
      </c>
      <c r="O5607">
        <v>-0.1653984</v>
      </c>
      <c r="P5607">
        <v>0.99979370000000001</v>
      </c>
      <c r="Q5607">
        <v>1.984288E-2</v>
      </c>
      <c r="R5607">
        <v>-4.3629059999999997E-3</v>
      </c>
      <c r="S5607">
        <v>3.0027469999999998</v>
      </c>
      <c r="T5607">
        <v>-0.12884080000000001</v>
      </c>
      <c r="U5607">
        <v>-9.3017580000000002E-2</v>
      </c>
      <c r="V5607">
        <v>-0.16129569999999999</v>
      </c>
      <c r="W5607">
        <v>1.9913139999999999E-2</v>
      </c>
      <c r="X5607">
        <v>0.98670519999999995</v>
      </c>
      <c r="Y5607">
        <v>-0.13450899999999999</v>
      </c>
      <c r="Z5607">
        <v>9.946491E-3</v>
      </c>
      <c r="AA5607">
        <v>0.99086240000000003</v>
      </c>
      <c r="AB5607">
        <v>34</v>
      </c>
      <c r="AC5607">
        <v>25.6388</v>
      </c>
      <c r="AD5607">
        <v>-1.10764433683299</v>
      </c>
      <c r="AE5607">
        <v>-0.77116999999999003</v>
      </c>
      <c r="AF5607">
        <v>-3.4735979694988002</v>
      </c>
      <c r="AG5607">
        <v>-1.10764433683299</v>
      </c>
      <c r="AH5607">
        <v>25.365921629229899</v>
      </c>
      <c r="AI5607">
        <v>92.477235259594906</v>
      </c>
      <c r="AJ5607">
        <v>97.797558720322201</v>
      </c>
      <c r="AK5607">
        <v>25.626602172954101</v>
      </c>
    </row>
    <row r="5608" spans="1:37" x14ac:dyDescent="0.2">
      <c r="A5608" t="str">
        <f>"20200111153542269"</f>
        <v>20200111153542269</v>
      </c>
      <c r="B5608" t="str">
        <f>"1578728142260936"</f>
        <v>1578728142260936</v>
      </c>
      <c r="C5608" t="s">
        <v>37</v>
      </c>
      <c r="D5608">
        <v>4.9095510000000004</v>
      </c>
      <c r="E5608">
        <v>0.51023830000000003</v>
      </c>
      <c r="F5608" t="s">
        <v>76</v>
      </c>
      <c r="G5608">
        <v>-248.8399</v>
      </c>
      <c r="H5608" s="1">
        <v>-3.39711299999999E-6</v>
      </c>
      <c r="I5608">
        <v>-63.285709999999902</v>
      </c>
      <c r="J5608">
        <v>-274.14679999999998</v>
      </c>
      <c r="K5608">
        <v>1.107553</v>
      </c>
      <c r="L5608">
        <v>-62.524809999999903</v>
      </c>
      <c r="M5608">
        <v>0.98658539999999995</v>
      </c>
      <c r="N5608">
        <v>0</v>
      </c>
      <c r="O5608">
        <v>-0.16323550000000001</v>
      </c>
      <c r="P5608">
        <v>0.9997994</v>
      </c>
      <c r="Q5608">
        <v>1.960903E-2</v>
      </c>
      <c r="R5608">
        <v>-4.1069009999999996E-3</v>
      </c>
      <c r="S5608">
        <v>3.0028079999999999</v>
      </c>
      <c r="T5608">
        <v>-0.13058900000000001</v>
      </c>
      <c r="U5608">
        <v>-9.2712399999999903E-2</v>
      </c>
      <c r="V5608">
        <v>-0.1593782</v>
      </c>
      <c r="W5608">
        <v>1.9743420000000001E-2</v>
      </c>
      <c r="X5608">
        <v>0.98702009999999996</v>
      </c>
      <c r="Y5608">
        <v>-0.13243369999999999</v>
      </c>
      <c r="Z5608">
        <v>9.9431539999999992E-3</v>
      </c>
      <c r="AA5608">
        <v>0.99114199999999997</v>
      </c>
      <c r="AB5608">
        <v>34</v>
      </c>
      <c r="AC5608">
        <v>25.306899999999899</v>
      </c>
      <c r="AD5608">
        <v>-1.107556397113</v>
      </c>
      <c r="AE5608">
        <v>-0.76089999999999902</v>
      </c>
      <c r="AF5608">
        <v>-3.3738410904390599</v>
      </c>
      <c r="AG5608">
        <v>-1.107556397113</v>
      </c>
      <c r="AH5608">
        <v>25.043742027539398</v>
      </c>
      <c r="AI5608">
        <v>92.509607187968101</v>
      </c>
      <c r="AJ5608">
        <v>97.672575037432907</v>
      </c>
      <c r="AK5608">
        <v>25.294238466857799</v>
      </c>
    </row>
    <row r="5609" spans="1:37" x14ac:dyDescent="0.2">
      <c r="A5609" t="str">
        <f>"20200111153542280"</f>
        <v>20200111153542280</v>
      </c>
      <c r="B5609" t="str">
        <f>"1578728142271672"</f>
        <v>1578728142271672</v>
      </c>
      <c r="C5609" t="s">
        <v>37</v>
      </c>
      <c r="D5609">
        <v>4.9184150000000004</v>
      </c>
      <c r="E5609">
        <v>0.51022639999999997</v>
      </c>
      <c r="F5609" t="s">
        <v>76</v>
      </c>
      <c r="G5609">
        <v>-248.7251</v>
      </c>
      <c r="H5609" s="1">
        <v>-3.3587830000000001E-6</v>
      </c>
      <c r="I5609">
        <v>-63.290019999999998</v>
      </c>
      <c r="J5609">
        <v>-273.98360000000002</v>
      </c>
      <c r="K5609">
        <v>1.1074660000000001</v>
      </c>
      <c r="L5609">
        <v>-62.550229999999999</v>
      </c>
      <c r="M5609">
        <v>0.98693940000000002</v>
      </c>
      <c r="N5609">
        <v>0</v>
      </c>
      <c r="O5609">
        <v>-0.161081</v>
      </c>
      <c r="P5609">
        <v>0.99981049999999905</v>
      </c>
      <c r="Q5609">
        <v>1.9005879999999999E-2</v>
      </c>
      <c r="R5609">
        <v>-4.2359779999999996E-3</v>
      </c>
      <c r="S5609">
        <v>3.0028079999999999</v>
      </c>
      <c r="T5609">
        <v>-0.1308241</v>
      </c>
      <c r="U5609">
        <v>-9.0393070000000006E-2</v>
      </c>
      <c r="V5609">
        <v>-0.1570868</v>
      </c>
      <c r="W5609">
        <v>1.920755E-2</v>
      </c>
      <c r="X5609">
        <v>0.987398</v>
      </c>
      <c r="Y5609">
        <v>-0.1310366</v>
      </c>
      <c r="Z5609">
        <v>9.8381119999999996E-3</v>
      </c>
      <c r="AA5609">
        <v>0.99132869999999995</v>
      </c>
      <c r="AB5609">
        <v>34</v>
      </c>
      <c r="AC5609">
        <v>25.258500000000002</v>
      </c>
      <c r="AD5609">
        <v>-1.107469358783</v>
      </c>
      <c r="AE5609">
        <v>-0.73978999999999195</v>
      </c>
      <c r="AF5609">
        <v>-3.3321421488388898</v>
      </c>
      <c r="AG5609">
        <v>-1.107469358783</v>
      </c>
      <c r="AH5609">
        <v>24.999800255037702</v>
      </c>
      <c r="AI5609">
        <v>92.514288355012496</v>
      </c>
      <c r="AJ5609">
        <v>97.592020994758599</v>
      </c>
      <c r="AK5609">
        <v>25.245191076173199</v>
      </c>
    </row>
    <row r="5610" spans="1:37" x14ac:dyDescent="0.2">
      <c r="A5610" t="str">
        <f>"20200111153542290"</f>
        <v>20200111153542290</v>
      </c>
      <c r="B5610" t="str">
        <f>"1578728142281431"</f>
        <v>1578728142281431</v>
      </c>
      <c r="C5610" t="s">
        <v>37</v>
      </c>
      <c r="D5610">
        <v>4.9139809999999997</v>
      </c>
      <c r="E5610">
        <v>0.51023699999999905</v>
      </c>
      <c r="F5610" t="s">
        <v>76</v>
      </c>
      <c r="G5610">
        <v>-248.77959999999999</v>
      </c>
      <c r="H5610" s="1">
        <v>-3.38074099999999E-6</v>
      </c>
      <c r="I5610">
        <v>-63.309159999999999</v>
      </c>
      <c r="J5610">
        <v>-273.81490000000002</v>
      </c>
      <c r="K5610">
        <v>1.10738</v>
      </c>
      <c r="L5610">
        <v>-62.575959999999903</v>
      </c>
      <c r="M5610">
        <v>0.98728329999999997</v>
      </c>
      <c r="N5610">
        <v>0</v>
      </c>
      <c r="O5610">
        <v>-0.15895919999999999</v>
      </c>
      <c r="P5610">
        <v>0.99981659999999895</v>
      </c>
      <c r="Q5610">
        <v>1.8673180000000001E-2</v>
      </c>
      <c r="R5610">
        <v>-4.2581549999999996E-3</v>
      </c>
      <c r="S5610">
        <v>3.0026860000000002</v>
      </c>
      <c r="T5610">
        <v>-0.13193869999999999</v>
      </c>
      <c r="U5610">
        <v>-9.0423580000000003E-2</v>
      </c>
      <c r="V5610">
        <v>-0.15493509999999999</v>
      </c>
      <c r="W5610">
        <v>1.8941530000000002E-2</v>
      </c>
      <c r="X5610">
        <v>0.98774309999999998</v>
      </c>
      <c r="Y5610">
        <v>-0.12889339999999999</v>
      </c>
      <c r="Z5610">
        <v>9.7830550000000006E-3</v>
      </c>
      <c r="AA5610">
        <v>0.991610199999999</v>
      </c>
      <c r="AB5610">
        <v>34</v>
      </c>
      <c r="AC5610">
        <v>25.035299999999999</v>
      </c>
      <c r="AD5610">
        <v>-1.1073833807410001</v>
      </c>
      <c r="AE5610">
        <v>-0.73320000000000296</v>
      </c>
      <c r="AF5610">
        <v>-3.24936900270878</v>
      </c>
      <c r="AG5610">
        <v>-1.1073833807410001</v>
      </c>
      <c r="AH5610">
        <v>24.785076287415901</v>
      </c>
      <c r="AI5610">
        <v>92.536564809179595</v>
      </c>
      <c r="AJ5610">
        <v>97.468984728986797</v>
      </c>
      <c r="AK5610">
        <v>25.021684664321299</v>
      </c>
    </row>
    <row r="5611" spans="1:37" x14ac:dyDescent="0.2">
      <c r="A5611" t="str">
        <f>"20200111153542302"</f>
        <v>20200111153542302</v>
      </c>
      <c r="B5611" t="str">
        <f>"1578728142291193"</f>
        <v>1578728142291193</v>
      </c>
      <c r="C5611" t="s">
        <v>37</v>
      </c>
      <c r="D5611">
        <v>4.9162299999999997</v>
      </c>
      <c r="E5611">
        <v>0.51023109999999905</v>
      </c>
      <c r="F5611" t="s">
        <v>76</v>
      </c>
      <c r="G5611">
        <v>-248.64009999999999</v>
      </c>
      <c r="H5611" s="1">
        <v>-3.3376389999999899E-6</v>
      </c>
      <c r="I5611">
        <v>-63.333769999999902</v>
      </c>
      <c r="J5611">
        <v>-273.64170000000001</v>
      </c>
      <c r="K5611">
        <v>1.1072899999999899</v>
      </c>
      <c r="L5611">
        <v>-62.602200000000003</v>
      </c>
      <c r="M5611">
        <v>0.98762629999999996</v>
      </c>
      <c r="N5611">
        <v>0</v>
      </c>
      <c r="O5611">
        <v>-0.1568137</v>
      </c>
      <c r="P5611">
        <v>0.99982959999999999</v>
      </c>
      <c r="Q5611">
        <v>1.7925549999999998E-2</v>
      </c>
      <c r="R5611">
        <v>-4.414383E-3</v>
      </c>
      <c r="S5611">
        <v>3.0026250000000001</v>
      </c>
      <c r="T5611">
        <v>-0.1320789</v>
      </c>
      <c r="U5611">
        <v>-9.0393070000000006E-2</v>
      </c>
      <c r="V5611">
        <v>-0.15262500000000001</v>
      </c>
      <c r="W5611">
        <v>1.8262150000000001E-2</v>
      </c>
      <c r="X5611">
        <v>0.98811539999999998</v>
      </c>
      <c r="Y5611">
        <v>-0.12675149999999999</v>
      </c>
      <c r="Z5611">
        <v>9.6532739999999999E-3</v>
      </c>
      <c r="AA5611">
        <v>0.99188750000000003</v>
      </c>
      <c r="AB5611">
        <v>34</v>
      </c>
      <c r="AC5611">
        <v>25.0016</v>
      </c>
      <c r="AD5611">
        <v>-1.107293337639</v>
      </c>
      <c r="AE5611">
        <v>-0.73156999999998995</v>
      </c>
      <c r="AF5611">
        <v>-3.1918262019258798</v>
      </c>
      <c r="AG5611">
        <v>-1.107293337639</v>
      </c>
      <c r="AH5611">
        <v>24.7584820957962</v>
      </c>
      <c r="AI5611">
        <v>92.5397876042897</v>
      </c>
      <c r="AJ5611">
        <v>97.345967759266102</v>
      </c>
      <c r="AK5611">
        <v>24.987922857387399</v>
      </c>
    </row>
    <row r="5612" spans="1:37" x14ac:dyDescent="0.2">
      <c r="A5612" t="str">
        <f>"20200111153542313"</f>
        <v>20200111153542313</v>
      </c>
      <c r="B5612" t="str">
        <f>"1578728142301927"</f>
        <v>1578728142301927</v>
      </c>
      <c r="C5612" t="s">
        <v>37</v>
      </c>
      <c r="D5612">
        <v>4.9341589999999904</v>
      </c>
      <c r="E5612">
        <v>0.51024060000000004</v>
      </c>
      <c r="F5612" t="s">
        <v>76</v>
      </c>
      <c r="G5612">
        <v>-249.00739999999999</v>
      </c>
      <c r="H5612" s="1">
        <v>-3.4648089999999999E-6</v>
      </c>
      <c r="I5612">
        <v>-63.346019999999903</v>
      </c>
      <c r="J5612">
        <v>-273.46910000000003</v>
      </c>
      <c r="K5612">
        <v>1.1072</v>
      </c>
      <c r="L5612">
        <v>-62.627959999999902</v>
      </c>
      <c r="M5612">
        <v>0.98795239999999995</v>
      </c>
      <c r="N5612">
        <v>0</v>
      </c>
      <c r="O5612">
        <v>-0.1547461</v>
      </c>
      <c r="P5612">
        <v>0.99983539999999904</v>
      </c>
      <c r="Q5612">
        <v>1.759322E-2</v>
      </c>
      <c r="R5612">
        <v>-4.4327100000000003E-3</v>
      </c>
      <c r="S5612">
        <v>3.0025330000000001</v>
      </c>
      <c r="T5612">
        <v>-0.13496159999999999</v>
      </c>
      <c r="U5612">
        <v>-9.0667719999999993E-2</v>
      </c>
      <c r="V5612">
        <v>-0.15053150000000001</v>
      </c>
      <c r="W5612">
        <v>1.7993740000000001E-2</v>
      </c>
      <c r="X5612">
        <v>0.98844149999999997</v>
      </c>
      <c r="Y5612">
        <v>-0.12457559999999999</v>
      </c>
      <c r="Z5612">
        <v>9.7232619999999999E-3</v>
      </c>
      <c r="AA5612">
        <v>0.99216249999999995</v>
      </c>
      <c r="AB5612">
        <v>35</v>
      </c>
      <c r="AC5612">
        <v>24.4617</v>
      </c>
      <c r="AD5612">
        <v>-1.1072034648089999</v>
      </c>
      <c r="AE5612">
        <v>-0.71806000000000103</v>
      </c>
      <c r="AF5612">
        <v>-3.0696658075279801</v>
      </c>
      <c r="AG5612">
        <v>-1.1072034648089999</v>
      </c>
      <c r="AH5612">
        <v>24.228562430225001</v>
      </c>
      <c r="AI5612">
        <v>92.595775899748404</v>
      </c>
      <c r="AJ5612">
        <v>97.220683943596995</v>
      </c>
      <c r="AK5612">
        <v>24.4473308383084</v>
      </c>
    </row>
    <row r="5613" spans="1:37" x14ac:dyDescent="0.2">
      <c r="A5613" t="str">
        <f>"20200111153542325"</f>
        <v>20200111153542325</v>
      </c>
      <c r="B5613" t="str">
        <f>"1578728142321448"</f>
        <v>1578728142321448</v>
      </c>
      <c r="C5613" t="s">
        <v>37</v>
      </c>
      <c r="D5613">
        <v>4.8898279999999996</v>
      </c>
      <c r="E5613">
        <v>0.51001579999999902</v>
      </c>
      <c r="F5613" t="s">
        <v>76</v>
      </c>
      <c r="G5613">
        <v>-248.92189999999999</v>
      </c>
      <c r="H5613" s="1">
        <v>-3.43998E-6</v>
      </c>
      <c r="I5613">
        <v>-63.370159999999998</v>
      </c>
      <c r="J5613">
        <v>-273.2989</v>
      </c>
      <c r="K5613">
        <v>1.1071169999999999</v>
      </c>
      <c r="L5613">
        <v>-62.653080000000003</v>
      </c>
      <c r="M5613">
        <v>0.98826150000000001</v>
      </c>
      <c r="N5613">
        <v>0</v>
      </c>
      <c r="O5613">
        <v>-0.15275939999999999</v>
      </c>
      <c r="P5613">
        <v>0.99984430000000002</v>
      </c>
      <c r="Q5613">
        <v>1.700246E-2</v>
      </c>
      <c r="R5613">
        <v>-4.7579789999999999E-3</v>
      </c>
      <c r="S5613">
        <v>3.002472</v>
      </c>
      <c r="T5613">
        <v>-0.13542670000000001</v>
      </c>
      <c r="U5613">
        <v>-9.0789789999999995E-2</v>
      </c>
      <c r="V5613">
        <v>-0.14821489999999901</v>
      </c>
      <c r="W5613">
        <v>1.7467389999999999E-2</v>
      </c>
      <c r="X5613">
        <v>0.98880089999999998</v>
      </c>
      <c r="Y5613">
        <v>-0.12254180000000001</v>
      </c>
      <c r="Z5613">
        <v>9.6224610000000006E-3</v>
      </c>
      <c r="AA5613">
        <v>0.99241669999999904</v>
      </c>
      <c r="AB5613">
        <v>35</v>
      </c>
      <c r="AC5613">
        <v>24.376999999999999</v>
      </c>
      <c r="AD5613">
        <v>-1.1071204399799901</v>
      </c>
      <c r="AE5613">
        <v>-0.71707999999999505</v>
      </c>
      <c r="AF5613">
        <v>-3.0089579122446701</v>
      </c>
      <c r="AG5613">
        <v>-1.1071204399799901</v>
      </c>
      <c r="AH5613">
        <v>24.1506652304945</v>
      </c>
      <c r="AI5613">
        <v>92.604619140202004</v>
      </c>
      <c r="AJ5613">
        <v>97.101947298734899</v>
      </c>
      <c r="AK5613">
        <v>24.362556812898301</v>
      </c>
    </row>
    <row r="5614" spans="1:37" x14ac:dyDescent="0.2">
      <c r="A5614" t="str">
        <f>"20200111153542336"</f>
        <v>20200111153542336</v>
      </c>
      <c r="B5614" t="str">
        <f>"1578728142331207"</f>
        <v>1578728142331207</v>
      </c>
      <c r="C5614" t="s">
        <v>37</v>
      </c>
      <c r="D5614">
        <v>4.8992199999999997</v>
      </c>
      <c r="E5614">
        <v>0.50995679999999999</v>
      </c>
      <c r="F5614" t="s">
        <v>76</v>
      </c>
      <c r="G5614">
        <v>-248.84819999999999</v>
      </c>
      <c r="H5614" s="1">
        <v>-3.4175599999999999E-6</v>
      </c>
      <c r="I5614">
        <v>-63.385179999999998</v>
      </c>
      <c r="J5614">
        <v>-273.12670000000003</v>
      </c>
      <c r="K5614">
        <v>1.107035</v>
      </c>
      <c r="L5614">
        <v>-62.678190000000001</v>
      </c>
      <c r="M5614">
        <v>0.98856339999999998</v>
      </c>
      <c r="N5614">
        <v>0</v>
      </c>
      <c r="O5614">
        <v>-0.15079419999999999</v>
      </c>
      <c r="P5614">
        <v>0.99985219999999897</v>
      </c>
      <c r="Q5614">
        <v>1.6444029999999998E-2</v>
      </c>
      <c r="R5614">
        <v>-5.0682139999999997E-3</v>
      </c>
      <c r="S5614">
        <v>3.0023499999999999</v>
      </c>
      <c r="T5614">
        <v>-0.13594519999999999</v>
      </c>
      <c r="U5614">
        <v>-8.9904789999999998E-2</v>
      </c>
      <c r="V5614">
        <v>-0.14593419999999999</v>
      </c>
      <c r="W5614">
        <v>1.6972029999999999E-2</v>
      </c>
      <c r="X5614">
        <v>0.98914869999999899</v>
      </c>
      <c r="Y5614">
        <v>-0.12086089999999999</v>
      </c>
      <c r="Z5614">
        <v>9.5336740000000007E-3</v>
      </c>
      <c r="AA5614">
        <v>0.992623699999999</v>
      </c>
      <c r="AB5614">
        <v>35</v>
      </c>
      <c r="AC5614">
        <v>24.278500000000001</v>
      </c>
      <c r="AD5614">
        <v>-1.1070384175600001</v>
      </c>
      <c r="AE5614">
        <v>-0.706990000000004</v>
      </c>
      <c r="AF5614">
        <v>-2.9560170132049199</v>
      </c>
      <c r="AG5614">
        <v>-1.1070384175600001</v>
      </c>
      <c r="AH5614">
        <v>24.057512526644501</v>
      </c>
      <c r="AI5614">
        <v>92.615043769269107</v>
      </c>
      <c r="AJ5614">
        <v>97.004987831415406</v>
      </c>
      <c r="AK5614">
        <v>24.2637070459146</v>
      </c>
    </row>
    <row r="5615" spans="1:37" x14ac:dyDescent="0.2">
      <c r="A5615" t="str">
        <f>"20200111153542347"</f>
        <v>20200111153542347</v>
      </c>
      <c r="B5615" t="str">
        <f>"1578728142340967"</f>
        <v>1578728142340967</v>
      </c>
      <c r="C5615" t="s">
        <v>37</v>
      </c>
      <c r="D5615">
        <v>4.9302669999999997</v>
      </c>
      <c r="E5615">
        <v>0.50993339999999998</v>
      </c>
      <c r="F5615" t="s">
        <v>76</v>
      </c>
      <c r="G5615">
        <v>-249.00399999999999</v>
      </c>
      <c r="H5615" s="1">
        <v>-3.47370299999999E-6</v>
      </c>
      <c r="I5615">
        <v>-63.402709999999999</v>
      </c>
      <c r="J5615">
        <v>-272.94889999999998</v>
      </c>
      <c r="K5615">
        <v>1.106948</v>
      </c>
      <c r="L5615">
        <v>-62.703740000000003</v>
      </c>
      <c r="M5615">
        <v>0.98885959999999995</v>
      </c>
      <c r="N5615">
        <v>0</v>
      </c>
      <c r="O5615">
        <v>-0.14883859999999999</v>
      </c>
      <c r="P5615">
        <v>0.99985599999999997</v>
      </c>
      <c r="Q5615">
        <v>1.6069110000000001E-2</v>
      </c>
      <c r="R5615">
        <v>-5.4694540000000003E-3</v>
      </c>
      <c r="S5615">
        <v>3.0022579999999999</v>
      </c>
      <c r="T5615">
        <v>-0.1377797</v>
      </c>
      <c r="U5615">
        <v>-9.017944E-2</v>
      </c>
      <c r="V5615">
        <v>-0.14357439999999999</v>
      </c>
      <c r="W5615">
        <v>1.666165E-2</v>
      </c>
      <c r="X5615">
        <v>0.98949929999999997</v>
      </c>
      <c r="Y5615">
        <v>-0.1188023</v>
      </c>
      <c r="Z5615">
        <v>9.5264519999999995E-3</v>
      </c>
      <c r="AA5615">
        <v>0.99287219999999998</v>
      </c>
      <c r="AB5615">
        <v>35</v>
      </c>
      <c r="AC5615">
        <v>23.944899999999901</v>
      </c>
      <c r="AD5615">
        <v>-1.106951473703</v>
      </c>
      <c r="AE5615">
        <v>-0.69896999999999498</v>
      </c>
      <c r="AF5615">
        <v>-2.8666264631123299</v>
      </c>
      <c r="AG5615">
        <v>-1.106951473703</v>
      </c>
      <c r="AH5615">
        <v>23.731548449906501</v>
      </c>
      <c r="AI5615">
        <v>92.651364571608198</v>
      </c>
      <c r="AJ5615">
        <v>96.887611006933895</v>
      </c>
      <c r="AK5615">
        <v>23.929673643290801</v>
      </c>
    </row>
    <row r="5616" spans="1:37" x14ac:dyDescent="0.2">
      <c r="A5616" t="str">
        <f>"20200111153542358"</f>
        <v>20200111153542358</v>
      </c>
      <c r="B5616" t="str">
        <f>"1578728142351703"</f>
        <v>1578728142351703</v>
      </c>
      <c r="C5616" t="s">
        <v>37</v>
      </c>
      <c r="D5616">
        <v>4.9501039999999996</v>
      </c>
      <c r="E5616">
        <v>0.50988559999999905</v>
      </c>
      <c r="F5616" t="s">
        <v>76</v>
      </c>
      <c r="G5616">
        <v>-249.02670000000001</v>
      </c>
      <c r="H5616" s="1">
        <v>-3.4861859999999998E-6</v>
      </c>
      <c r="I5616">
        <v>-63.429549999999999</v>
      </c>
      <c r="J5616">
        <v>-272.77870000000001</v>
      </c>
      <c r="K5616">
        <v>1.1068719999999901</v>
      </c>
      <c r="L5616">
        <v>-62.728029999999997</v>
      </c>
      <c r="M5616">
        <v>0.98913619999999902</v>
      </c>
      <c r="N5616">
        <v>0</v>
      </c>
      <c r="O5616">
        <v>-0.1469896</v>
      </c>
      <c r="P5616">
        <v>0.99986209999999898</v>
      </c>
      <c r="Q5616">
        <v>1.542082E-2</v>
      </c>
      <c r="R5616">
        <v>-6.1682480000000003E-3</v>
      </c>
      <c r="S5616">
        <v>3.002167</v>
      </c>
      <c r="T5616">
        <v>-0.13891889999999901</v>
      </c>
      <c r="U5616">
        <v>-9.1094969999999997E-2</v>
      </c>
      <c r="V5616">
        <v>-0.14102500000000001</v>
      </c>
      <c r="W5616">
        <v>1.6076179999999999E-2</v>
      </c>
      <c r="X5616">
        <v>0.98987549999999902</v>
      </c>
      <c r="Y5616">
        <v>-0.11664189999999899</v>
      </c>
      <c r="Z5616">
        <v>9.4707149999999993E-3</v>
      </c>
      <c r="AA5616">
        <v>0.99312889999999998</v>
      </c>
      <c r="AB5616">
        <v>35</v>
      </c>
      <c r="AC5616">
        <v>23.751999999999999</v>
      </c>
      <c r="AD5616">
        <v>-1.106875486186</v>
      </c>
      <c r="AE5616">
        <v>-0.70151999999999404</v>
      </c>
      <c r="AF5616">
        <v>-2.7913465900863401</v>
      </c>
      <c r="AG5616">
        <v>-1.106875486186</v>
      </c>
      <c r="AH5616">
        <v>23.546032021372302</v>
      </c>
      <c r="AI5616">
        <v>92.672747966873104</v>
      </c>
      <c r="AJ5616">
        <v>96.760774689410397</v>
      </c>
      <c r="AK5616">
        <v>23.7367313057084</v>
      </c>
    </row>
    <row r="5617" spans="1:37" x14ac:dyDescent="0.2">
      <c r="A5617" t="str">
        <f>"20200111153542370"</f>
        <v>20200111153542370</v>
      </c>
      <c r="B5617" t="str">
        <f>"1578728142361463"</f>
        <v>1578728142361463</v>
      </c>
      <c r="C5617" t="s">
        <v>37</v>
      </c>
      <c r="D5617">
        <v>4.9532930000000004</v>
      </c>
      <c r="E5617">
        <v>0.50987550000000004</v>
      </c>
      <c r="F5617" t="s">
        <v>76</v>
      </c>
      <c r="G5617">
        <v>-249.16370000000001</v>
      </c>
      <c r="H5617" s="1">
        <v>-3.537622E-6</v>
      </c>
      <c r="I5617">
        <v>-63.456800000000001</v>
      </c>
      <c r="J5617">
        <v>-272.6044</v>
      </c>
      <c r="K5617">
        <v>1.1067990000000001</v>
      </c>
      <c r="L5617">
        <v>-62.752409999999998</v>
      </c>
      <c r="M5617">
        <v>0.98940349999999999</v>
      </c>
      <c r="N5617">
        <v>0</v>
      </c>
      <c r="O5617">
        <v>-0.14517849999999999</v>
      </c>
      <c r="P5617">
        <v>0.99986529999999996</v>
      </c>
      <c r="Q5617">
        <v>1.5030989999999999E-2</v>
      </c>
      <c r="R5617">
        <v>-6.6209210000000001E-3</v>
      </c>
      <c r="S5617">
        <v>3.002014</v>
      </c>
      <c r="T5617">
        <v>-0.140709</v>
      </c>
      <c r="U5617">
        <v>-9.2651369999999997E-2</v>
      </c>
      <c r="V5617">
        <v>-0.13875879999999999</v>
      </c>
      <c r="W5617">
        <v>1.5745769999999999E-2</v>
      </c>
      <c r="X5617">
        <v>0.99020109999999995</v>
      </c>
      <c r="Y5617">
        <v>-0.1143047</v>
      </c>
      <c r="Z5617">
        <v>9.4541999999999994E-3</v>
      </c>
      <c r="AA5617">
        <v>0.99340079999999997</v>
      </c>
      <c r="AB5617">
        <v>35</v>
      </c>
      <c r="AC5617">
        <v>23.4407</v>
      </c>
      <c r="AD5617">
        <v>-1.1068025376220001</v>
      </c>
      <c r="AE5617">
        <v>-0.70439000000000296</v>
      </c>
      <c r="AF5617">
        <v>-2.7001505948822699</v>
      </c>
      <c r="AG5617">
        <v>-1.1068025376220001</v>
      </c>
      <c r="AH5617">
        <v>23.2428463513181</v>
      </c>
      <c r="AI5617">
        <v>92.7081263252486</v>
      </c>
      <c r="AJ5617">
        <v>96.626419530592699</v>
      </c>
      <c r="AK5617">
        <v>23.425322443955999</v>
      </c>
    </row>
    <row r="5618" spans="1:37" x14ac:dyDescent="0.2">
      <c r="A5618" t="str">
        <f>"20200111153542380"</f>
        <v>20200111153542380</v>
      </c>
      <c r="B5618" t="str">
        <f>"1578728142371223"</f>
        <v>1578728142371223</v>
      </c>
      <c r="C5618" t="s">
        <v>37</v>
      </c>
      <c r="D5618">
        <v>4.9169619999999998</v>
      </c>
      <c r="E5618">
        <v>0.50983149999999999</v>
      </c>
      <c r="F5618" t="s">
        <v>76</v>
      </c>
      <c r="G5618">
        <v>-249.22139999999999</v>
      </c>
      <c r="H5618" s="1">
        <v>-3.5620069999999999E-6</v>
      </c>
      <c r="I5618">
        <v>-63.483550000000001</v>
      </c>
      <c r="J5618">
        <v>-272.43</v>
      </c>
      <c r="K5618">
        <v>1.106727</v>
      </c>
      <c r="L5618">
        <v>-62.776699999999998</v>
      </c>
      <c r="M5618">
        <v>0.98966549999999998</v>
      </c>
      <c r="N5618">
        <v>0</v>
      </c>
      <c r="O5618">
        <v>-0.14338099999999901</v>
      </c>
      <c r="P5618">
        <v>0.9998669</v>
      </c>
      <c r="Q5618">
        <v>1.4690389999999999E-2</v>
      </c>
      <c r="R5618">
        <v>-7.0831050000000001E-3</v>
      </c>
      <c r="S5618">
        <v>3.0019230000000001</v>
      </c>
      <c r="T5618">
        <v>-0.14209140000000001</v>
      </c>
      <c r="U5618">
        <v>-9.3872070000000002E-2</v>
      </c>
      <c r="V5618">
        <v>-0.13649639999999999</v>
      </c>
      <c r="W5618">
        <v>1.546352E-2</v>
      </c>
      <c r="X5618">
        <v>0.99051990000000001</v>
      </c>
      <c r="Y5618">
        <v>-0.1120942</v>
      </c>
      <c r="Z5618">
        <v>9.4106409999999904E-3</v>
      </c>
      <c r="AA5618">
        <v>0.99365300000000001</v>
      </c>
      <c r="AB5618">
        <v>35</v>
      </c>
      <c r="AC5618">
        <v>23.208600000000001</v>
      </c>
      <c r="AD5618">
        <v>-1.106730562007</v>
      </c>
      <c r="AE5618">
        <v>-0.70685000000000198</v>
      </c>
      <c r="AF5618">
        <v>-2.6221753499411</v>
      </c>
      <c r="AG5618">
        <v>-1.106730562007</v>
      </c>
      <c r="AH5618">
        <v>23.0178531826874</v>
      </c>
      <c r="AI5618">
        <v>92.735078186894498</v>
      </c>
      <c r="AJ5618">
        <v>96.499071746677402</v>
      </c>
      <c r="AK5618">
        <v>23.1931503087112</v>
      </c>
    </row>
    <row r="5619" spans="1:37" x14ac:dyDescent="0.2">
      <c r="A5619" t="str">
        <f>"20200111153542391"</f>
        <v>20200111153542391</v>
      </c>
      <c r="B5619" t="str">
        <f>"1578728142380983"</f>
        <v>1578728142380983</v>
      </c>
      <c r="C5619" t="s">
        <v>37</v>
      </c>
      <c r="D5619">
        <v>4.9668539999999997</v>
      </c>
      <c r="E5619">
        <v>0.50978919999999905</v>
      </c>
      <c r="F5619" t="s">
        <v>76</v>
      </c>
      <c r="G5619">
        <v>-249.31020000000001</v>
      </c>
      <c r="H5619" s="1">
        <v>-3.5964290000000002E-6</v>
      </c>
      <c r="I5619">
        <v>-63.507159999999999</v>
      </c>
      <c r="J5619">
        <v>-272.25420000000003</v>
      </c>
      <c r="K5619">
        <v>1.106663</v>
      </c>
      <c r="L5619">
        <v>-62.800750000000001</v>
      </c>
      <c r="M5619">
        <v>0.98991770000000001</v>
      </c>
      <c r="N5619">
        <v>0</v>
      </c>
      <c r="O5619">
        <v>-0.14162939999999999</v>
      </c>
      <c r="P5619">
        <v>0.9998707</v>
      </c>
      <c r="Q5619">
        <v>1.4473400000000001E-2</v>
      </c>
      <c r="R5619">
        <v>-7.0242940000000004E-3</v>
      </c>
      <c r="S5619">
        <v>3.0018009999999999</v>
      </c>
      <c r="T5619">
        <v>-0.14369460000000001</v>
      </c>
      <c r="U5619">
        <v>-9.4848630000000003E-2</v>
      </c>
      <c r="V5619">
        <v>-0.1347981</v>
      </c>
      <c r="W5619">
        <v>1.529664E-2</v>
      </c>
      <c r="X5619">
        <v>0.99075499999999905</v>
      </c>
      <c r="Y5619">
        <v>-0.110009199999999</v>
      </c>
      <c r="Z5619">
        <v>9.3840980000000004E-3</v>
      </c>
      <c r="AA5619">
        <v>0.9938863</v>
      </c>
      <c r="AB5619">
        <v>35</v>
      </c>
      <c r="AC5619">
        <v>22.943999999999999</v>
      </c>
      <c r="AD5619">
        <v>-1.1066665964289999</v>
      </c>
      <c r="AE5619">
        <v>-0.70640999999999798</v>
      </c>
      <c r="AF5619">
        <v>-2.5443486524286998</v>
      </c>
      <c r="AG5619">
        <v>-1.1066665964289999</v>
      </c>
      <c r="AH5619">
        <v>22.759866703194501</v>
      </c>
      <c r="AI5619">
        <v>92.766528207483006</v>
      </c>
      <c r="AJ5619">
        <v>96.3786695538315</v>
      </c>
      <c r="AK5619">
        <v>22.9283656933491</v>
      </c>
    </row>
    <row r="5620" spans="1:37" x14ac:dyDescent="0.2">
      <c r="A5620" t="str">
        <f>"20200111153542403"</f>
        <v>20200111153542403</v>
      </c>
      <c r="B5620" t="str">
        <f>"1578728142391721"</f>
        <v>1578728142391721</v>
      </c>
      <c r="C5620" t="s">
        <v>37</v>
      </c>
      <c r="D5620">
        <v>4.9300430000000004</v>
      </c>
      <c r="E5620">
        <v>0.50977059999999996</v>
      </c>
      <c r="F5620" t="s">
        <v>76</v>
      </c>
      <c r="G5620">
        <v>-249.22720000000001</v>
      </c>
      <c r="H5620" s="1">
        <v>-3.5713450000000002E-6</v>
      </c>
      <c r="I5620">
        <v>-63.524990000000003</v>
      </c>
      <c r="J5620">
        <v>-272.08589999999998</v>
      </c>
      <c r="K5620">
        <v>1.1066069999999999</v>
      </c>
      <c r="L5620">
        <v>-62.823609999999903</v>
      </c>
      <c r="M5620">
        <v>0.99015359999999997</v>
      </c>
      <c r="N5620">
        <v>0</v>
      </c>
      <c r="O5620">
        <v>-0.13997019999999999</v>
      </c>
      <c r="P5620">
        <v>0.9998688</v>
      </c>
      <c r="Q5620">
        <v>1.457082E-2</v>
      </c>
      <c r="R5620">
        <v>-7.08691099999999E-3</v>
      </c>
      <c r="S5620">
        <v>3.0018009999999999</v>
      </c>
      <c r="T5620">
        <v>-0.14426520000000001</v>
      </c>
      <c r="U5620">
        <v>-9.4421389999999994E-2</v>
      </c>
      <c r="V5620">
        <v>-0.13307369999999999</v>
      </c>
      <c r="W5620">
        <v>1.5442060000000001E-2</v>
      </c>
      <c r="X5620">
        <v>0.99098589999999998</v>
      </c>
      <c r="Y5620">
        <v>-0.108485999999999</v>
      </c>
      <c r="Z5620">
        <v>9.3058059999999998E-3</v>
      </c>
      <c r="AA5620">
        <v>0.9940544</v>
      </c>
      <c r="AB5620">
        <v>35</v>
      </c>
      <c r="AC5620">
        <v>22.858699999999899</v>
      </c>
      <c r="AD5620">
        <v>-1.1066105713449901</v>
      </c>
      <c r="AE5620">
        <v>-0.701380000000007</v>
      </c>
      <c r="AF5620">
        <v>-2.4992164327325601</v>
      </c>
      <c r="AG5620">
        <v>-1.1066105713449901</v>
      </c>
      <c r="AH5620">
        <v>22.678743746446099</v>
      </c>
      <c r="AI5620">
        <v>92.7767517626543</v>
      </c>
      <c r="AJ5620">
        <v>96.288667507148205</v>
      </c>
      <c r="AK5620">
        <v>22.842856381180098</v>
      </c>
    </row>
    <row r="5621" spans="1:37" x14ac:dyDescent="0.2">
      <c r="A5621" t="str">
        <f>"20200111153542413"</f>
        <v>20200111153542413</v>
      </c>
      <c r="B5621" t="str">
        <f>"1578728142401479"</f>
        <v>1578728142401479</v>
      </c>
      <c r="C5621" t="s">
        <v>37</v>
      </c>
      <c r="D5621">
        <v>4.9057360000000001</v>
      </c>
      <c r="E5621">
        <v>0.50969059999999999</v>
      </c>
      <c r="F5621" t="s">
        <v>76</v>
      </c>
      <c r="G5621">
        <v>-249.09559999999999</v>
      </c>
      <c r="H5621" s="1">
        <v>-3.5305419999999998E-6</v>
      </c>
      <c r="I5621">
        <v>-63.547400000000003</v>
      </c>
      <c r="J5621">
        <v>-271.91550000000001</v>
      </c>
      <c r="K5621">
        <v>1.1065559999999901</v>
      </c>
      <c r="L5621">
        <v>-62.846469999999997</v>
      </c>
      <c r="M5621">
        <v>0.99038510000000002</v>
      </c>
      <c r="N5621">
        <v>0</v>
      </c>
      <c r="O5621">
        <v>-0.1383229</v>
      </c>
      <c r="P5621">
        <v>0.99986450000000004</v>
      </c>
      <c r="Q5621">
        <v>1.484472E-2</v>
      </c>
      <c r="R5621">
        <v>-7.1038869999999997E-3</v>
      </c>
      <c r="S5621">
        <v>3.0018310000000001</v>
      </c>
      <c r="T5621">
        <v>-0.1444898</v>
      </c>
      <c r="U5621">
        <v>-9.4512940000000004E-2</v>
      </c>
      <c r="V5621">
        <v>-0.13140859999999999</v>
      </c>
      <c r="W5621">
        <v>1.5761029999999999E-2</v>
      </c>
      <c r="X5621">
        <v>0.99120299999999995</v>
      </c>
      <c r="Y5621">
        <v>-0.10680530000000001</v>
      </c>
      <c r="Z5621">
        <v>9.2012029999999998E-3</v>
      </c>
      <c r="AA5621">
        <v>0.99423739999999905</v>
      </c>
      <c r="AB5621">
        <v>35</v>
      </c>
      <c r="AC5621">
        <v>22.819900000000001</v>
      </c>
      <c r="AD5621">
        <v>-1.106559530542</v>
      </c>
      <c r="AE5621">
        <v>-0.70093000000000605</v>
      </c>
      <c r="AF5621">
        <v>-2.45655835313516</v>
      </c>
      <c r="AG5621">
        <v>-1.106559530542</v>
      </c>
      <c r="AH5621">
        <v>22.644295406307599</v>
      </c>
      <c r="AI5621">
        <v>92.781356194257896</v>
      </c>
      <c r="AJ5621">
        <v>96.1914989925219</v>
      </c>
      <c r="AK5621">
        <v>22.8040186674436</v>
      </c>
    </row>
    <row r="5622" spans="1:37" x14ac:dyDescent="0.2">
      <c r="A5622" t="str">
        <f>"20200111153542424"</f>
        <v>20200111153542424</v>
      </c>
      <c r="B5622" t="str">
        <f>"1578728142420999"</f>
        <v>1578728142420999</v>
      </c>
      <c r="C5622" t="s">
        <v>37</v>
      </c>
      <c r="D5622">
        <v>4.9101989999999898</v>
      </c>
      <c r="E5622">
        <v>0.50960620000000001</v>
      </c>
      <c r="F5622" t="s">
        <v>76</v>
      </c>
      <c r="G5622">
        <v>-248.8066</v>
      </c>
      <c r="H5622" s="1">
        <v>-3.4361419999999999E-6</v>
      </c>
      <c r="I5622">
        <v>-63.569759999999903</v>
      </c>
      <c r="J5622">
        <v>-271.73779999999999</v>
      </c>
      <c r="K5622">
        <v>1.106508</v>
      </c>
      <c r="L5622">
        <v>-62.87</v>
      </c>
      <c r="M5622">
        <v>0.99062050000000001</v>
      </c>
      <c r="N5622">
        <v>0</v>
      </c>
      <c r="O5622">
        <v>-0.13662639999999901</v>
      </c>
      <c r="P5622">
        <v>0.99986419999999998</v>
      </c>
      <c r="Q5622">
        <v>1.502766E-2</v>
      </c>
      <c r="R5622">
        <v>-6.7697719999999899E-3</v>
      </c>
      <c r="S5622">
        <v>3.001862</v>
      </c>
      <c r="T5622">
        <v>-0.143742799999999</v>
      </c>
      <c r="U5622">
        <v>-9.3963619999999998E-2</v>
      </c>
      <c r="V5622">
        <v>-0.13004109999999999</v>
      </c>
      <c r="W5622">
        <v>1.5985590000000001E-2</v>
      </c>
      <c r="X5622">
        <v>0.99137969999999898</v>
      </c>
      <c r="Y5622">
        <v>-0.10529089999999899</v>
      </c>
      <c r="Z5622">
        <v>9.0369159999999903E-3</v>
      </c>
      <c r="AA5622">
        <v>0.99440039999999996</v>
      </c>
      <c r="AB5622">
        <v>35</v>
      </c>
      <c r="AC5622">
        <v>22.931199999999901</v>
      </c>
      <c r="AD5622">
        <v>-1.1065114361420001</v>
      </c>
      <c r="AE5622">
        <v>-0.69975999999999705</v>
      </c>
      <c r="AF5622">
        <v>-2.4341534707395498</v>
      </c>
      <c r="AG5622">
        <v>-1.1065114361420001</v>
      </c>
      <c r="AH5622">
        <v>22.758828558280399</v>
      </c>
      <c r="AI5622">
        <v>92.767711115380493</v>
      </c>
      <c r="AJ5622">
        <v>96.104819682937105</v>
      </c>
      <c r="AK5622">
        <v>22.915360525695998</v>
      </c>
    </row>
    <row r="5623" spans="1:37" x14ac:dyDescent="0.2">
      <c r="A5623" t="str">
        <f>"20200111153542437"</f>
        <v>20200111153542437</v>
      </c>
      <c r="B5623" t="str">
        <f>"1578728142431735"</f>
        <v>1578728142431735</v>
      </c>
      <c r="C5623" t="s">
        <v>37</v>
      </c>
      <c r="D5623">
        <v>4.865526</v>
      </c>
      <c r="E5623">
        <v>0.50954719999999998</v>
      </c>
      <c r="F5623" t="s">
        <v>76</v>
      </c>
      <c r="G5623">
        <v>-248.3415</v>
      </c>
      <c r="H5623" s="1">
        <v>-3.2814099999999902E-6</v>
      </c>
      <c r="I5623">
        <v>-63.589669999999998</v>
      </c>
      <c r="J5623">
        <v>-271.5342</v>
      </c>
      <c r="K5623">
        <v>1.1064609999999999</v>
      </c>
      <c r="L5623">
        <v>-62.896669999999901</v>
      </c>
      <c r="M5623">
        <v>0.99088369999999903</v>
      </c>
      <c r="N5623">
        <v>0</v>
      </c>
      <c r="O5623">
        <v>-0.1347033</v>
      </c>
      <c r="P5623">
        <v>0.99985990000000002</v>
      </c>
      <c r="Q5623">
        <v>1.555285E-2</v>
      </c>
      <c r="R5623">
        <v>-6.1700649999999998E-3</v>
      </c>
      <c r="S5623">
        <v>3.0018919999999998</v>
      </c>
      <c r="T5623">
        <v>-0.1419723</v>
      </c>
      <c r="U5623">
        <v>-9.2346189999999995E-2</v>
      </c>
      <c r="V5623">
        <v>-0.12871279999999999</v>
      </c>
      <c r="W5623">
        <v>1.655533E-2</v>
      </c>
      <c r="X5623">
        <v>0.99154370000000003</v>
      </c>
      <c r="Y5623">
        <v>-0.1039065</v>
      </c>
      <c r="Z5623">
        <v>8.8029189999999993E-3</v>
      </c>
      <c r="AA5623">
        <v>0.99454809999999905</v>
      </c>
      <c r="AB5623">
        <v>36</v>
      </c>
      <c r="AC5623">
        <v>23.192699999999999</v>
      </c>
      <c r="AD5623">
        <v>-1.1064642814100001</v>
      </c>
      <c r="AE5623">
        <v>-0.69300000000000495</v>
      </c>
      <c r="AF5623">
        <v>-2.4319261976214999</v>
      </c>
      <c r="AG5623">
        <v>-1.1064642814100001</v>
      </c>
      <c r="AH5623">
        <v>23.022317811367898</v>
      </c>
      <c r="AI5623">
        <v>92.736346069188897</v>
      </c>
      <c r="AJ5623">
        <v>96.029987192537803</v>
      </c>
      <c r="AK5623">
        <v>23.176834245520698</v>
      </c>
    </row>
    <row r="5624" spans="1:37" x14ac:dyDescent="0.2">
      <c r="A5624" t="str">
        <f>"20200111153542447"</f>
        <v>20200111153542447</v>
      </c>
      <c r="B5624" t="str">
        <f>"1578728142441495"</f>
        <v>1578728142441495</v>
      </c>
      <c r="C5624" t="s">
        <v>37</v>
      </c>
      <c r="D5624">
        <v>4.8796679999999997</v>
      </c>
      <c r="E5624">
        <v>0.50953579999999998</v>
      </c>
      <c r="F5624" t="s">
        <v>76</v>
      </c>
      <c r="G5624">
        <v>-247.80619999999999</v>
      </c>
      <c r="H5624" s="1">
        <v>-3.1027139999999999E-6</v>
      </c>
      <c r="I5624">
        <v>-63.609139999999996</v>
      </c>
      <c r="J5624">
        <v>-271.37639999999999</v>
      </c>
      <c r="K5624">
        <v>1.1064309999999999</v>
      </c>
      <c r="L5624">
        <v>-62.916930000000001</v>
      </c>
      <c r="M5624">
        <v>0.99108240000000003</v>
      </c>
      <c r="N5624">
        <v>0</v>
      </c>
      <c r="O5624">
        <v>-0.133234299999999</v>
      </c>
      <c r="P5624">
        <v>0.9998534</v>
      </c>
      <c r="Q5624">
        <v>1.6090190000000001E-2</v>
      </c>
      <c r="R5624">
        <v>-5.8578390000000001E-3</v>
      </c>
      <c r="S5624">
        <v>3.0020449999999999</v>
      </c>
      <c r="T5624">
        <v>-0.1399888</v>
      </c>
      <c r="U5624">
        <v>-9.0148930000000002E-2</v>
      </c>
      <c r="V5624">
        <v>-0.1275551</v>
      </c>
      <c r="W5624">
        <v>1.7125069999999999E-2</v>
      </c>
      <c r="X5624">
        <v>0.99168369999999995</v>
      </c>
      <c r="Y5624">
        <v>-0.10317079999999999</v>
      </c>
      <c r="Z5624">
        <v>8.5947430000000002E-3</v>
      </c>
      <c r="AA5624">
        <v>0.99462649999999997</v>
      </c>
      <c r="AB5624">
        <v>36</v>
      </c>
      <c r="AC5624">
        <v>23.5702</v>
      </c>
      <c r="AD5624">
        <v>-1.1064341027139999</v>
      </c>
      <c r="AE5624">
        <v>-0.692209999999995</v>
      </c>
      <c r="AF5624">
        <v>-2.4489355015416301</v>
      </c>
      <c r="AG5624">
        <v>-1.1064341027139999</v>
      </c>
      <c r="AH5624">
        <v>23.400766374335799</v>
      </c>
      <c r="AI5624">
        <v>92.692359255037999</v>
      </c>
      <c r="AJ5624">
        <v>95.974367099903304</v>
      </c>
      <c r="AK5624">
        <v>23.5545610959025</v>
      </c>
    </row>
    <row r="5625" spans="1:37" x14ac:dyDescent="0.2">
      <c r="A5625" t="str">
        <f>"20200111153542459"</f>
        <v>20200111153542459</v>
      </c>
      <c r="B5625" t="str">
        <f>"1578728142451255"</f>
        <v>1578728142451255</v>
      </c>
      <c r="C5625" t="s">
        <v>37</v>
      </c>
      <c r="D5625">
        <v>4.8815109999999997</v>
      </c>
      <c r="E5625">
        <v>0.509517</v>
      </c>
      <c r="F5625" t="s">
        <v>76</v>
      </c>
      <c r="G5625">
        <v>-247.30529999999999</v>
      </c>
      <c r="H5625" s="1">
        <v>-2.936055E-6</v>
      </c>
      <c r="I5625">
        <v>-63.630629999999996</v>
      </c>
      <c r="J5625">
        <v>-271.19639999999998</v>
      </c>
      <c r="K5625">
        <v>1.1064000000000001</v>
      </c>
      <c r="L5625">
        <v>-62.94</v>
      </c>
      <c r="M5625">
        <v>0.99130580000000001</v>
      </c>
      <c r="N5625">
        <v>0</v>
      </c>
      <c r="O5625">
        <v>-0.13156189999999901</v>
      </c>
      <c r="P5625">
        <v>0.99985309999999905</v>
      </c>
      <c r="Q5625">
        <v>1.6272109999999999E-2</v>
      </c>
      <c r="R5625">
        <v>-5.4189909999999997E-3</v>
      </c>
      <c r="S5625">
        <v>3.0021059999999999</v>
      </c>
      <c r="T5625">
        <v>-0.13799249999999999</v>
      </c>
      <c r="U5625">
        <v>-8.9019780000000007E-2</v>
      </c>
      <c r="V5625">
        <v>-0.12631700000000001</v>
      </c>
      <c r="W5625">
        <v>1.7342949999999999E-2</v>
      </c>
      <c r="X5625">
        <v>0.99183829999999995</v>
      </c>
      <c r="Y5625">
        <v>-0.101877199999999</v>
      </c>
      <c r="Z5625">
        <v>8.3662900000000002E-3</v>
      </c>
      <c r="AA5625">
        <v>0.99476180000000003</v>
      </c>
      <c r="AB5625">
        <v>36</v>
      </c>
      <c r="AC5625">
        <v>23.891099999999899</v>
      </c>
      <c r="AD5625">
        <v>-1.1064029360550001</v>
      </c>
      <c r="AE5625">
        <v>-0.69063000000000496</v>
      </c>
      <c r="AF5625">
        <v>-2.4532812310295902</v>
      </c>
      <c r="AG5625">
        <v>-1.1064029360550001</v>
      </c>
      <c r="AH5625">
        <v>23.723461641000199</v>
      </c>
      <c r="AI5625">
        <v>92.656053428525198</v>
      </c>
      <c r="AJ5625">
        <v>95.904062235056401</v>
      </c>
      <c r="AK5625">
        <v>23.875622473297799</v>
      </c>
    </row>
    <row r="5626" spans="1:37" x14ac:dyDescent="0.2">
      <c r="A5626" t="str">
        <f>"20200111153542468"</f>
        <v>20200111153542468</v>
      </c>
      <c r="B5626" t="str">
        <f>"1578728142461015"</f>
        <v>1578728142461015</v>
      </c>
      <c r="C5626" t="s">
        <v>37</v>
      </c>
      <c r="D5626">
        <v>4.8927899999999998</v>
      </c>
      <c r="E5626">
        <v>0.50944469999999997</v>
      </c>
      <c r="F5626" t="s">
        <v>76</v>
      </c>
      <c r="G5626">
        <v>-247.042</v>
      </c>
      <c r="H5626" s="1">
        <v>-2.8487220000000001E-6</v>
      </c>
      <c r="I5626">
        <v>-63.643389999999997</v>
      </c>
      <c r="J5626">
        <v>-271.02690000000001</v>
      </c>
      <c r="K5626">
        <v>1.1063780000000001</v>
      </c>
      <c r="L5626">
        <v>-62.961239999999997</v>
      </c>
      <c r="M5626">
        <v>0.99151109999999898</v>
      </c>
      <c r="N5626">
        <v>0</v>
      </c>
      <c r="O5626">
        <v>-0.13000490000000001</v>
      </c>
      <c r="P5626">
        <v>0.99985949999999901</v>
      </c>
      <c r="Q5626">
        <v>1.5990689999999998E-2</v>
      </c>
      <c r="R5626">
        <v>-5.0439539999999998E-3</v>
      </c>
      <c r="S5626">
        <v>3.0021969999999998</v>
      </c>
      <c r="T5626">
        <v>-0.13751729999999901</v>
      </c>
      <c r="U5626">
        <v>-8.7432860000000001E-2</v>
      </c>
      <c r="V5626">
        <v>-0.12512889999999999</v>
      </c>
      <c r="W5626">
        <v>1.7093609999999999E-2</v>
      </c>
      <c r="X5626">
        <v>0.99199319999999902</v>
      </c>
      <c r="Y5626">
        <v>-0.1008455</v>
      </c>
      <c r="Z5626">
        <v>8.2430300000000001E-3</v>
      </c>
      <c r="AA5626">
        <v>0.99486790000000003</v>
      </c>
      <c r="AB5626">
        <v>36</v>
      </c>
      <c r="AC5626">
        <v>23.9849</v>
      </c>
      <c r="AD5626">
        <v>-1.1063808487219999</v>
      </c>
      <c r="AE5626">
        <v>-0.68215000000000003</v>
      </c>
      <c r="AF5626">
        <v>-2.43662019797471</v>
      </c>
      <c r="AG5626">
        <v>-1.1063808487219999</v>
      </c>
      <c r="AH5626">
        <v>23.8193884665498</v>
      </c>
      <c r="AI5626">
        <v>92.6456193434298</v>
      </c>
      <c r="AJ5626">
        <v>95.840792974699994</v>
      </c>
      <c r="AK5626">
        <v>23.969239943978199</v>
      </c>
    </row>
    <row r="5627" spans="1:37" x14ac:dyDescent="0.2">
      <c r="A5627" t="str">
        <f>"20200111153542481"</f>
        <v>20200111153542481</v>
      </c>
      <c r="B5627" t="str">
        <f>"1578728142471752"</f>
        <v>1578728142471752</v>
      </c>
      <c r="C5627" t="s">
        <v>37</v>
      </c>
      <c r="D5627">
        <v>4.9275159999999998</v>
      </c>
      <c r="E5627">
        <v>0.50942749999999903</v>
      </c>
      <c r="F5627" t="s">
        <v>76</v>
      </c>
      <c r="G5627">
        <v>-247.0241</v>
      </c>
      <c r="H5627" s="1">
        <v>-2.8429289999999899E-6</v>
      </c>
      <c r="I5627">
        <v>-63.64508</v>
      </c>
      <c r="J5627">
        <v>-270.84519999999998</v>
      </c>
      <c r="K5627">
        <v>1.1063529999999999</v>
      </c>
      <c r="L5627">
        <v>-62.983890000000002</v>
      </c>
      <c r="M5627">
        <v>0.991728099999999</v>
      </c>
      <c r="N5627">
        <v>0</v>
      </c>
      <c r="O5627">
        <v>-0.12833810000000001</v>
      </c>
      <c r="P5627">
        <v>0.99987300000000001</v>
      </c>
      <c r="Q5627">
        <v>1.5313729999999999E-2</v>
      </c>
      <c r="R5627">
        <v>-4.4243290000000003E-3</v>
      </c>
      <c r="S5627">
        <v>3.0021969999999998</v>
      </c>
      <c r="T5627">
        <v>-0.1383829</v>
      </c>
      <c r="U5627">
        <v>-8.5540770000000002E-2</v>
      </c>
      <c r="V5627">
        <v>-0.1240711</v>
      </c>
      <c r="W5627">
        <v>1.644806E-2</v>
      </c>
      <c r="X5627">
        <v>0.99213700000000005</v>
      </c>
      <c r="Y5627">
        <v>-9.9799490000000005E-2</v>
      </c>
      <c r="Z5627">
        <v>8.1946869999999904E-3</v>
      </c>
      <c r="AA5627">
        <v>0.99497380000000002</v>
      </c>
      <c r="AB5627">
        <v>36</v>
      </c>
      <c r="AC5627">
        <v>23.821099999999898</v>
      </c>
      <c r="AD5627">
        <v>-1.1063558429289999</v>
      </c>
      <c r="AE5627">
        <v>-0.66119000000000405</v>
      </c>
      <c r="AF5627">
        <v>-2.39627468966999</v>
      </c>
      <c r="AG5627">
        <v>-1.1063558429289999</v>
      </c>
      <c r="AH5627">
        <v>23.657973089356801</v>
      </c>
      <c r="AI5627">
        <v>92.663854012310296</v>
      </c>
      <c r="AJ5627">
        <v>95.783664253392601</v>
      </c>
      <c r="AK5627">
        <v>23.8047441980851</v>
      </c>
    </row>
    <row r="5628" spans="1:37" x14ac:dyDescent="0.2">
      <c r="A5628" t="str">
        <f>"20200111153542491"</f>
        <v>20200111153542491</v>
      </c>
      <c r="B5628" t="str">
        <f>"1578728142481511"</f>
        <v>1578728142481511</v>
      </c>
      <c r="C5628" t="s">
        <v>37</v>
      </c>
      <c r="D5628">
        <v>4.8922970000000001</v>
      </c>
      <c r="E5628">
        <v>0.50951099999999905</v>
      </c>
      <c r="F5628" t="s">
        <v>76</v>
      </c>
      <c r="G5628">
        <v>-247.18780000000001</v>
      </c>
      <c r="H5628" s="1">
        <v>-2.8978419999999999E-6</v>
      </c>
      <c r="I5628">
        <v>-63.640590000000003</v>
      </c>
      <c r="J5628">
        <v>-270.67079999999999</v>
      </c>
      <c r="K5628">
        <v>1.106328</v>
      </c>
      <c r="L5628">
        <v>-63.005249999999997</v>
      </c>
      <c r="M5628">
        <v>0.99193259999999905</v>
      </c>
      <c r="N5628">
        <v>0</v>
      </c>
      <c r="O5628">
        <v>-0.126748</v>
      </c>
      <c r="P5628">
        <v>0.99988480000000002</v>
      </c>
      <c r="Q5628">
        <v>1.469583E-2</v>
      </c>
      <c r="R5628">
        <v>-3.7801109999999901E-3</v>
      </c>
      <c r="S5628">
        <v>3.0021360000000001</v>
      </c>
      <c r="T5628">
        <v>-0.1403972</v>
      </c>
      <c r="U5628">
        <v>-8.3343509999999996E-2</v>
      </c>
      <c r="V5628">
        <v>-0.12311559999999901</v>
      </c>
      <c r="W5628">
        <v>1.585924E-2</v>
      </c>
      <c r="X5628">
        <v>0.99226559999999897</v>
      </c>
      <c r="Y5628">
        <v>-9.892695E-2</v>
      </c>
      <c r="Z5628">
        <v>8.2199969999999997E-3</v>
      </c>
      <c r="AA5628">
        <v>0.99506070000000002</v>
      </c>
      <c r="AB5628">
        <v>36</v>
      </c>
      <c r="AC5628">
        <v>23.482999999999901</v>
      </c>
      <c r="AD5628">
        <v>-1.1063308978419999</v>
      </c>
      <c r="AE5628">
        <v>-0.63534000000000601</v>
      </c>
      <c r="AF5628">
        <v>-2.3410221034448102</v>
      </c>
      <c r="AG5628">
        <v>-1.1063308978419999</v>
      </c>
      <c r="AH5628">
        <v>23.322408650796099</v>
      </c>
      <c r="AI5628">
        <v>92.702310044106099</v>
      </c>
      <c r="AJ5628">
        <v>95.731951473497901</v>
      </c>
      <c r="AK5628">
        <v>23.4657004544733</v>
      </c>
    </row>
    <row r="5629" spans="1:37" x14ac:dyDescent="0.2">
      <c r="A5629" t="str">
        <f>"20200111153542503"</f>
        <v>20200111153542503</v>
      </c>
      <c r="B5629" t="str">
        <f>"1578728142491271"</f>
        <v>1578728142491271</v>
      </c>
      <c r="C5629" t="s">
        <v>37</v>
      </c>
      <c r="D5629">
        <v>4.8892809999999898</v>
      </c>
      <c r="E5629">
        <v>0.50946049999999998</v>
      </c>
      <c r="F5629" t="s">
        <v>76</v>
      </c>
      <c r="G5629">
        <v>-247.30959999999999</v>
      </c>
      <c r="H5629" s="1">
        <v>-2.9396190000000001E-6</v>
      </c>
      <c r="I5629">
        <v>-63.6425699999999</v>
      </c>
      <c r="J5629">
        <v>-270.4907</v>
      </c>
      <c r="K5629">
        <v>1.106311</v>
      </c>
      <c r="L5629">
        <v>-63.027099999999997</v>
      </c>
      <c r="M5629">
        <v>0.99214049999999998</v>
      </c>
      <c r="N5629">
        <v>0</v>
      </c>
      <c r="O5629">
        <v>-0.12510930000000001</v>
      </c>
      <c r="P5629">
        <v>0.99989269999999997</v>
      </c>
      <c r="Q5629">
        <v>1.435678E-2</v>
      </c>
      <c r="R5629">
        <v>-2.9205870000000001E-3</v>
      </c>
      <c r="S5629">
        <v>3.0021360000000001</v>
      </c>
      <c r="T5629">
        <v>-0.14217349999999901</v>
      </c>
      <c r="U5629">
        <v>-8.1909179999999998E-2</v>
      </c>
      <c r="V5629">
        <v>-0.1223265</v>
      </c>
      <c r="W5629">
        <v>1.5547429999999999E-2</v>
      </c>
      <c r="X5629">
        <v>0.99236809999999998</v>
      </c>
      <c r="Y5629">
        <v>-9.7755079999999994E-2</v>
      </c>
      <c r="Z5629">
        <v>8.2192380000000002E-3</v>
      </c>
      <c r="AA5629">
        <v>0.99517659999999997</v>
      </c>
      <c r="AB5629">
        <v>36</v>
      </c>
      <c r="AC5629">
        <v>23.181100000000001</v>
      </c>
      <c r="AD5629">
        <v>-1.106313939619</v>
      </c>
      <c r="AE5629">
        <v>-0.61546999999999397</v>
      </c>
      <c r="AF5629">
        <v>-2.2843447870035001</v>
      </c>
      <c r="AG5629">
        <v>-1.106313939619</v>
      </c>
      <c r="AH5629">
        <v>23.0235627188036</v>
      </c>
      <c r="AI5629">
        <v>92.737604114268905</v>
      </c>
      <c r="AJ5629">
        <v>95.666210633449197</v>
      </c>
      <c r="AK5629">
        <v>23.163043882564001</v>
      </c>
    </row>
    <row r="5630" spans="1:37" x14ac:dyDescent="0.2">
      <c r="A5630" t="str">
        <f>"20200111153542514"</f>
        <v>20200111153542514</v>
      </c>
      <c r="B5630" t="str">
        <f>"1578728142501031"</f>
        <v>1578728142501031</v>
      </c>
      <c r="C5630" t="s">
        <v>37</v>
      </c>
      <c r="D5630">
        <v>4.874701</v>
      </c>
      <c r="E5630">
        <v>0.50952989999999998</v>
      </c>
      <c r="F5630" t="s">
        <v>76</v>
      </c>
      <c r="G5630">
        <v>-247.27529999999999</v>
      </c>
      <c r="H5630" s="1">
        <v>-2.9268320000000001E-6</v>
      </c>
      <c r="I5630">
        <v>-63.636130000000001</v>
      </c>
      <c r="J5630">
        <v>-270.3032</v>
      </c>
      <c r="K5630">
        <v>1.106298</v>
      </c>
      <c r="L5630">
        <v>-63.049500000000002</v>
      </c>
      <c r="M5630">
        <v>0.99235319999999905</v>
      </c>
      <c r="N5630">
        <v>0</v>
      </c>
      <c r="O5630">
        <v>-0.123410899999999</v>
      </c>
      <c r="P5630">
        <v>0.99990219999999896</v>
      </c>
      <c r="Q5630">
        <v>1.3812980000000001E-2</v>
      </c>
      <c r="R5630">
        <v>-2.183796E-3</v>
      </c>
      <c r="S5630">
        <v>3.0021360000000001</v>
      </c>
      <c r="T5630">
        <v>-0.1430652</v>
      </c>
      <c r="U5630">
        <v>-7.8765870000000002E-2</v>
      </c>
      <c r="V5630">
        <v>-0.1213559</v>
      </c>
      <c r="W5630">
        <v>1.503298E-2</v>
      </c>
      <c r="X5630">
        <v>0.99249519999999902</v>
      </c>
      <c r="Y5630">
        <v>-9.7092330000000004E-2</v>
      </c>
      <c r="Z5630">
        <v>8.1748280000000003E-3</v>
      </c>
      <c r="AA5630">
        <v>0.99524179999999995</v>
      </c>
      <c r="AB5630">
        <v>36</v>
      </c>
      <c r="AC5630">
        <v>23.027899999999999</v>
      </c>
      <c r="AD5630">
        <v>-1.1063009268320001</v>
      </c>
      <c r="AE5630">
        <v>-0.58662999999999899</v>
      </c>
      <c r="AF5630">
        <v>-2.2545550526723699</v>
      </c>
      <c r="AG5630">
        <v>-1.1063009268320001</v>
      </c>
      <c r="AH5630">
        <v>22.871509221527301</v>
      </c>
      <c r="AI5630">
        <v>92.755917065397298</v>
      </c>
      <c r="AJ5630">
        <v>95.629733832694896</v>
      </c>
      <c r="AK5630">
        <v>23.0089733429514</v>
      </c>
    </row>
    <row r="5631" spans="1:37" x14ac:dyDescent="0.2">
      <c r="A5631" t="str">
        <f>"20200111153542526"</f>
        <v>20200111153542526</v>
      </c>
      <c r="B5631" t="str">
        <f>"1578728142521528"</f>
        <v>1578728142521528</v>
      </c>
      <c r="C5631" t="s">
        <v>37</v>
      </c>
      <c r="D5631">
        <v>4.8842989999999897</v>
      </c>
      <c r="E5631">
        <v>0.50951859999999904</v>
      </c>
      <c r="F5631" t="s">
        <v>76</v>
      </c>
      <c r="G5631">
        <v>-247.34190000000001</v>
      </c>
      <c r="H5631" s="1">
        <v>-2.9497389999999999E-6</v>
      </c>
      <c r="I5631">
        <v>-63.637639999999998</v>
      </c>
      <c r="J5631">
        <v>-270.12090000000001</v>
      </c>
      <c r="K5631">
        <v>1.106285</v>
      </c>
      <c r="L5631">
        <v>-63.070950000000003</v>
      </c>
      <c r="M5631">
        <v>0.99255629999999995</v>
      </c>
      <c r="N5631">
        <v>0</v>
      </c>
      <c r="O5631">
        <v>-0.12176669999999901</v>
      </c>
      <c r="P5631">
        <v>0.99990409999999996</v>
      </c>
      <c r="Q5631">
        <v>1.376108E-2</v>
      </c>
      <c r="R5631">
        <v>-1.606365E-3</v>
      </c>
      <c r="S5631">
        <v>3.0021059999999999</v>
      </c>
      <c r="T5631">
        <v>-0.14464460000000001</v>
      </c>
      <c r="U5631">
        <v>-7.6904299999999995E-2</v>
      </c>
      <c r="V5631">
        <v>-0.1202839</v>
      </c>
      <c r="W5631">
        <v>1.50101E-2</v>
      </c>
      <c r="X5631">
        <v>0.99262609999999996</v>
      </c>
      <c r="Y5631">
        <v>-9.6057439999999994E-2</v>
      </c>
      <c r="Z5631">
        <v>8.1616199999999996E-3</v>
      </c>
      <c r="AA5631">
        <v>0.99534230000000001</v>
      </c>
      <c r="AB5631">
        <v>36</v>
      </c>
      <c r="AC5631">
        <v>22.779</v>
      </c>
      <c r="AD5631">
        <v>-1.1062879497389999</v>
      </c>
      <c r="AE5631">
        <v>-0.56669000000000103</v>
      </c>
      <c r="AF5631">
        <v>-2.2060571644057498</v>
      </c>
      <c r="AG5631">
        <v>-1.1062879497389999</v>
      </c>
      <c r="AH5631">
        <v>22.625166782703801</v>
      </c>
      <c r="AI5631">
        <v>92.7861328877961</v>
      </c>
      <c r="AJ5631">
        <v>95.568996469132998</v>
      </c>
      <c r="AK5631">
        <v>22.759365834432401</v>
      </c>
    </row>
    <row r="5632" spans="1:37" x14ac:dyDescent="0.2">
      <c r="A5632" t="str">
        <f>"20200111153542537"</f>
        <v>20200111153542537</v>
      </c>
      <c r="B5632" t="str">
        <f>"1578728142531287"</f>
        <v>1578728142531287</v>
      </c>
      <c r="C5632" t="s">
        <v>37</v>
      </c>
      <c r="D5632">
        <v>4.8575660000000003</v>
      </c>
      <c r="E5632">
        <v>0.50946469999999999</v>
      </c>
      <c r="F5632" t="s">
        <v>76</v>
      </c>
      <c r="G5632">
        <v>-247.19130000000001</v>
      </c>
      <c r="H5632" s="1">
        <v>-2.8994449999999999E-6</v>
      </c>
      <c r="I5632">
        <v>-63.642879999999998</v>
      </c>
      <c r="J5632">
        <v>-269.93380000000002</v>
      </c>
      <c r="K5632">
        <v>1.106274</v>
      </c>
      <c r="L5632">
        <v>-63.092739999999999</v>
      </c>
      <c r="M5632">
        <v>0.99276139999999902</v>
      </c>
      <c r="N5632">
        <v>0</v>
      </c>
      <c r="O5632">
        <v>-0.12008389999999999</v>
      </c>
      <c r="P5632">
        <v>0.99990499999999904</v>
      </c>
      <c r="Q5632">
        <v>1.3757429999999999E-2</v>
      </c>
      <c r="R5632">
        <v>-9.7024839999999997E-4</v>
      </c>
      <c r="S5632">
        <v>3.002167</v>
      </c>
      <c r="T5632">
        <v>-0.14484620000000001</v>
      </c>
      <c r="U5632">
        <v>-7.4890139999999994E-2</v>
      </c>
      <c r="V5632">
        <v>-0.11923209999999999</v>
      </c>
      <c r="W5632">
        <v>1.503584E-2</v>
      </c>
      <c r="X5632">
        <v>0.99275259999999999</v>
      </c>
      <c r="Y5632">
        <v>-9.5040330000000006E-2</v>
      </c>
      <c r="Z5632">
        <v>8.0678079999999992E-3</v>
      </c>
      <c r="AA5632">
        <v>0.99544069999999996</v>
      </c>
      <c r="AB5632">
        <v>36</v>
      </c>
      <c r="AC5632">
        <v>22.7425</v>
      </c>
      <c r="AD5632">
        <v>-1.1062768994450001</v>
      </c>
      <c r="AE5632">
        <v>-0.55014000000000596</v>
      </c>
      <c r="AF5632">
        <v>-2.17970083957962</v>
      </c>
      <c r="AG5632">
        <v>-1.1062768994450001</v>
      </c>
      <c r="AH5632">
        <v>22.590569328693199</v>
      </c>
      <c r="AI5632">
        <v>92.790637653316693</v>
      </c>
      <c r="AJ5632">
        <v>95.5112489008621</v>
      </c>
      <c r="AK5632">
        <v>22.722428719721101</v>
      </c>
    </row>
    <row r="5633" spans="1:37" x14ac:dyDescent="0.2">
      <c r="A5633" t="str">
        <f>"20200111153542549"</f>
        <v>20200111153542549</v>
      </c>
      <c r="B5633" t="str">
        <f>"1578728142541047"</f>
        <v>1578728142541047</v>
      </c>
      <c r="C5633" t="s">
        <v>37</v>
      </c>
      <c r="D5633">
        <v>4.8417949999999896</v>
      </c>
      <c r="E5633">
        <v>0.50947419999999999</v>
      </c>
      <c r="F5633" t="s">
        <v>76</v>
      </c>
      <c r="G5633">
        <v>-247.04750000000001</v>
      </c>
      <c r="H5633" s="1">
        <v>-2.85074099999999E-6</v>
      </c>
      <c r="I5633">
        <v>-63.644280000000002</v>
      </c>
      <c r="J5633">
        <v>-269.74979999999999</v>
      </c>
      <c r="K5633">
        <v>1.1062620000000001</v>
      </c>
      <c r="L5633">
        <v>-63.113769999999903</v>
      </c>
      <c r="M5633">
        <v>0.99295869999999997</v>
      </c>
      <c r="N5633">
        <v>0</v>
      </c>
      <c r="O5633">
        <v>-0.1184402</v>
      </c>
      <c r="P5633">
        <v>0.99990619999999997</v>
      </c>
      <c r="Q5633">
        <v>1.3675039999999999E-2</v>
      </c>
      <c r="R5633">
        <v>-7.6675349999999996E-4</v>
      </c>
      <c r="S5633">
        <v>3.0021969999999998</v>
      </c>
      <c r="T5633">
        <v>-0.1451202</v>
      </c>
      <c r="U5633">
        <v>-7.2357179999999993E-2</v>
      </c>
      <c r="V5633">
        <v>-0.1177902</v>
      </c>
      <c r="W5633">
        <v>1.4985780000000001E-2</v>
      </c>
      <c r="X5633">
        <v>0.99292539999999996</v>
      </c>
      <c r="Y5633">
        <v>-9.4233819999999996E-2</v>
      </c>
      <c r="Z5633">
        <v>7.9847400000000006E-3</v>
      </c>
      <c r="AA5633">
        <v>0.99551809999999996</v>
      </c>
      <c r="AB5633">
        <v>36</v>
      </c>
      <c r="AC5633">
        <v>22.702299999999902</v>
      </c>
      <c r="AD5633">
        <v>-1.106264850741</v>
      </c>
      <c r="AE5633">
        <v>-0.53051000000000603</v>
      </c>
      <c r="AF5633">
        <v>-2.15697675126113</v>
      </c>
      <c r="AG5633">
        <v>-1.106264850741</v>
      </c>
      <c r="AH5633">
        <v>22.5518149908001</v>
      </c>
      <c r="AI5633">
        <v>92.795618902391993</v>
      </c>
      <c r="AJ5633">
        <v>95.463456668717896</v>
      </c>
      <c r="AK5633">
        <v>22.681726786220299</v>
      </c>
    </row>
    <row r="5634" spans="1:37" x14ac:dyDescent="0.2">
      <c r="A5634" t="str">
        <f>"20200111153542560"</f>
        <v>20200111153542560</v>
      </c>
      <c r="B5634" t="str">
        <f>"1578728142551783"</f>
        <v>1578728142551783</v>
      </c>
      <c r="C5634" t="s">
        <v>37</v>
      </c>
      <c r="D5634">
        <v>4.8733079999999998</v>
      </c>
      <c r="E5634">
        <v>0.50945490000000004</v>
      </c>
      <c r="F5634" t="s">
        <v>76</v>
      </c>
      <c r="G5634">
        <v>-246.99549999999999</v>
      </c>
      <c r="H5634" s="1">
        <v>-2.8351740000000001E-6</v>
      </c>
      <c r="I5634">
        <v>-63.65634</v>
      </c>
      <c r="J5634">
        <v>-269.56220000000002</v>
      </c>
      <c r="K5634">
        <v>1.1062529999999999</v>
      </c>
      <c r="L5634">
        <v>-63.135010000000001</v>
      </c>
      <c r="M5634">
        <v>0.99315659999999895</v>
      </c>
      <c r="N5634">
        <v>0</v>
      </c>
      <c r="O5634">
        <v>-0.11676839999999999</v>
      </c>
      <c r="P5634">
        <v>0.99990949999999901</v>
      </c>
      <c r="Q5634">
        <v>1.34351E-2</v>
      </c>
      <c r="R5634">
        <v>-4.848036E-4</v>
      </c>
      <c r="S5634">
        <v>3.0021969999999998</v>
      </c>
      <c r="T5634">
        <v>-0.14596039999999999</v>
      </c>
      <c r="U5634">
        <v>-7.1594240000000003E-2</v>
      </c>
      <c r="V5634">
        <v>-0.116396499999999</v>
      </c>
      <c r="W5634">
        <v>1.4777429999999999E-2</v>
      </c>
      <c r="X5634">
        <v>0.99309289999999995</v>
      </c>
      <c r="Y5634">
        <v>-9.2811320000000003E-2</v>
      </c>
      <c r="Z5634">
        <v>7.9156669999999995E-3</v>
      </c>
      <c r="AA5634">
        <v>0.99565230000000005</v>
      </c>
      <c r="AB5634">
        <v>37</v>
      </c>
      <c r="AC5634">
        <v>22.566700000000001</v>
      </c>
      <c r="AD5634">
        <v>-1.1062558351739999</v>
      </c>
      <c r="AE5634">
        <v>-0.52132999999999896</v>
      </c>
      <c r="AF5634">
        <v>-2.1122472591500401</v>
      </c>
      <c r="AG5634">
        <v>-1.1062558351739999</v>
      </c>
      <c r="AH5634">
        <v>22.419351716512899</v>
      </c>
      <c r="AI5634">
        <v>92.812465071510601</v>
      </c>
      <c r="AJ5634">
        <v>95.382254673835206</v>
      </c>
      <c r="AK5634">
        <v>22.545791665970601</v>
      </c>
    </row>
    <row r="5635" spans="1:37" x14ac:dyDescent="0.2">
      <c r="A5635" t="str">
        <f>"20200111153542571"</f>
        <v>20200111153542571</v>
      </c>
      <c r="B5635" t="str">
        <f>"1578728142561544"</f>
        <v>1578728142561544</v>
      </c>
      <c r="C5635" t="s">
        <v>37</v>
      </c>
      <c r="D5635">
        <v>4.8535709999999996</v>
      </c>
      <c r="E5635">
        <v>0.5094109</v>
      </c>
      <c r="F5635" t="s">
        <v>76</v>
      </c>
      <c r="G5635">
        <v>-246.9659</v>
      </c>
      <c r="H5635" s="1">
        <v>-2.826493E-6</v>
      </c>
      <c r="I5635">
        <v>-63.664159999999903</v>
      </c>
      <c r="J5635">
        <v>-269.37959999999998</v>
      </c>
      <c r="K5635">
        <v>1.106244</v>
      </c>
      <c r="L5635">
        <v>-63.155269999999902</v>
      </c>
      <c r="M5635">
        <v>0.99334500000000003</v>
      </c>
      <c r="N5635">
        <v>0</v>
      </c>
      <c r="O5635">
        <v>-0.1151543</v>
      </c>
      <c r="P5635">
        <v>0.99991319999999995</v>
      </c>
      <c r="Q5635">
        <v>1.318136E-2</v>
      </c>
      <c r="R5635" s="1">
        <v>-1.1799569999999999E-5</v>
      </c>
      <c r="S5635">
        <v>3.0021969999999998</v>
      </c>
      <c r="T5635">
        <v>-0.14697979999999899</v>
      </c>
      <c r="U5635">
        <v>-7.03125E-2</v>
      </c>
      <c r="V5635">
        <v>-0.115250399999999</v>
      </c>
      <c r="W5635">
        <v>1.455334E-2</v>
      </c>
      <c r="X5635">
        <v>0.9932299</v>
      </c>
      <c r="Y5635">
        <v>-9.1617950000000004E-2</v>
      </c>
      <c r="Z5635">
        <v>7.8632619999999993E-3</v>
      </c>
      <c r="AA5635">
        <v>0.99576319999999996</v>
      </c>
      <c r="AB5635">
        <v>37</v>
      </c>
      <c r="AC5635">
        <v>22.413699999999899</v>
      </c>
      <c r="AD5635">
        <v>-1.1062468264930001</v>
      </c>
      <c r="AE5635">
        <v>-0.50889000000000095</v>
      </c>
      <c r="AF5635">
        <v>-2.0704948682008602</v>
      </c>
      <c r="AG5635">
        <v>-1.1062468264930001</v>
      </c>
      <c r="AH5635">
        <v>22.268976480638202</v>
      </c>
      <c r="AI5635">
        <v>92.831727827752204</v>
      </c>
      <c r="AJ5635">
        <v>95.3118983430995</v>
      </c>
      <c r="AK5635">
        <v>22.392365764599099</v>
      </c>
    </row>
    <row r="5636" spans="1:37" x14ac:dyDescent="0.2">
      <c r="A5636" t="str">
        <f>"20200111153542582"</f>
        <v>20200111153542582</v>
      </c>
      <c r="B5636" t="str">
        <f>"1578728142571304"</f>
        <v>1578728142571304</v>
      </c>
      <c r="C5636" t="s">
        <v>37</v>
      </c>
      <c r="D5636">
        <v>4.8853980000000004</v>
      </c>
      <c r="E5636">
        <v>0.5094149</v>
      </c>
      <c r="F5636" t="s">
        <v>76</v>
      </c>
      <c r="G5636">
        <v>-246.93940000000001</v>
      </c>
      <c r="H5636" s="1">
        <v>-2.8178329999999998E-6</v>
      </c>
      <c r="I5636">
        <v>-63.666169999999902</v>
      </c>
      <c r="J5636">
        <v>-269.21420000000001</v>
      </c>
      <c r="K5636">
        <v>1.1062350000000001</v>
      </c>
      <c r="L5636">
        <v>-63.173490000000001</v>
      </c>
      <c r="M5636">
        <v>0.99351319999999999</v>
      </c>
      <c r="N5636">
        <v>0</v>
      </c>
      <c r="O5636">
        <v>-0.1136947</v>
      </c>
      <c r="P5636">
        <v>0.99991299999999905</v>
      </c>
      <c r="Q5636">
        <v>1.3194839999999999E-2</v>
      </c>
      <c r="R5636">
        <v>3.7007300000000001E-4</v>
      </c>
      <c r="S5636">
        <v>3.0021969999999998</v>
      </c>
      <c r="T5636">
        <v>-0.14800050000000001</v>
      </c>
      <c r="U5636">
        <v>-6.8359379999999997E-2</v>
      </c>
      <c r="V5636">
        <v>-0.11417039999999901</v>
      </c>
      <c r="W5636">
        <v>1.4592910000000001E-2</v>
      </c>
      <c r="X5636">
        <v>0.99335399999999996</v>
      </c>
      <c r="Y5636">
        <v>-9.0801610000000005E-2</v>
      </c>
      <c r="Z5636">
        <v>7.8263120000000002E-3</v>
      </c>
      <c r="AA5636">
        <v>0.99583820000000001</v>
      </c>
      <c r="AB5636">
        <v>37</v>
      </c>
      <c r="AC5636">
        <v>22.274799999999999</v>
      </c>
      <c r="AD5636">
        <v>-1.1062378178329999</v>
      </c>
      <c r="AE5636">
        <v>-0.49267999999999201</v>
      </c>
      <c r="AF5636">
        <v>-2.0380235739253001</v>
      </c>
      <c r="AG5636">
        <v>-1.1062378178329999</v>
      </c>
      <c r="AH5636">
        <v>22.131818841048499</v>
      </c>
      <c r="AI5636">
        <v>92.849457445777702</v>
      </c>
      <c r="AJ5636">
        <v>95.2612827687215</v>
      </c>
      <c r="AK5636">
        <v>22.252970754721002</v>
      </c>
    </row>
    <row r="5637" spans="1:37" x14ac:dyDescent="0.2">
      <c r="A5637" t="str">
        <f>"20200111153542592"</f>
        <v>20200111153542592</v>
      </c>
      <c r="B5637" t="str">
        <f>"1578728142581063"</f>
        <v>1578728142581063</v>
      </c>
      <c r="C5637" t="s">
        <v>37</v>
      </c>
      <c r="D5637">
        <v>4.8680089999999998</v>
      </c>
      <c r="E5637">
        <v>0.50939309999999904</v>
      </c>
      <c r="F5637" t="s">
        <v>76</v>
      </c>
      <c r="G5637">
        <v>-246.81729999999999</v>
      </c>
      <c r="H5637" s="1">
        <v>-2.7777370000000001E-6</v>
      </c>
      <c r="I5637">
        <v>-63.674289999999999</v>
      </c>
      <c r="J5637">
        <v>-269.0301</v>
      </c>
      <c r="K5637">
        <v>1.1062270000000001</v>
      </c>
      <c r="L5637">
        <v>-63.193359999999998</v>
      </c>
      <c r="M5637">
        <v>0.99369629999999998</v>
      </c>
      <c r="N5637">
        <v>0</v>
      </c>
      <c r="O5637">
        <v>-0.112081</v>
      </c>
      <c r="P5637">
        <v>0.99991249999999998</v>
      </c>
      <c r="Q5637">
        <v>1.319596E-2</v>
      </c>
      <c r="R5637">
        <v>1.032322E-3</v>
      </c>
      <c r="S5637">
        <v>3.0022279999999899</v>
      </c>
      <c r="T5637">
        <v>-0.14828769999999999</v>
      </c>
      <c r="U5637">
        <v>-6.7138669999999998E-2</v>
      </c>
      <c r="V5637">
        <v>-0.11321489999999999</v>
      </c>
      <c r="W5637">
        <v>1.462199E-2</v>
      </c>
      <c r="X5637">
        <v>0.99346290000000004</v>
      </c>
      <c r="Y5637">
        <v>-8.9591669999999998E-2</v>
      </c>
      <c r="Z5637">
        <v>7.7324009999999999E-3</v>
      </c>
      <c r="AA5637">
        <v>0.99594859999999896</v>
      </c>
      <c r="AB5637">
        <v>37</v>
      </c>
      <c r="AC5637">
        <v>22.212800000000001</v>
      </c>
      <c r="AD5637">
        <v>-1.106229777737</v>
      </c>
      <c r="AE5637">
        <v>-0.48093000000000002</v>
      </c>
      <c r="AF5637">
        <v>-2.0067652034857999</v>
      </c>
      <c r="AG5637">
        <v>-1.106229777737</v>
      </c>
      <c r="AH5637">
        <v>22.072024224386698</v>
      </c>
      <c r="AI5637">
        <v>92.857445321876796</v>
      </c>
      <c r="AJ5637">
        <v>95.194988998185707</v>
      </c>
      <c r="AK5637">
        <v>22.190653533976601</v>
      </c>
    </row>
    <row r="5638" spans="1:37" x14ac:dyDescent="0.2">
      <c r="A5638" t="str">
        <f>"20200111153542603"</f>
        <v>20200111153542603</v>
      </c>
      <c r="B5638" t="str">
        <f>"1578728142591800"</f>
        <v>1578728142591800</v>
      </c>
      <c r="C5638" t="s">
        <v>37</v>
      </c>
      <c r="D5638">
        <v>4.8543019999999997</v>
      </c>
      <c r="E5638">
        <v>0.50937120000000002</v>
      </c>
      <c r="F5638" t="s">
        <v>76</v>
      </c>
      <c r="G5638">
        <v>-246.65090000000001</v>
      </c>
      <c r="H5638" s="1">
        <v>-2.7166329999999998E-6</v>
      </c>
      <c r="I5638">
        <v>-63.676909999999999</v>
      </c>
      <c r="J5638">
        <v>-268.84949999999998</v>
      </c>
      <c r="K5638">
        <v>1.1062190000000001</v>
      </c>
      <c r="L5638">
        <v>-63.212649999999996</v>
      </c>
      <c r="M5638">
        <v>0.99387269999999905</v>
      </c>
      <c r="N5638">
        <v>0</v>
      </c>
      <c r="O5638">
        <v>-0.11050599999999999</v>
      </c>
      <c r="P5638">
        <v>0.99990709999999905</v>
      </c>
      <c r="Q5638">
        <v>1.35186E-2</v>
      </c>
      <c r="R5638">
        <v>1.707419E-3</v>
      </c>
      <c r="S5638">
        <v>3.002319</v>
      </c>
      <c r="T5638">
        <v>-0.1484087</v>
      </c>
      <c r="U5638">
        <v>-6.4880370000000007E-2</v>
      </c>
      <c r="V5638">
        <v>-0.1123133</v>
      </c>
      <c r="W5638">
        <v>1.4970519999999999E-2</v>
      </c>
      <c r="X5638">
        <v>0.99356009999999995</v>
      </c>
      <c r="Y5638">
        <v>-8.8765179999999999E-2</v>
      </c>
      <c r="Z5638">
        <v>7.6407879999999999E-3</v>
      </c>
      <c r="AA5638">
        <v>0.99602329999999994</v>
      </c>
      <c r="AB5638">
        <v>37</v>
      </c>
      <c r="AC5638">
        <v>22.1985999999999</v>
      </c>
      <c r="AD5638">
        <v>-1.106221716633</v>
      </c>
      <c r="AE5638">
        <v>-0.464260000000003</v>
      </c>
      <c r="AF5638">
        <v>-1.98673705668384</v>
      </c>
      <c r="AG5638">
        <v>-1.106221716633</v>
      </c>
      <c r="AH5638">
        <v>22.059190485462199</v>
      </c>
      <c r="AI5638">
        <v>92.859303251311005</v>
      </c>
      <c r="AJ5638">
        <v>95.146397172120103</v>
      </c>
      <c r="AK5638">
        <v>22.176084764733801</v>
      </c>
    </row>
    <row r="5639" spans="1:37" x14ac:dyDescent="0.2">
      <c r="A5639" t="str">
        <f>"20200111153542615"</f>
        <v>20200111153542615</v>
      </c>
      <c r="B5639" t="str">
        <f>"1578728142611318"</f>
        <v>1578728142611318</v>
      </c>
      <c r="C5639" t="s">
        <v>37</v>
      </c>
      <c r="D5639">
        <v>4.8980750000000004</v>
      </c>
      <c r="E5639">
        <v>0.5093434</v>
      </c>
      <c r="F5639" t="s">
        <v>76</v>
      </c>
      <c r="G5639">
        <v>-246.36709999999999</v>
      </c>
      <c r="H5639" s="1">
        <v>-2.5957889999999899E-6</v>
      </c>
      <c r="I5639">
        <v>-63.680369999999897</v>
      </c>
      <c r="J5639">
        <v>-268.66419999999999</v>
      </c>
      <c r="K5639">
        <v>1.1062110000000001</v>
      </c>
      <c r="L5639">
        <v>-63.232149999999997</v>
      </c>
      <c r="M5639">
        <v>0.99405030000000005</v>
      </c>
      <c r="N5639">
        <v>0</v>
      </c>
      <c r="O5639">
        <v>-0.1088986</v>
      </c>
      <c r="P5639">
        <v>0.99990669999999904</v>
      </c>
      <c r="Q5639">
        <v>1.34682999999999E-2</v>
      </c>
      <c r="R5639">
        <v>2.405323E-3</v>
      </c>
      <c r="S5639">
        <v>3.00238</v>
      </c>
      <c r="T5639">
        <v>-0.14772839999999901</v>
      </c>
      <c r="U5639">
        <v>-6.2469480000000001E-2</v>
      </c>
      <c r="V5639">
        <v>-0.1113994</v>
      </c>
      <c r="W5639">
        <v>1.494764E-2</v>
      </c>
      <c r="X5639">
        <v>0.99366330000000003</v>
      </c>
      <c r="Y5639">
        <v>-8.7959339999999997E-2</v>
      </c>
      <c r="Z5639">
        <v>7.5073379999999997E-3</v>
      </c>
      <c r="AA5639">
        <v>0.99609579999999998</v>
      </c>
      <c r="AB5639">
        <v>37</v>
      </c>
      <c r="AC5639">
        <v>22.2971</v>
      </c>
      <c r="AD5639">
        <v>-1.106213595789</v>
      </c>
      <c r="AE5639">
        <v>-0.44821999999999901</v>
      </c>
      <c r="AF5639">
        <v>-1.9777088448949101</v>
      </c>
      <c r="AG5639">
        <v>-1.106213595789</v>
      </c>
      <c r="AH5639">
        <v>22.158786590470498</v>
      </c>
      <c r="AI5639">
        <v>92.846657295672102</v>
      </c>
      <c r="AJ5639">
        <v>95.100230429880398</v>
      </c>
      <c r="AK5639">
        <v>22.2743544004467</v>
      </c>
    </row>
    <row r="5640" spans="1:37" x14ac:dyDescent="0.2">
      <c r="A5640" t="str">
        <f>"20200111153542626"</f>
        <v>20200111153542626</v>
      </c>
      <c r="B5640" t="str">
        <f>"1578728142621082"</f>
        <v>1578728142621082</v>
      </c>
      <c r="C5640" t="s">
        <v>37</v>
      </c>
      <c r="D5640">
        <v>4.9016219999999997</v>
      </c>
      <c r="E5640">
        <v>0.50934409999999997</v>
      </c>
      <c r="F5640" t="s">
        <v>76</v>
      </c>
      <c r="G5640">
        <v>-246.16560000000001</v>
      </c>
      <c r="H5640" s="1">
        <v>-2.50943E-6</v>
      </c>
      <c r="I5640">
        <v>-63.680769999999903</v>
      </c>
      <c r="J5640">
        <v>-268.46480000000003</v>
      </c>
      <c r="K5640">
        <v>1.106204</v>
      </c>
      <c r="L5640">
        <v>-63.252780000000001</v>
      </c>
      <c r="M5640">
        <v>0.99423680000000003</v>
      </c>
      <c r="N5640">
        <v>0</v>
      </c>
      <c r="O5640">
        <v>-0.10717939999999899</v>
      </c>
      <c r="P5640">
        <v>0.99990569999999901</v>
      </c>
      <c r="Q5640">
        <v>1.3396959999999999E-2</v>
      </c>
      <c r="R5640">
        <v>2.9754029999999902E-3</v>
      </c>
      <c r="S5640">
        <v>3.0024109999999999</v>
      </c>
      <c r="T5640">
        <v>-0.14762249999999999</v>
      </c>
      <c r="U5640">
        <v>-5.9875490000000003E-2</v>
      </c>
      <c r="V5640">
        <v>-0.1102471</v>
      </c>
      <c r="W5640">
        <v>1.490616E-2</v>
      </c>
      <c r="X5640">
        <v>0.99379240000000002</v>
      </c>
      <c r="Y5640">
        <v>-8.7100699999999906E-2</v>
      </c>
      <c r="Z5640">
        <v>7.3968699999999998E-3</v>
      </c>
      <c r="AA5640">
        <v>0.9961721</v>
      </c>
      <c r="AB5640">
        <v>37</v>
      </c>
      <c r="AC5640">
        <v>22.299199999999999</v>
      </c>
      <c r="AD5640">
        <v>-1.10620650943</v>
      </c>
      <c r="AE5640">
        <v>-0.42798999999999399</v>
      </c>
      <c r="AF5640">
        <v>-1.959676337518</v>
      </c>
      <c r="AG5640">
        <v>-1.10620650943</v>
      </c>
      <c r="AH5640">
        <v>22.162102344929501</v>
      </c>
      <c r="AI5640">
        <v>92.846421036436496</v>
      </c>
      <c r="AJ5640">
        <v>95.053216867866198</v>
      </c>
      <c r="AK5640">
        <v>22.276058999214001</v>
      </c>
    </row>
    <row r="5641" spans="1:37" x14ac:dyDescent="0.2">
      <c r="A5641" t="str">
        <f>"20200111153542637"</f>
        <v>20200111153542637</v>
      </c>
      <c r="B5641" t="str">
        <f>"1578728142631815"</f>
        <v>1578728142631815</v>
      </c>
      <c r="C5641" t="s">
        <v>37</v>
      </c>
      <c r="D5641">
        <v>4.882619</v>
      </c>
      <c r="E5641">
        <v>0.50936559999999997</v>
      </c>
      <c r="F5641" t="s">
        <v>76</v>
      </c>
      <c r="G5641">
        <v>-245.97540000000001</v>
      </c>
      <c r="H5641" s="1">
        <v>-2.429407E-6</v>
      </c>
      <c r="I5641">
        <v>-63.686569999999897</v>
      </c>
      <c r="J5641">
        <v>-268.27800000000002</v>
      </c>
      <c r="K5641">
        <v>1.1061969999999901</v>
      </c>
      <c r="L5641">
        <v>-63.271880000000003</v>
      </c>
      <c r="M5641">
        <v>0.99440839999999997</v>
      </c>
      <c r="N5641">
        <v>0</v>
      </c>
      <c r="O5641">
        <v>-0.10557609999999901</v>
      </c>
      <c r="P5641">
        <v>0.9999055</v>
      </c>
      <c r="Q5641">
        <v>1.325135E-2</v>
      </c>
      <c r="R5641">
        <v>3.697072E-3</v>
      </c>
      <c r="S5641">
        <v>3.002472</v>
      </c>
      <c r="T5641">
        <v>-0.1476857</v>
      </c>
      <c r="U5641">
        <v>-5.7922359999999999E-2</v>
      </c>
      <c r="V5641">
        <v>-0.1093606</v>
      </c>
      <c r="W5641">
        <v>1.478696E-2</v>
      </c>
      <c r="X5641">
        <v>0.99389209999999995</v>
      </c>
      <c r="Y5641">
        <v>-8.6145330000000006E-2</v>
      </c>
      <c r="Z5641">
        <v>7.2980639999999999E-3</v>
      </c>
      <c r="AA5641">
        <v>0.99625589999999997</v>
      </c>
      <c r="AB5641">
        <v>37</v>
      </c>
      <c r="AC5641">
        <v>22.302600000000002</v>
      </c>
      <c r="AD5641">
        <v>-1.1061994294069999</v>
      </c>
      <c r="AE5641">
        <v>-0.41468999999999301</v>
      </c>
      <c r="AF5641">
        <v>-1.9374909590045399</v>
      </c>
      <c r="AG5641">
        <v>-1.1061994294069999</v>
      </c>
      <c r="AH5641">
        <v>22.167221465944898</v>
      </c>
      <c r="AI5641">
        <v>92.845999733190297</v>
      </c>
      <c r="AJ5641">
        <v>94.995152946926495</v>
      </c>
      <c r="AK5641">
        <v>22.279211294704599</v>
      </c>
    </row>
    <row r="5642" spans="1:37" x14ac:dyDescent="0.2">
      <c r="A5642" t="str">
        <f>"20200111153542649"</f>
        <v>20200111153542649</v>
      </c>
      <c r="B5642" t="str">
        <f>"1578728142641575"</f>
        <v>1578728142641575</v>
      </c>
      <c r="C5642" t="s">
        <v>37</v>
      </c>
      <c r="D5642">
        <v>4.855918</v>
      </c>
      <c r="E5642">
        <v>0.50939709999999905</v>
      </c>
      <c r="F5642" t="s">
        <v>76</v>
      </c>
      <c r="G5642">
        <v>-245.88990000000001</v>
      </c>
      <c r="H5642" s="1">
        <v>-2.392971E-6</v>
      </c>
      <c r="I5642">
        <v>-63.687569999999901</v>
      </c>
      <c r="J5642">
        <v>-268.10140000000001</v>
      </c>
      <c r="K5642">
        <v>1.10619</v>
      </c>
      <c r="L5642">
        <v>-63.289519999999897</v>
      </c>
      <c r="M5642">
        <v>0.99456690000000003</v>
      </c>
      <c r="N5642">
        <v>0</v>
      </c>
      <c r="O5642">
        <v>-0.1040716</v>
      </c>
      <c r="P5642">
        <v>0.99990480000000004</v>
      </c>
      <c r="Q5642">
        <v>1.315649E-2</v>
      </c>
      <c r="R5642">
        <v>4.1578769999999999E-3</v>
      </c>
      <c r="S5642">
        <v>3.0024410000000001</v>
      </c>
      <c r="T5642">
        <v>-0.1483506</v>
      </c>
      <c r="U5642">
        <v>-5.5755619999999999E-2</v>
      </c>
      <c r="V5642">
        <v>-0.1083147</v>
      </c>
      <c r="W5642">
        <v>1.47183E-2</v>
      </c>
      <c r="X5642">
        <v>0.99400769999999905</v>
      </c>
      <c r="Y5642">
        <v>-8.535732E-2</v>
      </c>
      <c r="Z5642">
        <v>7.2376599999999999E-3</v>
      </c>
      <c r="AA5642">
        <v>0.99632410000000005</v>
      </c>
      <c r="AB5642">
        <v>37</v>
      </c>
      <c r="AC5642">
        <v>22.211500000000001</v>
      </c>
      <c r="AD5642">
        <v>-1.106192392971</v>
      </c>
      <c r="AE5642">
        <v>-0.39804999999999702</v>
      </c>
      <c r="AF5642">
        <v>-1.91096626602664</v>
      </c>
      <c r="AG5642">
        <v>-1.106192392971</v>
      </c>
      <c r="AH5642">
        <v>22.077570813191802</v>
      </c>
      <c r="AI5642">
        <v>92.857727735725803</v>
      </c>
      <c r="AJ5642">
        <v>94.9470155943485</v>
      </c>
      <c r="AK5642">
        <v>22.187712515977299</v>
      </c>
    </row>
    <row r="5643" spans="1:37" x14ac:dyDescent="0.2">
      <c r="A5643" t="str">
        <f>"20200111153542660"</f>
        <v>20200111153542660</v>
      </c>
      <c r="B5643" t="str">
        <f>"1578728142651336"</f>
        <v>1578728142651336</v>
      </c>
      <c r="C5643" t="s">
        <v>37</v>
      </c>
      <c r="D5643">
        <v>4.8522470000000002</v>
      </c>
      <c r="E5643">
        <v>0.509405</v>
      </c>
      <c r="F5643" t="s">
        <v>76</v>
      </c>
      <c r="G5643">
        <v>-245.7449</v>
      </c>
      <c r="H5643" s="1">
        <v>-2.3327909999999999E-6</v>
      </c>
      <c r="I5643">
        <v>-63.695079999999997</v>
      </c>
      <c r="J5643">
        <v>-267.91820000000001</v>
      </c>
      <c r="K5643">
        <v>1.1061840000000001</v>
      </c>
      <c r="L5643">
        <v>-63.307740000000003</v>
      </c>
      <c r="M5643">
        <v>0.99472899999999997</v>
      </c>
      <c r="N5643">
        <v>0</v>
      </c>
      <c r="O5643">
        <v>-0.1025117</v>
      </c>
      <c r="P5643">
        <v>0.999901499999999</v>
      </c>
      <c r="Q5643">
        <v>1.311754E-2</v>
      </c>
      <c r="R5643">
        <v>5.0186019999999996E-3</v>
      </c>
      <c r="S5643">
        <v>3.0024410000000001</v>
      </c>
      <c r="T5643">
        <v>-0.14855979999999999</v>
      </c>
      <c r="U5643">
        <v>-5.4473880000000002E-2</v>
      </c>
      <c r="V5643">
        <v>-0.10761079999999899</v>
      </c>
      <c r="W5643">
        <v>1.4703519999999999E-2</v>
      </c>
      <c r="X5643">
        <v>0.99408439999999998</v>
      </c>
      <c r="Y5643">
        <v>-8.4222580000000005E-2</v>
      </c>
      <c r="Z5643">
        <v>7.1430769999999899E-3</v>
      </c>
      <c r="AA5643">
        <v>0.99642129999999995</v>
      </c>
      <c r="AB5643">
        <v>37</v>
      </c>
      <c r="AC5643">
        <v>22.173300000000001</v>
      </c>
      <c r="AD5643">
        <v>-1.106186332791</v>
      </c>
      <c r="AE5643">
        <v>-0.38734000000000102</v>
      </c>
      <c r="AF5643">
        <v>-1.88304444700841</v>
      </c>
      <c r="AG5643">
        <v>-1.106186332791</v>
      </c>
      <c r="AH5643">
        <v>22.041352402893299</v>
      </c>
      <c r="AI5643">
        <v>92.862674439271899</v>
      </c>
      <c r="AJ5643">
        <v>94.883055936037096</v>
      </c>
      <c r="AK5643">
        <v>22.1492826145858</v>
      </c>
    </row>
    <row r="5644" spans="1:37" x14ac:dyDescent="0.2">
      <c r="A5644" t="str">
        <f>"20200111153542670"</f>
        <v>20200111153542670</v>
      </c>
      <c r="B5644" t="str">
        <f>"1578728142661095"</f>
        <v>1578728142661095</v>
      </c>
      <c r="C5644" t="s">
        <v>37</v>
      </c>
      <c r="D5644">
        <v>4.8978970000000004</v>
      </c>
      <c r="E5644">
        <v>0.50940439999999998</v>
      </c>
      <c r="F5644" t="s">
        <v>76</v>
      </c>
      <c r="G5644">
        <v>-245.58699999999999</v>
      </c>
      <c r="H5644" s="1">
        <v>-2.2645570000000002E-6</v>
      </c>
      <c r="I5644">
        <v>-63.693309999999997</v>
      </c>
      <c r="J5644">
        <v>-267.73009999999999</v>
      </c>
      <c r="K5644">
        <v>1.106185</v>
      </c>
      <c r="L5644">
        <v>-63.32593</v>
      </c>
      <c r="M5644">
        <v>0.99489150000000004</v>
      </c>
      <c r="N5644">
        <v>0</v>
      </c>
      <c r="O5644">
        <v>-0.1009212</v>
      </c>
      <c r="P5644">
        <v>0.99990290000000004</v>
      </c>
      <c r="Q5644">
        <v>1.2711750000000001E-2</v>
      </c>
      <c r="R5644">
        <v>5.7564039999999997E-3</v>
      </c>
      <c r="S5644">
        <v>3.0025330000000001</v>
      </c>
      <c r="T5644">
        <v>-0.148732</v>
      </c>
      <c r="U5644">
        <v>-5.1849369999999999E-2</v>
      </c>
      <c r="V5644">
        <v>-0.1067525</v>
      </c>
      <c r="W5644">
        <v>1.432257E-2</v>
      </c>
      <c r="X5644">
        <v>0.99418249999999997</v>
      </c>
      <c r="Y5644">
        <v>-8.3502960000000001E-2</v>
      </c>
      <c r="Z5644">
        <v>7.0550379999999996E-3</v>
      </c>
      <c r="AA5644">
        <v>0.996482599999999</v>
      </c>
      <c r="AB5644">
        <v>38</v>
      </c>
      <c r="AC5644">
        <v>22.143099999999901</v>
      </c>
      <c r="AD5644">
        <v>-1.1061872645569999</v>
      </c>
      <c r="AE5644">
        <v>-0.36737999999998999</v>
      </c>
      <c r="AF5644">
        <v>-1.8645584484925699</v>
      </c>
      <c r="AG5644">
        <v>-1.1061872645569999</v>
      </c>
      <c r="AH5644">
        <v>22.012203328711699</v>
      </c>
      <c r="AI5644">
        <v>92.866636988499707</v>
      </c>
      <c r="AJ5644">
        <v>94.841719649153106</v>
      </c>
      <c r="AK5644">
        <v>22.1187098144683</v>
      </c>
    </row>
    <row r="5645" spans="1:37" x14ac:dyDescent="0.2">
      <c r="A5645" t="str">
        <f>"20200111153542682"</f>
        <v>20200111153542682</v>
      </c>
      <c r="B5645" t="str">
        <f>"1578728142671832"</f>
        <v>1578728142671832</v>
      </c>
      <c r="C5645" t="s">
        <v>37</v>
      </c>
      <c r="D5645">
        <v>4.9196039999999996</v>
      </c>
      <c r="E5645">
        <v>0.50945050000000003</v>
      </c>
      <c r="F5645" t="s">
        <v>76</v>
      </c>
      <c r="G5645">
        <v>-245.5274</v>
      </c>
      <c r="H5645" s="1">
        <v>-2.2386410000000001E-6</v>
      </c>
      <c r="I5645">
        <v>-63.69191</v>
      </c>
      <c r="J5645">
        <v>-267.54660000000001</v>
      </c>
      <c r="K5645">
        <v>1.1061859999999999</v>
      </c>
      <c r="L5645">
        <v>-63.343539999999997</v>
      </c>
      <c r="M5645">
        <v>0.99504760000000003</v>
      </c>
      <c r="N5645">
        <v>0</v>
      </c>
      <c r="O5645">
        <v>-9.9370550000000002E-2</v>
      </c>
      <c r="P5645">
        <v>0.9998958</v>
      </c>
      <c r="Q5645">
        <v>1.265138E-2</v>
      </c>
      <c r="R5645">
        <v>6.97111E-3</v>
      </c>
      <c r="S5645">
        <v>3.002472</v>
      </c>
      <c r="T5645">
        <v>-0.1495899</v>
      </c>
      <c r="U5645">
        <v>-4.9499509999999997E-2</v>
      </c>
      <c r="V5645">
        <v>-0.1064107</v>
      </c>
      <c r="W5645">
        <v>1.428252E-2</v>
      </c>
      <c r="X5645">
        <v>0.99421970000000004</v>
      </c>
      <c r="Y5645">
        <v>-8.2729510000000006E-2</v>
      </c>
      <c r="Z5645">
        <v>6.999791E-3</v>
      </c>
      <c r="AA5645">
        <v>0.99654750000000003</v>
      </c>
      <c r="AB5645">
        <v>38</v>
      </c>
      <c r="AC5645">
        <v>22.019200000000001</v>
      </c>
      <c r="AD5645">
        <v>-1.106188238641</v>
      </c>
      <c r="AE5645">
        <v>-0.34836999999999502</v>
      </c>
      <c r="AF5645">
        <v>-1.8367860710664501</v>
      </c>
      <c r="AG5645">
        <v>-1.106188238641</v>
      </c>
      <c r="AH5645">
        <v>21.889601955478302</v>
      </c>
      <c r="AI5645">
        <v>92.8828596180483</v>
      </c>
      <c r="AJ5645">
        <v>94.796529681996901</v>
      </c>
      <c r="AK5645">
        <v>21.9943653979707</v>
      </c>
    </row>
    <row r="5646" spans="1:37" x14ac:dyDescent="0.2">
      <c r="A5646" t="str">
        <f>"20200111153542693"</f>
        <v>20200111153542693</v>
      </c>
      <c r="B5646" t="str">
        <f>"1578728142681592"</f>
        <v>1578728142681592</v>
      </c>
      <c r="C5646" t="s">
        <v>37</v>
      </c>
      <c r="D5646">
        <v>4.9138250000000001</v>
      </c>
      <c r="E5646">
        <v>0.50946559999999996</v>
      </c>
      <c r="F5646" t="s">
        <v>76</v>
      </c>
      <c r="G5646">
        <v>-245.4177</v>
      </c>
      <c r="H5646" s="1">
        <v>-2.1891130000000001E-6</v>
      </c>
      <c r="I5646">
        <v>-63.682650000000002</v>
      </c>
      <c r="J5646">
        <v>-267.3587</v>
      </c>
      <c r="K5646">
        <v>1.1061909999999999</v>
      </c>
      <c r="L5646">
        <v>-63.36121</v>
      </c>
      <c r="M5646">
        <v>0.99520439999999999</v>
      </c>
      <c r="N5646">
        <v>0</v>
      </c>
      <c r="O5646">
        <v>-9.7786929999999994E-2</v>
      </c>
      <c r="P5646">
        <v>0.999887999999999</v>
      </c>
      <c r="Q5646">
        <v>1.2533809999999999E-2</v>
      </c>
      <c r="R5646">
        <v>8.1960690000000003E-3</v>
      </c>
      <c r="S5646">
        <v>3.0025330000000001</v>
      </c>
      <c r="T5646">
        <v>-0.15009220000000001</v>
      </c>
      <c r="U5646">
        <v>-4.6020510000000001E-2</v>
      </c>
      <c r="V5646">
        <v>-0.1060458</v>
      </c>
      <c r="W5646">
        <v>1.4185730000000001E-2</v>
      </c>
      <c r="X5646">
        <v>0.99426009999999998</v>
      </c>
      <c r="Y5646">
        <v>-8.2299310000000001E-2</v>
      </c>
      <c r="Z5646">
        <v>6.9337239999999996E-3</v>
      </c>
      <c r="AA5646">
        <v>0.99658349999999996</v>
      </c>
      <c r="AB5646">
        <v>38</v>
      </c>
      <c r="AC5646">
        <v>21.940999999999999</v>
      </c>
      <c r="AD5646">
        <v>-1.1061931891129999</v>
      </c>
      <c r="AE5646">
        <v>-0.321440000000002</v>
      </c>
      <c r="AF5646">
        <v>-1.8210221678966401</v>
      </c>
      <c r="AG5646">
        <v>-1.1061931891129999</v>
      </c>
      <c r="AH5646">
        <v>21.8118466382533</v>
      </c>
      <c r="AI5646">
        <v>92.893233681557007</v>
      </c>
      <c r="AJ5646">
        <v>94.772428425087696</v>
      </c>
      <c r="AK5646">
        <v>21.915666516861702</v>
      </c>
    </row>
    <row r="5647" spans="1:37" x14ac:dyDescent="0.2">
      <c r="A5647" t="str">
        <f>"20200111153542705"</f>
        <v>20200111153542705</v>
      </c>
      <c r="B5647" t="str">
        <f>"1578728142701111"</f>
        <v>1578728142701111</v>
      </c>
      <c r="C5647" t="s">
        <v>37</v>
      </c>
      <c r="D5647">
        <v>4.867102</v>
      </c>
      <c r="E5647">
        <v>0.50943119999999997</v>
      </c>
      <c r="F5647" t="s">
        <v>76</v>
      </c>
      <c r="G5647">
        <v>-245.2878</v>
      </c>
      <c r="H5647" s="1">
        <v>-2.131053E-6</v>
      </c>
      <c r="I5647">
        <v>-63.673850000000002</v>
      </c>
      <c r="J5647">
        <v>-267.16039999999998</v>
      </c>
      <c r="K5647">
        <v>1.1062000000000001</v>
      </c>
      <c r="L5647">
        <v>-63.379550000000002</v>
      </c>
      <c r="M5647">
        <v>0.99536719999999901</v>
      </c>
      <c r="N5647">
        <v>0</v>
      </c>
      <c r="O5647">
        <v>-9.6113920000000005E-2</v>
      </c>
      <c r="P5647">
        <v>0.99987329999999996</v>
      </c>
      <c r="Q5647">
        <v>1.2619180000000001E-2</v>
      </c>
      <c r="R5647">
        <v>9.7043879999999996E-3</v>
      </c>
      <c r="S5647">
        <v>3.0025629999999999</v>
      </c>
      <c r="T5647">
        <v>-0.1504886</v>
      </c>
      <c r="U5647">
        <v>-4.2541500000000003E-2</v>
      </c>
      <c r="V5647">
        <v>-0.1058759</v>
      </c>
      <c r="W5647">
        <v>1.429015E-2</v>
      </c>
      <c r="X5647">
        <v>0.99427659999999995</v>
      </c>
      <c r="Y5647">
        <v>-8.1780309999999995E-2</v>
      </c>
      <c r="Z5647">
        <v>6.8556090000000004E-3</v>
      </c>
      <c r="AA5647">
        <v>0.99662680000000003</v>
      </c>
      <c r="AB5647">
        <v>38</v>
      </c>
      <c r="AC5647">
        <v>21.872599999999899</v>
      </c>
      <c r="AD5647">
        <v>-1.1062021310529999</v>
      </c>
      <c r="AE5647">
        <v>-0.29429999999999901</v>
      </c>
      <c r="AF5647">
        <v>-1.80471513362721</v>
      </c>
      <c r="AG5647">
        <v>-1.1062021310529999</v>
      </c>
      <c r="AH5647">
        <v>21.7440161070143</v>
      </c>
      <c r="AI5647">
        <v>92.902384398737198</v>
      </c>
      <c r="AJ5647">
        <v>94.744574312075699</v>
      </c>
      <c r="AK5647">
        <v>21.846805632182999</v>
      </c>
    </row>
    <row r="5648" spans="1:37" x14ac:dyDescent="0.2">
      <c r="A5648" t="str">
        <f>"20200111153542715"</f>
        <v>20200111153542715</v>
      </c>
      <c r="B5648" t="str">
        <f>"1578728142711848"</f>
        <v>1578728142711848</v>
      </c>
      <c r="C5648" t="s">
        <v>37</v>
      </c>
      <c r="D5648">
        <v>4.8861910000000002</v>
      </c>
      <c r="E5648">
        <v>0.50905999999999996</v>
      </c>
      <c r="F5648" t="s">
        <v>76</v>
      </c>
      <c r="G5648">
        <v>-245.06</v>
      </c>
      <c r="H5648" s="1">
        <v>-2.0288419999999998E-6</v>
      </c>
      <c r="I5648">
        <v>-63.6571199999999</v>
      </c>
      <c r="J5648">
        <v>-266.97329999999999</v>
      </c>
      <c r="K5648">
        <v>1.1062099999999999</v>
      </c>
      <c r="L5648">
        <v>-63.396609999999903</v>
      </c>
      <c r="M5648">
        <v>0.99551840000000003</v>
      </c>
      <c r="N5648">
        <v>0</v>
      </c>
      <c r="O5648">
        <v>-9.4534389999999996E-2</v>
      </c>
      <c r="P5648">
        <v>0.99985669999999904</v>
      </c>
      <c r="Q5648">
        <v>1.2857520000000001E-2</v>
      </c>
      <c r="R5648">
        <v>1.1019549999999999E-2</v>
      </c>
      <c r="S5648">
        <v>3.0026549999999999</v>
      </c>
      <c r="T5648">
        <v>-0.15029310000000001</v>
      </c>
      <c r="U5648">
        <v>-3.771973E-2</v>
      </c>
      <c r="V5648">
        <v>-0.1056077</v>
      </c>
      <c r="W5648">
        <v>1.454714E-2</v>
      </c>
      <c r="X5648">
        <v>0.9943014</v>
      </c>
      <c r="Y5648">
        <v>-8.1801979999999996E-2</v>
      </c>
      <c r="Z5648">
        <v>6.7684980000000004E-3</v>
      </c>
      <c r="AA5648">
        <v>0.996625599999999</v>
      </c>
      <c r="AB5648">
        <v>38</v>
      </c>
      <c r="AC5648">
        <v>21.9132999999999</v>
      </c>
      <c r="AD5648">
        <v>-1.1062120288420001</v>
      </c>
      <c r="AE5648">
        <v>-0.26050999999999602</v>
      </c>
      <c r="AF5648">
        <v>-1.8076179023285199</v>
      </c>
      <c r="AG5648">
        <v>-1.1062120288420001</v>
      </c>
      <c r="AH5648">
        <v>21.784283602994801</v>
      </c>
      <c r="AI5648">
        <v>92.897059273911097</v>
      </c>
      <c r="AJ5648">
        <v>94.743426629461695</v>
      </c>
      <c r="AK5648">
        <v>21.887124060261499</v>
      </c>
    </row>
    <row r="5649" spans="1:37" x14ac:dyDescent="0.2">
      <c r="A5649" t="str">
        <f>"20200111153542727"</f>
        <v>20200111153542727</v>
      </c>
      <c r="B5649" t="str">
        <f>"1578728142721606"</f>
        <v>1578728142721606</v>
      </c>
      <c r="C5649" t="s">
        <v>37</v>
      </c>
      <c r="D5649">
        <v>4.8481230000000002</v>
      </c>
      <c r="E5649">
        <v>0.50868690000000005</v>
      </c>
      <c r="F5649" t="s">
        <v>76</v>
      </c>
      <c r="G5649">
        <v>-244.93219999999999</v>
      </c>
      <c r="H5649" s="1">
        <v>-1.9645279999999999E-6</v>
      </c>
      <c r="I5649">
        <v>-63.621450000000003</v>
      </c>
      <c r="J5649">
        <v>-266.77940000000001</v>
      </c>
      <c r="K5649">
        <v>1.1062299999999901</v>
      </c>
      <c r="L5649">
        <v>-63.413879999999999</v>
      </c>
      <c r="M5649">
        <v>0.99567320000000004</v>
      </c>
      <c r="N5649">
        <v>0</v>
      </c>
      <c r="O5649">
        <v>-9.2888970000000001E-2</v>
      </c>
      <c r="P5649">
        <v>0.99983080000000002</v>
      </c>
      <c r="Q5649">
        <v>1.328669E-2</v>
      </c>
      <c r="R5649">
        <v>1.27175E-2</v>
      </c>
      <c r="S5649">
        <v>3.0027469999999998</v>
      </c>
      <c r="T5649">
        <v>-0.15070320000000001</v>
      </c>
      <c r="U5649">
        <v>-3.0639650000000001E-2</v>
      </c>
      <c r="V5649">
        <v>-0.10565670000000001</v>
      </c>
      <c r="W5649">
        <v>1.499198E-2</v>
      </c>
      <c r="X5649">
        <v>0.9942896</v>
      </c>
      <c r="Y5649">
        <v>-8.2504789999999995E-2</v>
      </c>
      <c r="Z5649">
        <v>6.7223519999999896E-3</v>
      </c>
      <c r="AA5649">
        <v>0.99656800000000001</v>
      </c>
      <c r="AB5649">
        <v>38</v>
      </c>
      <c r="AC5649">
        <v>21.847200000000001</v>
      </c>
      <c r="AD5649">
        <v>-1.1062319645280001</v>
      </c>
      <c r="AE5649">
        <v>-0.20756999999999601</v>
      </c>
      <c r="AF5649">
        <v>-1.81803711748175</v>
      </c>
      <c r="AG5649">
        <v>-1.1062319645280001</v>
      </c>
      <c r="AH5649">
        <v>21.716349961564301</v>
      </c>
      <c r="AI5649">
        <v>92.905981157111597</v>
      </c>
      <c r="AJ5649">
        <v>94.785496627128296</v>
      </c>
      <c r="AK5649">
        <v>21.8203772600984</v>
      </c>
    </row>
    <row r="5650" spans="1:37" x14ac:dyDescent="0.2">
      <c r="A5650" t="str">
        <f>"20200111153542738"</f>
        <v>20200111153542738</v>
      </c>
      <c r="B5650" t="str">
        <f>"1578728142731367"</f>
        <v>1578728142731367</v>
      </c>
      <c r="C5650" t="s">
        <v>37</v>
      </c>
      <c r="D5650">
        <v>4.9125480000000001</v>
      </c>
      <c r="E5650">
        <v>0.50829859999999905</v>
      </c>
      <c r="F5650" t="s">
        <v>76</v>
      </c>
      <c r="G5650">
        <v>-244.6711</v>
      </c>
      <c r="H5650" s="1">
        <v>-1.8410269999999999E-6</v>
      </c>
      <c r="I5650">
        <v>-63.578299999999999</v>
      </c>
      <c r="J5650">
        <v>-266.58760000000001</v>
      </c>
      <c r="K5650">
        <v>1.106249</v>
      </c>
      <c r="L5650">
        <v>-63.430790000000002</v>
      </c>
      <c r="M5650">
        <v>0.99582420000000005</v>
      </c>
      <c r="N5650">
        <v>0</v>
      </c>
      <c r="O5650">
        <v>-9.125788E-2</v>
      </c>
      <c r="P5650">
        <v>0.99980899999999995</v>
      </c>
      <c r="Q5650">
        <v>1.37022999999999E-2</v>
      </c>
      <c r="R5650">
        <v>1.394187E-2</v>
      </c>
      <c r="S5650">
        <v>3.0027159999999999</v>
      </c>
      <c r="T5650">
        <v>-0.15024599999999999</v>
      </c>
      <c r="U5650">
        <v>-2.233887E-2</v>
      </c>
      <c r="V5650">
        <v>-0.1052492</v>
      </c>
      <c r="W5650">
        <v>1.5426799999999999E-2</v>
      </c>
      <c r="X5650">
        <v>0.99432619999999905</v>
      </c>
      <c r="Y5650">
        <v>-8.3628839999999996E-2</v>
      </c>
      <c r="Z5650">
        <v>6.6490999999999998E-3</v>
      </c>
      <c r="AA5650">
        <v>0.99647479999999999</v>
      </c>
      <c r="AB5650">
        <v>38</v>
      </c>
      <c r="AC5650">
        <v>21.916499999999999</v>
      </c>
      <c r="AD5650">
        <v>-1.106250841027</v>
      </c>
      <c r="AE5650">
        <v>-0.14750999999999601</v>
      </c>
      <c r="AF5650">
        <v>-1.84845573221267</v>
      </c>
      <c r="AG5650">
        <v>-1.106250841027</v>
      </c>
      <c r="AH5650">
        <v>21.783013630498399</v>
      </c>
      <c r="AI5650">
        <v>92.896876370358996</v>
      </c>
      <c r="AJ5650">
        <v>94.850366279411105</v>
      </c>
      <c r="AK5650">
        <v>21.889272768726201</v>
      </c>
    </row>
    <row r="5651" spans="1:37" x14ac:dyDescent="0.2">
      <c r="A5651" t="str">
        <f>"20200111153542748"</f>
        <v>20200111153542748</v>
      </c>
      <c r="B5651" t="str">
        <f>"1578728142741127"</f>
        <v>1578728142741127</v>
      </c>
      <c r="C5651" t="s">
        <v>37</v>
      </c>
      <c r="D5651">
        <v>4.8700390000000002</v>
      </c>
      <c r="E5651">
        <v>0.50790859999999904</v>
      </c>
      <c r="F5651" t="s">
        <v>76</v>
      </c>
      <c r="G5651">
        <v>-244.4023</v>
      </c>
      <c r="H5651" s="1">
        <v>-1.7165790000000001E-6</v>
      </c>
      <c r="I5651">
        <v>-63.543909999999997</v>
      </c>
      <c r="J5651">
        <v>-266.40769999999998</v>
      </c>
      <c r="K5651">
        <v>1.106274</v>
      </c>
      <c r="L5651">
        <v>-63.44614</v>
      </c>
      <c r="M5651">
        <v>0.99596469999999904</v>
      </c>
      <c r="N5651">
        <v>0</v>
      </c>
      <c r="O5651">
        <v>-8.9709800000000006E-2</v>
      </c>
      <c r="P5651">
        <v>0.99978869999999898</v>
      </c>
      <c r="Q5651">
        <v>1.385801E-2</v>
      </c>
      <c r="R5651">
        <v>1.518457E-2</v>
      </c>
      <c r="S5651">
        <v>3.0028079999999999</v>
      </c>
      <c r="T5651">
        <v>-0.14973239999999999</v>
      </c>
      <c r="U5651">
        <v>-1.531982E-2</v>
      </c>
      <c r="V5651">
        <v>-0.1049413</v>
      </c>
      <c r="W5651">
        <v>1.559844E-2</v>
      </c>
      <c r="X5651">
        <v>0.99435609999999997</v>
      </c>
      <c r="Y5651">
        <v>-8.4411639999999996E-2</v>
      </c>
      <c r="Z5651">
        <v>6.5689719999999898E-3</v>
      </c>
      <c r="AA5651">
        <v>0.99640930000000005</v>
      </c>
      <c r="AB5651">
        <v>38</v>
      </c>
      <c r="AC5651">
        <v>22.005399999999899</v>
      </c>
      <c r="AD5651">
        <v>-1.106275716579</v>
      </c>
      <c r="AE5651">
        <v>-9.7769999999996998E-2</v>
      </c>
      <c r="AF5651">
        <v>-1.87199949826435</v>
      </c>
      <c r="AG5651">
        <v>-1.106275716579</v>
      </c>
      <c r="AH5651">
        <v>21.8701705996532</v>
      </c>
      <c r="AI5651">
        <v>92.885236110372603</v>
      </c>
      <c r="AJ5651">
        <v>94.892365519837696</v>
      </c>
      <c r="AK5651">
        <v>21.978002414699301</v>
      </c>
    </row>
    <row r="5652" spans="1:37" x14ac:dyDescent="0.2">
      <c r="A5652" t="str">
        <f>"20200111153542760"</f>
        <v>20200111153542760</v>
      </c>
      <c r="B5652" t="str">
        <f>"1578728142750887"</f>
        <v>1578728142750887</v>
      </c>
      <c r="C5652" t="s">
        <v>37</v>
      </c>
      <c r="D5652">
        <v>4.8896579999999998</v>
      </c>
      <c r="E5652">
        <v>0.50754829999999995</v>
      </c>
      <c r="F5652" t="s">
        <v>76</v>
      </c>
      <c r="G5652">
        <v>-244.2628</v>
      </c>
      <c r="H5652" s="1">
        <v>-1.6468920000000001E-6</v>
      </c>
      <c r="I5652">
        <v>-63.506839999999997</v>
      </c>
      <c r="J5652">
        <v>-266.21879999999999</v>
      </c>
      <c r="K5652">
        <v>1.1063000000000001</v>
      </c>
      <c r="L5652">
        <v>-63.46219</v>
      </c>
      <c r="M5652">
        <v>0.99611000000000005</v>
      </c>
      <c r="N5652">
        <v>0</v>
      </c>
      <c r="O5652">
        <v>-8.8080790000000006E-2</v>
      </c>
      <c r="P5652">
        <v>0.99976769999999904</v>
      </c>
      <c r="Q5652">
        <v>1.403773E-2</v>
      </c>
      <c r="R5652">
        <v>1.6362669999999999E-2</v>
      </c>
      <c r="S5652">
        <v>3.002869</v>
      </c>
      <c r="T5652">
        <v>-0.15001239999999999</v>
      </c>
      <c r="U5652">
        <v>-8.2397459999999992E-3</v>
      </c>
      <c r="V5652">
        <v>-0.1044891</v>
      </c>
      <c r="W5652">
        <v>1.579583E-2</v>
      </c>
      <c r="X5652">
        <v>0.99440059999999997</v>
      </c>
      <c r="Y5652">
        <v>-8.5131700000000005E-2</v>
      </c>
      <c r="Z5652">
        <v>6.5181500000000003E-3</v>
      </c>
      <c r="AA5652">
        <v>0.99634840000000002</v>
      </c>
      <c r="AB5652">
        <v>38</v>
      </c>
      <c r="AC5652">
        <v>21.9559999999999</v>
      </c>
      <c r="AD5652">
        <v>-1.1063016468919999</v>
      </c>
      <c r="AE5652">
        <v>-4.4650000000004297E-2</v>
      </c>
      <c r="AF5652">
        <v>-1.8846469327874</v>
      </c>
      <c r="AG5652">
        <v>-1.1063016468919999</v>
      </c>
      <c r="AH5652">
        <v>21.8192007048231</v>
      </c>
      <c r="AI5652">
        <v>92.891840185997395</v>
      </c>
      <c r="AJ5652">
        <v>94.936705491916101</v>
      </c>
      <c r="AK5652">
        <v>21.9283678551901</v>
      </c>
    </row>
    <row r="5653" spans="1:37" x14ac:dyDescent="0.2">
      <c r="A5653" t="str">
        <f>"20200111153542771"</f>
        <v>20200111153542771</v>
      </c>
      <c r="B5653" t="str">
        <f>"1578728142761623"</f>
        <v>1578728142761623</v>
      </c>
      <c r="C5653" t="s">
        <v>37</v>
      </c>
      <c r="D5653">
        <v>4.8788679999999998</v>
      </c>
      <c r="E5653">
        <v>0.50723390000000002</v>
      </c>
      <c r="F5653" t="s">
        <v>76</v>
      </c>
      <c r="G5653">
        <v>-244.1207</v>
      </c>
      <c r="H5653" s="1">
        <v>-1.5771760000000001E-6</v>
      </c>
      <c r="I5653">
        <v>-63.474029999999999</v>
      </c>
      <c r="J5653">
        <v>-266.03129999999999</v>
      </c>
      <c r="K5653">
        <v>1.106333</v>
      </c>
      <c r="L5653">
        <v>-63.477629999999998</v>
      </c>
      <c r="M5653">
        <v>0.99625379999999997</v>
      </c>
      <c r="N5653">
        <v>0</v>
      </c>
      <c r="O5653">
        <v>-8.6439059999999998E-2</v>
      </c>
      <c r="P5653">
        <v>0.99974470000000004</v>
      </c>
      <c r="Q5653">
        <v>1.420513E-2</v>
      </c>
      <c r="R5653">
        <v>1.7577820000000001E-2</v>
      </c>
      <c r="S5653">
        <v>3.0028380000000001</v>
      </c>
      <c r="T5653">
        <v>-0.150331399999999</v>
      </c>
      <c r="U5653">
        <v>-1.617432E-3</v>
      </c>
      <c r="V5653">
        <v>-0.104060999999999</v>
      </c>
      <c r="W5653">
        <v>1.597987E-2</v>
      </c>
      <c r="X5653">
        <v>0.99444249999999901</v>
      </c>
      <c r="Y5653">
        <v>-8.5687349999999995E-2</v>
      </c>
      <c r="Z5653">
        <v>6.4641759999999899E-3</v>
      </c>
      <c r="AA5653">
        <v>0.99630110000000005</v>
      </c>
      <c r="AB5653">
        <v>38</v>
      </c>
      <c r="AC5653">
        <v>21.910599999999899</v>
      </c>
      <c r="AD5653">
        <v>-1.106334577176</v>
      </c>
      <c r="AE5653">
        <v>3.5999999999987101E-3</v>
      </c>
      <c r="AF5653">
        <v>-1.89269895517275</v>
      </c>
      <c r="AG5653">
        <v>-1.106334577176</v>
      </c>
      <c r="AH5653">
        <v>21.7727690855574</v>
      </c>
      <c r="AI5653">
        <v>92.897944952775205</v>
      </c>
      <c r="AJ5653">
        <v>94.968212012474098</v>
      </c>
      <c r="AK5653">
        <v>21.882864510492499</v>
      </c>
    </row>
    <row r="5654" spans="1:37" x14ac:dyDescent="0.2">
      <c r="A5654" t="str">
        <f>"20200111153542783"</f>
        <v>20200111153542783</v>
      </c>
      <c r="B5654" t="str">
        <f>"1578728142771384"</f>
        <v>1578728142771384</v>
      </c>
      <c r="C5654" t="s">
        <v>37</v>
      </c>
      <c r="D5654">
        <v>4.8752779999999998</v>
      </c>
      <c r="E5654">
        <v>0.50693679999999997</v>
      </c>
      <c r="F5654" t="s">
        <v>76</v>
      </c>
      <c r="G5654">
        <v>-243.9451</v>
      </c>
      <c r="H5654" s="1">
        <v>-1.4939019999999901E-6</v>
      </c>
      <c r="I5654">
        <v>-63.444130000000001</v>
      </c>
      <c r="J5654">
        <v>-265.84359999999998</v>
      </c>
      <c r="K5654">
        <v>1.1063639999999999</v>
      </c>
      <c r="L5654">
        <v>-63.49286</v>
      </c>
      <c r="M5654">
        <v>0.9963957</v>
      </c>
      <c r="N5654">
        <v>0</v>
      </c>
      <c r="O5654">
        <v>-8.4787459999999995E-2</v>
      </c>
      <c r="P5654">
        <v>0.99971339999999997</v>
      </c>
      <c r="Q5654">
        <v>1.453895E-2</v>
      </c>
      <c r="R5654">
        <v>1.902527E-2</v>
      </c>
      <c r="S5654">
        <v>3.0028079999999999</v>
      </c>
      <c r="T5654">
        <v>-0.15041599999999999</v>
      </c>
      <c r="U5654">
        <v>4.5471189999999996E-3</v>
      </c>
      <c r="V5654">
        <v>-0.10385610000000001</v>
      </c>
      <c r="W5654">
        <v>1.6328390000000002E-2</v>
      </c>
      <c r="X5654">
        <v>0.99445830000000002</v>
      </c>
      <c r="Y5654">
        <v>-8.6082439999999996E-2</v>
      </c>
      <c r="Z5654">
        <v>6.3954049999999998E-3</v>
      </c>
      <c r="AA5654">
        <v>0.99626749999999997</v>
      </c>
      <c r="AB5654">
        <v>38</v>
      </c>
      <c r="AC5654">
        <v>21.898499999999899</v>
      </c>
      <c r="AD5654">
        <v>-1.106365493902</v>
      </c>
      <c r="AE5654">
        <v>4.8729999999999003E-2</v>
      </c>
      <c r="AF5654">
        <v>-1.9004280843450001</v>
      </c>
      <c r="AG5654">
        <v>-1.106365493902</v>
      </c>
      <c r="AH5654">
        <v>21.7599701765226</v>
      </c>
      <c r="AI5654">
        <v>92.899625753379695</v>
      </c>
      <c r="AJ5654">
        <v>94.991317598990307</v>
      </c>
      <c r="AK5654">
        <v>21.870801850709899</v>
      </c>
    </row>
    <row r="5655" spans="1:37" x14ac:dyDescent="0.2">
      <c r="A5655" t="str">
        <f>"20200111153542793"</f>
        <v>20200111153542793</v>
      </c>
      <c r="B5655" t="str">
        <f>"1578728142781143"</f>
        <v>1578728142781143</v>
      </c>
      <c r="C5655" t="s">
        <v>37</v>
      </c>
      <c r="D5655">
        <v>4.8317309999999898</v>
      </c>
      <c r="E5655">
        <v>0.50667740000000006</v>
      </c>
      <c r="F5655" t="s">
        <v>76</v>
      </c>
      <c r="G5655">
        <v>-243.6994</v>
      </c>
      <c r="H5655" s="1">
        <v>-1.37929E-6</v>
      </c>
      <c r="I5655">
        <v>-63.409529999999997</v>
      </c>
      <c r="J5655">
        <v>-265.64569999999998</v>
      </c>
      <c r="K5655">
        <v>1.106406</v>
      </c>
      <c r="L5655">
        <v>-63.508510000000001</v>
      </c>
      <c r="M5655">
        <v>0.99654409999999904</v>
      </c>
      <c r="N5655">
        <v>0</v>
      </c>
      <c r="O5655">
        <v>-8.3024059999999997E-2</v>
      </c>
      <c r="P5655">
        <v>0.99968250000000003</v>
      </c>
      <c r="Q5655">
        <v>1.463101E-2</v>
      </c>
      <c r="R5655">
        <v>2.051656E-2</v>
      </c>
      <c r="S5655">
        <v>3.0028079999999999</v>
      </c>
      <c r="T5655">
        <v>-0.15002570000000001</v>
      </c>
      <c r="U5655">
        <v>1.1291499999999999E-2</v>
      </c>
      <c r="V5655">
        <v>-0.1035823</v>
      </c>
      <c r="W5655">
        <v>1.6435189999999999E-2</v>
      </c>
      <c r="X5655">
        <v>0.99448510000000001</v>
      </c>
      <c r="Y5655">
        <v>-8.6559709999999998E-2</v>
      </c>
      <c r="Z5655">
        <v>6.3030050000000004E-3</v>
      </c>
      <c r="AA5655">
        <v>0.99622670000000002</v>
      </c>
      <c r="AB5655">
        <v>39</v>
      </c>
      <c r="AC5655">
        <v>21.946299999999901</v>
      </c>
      <c r="AD5655">
        <v>-1.10640737929</v>
      </c>
      <c r="AE5655">
        <v>9.8979999999997403E-2</v>
      </c>
      <c r="AF5655">
        <v>-1.91584623405605</v>
      </c>
      <c r="AG5655">
        <v>-1.10640737929</v>
      </c>
      <c r="AH5655">
        <v>21.806889770199501</v>
      </c>
      <c r="AI5655">
        <v>92.8933765512799</v>
      </c>
      <c r="AJ5655">
        <v>95.020834471984202</v>
      </c>
      <c r="AK5655">
        <v>21.918828562017801</v>
      </c>
    </row>
    <row r="5656" spans="1:37" x14ac:dyDescent="0.2">
      <c r="A5656" t="str">
        <f>"20200111153542805"</f>
        <v>20200111153542805</v>
      </c>
      <c r="B5656" t="str">
        <f>"1578728142801639"</f>
        <v>1578728142801639</v>
      </c>
      <c r="C5656" t="s">
        <v>37</v>
      </c>
      <c r="D5656">
        <v>4.8424670000000001</v>
      </c>
      <c r="E5656">
        <v>0.50617889999999999</v>
      </c>
      <c r="F5656" t="s">
        <v>76</v>
      </c>
      <c r="G5656">
        <v>-243.52860000000001</v>
      </c>
      <c r="H5656" s="1">
        <v>-1.297281E-6</v>
      </c>
      <c r="I5656">
        <v>-63.376730000000002</v>
      </c>
      <c r="J5656">
        <v>-265.45069999999998</v>
      </c>
      <c r="K5656">
        <v>1.106447</v>
      </c>
      <c r="L5656">
        <v>-63.523589999999999</v>
      </c>
      <c r="M5656">
        <v>0.99668849999999998</v>
      </c>
      <c r="N5656">
        <v>0</v>
      </c>
      <c r="O5656">
        <v>-8.1270220000000004E-2</v>
      </c>
      <c r="P5656">
        <v>0.99964730000000002</v>
      </c>
      <c r="Q5656">
        <v>1.482433E-2</v>
      </c>
      <c r="R5656">
        <v>2.2036790000000001E-2</v>
      </c>
      <c r="S5656">
        <v>3.002777</v>
      </c>
      <c r="T5656">
        <v>-0.15021379999999901</v>
      </c>
      <c r="U5656">
        <v>1.7883300000000001E-2</v>
      </c>
      <c r="V5656">
        <v>-0.103347699999999</v>
      </c>
      <c r="W5656">
        <v>1.6643060000000001E-2</v>
      </c>
      <c r="X5656">
        <v>0.99450609999999995</v>
      </c>
      <c r="Y5656">
        <v>-8.6994600000000005E-2</v>
      </c>
      <c r="Z5656">
        <v>6.23442599999999E-3</v>
      </c>
      <c r="AA5656">
        <v>0.99618930000000006</v>
      </c>
      <c r="AB5656">
        <v>39</v>
      </c>
      <c r="AC5656">
        <v>21.922099999999901</v>
      </c>
      <c r="AD5656">
        <v>-1.1064482972809999</v>
      </c>
      <c r="AE5656">
        <v>0.14686000000000299</v>
      </c>
      <c r="AF5656">
        <v>-1.9230958062132999</v>
      </c>
      <c r="AG5656">
        <v>-1.1064482972809999</v>
      </c>
      <c r="AH5656">
        <v>21.782162584054699</v>
      </c>
      <c r="AI5656">
        <v>92.896653159195694</v>
      </c>
      <c r="AJ5656">
        <v>95.045427286355704</v>
      </c>
      <c r="AK5656">
        <v>21.8948654289681</v>
      </c>
    </row>
    <row r="5657" spans="1:37" x14ac:dyDescent="0.2">
      <c r="A5657" t="str">
        <f>"20200111153542816"</f>
        <v>20200111153542816</v>
      </c>
      <c r="B5657" t="str">
        <f>"1578728142811399"</f>
        <v>1578728142811399</v>
      </c>
      <c r="C5657" t="s">
        <v>37</v>
      </c>
      <c r="D5657">
        <v>4.8237170000000003</v>
      </c>
      <c r="E5657">
        <v>0.50595409999999996</v>
      </c>
      <c r="F5657" t="s">
        <v>76</v>
      </c>
      <c r="G5657">
        <v>-243.40700000000001</v>
      </c>
      <c r="H5657" s="1">
        <v>-1.2324959999999999E-6</v>
      </c>
      <c r="I5657">
        <v>-63.32929</v>
      </c>
      <c r="J5657">
        <v>-265.24900000000002</v>
      </c>
      <c r="K5657">
        <v>1.1064909999999999</v>
      </c>
      <c r="L5657">
        <v>-63.538939999999997</v>
      </c>
      <c r="M5657">
        <v>0.9968359</v>
      </c>
      <c r="N5657">
        <v>0</v>
      </c>
      <c r="O5657">
        <v>-7.9440460000000004E-2</v>
      </c>
      <c r="P5657">
        <v>0.99961650000000002</v>
      </c>
      <c r="Q5657">
        <v>1.507465E-2</v>
      </c>
      <c r="R5657">
        <v>2.3227270000000001E-2</v>
      </c>
      <c r="S5657">
        <v>3.0027159999999999</v>
      </c>
      <c r="T5657">
        <v>-0.15071609999999999</v>
      </c>
      <c r="U5657">
        <v>2.6458740000000001E-2</v>
      </c>
      <c r="V5657">
        <v>-0.102709799999999</v>
      </c>
      <c r="W5657">
        <v>1.691148E-2</v>
      </c>
      <c r="X5657">
        <v>0.9945676</v>
      </c>
      <c r="Y5657">
        <v>-8.8010420000000006E-2</v>
      </c>
      <c r="Z5657">
        <v>6.1893319999999996E-3</v>
      </c>
      <c r="AA5657">
        <v>0.99610030000000005</v>
      </c>
      <c r="AB5657">
        <v>39</v>
      </c>
      <c r="AC5657">
        <v>21.841999999999999</v>
      </c>
      <c r="AD5657">
        <v>-1.10649223249599</v>
      </c>
      <c r="AE5657">
        <v>0.209650000000003</v>
      </c>
      <c r="AF5657">
        <v>-1.93915631870651</v>
      </c>
      <c r="AG5657">
        <v>-1.10649223249599</v>
      </c>
      <c r="AH5657">
        <v>21.700629779202099</v>
      </c>
      <c r="AI5657">
        <v>92.907358812645697</v>
      </c>
      <c r="AJ5657">
        <v>95.106356496870703</v>
      </c>
      <c r="AK5657">
        <v>21.8151778609056</v>
      </c>
    </row>
    <row r="5658" spans="1:37" x14ac:dyDescent="0.2">
      <c r="A5658" t="str">
        <f>"20200111153542827"</f>
        <v>20200111153542827</v>
      </c>
      <c r="B5658" t="str">
        <f>"1578728142821159"</f>
        <v>1578728142821159</v>
      </c>
      <c r="C5658" t="s">
        <v>37</v>
      </c>
      <c r="D5658">
        <v>4.8559080000000003</v>
      </c>
      <c r="E5658">
        <v>0.50573009999999996</v>
      </c>
      <c r="F5658" t="s">
        <v>76</v>
      </c>
      <c r="G5658">
        <v>-243.1781</v>
      </c>
      <c r="H5658" s="1">
        <v>-1.127478E-6</v>
      </c>
      <c r="I5658">
        <v>-63.303569999999901</v>
      </c>
      <c r="J5658">
        <v>-265.05700000000002</v>
      </c>
      <c r="K5658">
        <v>1.106533</v>
      </c>
      <c r="L5658">
        <v>-63.553040000000003</v>
      </c>
      <c r="M5658">
        <v>0.99697479999999905</v>
      </c>
      <c r="N5658">
        <v>0</v>
      </c>
      <c r="O5658">
        <v>-7.7676729999999999E-2</v>
      </c>
      <c r="P5658">
        <v>0.99957750000000001</v>
      </c>
      <c r="Q5658">
        <v>1.528827E-2</v>
      </c>
      <c r="R5658">
        <v>2.4723620000000002E-2</v>
      </c>
      <c r="S5658">
        <v>3.0026549999999999</v>
      </c>
      <c r="T5658">
        <v>-0.150534</v>
      </c>
      <c r="U5658">
        <v>3.2012939999999997E-2</v>
      </c>
      <c r="V5658">
        <v>-0.1024424</v>
      </c>
      <c r="W5658">
        <v>1.7139370000000001E-2</v>
      </c>
      <c r="X5658">
        <v>0.99459129999999996</v>
      </c>
      <c r="Y5658">
        <v>-8.8093279999999996E-2</v>
      </c>
      <c r="Z5658">
        <v>6.0959050000000004E-3</v>
      </c>
      <c r="AA5658">
        <v>0.99609360000000002</v>
      </c>
      <c r="AB5658">
        <v>39</v>
      </c>
      <c r="AC5658">
        <v>21.878900000000002</v>
      </c>
      <c r="AD5658">
        <v>-1.1065341274779901</v>
      </c>
      <c r="AE5658">
        <v>0.24947000000000899</v>
      </c>
      <c r="AF5658">
        <v>-1.9432341925241301</v>
      </c>
      <c r="AG5658">
        <v>-1.1065341274779901</v>
      </c>
      <c r="AH5658">
        <v>21.737821150404798</v>
      </c>
      <c r="AI5658">
        <v>92.902493894905902</v>
      </c>
      <c r="AJ5658">
        <v>95.108329351520098</v>
      </c>
      <c r="AK5658">
        <v>21.8525386458703</v>
      </c>
    </row>
    <row r="5659" spans="1:37" x14ac:dyDescent="0.2">
      <c r="A5659" t="str">
        <f>"20200111153542838"</f>
        <v>20200111153542838</v>
      </c>
      <c r="B5659" t="str">
        <f>"1578728142830919"</f>
        <v>1578728142830919</v>
      </c>
      <c r="C5659" t="s">
        <v>37</v>
      </c>
      <c r="D5659">
        <v>4.8625489999999996</v>
      </c>
      <c r="E5659">
        <v>0.50552459999999999</v>
      </c>
      <c r="F5659" t="s">
        <v>76</v>
      </c>
      <c r="G5659">
        <v>-242.9562</v>
      </c>
      <c r="H5659" s="1">
        <v>-1.0237550000000001E-6</v>
      </c>
      <c r="I5659">
        <v>-63.271519999999903</v>
      </c>
      <c r="J5659">
        <v>-264.87009999999998</v>
      </c>
      <c r="K5659">
        <v>1.1065739999999999</v>
      </c>
      <c r="L5659">
        <v>-63.566619999999901</v>
      </c>
      <c r="M5659">
        <v>0.99710759999999898</v>
      </c>
      <c r="N5659">
        <v>0</v>
      </c>
      <c r="O5659">
        <v>-7.5954469999999996E-2</v>
      </c>
      <c r="P5659">
        <v>0.99953910000000001</v>
      </c>
      <c r="Q5659">
        <v>1.5516169999999999E-2</v>
      </c>
      <c r="R5659">
        <v>2.6095489999999999E-2</v>
      </c>
      <c r="S5659">
        <v>3.0026250000000001</v>
      </c>
      <c r="T5659">
        <v>-0.1503342</v>
      </c>
      <c r="U5659">
        <v>3.823853E-2</v>
      </c>
      <c r="V5659">
        <v>-0.1020929</v>
      </c>
      <c r="W5659">
        <v>1.738205E-2</v>
      </c>
      <c r="X5659">
        <v>0.99462299999999904</v>
      </c>
      <c r="Y5659">
        <v>-8.8440019999999994E-2</v>
      </c>
      <c r="Z5659">
        <v>6.0105609999999898E-3</v>
      </c>
      <c r="AA5659">
        <v>0.99606340000000004</v>
      </c>
      <c r="AB5659">
        <v>39</v>
      </c>
      <c r="AC5659">
        <v>21.913899999999899</v>
      </c>
      <c r="AD5659">
        <v>-1.1065750237549901</v>
      </c>
      <c r="AE5659">
        <v>0.29509999999999698</v>
      </c>
      <c r="AF5659">
        <v>-1.9537314060317299</v>
      </c>
      <c r="AG5659">
        <v>-1.1065750237549901</v>
      </c>
      <c r="AH5659">
        <v>21.772674340065102</v>
      </c>
      <c r="AI5659">
        <v>92.897875350074898</v>
      </c>
      <c r="AJ5659">
        <v>95.127599634261202</v>
      </c>
      <c r="AK5659">
        <v>21.888145709690502</v>
      </c>
    </row>
    <row r="5660" spans="1:37" x14ac:dyDescent="0.2">
      <c r="A5660" t="str">
        <f>"20200111153542849"</f>
        <v>20200111153542849</v>
      </c>
      <c r="B5660" t="str">
        <f>"1578728142841655"</f>
        <v>1578728142841655</v>
      </c>
      <c r="C5660" t="s">
        <v>37</v>
      </c>
      <c r="D5660">
        <v>5.9005890000000001</v>
      </c>
      <c r="E5660">
        <v>0.50538879999999997</v>
      </c>
      <c r="F5660" t="s">
        <v>76</v>
      </c>
      <c r="G5660">
        <v>-242.739</v>
      </c>
      <c r="H5660" s="1">
        <v>-9.2271829999999997E-7</v>
      </c>
      <c r="I5660">
        <v>-63.241979999999998</v>
      </c>
      <c r="J5660">
        <v>-264.6798</v>
      </c>
      <c r="K5660">
        <v>1.1066100000000001</v>
      </c>
      <c r="L5660">
        <v>-63.579830000000001</v>
      </c>
      <c r="M5660">
        <v>0.99724109999999999</v>
      </c>
      <c r="N5660">
        <v>0</v>
      </c>
      <c r="O5660">
        <v>-7.4179049999999996E-2</v>
      </c>
      <c r="P5660">
        <v>0.99949429999999995</v>
      </c>
      <c r="Q5660">
        <v>1.590432E-2</v>
      </c>
      <c r="R5660">
        <v>2.7539930000000001E-2</v>
      </c>
      <c r="S5660">
        <v>3.0025629999999999</v>
      </c>
      <c r="T5660">
        <v>-0.15013099999999999</v>
      </c>
      <c r="U5660">
        <v>4.4036869999999999E-2</v>
      </c>
      <c r="V5660">
        <v>-0.10176449999999999</v>
      </c>
      <c r="W5660">
        <v>1.7785390000000002E-2</v>
      </c>
      <c r="X5660">
        <v>0.99464949999999996</v>
      </c>
      <c r="Y5660">
        <v>-8.8592580000000004E-2</v>
      </c>
      <c r="Z5660">
        <v>5.917823E-3</v>
      </c>
      <c r="AA5660">
        <v>0.9960504</v>
      </c>
      <c r="AB5660">
        <v>39</v>
      </c>
      <c r="AC5660">
        <v>21.940799999999999</v>
      </c>
      <c r="AD5660">
        <v>-1.1066109227183001</v>
      </c>
      <c r="AE5660">
        <v>0.33784999999999599</v>
      </c>
      <c r="AF5660">
        <v>-1.9594897352513401</v>
      </c>
      <c r="AG5660">
        <v>-1.1066109227183001</v>
      </c>
      <c r="AH5660">
        <v>21.799848241141099</v>
      </c>
      <c r="AI5660">
        <v>92.894323774077805</v>
      </c>
      <c r="AJ5660">
        <v>95.136255470914193</v>
      </c>
      <c r="AK5660">
        <v>21.915692348032699</v>
      </c>
    </row>
    <row r="5661" spans="1:37" x14ac:dyDescent="0.2">
      <c r="A5661" t="str">
        <f>"20200111153542861"</f>
        <v>20200111153542861</v>
      </c>
      <c r="B5661" t="str">
        <f>"1578728142851415"</f>
        <v>1578728142851415</v>
      </c>
      <c r="C5661" t="s">
        <v>37</v>
      </c>
      <c r="D5661">
        <v>4.8906660000000004</v>
      </c>
      <c r="E5661">
        <v>0.50523090000000004</v>
      </c>
      <c r="F5661" t="s">
        <v>76</v>
      </c>
      <c r="G5661">
        <v>-242.37809999999999</v>
      </c>
      <c r="H5661" s="1">
        <v>-7.6003789999999997E-7</v>
      </c>
      <c r="I5661">
        <v>-63.212559999999897</v>
      </c>
      <c r="J5661">
        <v>-264.48430000000002</v>
      </c>
      <c r="K5661">
        <v>1.106644</v>
      </c>
      <c r="L5661">
        <v>-63.593319999999999</v>
      </c>
      <c r="M5661">
        <v>0.99737540000000002</v>
      </c>
      <c r="N5661">
        <v>0</v>
      </c>
      <c r="O5661">
        <v>-7.2351280000000004E-2</v>
      </c>
      <c r="P5661">
        <v>0.99943899999999997</v>
      </c>
      <c r="Q5661">
        <v>1.6150080000000001E-2</v>
      </c>
      <c r="R5661">
        <v>2.9342839999999999E-2</v>
      </c>
      <c r="S5661">
        <v>3.0025019999999998</v>
      </c>
      <c r="T5661">
        <v>-0.1489837</v>
      </c>
      <c r="U5661">
        <v>4.943848E-2</v>
      </c>
      <c r="V5661">
        <v>-0.10173889999999999</v>
      </c>
      <c r="W5661">
        <v>1.8043790000000001E-2</v>
      </c>
      <c r="X5661">
        <v>0.99464750000000002</v>
      </c>
      <c r="Y5661">
        <v>-8.856427E-2</v>
      </c>
      <c r="Z5661">
        <v>5.78157699999999E-3</v>
      </c>
      <c r="AA5661">
        <v>0.99605370000000004</v>
      </c>
      <c r="AB5661">
        <v>39</v>
      </c>
      <c r="AC5661">
        <v>22.106200000000001</v>
      </c>
      <c r="AD5661">
        <v>-1.1066447600378999</v>
      </c>
      <c r="AE5661">
        <v>0.38076000000000199</v>
      </c>
      <c r="AF5661">
        <v>-1.9742340026835199</v>
      </c>
      <c r="AG5661">
        <v>-1.1066447600378999</v>
      </c>
      <c r="AH5661">
        <v>21.9656847208472</v>
      </c>
      <c r="AI5661">
        <v>92.872598523753595</v>
      </c>
      <c r="AJ5661">
        <v>95.135836232193199</v>
      </c>
      <c r="AK5661">
        <v>22.0819738197909</v>
      </c>
    </row>
    <row r="5662" spans="1:37" x14ac:dyDescent="0.2">
      <c r="A5662" t="str">
        <f>"20200111153542871"</f>
        <v>20200111153542871</v>
      </c>
      <c r="B5662" t="str">
        <f>"1578728142861176"</f>
        <v>1578728142861176</v>
      </c>
      <c r="C5662" t="s">
        <v>37</v>
      </c>
      <c r="D5662">
        <v>4.9016279999999997</v>
      </c>
      <c r="E5662">
        <v>0.50510059999999901</v>
      </c>
      <c r="F5662" t="s">
        <v>76</v>
      </c>
      <c r="G5662">
        <v>-242.0917</v>
      </c>
      <c r="H5662" s="1">
        <v>-6.2718249999999899E-7</v>
      </c>
      <c r="I5662">
        <v>-63.174919999999901</v>
      </c>
      <c r="J5662">
        <v>-264.29309999999998</v>
      </c>
      <c r="K5662">
        <v>1.106676</v>
      </c>
      <c r="L5662">
        <v>-63.605989999999998</v>
      </c>
      <c r="M5662">
        <v>0.99750409999999901</v>
      </c>
      <c r="N5662">
        <v>0</v>
      </c>
      <c r="O5662">
        <v>-7.0551630000000004E-2</v>
      </c>
      <c r="P5662">
        <v>0.99938709999999997</v>
      </c>
      <c r="Q5662">
        <v>1.620214E-2</v>
      </c>
      <c r="R5662">
        <v>3.1034539999999999E-2</v>
      </c>
      <c r="S5662">
        <v>3.0024109999999999</v>
      </c>
      <c r="T5662">
        <v>-0.14837990000000001</v>
      </c>
      <c r="U5662">
        <v>5.6091309999999998E-2</v>
      </c>
      <c r="V5662">
        <v>-0.1016302</v>
      </c>
      <c r="W5662">
        <v>1.8109589999999998E-2</v>
      </c>
      <c r="X5662">
        <v>0.99465740000000002</v>
      </c>
      <c r="Y5662">
        <v>-8.8977310000000004E-2</v>
      </c>
      <c r="Z5662">
        <v>5.6797719999999996E-3</v>
      </c>
      <c r="AA5662">
        <v>0.996017499999999</v>
      </c>
      <c r="AB5662">
        <v>39</v>
      </c>
      <c r="AC5662">
        <v>22.2013999999999</v>
      </c>
      <c r="AD5662">
        <v>-1.1066766271824999</v>
      </c>
      <c r="AE5662">
        <v>0.431070000000012</v>
      </c>
      <c r="AF5662">
        <v>-1.99140082767163</v>
      </c>
      <c r="AG5662">
        <v>-1.1066766271824999</v>
      </c>
      <c r="AH5662">
        <v>22.0608688766015</v>
      </c>
      <c r="AI5662">
        <v>92.860207622740305</v>
      </c>
      <c r="AJ5662">
        <v>95.158022659313104</v>
      </c>
      <c r="AK5662">
        <v>22.178195282849501</v>
      </c>
    </row>
    <row r="5663" spans="1:37" x14ac:dyDescent="0.2">
      <c r="A5663" t="str">
        <f>"20200111153542883"</f>
        <v>20200111153542883</v>
      </c>
      <c r="B5663" t="str">
        <f>"1578728142870935"</f>
        <v>1578728142870935</v>
      </c>
      <c r="C5663" t="s">
        <v>37</v>
      </c>
      <c r="D5663">
        <v>4.8999329999999999</v>
      </c>
      <c r="E5663">
        <v>0.50496790000000003</v>
      </c>
      <c r="F5663" t="s">
        <v>76</v>
      </c>
      <c r="G5663">
        <v>-241.90209999999999</v>
      </c>
      <c r="H5663" s="1">
        <v>-5.3696840000000004E-7</v>
      </c>
      <c r="I5663">
        <v>-63.141619999999897</v>
      </c>
      <c r="J5663">
        <v>-264.09969999999998</v>
      </c>
      <c r="K5663">
        <v>1.1067039999999999</v>
      </c>
      <c r="L5663">
        <v>-63.61853</v>
      </c>
      <c r="M5663">
        <v>0.99763159999999895</v>
      </c>
      <c r="N5663">
        <v>0</v>
      </c>
      <c r="O5663">
        <v>-6.8726200000000001E-2</v>
      </c>
      <c r="P5663">
        <v>0.99932809999999905</v>
      </c>
      <c r="Q5663">
        <v>1.6431939999999999E-2</v>
      </c>
      <c r="R5663">
        <v>3.277008E-2</v>
      </c>
      <c r="S5663">
        <v>3.00228899999999</v>
      </c>
      <c r="T5663">
        <v>-0.14838799999999999</v>
      </c>
      <c r="U5663">
        <v>6.2255860000000003E-2</v>
      </c>
      <c r="V5663">
        <v>-0.10154099999999899</v>
      </c>
      <c r="W5663">
        <v>1.8353689999999999E-2</v>
      </c>
      <c r="X5663">
        <v>0.99466200000000005</v>
      </c>
      <c r="Y5663">
        <v>-8.920169E-2</v>
      </c>
      <c r="Z5663">
        <v>5.5957759999999898E-3</v>
      </c>
      <c r="AA5663">
        <v>0.99599780000000004</v>
      </c>
      <c r="AB5663">
        <v>39</v>
      </c>
      <c r="AC5663">
        <v>22.197599999999898</v>
      </c>
      <c r="AD5663">
        <v>-1.1067045369684001</v>
      </c>
      <c r="AE5663">
        <v>0.47691000000000999</v>
      </c>
      <c r="AF5663">
        <v>-1.9963849344625999</v>
      </c>
      <c r="AG5663">
        <v>-1.1067045369684001</v>
      </c>
      <c r="AH5663">
        <v>22.057534888272901</v>
      </c>
      <c r="AI5663">
        <v>92.860649897400094</v>
      </c>
      <c r="AJ5663">
        <v>95.171639672473503</v>
      </c>
      <c r="AK5663">
        <v>22.175328477523699</v>
      </c>
    </row>
    <row r="5664" spans="1:37" x14ac:dyDescent="0.2">
      <c r="A5664" t="str">
        <f>"20200111153542894"</f>
        <v>20200111153542894</v>
      </c>
      <c r="B5664" t="str">
        <f>"1578728142881672"</f>
        <v>1578728142881672</v>
      </c>
      <c r="C5664" t="s">
        <v>37</v>
      </c>
      <c r="D5664">
        <v>4.8989050000000001</v>
      </c>
      <c r="E5664">
        <v>0.50481819999999999</v>
      </c>
      <c r="F5664" t="s">
        <v>76</v>
      </c>
      <c r="G5664">
        <v>-241.60749999999999</v>
      </c>
      <c r="H5664" s="1">
        <v>-4.0085209999999999E-7</v>
      </c>
      <c r="I5664">
        <v>-63.104950000000002</v>
      </c>
      <c r="J5664">
        <v>-263.89699999999999</v>
      </c>
      <c r="K5664">
        <v>1.106733</v>
      </c>
      <c r="L5664">
        <v>-63.63129</v>
      </c>
      <c r="M5664">
        <v>0.99776180000000003</v>
      </c>
      <c r="N5664">
        <v>0</v>
      </c>
      <c r="O5664">
        <v>-6.6806009999999999E-2</v>
      </c>
      <c r="P5664">
        <v>0.99927540000000004</v>
      </c>
      <c r="Q5664">
        <v>1.6262490000000001E-2</v>
      </c>
      <c r="R5664">
        <v>3.4412159999999997E-2</v>
      </c>
      <c r="S5664">
        <v>3.0021969999999998</v>
      </c>
      <c r="T5664">
        <v>-0.14771999999999999</v>
      </c>
      <c r="U5664">
        <v>6.8542480000000003E-2</v>
      </c>
      <c r="V5664">
        <v>-0.1012615</v>
      </c>
      <c r="W5664">
        <v>1.8200649999999999E-2</v>
      </c>
      <c r="X5664">
        <v>0.9946933</v>
      </c>
      <c r="Y5664">
        <v>-8.9373899999999895E-2</v>
      </c>
      <c r="Z5664">
        <v>5.4806680000000002E-3</v>
      </c>
      <c r="AA5664">
        <v>0.99598310000000001</v>
      </c>
      <c r="AB5664">
        <v>39</v>
      </c>
      <c r="AC5664">
        <v>22.2895</v>
      </c>
      <c r="AD5664">
        <v>-1.1067334008520999</v>
      </c>
      <c r="AE5664">
        <v>0.52633999999999703</v>
      </c>
      <c r="AF5664">
        <v>-2.0092919878205699</v>
      </c>
      <c r="AG5664">
        <v>-1.1067334008520999</v>
      </c>
      <c r="AH5664">
        <v>22.149963807360098</v>
      </c>
      <c r="AI5664">
        <v>92.848754248860303</v>
      </c>
      <c r="AJ5664">
        <v>95.183291575703194</v>
      </c>
      <c r="AK5664">
        <v>22.268430788455699</v>
      </c>
    </row>
    <row r="5665" spans="1:37" x14ac:dyDescent="0.2">
      <c r="A5665" t="str">
        <f>"20200111153542906"</f>
        <v>20200111153542906</v>
      </c>
      <c r="B5665" t="str">
        <f>"1578728142901191"</f>
        <v>1578728142901191</v>
      </c>
      <c r="C5665" t="s">
        <v>37</v>
      </c>
      <c r="D5665">
        <v>6.215497</v>
      </c>
      <c r="E5665">
        <v>0.50453590000000004</v>
      </c>
      <c r="F5665" t="s">
        <v>76</v>
      </c>
      <c r="G5665">
        <v>-241.51769999999999</v>
      </c>
      <c r="H5665" s="1">
        <v>-3.540746E-7</v>
      </c>
      <c r="I5665">
        <v>-63.074080000000002</v>
      </c>
      <c r="J5665">
        <v>-263.69779999999997</v>
      </c>
      <c r="K5665">
        <v>1.106757</v>
      </c>
      <c r="L5665">
        <v>-63.643430000000002</v>
      </c>
      <c r="M5665">
        <v>0.99788670000000002</v>
      </c>
      <c r="N5665">
        <v>0</v>
      </c>
      <c r="O5665">
        <v>-6.4914520000000003E-2</v>
      </c>
      <c r="P5665">
        <v>0.99921979999999999</v>
      </c>
      <c r="Q5665">
        <v>1.6383910000000002E-2</v>
      </c>
      <c r="R5665">
        <v>3.5930910000000003E-2</v>
      </c>
      <c r="S5665">
        <v>3.002014</v>
      </c>
      <c r="T5665">
        <v>-0.14845939999999999</v>
      </c>
      <c r="U5665">
        <v>7.473755E-2</v>
      </c>
      <c r="V5665">
        <v>-0.1008898</v>
      </c>
      <c r="W5665">
        <v>1.8339859999999999E-2</v>
      </c>
      <c r="X5665">
        <v>0.99472859999999996</v>
      </c>
      <c r="Y5665">
        <v>-8.954165E-2</v>
      </c>
      <c r="Z5665">
        <v>5.419114E-3</v>
      </c>
      <c r="AA5665">
        <v>0.99596830000000003</v>
      </c>
      <c r="AB5665">
        <v>39</v>
      </c>
      <c r="AC5665">
        <v>22.1800999999999</v>
      </c>
      <c r="AD5665">
        <v>-1.1067573540746001</v>
      </c>
      <c r="AE5665">
        <v>0.56935000000000002</v>
      </c>
      <c r="AF5665">
        <v>-2.0029817161504702</v>
      </c>
      <c r="AG5665">
        <v>-1.1067573540746001</v>
      </c>
      <c r="AH5665">
        <v>22.0415142258359</v>
      </c>
      <c r="AI5665">
        <v>92.862768216492697</v>
      </c>
      <c r="AJ5665">
        <v>95.192386228332893</v>
      </c>
      <c r="AK5665">
        <v>22.159990906220099</v>
      </c>
    </row>
    <row r="5666" spans="1:37" x14ac:dyDescent="0.2">
      <c r="A5666" t="str">
        <f>"20200111153542917"</f>
        <v>20200111153542917</v>
      </c>
      <c r="B5666" t="str">
        <f>"1578728142910950"</f>
        <v>1578728142910950</v>
      </c>
      <c r="C5666" t="s">
        <v>37</v>
      </c>
      <c r="D5666">
        <v>4.8979099999999898</v>
      </c>
      <c r="E5666">
        <v>0.50438909999999904</v>
      </c>
      <c r="F5666" t="s">
        <v>76</v>
      </c>
      <c r="G5666">
        <v>-241.33590000000001</v>
      </c>
      <c r="H5666" s="1">
        <v>-2.6575259999999901E-7</v>
      </c>
      <c r="I5666">
        <v>-63.035240000000002</v>
      </c>
      <c r="J5666">
        <v>-263.49099999999999</v>
      </c>
      <c r="K5666">
        <v>1.106781</v>
      </c>
      <c r="L5666">
        <v>-63.655729999999998</v>
      </c>
      <c r="M5666">
        <v>0.99801260000000003</v>
      </c>
      <c r="N5666">
        <v>0</v>
      </c>
      <c r="O5666">
        <v>-6.2947929999999999E-2</v>
      </c>
      <c r="P5666">
        <v>0.99916909999999903</v>
      </c>
      <c r="Q5666">
        <v>1.615225E-2</v>
      </c>
      <c r="R5666">
        <v>3.74233E-2</v>
      </c>
      <c r="S5666">
        <v>3.0018009999999999</v>
      </c>
      <c r="T5666">
        <v>-0.1485678</v>
      </c>
      <c r="U5666">
        <v>8.1634520000000002E-2</v>
      </c>
      <c r="V5666">
        <v>-0.100414899999999</v>
      </c>
      <c r="W5666">
        <v>1.8127230000000001E-2</v>
      </c>
      <c r="X5666">
        <v>0.99478049999999996</v>
      </c>
      <c r="Y5666">
        <v>-8.9869229999999994E-2</v>
      </c>
      <c r="Z5666">
        <v>5.3343030000000003E-3</v>
      </c>
      <c r="AA5666">
        <v>0.99593929999999997</v>
      </c>
      <c r="AB5666">
        <v>39</v>
      </c>
      <c r="AC5666">
        <v>22.155099999999901</v>
      </c>
      <c r="AD5666">
        <v>-1.1067812657525999</v>
      </c>
      <c r="AE5666">
        <v>0.62049000000000298</v>
      </c>
      <c r="AF5666">
        <v>-2.0088735594876499</v>
      </c>
      <c r="AG5666">
        <v>-1.1067812657525999</v>
      </c>
      <c r="AH5666">
        <v>22.017199977769199</v>
      </c>
      <c r="AI5666">
        <v>92.865891129465098</v>
      </c>
      <c r="AJ5666">
        <v>95.213295175694896</v>
      </c>
      <c r="AK5666">
        <v>22.1363418976422</v>
      </c>
    </row>
    <row r="5667" spans="1:37" x14ac:dyDescent="0.2">
      <c r="A5667" t="str">
        <f>"20200111153542928"</f>
        <v>20200111153542928</v>
      </c>
      <c r="B5667" t="str">
        <f>"1578728142921687"</f>
        <v>1578728142921687</v>
      </c>
      <c r="C5667" t="s">
        <v>37</v>
      </c>
      <c r="D5667">
        <v>5.0155690000000002</v>
      </c>
      <c r="E5667">
        <v>0.50420549999999997</v>
      </c>
      <c r="F5667" t="s">
        <v>76</v>
      </c>
      <c r="G5667">
        <v>-241.28489999999999</v>
      </c>
      <c r="H5667" s="1">
        <v>-2.3712379999999999E-7</v>
      </c>
      <c r="I5667">
        <v>-63.009749999999997</v>
      </c>
      <c r="J5667">
        <v>-263.29539999999997</v>
      </c>
      <c r="K5667">
        <v>1.106803</v>
      </c>
      <c r="L5667">
        <v>-63.666809999999998</v>
      </c>
      <c r="M5667">
        <v>0.99812839999999903</v>
      </c>
      <c r="N5667">
        <v>0</v>
      </c>
      <c r="O5667">
        <v>-6.1084550000000001E-2</v>
      </c>
      <c r="P5667">
        <v>0.99912489999999998</v>
      </c>
      <c r="Q5667">
        <v>1.554908E-2</v>
      </c>
      <c r="R5667">
        <v>3.8831400000000002E-2</v>
      </c>
      <c r="S5667">
        <v>3.0016479999999999</v>
      </c>
      <c r="T5667">
        <v>-0.14960609999999999</v>
      </c>
      <c r="U5667">
        <v>8.7310789999999999E-2</v>
      </c>
      <c r="V5667">
        <v>-9.9955849999999999E-2</v>
      </c>
      <c r="W5667">
        <v>1.7542240000000001E-2</v>
      </c>
      <c r="X5667">
        <v>0.99483719999999998</v>
      </c>
      <c r="Y5667">
        <v>-8.9892739999999999E-2</v>
      </c>
      <c r="Z5667">
        <v>5.2795949999999998E-3</v>
      </c>
      <c r="AA5667">
        <v>0.99593750000000003</v>
      </c>
      <c r="AB5667">
        <v>39</v>
      </c>
      <c r="AC5667">
        <v>22.010499999999901</v>
      </c>
      <c r="AD5667">
        <v>-1.1068032371237999</v>
      </c>
      <c r="AE5667">
        <v>0.65706000000000098</v>
      </c>
      <c r="AF5667">
        <v>-1.9952992786080901</v>
      </c>
      <c r="AG5667">
        <v>-1.1068032371237999</v>
      </c>
      <c r="AH5667">
        <v>21.873999299326801</v>
      </c>
      <c r="AI5667">
        <v>92.884684657967099</v>
      </c>
      <c r="AJ5667">
        <v>95.211974244695995</v>
      </c>
      <c r="AK5667">
        <v>21.9926823730957</v>
      </c>
    </row>
    <row r="5668" spans="1:37" x14ac:dyDescent="0.2">
      <c r="A5668" t="str">
        <f>"20200111153542939"</f>
        <v>20200111153542939</v>
      </c>
      <c r="B5668" t="str">
        <f>"1578728142931447"</f>
        <v>1578728142931447</v>
      </c>
      <c r="C5668" t="s">
        <v>37</v>
      </c>
      <c r="D5668">
        <v>4.9302519999999896</v>
      </c>
      <c r="E5668">
        <v>0.50403690000000001</v>
      </c>
      <c r="F5668" t="s">
        <v>76</v>
      </c>
      <c r="G5668">
        <v>-241.37909999999999</v>
      </c>
      <c r="H5668" s="1">
        <v>-2.7167429999999998E-7</v>
      </c>
      <c r="I5668">
        <v>-62.987749999999998</v>
      </c>
      <c r="J5668">
        <v>-263.10340000000002</v>
      </c>
      <c r="K5668">
        <v>1.106824</v>
      </c>
      <c r="L5668">
        <v>-63.677579999999999</v>
      </c>
      <c r="M5668">
        <v>0.99823859999999998</v>
      </c>
      <c r="N5668">
        <v>0</v>
      </c>
      <c r="O5668">
        <v>-5.9254899999999999E-2</v>
      </c>
      <c r="P5668">
        <v>0.99907760000000001</v>
      </c>
      <c r="Q5668">
        <v>1.498262E-2</v>
      </c>
      <c r="R5668">
        <v>4.0240999999999999E-2</v>
      </c>
      <c r="S5668">
        <v>3.0013730000000001</v>
      </c>
      <c r="T5668">
        <v>-0.1515736</v>
      </c>
      <c r="U5668">
        <v>9.2987059999999996E-2</v>
      </c>
      <c r="V5668">
        <v>-9.9532679999999998E-2</v>
      </c>
      <c r="W5668">
        <v>1.6993959999999999E-2</v>
      </c>
      <c r="X5668">
        <v>0.99488909999999997</v>
      </c>
      <c r="Y5668">
        <v>-8.9948990000000006E-2</v>
      </c>
      <c r="Z5668">
        <v>5.2585039999999998E-3</v>
      </c>
      <c r="AA5668">
        <v>0.9959325</v>
      </c>
      <c r="AB5668">
        <v>40</v>
      </c>
      <c r="AC5668">
        <v>21.724299999999999</v>
      </c>
      <c r="AD5668">
        <v>-1.1068242716743</v>
      </c>
      <c r="AE5668">
        <v>0.68983000000000705</v>
      </c>
      <c r="AF5668">
        <v>-1.9707840647852899</v>
      </c>
      <c r="AG5668">
        <v>-1.1068242716743</v>
      </c>
      <c r="AH5668">
        <v>21.589267324524801</v>
      </c>
      <c r="AI5668">
        <v>92.922701668573296</v>
      </c>
      <c r="AJ5668">
        <v>95.215810167761603</v>
      </c>
      <c r="AK5668">
        <v>21.707268676832101</v>
      </c>
    </row>
    <row r="5669" spans="1:37" x14ac:dyDescent="0.2">
      <c r="A5669" t="str">
        <f>"20200111153542949"</f>
        <v>20200111153542949</v>
      </c>
      <c r="B5669" t="str">
        <f>"1578728142941207"</f>
        <v>1578728142941207</v>
      </c>
      <c r="C5669" t="s">
        <v>37</v>
      </c>
      <c r="D5669">
        <v>4.9092260000000003</v>
      </c>
      <c r="E5669">
        <v>0.50386569999999997</v>
      </c>
      <c r="F5669" t="s">
        <v>76</v>
      </c>
      <c r="G5669">
        <v>-241.41200000000001</v>
      </c>
      <c r="H5669" s="1">
        <v>-2.7986869999999902E-7</v>
      </c>
      <c r="I5669">
        <v>-62.965499999999999</v>
      </c>
      <c r="J5669">
        <v>-262.9151</v>
      </c>
      <c r="K5669">
        <v>1.106843</v>
      </c>
      <c r="L5669">
        <v>-63.687559999999998</v>
      </c>
      <c r="M5669">
        <v>0.99834349999999905</v>
      </c>
      <c r="N5669">
        <v>0</v>
      </c>
      <c r="O5669">
        <v>-5.7459580000000003E-2</v>
      </c>
      <c r="P5669">
        <v>0.99901779999999996</v>
      </c>
      <c r="Q5669">
        <v>1.465403E-2</v>
      </c>
      <c r="R5669">
        <v>4.1819460000000003E-2</v>
      </c>
      <c r="S5669">
        <v>3.0010680000000001</v>
      </c>
      <c r="T5669">
        <v>-0.15313260000000001</v>
      </c>
      <c r="U5669">
        <v>9.8510739999999999E-2</v>
      </c>
      <c r="V5669">
        <v>-9.931355E-2</v>
      </c>
      <c r="W5669">
        <v>1.6681680000000001E-2</v>
      </c>
      <c r="X5669">
        <v>0.99491629999999998</v>
      </c>
      <c r="Y5669">
        <v>-8.9990600000000004E-2</v>
      </c>
      <c r="Z5669">
        <v>5.2225529999999996E-3</v>
      </c>
      <c r="AA5669">
        <v>0.99592890000000001</v>
      </c>
      <c r="AB5669">
        <v>40</v>
      </c>
      <c r="AC5669">
        <v>21.5030999999999</v>
      </c>
      <c r="AD5669">
        <v>-1.1068432798687</v>
      </c>
      <c r="AE5669">
        <v>0.72205999999999804</v>
      </c>
      <c r="AF5669">
        <v>-1.9512673329311401</v>
      </c>
      <c r="AG5669">
        <v>-1.1068432798687</v>
      </c>
      <c r="AH5669">
        <v>21.3695279461399</v>
      </c>
      <c r="AI5669">
        <v>92.952746268290497</v>
      </c>
      <c r="AJ5669">
        <v>95.217252042768393</v>
      </c>
      <c r="AK5669">
        <v>21.486955831192301</v>
      </c>
    </row>
    <row r="5670" spans="1:37" x14ac:dyDescent="0.2">
      <c r="A5670" t="str">
        <f>"20200111153542961"</f>
        <v>20200111153542961</v>
      </c>
      <c r="B5670" t="str">
        <f>"1578728142950969"</f>
        <v>1578728142950969</v>
      </c>
      <c r="C5670" t="s">
        <v>37</v>
      </c>
      <c r="D5670">
        <v>4.9521290000000002</v>
      </c>
      <c r="E5670">
        <v>0.50369049999999904</v>
      </c>
      <c r="F5670" t="s">
        <v>76</v>
      </c>
      <c r="G5670">
        <v>-241.29679999999999</v>
      </c>
      <c r="H5670" s="1">
        <v>-2.2225209999999999E-7</v>
      </c>
      <c r="I5670">
        <v>-62.934739999999998</v>
      </c>
      <c r="J5670">
        <v>-262.71409999999997</v>
      </c>
      <c r="K5670">
        <v>1.1068639999999901</v>
      </c>
      <c r="L5670">
        <v>-63.698059999999998</v>
      </c>
      <c r="M5670">
        <v>0.99845189999999995</v>
      </c>
      <c r="N5670">
        <v>0</v>
      </c>
      <c r="O5670">
        <v>-5.5543490000000001E-2</v>
      </c>
      <c r="P5670">
        <v>0.99894709999999998</v>
      </c>
      <c r="Q5670">
        <v>1.4107140000000001E-2</v>
      </c>
      <c r="R5670">
        <v>4.3656599999999997E-2</v>
      </c>
      <c r="S5670">
        <v>3.0008849999999998</v>
      </c>
      <c r="T5670">
        <v>-0.15364349999999999</v>
      </c>
      <c r="U5670">
        <v>0.10449219999999999</v>
      </c>
      <c r="V5670">
        <v>-9.9230440000000003E-2</v>
      </c>
      <c r="W5670">
        <v>1.615103E-2</v>
      </c>
      <c r="X5670">
        <v>0.99493339999999997</v>
      </c>
      <c r="Y5670">
        <v>-9.0065220000000001E-2</v>
      </c>
      <c r="Z5670">
        <v>5.1441100000000003E-3</v>
      </c>
      <c r="AA5670">
        <v>0.99592259999999999</v>
      </c>
      <c r="AB5670">
        <v>40</v>
      </c>
      <c r="AC5670">
        <v>21.417299999999901</v>
      </c>
      <c r="AD5670">
        <v>-1.1068642222520999</v>
      </c>
      <c r="AE5670">
        <v>0.763319999999993</v>
      </c>
      <c r="AF5670">
        <v>-1.94654595280744</v>
      </c>
      <c r="AG5670">
        <v>-1.1068642222520999</v>
      </c>
      <c r="AH5670">
        <v>21.285061153954999</v>
      </c>
      <c r="AI5670">
        <v>92.964461271345101</v>
      </c>
      <c r="AJ5670">
        <v>95.225237553581707</v>
      </c>
      <c r="AK5670">
        <v>21.402523633452599</v>
      </c>
    </row>
    <row r="5671" spans="1:37" x14ac:dyDescent="0.2">
      <c r="A5671" t="str">
        <f>"20200111153542972"</f>
        <v>20200111153542972</v>
      </c>
      <c r="B5671" t="str">
        <f>"1578728142961703"</f>
        <v>1578728142961703</v>
      </c>
      <c r="C5671" t="s">
        <v>37</v>
      </c>
      <c r="D5671">
        <v>4.8999540000000001</v>
      </c>
      <c r="E5671">
        <v>0.50352350000000001</v>
      </c>
      <c r="F5671" t="s">
        <v>76</v>
      </c>
      <c r="G5671">
        <v>-241.27500000000001</v>
      </c>
      <c r="H5671" s="1">
        <v>-2.045235E-7</v>
      </c>
      <c r="I5671">
        <v>-62.903190000000002</v>
      </c>
      <c r="J5671">
        <v>-262.51389999999998</v>
      </c>
      <c r="K5671">
        <v>1.1068830000000001</v>
      </c>
      <c r="L5671">
        <v>-63.707979999999999</v>
      </c>
      <c r="M5671">
        <v>0.9985562</v>
      </c>
      <c r="N5671">
        <v>0</v>
      </c>
      <c r="O5671">
        <v>-5.3634679999999997E-2</v>
      </c>
      <c r="P5671">
        <v>0.99886549999999996</v>
      </c>
      <c r="Q5671">
        <v>1.34442999999999E-2</v>
      </c>
      <c r="R5671">
        <v>4.5687709999999999E-2</v>
      </c>
      <c r="S5671">
        <v>3.0004879999999998</v>
      </c>
      <c r="T5671">
        <v>-0.1549102</v>
      </c>
      <c r="U5671">
        <v>0.1112366</v>
      </c>
      <c r="V5671">
        <v>-9.9346749999999998E-2</v>
      </c>
      <c r="W5671">
        <v>1.5502139999999999E-2</v>
      </c>
      <c r="X5671">
        <v>0.99493209999999999</v>
      </c>
      <c r="Y5671">
        <v>-9.0400530000000007E-2</v>
      </c>
      <c r="Z5671">
        <v>5.0972439999999999E-3</v>
      </c>
      <c r="AA5671">
        <v>0.99589249999999996</v>
      </c>
      <c r="AB5671">
        <v>40</v>
      </c>
      <c r="AC5671">
        <v>21.238899999999902</v>
      </c>
      <c r="AD5671">
        <v>-1.1068832045235</v>
      </c>
      <c r="AE5671">
        <v>0.804790000000004</v>
      </c>
      <c r="AF5671">
        <v>-1.93752334605396</v>
      </c>
      <c r="AG5671">
        <v>-1.1068832045235</v>
      </c>
      <c r="AH5671">
        <v>21.107915942046098</v>
      </c>
      <c r="AI5671">
        <v>92.989254143142702</v>
      </c>
      <c r="AJ5671">
        <v>95.244558258005497</v>
      </c>
      <c r="AK5671">
        <v>21.225534211450199</v>
      </c>
    </row>
    <row r="5672" spans="1:37" x14ac:dyDescent="0.2">
      <c r="A5672" t="str">
        <f>"20200111153542984"</f>
        <v>20200111153542984</v>
      </c>
      <c r="B5672" t="str">
        <f>"1578728142971463"</f>
        <v>1578728142971463</v>
      </c>
      <c r="C5672" t="s">
        <v>37</v>
      </c>
      <c r="D5672">
        <v>4.9335149999999999</v>
      </c>
      <c r="E5672">
        <v>0.50337109999999996</v>
      </c>
      <c r="F5672" t="s">
        <v>76</v>
      </c>
      <c r="G5672">
        <v>-241.28989999999999</v>
      </c>
      <c r="H5672" s="1">
        <v>-2.0214939999999999E-7</v>
      </c>
      <c r="I5672">
        <v>-62.870249999999999</v>
      </c>
      <c r="J5672">
        <v>-262.31619999999998</v>
      </c>
      <c r="K5672">
        <v>1.1069020000000001</v>
      </c>
      <c r="L5672">
        <v>-63.717500000000001</v>
      </c>
      <c r="M5672">
        <v>0.99865550000000003</v>
      </c>
      <c r="N5672">
        <v>0</v>
      </c>
      <c r="O5672">
        <v>-5.1751489999999997E-2</v>
      </c>
      <c r="P5672">
        <v>0.99877179999999999</v>
      </c>
      <c r="Q5672">
        <v>1.3110770000000001E-2</v>
      </c>
      <c r="R5672">
        <v>4.7782599999999897E-2</v>
      </c>
      <c r="S5672">
        <v>3.000092</v>
      </c>
      <c r="T5672">
        <v>-0.15646270000000001</v>
      </c>
      <c r="U5672">
        <v>0.11840819999999901</v>
      </c>
      <c r="V5672">
        <v>-9.9555050000000006E-2</v>
      </c>
      <c r="W5672">
        <v>1.5181740000000001E-2</v>
      </c>
      <c r="X5672">
        <v>0.99491629999999998</v>
      </c>
      <c r="Y5672">
        <v>-9.0902479999999994E-2</v>
      </c>
      <c r="Z5672">
        <v>5.0637640000000001E-3</v>
      </c>
      <c r="AA5672">
        <v>0.99584689999999998</v>
      </c>
      <c r="AB5672">
        <v>40</v>
      </c>
      <c r="AC5672">
        <v>21.0262999999999</v>
      </c>
      <c r="AD5672">
        <v>-1.1069022021493999</v>
      </c>
      <c r="AE5672">
        <v>0.84725000000000195</v>
      </c>
      <c r="AF5672">
        <v>-1.9289248295975401</v>
      </c>
      <c r="AG5672">
        <v>-1.1069022021493999</v>
      </c>
      <c r="AH5672">
        <v>20.896460012603299</v>
      </c>
      <c r="AI5672">
        <v>93.019356777689396</v>
      </c>
      <c r="AJ5672">
        <v>95.273952584106496</v>
      </c>
      <c r="AK5672">
        <v>21.014471788310299</v>
      </c>
    </row>
    <row r="5673" spans="1:37" x14ac:dyDescent="0.2">
      <c r="A5673" t="str">
        <f>"20200111153542994"</f>
        <v>20200111153542994</v>
      </c>
      <c r="B5673" t="str">
        <f>"1578728142990983"</f>
        <v>1578728142990983</v>
      </c>
      <c r="C5673" t="s">
        <v>37</v>
      </c>
      <c r="D5673">
        <v>4.9697589999999998</v>
      </c>
      <c r="E5673">
        <v>0.50306629999999997</v>
      </c>
      <c r="F5673" t="s">
        <v>76</v>
      </c>
      <c r="G5673">
        <v>-241.15280000000001</v>
      </c>
      <c r="H5673" s="1">
        <v>-1.327195E-7</v>
      </c>
      <c r="I5673">
        <v>-62.830379999999998</v>
      </c>
      <c r="J5673">
        <v>-262.11149999999998</v>
      </c>
      <c r="K5673">
        <v>1.1069209999999901</v>
      </c>
      <c r="L5673">
        <v>-63.726959999999998</v>
      </c>
      <c r="M5673">
        <v>0.99875460000000005</v>
      </c>
      <c r="N5673">
        <v>0</v>
      </c>
      <c r="O5673">
        <v>-4.9801770000000002E-2</v>
      </c>
      <c r="P5673">
        <v>0.99866509999999997</v>
      </c>
      <c r="Q5673">
        <v>1.277992E-2</v>
      </c>
      <c r="R5673">
        <v>5.00501E-2</v>
      </c>
      <c r="S5673">
        <v>2.999695</v>
      </c>
      <c r="T5673">
        <v>-0.15689220000000001</v>
      </c>
      <c r="U5673">
        <v>0.12573239999999999</v>
      </c>
      <c r="V5673">
        <v>-9.9869559999999996E-2</v>
      </c>
      <c r="W5673">
        <v>1.486372E-2</v>
      </c>
      <c r="X5673">
        <v>0.99488949999999998</v>
      </c>
      <c r="Y5673">
        <v>-9.1391940000000005E-2</v>
      </c>
      <c r="Z5673">
        <v>4.9890759999999899E-3</v>
      </c>
      <c r="AA5673">
        <v>0.99580249999999904</v>
      </c>
      <c r="AB5673">
        <v>40</v>
      </c>
      <c r="AC5673">
        <v>20.958699999999901</v>
      </c>
      <c r="AD5673">
        <v>-1.1069211327195001</v>
      </c>
      <c r="AE5673">
        <v>0.89657999999999205</v>
      </c>
      <c r="AF5673">
        <v>-1.93386811225318</v>
      </c>
      <c r="AG5673">
        <v>-1.1069211327195001</v>
      </c>
      <c r="AH5673">
        <v>20.830044726984301</v>
      </c>
      <c r="AI5673">
        <v>93.028870083819697</v>
      </c>
      <c r="AJ5673">
        <v>95.304154222819307</v>
      </c>
      <c r="AK5673">
        <v>20.9488874071589</v>
      </c>
    </row>
    <row r="5674" spans="1:37" x14ac:dyDescent="0.2">
      <c r="A5674" t="str">
        <f>"20200111153543006"</f>
        <v>20200111153543006</v>
      </c>
      <c r="B5674" t="str">
        <f>"1578728143001719"</f>
        <v>1578728143001719</v>
      </c>
      <c r="C5674" t="s">
        <v>37</v>
      </c>
      <c r="D5674">
        <v>4.9478549999999997</v>
      </c>
      <c r="E5674">
        <v>0.50293469999999996</v>
      </c>
      <c r="F5674" t="s">
        <v>76</v>
      </c>
      <c r="G5674">
        <v>-240.95760000000001</v>
      </c>
      <c r="H5674" s="1">
        <v>-3.4415730000000002E-8</v>
      </c>
      <c r="I5674">
        <v>-62.775750000000002</v>
      </c>
      <c r="J5674">
        <v>-261.90769999999998</v>
      </c>
      <c r="K5674">
        <v>1.1069420000000001</v>
      </c>
      <c r="L5674">
        <v>-63.735930000000003</v>
      </c>
      <c r="M5674">
        <v>0.99884930000000005</v>
      </c>
      <c r="N5674">
        <v>0</v>
      </c>
      <c r="O5674">
        <v>-4.786207E-2</v>
      </c>
      <c r="P5674">
        <v>0.99855289999999997</v>
      </c>
      <c r="Q5674">
        <v>1.260241E-2</v>
      </c>
      <c r="R5674">
        <v>5.2283990000000002E-2</v>
      </c>
      <c r="S5674">
        <v>2.9992679999999998</v>
      </c>
      <c r="T5674">
        <v>-0.15694259999999999</v>
      </c>
      <c r="U5674">
        <v>0.13485720000000001</v>
      </c>
      <c r="V5674">
        <v>-0.1001625</v>
      </c>
      <c r="W5674">
        <v>1.469971E-2</v>
      </c>
      <c r="X5674">
        <v>0.99486249999999998</v>
      </c>
      <c r="Y5674">
        <v>-9.2488799999999996E-2</v>
      </c>
      <c r="Z5674">
        <v>4.9184279999999999E-3</v>
      </c>
      <c r="AA5674">
        <v>0.99570159999999996</v>
      </c>
      <c r="AB5674">
        <v>40</v>
      </c>
      <c r="AC5674">
        <v>20.9500999999999</v>
      </c>
      <c r="AD5674">
        <v>-1.1069420344157299</v>
      </c>
      <c r="AE5674">
        <v>0.96018000000000103</v>
      </c>
      <c r="AF5674">
        <v>-1.9563491917223399</v>
      </c>
      <c r="AG5674">
        <v>-1.1069420344157299</v>
      </c>
      <c r="AH5674">
        <v>20.822125134554899</v>
      </c>
      <c r="AI5674">
        <v>93.029764846165705</v>
      </c>
      <c r="AJ5674">
        <v>95.367485646002294</v>
      </c>
      <c r="AK5674">
        <v>20.9431019179722</v>
      </c>
    </row>
    <row r="5675" spans="1:37" x14ac:dyDescent="0.2">
      <c r="A5675" t="str">
        <f>"20200111153543018"</f>
        <v>20200111153543018</v>
      </c>
      <c r="B5675" t="str">
        <f>"1578728143011478"</f>
        <v>1578728143011478</v>
      </c>
      <c r="C5675" t="s">
        <v>37</v>
      </c>
      <c r="D5675">
        <v>4.9132069999999999</v>
      </c>
      <c r="E5675">
        <v>0.50282970000000005</v>
      </c>
      <c r="F5675" t="s">
        <v>76</v>
      </c>
      <c r="G5675">
        <v>-240.77889999999999</v>
      </c>
      <c r="H5675" s="1">
        <v>5.3800139999999997E-8</v>
      </c>
      <c r="I5675">
        <v>-62.732190000000003</v>
      </c>
      <c r="J5675">
        <v>-261.69490000000002</v>
      </c>
      <c r="K5675">
        <v>1.106965</v>
      </c>
      <c r="L5675">
        <v>-63.745059999999903</v>
      </c>
      <c r="M5675">
        <v>0.99894419999999995</v>
      </c>
      <c r="N5675">
        <v>0</v>
      </c>
      <c r="O5675">
        <v>-4.5838199999999898E-2</v>
      </c>
      <c r="P5675">
        <v>0.99844059999999901</v>
      </c>
      <c r="Q5675">
        <v>1.2556589999999999E-2</v>
      </c>
      <c r="R5675">
        <v>5.4397000000000001E-2</v>
      </c>
      <c r="S5675">
        <v>2.99884</v>
      </c>
      <c r="T5675">
        <v>-0.15711049999999999</v>
      </c>
      <c r="U5675">
        <v>0.1424561</v>
      </c>
      <c r="V5675">
        <v>-0.100252699999999</v>
      </c>
      <c r="W5675">
        <v>1.4671099999999999E-2</v>
      </c>
      <c r="X5675">
        <v>0.99485389999999996</v>
      </c>
      <c r="Y5675">
        <v>-9.2997079999999996E-2</v>
      </c>
      <c r="Z5675">
        <v>4.8315609999999998E-3</v>
      </c>
      <c r="AA5675">
        <v>0.99565459999999995</v>
      </c>
      <c r="AB5675">
        <v>40</v>
      </c>
      <c r="AC5675">
        <v>20.916</v>
      </c>
      <c r="AD5675">
        <v>-1.1069649461998601</v>
      </c>
      <c r="AE5675">
        <v>1.0128699999999899</v>
      </c>
      <c r="AF5675">
        <v>-1.96507035879804</v>
      </c>
      <c r="AG5675">
        <v>-1.1069649461998601</v>
      </c>
      <c r="AH5675">
        <v>20.789491380009402</v>
      </c>
      <c r="AI5675">
        <v>93.034414138859901</v>
      </c>
      <c r="AJ5675">
        <v>95.399685395421898</v>
      </c>
      <c r="AK5675">
        <v>20.911475910289699</v>
      </c>
    </row>
    <row r="5676" spans="1:37" x14ac:dyDescent="0.2">
      <c r="A5676" t="str">
        <f>"20200111153543029"</f>
        <v>20200111153543029</v>
      </c>
      <c r="B5676" t="str">
        <f>"1578728143021242"</f>
        <v>1578728143021242</v>
      </c>
      <c r="C5676" t="s">
        <v>37</v>
      </c>
      <c r="D5676">
        <v>4.9390619999999998</v>
      </c>
      <c r="E5676">
        <v>0.50272879999999998</v>
      </c>
      <c r="F5676" t="s">
        <v>76</v>
      </c>
      <c r="G5676">
        <v>-240.51840000000001</v>
      </c>
      <c r="H5676" s="1">
        <v>1.7719650000000001E-7</v>
      </c>
      <c r="I5676">
        <v>-62.688490000000002</v>
      </c>
      <c r="J5676">
        <v>-261.50760000000002</v>
      </c>
      <c r="K5676">
        <v>1.1069830000000001</v>
      </c>
      <c r="L5676">
        <v>-63.752469999999903</v>
      </c>
      <c r="M5676">
        <v>0.99902400000000002</v>
      </c>
      <c r="N5676">
        <v>0</v>
      </c>
      <c r="O5676">
        <v>-4.4059760000000003E-2</v>
      </c>
      <c r="P5676">
        <v>0.99833749999999999</v>
      </c>
      <c r="Q5676">
        <v>1.2213740000000001E-2</v>
      </c>
      <c r="R5676">
        <v>5.6332559999999997E-2</v>
      </c>
      <c r="S5676">
        <v>2.99850499999999</v>
      </c>
      <c r="T5676">
        <v>-0.15674150000000001</v>
      </c>
      <c r="U5676">
        <v>0.14959720000000001</v>
      </c>
      <c r="V5676">
        <v>-0.10040830000000001</v>
      </c>
      <c r="W5676">
        <v>1.4344030000000001E-2</v>
      </c>
      <c r="X5676">
        <v>0.99484289999999997</v>
      </c>
      <c r="Y5676">
        <v>-9.3597929999999996E-2</v>
      </c>
      <c r="Z5676">
        <v>4.7433789999999998E-3</v>
      </c>
      <c r="AA5676">
        <v>0.99559880000000001</v>
      </c>
      <c r="AB5676">
        <v>40</v>
      </c>
      <c r="AC5676">
        <v>20.9892</v>
      </c>
      <c r="AD5676">
        <v>-1.1069828228034999</v>
      </c>
      <c r="AE5676">
        <v>1.0639799999999899</v>
      </c>
      <c r="AF5676">
        <v>-1.9822308133741</v>
      </c>
      <c r="AG5676">
        <v>-1.1069828228034999</v>
      </c>
      <c r="AH5676">
        <v>20.864052123995599</v>
      </c>
      <c r="AI5676">
        <v>93.023501722596706</v>
      </c>
      <c r="AJ5676">
        <v>95.427209473170905</v>
      </c>
      <c r="AK5676">
        <v>20.987218038612799</v>
      </c>
    </row>
    <row r="5677" spans="1:37" x14ac:dyDescent="0.2">
      <c r="A5677" t="str">
        <f>"20200111153543040"</f>
        <v>20200111153543040</v>
      </c>
      <c r="B5677" t="str">
        <f>"1578728143030999"</f>
        <v>1578728143030999</v>
      </c>
      <c r="C5677" t="s">
        <v>37</v>
      </c>
      <c r="D5677">
        <v>4.8864150000000004</v>
      </c>
      <c r="E5677">
        <v>0.50263100000000005</v>
      </c>
      <c r="F5677" t="s">
        <v>76</v>
      </c>
      <c r="G5677">
        <v>-240.38890000000001</v>
      </c>
      <c r="H5677" s="1">
        <v>2.4229119999999999E-7</v>
      </c>
      <c r="I5677">
        <v>-62.652650000000001</v>
      </c>
      <c r="J5677">
        <v>-261.29680000000002</v>
      </c>
      <c r="K5677">
        <v>1.1070070000000001</v>
      </c>
      <c r="L5677">
        <v>-63.760680000000001</v>
      </c>
      <c r="M5677">
        <v>0.99911019999999995</v>
      </c>
      <c r="N5677">
        <v>0</v>
      </c>
      <c r="O5677">
        <v>-4.2060069999999998E-2</v>
      </c>
      <c r="P5677">
        <v>0.99821819999999895</v>
      </c>
      <c r="Q5677">
        <v>1.262042E-2</v>
      </c>
      <c r="R5677">
        <v>5.8321230000000002E-2</v>
      </c>
      <c r="S5677">
        <v>2.9981080000000002</v>
      </c>
      <c r="T5677">
        <v>-0.15715219999999999</v>
      </c>
      <c r="U5677">
        <v>0.15612789999999999</v>
      </c>
      <c r="V5677">
        <v>-0.1004034</v>
      </c>
      <c r="W5677">
        <v>1.477027E-2</v>
      </c>
      <c r="X5677">
        <v>0.99483719999999998</v>
      </c>
      <c r="Y5677">
        <v>-9.3776319999999996E-2</v>
      </c>
      <c r="Z5677">
        <v>4.6561900000000002E-3</v>
      </c>
      <c r="AA5677">
        <v>0.99558239999999998</v>
      </c>
      <c r="AB5677">
        <v>40</v>
      </c>
      <c r="AC5677">
        <v>20.907900000000001</v>
      </c>
      <c r="AD5677">
        <v>-1.1070067577088001</v>
      </c>
      <c r="AE5677">
        <v>1.1080300000000001</v>
      </c>
      <c r="AF5677">
        <v>-1.9809038604179099</v>
      </c>
      <c r="AG5677">
        <v>-1.1070067577088001</v>
      </c>
      <c r="AH5677">
        <v>20.784690137086798</v>
      </c>
      <c r="AI5677">
        <v>93.035004892804693</v>
      </c>
      <c r="AJ5677">
        <v>95.444182724495803</v>
      </c>
      <c r="AK5677">
        <v>20.908199065451502</v>
      </c>
    </row>
    <row r="5678" spans="1:37" x14ac:dyDescent="0.2">
      <c r="A5678" t="str">
        <f>"20200111153543051"</f>
        <v>20200111153543051</v>
      </c>
      <c r="B5678" t="str">
        <f>"1578728143041735"</f>
        <v>1578728143041735</v>
      </c>
      <c r="C5678" t="s">
        <v>37</v>
      </c>
      <c r="D5678">
        <v>4.9456110000000004</v>
      </c>
      <c r="E5678">
        <v>0.50254169999999998</v>
      </c>
      <c r="F5678" t="s">
        <v>77</v>
      </c>
      <c r="G5678">
        <v>-239.9383</v>
      </c>
      <c r="H5678" s="1">
        <v>-3.64926899999999E-6</v>
      </c>
      <c r="I5678">
        <v>-62.599980000000002</v>
      </c>
      <c r="J5678">
        <v>-261.0992</v>
      </c>
      <c r="K5678">
        <v>1.107027</v>
      </c>
      <c r="L5678">
        <v>-63.767819999999901</v>
      </c>
      <c r="M5678">
        <v>0.999187099999999</v>
      </c>
      <c r="N5678">
        <v>0</v>
      </c>
      <c r="O5678">
        <v>-4.019267E-2</v>
      </c>
      <c r="P5678">
        <v>0.99809720000000002</v>
      </c>
      <c r="Q5678">
        <v>1.2942540000000001E-2</v>
      </c>
      <c r="R5678">
        <v>6.0286279999999998E-2</v>
      </c>
      <c r="S5678">
        <v>2.99780299999999</v>
      </c>
      <c r="T5678">
        <v>-0.15537619999999999</v>
      </c>
      <c r="U5678">
        <v>0.16290279999999999</v>
      </c>
      <c r="V5678">
        <v>-0.10050629999999899</v>
      </c>
      <c r="W5678">
        <v>1.51126E-2</v>
      </c>
      <c r="X5678">
        <v>0.99482169999999903</v>
      </c>
      <c r="Y5678">
        <v>-9.4170589999999998E-2</v>
      </c>
      <c r="Z5678">
        <v>4.5174170000000001E-3</v>
      </c>
      <c r="AA5678">
        <v>0.99554580000000004</v>
      </c>
      <c r="AB5678">
        <v>41</v>
      </c>
      <c r="AC5678">
        <v>21.160900000000002</v>
      </c>
      <c r="AD5678">
        <v>-1.1070306492690001</v>
      </c>
      <c r="AE5678">
        <v>1.16783999999999</v>
      </c>
      <c r="AF5678">
        <v>-2.01192389225255</v>
      </c>
      <c r="AG5678">
        <v>-1.1070306492690001</v>
      </c>
      <c r="AH5678">
        <v>21.039454908647201</v>
      </c>
      <c r="AI5678">
        <v>92.998295668898095</v>
      </c>
      <c r="AJ5678">
        <v>95.462370182495704</v>
      </c>
      <c r="AK5678">
        <v>21.164404491022999</v>
      </c>
    </row>
    <row r="5679" spans="1:37" x14ac:dyDescent="0.2">
      <c r="A5679" t="str">
        <f>"20200111153543062"</f>
        <v>20200111153543062</v>
      </c>
      <c r="B5679" t="str">
        <f>"1578728143051496"</f>
        <v>1578728143051496</v>
      </c>
      <c r="C5679" t="s">
        <v>37</v>
      </c>
      <c r="D5679">
        <v>4.8991790000000002</v>
      </c>
      <c r="E5679">
        <v>0.50246190000000002</v>
      </c>
      <c r="F5679" t="s">
        <v>77</v>
      </c>
      <c r="G5679">
        <v>-239.5444</v>
      </c>
      <c r="H5679" s="1">
        <v>-3.506048E-6</v>
      </c>
      <c r="I5679">
        <v>-62.548269999999903</v>
      </c>
      <c r="J5679">
        <v>-260.90320000000003</v>
      </c>
      <c r="K5679">
        <v>1.1070489999999999</v>
      </c>
      <c r="L5679">
        <v>-63.77469</v>
      </c>
      <c r="M5679">
        <v>0.99925949999999997</v>
      </c>
      <c r="N5679">
        <v>0</v>
      </c>
      <c r="O5679">
        <v>-3.8344679999999999E-2</v>
      </c>
      <c r="P5679">
        <v>0.997977</v>
      </c>
      <c r="Q5679">
        <v>1.360404E-2</v>
      </c>
      <c r="R5679">
        <v>6.2105199999999999E-2</v>
      </c>
      <c r="S5679">
        <v>2.9974669999999999</v>
      </c>
      <c r="T5679">
        <v>-0.1539471</v>
      </c>
      <c r="U5679">
        <v>0.16958619999999999</v>
      </c>
      <c r="V5679">
        <v>-0.1004867</v>
      </c>
      <c r="W5679">
        <v>1.579583E-2</v>
      </c>
      <c r="X5679">
        <v>0.99481299999999995</v>
      </c>
      <c r="Y5679">
        <v>-9.4553609999999996E-2</v>
      </c>
      <c r="Z5679">
        <v>4.391219E-3</v>
      </c>
      <c r="AA5679">
        <v>0.99551009999999995</v>
      </c>
      <c r="AB5679">
        <v>41</v>
      </c>
      <c r="AC5679">
        <v>21.358799999999999</v>
      </c>
      <c r="AD5679">
        <v>-1.1070525060480001</v>
      </c>
      <c r="AE5679">
        <v>1.2264200000000001</v>
      </c>
      <c r="AF5679">
        <v>-2.0390586721266799</v>
      </c>
      <c r="AG5679">
        <v>-1.1070525060480001</v>
      </c>
      <c r="AH5679">
        <v>21.239194018266598</v>
      </c>
      <c r="AI5679">
        <v>92.970101666254607</v>
      </c>
      <c r="AJ5679">
        <v>95.483847177204396</v>
      </c>
      <c r="AK5679">
        <v>21.365549093460999</v>
      </c>
    </row>
    <row r="5680" spans="1:37" x14ac:dyDescent="0.2">
      <c r="A5680" t="str">
        <f>"20200111153543072"</f>
        <v>20200111153543072</v>
      </c>
      <c r="B5680" t="str">
        <f>"1578728143061255"</f>
        <v>1578728143061255</v>
      </c>
      <c r="C5680" t="s">
        <v>37</v>
      </c>
      <c r="D5680">
        <v>4.9662009999999999</v>
      </c>
      <c r="E5680">
        <v>0.50237169999999998</v>
      </c>
      <c r="F5680" t="s">
        <v>77</v>
      </c>
      <c r="G5680">
        <v>-239.00030000000001</v>
      </c>
      <c r="H5680" s="1">
        <v>-3.3106599999999899E-6</v>
      </c>
      <c r="I5680">
        <v>-62.490729999999999</v>
      </c>
      <c r="J5680">
        <v>-260.69869999999997</v>
      </c>
      <c r="K5680">
        <v>1.1070690000000001</v>
      </c>
      <c r="L5680">
        <v>-63.781369999999903</v>
      </c>
      <c r="M5680">
        <v>0.99933130000000003</v>
      </c>
      <c r="N5680">
        <v>0</v>
      </c>
      <c r="O5680">
        <v>-3.6424430000000001E-2</v>
      </c>
      <c r="P5680">
        <v>0.99785219999999897</v>
      </c>
      <c r="Q5680">
        <v>1.4184550000000001E-2</v>
      </c>
      <c r="R5680">
        <v>6.395236E-2</v>
      </c>
      <c r="S5680">
        <v>2.997223</v>
      </c>
      <c r="T5680">
        <v>-0.1514904</v>
      </c>
      <c r="U5680">
        <v>0.1756897</v>
      </c>
      <c r="V5680">
        <v>-0.1004227</v>
      </c>
      <c r="W5680">
        <v>1.6401809999999999E-2</v>
      </c>
      <c r="X5680">
        <v>0.99480970000000002</v>
      </c>
      <c r="Y5680">
        <v>-9.4673569999999999E-2</v>
      </c>
      <c r="Z5680">
        <v>4.2274649999999997E-3</v>
      </c>
      <c r="AA5680">
        <v>0.99549940000000003</v>
      </c>
      <c r="AB5680">
        <v>41</v>
      </c>
      <c r="AC5680">
        <v>21.6983999999999</v>
      </c>
      <c r="AD5680">
        <v>-1.10707231066</v>
      </c>
      <c r="AE5680">
        <v>1.29063999999998</v>
      </c>
      <c r="AF5680">
        <v>-2.0747575923479702</v>
      </c>
      <c r="AG5680">
        <v>-1.10707231066</v>
      </c>
      <c r="AH5680">
        <v>21.581009743565101</v>
      </c>
      <c r="AI5680">
        <v>92.923156372558097</v>
      </c>
      <c r="AJ5680">
        <v>95.491431472981802</v>
      </c>
      <c r="AK5680">
        <v>21.708758824951001</v>
      </c>
    </row>
    <row r="5681" spans="1:37" x14ac:dyDescent="0.2">
      <c r="A5681" t="str">
        <f>"20200111153543084"</f>
        <v>20200111153543084</v>
      </c>
      <c r="B5681" t="str">
        <f>"1578728143071019"</f>
        <v>1578728143071019</v>
      </c>
      <c r="C5681" t="s">
        <v>37</v>
      </c>
      <c r="D5681">
        <v>4.9379010000000001</v>
      </c>
      <c r="E5681">
        <v>0.50232049999999995</v>
      </c>
      <c r="F5681" t="s">
        <v>77</v>
      </c>
      <c r="G5681">
        <v>-238.4675</v>
      </c>
      <c r="H5681" s="1">
        <v>-3.119003E-6</v>
      </c>
      <c r="I5681">
        <v>-62.432310000000001</v>
      </c>
      <c r="J5681">
        <v>-260.50060000000002</v>
      </c>
      <c r="K5681">
        <v>1.107089</v>
      </c>
      <c r="L5681">
        <v>-63.787569999999903</v>
      </c>
      <c r="M5681">
        <v>0.99939690000000003</v>
      </c>
      <c r="N5681">
        <v>0</v>
      </c>
      <c r="O5681">
        <v>-3.4572459999999999E-2</v>
      </c>
      <c r="P5681">
        <v>0.99772260000000002</v>
      </c>
      <c r="Q5681">
        <v>1.4633709999999999E-2</v>
      </c>
      <c r="R5681">
        <v>6.5845769999999998E-2</v>
      </c>
      <c r="S5681">
        <v>2.996918</v>
      </c>
      <c r="T5681">
        <v>-0.14924109999999999</v>
      </c>
      <c r="U5681">
        <v>0.18185419999999999</v>
      </c>
      <c r="V5681">
        <v>-0.1004717</v>
      </c>
      <c r="W5681">
        <v>1.6878580000000001E-2</v>
      </c>
      <c r="X5681">
        <v>0.99479680000000004</v>
      </c>
      <c r="Y5681">
        <v>-9.4882090000000002E-2</v>
      </c>
      <c r="Z5681">
        <v>4.0780549999999997E-3</v>
      </c>
      <c r="AA5681">
        <v>0.99548019999999904</v>
      </c>
      <c r="AB5681">
        <v>41</v>
      </c>
      <c r="AC5681">
        <v>22.033100000000001</v>
      </c>
      <c r="AD5681">
        <v>-1.1070921190030001</v>
      </c>
      <c r="AE5681">
        <v>1.3552599999999899</v>
      </c>
      <c r="AF5681">
        <v>-2.1108829687275898</v>
      </c>
      <c r="AG5681">
        <v>-1.1070921190030001</v>
      </c>
      <c r="AH5681">
        <v>21.917944928711702</v>
      </c>
      <c r="AI5681">
        <v>92.878300845683796</v>
      </c>
      <c r="AJ5681">
        <v>95.501100560874903</v>
      </c>
      <c r="AK5681">
        <v>22.047171922168701</v>
      </c>
    </row>
    <row r="5682" spans="1:37" x14ac:dyDescent="0.2">
      <c r="A5682" t="str">
        <f>"20200111153543096"</f>
        <v>20200111153543096</v>
      </c>
      <c r="B5682" t="str">
        <f>"1578728143091515"</f>
        <v>1578728143091515</v>
      </c>
      <c r="C5682" t="s">
        <v>37</v>
      </c>
      <c r="D5682">
        <v>4.9468110000000003</v>
      </c>
      <c r="E5682">
        <v>0.50221000000000005</v>
      </c>
      <c r="F5682" t="s">
        <v>77</v>
      </c>
      <c r="G5682">
        <v>-237.9991</v>
      </c>
      <c r="H5682" s="1">
        <v>-2.9490469999999999E-6</v>
      </c>
      <c r="I5682">
        <v>-62.376819999999903</v>
      </c>
      <c r="J5682">
        <v>-260.27780000000001</v>
      </c>
      <c r="K5682">
        <v>1.10711</v>
      </c>
      <c r="L5682">
        <v>-63.7941</v>
      </c>
      <c r="M5682">
        <v>0.99946650000000004</v>
      </c>
      <c r="N5682">
        <v>0</v>
      </c>
      <c r="O5682">
        <v>-3.2497900000000003E-2</v>
      </c>
      <c r="P5682">
        <v>0.99758250000000004</v>
      </c>
      <c r="Q5682">
        <v>1.5420939999999999E-2</v>
      </c>
      <c r="R5682">
        <v>6.7760070000000006E-2</v>
      </c>
      <c r="S5682">
        <v>2.996613</v>
      </c>
      <c r="T5682">
        <v>-0.14743539999999999</v>
      </c>
      <c r="U5682">
        <v>0.18786620000000001</v>
      </c>
      <c r="V5682">
        <v>-0.1003237</v>
      </c>
      <c r="W5682">
        <v>1.7700999999999901E-2</v>
      </c>
      <c r="X5682">
        <v>0.99479740000000005</v>
      </c>
      <c r="Y5682">
        <v>-9.4817879999999993E-2</v>
      </c>
      <c r="Z5682">
        <v>3.9254529999999998E-3</v>
      </c>
      <c r="AA5682">
        <v>0.99548689999999995</v>
      </c>
      <c r="AB5682">
        <v>41</v>
      </c>
      <c r="AC5682">
        <v>22.278700000000001</v>
      </c>
      <c r="AD5682">
        <v>-1.107112949047</v>
      </c>
      <c r="AE5682">
        <v>1.4172800000000001</v>
      </c>
      <c r="AF5682">
        <v>-2.1352943962269699</v>
      </c>
      <c r="AG5682">
        <v>-1.107112949047</v>
      </c>
      <c r="AH5682">
        <v>22.166354916590102</v>
      </c>
      <c r="AI5682">
        <v>92.846145645296502</v>
      </c>
      <c r="AJ5682">
        <v>95.502348944929395</v>
      </c>
      <c r="AK5682">
        <v>22.296467691738599</v>
      </c>
    </row>
    <row r="5683" spans="1:37" x14ac:dyDescent="0.2">
      <c r="A5683" t="str">
        <f>"20200111153543108"</f>
        <v>20200111153543108</v>
      </c>
      <c r="B5683" t="str">
        <f>"1578728143101278"</f>
        <v>1578728143101278</v>
      </c>
      <c r="C5683" t="s">
        <v>37</v>
      </c>
      <c r="D5683">
        <v>4.9405900000000003</v>
      </c>
      <c r="E5683">
        <v>0.50215449999999995</v>
      </c>
      <c r="F5683" t="s">
        <v>77</v>
      </c>
      <c r="G5683">
        <v>-237.26990000000001</v>
      </c>
      <c r="H5683" s="1">
        <v>-2.6162079999999998E-6</v>
      </c>
      <c r="I5683">
        <v>-62.30153</v>
      </c>
      <c r="J5683">
        <v>-260.0736</v>
      </c>
      <c r="K5683">
        <v>1.1071249999999999</v>
      </c>
      <c r="L5683">
        <v>-63.79956</v>
      </c>
      <c r="M5683">
        <v>0.99952580000000002</v>
      </c>
      <c r="N5683">
        <v>0</v>
      </c>
      <c r="O5683">
        <v>-3.0612830000000001E-2</v>
      </c>
      <c r="P5683">
        <v>0.99745539999999999</v>
      </c>
      <c r="Q5683">
        <v>1.600097E-2</v>
      </c>
      <c r="R5683">
        <v>6.9474759999999997E-2</v>
      </c>
      <c r="S5683">
        <v>2.9962770000000001</v>
      </c>
      <c r="T5683">
        <v>-0.144177</v>
      </c>
      <c r="U5683">
        <v>0.1943665</v>
      </c>
      <c r="V5683">
        <v>-0.1001631</v>
      </c>
      <c r="W5683">
        <v>1.8322700000000001E-2</v>
      </c>
      <c r="X5683">
        <v>0.99480230000000003</v>
      </c>
      <c r="Y5683">
        <v>-9.5106819999999995E-2</v>
      </c>
      <c r="Z5683">
        <v>3.7553459999999901E-3</v>
      </c>
      <c r="AA5683">
        <v>0.99546000000000001</v>
      </c>
      <c r="AB5683">
        <v>41</v>
      </c>
      <c r="AC5683">
        <v>22.8036999999999</v>
      </c>
      <c r="AD5683">
        <v>-1.1071276162079999</v>
      </c>
      <c r="AE5683">
        <v>1.49802999999999</v>
      </c>
      <c r="AF5683">
        <v>-2.1902769356915899</v>
      </c>
      <c r="AG5683">
        <v>-1.1071276162079999</v>
      </c>
      <c r="AH5683">
        <v>22.693890254328799</v>
      </c>
      <c r="AI5683">
        <v>92.780078134937995</v>
      </c>
      <c r="AJ5683">
        <v>95.512767140445305</v>
      </c>
      <c r="AK5683">
        <v>22.826206419138298</v>
      </c>
    </row>
    <row r="5684" spans="1:37" x14ac:dyDescent="0.2">
      <c r="A5684" t="str">
        <f>"20200111153543120"</f>
        <v>20200111153543120</v>
      </c>
      <c r="B5684" t="str">
        <f>"1578728143111035"</f>
        <v>1578728143111035</v>
      </c>
      <c r="C5684" t="s">
        <v>37</v>
      </c>
      <c r="D5684">
        <v>4.9140699999999997</v>
      </c>
      <c r="E5684">
        <v>0.50210239999999995</v>
      </c>
      <c r="F5684" t="s">
        <v>77</v>
      </c>
      <c r="G5684">
        <v>-236.72370000000001</v>
      </c>
      <c r="H5684" s="1">
        <v>-2.3657640000000001E-6</v>
      </c>
      <c r="I5684">
        <v>-62.240919999999903</v>
      </c>
      <c r="J5684">
        <v>-259.83539999999999</v>
      </c>
      <c r="K5684">
        <v>1.1071409999999999</v>
      </c>
      <c r="L5684">
        <v>-63.805689999999998</v>
      </c>
      <c r="M5684">
        <v>0.99959030000000004</v>
      </c>
      <c r="N5684">
        <v>0</v>
      </c>
      <c r="O5684">
        <v>-2.842337E-2</v>
      </c>
      <c r="P5684">
        <v>0.99730929999999995</v>
      </c>
      <c r="Q5684">
        <v>1.6111179999999999E-2</v>
      </c>
      <c r="R5684">
        <v>7.1516999999999997E-2</v>
      </c>
      <c r="S5684">
        <v>2.9960330000000002</v>
      </c>
      <c r="T5684">
        <v>-0.14205599999999999</v>
      </c>
      <c r="U5684">
        <v>0.19998170000000001</v>
      </c>
      <c r="V5684">
        <v>-0.1000234</v>
      </c>
      <c r="W5684">
        <v>1.8485749999999999E-2</v>
      </c>
      <c r="X5684">
        <v>0.99481330000000001</v>
      </c>
      <c r="Y5684">
        <v>-9.4796290000000005E-2</v>
      </c>
      <c r="Z5684">
        <v>3.5892400000000001E-3</v>
      </c>
      <c r="AA5684">
        <v>0.99549019999999999</v>
      </c>
      <c r="AB5684">
        <v>41</v>
      </c>
      <c r="AC5684">
        <v>23.1116999999999</v>
      </c>
      <c r="AD5684">
        <v>-1.107143365764</v>
      </c>
      <c r="AE5684">
        <v>1.56477000000001</v>
      </c>
      <c r="AF5684">
        <v>-2.21599186863302</v>
      </c>
      <c r="AG5684">
        <v>-1.107143365764</v>
      </c>
      <c r="AH5684">
        <v>23.005334247683901</v>
      </c>
      <c r="AI5684">
        <v>92.742587907349602</v>
      </c>
      <c r="AJ5684">
        <v>95.502048476062498</v>
      </c>
      <c r="AK5684">
        <v>23.138318656329801</v>
      </c>
    </row>
    <row r="5685" spans="1:37" x14ac:dyDescent="0.2">
      <c r="A5685" t="str">
        <f>"20200111153543131"</f>
        <v>20200111153543131</v>
      </c>
      <c r="B5685" t="str">
        <f>"1578728143121771"</f>
        <v>1578728143121771</v>
      </c>
      <c r="C5685" t="s">
        <v>37</v>
      </c>
      <c r="D5685">
        <v>4.9611099999999997</v>
      </c>
      <c r="E5685">
        <v>0.50205889999999997</v>
      </c>
      <c r="F5685" t="s">
        <v>77</v>
      </c>
      <c r="G5685">
        <v>-236.35669999999999</v>
      </c>
      <c r="H5685" s="1">
        <v>-2.194113E-6</v>
      </c>
      <c r="I5685">
        <v>-62.187550000000002</v>
      </c>
      <c r="J5685">
        <v>-259.63619999999997</v>
      </c>
      <c r="K5685">
        <v>1.1071489999999999</v>
      </c>
      <c r="L5685">
        <v>-63.810209999999998</v>
      </c>
      <c r="M5685">
        <v>0.99963979999999997</v>
      </c>
      <c r="N5685">
        <v>0</v>
      </c>
      <c r="O5685">
        <v>-2.6616999999999998E-2</v>
      </c>
      <c r="P5685">
        <v>0.99719239999999998</v>
      </c>
      <c r="Q5685">
        <v>1.61215E-2</v>
      </c>
      <c r="R5685">
        <v>7.3127010000000006E-2</v>
      </c>
      <c r="S5685">
        <v>2.9956360000000002</v>
      </c>
      <c r="T5685">
        <v>-0.14126</v>
      </c>
      <c r="U5685">
        <v>0.20645140000000001</v>
      </c>
      <c r="V5685">
        <v>-9.9832099999999993E-2</v>
      </c>
      <c r="W5685">
        <v>1.855536E-2</v>
      </c>
      <c r="X5685">
        <v>0.99483129999999997</v>
      </c>
      <c r="Y5685">
        <v>-9.5149399999999995E-2</v>
      </c>
      <c r="Z5685">
        <v>3.492635E-3</v>
      </c>
      <c r="AA5685">
        <v>0.99545689999999998</v>
      </c>
      <c r="AB5685">
        <v>41</v>
      </c>
      <c r="AC5685">
        <v>23.279499999999899</v>
      </c>
      <c r="AD5685">
        <v>-1.1071511941129999</v>
      </c>
      <c r="AE5685">
        <v>1.62265999999999</v>
      </c>
      <c r="AF5685">
        <v>-2.2366845855028998</v>
      </c>
      <c r="AG5685">
        <v>-1.1071511941129999</v>
      </c>
      <c r="AH5685">
        <v>23.175894220891902</v>
      </c>
      <c r="AI5685">
        <v>92.722406116332095</v>
      </c>
      <c r="AJ5685">
        <v>95.512491691313599</v>
      </c>
      <c r="AK5685">
        <v>23.309882338605199</v>
      </c>
    </row>
    <row r="5686" spans="1:37" x14ac:dyDescent="0.2">
      <c r="A5686" t="str">
        <f>"20200111153543142"</f>
        <v>20200111153543142</v>
      </c>
      <c r="B5686" t="str">
        <f>"1578728143131531"</f>
        <v>1578728143131531</v>
      </c>
      <c r="C5686" t="s">
        <v>37</v>
      </c>
      <c r="D5686">
        <v>4.9506410000000001</v>
      </c>
      <c r="E5686">
        <v>0.50202769999999997</v>
      </c>
      <c r="F5686" t="s">
        <v>77</v>
      </c>
      <c r="G5686">
        <v>-236.0882</v>
      </c>
      <c r="H5686" s="1">
        <v>-2.0684139999999999E-6</v>
      </c>
      <c r="I5686">
        <v>-62.147959999999998</v>
      </c>
      <c r="J5686">
        <v>-259.44670000000002</v>
      </c>
      <c r="K5686">
        <v>1.1071569999999999</v>
      </c>
      <c r="L5686">
        <v>-63.814329999999998</v>
      </c>
      <c r="M5686">
        <v>0.99968359999999901</v>
      </c>
      <c r="N5686">
        <v>0</v>
      </c>
      <c r="O5686">
        <v>-2.490552E-2</v>
      </c>
      <c r="P5686">
        <v>0.99709169999999903</v>
      </c>
      <c r="Q5686">
        <v>1.5931009999999999E-2</v>
      </c>
      <c r="R5686">
        <v>7.4527640000000006E-2</v>
      </c>
      <c r="S5686">
        <v>2.99523899999999</v>
      </c>
      <c r="T5686">
        <v>-0.14082639999999999</v>
      </c>
      <c r="U5686">
        <v>0.211425799999999</v>
      </c>
      <c r="V5686">
        <v>-9.9525399999999903E-2</v>
      </c>
      <c r="W5686">
        <v>1.842949E-2</v>
      </c>
      <c r="X5686">
        <v>0.99486430000000003</v>
      </c>
      <c r="Y5686">
        <v>-9.5102130000000007E-2</v>
      </c>
      <c r="Z5686">
        <v>3.400742E-3</v>
      </c>
      <c r="AA5686">
        <v>0.9954617</v>
      </c>
      <c r="AB5686">
        <v>41</v>
      </c>
      <c r="AC5686">
        <v>23.358499999999999</v>
      </c>
      <c r="AD5686">
        <v>-1.107159068414</v>
      </c>
      <c r="AE5686">
        <v>1.6663699999999999</v>
      </c>
      <c r="AF5686">
        <v>-2.24259953764756</v>
      </c>
      <c r="AG5686">
        <v>-1.107159068414</v>
      </c>
      <c r="AH5686">
        <v>23.257765404498301</v>
      </c>
      <c r="AI5686">
        <v>92.712878514997499</v>
      </c>
      <c r="AJ5686">
        <v>95.507643382993606</v>
      </c>
      <c r="AK5686">
        <v>23.391851262773301</v>
      </c>
    </row>
    <row r="5687" spans="1:37" x14ac:dyDescent="0.2">
      <c r="A5687" t="str">
        <f>"20200111153543151"</f>
        <v>20200111153543151</v>
      </c>
      <c r="B5687" t="str">
        <f>"1578728143141292"</f>
        <v>1578728143141292</v>
      </c>
      <c r="C5687" t="s">
        <v>37</v>
      </c>
      <c r="D5687">
        <v>4.9650119999999998</v>
      </c>
      <c r="E5687">
        <v>0.50199970000000005</v>
      </c>
      <c r="F5687" t="s">
        <v>77</v>
      </c>
      <c r="G5687">
        <v>-235.9177</v>
      </c>
      <c r="H5687" s="1">
        <v>-1.9875469999999998E-6</v>
      </c>
      <c r="I5687">
        <v>-62.118940000000002</v>
      </c>
      <c r="J5687">
        <v>-259.26679999999999</v>
      </c>
      <c r="K5687">
        <v>1.1071660000000001</v>
      </c>
      <c r="L5687">
        <v>-63.817839999999997</v>
      </c>
      <c r="M5687">
        <v>0.99972220000000001</v>
      </c>
      <c r="N5687">
        <v>0</v>
      </c>
      <c r="O5687">
        <v>-2.3301390000000002E-2</v>
      </c>
      <c r="P5687">
        <v>0.99699190000000004</v>
      </c>
      <c r="Q5687">
        <v>1.5676079999999998E-2</v>
      </c>
      <c r="R5687">
        <v>7.5904230000000003E-2</v>
      </c>
      <c r="S5687">
        <v>2.9948730000000001</v>
      </c>
      <c r="T5687">
        <v>-0.14092440000000001</v>
      </c>
      <c r="U5687">
        <v>0.215789799999999</v>
      </c>
      <c r="V5687">
        <v>-9.9300860000000005E-2</v>
      </c>
      <c r="W5687">
        <v>1.8250229999999999E-2</v>
      </c>
      <c r="X5687">
        <v>0.9948901</v>
      </c>
      <c r="Y5687">
        <v>-9.4958310000000004E-2</v>
      </c>
      <c r="Z5687">
        <v>3.3246119999999998E-3</v>
      </c>
      <c r="AA5687">
        <v>0.99547569999999996</v>
      </c>
      <c r="AB5687">
        <v>41</v>
      </c>
      <c r="AC5687">
        <v>23.3491</v>
      </c>
      <c r="AD5687">
        <v>-1.107167987547</v>
      </c>
      <c r="AE5687">
        <v>1.6989000000000001</v>
      </c>
      <c r="AF5687">
        <v>-2.2375041602210701</v>
      </c>
      <c r="AG5687">
        <v>-1.107167987547</v>
      </c>
      <c r="AH5687">
        <v>23.2511691297622</v>
      </c>
      <c r="AI5687">
        <v>92.713718426424904</v>
      </c>
      <c r="AJ5687">
        <v>95.496755656722399</v>
      </c>
      <c r="AK5687">
        <v>23.3848051460871</v>
      </c>
    </row>
    <row r="5688" spans="1:37" x14ac:dyDescent="0.2">
      <c r="A5688" t="str">
        <f>"20200111153543162"</f>
        <v>20200111153543162</v>
      </c>
      <c r="B5688" t="str">
        <f>"1578728143151051"</f>
        <v>1578728143151051</v>
      </c>
      <c r="C5688" t="s">
        <v>37</v>
      </c>
      <c r="D5688">
        <v>4.9633929999999999</v>
      </c>
      <c r="E5688">
        <v>0.50197040000000004</v>
      </c>
      <c r="F5688" t="s">
        <v>77</v>
      </c>
      <c r="G5688">
        <v>-235.84389999999999</v>
      </c>
      <c r="H5688" s="1">
        <v>-1.9499420000000001E-6</v>
      </c>
      <c r="I5688">
        <v>-62.096709999999902</v>
      </c>
      <c r="J5688">
        <v>-259.06610000000001</v>
      </c>
      <c r="K5688">
        <v>1.1071759999999999</v>
      </c>
      <c r="L5688">
        <v>-63.821530000000003</v>
      </c>
      <c r="M5688">
        <v>0.99976160000000003</v>
      </c>
      <c r="N5688">
        <v>0</v>
      </c>
      <c r="O5688">
        <v>-2.1523850000000001E-2</v>
      </c>
      <c r="P5688">
        <v>0.99687619999999899</v>
      </c>
      <c r="Q5688">
        <v>1.5118629999999999E-2</v>
      </c>
      <c r="R5688">
        <v>7.751893E-2</v>
      </c>
      <c r="S5688">
        <v>2.9945369999999998</v>
      </c>
      <c r="T5688">
        <v>-0.14154700000000001</v>
      </c>
      <c r="U5688">
        <v>0.2200317</v>
      </c>
      <c r="V5688">
        <v>-9.9138489999999996E-2</v>
      </c>
      <c r="W5688">
        <v>1.779064E-2</v>
      </c>
      <c r="X5688">
        <v>0.99491459999999998</v>
      </c>
      <c r="Y5688">
        <v>-9.4600290000000004E-2</v>
      </c>
      <c r="Z5688">
        <v>3.247163E-3</v>
      </c>
      <c r="AA5688">
        <v>0.99551000000000001</v>
      </c>
      <c r="AB5688">
        <v>41</v>
      </c>
      <c r="AC5688">
        <v>23.222200000000001</v>
      </c>
      <c r="AD5688">
        <v>-1.107177949942</v>
      </c>
      <c r="AE5688">
        <v>1.72482</v>
      </c>
      <c r="AF5688">
        <v>-2.2192379456040499</v>
      </c>
      <c r="AG5688">
        <v>-1.107177949942</v>
      </c>
      <c r="AH5688">
        <v>23.127411496103701</v>
      </c>
      <c r="AI5688">
        <v>92.728313792011605</v>
      </c>
      <c r="AJ5688">
        <v>95.481151474308106</v>
      </c>
      <c r="AK5688">
        <v>23.2600090838794</v>
      </c>
    </row>
    <row r="5689" spans="1:37" x14ac:dyDescent="0.2">
      <c r="A5689" t="str">
        <f>"20200111153543174"</f>
        <v>20200111153543174</v>
      </c>
      <c r="B5689" t="str">
        <f>"1578728143161787"</f>
        <v>1578728143161787</v>
      </c>
      <c r="C5689" t="s">
        <v>37</v>
      </c>
      <c r="D5689">
        <v>4.9618839999999897</v>
      </c>
      <c r="E5689">
        <v>0.50195649999999903</v>
      </c>
      <c r="F5689" t="s">
        <v>77</v>
      </c>
      <c r="G5689">
        <v>-235.88159999999999</v>
      </c>
      <c r="H5689" s="1">
        <v>-1.9614380000000002E-6</v>
      </c>
      <c r="I5689">
        <v>-62.079129999999999</v>
      </c>
      <c r="J5689">
        <v>-258.85410000000002</v>
      </c>
      <c r="K5689">
        <v>1.107194</v>
      </c>
      <c r="L5689">
        <v>-63.824979999999996</v>
      </c>
      <c r="M5689">
        <v>0.99979929999999995</v>
      </c>
      <c r="N5689">
        <v>0</v>
      </c>
      <c r="O5689">
        <v>-1.9674190000000001E-2</v>
      </c>
      <c r="P5689">
        <v>0.99676640000000005</v>
      </c>
      <c r="Q5689">
        <v>1.4388339999999999E-2</v>
      </c>
      <c r="R5689">
        <v>7.9056710000000002E-2</v>
      </c>
      <c r="S5689">
        <v>2.994049</v>
      </c>
      <c r="T5689">
        <v>-0.14298079999999999</v>
      </c>
      <c r="U5689">
        <v>0.22500609999999999</v>
      </c>
      <c r="V5689">
        <v>-9.8826880000000006E-2</v>
      </c>
      <c r="W5689">
        <v>1.7193719999999999E-2</v>
      </c>
      <c r="X5689">
        <v>0.99495610000000001</v>
      </c>
      <c r="Y5689">
        <v>-9.4414979999999996E-2</v>
      </c>
      <c r="Z5689">
        <v>3.187764E-3</v>
      </c>
      <c r="AA5689">
        <v>0.99552779999999996</v>
      </c>
      <c r="AB5689">
        <v>41</v>
      </c>
      <c r="AC5689">
        <v>22.9725</v>
      </c>
      <c r="AD5689">
        <v>-1.107195961438</v>
      </c>
      <c r="AE5689">
        <v>1.7458499999999899</v>
      </c>
      <c r="AF5689">
        <v>-2.1924170907756402</v>
      </c>
      <c r="AG5689">
        <v>-1.107195961438</v>
      </c>
      <c r="AH5689">
        <v>22.880860073204602</v>
      </c>
      <c r="AI5689">
        <v>92.757748396611404</v>
      </c>
      <c r="AJ5689">
        <v>95.473304407713101</v>
      </c>
      <c r="AK5689">
        <v>23.012308299832</v>
      </c>
    </row>
    <row r="5690" spans="1:37" x14ac:dyDescent="0.2">
      <c r="A5690" t="str">
        <f>"20200111153543185"</f>
        <v>20200111153543185</v>
      </c>
      <c r="B5690" t="str">
        <f>"1578728143171639"</f>
        <v>1578728143171639</v>
      </c>
      <c r="C5690" t="s">
        <v>37</v>
      </c>
      <c r="D5690">
        <v>4.9284809999999997</v>
      </c>
      <c r="E5690">
        <v>0.50192579999999998</v>
      </c>
      <c r="F5690" t="s">
        <v>77</v>
      </c>
      <c r="G5690">
        <v>-236.00389999999999</v>
      </c>
      <c r="H5690" s="1">
        <v>-2.0118040000000001E-6</v>
      </c>
      <c r="I5690">
        <v>-62.071109999999997</v>
      </c>
      <c r="J5690">
        <v>-258.6474</v>
      </c>
      <c r="K5690">
        <v>1.1072139999999999</v>
      </c>
      <c r="L5690">
        <v>-63.827939999999998</v>
      </c>
      <c r="M5690">
        <v>0.99983199999999905</v>
      </c>
      <c r="N5690">
        <v>0</v>
      </c>
      <c r="O5690">
        <v>-1.789727E-2</v>
      </c>
      <c r="P5690">
        <v>0.99663969999999902</v>
      </c>
      <c r="Q5690">
        <v>1.3989619999999999E-2</v>
      </c>
      <c r="R5690">
        <v>8.0707180000000003E-2</v>
      </c>
      <c r="S5690">
        <v>2.9936069999999999</v>
      </c>
      <c r="T5690">
        <v>-0.14505399999999999</v>
      </c>
      <c r="U5690">
        <v>0.22976679999999899</v>
      </c>
      <c r="V5690">
        <v>-9.8703940000000004E-2</v>
      </c>
      <c r="W5690">
        <v>1.695725E-2</v>
      </c>
      <c r="X5690">
        <v>0.99497230000000003</v>
      </c>
      <c r="Y5690">
        <v>-9.4229300000000002E-2</v>
      </c>
      <c r="Z5690">
        <v>3.1437850000000001E-3</v>
      </c>
      <c r="AA5690">
        <v>0.99554560000000003</v>
      </c>
      <c r="AB5690">
        <v>41</v>
      </c>
      <c r="AC5690">
        <v>22.6435</v>
      </c>
      <c r="AD5690">
        <v>-1.107216011804</v>
      </c>
      <c r="AE5690">
        <v>1.7568299999999999</v>
      </c>
      <c r="AF5690">
        <v>-2.1566828623084899</v>
      </c>
      <c r="AG5690">
        <v>-1.107216011804</v>
      </c>
      <c r="AH5690">
        <v>22.554824797340601</v>
      </c>
      <c r="AI5690">
        <v>92.797652785503203</v>
      </c>
      <c r="AJ5690">
        <v>95.461992215614302</v>
      </c>
      <c r="AK5690">
        <v>22.684737818720802</v>
      </c>
    </row>
    <row r="5691" spans="1:37" x14ac:dyDescent="0.2">
      <c r="A5691" t="str">
        <f>"20200111153543196"</f>
        <v>20200111153543196</v>
      </c>
      <c r="B5691" t="str">
        <f>"1578728143191158"</f>
        <v>1578728143191158</v>
      </c>
      <c r="C5691" t="s">
        <v>37</v>
      </c>
      <c r="D5691">
        <v>4.9947569999999999</v>
      </c>
      <c r="E5691">
        <v>0.5019053</v>
      </c>
      <c r="F5691" t="s">
        <v>77</v>
      </c>
      <c r="G5691">
        <v>-235.95240000000001</v>
      </c>
      <c r="H5691" s="1">
        <v>-1.9832229999999999E-6</v>
      </c>
      <c r="I5691">
        <v>-62.046840000000003</v>
      </c>
      <c r="J5691">
        <v>-258.43819999999999</v>
      </c>
      <c r="K5691">
        <v>1.1072379999999999</v>
      </c>
      <c r="L5691">
        <v>-63.8307199999999</v>
      </c>
      <c r="M5691">
        <v>0.99986149999999996</v>
      </c>
      <c r="N5691">
        <v>0</v>
      </c>
      <c r="O5691">
        <v>-1.611955E-2</v>
      </c>
      <c r="P5691">
        <v>0.99652209999999997</v>
      </c>
      <c r="Q5691">
        <v>1.339926E-2</v>
      </c>
      <c r="R5691">
        <v>8.2246130000000001E-2</v>
      </c>
      <c r="S5691">
        <v>2.9931489999999998</v>
      </c>
      <c r="T5691">
        <v>-0.14602599999999999</v>
      </c>
      <c r="U5691">
        <v>0.23489380000000001</v>
      </c>
      <c r="V5691">
        <v>-9.8466899999999996E-2</v>
      </c>
      <c r="W5691">
        <v>1.6557240000000001E-2</v>
      </c>
      <c r="X5691">
        <v>0.99500259999999996</v>
      </c>
      <c r="Y5691">
        <v>-9.4166330000000006E-2</v>
      </c>
      <c r="Z5691">
        <v>3.0770070000000001E-3</v>
      </c>
      <c r="AA5691">
        <v>0.99555169999999904</v>
      </c>
      <c r="AB5691">
        <v>41</v>
      </c>
      <c r="AC5691">
        <v>22.485799999999902</v>
      </c>
      <c r="AD5691">
        <v>-1.107239983223</v>
      </c>
      <c r="AE5691">
        <v>1.7838799999999799</v>
      </c>
      <c r="AF5691">
        <v>-2.14095349650706</v>
      </c>
      <c r="AG5691">
        <v>-1.107239983223</v>
      </c>
      <c r="AH5691">
        <v>22.400147784766801</v>
      </c>
      <c r="AI5691">
        <v>92.817012127727295</v>
      </c>
      <c r="AJ5691">
        <v>95.459611619650602</v>
      </c>
      <c r="AK5691">
        <v>22.529453678108698</v>
      </c>
    </row>
    <row r="5692" spans="1:37" x14ac:dyDescent="0.2">
      <c r="A5692" t="str">
        <f>"20200111153543208"</f>
        <v>20200111153543208</v>
      </c>
      <c r="B5692" t="str">
        <f>"1578728143200918"</f>
        <v>1578728143200918</v>
      </c>
      <c r="C5692" t="s">
        <v>37</v>
      </c>
      <c r="D5692">
        <v>4.945468</v>
      </c>
      <c r="E5692">
        <v>0.50189379999999995</v>
      </c>
      <c r="F5692" t="s">
        <v>77</v>
      </c>
      <c r="G5692">
        <v>-235.93109999999999</v>
      </c>
      <c r="H5692" s="1">
        <v>-1.96915E-6</v>
      </c>
      <c r="I5692">
        <v>-62.028280000000002</v>
      </c>
      <c r="J5692">
        <v>-258.22030000000001</v>
      </c>
      <c r="K5692">
        <v>1.1072649999999999</v>
      </c>
      <c r="L5692">
        <v>-63.833009999999902</v>
      </c>
      <c r="M5692">
        <v>0.99988790000000005</v>
      </c>
      <c r="N5692">
        <v>0</v>
      </c>
      <c r="O5692">
        <v>-1.4314210000000001E-2</v>
      </c>
      <c r="P5692">
        <v>0.99637779999999998</v>
      </c>
      <c r="Q5692">
        <v>1.279599E-2</v>
      </c>
      <c r="R5692">
        <v>8.4069649999999996E-2</v>
      </c>
      <c r="S5692">
        <v>2.9926759999999999</v>
      </c>
      <c r="T5692">
        <v>-0.1472251</v>
      </c>
      <c r="U5692">
        <v>0.23965449999999999</v>
      </c>
      <c r="V5692">
        <v>-9.8486899999999905E-2</v>
      </c>
      <c r="W5692">
        <v>1.6208239999999999E-2</v>
      </c>
      <c r="X5692">
        <v>0.99500630000000001</v>
      </c>
      <c r="Y5692">
        <v>-9.3955179999999999E-2</v>
      </c>
      <c r="Z5692">
        <v>3.008719E-3</v>
      </c>
      <c r="AA5692">
        <v>0.99557189999999995</v>
      </c>
      <c r="AB5692">
        <v>41</v>
      </c>
      <c r="AC5692">
        <v>22.289200000000001</v>
      </c>
      <c r="AD5692">
        <v>-1.1072669691499999</v>
      </c>
      <c r="AE5692">
        <v>1.80472999999999</v>
      </c>
      <c r="AF5692">
        <v>-2.1184066395069499</v>
      </c>
      <c r="AG5692">
        <v>-1.1072669691499999</v>
      </c>
      <c r="AH5692">
        <v>22.206637487847601</v>
      </c>
      <c r="AI5692">
        <v>92.841637842141495</v>
      </c>
      <c r="AJ5692">
        <v>95.449252465062898</v>
      </c>
      <c r="AK5692">
        <v>22.334915163213701</v>
      </c>
    </row>
    <row r="5693" spans="1:37" x14ac:dyDescent="0.2">
      <c r="A5693" t="str">
        <f>"20200111153543218"</f>
        <v>20200111153543218</v>
      </c>
      <c r="B5693" t="str">
        <f>"1578728143211654"</f>
        <v>1578728143211654</v>
      </c>
      <c r="C5693" t="s">
        <v>37</v>
      </c>
      <c r="D5693">
        <v>5.0511609999999996</v>
      </c>
      <c r="E5693">
        <v>0.50190349999999995</v>
      </c>
      <c r="F5693" t="s">
        <v>77</v>
      </c>
      <c r="G5693">
        <v>-235.9684</v>
      </c>
      <c r="H5693" s="1">
        <v>-1.980389E-6</v>
      </c>
      <c r="I5693">
        <v>-62.010289999999998</v>
      </c>
      <c r="J5693">
        <v>-258.02960000000002</v>
      </c>
      <c r="K5693">
        <v>1.1072879999999901</v>
      </c>
      <c r="L5693">
        <v>-63.834899999999998</v>
      </c>
      <c r="M5693">
        <v>0.99990809999999997</v>
      </c>
      <c r="N5693">
        <v>0</v>
      </c>
      <c r="O5693">
        <v>-1.274322E-2</v>
      </c>
      <c r="P5693">
        <v>0.9962645</v>
      </c>
      <c r="Q5693">
        <v>1.1704330000000001E-2</v>
      </c>
      <c r="R5693">
        <v>8.5558209999999996E-2</v>
      </c>
      <c r="S5693">
        <v>2.9921419999999999</v>
      </c>
      <c r="T5693">
        <v>-0.14889069999999999</v>
      </c>
      <c r="U5693">
        <v>0.24508669999999999</v>
      </c>
      <c r="V5693">
        <v>-9.8400950000000001E-2</v>
      </c>
      <c r="W5693">
        <v>1.535243E-2</v>
      </c>
      <c r="X5693">
        <v>0.99502839999999904</v>
      </c>
      <c r="Y5693">
        <v>-9.4199430000000001E-2</v>
      </c>
      <c r="Z5693">
        <v>2.9710890000000001E-3</v>
      </c>
      <c r="AA5693">
        <v>0.99554889999999996</v>
      </c>
      <c r="AB5693">
        <v>41</v>
      </c>
      <c r="AC5693">
        <v>22.061199999999999</v>
      </c>
      <c r="AD5693">
        <v>-1.10728998038899</v>
      </c>
      <c r="AE5693">
        <v>1.8246099999999901</v>
      </c>
      <c r="AF5693">
        <v>-2.1003403238214098</v>
      </c>
      <c r="AG5693">
        <v>-1.10728998038899</v>
      </c>
      <c r="AH5693">
        <v>21.981158026754599</v>
      </c>
      <c r="AI5693">
        <v>92.870755513370895</v>
      </c>
      <c r="AJ5693">
        <v>95.458146760943194</v>
      </c>
      <c r="AK5693">
        <v>22.109021434104601</v>
      </c>
    </row>
    <row r="5694" spans="1:37" x14ac:dyDescent="0.2">
      <c r="A5694" t="str">
        <f>"20200111153543229"</f>
        <v>20200111153543229</v>
      </c>
      <c r="B5694" t="str">
        <f>"1578728143221415"</f>
        <v>1578728143221415</v>
      </c>
      <c r="C5694" t="s">
        <v>37</v>
      </c>
      <c r="D5694">
        <v>4.9625269999999997</v>
      </c>
      <c r="E5694">
        <v>0.50191699999999995</v>
      </c>
      <c r="F5694" t="s">
        <v>77</v>
      </c>
      <c r="G5694">
        <v>-236.2062</v>
      </c>
      <c r="H5694" s="1">
        <v>-2.0839399999999999E-6</v>
      </c>
      <c r="I5694">
        <v>-62.016039999999997</v>
      </c>
      <c r="J5694">
        <v>-257.8313</v>
      </c>
      <c r="K5694">
        <v>1.1073139999999999</v>
      </c>
      <c r="L5694">
        <v>-63.836269999999899</v>
      </c>
      <c r="M5694">
        <v>0.99992559999999997</v>
      </c>
      <c r="N5694">
        <v>0</v>
      </c>
      <c r="O5694">
        <v>-1.1168559999999999E-2</v>
      </c>
      <c r="P5694">
        <v>0.99614699999999901</v>
      </c>
      <c r="Q5694">
        <v>1.043344E-2</v>
      </c>
      <c r="R5694">
        <v>8.7076639999999997E-2</v>
      </c>
      <c r="S5694">
        <v>2.9916230000000001</v>
      </c>
      <c r="T5694">
        <v>-0.1517915</v>
      </c>
      <c r="U5694">
        <v>0.24932860000000001</v>
      </c>
      <c r="V5694">
        <v>-9.8341109999999995E-2</v>
      </c>
      <c r="W5694">
        <v>1.4394560000000001E-2</v>
      </c>
      <c r="X5694">
        <v>0.99504859999999995</v>
      </c>
      <c r="Y5694">
        <v>-9.4044810000000006E-2</v>
      </c>
      <c r="Z5694">
        <v>2.9456109999999999E-3</v>
      </c>
      <c r="AA5694">
        <v>0.99556359999999999</v>
      </c>
      <c r="AB5694">
        <v>41</v>
      </c>
      <c r="AC5694">
        <v>21.6251</v>
      </c>
      <c r="AD5694">
        <v>-1.10731608393999</v>
      </c>
      <c r="AE5694">
        <v>1.82022999999998</v>
      </c>
      <c r="AF5694">
        <v>-2.0562870173710799</v>
      </c>
      <c r="AG5694">
        <v>-1.10731608393999</v>
      </c>
      <c r="AH5694">
        <v>21.5473227320009</v>
      </c>
      <c r="AI5694">
        <v>92.928558175577393</v>
      </c>
      <c r="AJ5694">
        <v>95.451296867663103</v>
      </c>
      <c r="AK5694">
        <v>21.673522605348801</v>
      </c>
    </row>
    <row r="5695" spans="1:37" x14ac:dyDescent="0.2">
      <c r="A5695" t="str">
        <f>"20200111153543240"</f>
        <v>20200111153543240</v>
      </c>
      <c r="B5695" t="str">
        <f>"1578728143231176"</f>
        <v>1578728143231176</v>
      </c>
      <c r="C5695" t="s">
        <v>37</v>
      </c>
      <c r="D5695">
        <v>4.9313539999999998</v>
      </c>
      <c r="E5695">
        <v>0.50192870000000001</v>
      </c>
      <c r="F5695" t="s">
        <v>77</v>
      </c>
      <c r="G5695">
        <v>-236.49459999999999</v>
      </c>
      <c r="H5695" s="1">
        <v>-2.210407E-6</v>
      </c>
      <c r="I5695">
        <v>-62.026499999999999</v>
      </c>
      <c r="J5695">
        <v>-257.62169999999998</v>
      </c>
      <c r="K5695">
        <v>1.1073360000000001</v>
      </c>
      <c r="L5695">
        <v>-63.837619999999902</v>
      </c>
      <c r="M5695">
        <v>0.99994089999999902</v>
      </c>
      <c r="N5695">
        <v>0</v>
      </c>
      <c r="O5695">
        <v>-9.5177059999999904E-3</v>
      </c>
      <c r="P5695">
        <v>0.99599210000000005</v>
      </c>
      <c r="Q5695">
        <v>9.1080459999999999E-3</v>
      </c>
      <c r="R5695">
        <v>8.8976739999999999E-2</v>
      </c>
      <c r="S5695">
        <v>2.9910580000000002</v>
      </c>
      <c r="T5695">
        <v>-0.15522749999999999</v>
      </c>
      <c r="U5695">
        <v>0.25369259999999999</v>
      </c>
      <c r="V5695">
        <v>-9.8585399999999906E-2</v>
      </c>
      <c r="W5695">
        <v>1.3409519999999999E-2</v>
      </c>
      <c r="X5695">
        <v>0.99503829999999904</v>
      </c>
      <c r="Y5695">
        <v>-9.3855380000000002E-2</v>
      </c>
      <c r="Z5695">
        <v>2.922203E-3</v>
      </c>
      <c r="AA5695">
        <v>0.99558159999999896</v>
      </c>
      <c r="AB5695">
        <v>41</v>
      </c>
      <c r="AC5695">
        <v>21.127099999999899</v>
      </c>
      <c r="AD5695">
        <v>-1.107338210407</v>
      </c>
      <c r="AE5695">
        <v>1.8111199999999901</v>
      </c>
      <c r="AF5695">
        <v>-2.0066499331332999</v>
      </c>
      <c r="AG5695">
        <v>-1.107338210407</v>
      </c>
      <c r="AH5695">
        <v>21.051495572108202</v>
      </c>
      <c r="AI5695">
        <v>92.997501292682799</v>
      </c>
      <c r="AJ5695">
        <v>95.445040262747</v>
      </c>
      <c r="AK5695">
        <v>21.175889773250699</v>
      </c>
    </row>
    <row r="5696" spans="1:37" x14ac:dyDescent="0.2">
      <c r="A5696" t="str">
        <f>"20200111153543251"</f>
        <v>20200111153543251</v>
      </c>
      <c r="B5696" t="str">
        <f>"1578728143240935"</f>
        <v>1578728143240935</v>
      </c>
      <c r="C5696" t="s">
        <v>37</v>
      </c>
      <c r="D5696">
        <v>4.9431729999999998</v>
      </c>
      <c r="E5696">
        <v>0.50193089999999996</v>
      </c>
      <c r="F5696" t="s">
        <v>77</v>
      </c>
      <c r="G5696">
        <v>-236.76650000000001</v>
      </c>
      <c r="H5696" s="1">
        <v>-2.3280329999999998E-6</v>
      </c>
      <c r="I5696">
        <v>-62.030169999999998</v>
      </c>
      <c r="J5696">
        <v>-257.41539999999998</v>
      </c>
      <c r="K5696">
        <v>1.1073549999999901</v>
      </c>
      <c r="L5696">
        <v>-63.838469999999901</v>
      </c>
      <c r="M5696">
        <v>0.99995239999999996</v>
      </c>
      <c r="N5696">
        <v>0</v>
      </c>
      <c r="O5696">
        <v>-7.9521339999999996E-3</v>
      </c>
      <c r="P5696">
        <v>0.99585869999999999</v>
      </c>
      <c r="Q5696">
        <v>7.3977950000000004E-3</v>
      </c>
      <c r="R5696">
        <v>9.0613410000000005E-2</v>
      </c>
      <c r="S5696">
        <v>2.9903719999999998</v>
      </c>
      <c r="T5696">
        <v>-0.15877769999999999</v>
      </c>
      <c r="U5696">
        <v>0.25915529999999998</v>
      </c>
      <c r="V5696">
        <v>-9.8648730000000004E-2</v>
      </c>
      <c r="W5696">
        <v>1.209784E-2</v>
      </c>
      <c r="X5696">
        <v>0.99504879999999996</v>
      </c>
      <c r="Y5696">
        <v>-9.4116720000000001E-2</v>
      </c>
      <c r="Z5696">
        <v>2.9133900000000001E-3</v>
      </c>
      <c r="AA5696">
        <v>0.99555689999999997</v>
      </c>
      <c r="AB5696">
        <v>41</v>
      </c>
      <c r="AC5696">
        <v>20.648899999999902</v>
      </c>
      <c r="AD5696">
        <v>-1.10735732803299</v>
      </c>
      <c r="AE5696">
        <v>1.80829999999999</v>
      </c>
      <c r="AF5696">
        <v>-1.9668347928241301</v>
      </c>
      <c r="AG5696">
        <v>-1.10735732803299</v>
      </c>
      <c r="AH5696">
        <v>20.575144227622499</v>
      </c>
      <c r="AI5696">
        <v>93.066741988196199</v>
      </c>
      <c r="AJ5696">
        <v>95.460469404921</v>
      </c>
      <c r="AK5696">
        <v>20.698580611763699</v>
      </c>
    </row>
    <row r="5697" spans="1:37" x14ac:dyDescent="0.2">
      <c r="A5697" t="str">
        <f>"20200111153543263"</f>
        <v>20200111153543263</v>
      </c>
      <c r="B5697" t="str">
        <f>"1578728143251672"</f>
        <v>1578728143251672</v>
      </c>
      <c r="C5697" t="s">
        <v>37</v>
      </c>
      <c r="D5697">
        <v>4.9371080000000003</v>
      </c>
      <c r="E5697">
        <v>0.50194519999999998</v>
      </c>
      <c r="F5697" t="s">
        <v>77</v>
      </c>
      <c r="G5697">
        <v>-237.19460000000001</v>
      </c>
      <c r="H5697" s="1">
        <v>-2.517983E-6</v>
      </c>
      <c r="I5697">
        <v>-62.053819999999902</v>
      </c>
      <c r="J5697">
        <v>-257.20280000000002</v>
      </c>
      <c r="K5697">
        <v>1.10737</v>
      </c>
      <c r="L5697">
        <v>-63.839080000000003</v>
      </c>
      <c r="M5697">
        <v>0.9999614</v>
      </c>
      <c r="N5697">
        <v>0</v>
      </c>
      <c r="O5697">
        <v>-6.3687300000000004E-3</v>
      </c>
      <c r="P5697">
        <v>0.99572369999999899</v>
      </c>
      <c r="Q5697">
        <v>6.2068480000000001E-3</v>
      </c>
      <c r="R5697">
        <v>9.2173980000000003E-2</v>
      </c>
      <c r="S5697">
        <v>2.9896849999999899</v>
      </c>
      <c r="T5697">
        <v>-0.1637247</v>
      </c>
      <c r="U5697">
        <v>0.26385500000000001</v>
      </c>
      <c r="V5697">
        <v>-9.8624000000000003E-2</v>
      </c>
      <c r="W5697">
        <v>1.13402E-2</v>
      </c>
      <c r="X5697">
        <v>0.9950601</v>
      </c>
      <c r="Y5697">
        <v>-9.4106380000000003E-2</v>
      </c>
      <c r="Z5697">
        <v>2.9177349999999999E-3</v>
      </c>
      <c r="AA5697">
        <v>0.99555780000000005</v>
      </c>
      <c r="AB5697">
        <v>41</v>
      </c>
      <c r="AC5697">
        <v>20.008199999999999</v>
      </c>
      <c r="AD5697">
        <v>-1.1073725179830001</v>
      </c>
      <c r="AE5697">
        <v>1.7852600000000001</v>
      </c>
      <c r="AF5697">
        <v>-1.9068580508176101</v>
      </c>
      <c r="AG5697">
        <v>-1.1073725179830001</v>
      </c>
      <c r="AH5697">
        <v>19.935839581611798</v>
      </c>
      <c r="AI5697">
        <v>93.164916040695203</v>
      </c>
      <c r="AJ5697">
        <v>95.4637051319703</v>
      </c>
      <c r="AK5697">
        <v>20.057419608297401</v>
      </c>
    </row>
    <row r="5698" spans="1:37" x14ac:dyDescent="0.2">
      <c r="A5698" t="str">
        <f>"20200111153543273"</f>
        <v>20200111153543273</v>
      </c>
      <c r="B5698" t="str">
        <f>"1578728143261431"</f>
        <v>1578728143261431</v>
      </c>
      <c r="C5698" t="s">
        <v>37</v>
      </c>
      <c r="D5698">
        <v>4.9552009999999997</v>
      </c>
      <c r="E5698">
        <v>0.50197069999999999</v>
      </c>
      <c r="F5698" t="s">
        <v>77</v>
      </c>
      <c r="G5698">
        <v>-237.3896</v>
      </c>
      <c r="H5698" s="1">
        <v>-2.6035050000000001E-6</v>
      </c>
      <c r="I5698">
        <v>-62.060749999999999</v>
      </c>
      <c r="J5698">
        <v>-257.01409999999998</v>
      </c>
      <c r="K5698">
        <v>1.1073740000000001</v>
      </c>
      <c r="L5698">
        <v>-63.839359999999999</v>
      </c>
      <c r="M5698">
        <v>0.99996649999999998</v>
      </c>
      <c r="N5698">
        <v>0</v>
      </c>
      <c r="O5698">
        <v>-5.0023539999999997E-3</v>
      </c>
      <c r="P5698">
        <v>0.99559330000000001</v>
      </c>
      <c r="Q5698">
        <v>5.2565619999999898E-3</v>
      </c>
      <c r="R5698">
        <v>9.3628279999999994E-2</v>
      </c>
      <c r="S5698">
        <v>2.9891200000000002</v>
      </c>
      <c r="T5698">
        <v>-0.1670644</v>
      </c>
      <c r="U5698">
        <v>0.26828000000000002</v>
      </c>
      <c r="V5698">
        <v>-9.8710919999999994E-2</v>
      </c>
      <c r="W5698">
        <v>1.080236E-2</v>
      </c>
      <c r="X5698">
        <v>0.99505750000000004</v>
      </c>
      <c r="Y5698">
        <v>-9.4220509999999993E-2</v>
      </c>
      <c r="Z5698">
        <v>2.904542E-3</v>
      </c>
      <c r="AA5698">
        <v>0.99554709999999902</v>
      </c>
      <c r="AB5698">
        <v>41</v>
      </c>
      <c r="AC5698">
        <v>19.624499999999902</v>
      </c>
      <c r="AD5698">
        <v>-1.1073766035049999</v>
      </c>
      <c r="AE5698">
        <v>1.77861</v>
      </c>
      <c r="AF5698">
        <v>-1.87084996910108</v>
      </c>
      <c r="AG5698">
        <v>-1.1073766035049999</v>
      </c>
      <c r="AH5698">
        <v>19.553602689200499</v>
      </c>
      <c r="AI5698">
        <v>93.2266580896042</v>
      </c>
      <c r="AJ5698">
        <v>95.465310196914501</v>
      </c>
      <c r="AK5698">
        <v>19.674088051952602</v>
      </c>
    </row>
    <row r="5699" spans="1:37" x14ac:dyDescent="0.2">
      <c r="A5699" t="str">
        <f>"20200111153543296"</f>
        <v>20200111153543296</v>
      </c>
      <c r="B5699" t="str">
        <f>"1578728143291686"</f>
        <v>1578728143291686</v>
      </c>
      <c r="C5699" t="s">
        <v>37</v>
      </c>
      <c r="D5699">
        <v>4.9712589999999999</v>
      </c>
      <c r="E5699">
        <v>0.50203790000000004</v>
      </c>
      <c r="F5699" t="s">
        <v>77</v>
      </c>
      <c r="G5699">
        <v>-237.50139999999999</v>
      </c>
      <c r="H5699" s="1">
        <v>-2.6516780000000002E-6</v>
      </c>
      <c r="I5699">
        <v>-62.061569999999897</v>
      </c>
      <c r="J5699">
        <v>-256.61130000000003</v>
      </c>
      <c r="K5699">
        <v>1.10737</v>
      </c>
      <c r="L5699">
        <v>-63.83914</v>
      </c>
      <c r="M5699">
        <v>0.99997049999999998</v>
      </c>
      <c r="N5699">
        <v>0</v>
      </c>
      <c r="O5699">
        <v>-2.2009239999999999E-3</v>
      </c>
      <c r="P5699">
        <v>0.99531460000000005</v>
      </c>
      <c r="Q5699">
        <v>4.019557E-3</v>
      </c>
      <c r="R5699">
        <v>9.6606549999999999E-2</v>
      </c>
      <c r="S5699">
        <v>2.9885709999999999</v>
      </c>
      <c r="T5699">
        <v>-0.16960649999999999</v>
      </c>
      <c r="U5699">
        <v>0.27227779999999902</v>
      </c>
      <c r="V5699">
        <v>-9.8893949999999994E-2</v>
      </c>
      <c r="W5699">
        <v>1.0473359999999999E-2</v>
      </c>
      <c r="X5699">
        <v>0.99504289999999995</v>
      </c>
      <c r="Y5699">
        <v>-9.2770699999999998E-2</v>
      </c>
      <c r="Z5699">
        <v>2.7494640000000001E-3</v>
      </c>
      <c r="AA5699">
        <v>0.99568369999999995</v>
      </c>
      <c r="AB5699">
        <v>41</v>
      </c>
      <c r="AC5699">
        <v>19.1099</v>
      </c>
      <c r="AD5699">
        <v>-1.107372651678</v>
      </c>
      <c r="AE5699">
        <v>1.7775700000000001</v>
      </c>
      <c r="AF5699">
        <v>-1.8135886197664299</v>
      </c>
      <c r="AG5699">
        <v>-1.107372651678</v>
      </c>
      <c r="AH5699">
        <v>19.042546419831499</v>
      </c>
      <c r="AI5699">
        <v>93.313189029020904</v>
      </c>
      <c r="AJ5699">
        <v>95.440370109156703</v>
      </c>
      <c r="AK5699">
        <v>19.160739861050999</v>
      </c>
    </row>
    <row r="5700" spans="1:37" x14ac:dyDescent="0.2">
      <c r="A5700" t="str">
        <f>"20200111153543307"</f>
        <v>20200111153543307</v>
      </c>
      <c r="B5700" t="str">
        <f>"1578728143301447"</f>
        <v>1578728143301447</v>
      </c>
      <c r="C5700" t="s">
        <v>37</v>
      </c>
      <c r="D5700">
        <v>4.9559340000000001</v>
      </c>
      <c r="E5700">
        <v>0.50206679999999904</v>
      </c>
      <c r="F5700" t="s">
        <v>77</v>
      </c>
      <c r="G5700">
        <v>-237.41679999999999</v>
      </c>
      <c r="H5700" s="1">
        <v>-2.6089640000000002E-6</v>
      </c>
      <c r="I5700">
        <v>-62.037430000000001</v>
      </c>
      <c r="J5700">
        <v>-256.40870000000001</v>
      </c>
      <c r="K5700">
        <v>1.1073519999999999</v>
      </c>
      <c r="L5700">
        <v>-63.838560000000001</v>
      </c>
      <c r="M5700">
        <v>0.999969199999999</v>
      </c>
      <c r="N5700">
        <v>0</v>
      </c>
      <c r="O5700">
        <v>-8.7148039999999905E-4</v>
      </c>
      <c r="P5700">
        <v>0.99517479999999903</v>
      </c>
      <c r="Q5700">
        <v>3.223123E-3</v>
      </c>
      <c r="R5700">
        <v>9.8065349999999996E-2</v>
      </c>
      <c r="S5700">
        <v>2.9875949999999998</v>
      </c>
      <c r="T5700">
        <v>-0.1723613</v>
      </c>
      <c r="U5700">
        <v>0.28042600000000001</v>
      </c>
      <c r="V5700">
        <v>-9.9023829999999993E-2</v>
      </c>
      <c r="W5700">
        <v>1.013149E-2</v>
      </c>
      <c r="X5700">
        <v>0.99503349999999902</v>
      </c>
      <c r="Y5700">
        <v>-9.4163730000000001E-2</v>
      </c>
      <c r="Z5700">
        <v>2.7581979999999999E-3</v>
      </c>
      <c r="AA5700">
        <v>0.99555289999999996</v>
      </c>
      <c r="AB5700">
        <v>41</v>
      </c>
      <c r="AC5700">
        <v>18.991900000000001</v>
      </c>
      <c r="AD5700">
        <v>-1.1073546089640001</v>
      </c>
      <c r="AE5700">
        <v>1.8011299999999899</v>
      </c>
      <c r="AF5700">
        <v>-1.8115770244818401</v>
      </c>
      <c r="AG5700">
        <v>-1.1073546089640001</v>
      </c>
      <c r="AH5700">
        <v>18.926552632528399</v>
      </c>
      <c r="AI5700">
        <v>93.333244265539804</v>
      </c>
      <c r="AJ5700">
        <v>95.467475938707906</v>
      </c>
      <c r="AK5700">
        <v>19.0452734319435</v>
      </c>
    </row>
    <row r="5701" spans="1:37" x14ac:dyDescent="0.2">
      <c r="A5701" t="str">
        <f>"20200111153543318"</f>
        <v>20200111153543318</v>
      </c>
      <c r="B5701" t="str">
        <f>"1578728143311207"</f>
        <v>1578728143311207</v>
      </c>
      <c r="C5701" t="s">
        <v>37</v>
      </c>
      <c r="D5701">
        <v>5.0247339999999996</v>
      </c>
      <c r="E5701">
        <v>0.50210869999999996</v>
      </c>
      <c r="F5701" t="s">
        <v>77</v>
      </c>
      <c r="G5701">
        <v>-237.44839999999999</v>
      </c>
      <c r="H5701" s="1">
        <v>-2.6213249999999998E-6</v>
      </c>
      <c r="I5701">
        <v>-62.03295</v>
      </c>
      <c r="J5701">
        <v>-256.185</v>
      </c>
      <c r="K5701">
        <v>1.1073219999999999</v>
      </c>
      <c r="L5701">
        <v>-63.837800000000001</v>
      </c>
      <c r="M5701">
        <v>0.99996549999999995</v>
      </c>
      <c r="N5701">
        <v>0</v>
      </c>
      <c r="O5701">
        <v>5.6707449999999896E-4</v>
      </c>
      <c r="P5701">
        <v>0.99495579999999995</v>
      </c>
      <c r="Q5701">
        <v>2.6958450000000001E-3</v>
      </c>
      <c r="R5701">
        <v>0.10027799999999901</v>
      </c>
      <c r="S5701">
        <v>2.9870759999999899</v>
      </c>
      <c r="T5701">
        <v>-0.1744568</v>
      </c>
      <c r="U5701">
        <v>0.28445429999999999</v>
      </c>
      <c r="V5701">
        <v>-9.9802450000000001E-2</v>
      </c>
      <c r="W5701">
        <v>1.0097160000000001E-2</v>
      </c>
      <c r="X5701">
        <v>0.99495599999999995</v>
      </c>
      <c r="Y5701">
        <v>-9.4077019999999997E-2</v>
      </c>
      <c r="Z5701">
        <v>2.7056959999999901E-3</v>
      </c>
      <c r="AA5701">
        <v>0.99556119999999904</v>
      </c>
      <c r="AB5701">
        <v>41</v>
      </c>
      <c r="AC5701">
        <v>18.736599999999999</v>
      </c>
      <c r="AD5701">
        <v>-1.1073246213249901</v>
      </c>
      <c r="AE5701">
        <v>1.8048500000000001</v>
      </c>
      <c r="AF5701">
        <v>-1.78803653629302</v>
      </c>
      <c r="AG5701">
        <v>-1.1073246213249901</v>
      </c>
      <c r="AH5701">
        <v>18.672999874259101</v>
      </c>
      <c r="AI5701">
        <v>93.378297089995499</v>
      </c>
      <c r="AJ5701">
        <v>95.469691281538104</v>
      </c>
      <c r="AK5701">
        <v>18.7910661426166</v>
      </c>
    </row>
    <row r="5702" spans="1:37" x14ac:dyDescent="0.2">
      <c r="A5702" t="str">
        <f>"20200111153543329"</f>
        <v>20200111153543329</v>
      </c>
      <c r="B5702" t="str">
        <f>"1578728143320967"</f>
        <v>1578728143320967</v>
      </c>
      <c r="C5702" t="s">
        <v>37</v>
      </c>
      <c r="D5702">
        <v>4.9404260000000004</v>
      </c>
      <c r="E5702">
        <v>0.50214829999999999</v>
      </c>
      <c r="F5702" t="s">
        <v>77</v>
      </c>
      <c r="G5702">
        <v>-237.351</v>
      </c>
      <c r="H5702" s="1">
        <v>-2.57217899999999E-6</v>
      </c>
      <c r="I5702">
        <v>-62.005309999999902</v>
      </c>
      <c r="J5702">
        <v>-255.98259999999999</v>
      </c>
      <c r="K5702">
        <v>1.10727</v>
      </c>
      <c r="L5702">
        <v>-63.8367</v>
      </c>
      <c r="M5702">
        <v>0.99996070000000004</v>
      </c>
      <c r="N5702">
        <v>0</v>
      </c>
      <c r="O5702">
        <v>1.7663150000000001E-3</v>
      </c>
      <c r="P5702">
        <v>0.99482219999999999</v>
      </c>
      <c r="Q5702">
        <v>2.0070489999999999E-3</v>
      </c>
      <c r="R5702">
        <v>0.101610899999999</v>
      </c>
      <c r="S5702">
        <v>2.9864039999999998</v>
      </c>
      <c r="T5702">
        <v>-0.17558199999999999</v>
      </c>
      <c r="U5702">
        <v>0.29055789999999998</v>
      </c>
      <c r="V5702">
        <v>-9.9937429999999994E-2</v>
      </c>
      <c r="W5702">
        <v>9.834911E-3</v>
      </c>
      <c r="X5702">
        <v>0.99494509999999903</v>
      </c>
      <c r="Y5702">
        <v>-9.4918710000000003E-2</v>
      </c>
      <c r="Z5702">
        <v>2.6778409999999998E-3</v>
      </c>
      <c r="AA5702">
        <v>0.99548139999999996</v>
      </c>
      <c r="AB5702">
        <v>41</v>
      </c>
      <c r="AC5702">
        <v>18.631599999999899</v>
      </c>
      <c r="AD5702">
        <v>-1.107272572179</v>
      </c>
      <c r="AE5702">
        <v>1.8313900000000001</v>
      </c>
      <c r="AF5702">
        <v>-1.79220729727985</v>
      </c>
      <c r="AG5702">
        <v>-1.107272572179</v>
      </c>
      <c r="AH5702">
        <v>18.5698465967922</v>
      </c>
      <c r="AI5702">
        <v>93.396615804856594</v>
      </c>
      <c r="AJ5702">
        <v>95.512639039768899</v>
      </c>
      <c r="AK5702">
        <v>18.688960970956</v>
      </c>
    </row>
    <row r="5703" spans="1:37" x14ac:dyDescent="0.2">
      <c r="A5703" t="str">
        <f>"20200111153543340"</f>
        <v>20200111153543340</v>
      </c>
      <c r="B5703" t="str">
        <f>"1578728143331702"</f>
        <v>1578728143331702</v>
      </c>
      <c r="C5703" t="s">
        <v>37</v>
      </c>
      <c r="D5703">
        <v>4.9784199999999998</v>
      </c>
      <c r="E5703">
        <v>0.50219840000000004</v>
      </c>
      <c r="F5703" t="s">
        <v>77</v>
      </c>
      <c r="G5703">
        <v>-237.3115</v>
      </c>
      <c r="H5703" s="1">
        <v>-2.55319199999999E-6</v>
      </c>
      <c r="I5703">
        <v>-61.997639999999997</v>
      </c>
      <c r="J5703">
        <v>-255.78299999999999</v>
      </c>
      <c r="K5703">
        <v>1.1072169999999999</v>
      </c>
      <c r="L5703">
        <v>-63.835509999999999</v>
      </c>
      <c r="M5703">
        <v>0.99995460000000003</v>
      </c>
      <c r="N5703">
        <v>0</v>
      </c>
      <c r="O5703">
        <v>2.929287E-3</v>
      </c>
      <c r="P5703">
        <v>0.99466939999999904</v>
      </c>
      <c r="Q5703">
        <v>1.4396329999999901E-3</v>
      </c>
      <c r="R5703">
        <v>0.1031078</v>
      </c>
      <c r="S5703">
        <v>2.9859309999999999</v>
      </c>
      <c r="T5703">
        <v>-0.17707809999999999</v>
      </c>
      <c r="U5703">
        <v>0.29409790000000002</v>
      </c>
      <c r="V5703">
        <v>-0.1002735</v>
      </c>
      <c r="W5703">
        <v>9.6818530000000007E-3</v>
      </c>
      <c r="X5703">
        <v>0.99491280000000004</v>
      </c>
      <c r="Y5703">
        <v>-9.4944420000000002E-2</v>
      </c>
      <c r="Z5703">
        <v>2.6329069999999999E-3</v>
      </c>
      <c r="AA5703">
        <v>0.99547909999999995</v>
      </c>
      <c r="AB5703">
        <v>41</v>
      </c>
      <c r="AC5703">
        <v>18.471499999999899</v>
      </c>
      <c r="AD5703">
        <v>-1.1072195531919999</v>
      </c>
      <c r="AE5703">
        <v>1.8378699999999899</v>
      </c>
      <c r="AF5703">
        <v>-1.77742778344922</v>
      </c>
      <c r="AG5703">
        <v>-1.1072195531919999</v>
      </c>
      <c r="AH5703">
        <v>18.411300382742301</v>
      </c>
      <c r="AI5703">
        <v>93.425622986268095</v>
      </c>
      <c r="AJ5703">
        <v>95.514248654996607</v>
      </c>
      <c r="AK5703">
        <v>18.530007189634802</v>
      </c>
    </row>
    <row r="5704" spans="1:37" x14ac:dyDescent="0.2">
      <c r="A5704" t="str">
        <f>"20200111153543351"</f>
        <v>20200111153543351</v>
      </c>
      <c r="B5704" t="str">
        <f>"1578728143341463"</f>
        <v>1578728143341463</v>
      </c>
      <c r="C5704" t="s">
        <v>37</v>
      </c>
      <c r="D5704">
        <v>4.9857769999999997</v>
      </c>
      <c r="E5704">
        <v>0.5022335</v>
      </c>
      <c r="F5704" t="s">
        <v>77</v>
      </c>
      <c r="G5704">
        <v>-237.2441</v>
      </c>
      <c r="H5704" s="1">
        <v>-2.5209860000000001E-6</v>
      </c>
      <c r="I5704">
        <v>-61.985309999999998</v>
      </c>
      <c r="J5704">
        <v>-255.5795</v>
      </c>
      <c r="K5704">
        <v>1.10714</v>
      </c>
      <c r="L5704">
        <v>-63.833979999999997</v>
      </c>
      <c r="M5704">
        <v>0.99994729999999998</v>
      </c>
      <c r="N5704">
        <v>0</v>
      </c>
      <c r="O5704">
        <v>4.016459E-3</v>
      </c>
      <c r="P5704">
        <v>0.99451849999999997</v>
      </c>
      <c r="Q5704">
        <v>1.1691919999999899E-3</v>
      </c>
      <c r="R5704">
        <v>0.1045558</v>
      </c>
      <c r="S5704">
        <v>2.985474</v>
      </c>
      <c r="T5704">
        <v>-0.1783043</v>
      </c>
      <c r="U5704">
        <v>0.29794309999999902</v>
      </c>
      <c r="V5704">
        <v>-0.10063859999999999</v>
      </c>
      <c r="W5704">
        <v>9.8091619999999997E-3</v>
      </c>
      <c r="X5704">
        <v>0.994874699999999</v>
      </c>
      <c r="Y5704">
        <v>-9.5145960000000002E-2</v>
      </c>
      <c r="Z5704">
        <v>2.5926320000000001E-3</v>
      </c>
      <c r="AA5704">
        <v>0.99546000000000001</v>
      </c>
      <c r="AB5704">
        <v>41</v>
      </c>
      <c r="AC5704">
        <v>18.3354</v>
      </c>
      <c r="AD5704">
        <v>-1.107142520986</v>
      </c>
      <c r="AE5704">
        <v>1.84867</v>
      </c>
      <c r="AF5704">
        <v>-1.76862476352813</v>
      </c>
      <c r="AG5704">
        <v>-1.107142520986</v>
      </c>
      <c r="AH5704">
        <v>18.276709781714398</v>
      </c>
      <c r="AI5704">
        <v>93.450473632790604</v>
      </c>
      <c r="AJ5704">
        <v>95.527263465475102</v>
      </c>
      <c r="AK5704">
        <v>18.395432002564</v>
      </c>
    </row>
    <row r="5705" spans="1:37" x14ac:dyDescent="0.2">
      <c r="A5705" t="str">
        <f>"20200111153543362"</f>
        <v>20200111153543362</v>
      </c>
      <c r="B5705" t="str">
        <f>"1578728143351223"</f>
        <v>1578728143351223</v>
      </c>
      <c r="C5705" t="s">
        <v>37</v>
      </c>
      <c r="D5705">
        <v>4.9476069999999996</v>
      </c>
      <c r="E5705">
        <v>0.50228989999999996</v>
      </c>
      <c r="F5705" t="s">
        <v>77</v>
      </c>
      <c r="G5705">
        <v>-237.09180000000001</v>
      </c>
      <c r="H5705" s="1">
        <v>-2.450068E-6</v>
      </c>
      <c r="I5705">
        <v>-61.964230000000001</v>
      </c>
      <c r="J5705">
        <v>-255.3802</v>
      </c>
      <c r="K5705">
        <v>1.1070599999999999</v>
      </c>
      <c r="L5705">
        <v>-63.8324</v>
      </c>
      <c r="M5705">
        <v>0.99993909999999997</v>
      </c>
      <c r="N5705">
        <v>0</v>
      </c>
      <c r="O5705">
        <v>5.0455600000000001E-3</v>
      </c>
      <c r="P5705">
        <v>0.99438590000000004</v>
      </c>
      <c r="Q5705">
        <v>8.1398240000000001E-4</v>
      </c>
      <c r="R5705">
        <v>0.1058103</v>
      </c>
      <c r="S5705">
        <v>2.9850159999999999</v>
      </c>
      <c r="T5705">
        <v>-0.178759</v>
      </c>
      <c r="U5705">
        <v>0.30187989999999998</v>
      </c>
      <c r="V5705">
        <v>-0.10086680000000001</v>
      </c>
      <c r="W5705">
        <v>9.8353889999999999E-3</v>
      </c>
      <c r="X5705">
        <v>0.99485140000000005</v>
      </c>
      <c r="Y5705">
        <v>-9.5436770000000004E-2</v>
      </c>
      <c r="Z5705">
        <v>2.546722E-3</v>
      </c>
      <c r="AA5705">
        <v>0.99543230000000005</v>
      </c>
      <c r="AB5705">
        <v>41</v>
      </c>
      <c r="AC5705">
        <v>18.288399999999999</v>
      </c>
      <c r="AD5705">
        <v>-1.107062450068</v>
      </c>
      <c r="AE5705">
        <v>1.8681699999999899</v>
      </c>
      <c r="AF5705">
        <v>-1.76944969023404</v>
      </c>
      <c r="AG5705">
        <v>-1.107062450068</v>
      </c>
      <c r="AH5705">
        <v>18.2314776270366</v>
      </c>
      <c r="AI5705">
        <v>93.458669394951897</v>
      </c>
      <c r="AJ5705">
        <v>95.543459632284694</v>
      </c>
      <c r="AK5705">
        <v>18.3505671830534</v>
      </c>
    </row>
    <row r="5706" spans="1:37" x14ac:dyDescent="0.2">
      <c r="A5706" t="str">
        <f>"20200111153543373"</f>
        <v>20200111153543373</v>
      </c>
      <c r="B5706" t="str">
        <f>"1578728143360983"</f>
        <v>1578728143360983</v>
      </c>
      <c r="C5706" t="s">
        <v>37</v>
      </c>
      <c r="D5706">
        <v>4.9868420000000002</v>
      </c>
      <c r="E5706">
        <v>0.50236289999999995</v>
      </c>
      <c r="F5706" t="s">
        <v>77</v>
      </c>
      <c r="G5706">
        <v>-236.9589</v>
      </c>
      <c r="H5706" s="1">
        <v>-2.389225E-6</v>
      </c>
      <c r="I5706">
        <v>-61.949909999999903</v>
      </c>
      <c r="J5706">
        <v>-255.17080000000001</v>
      </c>
      <c r="K5706">
        <v>1.1069629999999999</v>
      </c>
      <c r="L5706">
        <v>-63.830509999999997</v>
      </c>
      <c r="M5706">
        <v>0.99992999999999899</v>
      </c>
      <c r="N5706">
        <v>0</v>
      </c>
      <c r="O5706">
        <v>6.0509279999999997E-3</v>
      </c>
      <c r="P5706">
        <v>0.99423589999999995</v>
      </c>
      <c r="Q5706">
        <v>4.41283E-4</v>
      </c>
      <c r="R5706">
        <v>0.107215</v>
      </c>
      <c r="S5706">
        <v>2.9846499999999998</v>
      </c>
      <c r="T5706">
        <v>-0.17936749999999901</v>
      </c>
      <c r="U5706">
        <v>0.30499270000000001</v>
      </c>
      <c r="V5706">
        <v>-0.1012691</v>
      </c>
      <c r="W5706">
        <v>9.8406339999999991E-3</v>
      </c>
      <c r="X5706">
        <v>0.99481039999999998</v>
      </c>
      <c r="Y5706">
        <v>-9.5476309999999995E-2</v>
      </c>
      <c r="Z5706">
        <v>2.496533E-3</v>
      </c>
      <c r="AA5706">
        <v>0.9954286</v>
      </c>
      <c r="AB5706">
        <v>41</v>
      </c>
      <c r="AC5706">
        <v>18.2119</v>
      </c>
      <c r="AD5706">
        <v>-1.106965389225</v>
      </c>
      <c r="AE5706">
        <v>1.8806</v>
      </c>
      <c r="AF5706">
        <v>-1.7639129270882501</v>
      </c>
      <c r="AG5706">
        <v>-1.106965389225</v>
      </c>
      <c r="AH5706">
        <v>18.156574494964399</v>
      </c>
      <c r="AI5706">
        <v>93.472567395006607</v>
      </c>
      <c r="AJ5706">
        <v>95.548877084107801</v>
      </c>
      <c r="AK5706">
        <v>18.275611031603901</v>
      </c>
    </row>
    <row r="5707" spans="1:37" x14ac:dyDescent="0.2">
      <c r="A5707" t="str">
        <f>"20200111153543385"</f>
        <v>20200111153543385</v>
      </c>
      <c r="B5707" t="str">
        <f>"1578728143381479"</f>
        <v>1578728143381479</v>
      </c>
      <c r="C5707" t="s">
        <v>37</v>
      </c>
      <c r="D5707">
        <v>4.987196</v>
      </c>
      <c r="E5707">
        <v>0.50250349999999999</v>
      </c>
      <c r="F5707" t="s">
        <v>77</v>
      </c>
      <c r="G5707">
        <v>-236.83189999999999</v>
      </c>
      <c r="H5707" s="1">
        <v>-2.33073E-6</v>
      </c>
      <c r="I5707">
        <v>-61.93479</v>
      </c>
      <c r="J5707">
        <v>-254.96680000000001</v>
      </c>
      <c r="K5707">
        <v>1.10686</v>
      </c>
      <c r="L5707">
        <v>-63.828519999999997</v>
      </c>
      <c r="M5707">
        <v>0.9999207</v>
      </c>
      <c r="N5707">
        <v>0</v>
      </c>
      <c r="O5707">
        <v>6.9699899999999997E-3</v>
      </c>
      <c r="P5707">
        <v>0.99411179999999999</v>
      </c>
      <c r="Q5707">
        <v>2.789348E-4</v>
      </c>
      <c r="R5707">
        <v>0.1083595</v>
      </c>
      <c r="S5707">
        <v>2.9842219999999999</v>
      </c>
      <c r="T5707">
        <v>-0.18013219999999999</v>
      </c>
      <c r="U5707">
        <v>0.30847170000000002</v>
      </c>
      <c r="V5707">
        <v>-0.1014975</v>
      </c>
      <c r="W5707">
        <v>1.003183E-2</v>
      </c>
      <c r="X5707">
        <v>0.99478519999999904</v>
      </c>
      <c r="Y5707">
        <v>-9.5723950000000002E-2</v>
      </c>
      <c r="Z5707">
        <v>2.4595400000000001E-3</v>
      </c>
      <c r="AA5707">
        <v>0.99540490000000004</v>
      </c>
      <c r="AB5707">
        <v>41</v>
      </c>
      <c r="AC5707">
        <v>18.134899999999998</v>
      </c>
      <c r="AD5707">
        <v>-1.1068623307300001</v>
      </c>
      <c r="AE5707">
        <v>1.8937299999999899</v>
      </c>
      <c r="AF5707">
        <v>-1.7607883265401401</v>
      </c>
      <c r="AG5707">
        <v>-1.1068623307300001</v>
      </c>
      <c r="AH5707">
        <v>18.0810294333087</v>
      </c>
      <c r="AI5707">
        <v>93.486638579387801</v>
      </c>
      <c r="AJ5707">
        <v>95.562107312535801</v>
      </c>
      <c r="AK5707">
        <v>18.200251237778101</v>
      </c>
    </row>
    <row r="5708" spans="1:37" x14ac:dyDescent="0.2">
      <c r="A5708" t="str">
        <f>"20200111153543396"</f>
        <v>20200111153543396</v>
      </c>
      <c r="B5708" t="str">
        <f>"1578728143391238"</f>
        <v>1578728143391238</v>
      </c>
      <c r="C5708" t="s">
        <v>37</v>
      </c>
      <c r="D5708">
        <v>5.0006309999999896</v>
      </c>
      <c r="E5708">
        <v>0.50254909999999997</v>
      </c>
      <c r="F5708" t="s">
        <v>77</v>
      </c>
      <c r="G5708">
        <v>-236.5746</v>
      </c>
      <c r="H5708" s="1">
        <v>-2.2145519999999999E-6</v>
      </c>
      <c r="I5708">
        <v>-61.91301</v>
      </c>
      <c r="J5708">
        <v>-254.75200000000001</v>
      </c>
      <c r="K5708">
        <v>1.1067480000000001</v>
      </c>
      <c r="L5708">
        <v>-63.826230000000002</v>
      </c>
      <c r="M5708">
        <v>0.99991039999999998</v>
      </c>
      <c r="N5708">
        <v>0</v>
      </c>
      <c r="O5708">
        <v>7.8856789999999996E-3</v>
      </c>
      <c r="P5708">
        <v>0.99400129999999998</v>
      </c>
      <c r="Q5708">
        <v>-1.341878E-4</v>
      </c>
      <c r="R5708">
        <v>0.1093698</v>
      </c>
      <c r="S5708">
        <v>2.9839319999999998</v>
      </c>
      <c r="T5708">
        <v>-0.17957590000000001</v>
      </c>
      <c r="U5708">
        <v>0.3107605</v>
      </c>
      <c r="V5708">
        <v>-0.1015939</v>
      </c>
      <c r="W5708">
        <v>9.9784319999999902E-3</v>
      </c>
      <c r="X5708">
        <v>0.99477590000000005</v>
      </c>
      <c r="Y5708">
        <v>-9.5580520000000002E-2</v>
      </c>
      <c r="Z5708">
        <v>2.3928959999999998E-3</v>
      </c>
      <c r="AA5708">
        <v>0.99541880000000005</v>
      </c>
      <c r="AB5708">
        <v>41</v>
      </c>
      <c r="AC5708">
        <v>18.177399999999999</v>
      </c>
      <c r="AD5708">
        <v>-1.1067502145520001</v>
      </c>
      <c r="AE5708">
        <v>1.9132199999999999</v>
      </c>
      <c r="AF5708">
        <v>-1.7633456816366999</v>
      </c>
      <c r="AG5708">
        <v>-1.1067502145520001</v>
      </c>
      <c r="AH5708">
        <v>18.1254657627703</v>
      </c>
      <c r="AI5708">
        <v>93.477792983518</v>
      </c>
      <c r="AJ5708">
        <v>95.556564748530803</v>
      </c>
      <c r="AK5708">
        <v>18.244637380548699</v>
      </c>
    </row>
    <row r="5709" spans="1:37" x14ac:dyDescent="0.2">
      <c r="A5709" t="str">
        <f>"20200111153543407"</f>
        <v>20200111153543407</v>
      </c>
      <c r="B5709" t="str">
        <f>"1578728143400998"</f>
        <v>1578728143400998</v>
      </c>
      <c r="C5709" t="s">
        <v>37</v>
      </c>
      <c r="D5709">
        <v>4.9887420000000002</v>
      </c>
      <c r="E5709">
        <v>0.50258800000000003</v>
      </c>
      <c r="F5709" t="s">
        <v>77</v>
      </c>
      <c r="G5709">
        <v>-236.44669999999999</v>
      </c>
      <c r="H5709" s="1">
        <v>-2.1571949999999999E-6</v>
      </c>
      <c r="I5709">
        <v>-61.903640000000003</v>
      </c>
      <c r="J5709">
        <v>-254.54050000000001</v>
      </c>
      <c r="K5709">
        <v>1.1066260000000001</v>
      </c>
      <c r="L5709">
        <v>-63.82385</v>
      </c>
      <c r="M5709">
        <v>0.99990049999999997</v>
      </c>
      <c r="N5709">
        <v>0</v>
      </c>
      <c r="O5709">
        <v>8.6942159999999994E-3</v>
      </c>
      <c r="P5709">
        <v>0.99389329999999998</v>
      </c>
      <c r="Q5709">
        <v>-3.550556E-4</v>
      </c>
      <c r="R5709">
        <v>0.1103451</v>
      </c>
      <c r="S5709">
        <v>2.9835820000000002</v>
      </c>
      <c r="T5709">
        <v>-0.18038979999999999</v>
      </c>
      <c r="U5709">
        <v>0.31335449999999998</v>
      </c>
      <c r="V5709">
        <v>-0.10176259999999999</v>
      </c>
      <c r="W5709">
        <v>1.0085709999999999E-2</v>
      </c>
      <c r="X5709">
        <v>0.99475759999999902</v>
      </c>
      <c r="Y5709">
        <v>-9.5643649999999997E-2</v>
      </c>
      <c r="Z5709">
        <v>2.3570969999999998E-3</v>
      </c>
      <c r="AA5709">
        <v>0.99541279999999999</v>
      </c>
      <c r="AB5709">
        <v>41</v>
      </c>
      <c r="AC5709">
        <v>18.093800000000002</v>
      </c>
      <c r="AD5709">
        <v>-1.1066281571950001</v>
      </c>
      <c r="AE5709">
        <v>1.92020999999999</v>
      </c>
      <c r="AF5709">
        <v>-1.7563197425861701</v>
      </c>
      <c r="AG5709">
        <v>-1.1066281571950001</v>
      </c>
      <c r="AH5709">
        <v>18.0430711607086</v>
      </c>
      <c r="AI5709">
        <v>93.493232487089102</v>
      </c>
      <c r="AJ5709">
        <v>95.559678575038404</v>
      </c>
      <c r="AK5709">
        <v>18.162095193751401</v>
      </c>
    </row>
    <row r="5710" spans="1:37" x14ac:dyDescent="0.2">
      <c r="A5710" t="str">
        <f>"20200111153543418"</f>
        <v>20200111153543418</v>
      </c>
      <c r="B5710" t="str">
        <f>"1578728143411734"</f>
        <v>1578728143411734</v>
      </c>
      <c r="C5710" t="s">
        <v>37</v>
      </c>
      <c r="D5710">
        <v>4.9942269999999898</v>
      </c>
      <c r="E5710">
        <v>0.50266339999999998</v>
      </c>
      <c r="F5710" t="s">
        <v>77</v>
      </c>
      <c r="G5710">
        <v>-236.26390000000001</v>
      </c>
      <c r="H5710" s="1">
        <v>-2.0748079999999998E-6</v>
      </c>
      <c r="I5710">
        <v>-61.888769999999901</v>
      </c>
      <c r="J5710">
        <v>-254.34649999999999</v>
      </c>
      <c r="K5710">
        <v>1.1065119999999999</v>
      </c>
      <c r="L5710">
        <v>-63.82159</v>
      </c>
      <c r="M5710">
        <v>0.99989089999999903</v>
      </c>
      <c r="N5710">
        <v>0</v>
      </c>
      <c r="O5710">
        <v>9.4153840000000006E-3</v>
      </c>
      <c r="P5710">
        <v>0.99380069999999998</v>
      </c>
      <c r="Q5710">
        <v>-5.5564290000000005E-4</v>
      </c>
      <c r="R5710">
        <v>0.1111755</v>
      </c>
      <c r="S5710">
        <v>2.9833219999999998</v>
      </c>
      <c r="T5710">
        <v>-0.18063670000000001</v>
      </c>
      <c r="U5710">
        <v>0.3158569</v>
      </c>
      <c r="V5710">
        <v>-0.10187300000000001</v>
      </c>
      <c r="W5710">
        <v>1.0181549999999999E-2</v>
      </c>
      <c r="X5710">
        <v>0.99474530000000005</v>
      </c>
      <c r="Y5710">
        <v>-9.576113E-2</v>
      </c>
      <c r="Z5710">
        <v>2.3204649999999999E-3</v>
      </c>
      <c r="AA5710">
        <v>0.9954016</v>
      </c>
      <c r="AB5710">
        <v>41</v>
      </c>
      <c r="AC5710">
        <v>18.0825999999999</v>
      </c>
      <c r="AD5710">
        <v>-1.106514074808</v>
      </c>
      <c r="AE5710">
        <v>1.93282</v>
      </c>
      <c r="AF5710">
        <v>-1.7559677426151501</v>
      </c>
      <c r="AG5710">
        <v>-1.106514074808</v>
      </c>
      <c r="AH5710">
        <v>18.033235377110501</v>
      </c>
      <c r="AI5710">
        <v>93.494762354867902</v>
      </c>
      <c r="AJ5710">
        <v>95.561584071201693</v>
      </c>
      <c r="AK5710">
        <v>18.152282894366799</v>
      </c>
    </row>
    <row r="5711" spans="1:37" x14ac:dyDescent="0.2">
      <c r="A5711" t="str">
        <f>"20200111153543430"</f>
        <v>20200111153543430</v>
      </c>
      <c r="B5711" t="str">
        <f>"1578728143421495"</f>
        <v>1578728143421495</v>
      </c>
      <c r="C5711" t="s">
        <v>37</v>
      </c>
      <c r="D5711">
        <v>4.9720659999999999</v>
      </c>
      <c r="E5711">
        <v>0.50273950000000001</v>
      </c>
      <c r="F5711" t="s">
        <v>77</v>
      </c>
      <c r="G5711">
        <v>-236.09110000000001</v>
      </c>
      <c r="H5711" s="1">
        <v>-1.997764E-6</v>
      </c>
      <c r="I5711">
        <v>-61.877759999999903</v>
      </c>
      <c r="J5711">
        <v>-254.13910000000001</v>
      </c>
      <c r="K5711">
        <v>1.106385</v>
      </c>
      <c r="L5711">
        <v>-63.819029999999998</v>
      </c>
      <c r="M5711">
        <v>0.99988159999999904</v>
      </c>
      <c r="N5711">
        <v>0</v>
      </c>
      <c r="O5711">
        <v>1.0075580000000001E-2</v>
      </c>
      <c r="P5711">
        <v>0.99370939999999996</v>
      </c>
      <c r="Q5711">
        <v>-1.1004789999999999E-3</v>
      </c>
      <c r="R5711">
        <v>0.11198370000000001</v>
      </c>
      <c r="S5711">
        <v>2.9830779999999999</v>
      </c>
      <c r="T5711">
        <v>-0.180813</v>
      </c>
      <c r="U5711">
        <v>0.31762699999999999</v>
      </c>
      <c r="V5711">
        <v>-0.10202079999999999</v>
      </c>
      <c r="W5711">
        <v>9.9250280000000007E-3</v>
      </c>
      <c r="X5711">
        <v>0.99473269999999903</v>
      </c>
      <c r="Y5711">
        <v>-9.5697420000000005E-2</v>
      </c>
      <c r="Z5711">
        <v>2.2810579999999999E-3</v>
      </c>
      <c r="AA5711">
        <v>0.99540790000000001</v>
      </c>
      <c r="AB5711">
        <v>41</v>
      </c>
      <c r="AC5711">
        <v>18.047999999999998</v>
      </c>
      <c r="AD5711">
        <v>-1.106386997764</v>
      </c>
      <c r="AE5711">
        <v>1.94127000000001</v>
      </c>
      <c r="AF5711">
        <v>-1.7528033939094301</v>
      </c>
      <c r="AG5711">
        <v>-1.106386997764</v>
      </c>
      <c r="AH5711">
        <v>17.999775120426499</v>
      </c>
      <c r="AI5711">
        <v>93.500839860952993</v>
      </c>
      <c r="AJ5711">
        <v>95.561879874551394</v>
      </c>
      <c r="AK5711">
        <v>18.118728330444402</v>
      </c>
    </row>
    <row r="5712" spans="1:37" x14ac:dyDescent="0.2">
      <c r="A5712" t="str">
        <f>"20200111153543441"</f>
        <v>20200111153543441</v>
      </c>
      <c r="B5712" t="str">
        <f>"1578728143431255"</f>
        <v>1578728143431255</v>
      </c>
      <c r="C5712" t="s">
        <v>37</v>
      </c>
      <c r="D5712">
        <v>4.9519549999999999</v>
      </c>
      <c r="E5712">
        <v>0.50277919999999998</v>
      </c>
      <c r="F5712" t="s">
        <v>77</v>
      </c>
      <c r="G5712">
        <v>-236.00799999999899</v>
      </c>
      <c r="H5712" s="1">
        <v>-1.9621560000000001E-6</v>
      </c>
      <c r="I5712">
        <v>-61.877879999999998</v>
      </c>
      <c r="J5712">
        <v>-253.9324</v>
      </c>
      <c r="K5712">
        <v>1.106257</v>
      </c>
      <c r="L5712">
        <v>-63.816409999999998</v>
      </c>
      <c r="M5712">
        <v>0.99987199999999998</v>
      </c>
      <c r="N5712">
        <v>0</v>
      </c>
      <c r="O5712">
        <v>1.070803E-2</v>
      </c>
      <c r="P5712">
        <v>0.99361339999999998</v>
      </c>
      <c r="Q5712">
        <v>-1.3713079999999999E-3</v>
      </c>
      <c r="R5712">
        <v>0.112831</v>
      </c>
      <c r="S5712">
        <v>2.9828189999999899</v>
      </c>
      <c r="T5712">
        <v>-0.18201629999999999</v>
      </c>
      <c r="U5712">
        <v>0.31933590000000001</v>
      </c>
      <c r="V5712">
        <v>-0.1022357</v>
      </c>
      <c r="W5712">
        <v>9.9350419999999998E-3</v>
      </c>
      <c r="X5712">
        <v>0.9947106</v>
      </c>
      <c r="Y5712">
        <v>-9.5639970000000005E-2</v>
      </c>
      <c r="Z5712">
        <v>2.2561529999999999E-3</v>
      </c>
      <c r="AA5712">
        <v>0.9954134</v>
      </c>
      <c r="AB5712">
        <v>41</v>
      </c>
      <c r="AC5712">
        <v>17.924399999999999</v>
      </c>
      <c r="AD5712">
        <v>-1.1062589621559999</v>
      </c>
      <c r="AE5712">
        <v>1.9385299999999901</v>
      </c>
      <c r="AF5712">
        <v>-1.7399193327647899</v>
      </c>
      <c r="AG5712">
        <v>-1.1062589621559999</v>
      </c>
      <c r="AH5712">
        <v>17.876823850914601</v>
      </c>
      <c r="AI5712">
        <v>93.524467454015394</v>
      </c>
      <c r="AJ5712">
        <v>95.558986974048807</v>
      </c>
      <c r="AK5712">
        <v>17.995331593846998</v>
      </c>
    </row>
    <row r="5713" spans="1:37" x14ac:dyDescent="0.2">
      <c r="A5713" t="str">
        <f>"20200111153543451"</f>
        <v>20200111153543451</v>
      </c>
      <c r="B5713" t="str">
        <f>"1578728143441017"</f>
        <v>1578728143441017</v>
      </c>
      <c r="C5713" t="s">
        <v>37</v>
      </c>
      <c r="D5713">
        <v>4.9827589999999997</v>
      </c>
      <c r="E5713">
        <v>0.50278219999999996</v>
      </c>
      <c r="F5713" t="s">
        <v>77</v>
      </c>
      <c r="G5713">
        <v>-235.84010000000001</v>
      </c>
      <c r="H5713" s="1">
        <v>-1.88704199999999E-6</v>
      </c>
      <c r="I5713">
        <v>-61.866280000000003</v>
      </c>
      <c r="J5713">
        <v>-253.7354</v>
      </c>
      <c r="K5713">
        <v>1.106133</v>
      </c>
      <c r="L5713">
        <v>-63.813780000000001</v>
      </c>
      <c r="M5713">
        <v>0.99986369999999902</v>
      </c>
      <c r="N5713">
        <v>0</v>
      </c>
      <c r="O5713">
        <v>1.122861E-2</v>
      </c>
      <c r="P5713">
        <v>0.99351409999999996</v>
      </c>
      <c r="Q5713">
        <v>-1.5213889999999999E-3</v>
      </c>
      <c r="R5713">
        <v>0.1136986</v>
      </c>
      <c r="S5713">
        <v>2.9825439999999999</v>
      </c>
      <c r="T5713">
        <v>-0.18236920000000001</v>
      </c>
      <c r="U5713">
        <v>0.32147219999999999</v>
      </c>
      <c r="V5713">
        <v>-0.102583199999999</v>
      </c>
      <c r="W5713">
        <v>1.0030880000000001E-2</v>
      </c>
      <c r="X5713">
        <v>0.99467380000000005</v>
      </c>
      <c r="Y5713">
        <v>-9.5836190000000002E-2</v>
      </c>
      <c r="Z5713">
        <v>2.2349150000000001E-3</v>
      </c>
      <c r="AA5713">
        <v>0.99539460000000002</v>
      </c>
      <c r="AB5713">
        <v>41</v>
      </c>
      <c r="AC5713">
        <v>17.895299999999899</v>
      </c>
      <c r="AD5713">
        <v>-1.106134887042</v>
      </c>
      <c r="AE5713">
        <v>1.94749999999999</v>
      </c>
      <c r="AF5713">
        <v>-1.7398535612572901</v>
      </c>
      <c r="AG5713">
        <v>-1.106134887042</v>
      </c>
      <c r="AH5713">
        <v>17.848645597605199</v>
      </c>
      <c r="AI5713">
        <v>93.529571727941601</v>
      </c>
      <c r="AJ5713">
        <v>95.5674988861321</v>
      </c>
      <c r="AK5713">
        <v>17.967325189684299</v>
      </c>
    </row>
    <row r="5714" spans="1:37" x14ac:dyDescent="0.2">
      <c r="A5714" t="str">
        <f>"20200111153543463"</f>
        <v>20200111153543463</v>
      </c>
      <c r="B5714" t="str">
        <f>"1578728143451752"</f>
        <v>1578728143451752</v>
      </c>
      <c r="C5714" t="s">
        <v>37</v>
      </c>
      <c r="D5714">
        <v>6.1878839999999897</v>
      </c>
      <c r="E5714">
        <v>0.50269489999999994</v>
      </c>
      <c r="F5714" t="s">
        <v>77</v>
      </c>
      <c r="G5714">
        <v>-235.66460000000001</v>
      </c>
      <c r="H5714" s="1">
        <v>-1.807621E-6</v>
      </c>
      <c r="I5714">
        <v>-61.8508</v>
      </c>
      <c r="J5714">
        <v>-253.53219999999999</v>
      </c>
      <c r="K5714">
        <v>1.106009</v>
      </c>
      <c r="L5714">
        <v>-63.811069999999901</v>
      </c>
      <c r="M5714">
        <v>0.99985550000000001</v>
      </c>
      <c r="N5714">
        <v>0</v>
      </c>
      <c r="O5714">
        <v>1.172584E-2</v>
      </c>
      <c r="P5714">
        <v>0.99342350000000001</v>
      </c>
      <c r="Q5714">
        <v>-1.514016E-3</v>
      </c>
      <c r="R5714">
        <v>0.1144883</v>
      </c>
      <c r="S5714">
        <v>2.9822389999999999</v>
      </c>
      <c r="T5714">
        <v>-0.18254699999999999</v>
      </c>
      <c r="U5714">
        <v>0.32394409999999901</v>
      </c>
      <c r="V5714">
        <v>-0.1028771</v>
      </c>
      <c r="W5714">
        <v>1.0282639999999999E-2</v>
      </c>
      <c r="X5714">
        <v>0.99464089999999905</v>
      </c>
      <c r="Y5714">
        <v>-9.6167520000000006E-2</v>
      </c>
      <c r="Z5714">
        <v>2.217007E-3</v>
      </c>
      <c r="AA5714">
        <v>0.99536270000000004</v>
      </c>
      <c r="AB5714">
        <v>41</v>
      </c>
      <c r="AC5714">
        <v>17.8675999999999</v>
      </c>
      <c r="AD5714">
        <v>-1.106010807621</v>
      </c>
      <c r="AE5714">
        <v>1.96026999999999</v>
      </c>
      <c r="AF5714">
        <v>-1.74400377840058</v>
      </c>
      <c r="AG5714">
        <v>-1.106010807621</v>
      </c>
      <c r="AH5714">
        <v>17.8218838376559</v>
      </c>
      <c r="AI5714">
        <v>93.5343335242938</v>
      </c>
      <c r="AJ5714">
        <v>95.589022849968401</v>
      </c>
      <c r="AK5714">
        <v>17.941135766961601</v>
      </c>
    </row>
    <row r="5715" spans="1:37" x14ac:dyDescent="0.2">
      <c r="A5715" t="str">
        <f>"20200111153543474"</f>
        <v>20200111153543474</v>
      </c>
      <c r="B5715" t="str">
        <f>"1578728143471407"</f>
        <v>1578728143471407</v>
      </c>
      <c r="C5715" t="s">
        <v>37</v>
      </c>
      <c r="D5715">
        <v>4.977633</v>
      </c>
      <c r="E5715">
        <v>0.47754769999999902</v>
      </c>
      <c r="F5715" t="s">
        <v>77</v>
      </c>
      <c r="G5715">
        <v>-235.43719999999999</v>
      </c>
      <c r="H5715" s="1">
        <v>-1.703842E-6</v>
      </c>
      <c r="I5715">
        <v>-61.827449999999999</v>
      </c>
      <c r="J5715">
        <v>-253.32339999999999</v>
      </c>
      <c r="K5715">
        <v>1.1058829999999999</v>
      </c>
      <c r="L5715">
        <v>-63.808199999999999</v>
      </c>
      <c r="M5715">
        <v>0.99984769999999901</v>
      </c>
      <c r="N5715">
        <v>0</v>
      </c>
      <c r="O5715">
        <v>1.2174859999999999E-2</v>
      </c>
      <c r="P5715">
        <v>0.99333539999999998</v>
      </c>
      <c r="Q5715">
        <v>-1.1942039999999999E-3</v>
      </c>
      <c r="R5715">
        <v>0.1152537</v>
      </c>
      <c r="S5715">
        <v>2.981903</v>
      </c>
      <c r="T5715">
        <v>-0.18226149999999999</v>
      </c>
      <c r="U5715">
        <v>0.32687379999999999</v>
      </c>
      <c r="V5715">
        <v>-0.1031956</v>
      </c>
      <c r="W5715">
        <v>1.083717E-2</v>
      </c>
      <c r="X5715">
        <v>0.99460199999999999</v>
      </c>
      <c r="Y5715">
        <v>-9.669925E-2</v>
      </c>
      <c r="Z5715">
        <v>2.202533E-3</v>
      </c>
      <c r="AA5715">
        <v>0.99531119999999995</v>
      </c>
      <c r="AB5715">
        <v>41</v>
      </c>
      <c r="AC5715">
        <v>17.886199999999999</v>
      </c>
      <c r="AD5715">
        <v>-1.1058847038420001</v>
      </c>
      <c r="AE5715">
        <v>1.98075</v>
      </c>
      <c r="AF5715">
        <v>-1.75619190036466</v>
      </c>
      <c r="AG5715">
        <v>-1.1058847038420001</v>
      </c>
      <c r="AH5715">
        <v>17.841612466063701</v>
      </c>
      <c r="AI5715">
        <v>93.529836981905902</v>
      </c>
      <c r="AJ5715">
        <v>95.621649162159699</v>
      </c>
      <c r="AK5715">
        <v>17.961913215420498</v>
      </c>
    </row>
    <row r="5716" spans="1:37" x14ac:dyDescent="0.2">
      <c r="A5716" t="str">
        <f>"20200111153543486"</f>
        <v>20200111153543486</v>
      </c>
      <c r="B5716" t="str">
        <f>"1578728143481167"</f>
        <v>1578728143481167</v>
      </c>
      <c r="C5716" t="s">
        <v>37</v>
      </c>
      <c r="D5716">
        <v>5.0305730000000004</v>
      </c>
      <c r="E5716">
        <v>0.47411619999999999</v>
      </c>
      <c r="F5716" t="s">
        <v>77</v>
      </c>
      <c r="G5716">
        <v>-235.89709999999999</v>
      </c>
      <c r="H5716" s="1">
        <v>-1.5998319999999999E-6</v>
      </c>
      <c r="I5716">
        <v>-60.6950199999999</v>
      </c>
      <c r="J5716">
        <v>-253.1198</v>
      </c>
      <c r="K5716">
        <v>1.1057629999999901</v>
      </c>
      <c r="L5716">
        <v>-63.80536</v>
      </c>
      <c r="M5716">
        <v>0.99984059999999897</v>
      </c>
      <c r="N5716">
        <v>0</v>
      </c>
      <c r="O5716">
        <v>1.255363E-2</v>
      </c>
      <c r="P5716">
        <v>0.9932337</v>
      </c>
      <c r="Q5716">
        <v>-6.8076050000000004E-4</v>
      </c>
      <c r="R5716">
        <v>0.116131399999999</v>
      </c>
      <c r="S5716">
        <v>2.9585720000000002</v>
      </c>
      <c r="T5716">
        <v>-0.18775320000000001</v>
      </c>
      <c r="U5716">
        <v>0.5285339</v>
      </c>
      <c r="V5716">
        <v>-0.103697</v>
      </c>
      <c r="W5716">
        <v>1.1563820000000001E-2</v>
      </c>
      <c r="X5716">
        <v>0.99454169999999997</v>
      </c>
      <c r="Y5716">
        <v>-0.16319439999999999</v>
      </c>
      <c r="Z5716">
        <v>4.3430489999999999E-3</v>
      </c>
      <c r="AA5716">
        <v>0.98658440000000003</v>
      </c>
      <c r="AB5716">
        <v>41</v>
      </c>
      <c r="AC5716">
        <v>17.2227</v>
      </c>
      <c r="AD5716">
        <v>-1.10576459983199</v>
      </c>
      <c r="AE5716">
        <v>3.1103399999999999</v>
      </c>
      <c r="AF5716">
        <v>-2.8823637973012</v>
      </c>
      <c r="AG5716">
        <v>-1.10576459983199</v>
      </c>
      <c r="AH5716">
        <v>17.191763258373499</v>
      </c>
      <c r="AI5716">
        <v>93.629640848538699</v>
      </c>
      <c r="AJ5716">
        <v>99.517665430016805</v>
      </c>
      <c r="AK5716">
        <v>17.4667529994042</v>
      </c>
    </row>
    <row r="5717" spans="1:37" x14ac:dyDescent="0.2">
      <c r="A5717" t="str">
        <f>"20200111153543496"</f>
        <v>20200111153543496</v>
      </c>
      <c r="B5717" t="str">
        <f>"1578728143490927"</f>
        <v>1578728143490927</v>
      </c>
      <c r="C5717" t="s">
        <v>37</v>
      </c>
      <c r="D5717">
        <v>4.9867330000000001</v>
      </c>
      <c r="E5717">
        <v>0.47257739999999998</v>
      </c>
      <c r="F5717" t="s">
        <v>77</v>
      </c>
      <c r="G5717">
        <v>-236.41130000000001</v>
      </c>
      <c r="H5717" s="1">
        <v>-1.8076679999999901E-6</v>
      </c>
      <c r="I5717">
        <v>-60.647030000000001</v>
      </c>
      <c r="J5717">
        <v>-252.91749999999999</v>
      </c>
      <c r="K5717">
        <v>1.105642</v>
      </c>
      <c r="L5717">
        <v>-63.802489999999999</v>
      </c>
      <c r="M5717">
        <v>0.99983409999999995</v>
      </c>
      <c r="N5717">
        <v>0</v>
      </c>
      <c r="O5717">
        <v>1.289476E-2</v>
      </c>
      <c r="P5717">
        <v>0.99316229999999905</v>
      </c>
      <c r="Q5717">
        <v>-5.6434889999999998E-4</v>
      </c>
      <c r="R5717">
        <v>0.1167414</v>
      </c>
      <c r="S5717">
        <v>2.9550019999999999</v>
      </c>
      <c r="T5717">
        <v>-0.19556219999999999</v>
      </c>
      <c r="U5717">
        <v>0.55856319999999904</v>
      </c>
      <c r="V5717">
        <v>-0.1039655</v>
      </c>
      <c r="W5717">
        <v>1.188376E-2</v>
      </c>
      <c r="X5717">
        <v>0.99450989999999995</v>
      </c>
      <c r="Y5717">
        <v>-0.1727098</v>
      </c>
      <c r="Z5717">
        <v>4.8140040000000002E-3</v>
      </c>
      <c r="AA5717">
        <v>0.98496099999999998</v>
      </c>
      <c r="AB5717">
        <v>41</v>
      </c>
      <c r="AC5717">
        <v>16.5061999999999</v>
      </c>
      <c r="AD5717">
        <v>-1.105643807668</v>
      </c>
      <c r="AE5717">
        <v>3.1554599999999899</v>
      </c>
      <c r="AF5717">
        <v>-2.9296551853824999</v>
      </c>
      <c r="AG5717">
        <v>-1.105643807668</v>
      </c>
      <c r="AH5717">
        <v>16.474209348234901</v>
      </c>
      <c r="AI5717">
        <v>93.780433381699396</v>
      </c>
      <c r="AJ5717">
        <v>100.083655295851</v>
      </c>
      <c r="AK5717">
        <v>16.769165196399701</v>
      </c>
    </row>
    <row r="5718" spans="1:37" x14ac:dyDescent="0.2">
      <c r="A5718" t="str">
        <f>"20200111153543508"</f>
        <v>20200111153543508</v>
      </c>
      <c r="B5718" t="str">
        <f>"1578728143501663"</f>
        <v>1578728143501663</v>
      </c>
      <c r="C5718" t="s">
        <v>37</v>
      </c>
      <c r="D5718">
        <v>5.0386230000000003</v>
      </c>
      <c r="E5718">
        <v>0.47141379999999999</v>
      </c>
      <c r="F5718" t="s">
        <v>77</v>
      </c>
      <c r="G5718">
        <v>-236.6575</v>
      </c>
      <c r="H5718" s="1">
        <v>-1.91389199999999E-6</v>
      </c>
      <c r="I5718">
        <v>-60.649430000000002</v>
      </c>
      <c r="J5718">
        <v>-252.70689999999999</v>
      </c>
      <c r="K5718">
        <v>1.105523</v>
      </c>
      <c r="L5718">
        <v>-63.7994699999999</v>
      </c>
      <c r="M5718">
        <v>0.99982819999999994</v>
      </c>
      <c r="N5718">
        <v>0</v>
      </c>
      <c r="O5718">
        <v>1.3174140000000001E-2</v>
      </c>
      <c r="P5718">
        <v>0.99310149999999997</v>
      </c>
      <c r="Q5718">
        <v>-3.4226010000000003E-4</v>
      </c>
      <c r="R5718">
        <v>0.11725629999999999</v>
      </c>
      <c r="S5718">
        <v>2.9532319999999999</v>
      </c>
      <c r="T5718">
        <v>-0.200812299999999</v>
      </c>
      <c r="U5718">
        <v>0.57266240000000002</v>
      </c>
      <c r="V5718">
        <v>-0.10420069999999999</v>
      </c>
      <c r="W5718">
        <v>1.2299050000000001E-2</v>
      </c>
      <c r="X5718">
        <v>0.99448029999999998</v>
      </c>
      <c r="Y5718">
        <v>-0.17704909999999999</v>
      </c>
      <c r="Z5718">
        <v>5.0708890000000003E-3</v>
      </c>
      <c r="AA5718">
        <v>0.98418899999999998</v>
      </c>
      <c r="AB5718">
        <v>41</v>
      </c>
      <c r="AC5718">
        <v>16.049399999999899</v>
      </c>
      <c r="AD5718">
        <v>-1.105524913892</v>
      </c>
      <c r="AE5718">
        <v>3.15003999999999</v>
      </c>
      <c r="AF5718">
        <v>-2.92494802032079</v>
      </c>
      <c r="AG5718">
        <v>-1.105524913892</v>
      </c>
      <c r="AH5718">
        <v>16.016333885023901</v>
      </c>
      <c r="AI5718">
        <v>93.884525438127497</v>
      </c>
      <c r="AJ5718">
        <v>100.349467098803</v>
      </c>
      <c r="AK5718">
        <v>16.318714942463401</v>
      </c>
    </row>
    <row r="5719" spans="1:37" x14ac:dyDescent="0.2">
      <c r="A5719" t="str">
        <f>"20200111153543520"</f>
        <v>20200111153543520</v>
      </c>
      <c r="B5719" t="str">
        <f>"1578728143511423"</f>
        <v>1578728143511423</v>
      </c>
      <c r="C5719" t="s">
        <v>37</v>
      </c>
      <c r="D5719">
        <v>4.9903870000000001</v>
      </c>
      <c r="E5719">
        <v>0.47075020000000001</v>
      </c>
      <c r="F5719" t="s">
        <v>77</v>
      </c>
      <c r="G5719">
        <v>-236.73259999999999</v>
      </c>
      <c r="H5719" s="1">
        <v>-1.9440930000000002E-6</v>
      </c>
      <c r="I5719">
        <v>-60.64179</v>
      </c>
      <c r="J5719">
        <v>-252.49799999999999</v>
      </c>
      <c r="K5719">
        <v>1.105407</v>
      </c>
      <c r="L5719">
        <v>-63.79645</v>
      </c>
      <c r="M5719">
        <v>0.99982289999999996</v>
      </c>
      <c r="N5719">
        <v>0</v>
      </c>
      <c r="O5719">
        <v>1.342869E-2</v>
      </c>
      <c r="P5719">
        <v>0.99302649999999903</v>
      </c>
      <c r="Q5719">
        <v>-4.4289980000000002E-4</v>
      </c>
      <c r="R5719">
        <v>0.11789280000000001</v>
      </c>
      <c r="S5719">
        <v>2.951889</v>
      </c>
      <c r="T5719">
        <v>-0.20428979999999999</v>
      </c>
      <c r="U5719">
        <v>0.58349609999999996</v>
      </c>
      <c r="V5719">
        <v>-0.1045813</v>
      </c>
      <c r="W5719">
        <v>1.238392E-2</v>
      </c>
      <c r="X5719">
        <v>0.99443919999999997</v>
      </c>
      <c r="Y5719">
        <v>-0.18034020000000001</v>
      </c>
      <c r="Z5719">
        <v>5.2542489999999999E-3</v>
      </c>
      <c r="AA5719">
        <v>0.98359019999999997</v>
      </c>
      <c r="AB5719">
        <v>41</v>
      </c>
      <c r="AC5719">
        <v>15.7654</v>
      </c>
      <c r="AD5719">
        <v>-1.1054089440929999</v>
      </c>
      <c r="AE5719">
        <v>3.1546599999999998</v>
      </c>
      <c r="AF5719">
        <v>-2.92880395985246</v>
      </c>
      <c r="AG5719">
        <v>-1.1054089440929999</v>
      </c>
      <c r="AH5719">
        <v>15.731979722399201</v>
      </c>
      <c r="AI5719">
        <v>93.951611867207504</v>
      </c>
      <c r="AJ5719">
        <v>100.545956389129</v>
      </c>
      <c r="AK5719">
        <v>16.040417935792899</v>
      </c>
    </row>
    <row r="5720" spans="1:37" x14ac:dyDescent="0.2">
      <c r="A5720" t="str">
        <f>"20200111153543529"</f>
        <v>20200111153543529</v>
      </c>
      <c r="B5720" t="str">
        <f>"1578728143521183"</f>
        <v>1578728143521183</v>
      </c>
      <c r="C5720" t="s">
        <v>37</v>
      </c>
      <c r="D5720">
        <v>4.9585980000000003</v>
      </c>
      <c r="E5720">
        <v>0.47056789999999998</v>
      </c>
      <c r="F5720" t="s">
        <v>77</v>
      </c>
      <c r="G5720">
        <v>-236.6688</v>
      </c>
      <c r="H5720" s="1">
        <v>-1.9130000000000001E-6</v>
      </c>
      <c r="I5720">
        <v>-60.627859999999998</v>
      </c>
      <c r="J5720">
        <v>-252.30289999999999</v>
      </c>
      <c r="K5720">
        <v>1.1053090000000001</v>
      </c>
      <c r="L5720">
        <v>-63.793610000000001</v>
      </c>
      <c r="M5720">
        <v>0.99981869999999995</v>
      </c>
      <c r="N5720">
        <v>0</v>
      </c>
      <c r="O5720">
        <v>1.3599089999999999E-2</v>
      </c>
      <c r="P5720">
        <v>0.99297469999999999</v>
      </c>
      <c r="Q5720">
        <v>-8.7822039999999903E-4</v>
      </c>
      <c r="R5720">
        <v>0.11832479999999999</v>
      </c>
      <c r="S5720">
        <v>2.9508509999999899</v>
      </c>
      <c r="T5720">
        <v>-0.20606749999999999</v>
      </c>
      <c r="U5720">
        <v>0.59066770000000002</v>
      </c>
      <c r="V5720">
        <v>-0.10484059999999901</v>
      </c>
      <c r="W5720">
        <v>1.2104999999999999E-2</v>
      </c>
      <c r="X5720">
        <v>0.9944153</v>
      </c>
      <c r="Y5720">
        <v>-0.18252579999999999</v>
      </c>
      <c r="Z5720">
        <v>5.3641640000000003E-3</v>
      </c>
      <c r="AA5720">
        <v>0.98318639999999902</v>
      </c>
      <c r="AB5720">
        <v>41</v>
      </c>
      <c r="AC5720">
        <v>15.634099999999901</v>
      </c>
      <c r="AD5720">
        <v>-1.1053109130000001</v>
      </c>
      <c r="AE5720">
        <v>3.1657500000000001</v>
      </c>
      <c r="AF5720">
        <v>-2.9387187055928101</v>
      </c>
      <c r="AG5720">
        <v>-1.1053109130000001</v>
      </c>
      <c r="AH5720">
        <v>15.6008028561897</v>
      </c>
      <c r="AI5720">
        <v>93.982798394442796</v>
      </c>
      <c r="AJ5720">
        <v>100.667786016384</v>
      </c>
      <c r="AK5720">
        <v>15.9136051730177</v>
      </c>
    </row>
    <row r="5721" spans="1:37" x14ac:dyDescent="0.2">
      <c r="A5721" t="str">
        <f>"20200111153543542"</f>
        <v>20200111153543542</v>
      </c>
      <c r="B5721" t="str">
        <f>"1578728143530943"</f>
        <v>1578728143530943</v>
      </c>
      <c r="C5721" t="s">
        <v>37</v>
      </c>
      <c r="D5721">
        <v>4.9490429999999996</v>
      </c>
      <c r="E5721">
        <v>0.4703524</v>
      </c>
      <c r="F5721" t="s">
        <v>77</v>
      </c>
      <c r="G5721">
        <v>-236.68629999999999</v>
      </c>
      <c r="H5721" s="1">
        <v>-1.9271160000000002E-6</v>
      </c>
      <c r="I5721">
        <v>-60.652700000000003</v>
      </c>
      <c r="J5721">
        <v>-252.09530000000001</v>
      </c>
      <c r="K5721">
        <v>1.1052059999999999</v>
      </c>
      <c r="L5721">
        <v>-63.790619999999997</v>
      </c>
      <c r="M5721">
        <v>0.9998148</v>
      </c>
      <c r="N5721">
        <v>0</v>
      </c>
      <c r="O5721">
        <v>1.376345E-2</v>
      </c>
      <c r="P5721">
        <v>0.99290979999999995</v>
      </c>
      <c r="Q5721">
        <v>-1.1151139999999999E-3</v>
      </c>
      <c r="R5721">
        <v>0.1188646</v>
      </c>
      <c r="S5721">
        <v>2.9503629999999998</v>
      </c>
      <c r="T5721">
        <v>-0.20882029999999999</v>
      </c>
      <c r="U5721">
        <v>0.59338380000000002</v>
      </c>
      <c r="V5721">
        <v>-0.1052143</v>
      </c>
      <c r="W5721">
        <v>1.2028230000000001E-2</v>
      </c>
      <c r="X5721">
        <v>0.99437679999999995</v>
      </c>
      <c r="Y5721">
        <v>-0.18325359999999999</v>
      </c>
      <c r="Z5721">
        <v>5.450018E-3</v>
      </c>
      <c r="AA5721">
        <v>0.983050599999999</v>
      </c>
      <c r="AB5721">
        <v>41</v>
      </c>
      <c r="AC5721">
        <v>15.409000000000001</v>
      </c>
      <c r="AD5721">
        <v>-1.10520792711599</v>
      </c>
      <c r="AE5721">
        <v>3.1379199999999901</v>
      </c>
      <c r="AF5721">
        <v>-2.91114263361293</v>
      </c>
      <c r="AG5721">
        <v>-1.10520792711599</v>
      </c>
      <c r="AH5721">
        <v>15.3747873104374</v>
      </c>
      <c r="AI5721">
        <v>94.0400628968831</v>
      </c>
      <c r="AJ5721">
        <v>100.72175429080001</v>
      </c>
      <c r="AK5721">
        <v>15.686947467132899</v>
      </c>
    </row>
    <row r="5722" spans="1:37" x14ac:dyDescent="0.2">
      <c r="A5722" t="str">
        <f>"20200111153543552"</f>
        <v>20200111153543552</v>
      </c>
      <c r="B5722" t="str">
        <f>"1578728143541681"</f>
        <v>1578728143541681</v>
      </c>
      <c r="C5722" t="s">
        <v>37</v>
      </c>
      <c r="D5722">
        <v>4.9974049999999997</v>
      </c>
      <c r="E5722">
        <v>0.47024389999999999</v>
      </c>
      <c r="F5722" t="s">
        <v>77</v>
      </c>
      <c r="G5722">
        <v>-236.66810000000001</v>
      </c>
      <c r="H5722" s="1">
        <v>-1.9239470000000001E-6</v>
      </c>
      <c r="I5722">
        <v>-60.670079999999999</v>
      </c>
      <c r="J5722">
        <v>-251.90129999999999</v>
      </c>
      <c r="K5722">
        <v>1.1051169999999999</v>
      </c>
      <c r="L5722">
        <v>-63.78781</v>
      </c>
      <c r="M5722">
        <v>0.99981160000000002</v>
      </c>
      <c r="N5722">
        <v>0</v>
      </c>
      <c r="O5722">
        <v>1.3875790000000001E-2</v>
      </c>
      <c r="P5722">
        <v>0.99286849999999904</v>
      </c>
      <c r="Q5722">
        <v>-1.4631799999999999E-3</v>
      </c>
      <c r="R5722">
        <v>0.1192061</v>
      </c>
      <c r="S5722">
        <v>2.9497529999999998</v>
      </c>
      <c r="T5722">
        <v>-0.2113206</v>
      </c>
      <c r="U5722">
        <v>0.59664919999999899</v>
      </c>
      <c r="V5722">
        <v>-0.1054412</v>
      </c>
      <c r="W5722">
        <v>1.181653E-2</v>
      </c>
      <c r="X5722">
        <v>0.99435529999999905</v>
      </c>
      <c r="Y5722">
        <v>-0.18421609999999999</v>
      </c>
      <c r="Z5722">
        <v>5.5417699999999997E-3</v>
      </c>
      <c r="AA5722">
        <v>0.98287019999999903</v>
      </c>
      <c r="AB5722">
        <v>41</v>
      </c>
      <c r="AC5722">
        <v>15.233199999999901</v>
      </c>
      <c r="AD5722">
        <v>-1.1051189239469901</v>
      </c>
      <c r="AE5722">
        <v>3.1177299999999901</v>
      </c>
      <c r="AF5722">
        <v>-2.8914317623569001</v>
      </c>
      <c r="AG5722">
        <v>-1.1051189239469901</v>
      </c>
      <c r="AH5722">
        <v>15.198225329608</v>
      </c>
      <c r="AI5722">
        <v>94.085837803935902</v>
      </c>
      <c r="AJ5722">
        <v>100.771679968119</v>
      </c>
      <c r="AK5722">
        <v>15.5102456022454</v>
      </c>
    </row>
    <row r="5723" spans="1:37" x14ac:dyDescent="0.2">
      <c r="A5723" t="str">
        <f>"20200111153543565"</f>
        <v>20200111153543565</v>
      </c>
      <c r="B5723" t="str">
        <f>"1578728143561200"</f>
        <v>1578728143561200</v>
      </c>
      <c r="C5723" t="s">
        <v>37</v>
      </c>
      <c r="D5723">
        <v>4.9561479999999998</v>
      </c>
      <c r="E5723">
        <v>0.47015439999999997</v>
      </c>
      <c r="F5723" t="s">
        <v>77</v>
      </c>
      <c r="G5723">
        <v>-236.5368</v>
      </c>
      <c r="H5723" s="1">
        <v>-1.8676009999999999E-6</v>
      </c>
      <c r="I5723">
        <v>-60.670029999999997</v>
      </c>
      <c r="J5723">
        <v>-251.69730000000001</v>
      </c>
      <c r="K5723">
        <v>1.105027</v>
      </c>
      <c r="L5723">
        <v>-63.784819999999897</v>
      </c>
      <c r="M5723">
        <v>0.99980869999999999</v>
      </c>
      <c r="N5723">
        <v>0</v>
      </c>
      <c r="O5723">
        <v>1.3974749999999999E-2</v>
      </c>
      <c r="P5723">
        <v>0.99283149999999998</v>
      </c>
      <c r="Q5723">
        <v>-1.8252920000000001E-3</v>
      </c>
      <c r="R5723">
        <v>0.11950860000000001</v>
      </c>
      <c r="S5723">
        <v>2.94938699999999</v>
      </c>
      <c r="T5723">
        <v>-0.21213979999999899</v>
      </c>
      <c r="U5723">
        <v>0.59848020000000002</v>
      </c>
      <c r="V5723">
        <v>-0.1056426</v>
      </c>
      <c r="W5723">
        <v>1.159052E-2</v>
      </c>
      <c r="X5723">
        <v>0.99433660000000001</v>
      </c>
      <c r="Y5723">
        <v>-0.18472429999999901</v>
      </c>
      <c r="Z5723">
        <v>5.5745739999999997E-3</v>
      </c>
      <c r="AA5723">
        <v>0.98277459999999905</v>
      </c>
      <c r="AB5723">
        <v>41</v>
      </c>
      <c r="AC5723">
        <v>15.160500000000001</v>
      </c>
      <c r="AD5723">
        <v>-1.1050288676010001</v>
      </c>
      <c r="AE5723">
        <v>3.11478999999999</v>
      </c>
      <c r="AF5723">
        <v>-2.8878805286607401</v>
      </c>
      <c r="AG5723">
        <v>-1.1050288676010001</v>
      </c>
      <c r="AH5723">
        <v>15.125448526845799</v>
      </c>
      <c r="AI5723">
        <v>94.104584496010602</v>
      </c>
      <c r="AJ5723">
        <v>100.809308749742</v>
      </c>
      <c r="AK5723">
        <v>15.4382685520207</v>
      </c>
    </row>
    <row r="5724" spans="1:37" x14ac:dyDescent="0.2">
      <c r="A5724" t="str">
        <f>"20200111153543575"</f>
        <v>20200111153543575</v>
      </c>
      <c r="B5724" t="str">
        <f>"1578728143571771"</f>
        <v>1578728143571771</v>
      </c>
      <c r="C5724" t="s">
        <v>37</v>
      </c>
      <c r="D5724">
        <v>4.9601300000000004</v>
      </c>
      <c r="E5724">
        <v>0.4698388</v>
      </c>
      <c r="F5724" t="s">
        <v>77</v>
      </c>
      <c r="G5724">
        <v>-236.60059999999999</v>
      </c>
      <c r="H5724" s="1">
        <v>-1.9063069999999901E-6</v>
      </c>
      <c r="I5724">
        <v>-60.7125699999999</v>
      </c>
      <c r="J5724">
        <v>-251.48840000000001</v>
      </c>
      <c r="K5724">
        <v>1.104946</v>
      </c>
      <c r="L5724">
        <v>-63.781769999999902</v>
      </c>
      <c r="M5724">
        <v>0.99980619999999998</v>
      </c>
      <c r="N5724">
        <v>0</v>
      </c>
      <c r="O5724">
        <v>1.405149E-2</v>
      </c>
      <c r="P5724">
        <v>0.99282490000000001</v>
      </c>
      <c r="Q5724">
        <v>-1.9620810000000001E-3</v>
      </c>
      <c r="R5724">
        <v>0.1195621</v>
      </c>
      <c r="S5724">
        <v>2.94902</v>
      </c>
      <c r="T5724">
        <v>-0.21585889999999999</v>
      </c>
      <c r="U5724">
        <v>0.600128199999999</v>
      </c>
      <c r="V5724">
        <v>-0.1056174</v>
      </c>
      <c r="W5724">
        <v>1.15829E-2</v>
      </c>
      <c r="X5724">
        <v>0.99433930000000004</v>
      </c>
      <c r="Y5724">
        <v>-0.18518399999999999</v>
      </c>
      <c r="Z5724">
        <v>5.6835130000000003E-3</v>
      </c>
      <c r="AA5724">
        <v>0.98268739999999999</v>
      </c>
      <c r="AB5724">
        <v>41</v>
      </c>
      <c r="AC5724">
        <v>14.8878</v>
      </c>
      <c r="AD5724">
        <v>-1.104947906307</v>
      </c>
      <c r="AE5724">
        <v>3.0691999999999999</v>
      </c>
      <c r="AF5724">
        <v>-2.8446506987059101</v>
      </c>
      <c r="AG5724">
        <v>-1.104947906307</v>
      </c>
      <c r="AH5724">
        <v>14.850991139219801</v>
      </c>
      <c r="AI5724">
        <v>94.179394088754094</v>
      </c>
      <c r="AJ5724">
        <v>100.843446006695</v>
      </c>
      <c r="AK5724">
        <v>15.1612956336352</v>
      </c>
    </row>
    <row r="5725" spans="1:37" x14ac:dyDescent="0.2">
      <c r="A5725" t="str">
        <f>"20200111153543586"</f>
        <v>20200111153543586</v>
      </c>
      <c r="B5725" t="str">
        <f>"1578728143581530"</f>
        <v>1578728143581530</v>
      </c>
      <c r="C5725" t="s">
        <v>37</v>
      </c>
      <c r="D5725">
        <v>5.0049460000000003</v>
      </c>
      <c r="E5725">
        <v>0.46950019999999998</v>
      </c>
      <c r="F5725" t="s">
        <v>77</v>
      </c>
      <c r="G5725">
        <v>-236.43029999999999</v>
      </c>
      <c r="H5725" s="1">
        <v>-1.830689E-6</v>
      </c>
      <c r="I5725">
        <v>-60.702979999999997</v>
      </c>
      <c r="J5725">
        <v>-251.29169999999999</v>
      </c>
      <c r="K5725">
        <v>1.1048819999999999</v>
      </c>
      <c r="L5725">
        <v>-63.778930000000003</v>
      </c>
      <c r="M5725">
        <v>0.99980419999999903</v>
      </c>
      <c r="N5725">
        <v>0</v>
      </c>
      <c r="O5725">
        <v>1.4104169999999999E-2</v>
      </c>
      <c r="P5725">
        <v>0.99287130000000001</v>
      </c>
      <c r="Q5725">
        <v>-2.3593030000000001E-3</v>
      </c>
      <c r="R5725">
        <v>0.119167699999999</v>
      </c>
      <c r="S5725">
        <v>2.94866899999999</v>
      </c>
      <c r="T5725">
        <v>-0.21637029999999999</v>
      </c>
      <c r="U5725">
        <v>0.60287480000000004</v>
      </c>
      <c r="V5725">
        <v>-0.10516730000000001</v>
      </c>
      <c r="W5725">
        <v>1.129777E-2</v>
      </c>
      <c r="X5725">
        <v>0.99439040000000001</v>
      </c>
      <c r="Y5725">
        <v>-0.18602969999999999</v>
      </c>
      <c r="Z5725">
        <v>5.7239329999999996E-3</v>
      </c>
      <c r="AA5725">
        <v>0.98252739999999905</v>
      </c>
      <c r="AB5725">
        <v>41</v>
      </c>
      <c r="AC5725">
        <v>14.8614</v>
      </c>
      <c r="AD5725">
        <v>-1.1048838306890001</v>
      </c>
      <c r="AE5725">
        <v>3.07594999999999</v>
      </c>
      <c r="AF5725">
        <v>-2.85090555797693</v>
      </c>
      <c r="AG5725">
        <v>-1.1048838306890001</v>
      </c>
      <c r="AH5725">
        <v>14.824734539515701</v>
      </c>
      <c r="AI5725">
        <v>94.1859403908297</v>
      </c>
      <c r="AJ5725">
        <v>100.885508678877</v>
      </c>
      <c r="AK5725">
        <v>15.1367494841835</v>
      </c>
    </row>
    <row r="5726" spans="1:37" x14ac:dyDescent="0.2">
      <c r="A5726" t="str">
        <f>"20200111153543598"</f>
        <v>20200111153543598</v>
      </c>
      <c r="B5726" t="str">
        <f>"1578728143591291"</f>
        <v>1578728143591291</v>
      </c>
      <c r="C5726" t="s">
        <v>37</v>
      </c>
      <c r="D5726">
        <v>4.9448569999999998</v>
      </c>
      <c r="E5726">
        <v>0.46927809999999998</v>
      </c>
      <c r="F5726" t="s">
        <v>77</v>
      </c>
      <c r="G5726">
        <v>-236.34710000000001</v>
      </c>
      <c r="H5726" s="1">
        <v>-1.798176E-6</v>
      </c>
      <c r="I5726">
        <v>-60.714950000000002</v>
      </c>
      <c r="J5726">
        <v>-251.06970000000001</v>
      </c>
      <c r="K5726">
        <v>1.104819</v>
      </c>
      <c r="L5726">
        <v>-63.775700000000001</v>
      </c>
      <c r="M5726">
        <v>0.99980219999999898</v>
      </c>
      <c r="N5726">
        <v>0</v>
      </c>
      <c r="O5726">
        <v>1.4153249999999999E-2</v>
      </c>
      <c r="P5726">
        <v>0.99291419999999997</v>
      </c>
      <c r="Q5726">
        <v>-2.9054109999999901E-3</v>
      </c>
      <c r="R5726">
        <v>0.1188005</v>
      </c>
      <c r="S5726">
        <v>2.9484710000000001</v>
      </c>
      <c r="T5726">
        <v>-0.21798679999999901</v>
      </c>
      <c r="U5726">
        <v>0.60449219999999904</v>
      </c>
      <c r="V5726">
        <v>-0.1047487</v>
      </c>
      <c r="W5726">
        <v>1.0872450000000001E-2</v>
      </c>
      <c r="X5726">
        <v>0.99443930000000003</v>
      </c>
      <c r="Y5726">
        <v>-0.1865039</v>
      </c>
      <c r="Z5726">
        <v>5.7803940000000003E-3</v>
      </c>
      <c r="AA5726">
        <v>0.98243719999999901</v>
      </c>
      <c r="AB5726">
        <v>41</v>
      </c>
      <c r="AC5726">
        <v>14.7226</v>
      </c>
      <c r="AD5726">
        <v>-1.1048207981760001</v>
      </c>
      <c r="AE5726">
        <v>3.0607499999999899</v>
      </c>
      <c r="AF5726">
        <v>-2.8367374719639198</v>
      </c>
      <c r="AG5726">
        <v>-1.1048207981760001</v>
      </c>
      <c r="AH5726">
        <v>14.685177208885801</v>
      </c>
      <c r="AI5726">
        <v>94.224661994431699</v>
      </c>
      <c r="AJ5726">
        <v>100.933170747899</v>
      </c>
      <c r="AK5726">
        <v>14.9974043800021</v>
      </c>
    </row>
    <row r="5727" spans="1:37" x14ac:dyDescent="0.2">
      <c r="A5727" t="str">
        <f>"20200111153543608"</f>
        <v>20200111153543608</v>
      </c>
      <c r="B5727" t="str">
        <f>"1578728143601051"</f>
        <v>1578728143601051</v>
      </c>
      <c r="C5727" t="s">
        <v>37</v>
      </c>
      <c r="D5727">
        <v>4.9537259999999996</v>
      </c>
      <c r="E5727">
        <v>0.46920609999999902</v>
      </c>
      <c r="F5727" t="s">
        <v>77</v>
      </c>
      <c r="G5727">
        <v>-236.23</v>
      </c>
      <c r="H5727" s="1">
        <v>-1.751765E-6</v>
      </c>
      <c r="I5727">
        <v>-60.72925</v>
      </c>
      <c r="J5727">
        <v>-250.8751</v>
      </c>
      <c r="K5727">
        <v>1.1047799999999901</v>
      </c>
      <c r="L5727">
        <v>-63.772859999999902</v>
      </c>
      <c r="M5727">
        <v>0.99980059999999904</v>
      </c>
      <c r="N5727">
        <v>0</v>
      </c>
      <c r="O5727">
        <v>1.4178339999999999E-2</v>
      </c>
      <c r="P5727">
        <v>0.99297080000000004</v>
      </c>
      <c r="Q5727">
        <v>-3.7621149999999999E-3</v>
      </c>
      <c r="R5727">
        <v>0.11830009999999901</v>
      </c>
      <c r="S5727">
        <v>2.948334</v>
      </c>
      <c r="T5727">
        <v>-0.21950539999999999</v>
      </c>
      <c r="U5727">
        <v>0.60525509999999905</v>
      </c>
      <c r="V5727">
        <v>-0.1042198</v>
      </c>
      <c r="W5727">
        <v>1.0107649999999999E-2</v>
      </c>
      <c r="X5727">
        <v>0.99450289999999997</v>
      </c>
      <c r="Y5727">
        <v>-0.18672539999999899</v>
      </c>
      <c r="Z5727">
        <v>5.8269709999999898E-3</v>
      </c>
      <c r="AA5727">
        <v>0.98239489999999996</v>
      </c>
      <c r="AB5727">
        <v>41</v>
      </c>
      <c r="AC5727">
        <v>14.645099999999999</v>
      </c>
      <c r="AD5727">
        <v>-1.10478175176499</v>
      </c>
      <c r="AE5727">
        <v>3.0436099999999899</v>
      </c>
      <c r="AF5727">
        <v>-2.8202554260331198</v>
      </c>
      <c r="AG5727">
        <v>-1.10478175176499</v>
      </c>
      <c r="AH5727">
        <v>14.607101699622699</v>
      </c>
      <c r="AI5727">
        <v>94.247086526834494</v>
      </c>
      <c r="AJ5727">
        <v>100.927876029578</v>
      </c>
      <c r="AK5727">
        <v>14.917835079200399</v>
      </c>
    </row>
    <row r="5728" spans="1:37" x14ac:dyDescent="0.2">
      <c r="A5728" t="str">
        <f>"20200111153543620"</f>
        <v>20200111153543620</v>
      </c>
      <c r="B5728" t="str">
        <f>"1578728143611786"</f>
        <v>1578728143611786</v>
      </c>
      <c r="C5728" t="s">
        <v>37</v>
      </c>
      <c r="D5728">
        <v>4.9688049999999997</v>
      </c>
      <c r="E5728">
        <v>0.46907739999999998</v>
      </c>
      <c r="F5728" t="s">
        <v>77</v>
      </c>
      <c r="G5728">
        <v>-236.17519999999999</v>
      </c>
      <c r="H5728" s="1">
        <v>-1.7363579999999999E-6</v>
      </c>
      <c r="I5728">
        <v>-60.759719999999902</v>
      </c>
      <c r="J5728">
        <v>-250.67670000000001</v>
      </c>
      <c r="K5728">
        <v>1.1047400000000001</v>
      </c>
      <c r="L5728">
        <v>-63.770019999999903</v>
      </c>
      <c r="M5728">
        <v>0.9997992</v>
      </c>
      <c r="N5728">
        <v>0</v>
      </c>
      <c r="O5728">
        <v>1.4201699999999999E-2</v>
      </c>
      <c r="P5728">
        <v>0.99303330000000001</v>
      </c>
      <c r="Q5728">
        <v>-4.076077E-3</v>
      </c>
      <c r="R5728">
        <v>0.1177647</v>
      </c>
      <c r="S5728">
        <v>2.9483950000000001</v>
      </c>
      <c r="T5728">
        <v>-0.2215888</v>
      </c>
      <c r="U5728">
        <v>0.60433959999999998</v>
      </c>
      <c r="V5728">
        <v>-0.103658999999999</v>
      </c>
      <c r="W5728">
        <v>9.8854530000000006E-3</v>
      </c>
      <c r="X5728">
        <v>0.9945638</v>
      </c>
      <c r="Y5728">
        <v>-0.18639790000000001</v>
      </c>
      <c r="Z5728">
        <v>5.86829E-3</v>
      </c>
      <c r="AA5728">
        <v>0.98245680000000002</v>
      </c>
      <c r="AB5728">
        <v>41</v>
      </c>
      <c r="AC5728">
        <v>14.5015</v>
      </c>
      <c r="AD5728">
        <v>-1.1047417363580001</v>
      </c>
      <c r="AE5728">
        <v>3.0103</v>
      </c>
      <c r="AF5728">
        <v>-2.78851501650878</v>
      </c>
      <c r="AG5728">
        <v>-1.1047417363580001</v>
      </c>
      <c r="AH5728">
        <v>14.462327088879199</v>
      </c>
      <c r="AI5728">
        <v>94.289497369535198</v>
      </c>
      <c r="AJ5728">
        <v>100.913407024555</v>
      </c>
      <c r="AK5728">
        <v>14.770077018319</v>
      </c>
    </row>
    <row r="5729" spans="1:37" x14ac:dyDescent="0.2">
      <c r="A5729" t="str">
        <f>"20200111153543630"</f>
        <v>20200111153543630</v>
      </c>
      <c r="B5729" t="str">
        <f>"1578728143621547"</f>
        <v>1578728143621547</v>
      </c>
      <c r="C5729" t="s">
        <v>37</v>
      </c>
      <c r="D5729">
        <v>4.9258129999999998</v>
      </c>
      <c r="E5729">
        <v>0.46894249999999998</v>
      </c>
      <c r="F5729" t="s">
        <v>77</v>
      </c>
      <c r="G5729">
        <v>-236.0438</v>
      </c>
      <c r="H5729" s="1">
        <v>-1.683596E-6</v>
      </c>
      <c r="I5729">
        <v>-60.773309999999903</v>
      </c>
      <c r="J5729">
        <v>-250.47819999999999</v>
      </c>
      <c r="K5729">
        <v>1.1047129999999901</v>
      </c>
      <c r="L5729">
        <v>-63.767090000000003</v>
      </c>
      <c r="M5729">
        <v>0.99979810000000002</v>
      </c>
      <c r="N5729">
        <v>0</v>
      </c>
      <c r="O5729">
        <v>1.421439E-2</v>
      </c>
      <c r="P5729">
        <v>0.99312080000000003</v>
      </c>
      <c r="Q5729">
        <v>-4.4857940000000004E-3</v>
      </c>
      <c r="R5729">
        <v>0.11700770000000001</v>
      </c>
      <c r="S5729">
        <v>2.9485169999999998</v>
      </c>
      <c r="T5729">
        <v>-0.222604</v>
      </c>
      <c r="U5729">
        <v>0.60382080000000005</v>
      </c>
      <c r="V5729">
        <v>-0.1028863</v>
      </c>
      <c r="W5729">
        <v>9.5569269999999998E-3</v>
      </c>
      <c r="X5729">
        <v>0.99464719999999995</v>
      </c>
      <c r="Y5729">
        <v>-0.18620780000000001</v>
      </c>
      <c r="Z5729">
        <v>5.8869289999999999E-3</v>
      </c>
      <c r="AA5729">
        <v>0.9824927</v>
      </c>
      <c r="AB5729">
        <v>41</v>
      </c>
      <c r="AC5729">
        <v>14.434399999999901</v>
      </c>
      <c r="AD5729">
        <v>-1.10471468359599</v>
      </c>
      <c r="AE5729">
        <v>2.9937800000000001</v>
      </c>
      <c r="AF5729">
        <v>-2.7727096205967801</v>
      </c>
      <c r="AG5729">
        <v>-1.10471468359599</v>
      </c>
      <c r="AH5729">
        <v>14.3946629667244</v>
      </c>
      <c r="AI5729">
        <v>94.309632730233105</v>
      </c>
      <c r="AJ5729">
        <v>100.90281880844999</v>
      </c>
      <c r="AK5729">
        <v>14.700837904619201</v>
      </c>
    </row>
    <row r="5730" spans="1:37" x14ac:dyDescent="0.2">
      <c r="A5730" t="str">
        <f>"20200111153543642"</f>
        <v>20200111153543642</v>
      </c>
      <c r="B5730" t="str">
        <f>"1578728143631308"</f>
        <v>1578728143631308</v>
      </c>
      <c r="C5730" t="s">
        <v>37</v>
      </c>
      <c r="D5730">
        <v>4.9855849999999897</v>
      </c>
      <c r="E5730">
        <v>0.46877950000000002</v>
      </c>
      <c r="F5730" t="s">
        <v>77</v>
      </c>
      <c r="G5730">
        <v>-235.92269999999999</v>
      </c>
      <c r="H5730" s="1">
        <v>-1.63671699999999E-6</v>
      </c>
      <c r="I5730">
        <v>-60.792389999999997</v>
      </c>
      <c r="J5730">
        <v>-250.27590000000001</v>
      </c>
      <c r="K5730">
        <v>1.1046860000000001</v>
      </c>
      <c r="L5730">
        <v>-63.764159999999997</v>
      </c>
      <c r="M5730">
        <v>0.99979699999999905</v>
      </c>
      <c r="N5730">
        <v>0</v>
      </c>
      <c r="O5730">
        <v>1.4225440000000001E-2</v>
      </c>
      <c r="P5730">
        <v>0.99320640000000004</v>
      </c>
      <c r="Q5730">
        <v>-4.4680140000000002E-3</v>
      </c>
      <c r="R5730">
        <v>0.1162807</v>
      </c>
      <c r="S5730">
        <v>2.9487919999999899</v>
      </c>
      <c r="T5730">
        <v>-0.22380359999999999</v>
      </c>
      <c r="U5730">
        <v>0.60263059999999902</v>
      </c>
      <c r="V5730">
        <v>-0.1021463</v>
      </c>
      <c r="W5730">
        <v>9.6537210000000005E-3</v>
      </c>
      <c r="X5730">
        <v>0.99472249999999995</v>
      </c>
      <c r="Y5730">
        <v>-0.1857944</v>
      </c>
      <c r="Z5730">
        <v>5.90192699999999E-3</v>
      </c>
      <c r="AA5730">
        <v>0.98257090000000002</v>
      </c>
      <c r="AB5730">
        <v>41</v>
      </c>
      <c r="AC5730">
        <v>14.353199999999999</v>
      </c>
      <c r="AD5730">
        <v>-1.104687636717</v>
      </c>
      <c r="AE5730">
        <v>2.97176999999999</v>
      </c>
      <c r="AF5730">
        <v>-2.7516384167202399</v>
      </c>
      <c r="AG5730">
        <v>-1.104687636717</v>
      </c>
      <c r="AH5730">
        <v>14.3127293679463</v>
      </c>
      <c r="AI5730">
        <v>94.334399964258196</v>
      </c>
      <c r="AJ5730">
        <v>100.88240190373099</v>
      </c>
      <c r="AK5730">
        <v>14.616636778382301</v>
      </c>
    </row>
    <row r="5731" spans="1:37" x14ac:dyDescent="0.2">
      <c r="A5731" t="str">
        <f>"20200111153543652"</f>
        <v>20200111153543652</v>
      </c>
      <c r="B5731" t="str">
        <f>"1578728143641066"</f>
        <v>1578728143641066</v>
      </c>
      <c r="C5731" t="s">
        <v>37</v>
      </c>
      <c r="D5731">
        <v>5.004899</v>
      </c>
      <c r="E5731">
        <v>0.4687385</v>
      </c>
      <c r="F5731" t="s">
        <v>77</v>
      </c>
      <c r="G5731">
        <v>-235.733</v>
      </c>
      <c r="H5731" s="1">
        <v>-1.5565949999999999E-6</v>
      </c>
      <c r="I5731">
        <v>-60.797139999999999</v>
      </c>
      <c r="J5731">
        <v>-250.0813</v>
      </c>
      <c r="K5731">
        <v>1.104663</v>
      </c>
      <c r="L5731">
        <v>-63.76135</v>
      </c>
      <c r="M5731">
        <v>0.99979599999999902</v>
      </c>
      <c r="N5731">
        <v>0</v>
      </c>
      <c r="O5731">
        <v>1.423201E-2</v>
      </c>
      <c r="P5731">
        <v>0.99328830000000001</v>
      </c>
      <c r="Q5731">
        <v>-3.9670809999999999E-3</v>
      </c>
      <c r="R5731">
        <v>0.1155986</v>
      </c>
      <c r="S5731">
        <v>2.9490810000000001</v>
      </c>
      <c r="T5731">
        <v>-0.22401360000000001</v>
      </c>
      <c r="U5731">
        <v>0.60165409999999997</v>
      </c>
      <c r="V5731">
        <v>-0.10145599999999901</v>
      </c>
      <c r="W5731">
        <v>1.0223029999999999E-2</v>
      </c>
      <c r="X5731">
        <v>0.99478750000000005</v>
      </c>
      <c r="Y5731">
        <v>-0.1854567</v>
      </c>
      <c r="Z5731">
        <v>5.893901E-3</v>
      </c>
      <c r="AA5731">
        <v>0.98263480000000003</v>
      </c>
      <c r="AB5731">
        <v>41</v>
      </c>
      <c r="AC5731">
        <v>14.348299999999901</v>
      </c>
      <c r="AD5731">
        <v>-1.104664556595</v>
      </c>
      <c r="AE5731">
        <v>2.96421</v>
      </c>
      <c r="AF5731">
        <v>-2.7440842425776202</v>
      </c>
      <c r="AG5731">
        <v>-1.104664556595</v>
      </c>
      <c r="AH5731">
        <v>14.3077021989388</v>
      </c>
      <c r="AI5731">
        <v>94.336195166054495</v>
      </c>
      <c r="AJ5731">
        <v>100.856959328266</v>
      </c>
      <c r="AK5731">
        <v>14.610291726262</v>
      </c>
    </row>
    <row r="5732" spans="1:37" x14ac:dyDescent="0.2">
      <c r="A5732" t="str">
        <f>"20200111153543664"</f>
        <v>20200111153543664</v>
      </c>
      <c r="B5732" t="str">
        <f>"1578728143661562"</f>
        <v>1578728143661562</v>
      </c>
      <c r="C5732" t="s">
        <v>37</v>
      </c>
      <c r="D5732">
        <v>4.9601389999999999</v>
      </c>
      <c r="E5732">
        <v>0.46849689999999999</v>
      </c>
      <c r="F5732" t="s">
        <v>77</v>
      </c>
      <c r="G5732">
        <v>-235.4068</v>
      </c>
      <c r="H5732" s="1">
        <v>-1.411234E-6</v>
      </c>
      <c r="I5732">
        <v>-60.776789999999998</v>
      </c>
      <c r="J5732">
        <v>-249.8766</v>
      </c>
      <c r="K5732">
        <v>1.104644</v>
      </c>
      <c r="L5732">
        <v>-63.758389999999999</v>
      </c>
      <c r="M5732">
        <v>0.99979509999999905</v>
      </c>
      <c r="N5732">
        <v>0</v>
      </c>
      <c r="O5732">
        <v>1.42373999999999E-2</v>
      </c>
      <c r="P5732">
        <v>0.99338419999999905</v>
      </c>
      <c r="Q5732">
        <v>-4.0850019999999999E-3</v>
      </c>
      <c r="R5732">
        <v>0.11476600000000001</v>
      </c>
      <c r="S5732">
        <v>2.9495849999999999</v>
      </c>
      <c r="T5732">
        <v>-0.22203719999999999</v>
      </c>
      <c r="U5732">
        <v>0.59988399999999997</v>
      </c>
      <c r="V5732">
        <v>-0.100616</v>
      </c>
      <c r="W5732">
        <v>1.017297E-2</v>
      </c>
      <c r="X5732">
        <v>0.99487329999999996</v>
      </c>
      <c r="Y5732">
        <v>-0.18486240000000001</v>
      </c>
      <c r="Z5732">
        <v>5.8188999999999897E-3</v>
      </c>
      <c r="AA5732">
        <v>0.98274719999999904</v>
      </c>
      <c r="AB5732">
        <v>41</v>
      </c>
      <c r="AC5732">
        <v>14.4697999999999</v>
      </c>
      <c r="AD5732">
        <v>-1.1046454112340001</v>
      </c>
      <c r="AE5732">
        <v>2.9815999999999998</v>
      </c>
      <c r="AF5732">
        <v>-2.7598348248970601</v>
      </c>
      <c r="AG5732">
        <v>-1.1046454112340001</v>
      </c>
      <c r="AH5732">
        <v>14.4301141252785</v>
      </c>
      <c r="AI5732">
        <v>94.299898883609302</v>
      </c>
      <c r="AJ5732">
        <v>100.82736474318099</v>
      </c>
      <c r="AK5732">
        <v>14.733130129535899</v>
      </c>
    </row>
    <row r="5733" spans="1:37" x14ac:dyDescent="0.2">
      <c r="A5733" t="str">
        <f>"20200111153543675"</f>
        <v>20200111153543675</v>
      </c>
      <c r="B5733" t="str">
        <f>"1578728143671829"</f>
        <v>1578728143671829</v>
      </c>
      <c r="C5733" t="s">
        <v>37</v>
      </c>
      <c r="D5733">
        <v>5.0040480000000001</v>
      </c>
      <c r="E5733">
        <v>0.46839140000000001</v>
      </c>
      <c r="F5733" t="s">
        <v>77</v>
      </c>
      <c r="G5733">
        <v>-235.19329999999999</v>
      </c>
      <c r="H5733" s="1">
        <v>-1.319416E-6</v>
      </c>
      <c r="I5733">
        <v>-60.775829999999999</v>
      </c>
      <c r="J5733">
        <v>-249.67150000000001</v>
      </c>
      <c r="K5733">
        <v>1.1046279999999999</v>
      </c>
      <c r="L5733">
        <v>-63.755429999999997</v>
      </c>
      <c r="M5733">
        <v>0.99979430000000002</v>
      </c>
      <c r="N5733">
        <v>0</v>
      </c>
      <c r="O5733">
        <v>1.42414999999999E-2</v>
      </c>
      <c r="P5733">
        <v>0.99346970000000001</v>
      </c>
      <c r="Q5733">
        <v>-3.9111850000000002E-3</v>
      </c>
      <c r="R5733">
        <v>0.1140292</v>
      </c>
      <c r="S5733">
        <v>2.9498439999999899</v>
      </c>
      <c r="T5733">
        <v>-0.22192199999999901</v>
      </c>
      <c r="U5733">
        <v>0.59918209999999905</v>
      </c>
      <c r="V5733">
        <v>-9.987327E-2</v>
      </c>
      <c r="W5733">
        <v>1.0409470000000001E-2</v>
      </c>
      <c r="X5733">
        <v>0.99494570000000004</v>
      </c>
      <c r="Y5733">
        <v>-0.18461810000000001</v>
      </c>
      <c r="Z5733">
        <v>5.8061349999999996E-3</v>
      </c>
      <c r="AA5733">
        <v>0.98279319999999903</v>
      </c>
      <c r="AB5733">
        <v>40</v>
      </c>
      <c r="AC5733">
        <v>14.478199999999999</v>
      </c>
      <c r="AD5733">
        <v>-1.104629319416</v>
      </c>
      <c r="AE5733">
        <v>2.9795999999999898</v>
      </c>
      <c r="AF5733">
        <v>-2.7576845137575901</v>
      </c>
      <c r="AG5733">
        <v>-1.104629319416</v>
      </c>
      <c r="AH5733">
        <v>14.438536886961501</v>
      </c>
      <c r="AI5733">
        <v>94.297543203252104</v>
      </c>
      <c r="AJ5733">
        <v>100.81296530716899</v>
      </c>
      <c r="AK5733">
        <v>14.740976129377501</v>
      </c>
    </row>
    <row r="5734" spans="1:37" x14ac:dyDescent="0.2">
      <c r="A5734" t="str">
        <f>"20200111153543687"</f>
        <v>20200111153543687</v>
      </c>
      <c r="B5734" t="str">
        <f>"1578728143681589"</f>
        <v>1578728143681589</v>
      </c>
      <c r="C5734" t="s">
        <v>37</v>
      </c>
      <c r="D5734">
        <v>5.0145549999999997</v>
      </c>
      <c r="E5734">
        <v>0.4683001</v>
      </c>
      <c r="F5734" t="s">
        <v>77</v>
      </c>
      <c r="G5734">
        <v>-234.94890000000001</v>
      </c>
      <c r="H5734" s="1">
        <v>-1.2136699999999999E-6</v>
      </c>
      <c r="I5734">
        <v>-60.772550000000003</v>
      </c>
      <c r="J5734">
        <v>-249.4684</v>
      </c>
      <c r="K5734">
        <v>1.104614</v>
      </c>
      <c r="L5734">
        <v>-63.752469999999903</v>
      </c>
      <c r="M5734">
        <v>0.99979359999999995</v>
      </c>
      <c r="N5734">
        <v>0</v>
      </c>
      <c r="O5734">
        <v>1.4245219999999999E-2</v>
      </c>
      <c r="P5734">
        <v>0.99352529999999994</v>
      </c>
      <c r="Q5734">
        <v>-3.7415879999999901E-3</v>
      </c>
      <c r="R5734">
        <v>0.1135507</v>
      </c>
      <c r="S5734">
        <v>2.9502259999999998</v>
      </c>
      <c r="T5734">
        <v>-0.22135289999999999</v>
      </c>
      <c r="U5734">
        <v>0.59771730000000001</v>
      </c>
      <c r="V5734">
        <v>-9.938959E-2</v>
      </c>
      <c r="W5734">
        <v>1.06349999999999E-2</v>
      </c>
      <c r="X5734">
        <v>0.99499179999999998</v>
      </c>
      <c r="Y5734">
        <v>-0.1841247</v>
      </c>
      <c r="Z5734">
        <v>5.7722600000000004E-3</v>
      </c>
      <c r="AA5734">
        <v>0.98288600000000004</v>
      </c>
      <c r="AB5734">
        <v>40</v>
      </c>
      <c r="AC5734">
        <v>14.519499999999899</v>
      </c>
      <c r="AD5734">
        <v>-1.10461521367</v>
      </c>
      <c r="AE5734">
        <v>2.9799199999999901</v>
      </c>
      <c r="AF5734">
        <v>-2.7574477265424799</v>
      </c>
      <c r="AG5734">
        <v>-1.10461521367</v>
      </c>
      <c r="AH5734">
        <v>14.4800592791927</v>
      </c>
      <c r="AI5734">
        <v>94.285654355471095</v>
      </c>
      <c r="AJ5734">
        <v>100.781782312846</v>
      </c>
      <c r="AK5734">
        <v>14.781603751414099</v>
      </c>
    </row>
    <row r="5735" spans="1:37" x14ac:dyDescent="0.2">
      <c r="A5735" t="str">
        <f>"20200111153543698"</f>
        <v>20200111153543698</v>
      </c>
      <c r="B5735" t="str">
        <f>"1578728143691350"</f>
        <v>1578728143691350</v>
      </c>
      <c r="C5735" t="s">
        <v>37</v>
      </c>
      <c r="D5735">
        <v>4.9889580000000002</v>
      </c>
      <c r="E5735">
        <v>0.46821210000000002</v>
      </c>
      <c r="F5735" t="s">
        <v>77</v>
      </c>
      <c r="G5735">
        <v>-234.70670000000001</v>
      </c>
      <c r="H5735" s="1">
        <v>-1.108007E-6</v>
      </c>
      <c r="I5735">
        <v>-60.765900000000002</v>
      </c>
      <c r="J5735">
        <v>-249.262</v>
      </c>
      <c r="K5735">
        <v>1.1045989999999899</v>
      </c>
      <c r="L5735">
        <v>-63.749479999999998</v>
      </c>
      <c r="M5735">
        <v>0.99979280000000004</v>
      </c>
      <c r="N5735">
        <v>0</v>
      </c>
      <c r="O5735">
        <v>1.4248790000000001E-2</v>
      </c>
      <c r="P5735">
        <v>0.99357999999999902</v>
      </c>
      <c r="Q5735">
        <v>-3.6085480000000001E-3</v>
      </c>
      <c r="R5735">
        <v>0.1130741</v>
      </c>
      <c r="S5735">
        <v>2.950485</v>
      </c>
      <c r="T5735">
        <v>-0.22078339999999999</v>
      </c>
      <c r="U5735">
        <v>0.5969238</v>
      </c>
      <c r="V5735">
        <v>-9.8908300000000005E-2</v>
      </c>
      <c r="W5735">
        <v>1.0821910000000001E-2</v>
      </c>
      <c r="X5735">
        <v>0.99503770000000002</v>
      </c>
      <c r="Y5735">
        <v>-0.18385360000000001</v>
      </c>
      <c r="Z5735">
        <v>5.7468090000000003E-3</v>
      </c>
      <c r="AA5735">
        <v>0.9829369</v>
      </c>
      <c r="AB5735">
        <v>40</v>
      </c>
      <c r="AC5735">
        <v>14.5552999999999</v>
      </c>
      <c r="AD5735">
        <v>-1.10460010800699</v>
      </c>
      <c r="AE5735">
        <v>2.9835799999999999</v>
      </c>
      <c r="AF5735">
        <v>-2.76060175451047</v>
      </c>
      <c r="AG5735">
        <v>-1.10460010800699</v>
      </c>
      <c r="AH5735">
        <v>14.516107815419</v>
      </c>
      <c r="AI5735">
        <v>94.275192804613397</v>
      </c>
      <c r="AJ5735">
        <v>100.767647806299</v>
      </c>
      <c r="AK5735">
        <v>14.8175048356491</v>
      </c>
    </row>
    <row r="5736" spans="1:37" x14ac:dyDescent="0.2">
      <c r="A5736" t="str">
        <f>"20200111153543709"</f>
        <v>20200111153543709</v>
      </c>
      <c r="B5736" t="str">
        <f>"1578728143701109"</f>
        <v>1578728143701109</v>
      </c>
      <c r="C5736" t="s">
        <v>37</v>
      </c>
      <c r="D5736">
        <v>5.0207519999999999</v>
      </c>
      <c r="E5736">
        <v>0.46810649999999998</v>
      </c>
      <c r="F5736" t="s">
        <v>77</v>
      </c>
      <c r="G5736">
        <v>-234.46420000000001</v>
      </c>
      <c r="H5736" s="1">
        <v>-1.0024389999999999E-6</v>
      </c>
      <c r="I5736">
        <v>-60.760039999999996</v>
      </c>
      <c r="J5736">
        <v>-249.0643</v>
      </c>
      <c r="K5736">
        <v>1.10459</v>
      </c>
      <c r="L5736">
        <v>-63.746639999999999</v>
      </c>
      <c r="M5736">
        <v>0.99979229999999997</v>
      </c>
      <c r="N5736">
        <v>0</v>
      </c>
      <c r="O5736">
        <v>1.42525E-2</v>
      </c>
      <c r="P5736">
        <v>0.9936218</v>
      </c>
      <c r="Q5736">
        <v>-3.830815E-3</v>
      </c>
      <c r="R5736">
        <v>0.1126996</v>
      </c>
      <c r="S5736">
        <v>2.9507599999999998</v>
      </c>
      <c r="T5736">
        <v>-0.22026399999999999</v>
      </c>
      <c r="U5736">
        <v>0.59609990000000002</v>
      </c>
      <c r="V5736">
        <v>-9.8528900000000003E-2</v>
      </c>
      <c r="W5736">
        <v>1.064502E-2</v>
      </c>
      <c r="X5736">
        <v>0.99507730000000005</v>
      </c>
      <c r="Y5736">
        <v>-0.1835714</v>
      </c>
      <c r="Z5736">
        <v>5.7222749999999998E-3</v>
      </c>
      <c r="AA5736">
        <v>0.98298969999999897</v>
      </c>
      <c r="AB5736">
        <v>40</v>
      </c>
      <c r="AC5736">
        <v>14.6000999999999</v>
      </c>
      <c r="AD5736">
        <v>-1.104591002439</v>
      </c>
      <c r="AE5736">
        <v>2.9865999999999899</v>
      </c>
      <c r="AF5736">
        <v>-2.7630066261546502</v>
      </c>
      <c r="AG5736">
        <v>-1.104591002439</v>
      </c>
      <c r="AH5736">
        <v>14.5611886569198</v>
      </c>
      <c r="AI5736">
        <v>94.262300642363599</v>
      </c>
      <c r="AJ5736">
        <v>100.74422164544499</v>
      </c>
      <c r="AK5736">
        <v>14.862117682256899</v>
      </c>
    </row>
    <row r="5737" spans="1:37" x14ac:dyDescent="0.2">
      <c r="A5737" t="str">
        <f>"20200111153543720"</f>
        <v>20200111153543720</v>
      </c>
      <c r="B5737" t="str">
        <f>"1578728143711846"</f>
        <v>1578728143711846</v>
      </c>
      <c r="C5737" t="s">
        <v>37</v>
      </c>
      <c r="D5737">
        <v>4.9804399999999998</v>
      </c>
      <c r="E5737">
        <v>0.46796199999999999</v>
      </c>
      <c r="F5737" t="s">
        <v>77</v>
      </c>
      <c r="G5737">
        <v>-234.31469999999999</v>
      </c>
      <c r="H5737" s="1">
        <v>-9.4066879999999995E-7</v>
      </c>
      <c r="I5737">
        <v>-60.769009999999902</v>
      </c>
      <c r="J5737">
        <v>-248.86949999999999</v>
      </c>
      <c r="K5737">
        <v>1.104584</v>
      </c>
      <c r="L5737">
        <v>-63.743839999999999</v>
      </c>
      <c r="M5737">
        <v>0.999791599999999</v>
      </c>
      <c r="N5737">
        <v>0</v>
      </c>
      <c r="O5737">
        <v>1.4256359999999999E-2</v>
      </c>
      <c r="P5737">
        <v>0.99363269999999904</v>
      </c>
      <c r="Q5737">
        <v>-4.4287409999999999E-3</v>
      </c>
      <c r="R5737">
        <v>0.112581399999999</v>
      </c>
      <c r="S5737">
        <v>2.9508509999999899</v>
      </c>
      <c r="T5737">
        <v>-0.2209882</v>
      </c>
      <c r="U5737">
        <v>0.59570310000000004</v>
      </c>
      <c r="V5737">
        <v>-9.8406090000000002E-2</v>
      </c>
      <c r="W5737">
        <v>1.009001E-2</v>
      </c>
      <c r="X5737">
        <v>0.99509519999999996</v>
      </c>
      <c r="Y5737">
        <v>-0.18343209999999999</v>
      </c>
      <c r="Z5737">
        <v>5.7354969999999896E-3</v>
      </c>
      <c r="AA5737">
        <v>0.98301569999999905</v>
      </c>
      <c r="AB5737">
        <v>40</v>
      </c>
      <c r="AC5737">
        <v>14.5548</v>
      </c>
      <c r="AD5737">
        <v>-1.1045849406688</v>
      </c>
      <c r="AE5737">
        <v>2.9748300000000101</v>
      </c>
      <c r="AF5737">
        <v>-2.7517935334007202</v>
      </c>
      <c r="AG5737">
        <v>-1.1045849406688</v>
      </c>
      <c r="AH5737">
        <v>14.515485569143999</v>
      </c>
      <c r="AI5737">
        <v>94.275784262071497</v>
      </c>
      <c r="AJ5737">
        <v>100.734540548149</v>
      </c>
      <c r="AK5737">
        <v>14.8152555445273</v>
      </c>
    </row>
    <row r="5738" spans="1:37" x14ac:dyDescent="0.2">
      <c r="A5738" t="str">
        <f>"20200111153543730"</f>
        <v>20200111153543730</v>
      </c>
      <c r="B5738" t="str">
        <f>"1578728143721605"</f>
        <v>1578728143721605</v>
      </c>
      <c r="C5738" t="s">
        <v>37</v>
      </c>
      <c r="D5738">
        <v>4.9888260000000004</v>
      </c>
      <c r="E5738">
        <v>0.46786610000000001</v>
      </c>
      <c r="F5738" t="s">
        <v>77</v>
      </c>
      <c r="G5738">
        <v>-234.18559999999999</v>
      </c>
      <c r="H5738" s="1">
        <v>-8.8705159999999897E-7</v>
      </c>
      <c r="I5738">
        <v>-60.77563</v>
      </c>
      <c r="J5738">
        <v>-248.6686</v>
      </c>
      <c r="K5738">
        <v>1.1045750000000001</v>
      </c>
      <c r="L5738">
        <v>-63.740940000000002</v>
      </c>
      <c r="M5738">
        <v>0.99979089999999904</v>
      </c>
      <c r="N5738">
        <v>0</v>
      </c>
      <c r="O5738">
        <v>1.426052E-2</v>
      </c>
      <c r="P5738">
        <v>0.99364430000000004</v>
      </c>
      <c r="Q5738">
        <v>-4.7061400000000001E-3</v>
      </c>
      <c r="R5738">
        <v>0.1124666</v>
      </c>
      <c r="S5738">
        <v>2.9506679999999998</v>
      </c>
      <c r="T5738">
        <v>-0.221961299999999</v>
      </c>
      <c r="U5738">
        <v>0.59643550000000001</v>
      </c>
      <c r="V5738">
        <v>-9.8286280000000004E-2</v>
      </c>
      <c r="W5738">
        <v>9.8515990000000008E-3</v>
      </c>
      <c r="X5738">
        <v>0.99510940000000003</v>
      </c>
      <c r="Y5738">
        <v>-0.18366959999999999</v>
      </c>
      <c r="Z5738">
        <v>5.769415E-3</v>
      </c>
      <c r="AA5738">
        <v>0.98297109999999999</v>
      </c>
      <c r="AB5738">
        <v>40</v>
      </c>
      <c r="AC5738">
        <v>14.483000000000001</v>
      </c>
      <c r="AD5738">
        <v>-1.1045758870516</v>
      </c>
      <c r="AE5738">
        <v>2.9653099999999899</v>
      </c>
      <c r="AF5738">
        <v>-2.7431371609660302</v>
      </c>
      <c r="AG5738">
        <v>-1.1045758870516</v>
      </c>
      <c r="AH5738">
        <v>14.443187252792301</v>
      </c>
      <c r="AI5738">
        <v>94.296798384015304</v>
      </c>
      <c r="AJ5738">
        <v>100.75387632252399</v>
      </c>
      <c r="AK5738">
        <v>14.742813415130501</v>
      </c>
    </row>
    <row r="5739" spans="1:37" x14ac:dyDescent="0.2">
      <c r="A5739" t="str">
        <f>"20200111153543743"</f>
        <v>20200111153543743</v>
      </c>
      <c r="B5739" t="str">
        <f>"1578728143731365"</f>
        <v>1578728143731365</v>
      </c>
      <c r="C5739" t="s">
        <v>37</v>
      </c>
      <c r="D5739">
        <v>5.0010399999999997</v>
      </c>
      <c r="E5739">
        <v>0.46771669999999999</v>
      </c>
      <c r="F5739" t="s">
        <v>77</v>
      </c>
      <c r="G5739">
        <v>-234.03210000000001</v>
      </c>
      <c r="H5739" s="1">
        <v>-8.225975E-7</v>
      </c>
      <c r="I5739">
        <v>-60.780869999999901</v>
      </c>
      <c r="J5739">
        <v>-248.4657</v>
      </c>
      <c r="K5739">
        <v>1.104571</v>
      </c>
      <c r="L5739">
        <v>-63.738039999999998</v>
      </c>
      <c r="M5739">
        <v>0.99979050000000003</v>
      </c>
      <c r="N5739">
        <v>0</v>
      </c>
      <c r="O5739">
        <v>1.4264529999999999E-2</v>
      </c>
      <c r="P5739">
        <v>0.99364779999999997</v>
      </c>
      <c r="Q5739">
        <v>-4.8179340000000003E-3</v>
      </c>
      <c r="R5739">
        <v>0.1124319</v>
      </c>
      <c r="S5739">
        <v>2.9505919999999999</v>
      </c>
      <c r="T5739">
        <v>-0.22267289999999901</v>
      </c>
      <c r="U5739">
        <v>0.59671019999999997</v>
      </c>
      <c r="V5739">
        <v>-9.824745E-2</v>
      </c>
      <c r="W5739">
        <v>9.7767380000000001E-3</v>
      </c>
      <c r="X5739">
        <v>0.99511399999999905</v>
      </c>
      <c r="Y5739">
        <v>-0.18375529999999901</v>
      </c>
      <c r="Z5739">
        <v>5.7908519999999896E-3</v>
      </c>
      <c r="AA5739">
        <v>0.98295499999999902</v>
      </c>
      <c r="AB5739">
        <v>40</v>
      </c>
      <c r="AC5739">
        <v>14.433599999999901</v>
      </c>
      <c r="AD5739">
        <v>-1.1045718225974901</v>
      </c>
      <c r="AE5739">
        <v>2.9571700000000098</v>
      </c>
      <c r="AF5739">
        <v>-2.7355828062622898</v>
      </c>
      <c r="AG5739">
        <v>-1.1045718225974901</v>
      </c>
      <c r="AH5739">
        <v>14.393419044681499</v>
      </c>
      <c r="AI5739">
        <v>94.311479856135705</v>
      </c>
      <c r="AJ5739">
        <v>100.76116815909199</v>
      </c>
      <c r="AK5739">
        <v>14.6926513603568</v>
      </c>
    </row>
    <row r="5740" spans="1:37" x14ac:dyDescent="0.2">
      <c r="A5740" t="str">
        <f>"20200111153543753"</f>
        <v>20200111153543753</v>
      </c>
      <c r="B5740" t="str">
        <f>"1578728143741125"</f>
        <v>1578728143741125</v>
      </c>
      <c r="C5740" t="s">
        <v>37</v>
      </c>
      <c r="D5740">
        <v>4.9791639999999999</v>
      </c>
      <c r="E5740">
        <v>0.46763179999999999</v>
      </c>
      <c r="F5740" t="s">
        <v>77</v>
      </c>
      <c r="G5740">
        <v>-233.89410000000001</v>
      </c>
      <c r="H5740" s="1">
        <v>-7.6475040000000004E-7</v>
      </c>
      <c r="I5740">
        <v>-60.785980000000002</v>
      </c>
      <c r="J5740">
        <v>-248.26560000000001</v>
      </c>
      <c r="K5740">
        <v>1.104573</v>
      </c>
      <c r="L5740">
        <v>-63.735140000000001</v>
      </c>
      <c r="M5740">
        <v>0.99978979999999995</v>
      </c>
      <c r="N5740">
        <v>0</v>
      </c>
      <c r="O5740">
        <v>1.426843E-2</v>
      </c>
      <c r="P5740">
        <v>0.99369689999999999</v>
      </c>
      <c r="Q5740">
        <v>-5.1079339999999997E-3</v>
      </c>
      <c r="R5740">
        <v>0.111984999999999</v>
      </c>
      <c r="S5740">
        <v>2.9504549999999998</v>
      </c>
      <c r="T5740">
        <v>-0.22365299999999999</v>
      </c>
      <c r="U5740">
        <v>0.59771730000000001</v>
      </c>
      <c r="V5740">
        <v>-9.7795480000000004E-2</v>
      </c>
      <c r="W5740">
        <v>9.5206890000000006E-3</v>
      </c>
      <c r="X5740">
        <v>0.99516099999999996</v>
      </c>
      <c r="Y5740">
        <v>-0.18407770000000001</v>
      </c>
      <c r="Z5740">
        <v>5.8281289999999996E-3</v>
      </c>
      <c r="AA5740">
        <v>0.98289439999999995</v>
      </c>
      <c r="AB5740">
        <v>40</v>
      </c>
      <c r="AC5740">
        <v>14.3714999999999</v>
      </c>
      <c r="AD5740">
        <v>-1.1045737647503999</v>
      </c>
      <c r="AE5740">
        <v>2.9491599999999898</v>
      </c>
      <c r="AF5740">
        <v>-2.7283131835135799</v>
      </c>
      <c r="AG5740">
        <v>-1.1045737647503999</v>
      </c>
      <c r="AH5740">
        <v>14.3308858864866</v>
      </c>
      <c r="AI5740">
        <v>94.329974255051297</v>
      </c>
      <c r="AJ5740">
        <v>100.77897605866301</v>
      </c>
      <c r="AK5740">
        <v>14.630039860527001</v>
      </c>
    </row>
    <row r="5741" spans="1:37" x14ac:dyDescent="0.2">
      <c r="A5741" t="str">
        <f>"20200111153543765"</f>
        <v>20200111153543765</v>
      </c>
      <c r="B5741" t="str">
        <f>"1578728143761621"</f>
        <v>1578728143761621</v>
      </c>
      <c r="C5741" t="s">
        <v>37</v>
      </c>
      <c r="D5741">
        <v>5.088266</v>
      </c>
      <c r="E5741">
        <v>0.46755869999999999</v>
      </c>
      <c r="F5741" t="s">
        <v>77</v>
      </c>
      <c r="G5741">
        <v>-233.7587</v>
      </c>
      <c r="H5741" s="1">
        <v>-7.1042899999999996E-7</v>
      </c>
      <c r="I5741">
        <v>-60.800109999999997</v>
      </c>
      <c r="J5741">
        <v>-248.06559999999999</v>
      </c>
      <c r="K5741">
        <v>1.104579</v>
      </c>
      <c r="L5741">
        <v>-63.7322699999999</v>
      </c>
      <c r="M5741">
        <v>0.9997895</v>
      </c>
      <c r="N5741">
        <v>0</v>
      </c>
      <c r="O5741">
        <v>1.4271829999999999E-2</v>
      </c>
      <c r="P5741">
        <v>0.99371759999999998</v>
      </c>
      <c r="Q5741">
        <v>-5.2997540000000003E-3</v>
      </c>
      <c r="R5741">
        <v>0.1117924</v>
      </c>
      <c r="S5741">
        <v>2.95060699999999</v>
      </c>
      <c r="T5741">
        <v>-0.22466349999999999</v>
      </c>
      <c r="U5741">
        <v>0.59695430000000005</v>
      </c>
      <c r="V5741">
        <v>-9.7598679999999993E-2</v>
      </c>
      <c r="W5741">
        <v>9.359526E-3</v>
      </c>
      <c r="X5741">
        <v>0.99518189999999995</v>
      </c>
      <c r="Y5741">
        <v>-0.18381689999999901</v>
      </c>
      <c r="Z5741">
        <v>5.8441659999999996E-3</v>
      </c>
      <c r="AA5741">
        <v>0.98294309999999996</v>
      </c>
      <c r="AB5741">
        <v>40</v>
      </c>
      <c r="AC5741">
        <v>14.306899999999899</v>
      </c>
      <c r="AD5741">
        <v>-1.1045797104290001</v>
      </c>
      <c r="AE5741">
        <v>2.9321599999999899</v>
      </c>
      <c r="AF5741">
        <v>-2.7121386846265598</v>
      </c>
      <c r="AG5741">
        <v>-1.1045797104290001</v>
      </c>
      <c r="AH5741">
        <v>14.265687542668299</v>
      </c>
      <c r="AI5741">
        <v>94.349920848843098</v>
      </c>
      <c r="AJ5741">
        <v>100.764394217348</v>
      </c>
      <c r="AK5741">
        <v>14.5631601531529</v>
      </c>
    </row>
    <row r="5742" spans="1:37" x14ac:dyDescent="0.2">
      <c r="A5742" t="str">
        <f>"20200111153543777"</f>
        <v>20200111153543777</v>
      </c>
      <c r="B5742" t="str">
        <f>"1578728143771381"</f>
        <v>1578728143771381</v>
      </c>
      <c r="C5742" t="s">
        <v>37</v>
      </c>
      <c r="D5742">
        <v>5.1832909999999996</v>
      </c>
      <c r="E5742">
        <v>0.46755869999999999</v>
      </c>
      <c r="F5742" t="s">
        <v>77</v>
      </c>
      <c r="G5742">
        <v>-233.59010000000001</v>
      </c>
      <c r="H5742" s="1">
        <v>-6.3908689999999997E-7</v>
      </c>
      <c r="I5742">
        <v>-60.803759999999997</v>
      </c>
      <c r="J5742">
        <v>-247.8467</v>
      </c>
      <c r="K5742">
        <v>1.10459</v>
      </c>
      <c r="L5742">
        <v>-63.729129999999998</v>
      </c>
      <c r="M5742">
        <v>0.99978909999999999</v>
      </c>
      <c r="N5742">
        <v>0</v>
      </c>
      <c r="O5742">
        <v>1.427548E-2</v>
      </c>
      <c r="P5742">
        <v>0.99375619999999998</v>
      </c>
      <c r="Q5742">
        <v>-5.734795E-3</v>
      </c>
      <c r="R5742">
        <v>0.111426</v>
      </c>
      <c r="S5742">
        <v>2.95062299999999</v>
      </c>
      <c r="T5742">
        <v>-0.22515309999999999</v>
      </c>
      <c r="U5742">
        <v>0.5969238</v>
      </c>
      <c r="V5742">
        <v>-9.7227480000000005E-2</v>
      </c>
      <c r="W5742">
        <v>8.9561380000000006E-3</v>
      </c>
      <c r="X5742">
        <v>0.99522189999999999</v>
      </c>
      <c r="Y5742">
        <v>-0.18380050000000001</v>
      </c>
      <c r="Z5742">
        <v>5.8559490000000001E-3</v>
      </c>
      <c r="AA5742">
        <v>0.98294619999999999</v>
      </c>
      <c r="AB5742">
        <v>40</v>
      </c>
      <c r="AC5742">
        <v>14.256599999999899</v>
      </c>
      <c r="AD5742">
        <v>-1.10459063908689</v>
      </c>
      <c r="AE5742">
        <v>2.92537</v>
      </c>
      <c r="AF5742">
        <v>-2.7059422931759198</v>
      </c>
      <c r="AG5742">
        <v>-1.10459063908689</v>
      </c>
      <c r="AH5742">
        <v>14.2150270217253</v>
      </c>
      <c r="AI5742">
        <v>94.365213694663893</v>
      </c>
      <c r="AJ5742">
        <v>100.777755916103</v>
      </c>
      <c r="AK5742">
        <v>14.5123822097661</v>
      </c>
    </row>
    <row r="5743" spans="1:37" x14ac:dyDescent="0.2">
      <c r="A5743" t="str">
        <f>"20200111153543787"</f>
        <v>20200111153543787</v>
      </c>
      <c r="B5743" t="str">
        <f>"1578728143781141"</f>
        <v>1578728143781141</v>
      </c>
      <c r="C5743" t="s">
        <v>37</v>
      </c>
      <c r="D5743">
        <v>5.1975319999999998</v>
      </c>
      <c r="E5743">
        <v>0.50521799999999994</v>
      </c>
      <c r="F5743" t="s">
        <v>77</v>
      </c>
      <c r="G5743">
        <v>-233.4547</v>
      </c>
      <c r="H5743" s="1">
        <v>-5.8602959999999999E-7</v>
      </c>
      <c r="I5743">
        <v>-60.822659999999999</v>
      </c>
      <c r="J5743">
        <v>-247.65350000000001</v>
      </c>
      <c r="K5743">
        <v>1.1046020000000001</v>
      </c>
      <c r="L5743">
        <v>-63.726349999999996</v>
      </c>
      <c r="M5743">
        <v>0.99978860000000003</v>
      </c>
      <c r="N5743">
        <v>0</v>
      </c>
      <c r="O5743">
        <v>1.427814E-2</v>
      </c>
      <c r="P5743">
        <v>0.99377479999999996</v>
      </c>
      <c r="Q5743">
        <v>-6.0011539999999999E-3</v>
      </c>
      <c r="R5743">
        <v>0.1112456</v>
      </c>
      <c r="S5743">
        <v>2.9507140000000001</v>
      </c>
      <c r="T5743">
        <v>-0.2264687</v>
      </c>
      <c r="U5743">
        <v>0.59588619999999903</v>
      </c>
      <c r="V5743">
        <v>-9.7044489999999997E-2</v>
      </c>
      <c r="W5743">
        <v>8.7143910000000002E-3</v>
      </c>
      <c r="X5743">
        <v>0.99524190000000001</v>
      </c>
      <c r="Y5743">
        <v>-0.18345529999999999</v>
      </c>
      <c r="Z5743">
        <v>5.8767940000000003E-3</v>
      </c>
      <c r="AA5743">
        <v>0.98301050000000001</v>
      </c>
      <c r="AB5743">
        <v>40</v>
      </c>
      <c r="AC5743">
        <v>14.1988</v>
      </c>
      <c r="AD5743">
        <v>-1.1046025860296</v>
      </c>
      <c r="AE5743">
        <v>2.9036899999999899</v>
      </c>
      <c r="AF5743">
        <v>-2.6850413769084698</v>
      </c>
      <c r="AG5743">
        <v>-1.1046025860296</v>
      </c>
      <c r="AH5743">
        <v>14.156577863121999</v>
      </c>
      <c r="AI5743">
        <v>94.383766658363697</v>
      </c>
      <c r="AJ5743">
        <v>100.739573601049</v>
      </c>
      <c r="AK5743">
        <v>14.4512383851146</v>
      </c>
    </row>
    <row r="5744" spans="1:37" x14ac:dyDescent="0.2">
      <c r="A5744" t="str">
        <f>"20200111153543799"</f>
        <v>20200111153543799</v>
      </c>
      <c r="B5744" t="str">
        <f>"1578728143791877"</f>
        <v>1578728143791877</v>
      </c>
      <c r="C5744" t="s">
        <v>37</v>
      </c>
      <c r="D5744">
        <v>5.124377</v>
      </c>
      <c r="E5744">
        <v>0.5197195</v>
      </c>
      <c r="F5744" t="s">
        <v>78</v>
      </c>
      <c r="G5744">
        <v>-229.60040000000001</v>
      </c>
      <c r="H5744" s="1">
        <v>-3.483448E-6</v>
      </c>
      <c r="I5744">
        <v>-61.937429999999999</v>
      </c>
      <c r="J5744">
        <v>-247.44669999999999</v>
      </c>
      <c r="K5744">
        <v>1.104616</v>
      </c>
      <c r="L5744">
        <v>-63.723390000000002</v>
      </c>
      <c r="M5744">
        <v>0.99978829999999996</v>
      </c>
      <c r="N5744">
        <v>0</v>
      </c>
      <c r="O5744">
        <v>1.428068E-2</v>
      </c>
      <c r="P5744">
        <v>0.99379769999999901</v>
      </c>
      <c r="Q5744">
        <v>-6.223765E-3</v>
      </c>
      <c r="R5744">
        <v>0.1110299</v>
      </c>
      <c r="S5744">
        <v>2.9845730000000001</v>
      </c>
      <c r="T5744">
        <v>-0.18261469999999999</v>
      </c>
      <c r="U5744">
        <v>0.2957458</v>
      </c>
      <c r="V5744">
        <v>-9.6825880000000003E-2</v>
      </c>
      <c r="W5744">
        <v>8.5165109999999992E-3</v>
      </c>
      <c r="X5744">
        <v>0.99526489999999901</v>
      </c>
      <c r="Y5744">
        <v>-8.4256319999999996E-2</v>
      </c>
      <c r="Z5744">
        <v>1.69822299999999E-3</v>
      </c>
      <c r="AA5744">
        <v>0.99644270000000001</v>
      </c>
      <c r="AB5744">
        <v>40</v>
      </c>
      <c r="AC5744">
        <v>17.8462999999999</v>
      </c>
      <c r="AD5744">
        <v>-1.1046194834480001</v>
      </c>
      <c r="AE5744">
        <v>1.78595999999999</v>
      </c>
      <c r="AF5744">
        <v>-1.5251075961109</v>
      </c>
      <c r="AG5744">
        <v>-1.1046194834480001</v>
      </c>
      <c r="AH5744">
        <v>17.802459672657299</v>
      </c>
      <c r="AI5744">
        <v>93.537651977317097</v>
      </c>
      <c r="AJ5744">
        <v>94.896480515348898</v>
      </c>
      <c r="AK5744">
        <v>17.901779458464901</v>
      </c>
    </row>
    <row r="5745" spans="1:37" x14ac:dyDescent="0.2">
      <c r="A5745" t="str">
        <f>"20200111153543809"</f>
        <v>20200111153543809</v>
      </c>
      <c r="B5745" t="str">
        <f>"1578728143801637"</f>
        <v>1578728143801637</v>
      </c>
      <c r="C5745" t="s">
        <v>37</v>
      </c>
      <c r="D5745">
        <v>5.3084699999999998</v>
      </c>
      <c r="E5745">
        <v>0.52868879999999996</v>
      </c>
      <c r="F5745" t="s">
        <v>78</v>
      </c>
      <c r="G5745">
        <v>-226.16040000000001</v>
      </c>
      <c r="H5745" s="1">
        <v>-2.2199569999999998E-6</v>
      </c>
      <c r="I5745">
        <v>-62.448319999999903</v>
      </c>
      <c r="J5745">
        <v>-247.25630000000001</v>
      </c>
      <c r="K5745">
        <v>1.104636</v>
      </c>
      <c r="L5745">
        <v>-63.720640000000003</v>
      </c>
      <c r="M5745">
        <v>0.99978789999999995</v>
      </c>
      <c r="N5745">
        <v>0</v>
      </c>
      <c r="O5745">
        <v>1.4279399999999901E-2</v>
      </c>
      <c r="P5745">
        <v>0.99379580000000001</v>
      </c>
      <c r="Q5745">
        <v>-6.199474E-3</v>
      </c>
      <c r="R5745">
        <v>0.1110469</v>
      </c>
      <c r="S5745">
        <v>2.997681</v>
      </c>
      <c r="T5745">
        <v>-0.15556020000000001</v>
      </c>
      <c r="U5745">
        <v>0.17956539999999999</v>
      </c>
      <c r="V5745">
        <v>-9.6843899999999997E-2</v>
      </c>
      <c r="W5745">
        <v>8.5613319999999996E-3</v>
      </c>
      <c r="X5745">
        <v>0.99526269999999994</v>
      </c>
      <c r="Y5745">
        <v>-4.5490919999999997E-2</v>
      </c>
      <c r="Z5745">
        <v>4.3866249999999999E-4</v>
      </c>
      <c r="AA5745">
        <v>0.99896469999999904</v>
      </c>
      <c r="AB5745">
        <v>40</v>
      </c>
      <c r="AC5745">
        <v>21.0959</v>
      </c>
      <c r="AD5745">
        <v>-1.104638219957</v>
      </c>
      <c r="AE5745">
        <v>1.2723199999999999</v>
      </c>
      <c r="AF5745">
        <v>-0.96827503183824404</v>
      </c>
      <c r="AG5745">
        <v>-1.104638219957</v>
      </c>
      <c r="AH5745">
        <v>21.054399816059099</v>
      </c>
      <c r="AI5745">
        <v>93.0001562444005</v>
      </c>
      <c r="AJ5745">
        <v>92.633131820957402</v>
      </c>
      <c r="AK5745">
        <v>21.105580630457499</v>
      </c>
    </row>
    <row r="5746" spans="1:37" x14ac:dyDescent="0.2">
      <c r="A5746" t="str">
        <f>"20200111153543821"</f>
        <v>20200111153543821</v>
      </c>
      <c r="B5746" t="str">
        <f>"1578728143811397"</f>
        <v>1578728143811397</v>
      </c>
      <c r="C5746" t="s">
        <v>37</v>
      </c>
      <c r="D5746">
        <v>5.1616269999999904</v>
      </c>
      <c r="E5746">
        <v>0.53426229999999997</v>
      </c>
      <c r="F5746" t="s">
        <v>78</v>
      </c>
      <c r="G5746">
        <v>-226.4546</v>
      </c>
      <c r="H5746" s="1">
        <v>-2.46217099999999E-6</v>
      </c>
      <c r="I5746">
        <v>-62.970009999999903</v>
      </c>
      <c r="J5746">
        <v>-247.05549999999999</v>
      </c>
      <c r="K5746">
        <v>1.104652</v>
      </c>
      <c r="L5746">
        <v>-63.717739999999999</v>
      </c>
      <c r="M5746">
        <v>0.99978769999999995</v>
      </c>
      <c r="N5746">
        <v>0</v>
      </c>
      <c r="O5746">
        <v>1.427661E-2</v>
      </c>
      <c r="P5746">
        <v>0.99380029999999997</v>
      </c>
      <c r="Q5746">
        <v>-5.6994000000000003E-3</v>
      </c>
      <c r="R5746">
        <v>0.11103389999999901</v>
      </c>
      <c r="S5746">
        <v>3.00563</v>
      </c>
      <c r="T5746">
        <v>-0.1596088</v>
      </c>
      <c r="U5746">
        <v>0.1084595</v>
      </c>
      <c r="V5746">
        <v>-9.6833950000000002E-2</v>
      </c>
      <c r="W5746">
        <v>9.082494E-3</v>
      </c>
      <c r="X5746">
        <v>0.99525909999999995</v>
      </c>
      <c r="Y5746">
        <v>-2.1778840000000001E-2</v>
      </c>
      <c r="Z5746">
        <v>-1.7970139999999999E-4</v>
      </c>
      <c r="AA5746">
        <v>0.99976279999999995</v>
      </c>
      <c r="AB5746">
        <v>40</v>
      </c>
      <c r="AC5746">
        <v>20.600899999999999</v>
      </c>
      <c r="AD5746">
        <v>-1.1046544621709999</v>
      </c>
      <c r="AE5746">
        <v>0.747730000000004</v>
      </c>
      <c r="AF5746">
        <v>-0.45221177125872197</v>
      </c>
      <c r="AG5746">
        <v>-1.1046544621709999</v>
      </c>
      <c r="AH5746">
        <v>20.550465550769498</v>
      </c>
      <c r="AI5746">
        <v>93.076130368049704</v>
      </c>
      <c r="AJ5746">
        <v>91.260586778124605</v>
      </c>
      <c r="AK5746">
        <v>20.585101197716298</v>
      </c>
    </row>
    <row r="5747" spans="1:37" x14ac:dyDescent="0.2">
      <c r="A5747" t="str">
        <f>"20200111153543830"</f>
        <v>20200111153543830</v>
      </c>
      <c r="B5747" t="str">
        <f>"1578728143821158"</f>
        <v>1578728143821158</v>
      </c>
      <c r="C5747" t="s">
        <v>37</v>
      </c>
      <c r="D5747">
        <v>5.1659899999999999</v>
      </c>
      <c r="E5747">
        <v>0.53776290000000004</v>
      </c>
      <c r="F5747" t="s">
        <v>78</v>
      </c>
      <c r="G5747">
        <v>-225.46420000000001</v>
      </c>
      <c r="H5747" s="1">
        <v>-2.1012969999999998E-6</v>
      </c>
      <c r="I5747">
        <v>-63.257919999999999</v>
      </c>
      <c r="J5747">
        <v>-246.86109999999999</v>
      </c>
      <c r="K5747">
        <v>1.10467</v>
      </c>
      <c r="L5747">
        <v>-63.714969999999902</v>
      </c>
      <c r="M5747">
        <v>0.9997876</v>
      </c>
      <c r="N5747">
        <v>0</v>
      </c>
      <c r="O5747">
        <v>1.426828E-2</v>
      </c>
      <c r="P5747">
        <v>0.99380769999999996</v>
      </c>
      <c r="Q5747">
        <v>-5.1476229999999996E-3</v>
      </c>
      <c r="R5747">
        <v>0.110996</v>
      </c>
      <c r="S5747">
        <v>3.0106660000000001</v>
      </c>
      <c r="T5747">
        <v>-0.15403139999999901</v>
      </c>
      <c r="U5747">
        <v>6.4117430000000003E-2</v>
      </c>
      <c r="V5747">
        <v>-9.6803539999999993E-2</v>
      </c>
      <c r="W5747">
        <v>9.6522899999999991E-3</v>
      </c>
      <c r="X5747">
        <v>0.99525669999999899</v>
      </c>
      <c r="Y5747">
        <v>-7.0326009999999899E-3</v>
      </c>
      <c r="Z5747">
        <v>-5.4970449999999999E-4</v>
      </c>
      <c r="AA5747">
        <v>0.99997510000000001</v>
      </c>
      <c r="AB5747">
        <v>40</v>
      </c>
      <c r="AC5747">
        <v>21.396899999999899</v>
      </c>
      <c r="AD5747">
        <v>-1.104672101297</v>
      </c>
      <c r="AE5747">
        <v>0.45704999999999502</v>
      </c>
      <c r="AF5747">
        <v>-0.15126972307696601</v>
      </c>
      <c r="AG5747">
        <v>-1.104672101297</v>
      </c>
      <c r="AH5747">
        <v>21.3443777076107</v>
      </c>
      <c r="AI5747">
        <v>92.962608901464193</v>
      </c>
      <c r="AJ5747">
        <v>90.406054077370399</v>
      </c>
      <c r="AK5747">
        <v>21.373479892278901</v>
      </c>
    </row>
    <row r="5748" spans="1:37" x14ac:dyDescent="0.2">
      <c r="A5748" t="str">
        <f>"20200111153543842"</f>
        <v>20200111153543842</v>
      </c>
      <c r="B5748" t="str">
        <f>"1578728143831893"</f>
        <v>1578728143831893</v>
      </c>
      <c r="C5748" t="s">
        <v>37</v>
      </c>
      <c r="D5748">
        <v>5.1663169999999896</v>
      </c>
      <c r="E5748">
        <v>0.54011030000000004</v>
      </c>
      <c r="F5748" t="s">
        <v>78</v>
      </c>
      <c r="G5748">
        <v>-224.65969999999999</v>
      </c>
      <c r="H5748" s="1">
        <v>-1.7985560000000001E-6</v>
      </c>
      <c r="I5748">
        <v>-63.448569999999997</v>
      </c>
      <c r="J5748">
        <v>-246.66239999999999</v>
      </c>
      <c r="K5748">
        <v>1.1046830000000001</v>
      </c>
      <c r="L5748">
        <v>-63.712130000000002</v>
      </c>
      <c r="M5748">
        <v>0.9997876</v>
      </c>
      <c r="N5748">
        <v>0</v>
      </c>
      <c r="O5748">
        <v>1.425529E-2</v>
      </c>
      <c r="P5748">
        <v>0.99380829999999998</v>
      </c>
      <c r="Q5748">
        <v>-4.0397039999999999E-3</v>
      </c>
      <c r="R5748">
        <v>0.111036</v>
      </c>
      <c r="S5748">
        <v>3.0138849999999899</v>
      </c>
      <c r="T5748">
        <v>-0.14996129999999999</v>
      </c>
      <c r="U5748">
        <v>3.616333E-2</v>
      </c>
      <c r="V5748">
        <v>-9.6856529999999996E-2</v>
      </c>
      <c r="W5748">
        <v>1.0778039999999999E-2</v>
      </c>
      <c r="X5748">
        <v>0.99524000000000001</v>
      </c>
      <c r="Y5748">
        <v>2.2386139999999999E-3</v>
      </c>
      <c r="Z5748">
        <v>-7.6453549999999995E-4</v>
      </c>
      <c r="AA5748">
        <v>0.99999720000000003</v>
      </c>
      <c r="AB5748">
        <v>40</v>
      </c>
      <c r="AC5748">
        <v>22.002700000000001</v>
      </c>
      <c r="AD5748">
        <v>-1.104684798556</v>
      </c>
      <c r="AE5748">
        <v>0.26356000000000501</v>
      </c>
      <c r="AF5748">
        <v>5.0030311230051902E-2</v>
      </c>
      <c r="AG5748">
        <v>-1.104684798556</v>
      </c>
      <c r="AH5748">
        <v>21.948902186967398</v>
      </c>
      <c r="AI5748">
        <v>92.881248919426099</v>
      </c>
      <c r="AJ5748">
        <v>89.869400269211297</v>
      </c>
      <c r="AK5748">
        <v>21.976740858218001</v>
      </c>
    </row>
    <row r="5749" spans="1:37" x14ac:dyDescent="0.2">
      <c r="A5749" t="str">
        <f>"20200111153543854"</f>
        <v>20200111153543854</v>
      </c>
      <c r="B5749" t="str">
        <f>"1578728143841653"</f>
        <v>1578728143841653</v>
      </c>
      <c r="C5749" t="s">
        <v>37</v>
      </c>
      <c r="D5749">
        <v>5.1599029999999999</v>
      </c>
      <c r="E5749">
        <v>0.54170200000000002</v>
      </c>
      <c r="F5749" t="s">
        <v>78</v>
      </c>
      <c r="G5749">
        <v>-223.1397</v>
      </c>
      <c r="H5749" s="1">
        <v>-1.174565E-6</v>
      </c>
      <c r="I5749">
        <v>-63.574800000000003</v>
      </c>
      <c r="J5749">
        <v>-246.46129999999999</v>
      </c>
      <c r="K5749">
        <v>1.1046899999999999</v>
      </c>
      <c r="L5749">
        <v>-63.70926</v>
      </c>
      <c r="M5749">
        <v>0.99978769999999995</v>
      </c>
      <c r="N5749">
        <v>0</v>
      </c>
      <c r="O5749">
        <v>1.4234210000000001E-2</v>
      </c>
      <c r="P5749">
        <v>0.99381569999999997</v>
      </c>
      <c r="Q5749">
        <v>-2.7249100000000001E-3</v>
      </c>
      <c r="R5749">
        <v>0.1110087</v>
      </c>
      <c r="S5749">
        <v>3.0161289999999998</v>
      </c>
      <c r="T5749">
        <v>-0.14164470000000001</v>
      </c>
      <c r="U5749">
        <v>1.7608639999999998E-2</v>
      </c>
      <c r="V5749">
        <v>-9.6849820000000003E-2</v>
      </c>
      <c r="W5749">
        <v>1.211024E-2</v>
      </c>
      <c r="X5749">
        <v>0.99522529999999998</v>
      </c>
      <c r="Y5749">
        <v>8.3731659999999996E-3</v>
      </c>
      <c r="Z5749">
        <v>-8.6465179999999997E-4</v>
      </c>
      <c r="AA5749">
        <v>0.99996459999999998</v>
      </c>
      <c r="AB5749">
        <v>40</v>
      </c>
      <c r="AC5749">
        <v>23.321599999999901</v>
      </c>
      <c r="AD5749">
        <v>-1.1046911745649901</v>
      </c>
      <c r="AE5749">
        <v>0.134459999999997</v>
      </c>
      <c r="AF5749">
        <v>0.19711277437504299</v>
      </c>
      <c r="AG5749">
        <v>-1.1046911745649901</v>
      </c>
      <c r="AH5749">
        <v>23.268944043523302</v>
      </c>
      <c r="AI5749">
        <v>92.717974142375098</v>
      </c>
      <c r="AJ5749">
        <v>89.514655245714195</v>
      </c>
      <c r="AK5749">
        <v>23.295985768745702</v>
      </c>
    </row>
    <row r="5750" spans="1:37" x14ac:dyDescent="0.2">
      <c r="A5750" t="str">
        <f>"20200111153543866"</f>
        <v>20200111153543866</v>
      </c>
      <c r="B5750" t="str">
        <f>"1578728143861173"</f>
        <v>1578728143861173</v>
      </c>
      <c r="C5750" t="s">
        <v>37</v>
      </c>
      <c r="D5750">
        <v>5.1089919999999998</v>
      </c>
      <c r="E5750">
        <v>0.54298369999999996</v>
      </c>
      <c r="F5750" t="s">
        <v>78</v>
      </c>
      <c r="G5750">
        <v>-221.8314</v>
      </c>
      <c r="H5750" s="1">
        <v>-6.3445179999999998E-7</v>
      </c>
      <c r="I5750">
        <v>-63.669909999999902</v>
      </c>
      <c r="J5750">
        <v>-246.25970000000001</v>
      </c>
      <c r="K5750">
        <v>1.1047</v>
      </c>
      <c r="L5750">
        <v>-63.706389999999999</v>
      </c>
      <c r="M5750">
        <v>0.99978799999999901</v>
      </c>
      <c r="N5750">
        <v>0</v>
      </c>
      <c r="O5750">
        <v>1.420153E-2</v>
      </c>
      <c r="P5750">
        <v>0.99383980000000005</v>
      </c>
      <c r="Q5750">
        <v>-1.9310829999999899E-3</v>
      </c>
      <c r="R5750">
        <v>0.1108113</v>
      </c>
      <c r="S5750">
        <v>3.0177610000000001</v>
      </c>
      <c r="T5750">
        <v>-0.13535169999999999</v>
      </c>
      <c r="U5750">
        <v>4.8217770000000002E-3</v>
      </c>
      <c r="V5750">
        <v>-9.6683669999999999E-2</v>
      </c>
      <c r="W5750">
        <v>1.292128E-2</v>
      </c>
      <c r="X5750">
        <v>0.99523130000000004</v>
      </c>
      <c r="Y5750">
        <v>1.2578529999999999E-2</v>
      </c>
      <c r="Z5750">
        <v>-9.1863729999999905E-4</v>
      </c>
      <c r="AA5750">
        <v>0.99992049999999999</v>
      </c>
      <c r="AB5750">
        <v>40</v>
      </c>
      <c r="AC5750">
        <v>24.4283</v>
      </c>
      <c r="AD5750">
        <v>-1.1047006344518</v>
      </c>
      <c r="AE5750">
        <v>3.6480000000004502E-2</v>
      </c>
      <c r="AF5750">
        <v>0.30984782547233403</v>
      </c>
      <c r="AG5750">
        <v>-1.1047006344518</v>
      </c>
      <c r="AH5750">
        <v>24.376503148201898</v>
      </c>
      <c r="AI5750">
        <v>92.594560198261206</v>
      </c>
      <c r="AJ5750">
        <v>89.271757045123195</v>
      </c>
      <c r="AK5750">
        <v>24.4034889903268</v>
      </c>
    </row>
    <row r="5751" spans="1:37" x14ac:dyDescent="0.2">
      <c r="A5751" t="str">
        <f>"20200111153543876"</f>
        <v>20200111153543876</v>
      </c>
      <c r="B5751" t="str">
        <f>"1578728143871912"</f>
        <v>1578728143871912</v>
      </c>
      <c r="C5751" t="s">
        <v>37</v>
      </c>
      <c r="D5751">
        <v>5.165063</v>
      </c>
      <c r="E5751">
        <v>0.54349890000000001</v>
      </c>
      <c r="F5751" t="s">
        <v>78</v>
      </c>
      <c r="G5751">
        <v>-220.1369</v>
      </c>
      <c r="H5751" s="1">
        <v>7.2693469999999999E-8</v>
      </c>
      <c r="I5751">
        <v>-63.758940000000003</v>
      </c>
      <c r="J5751">
        <v>-246.0574</v>
      </c>
      <c r="K5751">
        <v>1.104698</v>
      </c>
      <c r="L5751">
        <v>-63.70355</v>
      </c>
      <c r="M5751">
        <v>0.99978829999999996</v>
      </c>
      <c r="N5751">
        <v>0</v>
      </c>
      <c r="O5751">
        <v>1.4160590000000001E-2</v>
      </c>
      <c r="P5751">
        <v>0.99384830000000002</v>
      </c>
      <c r="Q5751">
        <v>-9.9006019999999992E-4</v>
      </c>
      <c r="R5751">
        <v>0.1107466</v>
      </c>
      <c r="S5751">
        <v>3.019028</v>
      </c>
      <c r="T5751">
        <v>-0.127670899999999</v>
      </c>
      <c r="U5751">
        <v>-6.0729979999999996E-3</v>
      </c>
      <c r="V5751">
        <v>-9.6659200000000001E-2</v>
      </c>
      <c r="W5751">
        <v>1.387916E-2</v>
      </c>
      <c r="X5751">
        <v>0.99522080000000002</v>
      </c>
      <c r="Y5751">
        <v>1.6146420000000002E-2</v>
      </c>
      <c r="Z5751">
        <v>-9.3987219999999998E-4</v>
      </c>
      <c r="AA5751">
        <v>0.99986919999999901</v>
      </c>
      <c r="AB5751">
        <v>40</v>
      </c>
      <c r="AC5751">
        <v>25.920500000000001</v>
      </c>
      <c r="AD5751">
        <v>-1.10469792730653</v>
      </c>
      <c r="AE5751">
        <v>-5.5390000000002701E-2</v>
      </c>
      <c r="AF5751">
        <v>0.42170895135431202</v>
      </c>
      <c r="AG5751">
        <v>-1.10469792730653</v>
      </c>
      <c r="AH5751">
        <v>25.8701269526108</v>
      </c>
      <c r="AI5751">
        <v>92.444816273263001</v>
      </c>
      <c r="AJ5751">
        <v>89.066104185021203</v>
      </c>
      <c r="AK5751">
        <v>25.897136221876899</v>
      </c>
    </row>
    <row r="5752" spans="1:37" x14ac:dyDescent="0.2">
      <c r="A5752" t="str">
        <f>"20200111153543888"</f>
        <v>20200111153543888</v>
      </c>
      <c r="B5752" t="str">
        <f>"1578728143881672"</f>
        <v>1578728143881672</v>
      </c>
      <c r="C5752" t="s">
        <v>37</v>
      </c>
      <c r="D5752">
        <v>5.0084269999999904</v>
      </c>
      <c r="E5752">
        <v>0.54382719999999996</v>
      </c>
      <c r="F5752" t="s">
        <v>79</v>
      </c>
      <c r="G5752">
        <v>-219.30119999999999</v>
      </c>
      <c r="H5752" s="1">
        <v>-3.6301319999999998E-6</v>
      </c>
      <c r="I5752">
        <v>-63.795430000000003</v>
      </c>
      <c r="J5752">
        <v>-245.852</v>
      </c>
      <c r="K5752">
        <v>1.1046849999999999</v>
      </c>
      <c r="L5752">
        <v>-63.700679999999998</v>
      </c>
      <c r="M5752">
        <v>0.99978899999999904</v>
      </c>
      <c r="N5752">
        <v>0</v>
      </c>
      <c r="O5752">
        <v>1.4097139999999999E-2</v>
      </c>
      <c r="P5752">
        <v>0.99387879999999995</v>
      </c>
      <c r="Q5752">
        <v>-1.9506269999999999E-4</v>
      </c>
      <c r="R5752">
        <v>0.110476</v>
      </c>
      <c r="S5752">
        <v>3.0196079999999998</v>
      </c>
      <c r="T5752">
        <v>-0.12467249999999901</v>
      </c>
      <c r="U5752">
        <v>-1.037598E-2</v>
      </c>
      <c r="V5752">
        <v>-9.6450220000000003E-2</v>
      </c>
      <c r="W5752">
        <v>1.469065E-2</v>
      </c>
      <c r="X5752">
        <v>0.99522940000000004</v>
      </c>
      <c r="Y5752">
        <v>1.750755E-2</v>
      </c>
      <c r="Z5752">
        <v>-9.4311039999999996E-4</v>
      </c>
      <c r="AA5752">
        <v>0.99984629999999997</v>
      </c>
      <c r="AB5752">
        <v>40</v>
      </c>
      <c r="AC5752">
        <v>26.550799999999999</v>
      </c>
      <c r="AD5752">
        <v>-1.104688630132</v>
      </c>
      <c r="AE5752">
        <v>-9.47499999999976E-2</v>
      </c>
      <c r="AF5752">
        <v>0.46826210735482598</v>
      </c>
      <c r="AG5752">
        <v>-1.104688630132</v>
      </c>
      <c r="AH5752">
        <v>26.5009497527201</v>
      </c>
      <c r="AI5752">
        <v>92.386613053977996</v>
      </c>
      <c r="AJ5752">
        <v>88.987709835425704</v>
      </c>
      <c r="AK5752">
        <v>26.528097258697699</v>
      </c>
    </row>
    <row r="5753" spans="1:37" x14ac:dyDescent="0.2">
      <c r="A5753" t="str">
        <f>"20200111153543899"</f>
        <v>20200111153543899</v>
      </c>
      <c r="B5753" t="str">
        <f>"1578728143891429"</f>
        <v>1578728143891429</v>
      </c>
      <c r="C5753" t="s">
        <v>37</v>
      </c>
      <c r="D5753">
        <v>5.1217790000000001</v>
      </c>
      <c r="E5753">
        <v>0.54419059999999997</v>
      </c>
      <c r="F5753" t="s">
        <v>79</v>
      </c>
      <c r="G5753">
        <v>-217.9597</v>
      </c>
      <c r="H5753" s="1">
        <v>-3.1795959999999999E-6</v>
      </c>
      <c r="I5753">
        <v>-63.829149999999998</v>
      </c>
      <c r="J5753">
        <v>-245.65549999999999</v>
      </c>
      <c r="K5753">
        <v>1.1046689999999999</v>
      </c>
      <c r="L5753">
        <v>-63.697940000000003</v>
      </c>
      <c r="M5753">
        <v>0.99978979999999995</v>
      </c>
      <c r="N5753">
        <v>0</v>
      </c>
      <c r="O5753">
        <v>1.403072E-2</v>
      </c>
      <c r="P5753">
        <v>0.99390689999999904</v>
      </c>
      <c r="Q5753" s="1">
        <v>8.1729139999999999E-5</v>
      </c>
      <c r="R5753">
        <v>0.1102236</v>
      </c>
      <c r="S5753">
        <v>3.0200040000000001</v>
      </c>
      <c r="T5753">
        <v>-0.1196088</v>
      </c>
      <c r="U5753">
        <v>-1.3916019999999999E-2</v>
      </c>
      <c r="V5753">
        <v>-9.6262819999999999E-2</v>
      </c>
      <c r="W5753">
        <v>1.498292E-2</v>
      </c>
      <c r="X5753">
        <v>0.995243199999999</v>
      </c>
      <c r="Y5753">
        <v>1.861399E-2</v>
      </c>
      <c r="Z5753">
        <v>-9.2398779999999998E-4</v>
      </c>
      <c r="AA5753">
        <v>0.99982629999999995</v>
      </c>
      <c r="AB5753">
        <v>40</v>
      </c>
      <c r="AC5753">
        <v>27.695799999999899</v>
      </c>
      <c r="AD5753">
        <v>-1.1046721795959999</v>
      </c>
      <c r="AE5753">
        <v>-0.131209999999995</v>
      </c>
      <c r="AF5753">
        <v>0.51900686567063203</v>
      </c>
      <c r="AG5753">
        <v>-1.1046721795959999</v>
      </c>
      <c r="AH5753">
        <v>27.647249337790701</v>
      </c>
      <c r="AI5753">
        <v>92.287687697673604</v>
      </c>
      <c r="AJ5753">
        <v>88.924543625673095</v>
      </c>
      <c r="AK5753">
        <v>27.674176856718901</v>
      </c>
    </row>
    <row r="5754" spans="1:37" x14ac:dyDescent="0.2">
      <c r="A5754" t="str">
        <f>"20200111153543909"</f>
        <v>20200111153543909</v>
      </c>
      <c r="B5754" t="str">
        <f>"1578728143901189"</f>
        <v>1578728143901189</v>
      </c>
      <c r="C5754" t="s">
        <v>37</v>
      </c>
      <c r="D5754">
        <v>5.0719240000000001</v>
      </c>
      <c r="E5754">
        <v>0.54439090000000001</v>
      </c>
      <c r="F5754" t="s">
        <v>79</v>
      </c>
      <c r="G5754">
        <v>-217.5463</v>
      </c>
      <c r="H5754" s="1">
        <v>-3.0447400000000001E-6</v>
      </c>
      <c r="I5754">
        <v>-63.862029999999997</v>
      </c>
      <c r="J5754">
        <v>-245.46099999999899</v>
      </c>
      <c r="K5754">
        <v>1.104646</v>
      </c>
      <c r="L5754">
        <v>-63.695309999999999</v>
      </c>
      <c r="M5754">
        <v>0.99979099999999999</v>
      </c>
      <c r="N5754">
        <v>0</v>
      </c>
      <c r="O5754">
        <v>1.393602E-2</v>
      </c>
      <c r="P5754">
        <v>0.99391209999999997</v>
      </c>
      <c r="Q5754">
        <v>3.0841860000000002E-4</v>
      </c>
      <c r="R5754">
        <v>0.1101761</v>
      </c>
      <c r="S5754">
        <v>3.0203549999999999</v>
      </c>
      <c r="T5754">
        <v>-0.1186979</v>
      </c>
      <c r="U5754">
        <v>-1.7639160000000001E-2</v>
      </c>
      <c r="V5754">
        <v>-9.6308500000000005E-2</v>
      </c>
      <c r="W5754">
        <v>1.522512E-2</v>
      </c>
      <c r="X5754">
        <v>0.99523510000000004</v>
      </c>
      <c r="Y5754">
        <v>1.9750770000000001E-2</v>
      </c>
      <c r="Z5754">
        <v>-9.3545689999999996E-4</v>
      </c>
      <c r="AA5754">
        <v>0.99980449999999998</v>
      </c>
      <c r="AB5754">
        <v>40</v>
      </c>
      <c r="AC5754">
        <v>27.9146999999999</v>
      </c>
      <c r="AD5754">
        <v>-1.1046490447399999</v>
      </c>
      <c r="AE5754">
        <v>-0.166720000000005</v>
      </c>
      <c r="AF5754">
        <v>0.55489822964648206</v>
      </c>
      <c r="AG5754">
        <v>-1.1046490447399999</v>
      </c>
      <c r="AH5754">
        <v>27.866029158137501</v>
      </c>
      <c r="AI5754">
        <v>92.269648134351101</v>
      </c>
      <c r="AJ5754">
        <v>88.859215818054807</v>
      </c>
      <c r="AK5754">
        <v>27.893435475026799</v>
      </c>
    </row>
    <row r="5755" spans="1:37" x14ac:dyDescent="0.2">
      <c r="A5755" t="str">
        <f>"20200111153543921"</f>
        <v>20200111153543921</v>
      </c>
      <c r="B5755" t="str">
        <f>"1578728143911926"</f>
        <v>1578728143911926</v>
      </c>
      <c r="C5755" t="s">
        <v>37</v>
      </c>
      <c r="D5755">
        <v>5.1619609999999998</v>
      </c>
      <c r="E5755">
        <v>0.54467699999999997</v>
      </c>
      <c r="F5755" t="s">
        <v>79</v>
      </c>
      <c r="G5755">
        <v>-217.29089999999999</v>
      </c>
      <c r="H5755" s="1">
        <v>-2.9602550000000001E-6</v>
      </c>
      <c r="I5755">
        <v>-63.875700000000002</v>
      </c>
      <c r="J5755">
        <v>-245.2645</v>
      </c>
      <c r="K5755">
        <v>1.104616</v>
      </c>
      <c r="L5755">
        <v>-63.692630000000001</v>
      </c>
      <c r="M5755">
        <v>0.99979229999999997</v>
      </c>
      <c r="N5755">
        <v>0</v>
      </c>
      <c r="O5755">
        <v>1.383416E-2</v>
      </c>
      <c r="P5755">
        <v>0.99397009999999897</v>
      </c>
      <c r="Q5755">
        <v>2.8587970000000003E-4</v>
      </c>
      <c r="R5755">
        <v>0.109652</v>
      </c>
      <c r="S5755">
        <v>3.0205380000000002</v>
      </c>
      <c r="T5755">
        <v>-0.1184461</v>
      </c>
      <c r="U5755">
        <v>-1.934814E-2</v>
      </c>
      <c r="V5755">
        <v>-9.5883759999999998E-2</v>
      </c>
      <c r="W5755">
        <v>1.521845E-2</v>
      </c>
      <c r="X5755">
        <v>0.99527619999999895</v>
      </c>
      <c r="Y5755">
        <v>2.0214039999999999E-2</v>
      </c>
      <c r="Z5755">
        <v>-9.3850270000000004E-4</v>
      </c>
      <c r="AA5755">
        <v>0.99979530000000005</v>
      </c>
      <c r="AB5755">
        <v>40</v>
      </c>
      <c r="AC5755">
        <v>27.973600000000001</v>
      </c>
      <c r="AD5755">
        <v>-1.1046189602550001</v>
      </c>
      <c r="AE5755">
        <v>-0.18307000000000001</v>
      </c>
      <c r="AF5755">
        <v>0.56919956814665995</v>
      </c>
      <c r="AG5755">
        <v>-1.1046189602550001</v>
      </c>
      <c r="AH5755">
        <v>27.924848309886102</v>
      </c>
      <c r="AI5755">
        <v>92.264789430555396</v>
      </c>
      <c r="AJ5755">
        <v>88.832286675271405</v>
      </c>
      <c r="AK5755">
        <v>27.952483330213798</v>
      </c>
    </row>
    <row r="5756" spans="1:37" x14ac:dyDescent="0.2">
      <c r="A5756" t="str">
        <f>"20200111153543931"</f>
        <v>20200111153543931</v>
      </c>
      <c r="B5756" t="str">
        <f>"1578728143921685"</f>
        <v>1578728143921685</v>
      </c>
      <c r="C5756" t="s">
        <v>37</v>
      </c>
      <c r="D5756">
        <v>5.1425859999999997</v>
      </c>
      <c r="E5756">
        <v>0.54489480000000001</v>
      </c>
      <c r="F5756" t="s">
        <v>79</v>
      </c>
      <c r="G5756">
        <v>-216.86080000000001</v>
      </c>
      <c r="H5756" s="1">
        <v>-2.8202299999999899E-6</v>
      </c>
      <c r="I5756">
        <v>-63.91151</v>
      </c>
      <c r="J5756">
        <v>-245.06799999999899</v>
      </c>
      <c r="K5756">
        <v>1.1045830000000001</v>
      </c>
      <c r="L5756">
        <v>-63.69</v>
      </c>
      <c r="M5756">
        <v>0.99979390000000001</v>
      </c>
      <c r="N5756">
        <v>0</v>
      </c>
      <c r="O5756">
        <v>1.3707820000000001E-2</v>
      </c>
      <c r="P5756">
        <v>0.99403299999999895</v>
      </c>
      <c r="Q5756" s="1">
        <v>9.5293860000000003E-5</v>
      </c>
      <c r="R5756">
        <v>0.10908130000000001</v>
      </c>
      <c r="S5756">
        <v>3.020813</v>
      </c>
      <c r="T5756">
        <v>-0.1174791</v>
      </c>
      <c r="U5756">
        <v>-2.3284909999999999E-2</v>
      </c>
      <c r="V5756">
        <v>-9.5437439999999998E-2</v>
      </c>
      <c r="W5756">
        <v>1.5042989999999999E-2</v>
      </c>
      <c r="X5756">
        <v>0.99532180000000003</v>
      </c>
      <c r="Y5756">
        <v>2.138963E-2</v>
      </c>
      <c r="Z5756">
        <v>-9.4869759999999996E-4</v>
      </c>
      <c r="AA5756">
        <v>0.99977079999999996</v>
      </c>
      <c r="AB5756">
        <v>40</v>
      </c>
      <c r="AC5756">
        <v>28.207199999999901</v>
      </c>
      <c r="AD5756">
        <v>-1.1045858202299901</v>
      </c>
      <c r="AE5756">
        <v>-0.22151000000000201</v>
      </c>
      <c r="AF5756">
        <v>0.60726059899542795</v>
      </c>
      <c r="AG5756">
        <v>-1.1045858202299901</v>
      </c>
      <c r="AH5756">
        <v>28.158334728285801</v>
      </c>
      <c r="AI5756">
        <v>92.245906364583902</v>
      </c>
      <c r="AJ5756">
        <v>88.764554892719005</v>
      </c>
      <c r="AK5756">
        <v>28.186533840462399</v>
      </c>
    </row>
    <row r="5757" spans="1:37" x14ac:dyDescent="0.2">
      <c r="A5757" t="str">
        <f>"20200111153543944"</f>
        <v>20200111153543944</v>
      </c>
      <c r="B5757" t="str">
        <f>"1578728143931446"</f>
        <v>1578728143931446</v>
      </c>
      <c r="C5757" t="s">
        <v>37</v>
      </c>
      <c r="D5757">
        <v>5.1433479999999996</v>
      </c>
      <c r="E5757">
        <v>0.54498619999999898</v>
      </c>
      <c r="F5757" t="s">
        <v>79</v>
      </c>
      <c r="G5757">
        <v>-216.72149999999999</v>
      </c>
      <c r="H5757" s="1">
        <v>-2.77801699999999E-6</v>
      </c>
      <c r="I5757">
        <v>-63.940800000000003</v>
      </c>
      <c r="J5757">
        <v>-244.8647</v>
      </c>
      <c r="K5757">
        <v>1.1045430000000001</v>
      </c>
      <c r="L5757">
        <v>-63.687350000000002</v>
      </c>
      <c r="M5757">
        <v>0.99979569999999995</v>
      </c>
      <c r="N5757">
        <v>0</v>
      </c>
      <c r="O5757">
        <v>1.356399E-2</v>
      </c>
      <c r="P5757">
        <v>0.99409009999999998</v>
      </c>
      <c r="Q5757">
        <v>-2.730004E-4</v>
      </c>
      <c r="R5757">
        <v>0.1085573</v>
      </c>
      <c r="S5757">
        <v>3.020966</v>
      </c>
      <c r="T5757">
        <v>-0.1177188</v>
      </c>
      <c r="U5757">
        <v>-2.6733400000000001E-2</v>
      </c>
      <c r="V5757">
        <v>-9.5054449999999999E-2</v>
      </c>
      <c r="W5757">
        <v>1.4690170000000001E-2</v>
      </c>
      <c r="X5757">
        <v>0.99536369999999896</v>
      </c>
      <c r="Y5757">
        <v>2.2385829999999999E-2</v>
      </c>
      <c r="Z5757">
        <v>-9.6437970000000004E-4</v>
      </c>
      <c r="AA5757">
        <v>0.99974889999999905</v>
      </c>
      <c r="AB5757">
        <v>40</v>
      </c>
      <c r="AC5757">
        <v>28.1432</v>
      </c>
      <c r="AD5757">
        <v>-1.104545778017</v>
      </c>
      <c r="AE5757">
        <v>-0.25345000000000001</v>
      </c>
      <c r="AF5757">
        <v>0.63422677901554403</v>
      </c>
      <c r="AG5757">
        <v>-1.104545778017</v>
      </c>
      <c r="AH5757">
        <v>28.093901163161799</v>
      </c>
      <c r="AI5757">
        <v>92.250920488681601</v>
      </c>
      <c r="AJ5757">
        <v>88.706753250165306</v>
      </c>
      <c r="AK5757">
        <v>28.1227585337652</v>
      </c>
    </row>
    <row r="5758" spans="1:37" x14ac:dyDescent="0.2">
      <c r="A5758" t="str">
        <f>"20200111153543954"</f>
        <v>20200111153543954</v>
      </c>
      <c r="B5758" t="str">
        <f>"1578728143951941"</f>
        <v>1578728143951941</v>
      </c>
      <c r="C5758" t="s">
        <v>37</v>
      </c>
      <c r="D5758">
        <v>5.166938</v>
      </c>
      <c r="E5758">
        <v>0.54530129999999999</v>
      </c>
      <c r="F5758" t="s">
        <v>79</v>
      </c>
      <c r="G5758">
        <v>-216.6113</v>
      </c>
      <c r="H5758" s="1">
        <v>-2.7438019999999999E-6</v>
      </c>
      <c r="I5758">
        <v>-63.959290000000003</v>
      </c>
      <c r="J5758">
        <v>-244.65520000000001</v>
      </c>
      <c r="K5758">
        <v>1.104501</v>
      </c>
      <c r="L5758">
        <v>-63.684629999999999</v>
      </c>
      <c r="M5758">
        <v>0.99979789999999902</v>
      </c>
      <c r="N5758">
        <v>0</v>
      </c>
      <c r="O5758">
        <v>1.3395880000000001E-2</v>
      </c>
      <c r="P5758">
        <v>0.99417239999999996</v>
      </c>
      <c r="Q5758">
        <v>-9.6120410000000004E-4</v>
      </c>
      <c r="R5758">
        <v>0.10779809999999999</v>
      </c>
      <c r="S5758">
        <v>3.0209809999999999</v>
      </c>
      <c r="T5758">
        <v>-0.1181029</v>
      </c>
      <c r="U5758">
        <v>-2.9083250000000001E-2</v>
      </c>
      <c r="V5758">
        <v>-9.4461110000000001E-2</v>
      </c>
      <c r="W5758">
        <v>1.401695E-2</v>
      </c>
      <c r="X5758">
        <v>0.99542989999999998</v>
      </c>
      <c r="Y5758">
        <v>2.2994750000000001E-2</v>
      </c>
      <c r="Z5758">
        <v>-9.7284399999999897E-4</v>
      </c>
      <c r="AA5758">
        <v>0.99973509999999999</v>
      </c>
      <c r="AB5758">
        <v>40</v>
      </c>
      <c r="AC5758">
        <v>28.043900000000001</v>
      </c>
      <c r="AD5758">
        <v>-1.104503743802</v>
      </c>
      <c r="AE5758">
        <v>-0.27465999999999702</v>
      </c>
      <c r="AF5758">
        <v>0.64934314366312695</v>
      </c>
      <c r="AG5758">
        <v>-1.104503743802</v>
      </c>
      <c r="AH5758">
        <v>27.994283817097699</v>
      </c>
      <c r="AI5758">
        <v>92.258804188830197</v>
      </c>
      <c r="AJ5758">
        <v>88.671230472182799</v>
      </c>
      <c r="AK5758">
        <v>28.0235883046856</v>
      </c>
    </row>
    <row r="5759" spans="1:37" x14ac:dyDescent="0.2">
      <c r="A5759" t="str">
        <f>"20200111153543966"</f>
        <v>20200111153543966</v>
      </c>
      <c r="B5759" t="str">
        <f>"1578728143961701"</f>
        <v>1578728143961701</v>
      </c>
      <c r="C5759" t="s">
        <v>37</v>
      </c>
      <c r="D5759">
        <v>5.1769059999999998</v>
      </c>
      <c r="E5759">
        <v>0.54545339999999998</v>
      </c>
      <c r="F5759" t="s">
        <v>79</v>
      </c>
      <c r="G5759">
        <v>-216.5652</v>
      </c>
      <c r="H5759" s="1">
        <v>-2.7353240000000001E-6</v>
      </c>
      <c r="I5759">
        <v>-63.9998199999999</v>
      </c>
      <c r="J5759">
        <v>-244.46190000000001</v>
      </c>
      <c r="K5759">
        <v>1.104457</v>
      </c>
      <c r="L5759">
        <v>-63.682189999999999</v>
      </c>
      <c r="M5759">
        <v>0.99980029999999998</v>
      </c>
      <c r="N5759">
        <v>0</v>
      </c>
      <c r="O5759">
        <v>1.3220610000000001E-2</v>
      </c>
      <c r="P5759">
        <v>0.99423609999999896</v>
      </c>
      <c r="Q5759">
        <v>-2.30444E-3</v>
      </c>
      <c r="R5759">
        <v>0.1071901</v>
      </c>
      <c r="S5759">
        <v>3.0211489999999999</v>
      </c>
      <c r="T5759">
        <v>-0.11879239999999899</v>
      </c>
      <c r="U5759">
        <v>-3.3905030000000003E-2</v>
      </c>
      <c r="V5759">
        <v>-9.4026540000000006E-2</v>
      </c>
      <c r="W5759">
        <v>1.2687169999999999E-2</v>
      </c>
      <c r="X5759">
        <v>0.99548879999999995</v>
      </c>
      <c r="Y5759">
        <v>2.4413069999999999E-2</v>
      </c>
      <c r="Z5759">
        <v>-9.9944110000000004E-4</v>
      </c>
      <c r="AA5759">
        <v>0.99970139999999996</v>
      </c>
      <c r="AB5759">
        <v>40</v>
      </c>
      <c r="AC5759">
        <v>27.896699999999999</v>
      </c>
      <c r="AD5759">
        <v>-1.104459735324</v>
      </c>
      <c r="AE5759">
        <v>-0.31762999999998698</v>
      </c>
      <c r="AF5759">
        <v>0.68538088308992196</v>
      </c>
      <c r="AG5759">
        <v>-1.104459735324</v>
      </c>
      <c r="AH5759">
        <v>27.8464194020039</v>
      </c>
      <c r="AI5759">
        <v>92.270618720773101</v>
      </c>
      <c r="AJ5759">
        <v>88.590069892281207</v>
      </c>
      <c r="AK5759">
        <v>27.876740336240101</v>
      </c>
    </row>
    <row r="5760" spans="1:37" x14ac:dyDescent="0.2">
      <c r="A5760" t="str">
        <f>"20200111153543977"</f>
        <v>20200111153543977</v>
      </c>
      <c r="B5760" t="str">
        <f>"1578728143971461"</f>
        <v>1578728143971461</v>
      </c>
      <c r="C5760" t="s">
        <v>37</v>
      </c>
      <c r="D5760">
        <v>5.0667179999999998</v>
      </c>
      <c r="E5760">
        <v>0.5455738</v>
      </c>
      <c r="F5760" t="s">
        <v>79</v>
      </c>
      <c r="G5760">
        <v>-217.25790000000001</v>
      </c>
      <c r="H5760" s="1">
        <v>-2.973686E-6</v>
      </c>
      <c r="I5760">
        <v>-64.01464</v>
      </c>
      <c r="J5760">
        <v>-244.25739999999999</v>
      </c>
      <c r="K5760">
        <v>1.1044129999999901</v>
      </c>
      <c r="L5760">
        <v>-63.679659999999998</v>
      </c>
      <c r="M5760">
        <v>0.99980279999999999</v>
      </c>
      <c r="N5760">
        <v>0</v>
      </c>
      <c r="O5760">
        <v>1.3024630000000001E-2</v>
      </c>
      <c r="P5760">
        <v>0.99431199999999997</v>
      </c>
      <c r="Q5760">
        <v>-3.563508E-3</v>
      </c>
      <c r="R5760">
        <v>0.1064486</v>
      </c>
      <c r="S5760">
        <v>3.0210880000000002</v>
      </c>
      <c r="T5760">
        <v>-0.12265379999999999</v>
      </c>
      <c r="U5760">
        <v>-3.6926269999999997E-2</v>
      </c>
      <c r="V5760">
        <v>-9.3479220000000002E-2</v>
      </c>
      <c r="W5760">
        <v>1.144129E-2</v>
      </c>
      <c r="X5760">
        <v>0.99555550000000004</v>
      </c>
      <c r="Y5760">
        <v>2.5214520000000001E-2</v>
      </c>
      <c r="Z5760">
        <v>-1.0402269999999999E-3</v>
      </c>
      <c r="AA5760">
        <v>0.9996815</v>
      </c>
      <c r="AB5760">
        <v>40</v>
      </c>
      <c r="AC5760">
        <v>26.999499999999902</v>
      </c>
      <c r="AD5760">
        <v>-1.104415973686</v>
      </c>
      <c r="AE5760">
        <v>-0.334980000000001</v>
      </c>
      <c r="AF5760">
        <v>0.68550277324301301</v>
      </c>
      <c r="AG5760">
        <v>-1.104415973686</v>
      </c>
      <c r="AH5760">
        <v>26.9477631095566</v>
      </c>
      <c r="AI5760">
        <v>92.346115013961906</v>
      </c>
      <c r="AJ5760">
        <v>88.5428123690414</v>
      </c>
      <c r="AK5760">
        <v>26.97909533887</v>
      </c>
    </row>
    <row r="5761" spans="1:37" x14ac:dyDescent="0.2">
      <c r="A5761" t="str">
        <f>"20200111153543988"</f>
        <v>20200111153543988</v>
      </c>
      <c r="B5761" t="str">
        <f>"1578728143981221"</f>
        <v>1578728143981221</v>
      </c>
      <c r="C5761" t="s">
        <v>37</v>
      </c>
      <c r="D5761">
        <v>5.1246470000000004</v>
      </c>
      <c r="E5761">
        <v>0.54560439999999999</v>
      </c>
      <c r="F5761" t="s">
        <v>79</v>
      </c>
      <c r="G5761">
        <v>-217.6671</v>
      </c>
      <c r="H5761" s="1">
        <v>-3.1162509999999998E-6</v>
      </c>
      <c r="I5761">
        <v>-64.033360000000002</v>
      </c>
      <c r="J5761">
        <v>-244.0634</v>
      </c>
      <c r="K5761">
        <v>1.1043750000000001</v>
      </c>
      <c r="L5761">
        <v>-63.677309999999999</v>
      </c>
      <c r="M5761">
        <v>0.99980539999999996</v>
      </c>
      <c r="N5761">
        <v>0</v>
      </c>
      <c r="O5761">
        <v>1.2813039999999999E-2</v>
      </c>
      <c r="P5761">
        <v>0.99435629999999997</v>
      </c>
      <c r="Q5761">
        <v>-4.5531570000000004E-3</v>
      </c>
      <c r="R5761">
        <v>0.10599509999999999</v>
      </c>
      <c r="S5761">
        <v>3.0210270000000001</v>
      </c>
      <c r="T5761">
        <v>-0.1254769</v>
      </c>
      <c r="U5761">
        <v>-4.0191650000000002E-2</v>
      </c>
      <c r="V5761">
        <v>-9.3235719999999994E-2</v>
      </c>
      <c r="W5761">
        <v>1.0462870000000001E-2</v>
      </c>
      <c r="X5761">
        <v>0.9955891</v>
      </c>
      <c r="Y5761">
        <v>2.608152E-2</v>
      </c>
      <c r="Z5761">
        <v>-1.0733749999999999E-3</v>
      </c>
      <c r="AA5761">
        <v>0.99965919999999897</v>
      </c>
      <c r="AB5761">
        <v>40</v>
      </c>
      <c r="AC5761">
        <v>26.3963</v>
      </c>
      <c r="AD5761">
        <v>-1.104378116251</v>
      </c>
      <c r="AE5761">
        <v>-0.35605000000000298</v>
      </c>
      <c r="AF5761">
        <v>0.69306271642681005</v>
      </c>
      <c r="AG5761">
        <v>-1.104378116251</v>
      </c>
      <c r="AH5761">
        <v>26.343465528509501</v>
      </c>
      <c r="AI5761">
        <v>92.399734638770298</v>
      </c>
      <c r="AJ5761">
        <v>88.492969320606704</v>
      </c>
      <c r="AK5761">
        <v>26.375711611335198</v>
      </c>
    </row>
    <row r="5762" spans="1:37" x14ac:dyDescent="0.2">
      <c r="A5762" t="str">
        <f>"20200111153543998"</f>
        <v>20200111153543998</v>
      </c>
      <c r="B5762" t="str">
        <f>"1578728143991957"</f>
        <v>1578728143991957</v>
      </c>
      <c r="C5762" t="s">
        <v>37</v>
      </c>
      <c r="D5762">
        <v>5.137664</v>
      </c>
      <c r="E5762">
        <v>0.54573619999999901</v>
      </c>
      <c r="F5762" t="s">
        <v>79</v>
      </c>
      <c r="G5762">
        <v>-218.09299999999999</v>
      </c>
      <c r="H5762" s="1">
        <v>-3.2617149999999998E-6</v>
      </c>
      <c r="I5762">
        <v>-64.036419999999893</v>
      </c>
      <c r="J5762">
        <v>-243.87299999999999</v>
      </c>
      <c r="K5762">
        <v>1.1043339999999999</v>
      </c>
      <c r="L5762">
        <v>-63.675019999999897</v>
      </c>
      <c r="M5762">
        <v>0.99980800000000003</v>
      </c>
      <c r="N5762">
        <v>0</v>
      </c>
      <c r="O5762">
        <v>1.26013999999999E-2</v>
      </c>
      <c r="P5762">
        <v>0.99439290000000002</v>
      </c>
      <c r="Q5762">
        <v>-6.1020519999999898E-3</v>
      </c>
      <c r="R5762">
        <v>0.10557279999999999</v>
      </c>
      <c r="S5762">
        <v>3.0208889999999999</v>
      </c>
      <c r="T5762">
        <v>-0.12846169999999901</v>
      </c>
      <c r="U5762">
        <v>-4.1778559999999999E-2</v>
      </c>
      <c r="V5762">
        <v>-9.302444E-2</v>
      </c>
      <c r="W5762">
        <v>8.9251450000000006E-3</v>
      </c>
      <c r="X5762">
        <v>0.99562379999999995</v>
      </c>
      <c r="Y5762">
        <v>2.639385E-2</v>
      </c>
      <c r="Z5762">
        <v>-1.0965739999999999E-3</v>
      </c>
      <c r="AA5762">
        <v>0.99965099999999996</v>
      </c>
      <c r="AB5762">
        <v>40</v>
      </c>
      <c r="AC5762">
        <v>25.78</v>
      </c>
      <c r="AD5762">
        <v>-1.104337261715</v>
      </c>
      <c r="AE5762">
        <v>-0.361399999999996</v>
      </c>
      <c r="AF5762">
        <v>0.68501521030511203</v>
      </c>
      <c r="AG5762">
        <v>-1.104337261715</v>
      </c>
      <c r="AH5762">
        <v>25.726199457970399</v>
      </c>
      <c r="AI5762">
        <v>92.457131881402304</v>
      </c>
      <c r="AJ5762">
        <v>88.474737449112098</v>
      </c>
      <c r="AK5762">
        <v>25.759001245724502</v>
      </c>
    </row>
    <row r="5763" spans="1:37" x14ac:dyDescent="0.2">
      <c r="A5763" t="str">
        <f>"20200111153544009"</f>
        <v>20200111153544009</v>
      </c>
      <c r="B5763" t="str">
        <f>"1578728144001717"</f>
        <v>1578728144001717</v>
      </c>
      <c r="C5763" t="s">
        <v>37</v>
      </c>
      <c r="D5763">
        <v>5.1378050000000002</v>
      </c>
      <c r="E5763">
        <v>0.54577169999999997</v>
      </c>
      <c r="F5763" t="s">
        <v>79</v>
      </c>
      <c r="G5763">
        <v>-218.85239999999999</v>
      </c>
      <c r="H5763" s="1">
        <v>-3.5209649999999999E-6</v>
      </c>
      <c r="I5763">
        <v>-64.040970000000002</v>
      </c>
      <c r="J5763">
        <v>-243.67660000000001</v>
      </c>
      <c r="K5763">
        <v>1.1042959999999999</v>
      </c>
      <c r="L5763">
        <v>-63.672730000000001</v>
      </c>
      <c r="M5763">
        <v>0.99981089999999995</v>
      </c>
      <c r="N5763">
        <v>0</v>
      </c>
      <c r="O5763">
        <v>1.235808E-2</v>
      </c>
      <c r="P5763">
        <v>0.9943978</v>
      </c>
      <c r="Q5763">
        <v>-7.5289290000000002E-3</v>
      </c>
      <c r="R5763">
        <v>0.1054348</v>
      </c>
      <c r="S5763">
        <v>3.0207820000000001</v>
      </c>
      <c r="T5763">
        <v>-0.13332859999999999</v>
      </c>
      <c r="U5763">
        <v>-4.4189449999999998E-2</v>
      </c>
      <c r="V5763">
        <v>-9.3129489999999995E-2</v>
      </c>
      <c r="W5763">
        <v>7.5080329999999999E-3</v>
      </c>
      <c r="X5763">
        <v>0.99562569999999995</v>
      </c>
      <c r="Y5763">
        <v>2.694568E-2</v>
      </c>
      <c r="Z5763">
        <v>-1.1395489999999999E-3</v>
      </c>
      <c r="AA5763">
        <v>0.99963619999999898</v>
      </c>
      <c r="AB5763">
        <v>40</v>
      </c>
      <c r="AC5763">
        <v>24.824200000000001</v>
      </c>
      <c r="AD5763">
        <v>-1.1042995209649999</v>
      </c>
      <c r="AE5763">
        <v>-0.36824000000000001</v>
      </c>
      <c r="AF5763">
        <v>0.67369303327355701</v>
      </c>
      <c r="AG5763">
        <v>-1.1042995209649999</v>
      </c>
      <c r="AH5763">
        <v>24.7687486198407</v>
      </c>
      <c r="AI5763">
        <v>92.551864233965404</v>
      </c>
      <c r="AJ5763">
        <v>88.441978092221305</v>
      </c>
      <c r="AK5763">
        <v>24.802504872047599</v>
      </c>
    </row>
    <row r="5764" spans="1:37" x14ac:dyDescent="0.2">
      <c r="A5764" t="str">
        <f>"20200111153544022"</f>
        <v>20200111153544022</v>
      </c>
      <c r="B5764" t="str">
        <f>"1578728144011477"</f>
        <v>1578728144011477</v>
      </c>
      <c r="C5764" t="s">
        <v>37</v>
      </c>
      <c r="D5764">
        <v>5.1052249999999999</v>
      </c>
      <c r="E5764">
        <v>0.54575980000000002</v>
      </c>
      <c r="F5764" t="s">
        <v>79</v>
      </c>
      <c r="G5764">
        <v>-219.53319999999999</v>
      </c>
      <c r="H5764" s="1">
        <v>-3.7510039999999999E-6</v>
      </c>
      <c r="I5764">
        <v>-64.031719999999893</v>
      </c>
      <c r="J5764">
        <v>-243.4768</v>
      </c>
      <c r="K5764">
        <v>1.10426</v>
      </c>
      <c r="L5764">
        <v>-63.670469999999902</v>
      </c>
      <c r="M5764">
        <v>0.99981390000000003</v>
      </c>
      <c r="N5764">
        <v>0</v>
      </c>
      <c r="O5764">
        <v>1.2105879999999999E-2</v>
      </c>
      <c r="P5764">
        <v>0.99438939999999998</v>
      </c>
      <c r="Q5764">
        <v>-8.6606689999999993E-3</v>
      </c>
      <c r="R5764">
        <v>0.10542699999999899</v>
      </c>
      <c r="S5764">
        <v>3.0206300000000001</v>
      </c>
      <c r="T5764">
        <v>-0.13816120000000001</v>
      </c>
      <c r="U5764">
        <v>-4.4921879999999997E-2</v>
      </c>
      <c r="V5764">
        <v>-9.3373280000000003E-2</v>
      </c>
      <c r="W5764">
        <v>6.386063E-3</v>
      </c>
      <c r="X5764">
        <v>0.99561069999999996</v>
      </c>
      <c r="Y5764">
        <v>2.6934050000000001E-2</v>
      </c>
      <c r="Z5764">
        <v>-1.169074E-3</v>
      </c>
      <c r="AA5764">
        <v>0.99963649999999904</v>
      </c>
      <c r="AB5764">
        <v>40</v>
      </c>
      <c r="AC5764">
        <v>23.9436</v>
      </c>
      <c r="AD5764">
        <v>-1.1042637510040001</v>
      </c>
      <c r="AE5764">
        <v>-0.36124999999999802</v>
      </c>
      <c r="AF5764">
        <v>0.64973290887311397</v>
      </c>
      <c r="AG5764">
        <v>-1.1042637510040001</v>
      </c>
      <c r="AH5764">
        <v>23.886675993215501</v>
      </c>
      <c r="AI5764">
        <v>92.645880699372896</v>
      </c>
      <c r="AJ5764">
        <v>88.441902235487802</v>
      </c>
      <c r="AK5764">
        <v>23.921012547329902</v>
      </c>
    </row>
    <row r="5765" spans="1:37" x14ac:dyDescent="0.2">
      <c r="A5765" t="str">
        <f>"20200111153544031"</f>
        <v>20200111153544031</v>
      </c>
      <c r="B5765" t="str">
        <f>"1578728144021237"</f>
        <v>1578728144021237</v>
      </c>
      <c r="C5765" t="s">
        <v>37</v>
      </c>
      <c r="D5765">
        <v>5.0800369999999999</v>
      </c>
      <c r="E5765">
        <v>0.54577799999999999</v>
      </c>
      <c r="F5765" t="s">
        <v>79</v>
      </c>
      <c r="G5765">
        <v>-219.99369999999999</v>
      </c>
      <c r="H5765" s="1">
        <v>-3.9055049999999996E-6</v>
      </c>
      <c r="I5765">
        <v>-64.01943</v>
      </c>
      <c r="J5765">
        <v>-243.28460000000001</v>
      </c>
      <c r="K5765">
        <v>1.1042339999999999</v>
      </c>
      <c r="L5765">
        <v>-63.668329999999997</v>
      </c>
      <c r="M5765">
        <v>0.99981710000000001</v>
      </c>
      <c r="N5765">
        <v>0</v>
      </c>
      <c r="O5765">
        <v>1.18485E-2</v>
      </c>
      <c r="P5765">
        <v>0.99436809999999998</v>
      </c>
      <c r="Q5765">
        <v>-9.8974349999999996E-3</v>
      </c>
      <c r="R5765">
        <v>0.10552010000000001</v>
      </c>
      <c r="S5765">
        <v>3.020432</v>
      </c>
      <c r="T5765">
        <v>-0.14203160000000001</v>
      </c>
      <c r="U5765">
        <v>-4.4891359999999998E-2</v>
      </c>
      <c r="V5765">
        <v>-9.3724299999999997E-2</v>
      </c>
      <c r="W5765">
        <v>5.15727299999999E-3</v>
      </c>
      <c r="X5765">
        <v>0.99558480000000005</v>
      </c>
      <c r="Y5765">
        <v>2.666586E-2</v>
      </c>
      <c r="Z5765">
        <v>-1.183468E-3</v>
      </c>
      <c r="AA5765">
        <v>0.99964370000000002</v>
      </c>
      <c r="AB5765">
        <v>40</v>
      </c>
      <c r="AC5765">
        <v>23.290900000000001</v>
      </c>
      <c r="AD5765">
        <v>-1.104237905505</v>
      </c>
      <c r="AE5765">
        <v>-0.35109999999999503</v>
      </c>
      <c r="AF5765">
        <v>0.62566265157242595</v>
      </c>
      <c r="AG5765">
        <v>-1.104237905505</v>
      </c>
      <c r="AH5765">
        <v>23.232893783285199</v>
      </c>
      <c r="AI5765">
        <v>92.720182757524796</v>
      </c>
      <c r="AJ5765">
        <v>88.457395471192996</v>
      </c>
      <c r="AK5765">
        <v>23.2675342193997</v>
      </c>
    </row>
    <row r="5766" spans="1:37" x14ac:dyDescent="0.2">
      <c r="A5766" t="str">
        <f>"20200111153544043"</f>
        <v>20200111153544043</v>
      </c>
      <c r="B5766" t="str">
        <f>"1578728144031973"</f>
        <v>1578728144031973</v>
      </c>
      <c r="C5766" t="s">
        <v>37</v>
      </c>
      <c r="D5766">
        <v>5.1416129999999898</v>
      </c>
      <c r="E5766">
        <v>0.5459387</v>
      </c>
      <c r="F5766" t="s">
        <v>78</v>
      </c>
      <c r="G5766">
        <v>-220.40790000000001</v>
      </c>
      <c r="H5766" s="1">
        <v>-9.8950979999999898E-8</v>
      </c>
      <c r="I5766">
        <v>-64.007900000000006</v>
      </c>
      <c r="J5766">
        <v>-243.08369999999999</v>
      </c>
      <c r="K5766">
        <v>1.1042099999999999</v>
      </c>
      <c r="L5766">
        <v>-63.666200000000003</v>
      </c>
      <c r="M5766">
        <v>0.99982039999999905</v>
      </c>
      <c r="N5766">
        <v>0</v>
      </c>
      <c r="O5766">
        <v>1.1573369999999999E-2</v>
      </c>
      <c r="P5766">
        <v>0.99433899999999997</v>
      </c>
      <c r="Q5766">
        <v>-1.1005940000000001E-2</v>
      </c>
      <c r="R5766">
        <v>0.10568329999999999</v>
      </c>
      <c r="S5766">
        <v>3.0202789999999999</v>
      </c>
      <c r="T5766">
        <v>-0.145786</v>
      </c>
      <c r="U5766">
        <v>-4.483032E-2</v>
      </c>
      <c r="V5766">
        <v>-9.4162460000000003E-2</v>
      </c>
      <c r="W5766">
        <v>4.0572220000000001E-3</v>
      </c>
      <c r="X5766">
        <v>0.99554859999999901</v>
      </c>
      <c r="Y5766">
        <v>2.6369710000000001E-2</v>
      </c>
      <c r="Z5766">
        <v>-1.1943609999999999E-3</v>
      </c>
      <c r="AA5766">
        <v>0.99965159999999997</v>
      </c>
      <c r="AB5766">
        <v>40</v>
      </c>
      <c r="AC5766">
        <v>22.675799999999899</v>
      </c>
      <c r="AD5766">
        <v>-1.10421009895098</v>
      </c>
      <c r="AE5766">
        <v>-0.341700000000003</v>
      </c>
      <c r="AF5766">
        <v>0.60271322977549102</v>
      </c>
      <c r="AG5766">
        <v>-1.10421009895098</v>
      </c>
      <c r="AH5766">
        <v>22.616708110998498</v>
      </c>
      <c r="AI5766">
        <v>92.794128191431199</v>
      </c>
      <c r="AJ5766">
        <v>88.473484607947995</v>
      </c>
      <c r="AK5766">
        <v>22.6516672445557</v>
      </c>
    </row>
    <row r="5767" spans="1:37" x14ac:dyDescent="0.2">
      <c r="A5767" t="str">
        <f>"20200111153544055"</f>
        <v>20200111153544055</v>
      </c>
      <c r="B5767" t="str">
        <f>"1578728144051493"</f>
        <v>1578728144051493</v>
      </c>
      <c r="C5767" t="s">
        <v>37</v>
      </c>
      <c r="D5767">
        <v>5.1459679999999999</v>
      </c>
      <c r="E5767">
        <v>0.54616489999999995</v>
      </c>
      <c r="F5767" t="s">
        <v>78</v>
      </c>
      <c r="G5767">
        <v>-220.5615</v>
      </c>
      <c r="H5767" s="1">
        <v>-1.6449329999999999E-7</v>
      </c>
      <c r="I5767">
        <v>-64.006419999999906</v>
      </c>
      <c r="J5767">
        <v>-242.88040000000001</v>
      </c>
      <c r="K5767">
        <v>1.104193</v>
      </c>
      <c r="L5767">
        <v>-63.664059999999999</v>
      </c>
      <c r="M5767">
        <v>0.99982359999999904</v>
      </c>
      <c r="N5767">
        <v>0</v>
      </c>
      <c r="O5767">
        <v>1.128732E-2</v>
      </c>
      <c r="P5767">
        <v>0.99428950000000005</v>
      </c>
      <c r="Q5767">
        <v>-1.119769E-2</v>
      </c>
      <c r="R5767">
        <v>0.1061295</v>
      </c>
      <c r="S5767">
        <v>3.0202939999999998</v>
      </c>
      <c r="T5767">
        <v>-0.14807799999999999</v>
      </c>
      <c r="U5767">
        <v>-4.5623780000000003E-2</v>
      </c>
      <c r="V5767">
        <v>-9.4894039999999999E-2</v>
      </c>
      <c r="W5767">
        <v>3.8722100000000001E-3</v>
      </c>
      <c r="X5767">
        <v>0.99547980000000003</v>
      </c>
      <c r="Y5767">
        <v>2.6345170000000001E-2</v>
      </c>
      <c r="Z5767">
        <v>-1.19849E-3</v>
      </c>
      <c r="AA5767">
        <v>0.99965219999999899</v>
      </c>
      <c r="AB5767">
        <v>40</v>
      </c>
      <c r="AC5767">
        <v>22.318899999999999</v>
      </c>
      <c r="AD5767">
        <v>-1.1041931644933001</v>
      </c>
      <c r="AE5767">
        <v>-0.342359999999992</v>
      </c>
      <c r="AF5767">
        <v>0.592836444860527</v>
      </c>
      <c r="AG5767">
        <v>-1.1041931644933001</v>
      </c>
      <c r="AH5767">
        <v>22.259143940372201</v>
      </c>
      <c r="AI5767">
        <v>92.838897087952006</v>
      </c>
      <c r="AJ5767">
        <v>88.474379860316901</v>
      </c>
      <c r="AK5767">
        <v>22.294398098021802</v>
      </c>
    </row>
    <row r="5768" spans="1:37" x14ac:dyDescent="0.2">
      <c r="A5768" t="str">
        <f>"20200111153544067"</f>
        <v>20200111153544067</v>
      </c>
      <c r="B5768" t="str">
        <f>"1578728144061252"</f>
        <v>1578728144061252</v>
      </c>
      <c r="C5768" t="s">
        <v>37</v>
      </c>
      <c r="D5768">
        <v>5.1018330000000001</v>
      </c>
      <c r="E5768">
        <v>0.54619119999999999</v>
      </c>
      <c r="F5768" t="s">
        <v>78</v>
      </c>
      <c r="G5768">
        <v>-220.31890000000001</v>
      </c>
      <c r="H5768" s="1">
        <v>-6.0953080000000002E-8</v>
      </c>
      <c r="I5768">
        <v>-64.00873</v>
      </c>
      <c r="J5768">
        <v>-242.68199999999999</v>
      </c>
      <c r="K5768">
        <v>1.104174</v>
      </c>
      <c r="L5768">
        <v>-63.662050000000001</v>
      </c>
      <c r="M5768">
        <v>0.99982660000000001</v>
      </c>
      <c r="N5768">
        <v>0</v>
      </c>
      <c r="O5768">
        <v>1.1001810000000001E-2</v>
      </c>
      <c r="P5768">
        <v>0.99426729999999997</v>
      </c>
      <c r="Q5768">
        <v>-1.164696E-2</v>
      </c>
      <c r="R5768">
        <v>0.1062873</v>
      </c>
      <c r="S5768">
        <v>3.0204770000000001</v>
      </c>
      <c r="T5768">
        <v>-0.14782699999999999</v>
      </c>
      <c r="U5768">
        <v>-4.6142580000000002E-2</v>
      </c>
      <c r="V5768">
        <v>-9.5336589999999999E-2</v>
      </c>
      <c r="W5768">
        <v>3.4292309999999901E-3</v>
      </c>
      <c r="X5768">
        <v>0.99543919999999997</v>
      </c>
      <c r="Y5768">
        <v>2.62310999999999E-2</v>
      </c>
      <c r="Z5768">
        <v>-1.1796319999999999E-3</v>
      </c>
      <c r="AA5768">
        <v>0.99965519999999997</v>
      </c>
      <c r="AB5768">
        <v>40</v>
      </c>
      <c r="AC5768">
        <v>22.363099999999999</v>
      </c>
      <c r="AD5768">
        <v>-1.1041740609530799</v>
      </c>
      <c r="AE5768">
        <v>-0.34667999999999899</v>
      </c>
      <c r="AF5768">
        <v>0.59128024441976001</v>
      </c>
      <c r="AG5768">
        <v>-1.1041740609530799</v>
      </c>
      <c r="AH5768">
        <v>22.303571492780002</v>
      </c>
      <c r="AI5768">
        <v>92.833211663336002</v>
      </c>
      <c r="AJ5768">
        <v>88.481412301870407</v>
      </c>
      <c r="AK5768">
        <v>22.3387133474126</v>
      </c>
    </row>
    <row r="5769" spans="1:37" x14ac:dyDescent="0.2">
      <c r="A5769" t="str">
        <f>"20200111153544077"</f>
        <v>20200111153544077</v>
      </c>
      <c r="B5769" t="str">
        <f>"1578728144071013"</f>
        <v>1578728144071013</v>
      </c>
      <c r="C5769" t="s">
        <v>37</v>
      </c>
      <c r="D5769">
        <v>5.0304419999999999</v>
      </c>
      <c r="E5769">
        <v>0.54636770000000001</v>
      </c>
      <c r="F5769" t="s">
        <v>78</v>
      </c>
      <c r="G5769">
        <v>-220.26560000000001</v>
      </c>
      <c r="H5769" s="1">
        <v>-3.6709819999999998E-8</v>
      </c>
      <c r="I5769">
        <v>-64.002690000000001</v>
      </c>
      <c r="J5769">
        <v>-242.4813</v>
      </c>
      <c r="K5769">
        <v>1.104171</v>
      </c>
      <c r="L5769">
        <v>-63.660029999999999</v>
      </c>
      <c r="M5769">
        <v>0.99982990000000005</v>
      </c>
      <c r="N5769">
        <v>0</v>
      </c>
      <c r="O5769">
        <v>1.070959E-2</v>
      </c>
      <c r="P5769">
        <v>0.99424000000000001</v>
      </c>
      <c r="Q5769">
        <v>-1.1113609999999999E-2</v>
      </c>
      <c r="R5769">
        <v>0.10659919999999901</v>
      </c>
      <c r="S5769">
        <v>3.02046199999999</v>
      </c>
      <c r="T5769">
        <v>-0.14878</v>
      </c>
      <c r="U5769">
        <v>-4.5898439999999999E-2</v>
      </c>
      <c r="V5769">
        <v>-9.5938739999999995E-2</v>
      </c>
      <c r="W5769">
        <v>3.968053E-3</v>
      </c>
      <c r="X5769">
        <v>0.99537929999999997</v>
      </c>
      <c r="Y5769">
        <v>2.585844E-2</v>
      </c>
      <c r="Z5769">
        <v>-1.1636750000000001E-3</v>
      </c>
      <c r="AA5769">
        <v>0.99966499999999903</v>
      </c>
      <c r="AB5769">
        <v>40</v>
      </c>
      <c r="AC5769">
        <v>22.215699999999998</v>
      </c>
      <c r="AD5769">
        <v>-1.1041710367098201</v>
      </c>
      <c r="AE5769">
        <v>-0.34265999999999502</v>
      </c>
      <c r="AF5769">
        <v>0.57915784684998095</v>
      </c>
      <c r="AG5769">
        <v>-1.1041710367098201</v>
      </c>
      <c r="AH5769">
        <v>22.156036080006299</v>
      </c>
      <c r="AI5769">
        <v>92.852066726523304</v>
      </c>
      <c r="AJ5769">
        <v>88.502631731918697</v>
      </c>
      <c r="AK5769">
        <v>22.1910917322339</v>
      </c>
    </row>
    <row r="5770" spans="1:37" x14ac:dyDescent="0.2">
      <c r="A5770" t="str">
        <f>"20200111153544088"</f>
        <v>20200111153544088</v>
      </c>
      <c r="B5770" t="str">
        <f>"1578728144081749"</f>
        <v>1578728144081749</v>
      </c>
      <c r="C5770" t="s">
        <v>37</v>
      </c>
      <c r="D5770">
        <v>5.0111059999999998</v>
      </c>
      <c r="E5770">
        <v>0.54649110000000001</v>
      </c>
      <c r="F5770" t="s">
        <v>79</v>
      </c>
      <c r="G5770">
        <v>-219.59350000000001</v>
      </c>
      <c r="H5770" s="1">
        <v>-3.7678859999999898E-6</v>
      </c>
      <c r="I5770">
        <v>-64.011209999999906</v>
      </c>
      <c r="J5770">
        <v>-242.28540000000001</v>
      </c>
      <c r="K5770">
        <v>1.1041700000000001</v>
      </c>
      <c r="L5770">
        <v>-63.658200000000001</v>
      </c>
      <c r="M5770">
        <v>0.99983269999999902</v>
      </c>
      <c r="N5770">
        <v>0</v>
      </c>
      <c r="O5770">
        <v>1.041922E-2</v>
      </c>
      <c r="P5770">
        <v>0.99421630000000005</v>
      </c>
      <c r="Q5770">
        <v>-1.033567E-2</v>
      </c>
      <c r="R5770">
        <v>0.10689839999999901</v>
      </c>
      <c r="S5770">
        <v>3.020721</v>
      </c>
      <c r="T5770">
        <v>-0.14572850000000001</v>
      </c>
      <c r="U5770">
        <v>-4.6356199999999903E-2</v>
      </c>
      <c r="V5770">
        <v>-9.6526470000000003E-2</v>
      </c>
      <c r="W5770">
        <v>4.7505359999999996E-3</v>
      </c>
      <c r="X5770">
        <v>0.99531909999999901</v>
      </c>
      <c r="Y5770">
        <v>2.572058E-2</v>
      </c>
      <c r="Z5770">
        <v>-1.122414E-3</v>
      </c>
      <c r="AA5770">
        <v>0.99966849999999996</v>
      </c>
      <c r="AB5770">
        <v>40</v>
      </c>
      <c r="AC5770">
        <v>22.6919</v>
      </c>
      <c r="AD5770">
        <v>-1.104173767886</v>
      </c>
      <c r="AE5770">
        <v>-0.35300999999999</v>
      </c>
      <c r="AF5770">
        <v>0.58805742741455302</v>
      </c>
      <c r="AG5770">
        <v>-1.104173767886</v>
      </c>
      <c r="AH5770">
        <v>22.6334125044655</v>
      </c>
      <c r="AI5770">
        <v>92.792026462950503</v>
      </c>
      <c r="AJ5770">
        <v>88.511685757906406</v>
      </c>
      <c r="AK5770">
        <v>22.667959168061898</v>
      </c>
    </row>
    <row r="5771" spans="1:37" x14ac:dyDescent="0.2">
      <c r="A5771" t="str">
        <f>"20200111153544099"</f>
        <v>20200111153544099</v>
      </c>
      <c r="B5771" t="str">
        <f>"1578728144091510"</f>
        <v>1578728144091510</v>
      </c>
      <c r="C5771" t="s">
        <v>37</v>
      </c>
      <c r="D5771">
        <v>5.0981829999999997</v>
      </c>
      <c r="E5771">
        <v>0.54667840000000001</v>
      </c>
      <c r="F5771" t="s">
        <v>79</v>
      </c>
      <c r="G5771">
        <v>-218.8852</v>
      </c>
      <c r="H5771" s="1">
        <v>-3.5280369999999999E-6</v>
      </c>
      <c r="I5771">
        <v>-64.017919999999904</v>
      </c>
      <c r="J5771">
        <v>-242.0942</v>
      </c>
      <c r="K5771">
        <v>1.104179</v>
      </c>
      <c r="L5771">
        <v>-63.656399999999998</v>
      </c>
      <c r="M5771">
        <v>0.99983580000000005</v>
      </c>
      <c r="N5771">
        <v>0</v>
      </c>
      <c r="O5771">
        <v>1.0134829999999999E-2</v>
      </c>
      <c r="P5771">
        <v>0.99416119999999997</v>
      </c>
      <c r="Q5771">
        <v>-9.1217590000000001E-3</v>
      </c>
      <c r="R5771">
        <v>0.10752100000000001</v>
      </c>
      <c r="S5771">
        <v>3.020966</v>
      </c>
      <c r="T5771">
        <v>-0.14254910000000001</v>
      </c>
      <c r="U5771">
        <v>-4.6447750000000003E-2</v>
      </c>
      <c r="V5771">
        <v>-9.7430859999999994E-2</v>
      </c>
      <c r="W5771">
        <v>5.9688369999999899E-3</v>
      </c>
      <c r="X5771">
        <v>0.99522440000000001</v>
      </c>
      <c r="Y5771">
        <v>2.5467710000000001E-2</v>
      </c>
      <c r="Z5771">
        <v>-1.078489E-3</v>
      </c>
      <c r="AA5771">
        <v>0.99967499999999998</v>
      </c>
      <c r="AB5771">
        <v>40</v>
      </c>
      <c r="AC5771">
        <v>23.209</v>
      </c>
      <c r="AD5771">
        <v>-1.1041825280369999</v>
      </c>
      <c r="AE5771">
        <v>-0.36151999999999102</v>
      </c>
      <c r="AF5771">
        <v>0.59539991739107101</v>
      </c>
      <c r="AG5771">
        <v>-1.1041825280369999</v>
      </c>
      <c r="AH5771">
        <v>23.151753508389401</v>
      </c>
      <c r="AI5771">
        <v>92.729652087523604</v>
      </c>
      <c r="AJ5771">
        <v>88.5268336313638</v>
      </c>
      <c r="AK5771">
        <v>23.185715659217301</v>
      </c>
    </row>
    <row r="5772" spans="1:37" x14ac:dyDescent="0.2">
      <c r="A5772" t="str">
        <f>"20200111153544110"</f>
        <v>20200111153544110</v>
      </c>
      <c r="B5772" t="str">
        <f>"1578728144101271"</f>
        <v>1578728144101271</v>
      </c>
      <c r="C5772" t="s">
        <v>37</v>
      </c>
      <c r="D5772">
        <v>4.9976779999999996</v>
      </c>
      <c r="E5772">
        <v>0.54680289999999998</v>
      </c>
      <c r="F5772" t="s">
        <v>79</v>
      </c>
      <c r="G5772">
        <v>-217.8432</v>
      </c>
      <c r="H5772" s="1">
        <v>-3.174874E-6</v>
      </c>
      <c r="I5772">
        <v>-64.025980000000004</v>
      </c>
      <c r="J5772">
        <v>-241.8972</v>
      </c>
      <c r="K5772">
        <v>1.104179</v>
      </c>
      <c r="L5772">
        <v>-63.65466</v>
      </c>
      <c r="M5772">
        <v>0.99983869999999897</v>
      </c>
      <c r="N5772">
        <v>0</v>
      </c>
      <c r="O5772">
        <v>9.8385720000000003E-3</v>
      </c>
      <c r="P5772">
        <v>0.99415119999999901</v>
      </c>
      <c r="Q5772">
        <v>-8.0585090000000002E-3</v>
      </c>
      <c r="R5772">
        <v>0.107697499999999</v>
      </c>
      <c r="S5772">
        <v>3.0213169999999998</v>
      </c>
      <c r="T5772">
        <v>-0.13756470000000001</v>
      </c>
      <c r="U5772">
        <v>-4.605103E-2</v>
      </c>
      <c r="V5772">
        <v>-9.7900929999999997E-2</v>
      </c>
      <c r="W5772">
        <v>7.0354989999999997E-3</v>
      </c>
      <c r="X5772">
        <v>0.99517129999999998</v>
      </c>
      <c r="Y5772">
        <v>2.5041939999999999E-2</v>
      </c>
      <c r="Z5772">
        <v>-1.017528E-3</v>
      </c>
      <c r="AA5772">
        <v>0.99968590000000002</v>
      </c>
      <c r="AB5772">
        <v>40</v>
      </c>
      <c r="AC5772">
        <v>24.053999999999998</v>
      </c>
      <c r="AD5772">
        <v>-1.1041821748739999</v>
      </c>
      <c r="AE5772">
        <v>-0.37132000000000398</v>
      </c>
      <c r="AF5772">
        <v>0.60670760239460697</v>
      </c>
      <c r="AG5772">
        <v>-1.1041821748739999</v>
      </c>
      <c r="AH5772">
        <v>23.998623874770601</v>
      </c>
      <c r="AI5772">
        <v>92.633493814613303</v>
      </c>
      <c r="AJ5772">
        <v>88.5518177075311</v>
      </c>
      <c r="AK5772">
        <v>24.031672024077402</v>
      </c>
    </row>
    <row r="5773" spans="1:37" x14ac:dyDescent="0.2">
      <c r="A5773" t="str">
        <f>"20200111153544122"</f>
        <v>20200111153544122</v>
      </c>
      <c r="B5773" t="str">
        <f>"1578728144111029"</f>
        <v>1578728144111029</v>
      </c>
      <c r="C5773" t="s">
        <v>37</v>
      </c>
      <c r="D5773">
        <v>5.0108730000000001</v>
      </c>
      <c r="E5773">
        <v>0.54694659999999995</v>
      </c>
      <c r="F5773" t="s">
        <v>79</v>
      </c>
      <c r="G5773">
        <v>-216.94900000000001</v>
      </c>
      <c r="H5773" s="1">
        <v>-2.8727379999999998E-6</v>
      </c>
      <c r="I5773">
        <v>-64.038359999999997</v>
      </c>
      <c r="J5773">
        <v>-241.69200000000001</v>
      </c>
      <c r="K5773">
        <v>1.1041840000000001</v>
      </c>
      <c r="L5773">
        <v>-63.652859999999997</v>
      </c>
      <c r="M5773">
        <v>0.99984169999999895</v>
      </c>
      <c r="N5773">
        <v>0</v>
      </c>
      <c r="O5773">
        <v>9.5294999999999998E-3</v>
      </c>
      <c r="P5773">
        <v>0.99410560000000003</v>
      </c>
      <c r="Q5773">
        <v>-7.0482819999999899E-3</v>
      </c>
      <c r="R5773">
        <v>0.1081874</v>
      </c>
      <c r="S5773">
        <v>3.0216059999999998</v>
      </c>
      <c r="T5773">
        <v>-0.13373289999999999</v>
      </c>
      <c r="U5773">
        <v>-4.6478270000000002E-2</v>
      </c>
      <c r="V5773">
        <v>-9.8696889999999995E-2</v>
      </c>
      <c r="W5773">
        <v>8.0492259999999996E-3</v>
      </c>
      <c r="X5773">
        <v>0.995085</v>
      </c>
      <c r="Y5773">
        <v>2.4875230000000002E-2</v>
      </c>
      <c r="Z5773">
        <v>-9.7175750000000002E-4</v>
      </c>
      <c r="AA5773">
        <v>0.99969010000000003</v>
      </c>
      <c r="AB5773">
        <v>40</v>
      </c>
      <c r="AC5773">
        <v>24.742999999999899</v>
      </c>
      <c r="AD5773">
        <v>-1.104186872738</v>
      </c>
      <c r="AE5773">
        <v>-0.38550000000000001</v>
      </c>
      <c r="AF5773">
        <v>0.620062974853687</v>
      </c>
      <c r="AG5773">
        <v>-1.104186872738</v>
      </c>
      <c r="AH5773">
        <v>24.689045892635399</v>
      </c>
      <c r="AI5773">
        <v>92.559969865437495</v>
      </c>
      <c r="AJ5773">
        <v>88.561324531408999</v>
      </c>
      <c r="AK5773">
        <v>24.721502661273799</v>
      </c>
    </row>
    <row r="5774" spans="1:37" x14ac:dyDescent="0.2">
      <c r="A5774" t="str">
        <f>"20200111153544132"</f>
        <v>20200111153544132</v>
      </c>
      <c r="B5774" t="str">
        <f>"1578728144121765"</f>
        <v>1578728144121765</v>
      </c>
      <c r="C5774" t="s">
        <v>37</v>
      </c>
      <c r="D5774">
        <v>5.0287819999999996</v>
      </c>
      <c r="E5774">
        <v>0.54711540000000003</v>
      </c>
      <c r="F5774" t="s">
        <v>79</v>
      </c>
      <c r="G5774">
        <v>-215.91679999999999</v>
      </c>
      <c r="H5774" s="1">
        <v>-2.4818699999999999E-6</v>
      </c>
      <c r="I5774">
        <v>-64.046379999999999</v>
      </c>
      <c r="J5774">
        <v>-241.50399999999999</v>
      </c>
      <c r="K5774">
        <v>1.1041939999999999</v>
      </c>
      <c r="L5774">
        <v>-63.651339999999998</v>
      </c>
      <c r="M5774">
        <v>0.99984430000000002</v>
      </c>
      <c r="N5774">
        <v>0</v>
      </c>
      <c r="O5774">
        <v>9.2453299999999995E-3</v>
      </c>
      <c r="P5774">
        <v>0.9940544</v>
      </c>
      <c r="Q5774">
        <v>-6.2716949999999999E-3</v>
      </c>
      <c r="R5774">
        <v>0.1087037</v>
      </c>
      <c r="S5774">
        <v>3.021881</v>
      </c>
      <c r="T5774">
        <v>-0.1294546</v>
      </c>
      <c r="U5774">
        <v>-4.6142580000000002E-2</v>
      </c>
      <c r="V5774">
        <v>-9.9495249999999993E-2</v>
      </c>
      <c r="W5774">
        <v>8.8278739999999994E-3</v>
      </c>
      <c r="X5774">
        <v>0.99499889999999902</v>
      </c>
      <c r="Y5774">
        <v>2.4481429999999998E-2</v>
      </c>
      <c r="Z5774">
        <v>-9.200139E-4</v>
      </c>
      <c r="AA5774">
        <v>0.99969989999999997</v>
      </c>
      <c r="AB5774">
        <v>39</v>
      </c>
      <c r="AC5774">
        <v>25.587199999999999</v>
      </c>
      <c r="AD5774">
        <v>-1.1041964818700001</v>
      </c>
      <c r="AE5774">
        <v>-0.39503999999999401</v>
      </c>
      <c r="AF5774">
        <v>0.63043816594780999</v>
      </c>
      <c r="AG5774">
        <v>-1.1041964818700001</v>
      </c>
      <c r="AH5774">
        <v>25.5349114296096</v>
      </c>
      <c r="AI5774">
        <v>92.475323678730206</v>
      </c>
      <c r="AJ5774">
        <v>88.585696702249606</v>
      </c>
      <c r="AK5774">
        <v>25.566548532597501</v>
      </c>
    </row>
    <row r="5775" spans="1:37" x14ac:dyDescent="0.2">
      <c r="A5775" t="str">
        <f>"20200111153544145"</f>
        <v>20200111153544145</v>
      </c>
      <c r="B5775" t="str">
        <f>"1578728144131525"</f>
        <v>1578728144131525</v>
      </c>
      <c r="C5775" t="s">
        <v>37</v>
      </c>
      <c r="D5775">
        <v>5.0890399999999998</v>
      </c>
      <c r="E5775">
        <v>0.54719669999999998</v>
      </c>
      <c r="F5775" t="s">
        <v>79</v>
      </c>
      <c r="G5775">
        <v>-214.97659999999999</v>
      </c>
      <c r="H5775" s="1">
        <v>-2.0806909999999998E-6</v>
      </c>
      <c r="I5775">
        <v>-64.054419999999993</v>
      </c>
      <c r="J5775">
        <v>-241.2998</v>
      </c>
      <c r="K5775">
        <v>1.104198</v>
      </c>
      <c r="L5775">
        <v>-63.64969</v>
      </c>
      <c r="M5775">
        <v>0.99984719999999905</v>
      </c>
      <c r="N5775">
        <v>0</v>
      </c>
      <c r="O5775">
        <v>8.9363689999999996E-3</v>
      </c>
      <c r="P5775">
        <v>0.99400319999999998</v>
      </c>
      <c r="Q5775">
        <v>-5.5399179999999996E-3</v>
      </c>
      <c r="R5775">
        <v>0.1092124</v>
      </c>
      <c r="S5775">
        <v>3.022186</v>
      </c>
      <c r="T5775">
        <v>-0.12579769999999901</v>
      </c>
      <c r="U5775">
        <v>-4.5928959999999998E-2</v>
      </c>
      <c r="V5775">
        <v>-0.1003106</v>
      </c>
      <c r="W5775">
        <v>9.5616940000000008E-3</v>
      </c>
      <c r="X5775">
        <v>0.99491019999999897</v>
      </c>
      <c r="Y5775">
        <v>2.4102640000000002E-2</v>
      </c>
      <c r="Z5775">
        <v>-8.7322349999999997E-4</v>
      </c>
      <c r="AA5775">
        <v>0.99970910000000002</v>
      </c>
      <c r="AB5775">
        <v>39</v>
      </c>
      <c r="AC5775">
        <v>26.3232</v>
      </c>
      <c r="AD5775">
        <v>-1.104200080691</v>
      </c>
      <c r="AE5775">
        <v>-0.40472999999999298</v>
      </c>
      <c r="AF5775">
        <v>0.63885035029417203</v>
      </c>
      <c r="AG5775">
        <v>-1.104200080691</v>
      </c>
      <c r="AH5775">
        <v>26.2723131624494</v>
      </c>
      <c r="AI5775">
        <v>92.4059597818936</v>
      </c>
      <c r="AJ5775">
        <v>88.607042451416405</v>
      </c>
      <c r="AK5775">
        <v>26.3032664605383</v>
      </c>
    </row>
    <row r="5776" spans="1:37" x14ac:dyDescent="0.2">
      <c r="A5776" t="str">
        <f>"20200111153544155"</f>
        <v>20200111153544155</v>
      </c>
      <c r="B5776" t="str">
        <f>"1578728144151045"</f>
        <v>1578728144151045</v>
      </c>
      <c r="C5776" t="s">
        <v>37</v>
      </c>
      <c r="D5776">
        <v>5.2787850000000001</v>
      </c>
      <c r="E5776">
        <v>0.54744759999999903</v>
      </c>
      <c r="F5776" t="s">
        <v>79</v>
      </c>
      <c r="G5776">
        <v>-214.24080000000001</v>
      </c>
      <c r="H5776" s="1">
        <v>-1.76453E-6</v>
      </c>
      <c r="I5776">
        <v>-64.052629999999994</v>
      </c>
      <c r="J5776">
        <v>-241.09729999999999</v>
      </c>
      <c r="K5776">
        <v>1.104203</v>
      </c>
      <c r="L5776">
        <v>-63.648099999999999</v>
      </c>
      <c r="M5776">
        <v>0.99984989999999996</v>
      </c>
      <c r="N5776">
        <v>0</v>
      </c>
      <c r="O5776">
        <v>8.6296319999999999E-3</v>
      </c>
      <c r="P5776">
        <v>0.99395359999999999</v>
      </c>
      <c r="Q5776">
        <v>-5.3395069999999899E-3</v>
      </c>
      <c r="R5776">
        <v>0.1096723</v>
      </c>
      <c r="S5776">
        <v>3.0223689999999999</v>
      </c>
      <c r="T5776">
        <v>-0.12333379999999999</v>
      </c>
      <c r="U5776">
        <v>-4.501343E-2</v>
      </c>
      <c r="V5776">
        <v>-0.1010756</v>
      </c>
      <c r="W5776">
        <v>9.764343E-3</v>
      </c>
      <c r="X5776">
        <v>0.99483080000000002</v>
      </c>
      <c r="Y5776">
        <v>2.349414E-2</v>
      </c>
      <c r="Z5776">
        <v>-8.3116220000000005E-4</v>
      </c>
      <c r="AA5776">
        <v>0.99972359999999905</v>
      </c>
      <c r="AB5776">
        <v>39</v>
      </c>
      <c r="AC5776">
        <v>26.856499999999901</v>
      </c>
      <c r="AD5776">
        <v>-1.1042047645299999</v>
      </c>
      <c r="AE5776">
        <v>-0.40453000000000799</v>
      </c>
      <c r="AF5776">
        <v>0.635229229962326</v>
      </c>
      <c r="AG5776">
        <v>-1.1042047645299999</v>
      </c>
      <c r="AH5776">
        <v>26.806703495150199</v>
      </c>
      <c r="AI5776">
        <v>92.358096800724894</v>
      </c>
      <c r="AJ5776">
        <v>88.642535673603504</v>
      </c>
      <c r="AK5776">
        <v>26.836954682182299</v>
      </c>
    </row>
    <row r="5777" spans="1:37" x14ac:dyDescent="0.2">
      <c r="A5777" t="str">
        <f>"20200111153544167"</f>
        <v>20200111153544167</v>
      </c>
      <c r="B5777" t="str">
        <f>"1578728144161781"</f>
        <v>1578728144161781</v>
      </c>
      <c r="C5777" t="s">
        <v>37</v>
      </c>
      <c r="D5777">
        <v>5.1937559999999996</v>
      </c>
      <c r="E5777">
        <v>0.5896342</v>
      </c>
      <c r="F5777" t="s">
        <v>79</v>
      </c>
      <c r="G5777">
        <v>-213.71029999999999</v>
      </c>
      <c r="H5777" s="1">
        <v>-1.5392969999999999E-6</v>
      </c>
      <c r="I5777">
        <v>-64.061419999999998</v>
      </c>
      <c r="J5777">
        <v>-240.8999</v>
      </c>
      <c r="K5777">
        <v>1.1042049999999899</v>
      </c>
      <c r="L5777">
        <v>-63.646669999999901</v>
      </c>
      <c r="M5777">
        <v>0.99985239999999997</v>
      </c>
      <c r="N5777">
        <v>0</v>
      </c>
      <c r="O5777">
        <v>8.3308480000000001E-3</v>
      </c>
      <c r="P5777">
        <v>0.99392479999999905</v>
      </c>
      <c r="Q5777">
        <v>-5.1692350000000003E-3</v>
      </c>
      <c r="R5777">
        <v>0.1099396</v>
      </c>
      <c r="S5777">
        <v>3.0226139999999999</v>
      </c>
      <c r="T5777">
        <v>-0.121867499999999</v>
      </c>
      <c r="U5777">
        <v>-4.5623780000000003E-2</v>
      </c>
      <c r="V5777">
        <v>-0.10164040000000001</v>
      </c>
      <c r="W5777">
        <v>9.9355169999999996E-3</v>
      </c>
      <c r="X5777">
        <v>0.99477159999999998</v>
      </c>
      <c r="Y5777">
        <v>2.339697E-2</v>
      </c>
      <c r="Z5777">
        <v>-8.072213E-4</v>
      </c>
      <c r="AA5777">
        <v>0.99972589999999995</v>
      </c>
      <c r="AB5777">
        <v>39</v>
      </c>
      <c r="AC5777">
        <v>27.189599999999999</v>
      </c>
      <c r="AD5777">
        <v>-1.104206539297</v>
      </c>
      <c r="AE5777">
        <v>-0.414750000000005</v>
      </c>
      <c r="AF5777">
        <v>0.64021794911720897</v>
      </c>
      <c r="AG5777">
        <v>-1.104206539297</v>
      </c>
      <c r="AH5777">
        <v>27.140448792761401</v>
      </c>
      <c r="AI5777">
        <v>92.329141141576301</v>
      </c>
      <c r="AJ5777">
        <v>88.648696445140402</v>
      </c>
      <c r="AK5777">
        <v>27.1704455571914</v>
      </c>
    </row>
    <row r="5778" spans="1:37" x14ac:dyDescent="0.2">
      <c r="A5778" t="str">
        <f>"20200111153544178"</f>
        <v>20200111153544178</v>
      </c>
      <c r="B5778" t="str">
        <f>"1578728144171542"</f>
        <v>1578728144171542</v>
      </c>
      <c r="C5778" t="s">
        <v>37</v>
      </c>
      <c r="D5778">
        <v>5.1651980000000002</v>
      </c>
      <c r="E5778">
        <v>0.5982423</v>
      </c>
      <c r="F5778" t="s">
        <v>58</v>
      </c>
      <c r="G5778">
        <v>0</v>
      </c>
      <c r="H5778">
        <v>0</v>
      </c>
      <c r="I5778">
        <v>0</v>
      </c>
      <c r="J5778">
        <v>-240.70590000000001</v>
      </c>
      <c r="K5778">
        <v>1.1042069999999999</v>
      </c>
      <c r="L5778">
        <v>-63.64526</v>
      </c>
      <c r="M5778">
        <v>0.99985489999999999</v>
      </c>
      <c r="N5778">
        <v>0</v>
      </c>
      <c r="O5778">
        <v>8.0371390000000004E-3</v>
      </c>
      <c r="P5778">
        <v>0.99394210000000005</v>
      </c>
      <c r="Q5778">
        <v>-4.8918470000000004E-3</v>
      </c>
      <c r="R5778">
        <v>0.10979659999999999</v>
      </c>
      <c r="S5778">
        <v>3.0610200000000001</v>
      </c>
      <c r="T5778">
        <v>8.1532839999999995E-2</v>
      </c>
      <c r="U5778">
        <v>-0.3821716</v>
      </c>
      <c r="V5778">
        <v>-0.10178860000000001</v>
      </c>
      <c r="W5778">
        <v>1.0213979999999999E-2</v>
      </c>
      <c r="X5778">
        <v>0.99475360000000002</v>
      </c>
      <c r="Y5778">
        <v>0.1318125</v>
      </c>
      <c r="Z5778">
        <v>1.9616339999999999E-3</v>
      </c>
      <c r="AA5778">
        <v>0.99127269999999901</v>
      </c>
      <c r="AB5778">
        <v>39</v>
      </c>
      <c r="AC5778">
        <v>3.0610200000000001</v>
      </c>
      <c r="AD5778">
        <v>8.1532839999999995E-2</v>
      </c>
      <c r="AE5778">
        <v>-0.3821716</v>
      </c>
      <c r="AF5778">
        <v>0.40647991407974099</v>
      </c>
      <c r="AG5778">
        <v>8.1532839999999995E-2</v>
      </c>
      <c r="AH5778">
        <v>3.0557145420274101</v>
      </c>
      <c r="AI5778">
        <v>88.484931240856298</v>
      </c>
      <c r="AJ5778">
        <v>82.422834946252394</v>
      </c>
      <c r="AK5778">
        <v>3.08370959834199</v>
      </c>
    </row>
    <row r="5779" spans="1:37" x14ac:dyDescent="0.2">
      <c r="A5779" t="str">
        <f>"20200111153544189"</f>
        <v>20200111153544189</v>
      </c>
      <c r="B5779" t="str">
        <f>"1578728144181301"</f>
        <v>1578728144181301</v>
      </c>
      <c r="C5779" t="s">
        <v>37</v>
      </c>
      <c r="D5779">
        <v>5.0691290000000002</v>
      </c>
      <c r="E5779">
        <v>0.60136809999999996</v>
      </c>
      <c r="F5779" t="s">
        <v>58</v>
      </c>
      <c r="G5779">
        <v>0</v>
      </c>
      <c r="H5779">
        <v>0</v>
      </c>
      <c r="I5779">
        <v>0</v>
      </c>
      <c r="J5779">
        <v>-240.51339999999999</v>
      </c>
      <c r="K5779">
        <v>1.104206</v>
      </c>
      <c r="L5779">
        <v>-63.643979999999999</v>
      </c>
      <c r="M5779">
        <v>0.99985709999999905</v>
      </c>
      <c r="N5779">
        <v>0</v>
      </c>
      <c r="O5779">
        <v>7.7458980000000002E-3</v>
      </c>
      <c r="P5779">
        <v>0.99393609999999899</v>
      </c>
      <c r="Q5779">
        <v>-4.622747E-3</v>
      </c>
      <c r="R5779">
        <v>0.10986219999999999</v>
      </c>
      <c r="S5779">
        <v>3.068619</v>
      </c>
      <c r="T5779">
        <v>0.1002705</v>
      </c>
      <c r="U5779">
        <v>-0.45117190000000001</v>
      </c>
      <c r="V5779">
        <v>-0.1021435</v>
      </c>
      <c r="W5779">
        <v>1.048433E-2</v>
      </c>
      <c r="X5779">
        <v>0.9947144</v>
      </c>
      <c r="Y5779">
        <v>0.1530398</v>
      </c>
      <c r="Z5779">
        <v>2.7380989999999999E-3</v>
      </c>
      <c r="AA5779">
        <v>0.98821619999999999</v>
      </c>
      <c r="AB5779">
        <v>39</v>
      </c>
      <c r="AC5779">
        <v>3.068619</v>
      </c>
      <c r="AD5779">
        <v>0.1002705</v>
      </c>
      <c r="AE5779">
        <v>-0.45117190000000001</v>
      </c>
      <c r="AF5779">
        <v>0.47443440752053501</v>
      </c>
      <c r="AG5779">
        <v>0.1002705</v>
      </c>
      <c r="AH5779">
        <v>3.0618317682645202</v>
      </c>
      <c r="AI5779">
        <v>88.146421976692295</v>
      </c>
      <c r="AJ5779">
        <v>81.1919992817636</v>
      </c>
      <c r="AK5779">
        <v>3.0999928963408001</v>
      </c>
    </row>
    <row r="5780" spans="1:37" x14ac:dyDescent="0.2">
      <c r="A5780" t="str">
        <f>"20200111153544199"</f>
        <v>20200111153544199</v>
      </c>
      <c r="B5780" t="str">
        <f>"1578728144191061"</f>
        <v>1578728144191061</v>
      </c>
      <c r="C5780" t="s">
        <v>37</v>
      </c>
      <c r="D5780">
        <v>5.0437010000000004</v>
      </c>
      <c r="E5780">
        <v>0.60354730000000001</v>
      </c>
      <c r="F5780" t="s">
        <v>58</v>
      </c>
      <c r="G5780">
        <v>0</v>
      </c>
      <c r="H5780">
        <v>0</v>
      </c>
      <c r="I5780">
        <v>0</v>
      </c>
      <c r="J5780">
        <v>-240.3235</v>
      </c>
      <c r="K5780">
        <v>1.104201</v>
      </c>
      <c r="L5780">
        <v>-63.642759999999903</v>
      </c>
      <c r="M5780">
        <v>0.99985930000000001</v>
      </c>
      <c r="N5780">
        <v>0</v>
      </c>
      <c r="O5780">
        <v>7.4584759999999899E-3</v>
      </c>
      <c r="P5780">
        <v>0.99396099999999998</v>
      </c>
      <c r="Q5780">
        <v>-4.8993919999999998E-3</v>
      </c>
      <c r="R5780">
        <v>0.10962619999999999</v>
      </c>
      <c r="S5780">
        <v>3.071396</v>
      </c>
      <c r="T5780">
        <v>0.1019568</v>
      </c>
      <c r="U5780">
        <v>-0.47589110000000001</v>
      </c>
      <c r="V5780">
        <v>-0.1021937</v>
      </c>
      <c r="W5780">
        <v>1.020825E-2</v>
      </c>
      <c r="X5780">
        <v>0.99471209999999899</v>
      </c>
      <c r="Y5780">
        <v>0.1603927</v>
      </c>
      <c r="Z5780">
        <v>2.8917769999999999E-3</v>
      </c>
      <c r="AA5780">
        <v>0.98704899999999995</v>
      </c>
      <c r="AB5780">
        <v>39</v>
      </c>
      <c r="AC5780">
        <v>3.071396</v>
      </c>
      <c r="AD5780">
        <v>0.1019568</v>
      </c>
      <c r="AE5780">
        <v>-0.47589110000000001</v>
      </c>
      <c r="AF5780">
        <v>0.498252204262709</v>
      </c>
      <c r="AG5780">
        <v>0.1019568</v>
      </c>
      <c r="AH5780">
        <v>3.0644630201365599</v>
      </c>
      <c r="AI5780">
        <v>88.119113721538</v>
      </c>
      <c r="AJ5780">
        <v>80.765068708672004</v>
      </c>
      <c r="AK5780">
        <v>3.10637796314347</v>
      </c>
    </row>
    <row r="5781" spans="1:37" x14ac:dyDescent="0.2">
      <c r="A5781" t="str">
        <f>"20200111153544211"</f>
        <v>20200111153544211</v>
      </c>
      <c r="B5781" t="str">
        <f>"1578728144201797"</f>
        <v>1578728144201797</v>
      </c>
      <c r="C5781" t="s">
        <v>37</v>
      </c>
      <c r="D5781">
        <v>5.064146</v>
      </c>
      <c r="E5781">
        <v>0.6045374</v>
      </c>
      <c r="F5781" t="s">
        <v>58</v>
      </c>
      <c r="G5781">
        <v>0</v>
      </c>
      <c r="H5781">
        <v>0</v>
      </c>
      <c r="I5781">
        <v>0</v>
      </c>
      <c r="J5781">
        <v>-240.12360000000001</v>
      </c>
      <c r="K5781">
        <v>1.1041939999999999</v>
      </c>
      <c r="L5781">
        <v>-63.641509999999997</v>
      </c>
      <c r="M5781">
        <v>0.99986149999999996</v>
      </c>
      <c r="N5781">
        <v>0</v>
      </c>
      <c r="O5781">
        <v>7.1561069999999897E-3</v>
      </c>
      <c r="P5781">
        <v>0.99401740000000005</v>
      </c>
      <c r="Q5781">
        <v>-5.1319269999999997E-3</v>
      </c>
      <c r="R5781">
        <v>0.10910209999999999</v>
      </c>
      <c r="S5781">
        <v>3.073242</v>
      </c>
      <c r="T5781">
        <v>0.10476530000000001</v>
      </c>
      <c r="U5781">
        <v>-0.49398799999999998</v>
      </c>
      <c r="V5781">
        <v>-0.10197050000000001</v>
      </c>
      <c r="W5781">
        <v>9.9760460000000006E-3</v>
      </c>
      <c r="X5781">
        <v>0.99473739999999999</v>
      </c>
      <c r="Y5781">
        <v>0.1656656</v>
      </c>
      <c r="Z5781">
        <v>3.047307E-3</v>
      </c>
      <c r="AA5781">
        <v>0.98617730000000003</v>
      </c>
      <c r="AB5781">
        <v>39</v>
      </c>
      <c r="AC5781">
        <v>3.073242</v>
      </c>
      <c r="AD5781">
        <v>0.10476530000000001</v>
      </c>
      <c r="AE5781">
        <v>-0.49398799999999998</v>
      </c>
      <c r="AF5781">
        <v>0.51538643705988596</v>
      </c>
      <c r="AG5781">
        <v>0.10476530000000001</v>
      </c>
      <c r="AH5781">
        <v>3.0661544422406202</v>
      </c>
      <c r="AI5781">
        <v>88.070114217960494</v>
      </c>
      <c r="AJ5781">
        <v>80.4584121764115</v>
      </c>
      <c r="AK5781">
        <v>3.1109326593903099</v>
      </c>
    </row>
    <row r="5782" spans="1:37" x14ac:dyDescent="0.2">
      <c r="A5782" t="str">
        <f>"20200111153544223"</f>
        <v>20200111153544223</v>
      </c>
      <c r="B5782" t="str">
        <f>"1578728144211557"</f>
        <v>1578728144211557</v>
      </c>
      <c r="C5782" t="s">
        <v>37</v>
      </c>
      <c r="D5782">
        <v>5.0705580000000001</v>
      </c>
      <c r="E5782">
        <v>0.60507919999999904</v>
      </c>
      <c r="F5782" t="s">
        <v>58</v>
      </c>
      <c r="G5782">
        <v>0</v>
      </c>
      <c r="H5782">
        <v>0</v>
      </c>
      <c r="I5782">
        <v>0</v>
      </c>
      <c r="J5782">
        <v>-239.9281</v>
      </c>
      <c r="K5782">
        <v>1.104185</v>
      </c>
      <c r="L5782">
        <v>-63.64038</v>
      </c>
      <c r="M5782">
        <v>0.99986359999999996</v>
      </c>
      <c r="N5782">
        <v>0</v>
      </c>
      <c r="O5782">
        <v>6.8607199999999998E-3</v>
      </c>
      <c r="P5782">
        <v>0.99410609999999999</v>
      </c>
      <c r="Q5782">
        <v>-5.5194909999999996E-3</v>
      </c>
      <c r="R5782">
        <v>0.1082732</v>
      </c>
      <c r="S5782">
        <v>3.0738979999999998</v>
      </c>
      <c r="T5782">
        <v>0.111988799999999</v>
      </c>
      <c r="U5782">
        <v>-0.50369259999999905</v>
      </c>
      <c r="V5782">
        <v>-0.10143530000000001</v>
      </c>
      <c r="W5782">
        <v>9.5888759999999996E-3</v>
      </c>
      <c r="X5782">
        <v>0.99479589999999996</v>
      </c>
      <c r="Y5782">
        <v>0.1683588</v>
      </c>
      <c r="Z5782">
        <v>3.293809E-3</v>
      </c>
      <c r="AA5782">
        <v>0.98572029999999999</v>
      </c>
      <c r="AB5782">
        <v>39</v>
      </c>
      <c r="AC5782">
        <v>3.0738979999999998</v>
      </c>
      <c r="AD5782">
        <v>0.111988799999999</v>
      </c>
      <c r="AE5782">
        <v>-0.50369259999999905</v>
      </c>
      <c r="AF5782">
        <v>0.52409483355378905</v>
      </c>
      <c r="AG5782">
        <v>0.111988799999999</v>
      </c>
      <c r="AH5782">
        <v>3.0664059291099601</v>
      </c>
      <c r="AI5782">
        <v>87.938289573349707</v>
      </c>
      <c r="AJ5782">
        <v>80.301008140288801</v>
      </c>
      <c r="AK5782">
        <v>3.1128864752772398</v>
      </c>
    </row>
    <row r="5783" spans="1:37" x14ac:dyDescent="0.2">
      <c r="A5783" t="str">
        <f>"20200111153544233"</f>
        <v>20200111153544233</v>
      </c>
      <c r="B5783" t="str">
        <f>"1578728144221317"</f>
        <v>1578728144221317</v>
      </c>
      <c r="C5783" t="s">
        <v>37</v>
      </c>
      <c r="D5783">
        <v>5.0591400000000002</v>
      </c>
      <c r="E5783">
        <v>0.60532259999999904</v>
      </c>
      <c r="F5783" t="s">
        <v>58</v>
      </c>
      <c r="G5783">
        <v>0</v>
      </c>
      <c r="H5783">
        <v>0</v>
      </c>
      <c r="I5783">
        <v>0</v>
      </c>
      <c r="J5783">
        <v>-239.7379</v>
      </c>
      <c r="K5783">
        <v>1.104174</v>
      </c>
      <c r="L5783">
        <v>-63.639309999999902</v>
      </c>
      <c r="M5783">
        <v>0.99986549999999996</v>
      </c>
      <c r="N5783">
        <v>0</v>
      </c>
      <c r="O5783">
        <v>6.5730340000000002E-3</v>
      </c>
      <c r="P5783">
        <v>0.99414629999999904</v>
      </c>
      <c r="Q5783">
        <v>-6.1829959999999996E-3</v>
      </c>
      <c r="R5783">
        <v>0.107866</v>
      </c>
      <c r="S5783">
        <v>3.0740509999999999</v>
      </c>
      <c r="T5783">
        <v>0.1156397</v>
      </c>
      <c r="U5783">
        <v>-0.51077269999999997</v>
      </c>
      <c r="V5783">
        <v>-0.101315</v>
      </c>
      <c r="W5783">
        <v>8.9251450000000006E-3</v>
      </c>
      <c r="X5783">
        <v>0.99481430000000004</v>
      </c>
      <c r="Y5783">
        <v>0.17026859999999999</v>
      </c>
      <c r="Z5783">
        <v>3.4252340000000001E-3</v>
      </c>
      <c r="AA5783">
        <v>0.98539169999999998</v>
      </c>
      <c r="AB5783">
        <v>39</v>
      </c>
      <c r="AC5783">
        <v>3.0740509999999999</v>
      </c>
      <c r="AD5783">
        <v>0.1156397</v>
      </c>
      <c r="AE5783">
        <v>-0.51077269999999997</v>
      </c>
      <c r="AF5783">
        <v>0.53023959557167599</v>
      </c>
      <c r="AG5783">
        <v>0.1156397</v>
      </c>
      <c r="AH5783">
        <v>3.0664041379259301</v>
      </c>
      <c r="AI5783">
        <v>87.871847849895602</v>
      </c>
      <c r="AJ5783">
        <v>80.189483694811102</v>
      </c>
      <c r="AK5783">
        <v>3.1140585906526201</v>
      </c>
    </row>
    <row r="5784" spans="1:37" x14ac:dyDescent="0.2">
      <c r="A5784" t="str">
        <f>"20200111153544245"</f>
        <v>20200111153544245</v>
      </c>
      <c r="B5784" t="str">
        <f>"1578728144241813"</f>
        <v>1578728144241813</v>
      </c>
      <c r="C5784" t="s">
        <v>37</v>
      </c>
      <c r="D5784">
        <v>4.9921309999999997</v>
      </c>
      <c r="E5784">
        <v>0.60552869999999903</v>
      </c>
      <c r="F5784" t="s">
        <v>58</v>
      </c>
      <c r="G5784">
        <v>0</v>
      </c>
      <c r="H5784">
        <v>0</v>
      </c>
      <c r="I5784">
        <v>0</v>
      </c>
      <c r="J5784">
        <v>-239.5369</v>
      </c>
      <c r="K5784">
        <v>1.1041639999999999</v>
      </c>
      <c r="L5784">
        <v>-63.638280000000002</v>
      </c>
      <c r="M5784">
        <v>0.99986739999999996</v>
      </c>
      <c r="N5784">
        <v>0</v>
      </c>
      <c r="O5784">
        <v>6.2690250000000001E-3</v>
      </c>
      <c r="P5784">
        <v>0.99423320000000004</v>
      </c>
      <c r="Q5784">
        <v>-6.8100549999999998E-3</v>
      </c>
      <c r="R5784">
        <v>0.10702390000000001</v>
      </c>
      <c r="S5784">
        <v>3.0741580000000002</v>
      </c>
      <c r="T5784">
        <v>0.1162671</v>
      </c>
      <c r="U5784">
        <v>-0.51403809999999905</v>
      </c>
      <c r="V5784">
        <v>-0.1007757</v>
      </c>
      <c r="W5784">
        <v>8.2981269999999902E-3</v>
      </c>
      <c r="X5784">
        <v>0.99487449999999999</v>
      </c>
      <c r="Y5784">
        <v>0.1709802</v>
      </c>
      <c r="Z5784">
        <v>3.445329E-3</v>
      </c>
      <c r="AA5784">
        <v>0.98526840000000004</v>
      </c>
      <c r="AB5784">
        <v>39</v>
      </c>
      <c r="AC5784">
        <v>3.0741580000000002</v>
      </c>
      <c r="AD5784">
        <v>0.1162671</v>
      </c>
      <c r="AE5784">
        <v>-0.51403809999999905</v>
      </c>
      <c r="AF5784">
        <v>0.53256108499987898</v>
      </c>
      <c r="AG5784">
        <v>0.1162671</v>
      </c>
      <c r="AH5784">
        <v>3.0666074932488399</v>
      </c>
      <c r="AI5784">
        <v>87.860722180188205</v>
      </c>
      <c r="AJ5784">
        <v>80.148011924458203</v>
      </c>
      <c r="AK5784">
        <v>3.1146782924482901</v>
      </c>
    </row>
    <row r="5785" spans="1:37" x14ac:dyDescent="0.2">
      <c r="A5785" t="str">
        <f>"20200111153544256"</f>
        <v>20200111153544256</v>
      </c>
      <c r="B5785" t="str">
        <f>"1578728144251573"</f>
        <v>1578728144251573</v>
      </c>
      <c r="C5785" t="s">
        <v>37</v>
      </c>
      <c r="D5785">
        <v>5.0068279999999996</v>
      </c>
      <c r="E5785">
        <v>0.60542940000000001</v>
      </c>
      <c r="F5785" t="s">
        <v>58</v>
      </c>
      <c r="G5785">
        <v>0</v>
      </c>
      <c r="H5785">
        <v>0</v>
      </c>
      <c r="I5785">
        <v>0</v>
      </c>
      <c r="J5785">
        <v>-239.3348</v>
      </c>
      <c r="K5785">
        <v>1.1041540000000001</v>
      </c>
      <c r="L5785">
        <v>-63.637239999999998</v>
      </c>
      <c r="M5785">
        <v>0.99986929999999996</v>
      </c>
      <c r="N5785">
        <v>0</v>
      </c>
      <c r="O5785">
        <v>5.9632940000000001E-3</v>
      </c>
      <c r="P5785">
        <v>0.99433150000000003</v>
      </c>
      <c r="Q5785">
        <v>-7.4062540000000001E-3</v>
      </c>
      <c r="R5785">
        <v>0.10606549999999999</v>
      </c>
      <c r="S5785">
        <v>3.0739290000000001</v>
      </c>
      <c r="T5785">
        <v>0.109051299999999</v>
      </c>
      <c r="U5785">
        <v>-0.51827999999999996</v>
      </c>
      <c r="V5785">
        <v>-0.1001215</v>
      </c>
      <c r="W5785">
        <v>7.7016230000000003E-3</v>
      </c>
      <c r="X5785">
        <v>0.99494539999999998</v>
      </c>
      <c r="Y5785">
        <v>0.1720276</v>
      </c>
      <c r="Z5785">
        <v>3.2391830000000001E-3</v>
      </c>
      <c r="AA5785">
        <v>0.98508680000000004</v>
      </c>
      <c r="AB5785">
        <v>39</v>
      </c>
      <c r="AC5785">
        <v>3.0739290000000001</v>
      </c>
      <c r="AD5785">
        <v>0.109051299999999</v>
      </c>
      <c r="AE5785">
        <v>-0.51827999999999996</v>
      </c>
      <c r="AF5785">
        <v>0.53594771759059001</v>
      </c>
      <c r="AG5785">
        <v>0.109051299999999</v>
      </c>
      <c r="AH5785">
        <v>3.06702998293225</v>
      </c>
      <c r="AI5785">
        <v>87.9940208023867</v>
      </c>
      <c r="AJ5785">
        <v>80.087939299986402</v>
      </c>
      <c r="AK5785">
        <v>3.1154141070213499</v>
      </c>
    </row>
    <row r="5786" spans="1:37" x14ac:dyDescent="0.2">
      <c r="A5786" t="str">
        <f>"20200111153544268"</f>
        <v>20200111153544268</v>
      </c>
      <c r="B5786" t="str">
        <f>"1578728144261332"</f>
        <v>1578728144261332</v>
      </c>
      <c r="C5786" t="s">
        <v>37</v>
      </c>
      <c r="D5786">
        <v>4.9836470000000004</v>
      </c>
      <c r="E5786">
        <v>0.60549219999999904</v>
      </c>
      <c r="F5786" t="s">
        <v>58</v>
      </c>
      <c r="G5786">
        <v>0</v>
      </c>
      <c r="H5786">
        <v>0</v>
      </c>
      <c r="I5786">
        <v>0</v>
      </c>
      <c r="J5786">
        <v>-239.1352</v>
      </c>
      <c r="K5786">
        <v>1.104144</v>
      </c>
      <c r="L5786">
        <v>-63.636319999999998</v>
      </c>
      <c r="M5786">
        <v>0.99987130000000002</v>
      </c>
      <c r="N5786">
        <v>0</v>
      </c>
      <c r="O5786">
        <v>5.6609130000000001E-3</v>
      </c>
      <c r="P5786">
        <v>0.99442389999999903</v>
      </c>
      <c r="Q5786">
        <v>-7.8979540000000004E-3</v>
      </c>
      <c r="R5786">
        <v>0.105161899999999</v>
      </c>
      <c r="S5786">
        <v>3.07336399999999</v>
      </c>
      <c r="T5786">
        <v>0.102843</v>
      </c>
      <c r="U5786">
        <v>-0.52035520000000002</v>
      </c>
      <c r="V5786">
        <v>-9.951931E-2</v>
      </c>
      <c r="W5786">
        <v>7.2090640000000003E-3</v>
      </c>
      <c r="X5786">
        <v>0.99500949999999899</v>
      </c>
      <c r="Y5786">
        <v>0.17241799999999999</v>
      </c>
      <c r="Z5786">
        <v>3.0517000000000001E-3</v>
      </c>
      <c r="AA5786">
        <v>0.98501909999999904</v>
      </c>
      <c r="AB5786">
        <v>39</v>
      </c>
      <c r="AC5786">
        <v>3.07336399999999</v>
      </c>
      <c r="AD5786">
        <v>0.102843</v>
      </c>
      <c r="AE5786">
        <v>-0.52035520000000002</v>
      </c>
      <c r="AF5786">
        <v>0.53716214125742601</v>
      </c>
      <c r="AG5786">
        <v>0.102843</v>
      </c>
      <c r="AH5786">
        <v>3.0670301219473899</v>
      </c>
      <c r="AI5786">
        <v>88.108263027759506</v>
      </c>
      <c r="AJ5786">
        <v>80.065926571437899</v>
      </c>
      <c r="AK5786">
        <v>3.1154122708851602</v>
      </c>
    </row>
    <row r="5787" spans="1:37" x14ac:dyDescent="0.2">
      <c r="A5787" t="str">
        <f>"20200111153544277"</f>
        <v>20200111153544277</v>
      </c>
      <c r="B5787" t="str">
        <f>"1578728144271094"</f>
        <v>1578728144271094</v>
      </c>
      <c r="C5787" t="s">
        <v>37</v>
      </c>
      <c r="D5787">
        <v>4.9853319999999997</v>
      </c>
      <c r="E5787">
        <v>0.60548009999999997</v>
      </c>
      <c r="F5787" t="s">
        <v>58</v>
      </c>
      <c r="G5787">
        <v>0</v>
      </c>
      <c r="H5787">
        <v>0</v>
      </c>
      <c r="I5787">
        <v>0</v>
      </c>
      <c r="J5787">
        <v>-238.9468</v>
      </c>
      <c r="K5787">
        <v>1.1041350000000001</v>
      </c>
      <c r="L5787">
        <v>-63.635469999999998</v>
      </c>
      <c r="M5787">
        <v>0.99987269999999995</v>
      </c>
      <c r="N5787">
        <v>0</v>
      </c>
      <c r="O5787">
        <v>5.3755819999999899E-3</v>
      </c>
      <c r="P5787">
        <v>0.99454540000000002</v>
      </c>
      <c r="Q5787">
        <v>-8.1966690000000002E-3</v>
      </c>
      <c r="R5787">
        <v>0.10398350000000001</v>
      </c>
      <c r="S5787">
        <v>3.0729829999999998</v>
      </c>
      <c r="T5787">
        <v>9.7381350000000005E-2</v>
      </c>
      <c r="U5787">
        <v>-0.52352909999999997</v>
      </c>
      <c r="V5787">
        <v>-9.8625149999999995E-2</v>
      </c>
      <c r="W5787">
        <v>6.9096180000000002E-3</v>
      </c>
      <c r="X5787">
        <v>0.99510069999999995</v>
      </c>
      <c r="Y5787">
        <v>0.17315559999999999</v>
      </c>
      <c r="Z5787">
        <v>2.8924440000000001E-3</v>
      </c>
      <c r="AA5787">
        <v>0.98489020000000005</v>
      </c>
      <c r="AB5787">
        <v>39</v>
      </c>
      <c r="AC5787">
        <v>3.0729829999999998</v>
      </c>
      <c r="AD5787">
        <v>9.7381350000000005E-2</v>
      </c>
      <c r="AE5787">
        <v>-0.52352909999999997</v>
      </c>
      <c r="AF5787">
        <v>0.53951595652294904</v>
      </c>
      <c r="AG5787">
        <v>9.7381350000000005E-2</v>
      </c>
      <c r="AH5787">
        <v>3.0671307834078401</v>
      </c>
      <c r="AI5787">
        <v>88.208950512490901</v>
      </c>
      <c r="AJ5787">
        <v>80.023589589464606</v>
      </c>
      <c r="AK5787">
        <v>3.1157425819856601</v>
      </c>
    </row>
    <row r="5788" spans="1:37" x14ac:dyDescent="0.2">
      <c r="A5788" t="str">
        <f>"20200111153544289"</f>
        <v>20200111153544289</v>
      </c>
      <c r="B5788" t="str">
        <f>"1578728144281829"</f>
        <v>1578728144281829</v>
      </c>
      <c r="C5788" t="s">
        <v>37</v>
      </c>
      <c r="D5788">
        <v>4.9872969999999999</v>
      </c>
      <c r="E5788">
        <v>0.60553069999999998</v>
      </c>
      <c r="F5788" t="s">
        <v>58</v>
      </c>
      <c r="G5788">
        <v>0</v>
      </c>
      <c r="H5788">
        <v>0</v>
      </c>
      <c r="I5788">
        <v>0</v>
      </c>
      <c r="J5788">
        <v>-238.74930000000001</v>
      </c>
      <c r="K5788">
        <v>1.1041219999999901</v>
      </c>
      <c r="L5788">
        <v>-63.634700000000002</v>
      </c>
      <c r="M5788">
        <v>0.99987420000000005</v>
      </c>
      <c r="N5788">
        <v>0</v>
      </c>
      <c r="O5788">
        <v>5.0763140000000002E-3</v>
      </c>
      <c r="P5788">
        <v>0.99466399999999999</v>
      </c>
      <c r="Q5788">
        <v>-8.6436429999999995E-3</v>
      </c>
      <c r="R5788">
        <v>0.10280599999999999</v>
      </c>
      <c r="S5788">
        <v>3.0723419999999999</v>
      </c>
      <c r="T5788">
        <v>9.3601820000000002E-2</v>
      </c>
      <c r="U5788">
        <v>-0.52706909999999996</v>
      </c>
      <c r="V5788">
        <v>-9.7745189999999996E-2</v>
      </c>
      <c r="W5788">
        <v>6.46187699999999E-3</v>
      </c>
      <c r="X5788">
        <v>0.99519049999999998</v>
      </c>
      <c r="Y5788">
        <v>0.17400370000000001</v>
      </c>
      <c r="Z5788">
        <v>2.7843099999999999E-3</v>
      </c>
      <c r="AA5788">
        <v>0.98474099999999998</v>
      </c>
      <c r="AB5788">
        <v>39</v>
      </c>
      <c r="AC5788">
        <v>3.0723419999999999</v>
      </c>
      <c r="AD5788">
        <v>9.3601820000000002E-2</v>
      </c>
      <c r="AE5788">
        <v>-0.52706909999999996</v>
      </c>
      <c r="AF5788">
        <v>0.54217139869215303</v>
      </c>
      <c r="AG5788">
        <v>9.3601820000000002E-2</v>
      </c>
      <c r="AH5788">
        <v>3.0668613343753499</v>
      </c>
      <c r="AI5788">
        <v>88.278529574633495</v>
      </c>
      <c r="AJ5788">
        <v>79.974617441860204</v>
      </c>
      <c r="AK5788">
        <v>3.1158224549151798</v>
      </c>
    </row>
    <row r="5789" spans="1:37" x14ac:dyDescent="0.2">
      <c r="A5789" t="str">
        <f>"20200111153544300"</f>
        <v>20200111153544300</v>
      </c>
      <c r="B5789" t="str">
        <f>"1578728144291590"</f>
        <v>1578728144291590</v>
      </c>
      <c r="C5789" t="s">
        <v>37</v>
      </c>
      <c r="D5789">
        <v>4.9811439999999996</v>
      </c>
      <c r="E5789">
        <v>0.605469699999999</v>
      </c>
      <c r="F5789" t="s">
        <v>58</v>
      </c>
      <c r="G5789">
        <v>0</v>
      </c>
      <c r="H5789">
        <v>0</v>
      </c>
      <c r="I5789">
        <v>0</v>
      </c>
      <c r="J5789">
        <v>-238.56440000000001</v>
      </c>
      <c r="K5789">
        <v>1.1041129999999999</v>
      </c>
      <c r="L5789">
        <v>-63.633969999999998</v>
      </c>
      <c r="M5789">
        <v>0.99987559999999998</v>
      </c>
      <c r="N5789">
        <v>0</v>
      </c>
      <c r="O5789">
        <v>4.7960019999999997E-3</v>
      </c>
      <c r="P5789">
        <v>0.99477649999999995</v>
      </c>
      <c r="Q5789">
        <v>-8.549727E-3</v>
      </c>
      <c r="R5789">
        <v>0.1017178</v>
      </c>
      <c r="S5789">
        <v>3.0717469999999998</v>
      </c>
      <c r="T5789">
        <v>9.012365E-2</v>
      </c>
      <c r="U5789">
        <v>-0.53100590000000003</v>
      </c>
      <c r="V5789">
        <v>-9.6935519999999997E-2</v>
      </c>
      <c r="W5789">
        <v>6.5553349999999998E-3</v>
      </c>
      <c r="X5789">
        <v>0.99526909999999902</v>
      </c>
      <c r="Y5789">
        <v>0.1749906</v>
      </c>
      <c r="Z5789">
        <v>2.6873169999999998E-3</v>
      </c>
      <c r="AA5789">
        <v>0.98456650000000001</v>
      </c>
      <c r="AB5789">
        <v>39</v>
      </c>
      <c r="AC5789">
        <v>3.0717469999999998</v>
      </c>
      <c r="AD5789">
        <v>9.012365E-2</v>
      </c>
      <c r="AE5789">
        <v>-0.53100590000000003</v>
      </c>
      <c r="AF5789">
        <v>0.54527779946149602</v>
      </c>
      <c r="AG5789">
        <v>9.012365E-2</v>
      </c>
      <c r="AH5789">
        <v>3.0666015095795802</v>
      </c>
      <c r="AI5789">
        <v>88.342614050724194</v>
      </c>
      <c r="AJ5789">
        <v>79.917514856866703</v>
      </c>
      <c r="AK5789">
        <v>3.1160062531116099</v>
      </c>
    </row>
    <row r="5790" spans="1:37" x14ac:dyDescent="0.2">
      <c r="A5790" t="str">
        <f>"20200111153544311"</f>
        <v>20200111153544311</v>
      </c>
      <c r="B5790" t="str">
        <f>"1578728144301350"</f>
        <v>1578728144301350</v>
      </c>
      <c r="C5790" t="s">
        <v>37</v>
      </c>
      <c r="D5790">
        <v>4.969023</v>
      </c>
      <c r="E5790">
        <v>0.60549419999999898</v>
      </c>
      <c r="F5790" t="s">
        <v>58</v>
      </c>
      <c r="G5790">
        <v>0</v>
      </c>
      <c r="H5790">
        <v>0</v>
      </c>
      <c r="I5790">
        <v>0</v>
      </c>
      <c r="J5790">
        <v>-238.36959999999999</v>
      </c>
      <c r="K5790">
        <v>1.104106</v>
      </c>
      <c r="L5790">
        <v>-63.633299999999998</v>
      </c>
      <c r="M5790">
        <v>0.99987719999999902</v>
      </c>
      <c r="N5790">
        <v>0</v>
      </c>
      <c r="O5790">
        <v>4.500319E-3</v>
      </c>
      <c r="P5790">
        <v>0.99488399999999999</v>
      </c>
      <c r="Q5790">
        <v>-8.6428879999999996E-3</v>
      </c>
      <c r="R5790">
        <v>0.1006553</v>
      </c>
      <c r="S5790">
        <v>3.071091</v>
      </c>
      <c r="T5790">
        <v>8.8225360000000003E-2</v>
      </c>
      <c r="U5790">
        <v>-0.53381350000000005</v>
      </c>
      <c r="V5790">
        <v>-9.6166740000000001E-2</v>
      </c>
      <c r="W5790">
        <v>6.4609239999999998E-3</v>
      </c>
      <c r="X5790">
        <v>0.99534429999999996</v>
      </c>
      <c r="Y5790">
        <v>0.1756115</v>
      </c>
      <c r="Z5790">
        <v>2.6315050000000001E-3</v>
      </c>
      <c r="AA5790">
        <v>0.984456</v>
      </c>
      <c r="AB5790">
        <v>39</v>
      </c>
      <c r="AC5790">
        <v>3.071091</v>
      </c>
      <c r="AD5790">
        <v>8.8225360000000003E-2</v>
      </c>
      <c r="AE5790">
        <v>-0.53381350000000005</v>
      </c>
      <c r="AF5790">
        <v>0.54719219640438799</v>
      </c>
      <c r="AG5790">
        <v>8.8225360000000003E-2</v>
      </c>
      <c r="AH5790">
        <v>3.0662010275055001</v>
      </c>
      <c r="AI5790">
        <v>88.377474518891304</v>
      </c>
      <c r="AJ5790">
        <v>79.881552482811401</v>
      </c>
      <c r="AK5790">
        <v>3.1158934120134401</v>
      </c>
    </row>
    <row r="5791" spans="1:37" x14ac:dyDescent="0.2">
      <c r="A5791" t="str">
        <f>"20200111153544323"</f>
        <v>20200111153544323</v>
      </c>
      <c r="B5791" t="str">
        <f>"1578728144321845"</f>
        <v>1578728144321845</v>
      </c>
      <c r="C5791" t="s">
        <v>37</v>
      </c>
      <c r="D5791">
        <v>4.9748619999999999</v>
      </c>
      <c r="E5791">
        <v>0.60526899999999995</v>
      </c>
      <c r="F5791" t="s">
        <v>58</v>
      </c>
      <c r="G5791">
        <v>0</v>
      </c>
      <c r="H5791">
        <v>0</v>
      </c>
      <c r="I5791">
        <v>0</v>
      </c>
      <c r="J5791">
        <v>-238.16220000000001</v>
      </c>
      <c r="K5791">
        <v>1.1040989999999999</v>
      </c>
      <c r="L5791">
        <v>-63.632629999999999</v>
      </c>
      <c r="M5791">
        <v>0.99987839999999995</v>
      </c>
      <c r="N5791">
        <v>0</v>
      </c>
      <c r="O5791">
        <v>4.1856269999999999E-3</v>
      </c>
      <c r="P5791">
        <v>0.99501309999999998</v>
      </c>
      <c r="Q5791">
        <v>-8.3270669999999901E-3</v>
      </c>
      <c r="R5791">
        <v>9.9396559999999995E-2</v>
      </c>
      <c r="S5791">
        <v>3.070541</v>
      </c>
      <c r="T5791">
        <v>8.5623379999999999E-2</v>
      </c>
      <c r="U5791">
        <v>-0.53723140000000003</v>
      </c>
      <c r="V5791">
        <v>-9.5220120000000005E-2</v>
      </c>
      <c r="W5791">
        <v>6.7751529999999999E-3</v>
      </c>
      <c r="X5791">
        <v>0.99543320000000002</v>
      </c>
      <c r="Y5791">
        <v>0.1763989</v>
      </c>
      <c r="Z5791">
        <v>2.5563159999999999E-3</v>
      </c>
      <c r="AA5791">
        <v>0.98431550000000001</v>
      </c>
      <c r="AB5791">
        <v>39</v>
      </c>
      <c r="AC5791">
        <v>3.070541</v>
      </c>
      <c r="AD5791">
        <v>8.5623379999999999E-2</v>
      </c>
      <c r="AE5791">
        <v>-0.53723140000000003</v>
      </c>
      <c r="AF5791">
        <v>0.54966555951381002</v>
      </c>
      <c r="AG5791">
        <v>8.5623379999999999E-2</v>
      </c>
      <c r="AH5791">
        <v>3.0659519294968902</v>
      </c>
      <c r="AI5791">
        <v>88.425398427739694</v>
      </c>
      <c r="AJ5791">
        <v>79.835958864120002</v>
      </c>
      <c r="AK5791">
        <v>3.1160110437070001</v>
      </c>
    </row>
    <row r="5792" spans="1:37" x14ac:dyDescent="0.2">
      <c r="A5792" t="str">
        <f>"20200111153544334"</f>
        <v>20200111153544334</v>
      </c>
      <c r="B5792" t="str">
        <f>"1578728144331605"</f>
        <v>1578728144331605</v>
      </c>
      <c r="C5792" t="s">
        <v>37</v>
      </c>
      <c r="D5792">
        <v>4.9958159999999996</v>
      </c>
      <c r="E5792">
        <v>0.605236</v>
      </c>
      <c r="F5792" t="s">
        <v>58</v>
      </c>
      <c r="G5792">
        <v>0</v>
      </c>
      <c r="H5792">
        <v>0</v>
      </c>
      <c r="I5792">
        <v>0</v>
      </c>
      <c r="J5792">
        <v>-237.97640000000001</v>
      </c>
      <c r="K5792">
        <v>1.1040939999999999</v>
      </c>
      <c r="L5792">
        <v>-63.632109999999997</v>
      </c>
      <c r="M5792">
        <v>0.99987950000000003</v>
      </c>
      <c r="N5792">
        <v>0</v>
      </c>
      <c r="O5792">
        <v>3.9036600000000002E-3</v>
      </c>
      <c r="P5792">
        <v>0.99511050000000001</v>
      </c>
      <c r="Q5792">
        <v>-8.1081940000000009E-3</v>
      </c>
      <c r="R5792">
        <v>9.8434110000000005E-2</v>
      </c>
      <c r="S5792">
        <v>3.06957999999999</v>
      </c>
      <c r="T5792">
        <v>8.1801769999999996E-2</v>
      </c>
      <c r="U5792">
        <v>-0.53924559999999999</v>
      </c>
      <c r="V5792">
        <v>-9.4537369999999996E-2</v>
      </c>
      <c r="W5792">
        <v>6.9925849999999999E-3</v>
      </c>
      <c r="X5792">
        <v>0.99549669999999901</v>
      </c>
      <c r="Y5792">
        <v>0.17680609999999999</v>
      </c>
      <c r="Z5792">
        <v>2.4408030000000001E-3</v>
      </c>
      <c r="AA5792">
        <v>0.98424269999999903</v>
      </c>
      <c r="AB5792">
        <v>39</v>
      </c>
      <c r="AC5792">
        <v>3.06957999999999</v>
      </c>
      <c r="AD5792">
        <v>8.1801769999999996E-2</v>
      </c>
      <c r="AE5792">
        <v>-0.53924559999999999</v>
      </c>
      <c r="AF5792">
        <v>0.55084595238275003</v>
      </c>
      <c r="AG5792">
        <v>8.1801769999999996E-2</v>
      </c>
      <c r="AH5792">
        <v>3.06533957142691</v>
      </c>
      <c r="AI5792">
        <v>88.495453918556095</v>
      </c>
      <c r="AJ5792">
        <v>79.812596206978</v>
      </c>
      <c r="AK5792">
        <v>3.1155143204593498</v>
      </c>
    </row>
    <row r="5793" spans="1:37" x14ac:dyDescent="0.2">
      <c r="A5793" t="str">
        <f>"20200111153544346"</f>
        <v>20200111153544346</v>
      </c>
      <c r="B5793" t="str">
        <f>"1578728144341365"</f>
        <v>1578728144341365</v>
      </c>
      <c r="C5793" t="s">
        <v>37</v>
      </c>
      <c r="D5793">
        <v>4.9940129999999998</v>
      </c>
      <c r="E5793">
        <v>0.60518629999999995</v>
      </c>
      <c r="F5793" t="s">
        <v>58</v>
      </c>
      <c r="G5793">
        <v>0</v>
      </c>
      <c r="H5793">
        <v>0</v>
      </c>
      <c r="I5793">
        <v>0</v>
      </c>
      <c r="J5793">
        <v>-237.7731</v>
      </c>
      <c r="K5793">
        <v>1.104085</v>
      </c>
      <c r="L5793">
        <v>-63.631590000000003</v>
      </c>
      <c r="M5793">
        <v>0.99988080000000001</v>
      </c>
      <c r="N5793">
        <v>0</v>
      </c>
      <c r="O5793">
        <v>3.5945759999999999E-3</v>
      </c>
      <c r="P5793">
        <v>0.99517509999999998</v>
      </c>
      <c r="Q5793">
        <v>-7.8142079999999996E-3</v>
      </c>
      <c r="R5793">
        <v>9.7804260000000004E-2</v>
      </c>
      <c r="S5793">
        <v>3.069</v>
      </c>
      <c r="T5793">
        <v>8.0693719999999997E-2</v>
      </c>
      <c r="U5793">
        <v>-0.54183959999999998</v>
      </c>
      <c r="V5793">
        <v>-9.4214859999999997E-2</v>
      </c>
      <c r="W5793">
        <v>7.2848790000000002E-3</v>
      </c>
      <c r="X5793">
        <v>0.9955252</v>
      </c>
      <c r="Y5793">
        <v>0.177342</v>
      </c>
      <c r="Z5793">
        <v>2.4069500000000001E-3</v>
      </c>
      <c r="AA5793">
        <v>0.98414639999999998</v>
      </c>
      <c r="AB5793">
        <v>39</v>
      </c>
      <c r="AC5793">
        <v>3.069</v>
      </c>
      <c r="AD5793">
        <v>8.0693719999999997E-2</v>
      </c>
      <c r="AE5793">
        <v>-0.54183959999999998</v>
      </c>
      <c r="AF5793">
        <v>0.55249868313476902</v>
      </c>
      <c r="AG5793">
        <v>8.0693719999999997E-2</v>
      </c>
      <c r="AH5793">
        <v>3.06497740435191</v>
      </c>
      <c r="AI5793">
        <v>88.515794310609905</v>
      </c>
      <c r="AJ5793">
        <v>79.781491512978803</v>
      </c>
      <c r="AK5793">
        <v>3.1154217628598602</v>
      </c>
    </row>
    <row r="5794" spans="1:37" x14ac:dyDescent="0.2">
      <c r="A5794" t="str">
        <f>"20200111153544356"</f>
        <v>20200111153544356</v>
      </c>
      <c r="B5794" t="str">
        <f>"1578728144351125"</f>
        <v>1578728144351125</v>
      </c>
      <c r="C5794" t="s">
        <v>37</v>
      </c>
      <c r="D5794">
        <v>4.9568209999999997</v>
      </c>
      <c r="E5794">
        <v>0.60517119999999902</v>
      </c>
      <c r="F5794" t="s">
        <v>58</v>
      </c>
      <c r="G5794">
        <v>0</v>
      </c>
      <c r="H5794">
        <v>0</v>
      </c>
      <c r="I5794">
        <v>0</v>
      </c>
      <c r="J5794">
        <v>-237.57589999999999</v>
      </c>
      <c r="K5794">
        <v>1.104082</v>
      </c>
      <c r="L5794">
        <v>-63.631129999999999</v>
      </c>
      <c r="M5794">
        <v>0.99988180000000004</v>
      </c>
      <c r="N5794">
        <v>0</v>
      </c>
      <c r="O5794">
        <v>3.2950890000000002E-3</v>
      </c>
      <c r="P5794">
        <v>0.99523629999999996</v>
      </c>
      <c r="Q5794">
        <v>-7.7258800000000001E-3</v>
      </c>
      <c r="R5794">
        <v>9.7185750000000001E-2</v>
      </c>
      <c r="S5794">
        <v>3.0685579999999999</v>
      </c>
      <c r="T5794">
        <v>8.0443379999999995E-2</v>
      </c>
      <c r="U5794">
        <v>-0.54339599999999999</v>
      </c>
      <c r="V5794">
        <v>-9.3893920000000006E-2</v>
      </c>
      <c r="W5794">
        <v>7.3716619999999898E-3</v>
      </c>
      <c r="X5794">
        <v>0.99555490000000002</v>
      </c>
      <c r="Y5794">
        <v>0.17755599999999999</v>
      </c>
      <c r="Z5794">
        <v>2.3947119999999998E-3</v>
      </c>
      <c r="AA5794">
        <v>0.98410779999999998</v>
      </c>
      <c r="AB5794">
        <v>39</v>
      </c>
      <c r="AC5794">
        <v>3.0685579999999999</v>
      </c>
      <c r="AD5794">
        <v>8.0443379999999995E-2</v>
      </c>
      <c r="AE5794">
        <v>-0.54339599999999999</v>
      </c>
      <c r="AF5794">
        <v>0.553136779046285</v>
      </c>
      <c r="AG5794">
        <v>8.0443379999999995E-2</v>
      </c>
      <c r="AH5794">
        <v>3.06470843078209</v>
      </c>
      <c r="AI5794">
        <v>88.520324867138996</v>
      </c>
      <c r="AJ5794">
        <v>79.769060086924796</v>
      </c>
      <c r="AK5794">
        <v>3.1152639052616902</v>
      </c>
    </row>
    <row r="5795" spans="1:37" x14ac:dyDescent="0.2">
      <c r="A5795" t="str">
        <f>"20200111153544367"</f>
        <v>20200111153544367</v>
      </c>
      <c r="B5795" t="str">
        <f>"1578728144361861"</f>
        <v>1578728144361861</v>
      </c>
      <c r="C5795" t="s">
        <v>37</v>
      </c>
      <c r="D5795">
        <v>4.9537959999999996</v>
      </c>
      <c r="E5795">
        <v>0.60516789999999998</v>
      </c>
      <c r="F5795" t="s">
        <v>58</v>
      </c>
      <c r="G5795">
        <v>0</v>
      </c>
      <c r="H5795">
        <v>0</v>
      </c>
      <c r="I5795">
        <v>0</v>
      </c>
      <c r="J5795">
        <v>-237.39099999999999</v>
      </c>
      <c r="K5795">
        <v>1.1040749999999999</v>
      </c>
      <c r="L5795">
        <v>-63.630740000000003</v>
      </c>
      <c r="M5795">
        <v>0.99988269999999901</v>
      </c>
      <c r="N5795">
        <v>0</v>
      </c>
      <c r="O5795">
        <v>3.0140219999999999E-3</v>
      </c>
      <c r="P5795">
        <v>0.99529849999999997</v>
      </c>
      <c r="Q5795">
        <v>-7.5209169999999898E-3</v>
      </c>
      <c r="R5795">
        <v>9.6560720000000003E-2</v>
      </c>
      <c r="S5795">
        <v>3.0682070000000001</v>
      </c>
      <c r="T5795">
        <v>8.0031749999999999E-2</v>
      </c>
      <c r="U5795">
        <v>-0.54516600000000004</v>
      </c>
      <c r="V5795">
        <v>-9.3548160000000005E-2</v>
      </c>
      <c r="W5795">
        <v>7.5752659999999998E-3</v>
      </c>
      <c r="X5795">
        <v>0.99558590000000002</v>
      </c>
      <c r="Y5795">
        <v>0.1778497</v>
      </c>
      <c r="Z5795">
        <v>2.379136E-3</v>
      </c>
      <c r="AA5795">
        <v>0.98405480000000001</v>
      </c>
      <c r="AB5795">
        <v>39</v>
      </c>
      <c r="AC5795">
        <v>3.0682070000000001</v>
      </c>
      <c r="AD5795">
        <v>8.0031749999999999E-2</v>
      </c>
      <c r="AE5795">
        <v>-0.54516600000000004</v>
      </c>
      <c r="AF5795">
        <v>0.55404678077792802</v>
      </c>
      <c r="AG5795">
        <v>8.0031749999999999E-2</v>
      </c>
      <c r="AH5795">
        <v>3.0645284837349598</v>
      </c>
      <c r="AI5795">
        <v>88.527885809919397</v>
      </c>
      <c r="AJ5795">
        <v>79.751995887766199</v>
      </c>
      <c r="AK5795">
        <v>3.1152379915379398</v>
      </c>
    </row>
    <row r="5796" spans="1:37" x14ac:dyDescent="0.2">
      <c r="A5796" t="str">
        <f>"20200111153544379"</f>
        <v>20200111153544379</v>
      </c>
      <c r="B5796" t="str">
        <f>"1578728144371623"</f>
        <v>1578728144371623</v>
      </c>
      <c r="C5796" t="s">
        <v>37</v>
      </c>
      <c r="D5796">
        <v>4.9548899999999998</v>
      </c>
      <c r="E5796">
        <v>0.60516320000000001</v>
      </c>
      <c r="F5796" t="s">
        <v>58</v>
      </c>
      <c r="G5796">
        <v>0</v>
      </c>
      <c r="H5796">
        <v>0</v>
      </c>
      <c r="I5796">
        <v>0</v>
      </c>
      <c r="J5796">
        <v>-237.1926</v>
      </c>
      <c r="K5796">
        <v>1.104074</v>
      </c>
      <c r="L5796">
        <v>-63.630400000000002</v>
      </c>
      <c r="M5796">
        <v>0.99988349999999904</v>
      </c>
      <c r="N5796">
        <v>0</v>
      </c>
      <c r="O5796">
        <v>2.7125729999999998E-3</v>
      </c>
      <c r="P5796">
        <v>0.99530819999999998</v>
      </c>
      <c r="Q5796">
        <v>-7.3180349999999996E-3</v>
      </c>
      <c r="R5796">
        <v>9.6479389999999998E-2</v>
      </c>
      <c r="S5796">
        <v>3.067841</v>
      </c>
      <c r="T5796">
        <v>8.0076339999999996E-2</v>
      </c>
      <c r="U5796">
        <v>-0.54702759999999995</v>
      </c>
      <c r="V5796">
        <v>-9.3767349999999999E-2</v>
      </c>
      <c r="W5796">
        <v>7.7764840000000002E-3</v>
      </c>
      <c r="X5796">
        <v>0.99556369999999905</v>
      </c>
      <c r="Y5796">
        <v>0.1781519</v>
      </c>
      <c r="Z5796">
        <v>2.376721E-3</v>
      </c>
      <c r="AA5796">
        <v>0.98400010000000004</v>
      </c>
      <c r="AB5796">
        <v>39</v>
      </c>
      <c r="AC5796">
        <v>3.067841</v>
      </c>
      <c r="AD5796">
        <v>8.0076339999999996E-2</v>
      </c>
      <c r="AE5796">
        <v>-0.54702759999999995</v>
      </c>
      <c r="AF5796">
        <v>0.55498180723672297</v>
      </c>
      <c r="AG5796">
        <v>8.0076339999999996E-2</v>
      </c>
      <c r="AH5796">
        <v>3.0643222808080099</v>
      </c>
      <c r="AI5796">
        <v>88.527048760407993</v>
      </c>
      <c r="AJ5796">
        <v>79.734392393530896</v>
      </c>
      <c r="AK5796">
        <v>3.1152027329289398</v>
      </c>
    </row>
    <row r="5797" spans="1:37" x14ac:dyDescent="0.2">
      <c r="A5797" t="str">
        <f>"20200111153544390"</f>
        <v>20200111153544390</v>
      </c>
      <c r="B5797" t="str">
        <f>"1578728144381381"</f>
        <v>1578728144381381</v>
      </c>
      <c r="C5797" t="s">
        <v>37</v>
      </c>
      <c r="D5797">
        <v>4.9233469999999997</v>
      </c>
      <c r="E5797">
        <v>0.60509590000000002</v>
      </c>
      <c r="F5797" t="s">
        <v>58</v>
      </c>
      <c r="G5797">
        <v>0</v>
      </c>
      <c r="H5797">
        <v>0</v>
      </c>
      <c r="I5797">
        <v>0</v>
      </c>
      <c r="J5797">
        <v>-237.0034</v>
      </c>
      <c r="K5797">
        <v>1.104074</v>
      </c>
      <c r="L5797">
        <v>-63.630159999999997</v>
      </c>
      <c r="M5797">
        <v>0.99988429999999995</v>
      </c>
      <c r="N5797">
        <v>0</v>
      </c>
      <c r="O5797">
        <v>2.4248339999999998E-3</v>
      </c>
      <c r="P5797">
        <v>0.99535359999999995</v>
      </c>
      <c r="Q5797">
        <v>-7.253626E-3</v>
      </c>
      <c r="R5797">
        <v>9.6013370000000001E-2</v>
      </c>
      <c r="S5797">
        <v>3.06778</v>
      </c>
      <c r="T5797">
        <v>8.0871219999999994E-2</v>
      </c>
      <c r="U5797">
        <v>-0.54724119999999998</v>
      </c>
      <c r="V5797">
        <v>-9.3587370000000003E-2</v>
      </c>
      <c r="W5797">
        <v>7.8394250000000006E-3</v>
      </c>
      <c r="X5797">
        <v>0.99558019999999903</v>
      </c>
      <c r="Y5797">
        <v>0.1779375</v>
      </c>
      <c r="Z5797">
        <v>2.3900089999999998E-3</v>
      </c>
      <c r="AA5797">
        <v>0.98403890000000005</v>
      </c>
      <c r="AB5797">
        <v>39</v>
      </c>
      <c r="AC5797">
        <v>3.06778</v>
      </c>
      <c r="AD5797">
        <v>8.0871219999999994E-2</v>
      </c>
      <c r="AE5797">
        <v>-0.54724119999999998</v>
      </c>
      <c r="AF5797">
        <v>0.55430596381131503</v>
      </c>
      <c r="AG5797">
        <v>8.0871219999999994E-2</v>
      </c>
      <c r="AH5797">
        <v>3.0643800110085402</v>
      </c>
      <c r="AI5797">
        <v>88.512403656756305</v>
      </c>
      <c r="AJ5797">
        <v>79.746817316959607</v>
      </c>
      <c r="AK5797">
        <v>3.1151597242532798</v>
      </c>
    </row>
    <row r="5798" spans="1:37" x14ac:dyDescent="0.2">
      <c r="A5798" t="str">
        <f>"20200111153544400"</f>
        <v>20200111153544400</v>
      </c>
      <c r="B5798" t="str">
        <f>"1578728144391141"</f>
        <v>1578728144391141</v>
      </c>
      <c r="C5798" t="s">
        <v>37</v>
      </c>
      <c r="D5798">
        <v>4.9158309999999998</v>
      </c>
      <c r="E5798">
        <v>0.60508359999999894</v>
      </c>
      <c r="F5798" t="s">
        <v>58</v>
      </c>
      <c r="G5798">
        <v>0</v>
      </c>
      <c r="H5798">
        <v>0</v>
      </c>
      <c r="I5798">
        <v>0</v>
      </c>
      <c r="J5798">
        <v>-236.81270000000001</v>
      </c>
      <c r="K5798">
        <v>1.1040760000000001</v>
      </c>
      <c r="L5798">
        <v>-63.629909999999903</v>
      </c>
      <c r="M5798">
        <v>0.99988519999999903</v>
      </c>
      <c r="N5798">
        <v>0</v>
      </c>
      <c r="O5798">
        <v>2.1347710000000002E-3</v>
      </c>
      <c r="P5798">
        <v>0.99537489999999995</v>
      </c>
      <c r="Q5798">
        <v>-7.0485699999999997E-3</v>
      </c>
      <c r="R5798">
        <v>9.5810980000000004E-2</v>
      </c>
      <c r="S5798">
        <v>3.0674589999999999</v>
      </c>
      <c r="T5798">
        <v>8.0374840000000003E-2</v>
      </c>
      <c r="U5798">
        <v>-0.54806519999999903</v>
      </c>
      <c r="V5798">
        <v>-9.3673640000000002E-2</v>
      </c>
      <c r="W5798">
        <v>8.0425519999999997E-3</v>
      </c>
      <c r="X5798">
        <v>0.99557050000000002</v>
      </c>
      <c r="Y5798">
        <v>0.177926799999999</v>
      </c>
      <c r="Z5798">
        <v>2.3678520000000002E-3</v>
      </c>
      <c r="AA5798">
        <v>0.9840409</v>
      </c>
      <c r="AB5798">
        <v>39</v>
      </c>
      <c r="AC5798">
        <v>3.0674589999999999</v>
      </c>
      <c r="AD5798">
        <v>8.0374840000000003E-2</v>
      </c>
      <c r="AE5798">
        <v>-0.54806519999999903</v>
      </c>
      <c r="AF5798">
        <v>0.55424425649527997</v>
      </c>
      <c r="AG5798">
        <v>8.0374840000000003E-2</v>
      </c>
      <c r="AH5798">
        <v>3.0642431589719701</v>
      </c>
      <c r="AI5798">
        <v>88.521461197011703</v>
      </c>
      <c r="AJ5798">
        <v>79.747486373090496</v>
      </c>
      <c r="AK5798">
        <v>3.1150012757733498</v>
      </c>
    </row>
    <row r="5799" spans="1:37" x14ac:dyDescent="0.2">
      <c r="A5799" t="str">
        <f>"20200111153544411"</f>
        <v>20200111153544411</v>
      </c>
      <c r="B5799" t="str">
        <f>"1578728144401877"</f>
        <v>1578728144401877</v>
      </c>
      <c r="C5799" t="s">
        <v>37</v>
      </c>
      <c r="D5799">
        <v>4.9262290000000002</v>
      </c>
      <c r="E5799">
        <v>0.60505880000000001</v>
      </c>
      <c r="F5799" t="s">
        <v>58</v>
      </c>
      <c r="G5799">
        <v>0</v>
      </c>
      <c r="H5799">
        <v>0</v>
      </c>
      <c r="I5799">
        <v>0</v>
      </c>
      <c r="J5799">
        <v>-236.61869999999999</v>
      </c>
      <c r="K5799">
        <v>1.104077</v>
      </c>
      <c r="L5799">
        <v>-63.629759999999997</v>
      </c>
      <c r="M5799">
        <v>0.99988559999999904</v>
      </c>
      <c r="N5799">
        <v>0</v>
      </c>
      <c r="O5799">
        <v>1.8398819999999999E-3</v>
      </c>
      <c r="P5799">
        <v>0.99540010000000001</v>
      </c>
      <c r="Q5799">
        <v>-6.7962309999999998E-3</v>
      </c>
      <c r="R5799">
        <v>9.5565020000000001E-2</v>
      </c>
      <c r="S5799">
        <v>3.0673219999999999</v>
      </c>
      <c r="T5799">
        <v>8.0710290000000004E-2</v>
      </c>
      <c r="U5799">
        <v>-0.54867549999999998</v>
      </c>
      <c r="V5799">
        <v>-9.3720440000000002E-2</v>
      </c>
      <c r="W5799">
        <v>8.2928829999999992E-3</v>
      </c>
      <c r="X5799">
        <v>0.99556399999999901</v>
      </c>
      <c r="Y5799">
        <v>0.17783360000000001</v>
      </c>
      <c r="Z5799">
        <v>2.3688799999999999E-3</v>
      </c>
      <c r="AA5799">
        <v>0.98405769999999904</v>
      </c>
      <c r="AB5799">
        <v>39</v>
      </c>
      <c r="AC5799">
        <v>3.0673219999999999</v>
      </c>
      <c r="AD5799">
        <v>8.0710290000000004E-2</v>
      </c>
      <c r="AE5799">
        <v>-0.54867549999999998</v>
      </c>
      <c r="AF5799">
        <v>0.553947072336897</v>
      </c>
      <c r="AG5799">
        <v>8.0710290000000004E-2</v>
      </c>
      <c r="AH5799">
        <v>3.0642513758838201</v>
      </c>
      <c r="AI5799">
        <v>88.515271819817897</v>
      </c>
      <c r="AJ5799">
        <v>79.752894128667094</v>
      </c>
      <c r="AK5799">
        <v>3.1149651690618301</v>
      </c>
    </row>
    <row r="5800" spans="1:37" x14ac:dyDescent="0.2">
      <c r="A5800" t="str">
        <f>"20200111153544424"</f>
        <v>20200111153544424</v>
      </c>
      <c r="B5800" t="str">
        <f>"1578728144421397"</f>
        <v>1578728144421397</v>
      </c>
      <c r="C5800" t="s">
        <v>37</v>
      </c>
      <c r="D5800">
        <v>4.9268210000000003</v>
      </c>
      <c r="E5800">
        <v>0.6050913</v>
      </c>
      <c r="F5800" t="s">
        <v>58</v>
      </c>
      <c r="G5800">
        <v>0</v>
      </c>
      <c r="H5800">
        <v>0</v>
      </c>
      <c r="I5800">
        <v>0</v>
      </c>
      <c r="J5800">
        <v>-236.41919999999999</v>
      </c>
      <c r="K5800">
        <v>1.10408</v>
      </c>
      <c r="L5800">
        <v>-63.629640000000002</v>
      </c>
      <c r="M5800">
        <v>0.99988630000000001</v>
      </c>
      <c r="N5800">
        <v>0</v>
      </c>
      <c r="O5800">
        <v>1.5367110000000001E-3</v>
      </c>
      <c r="P5800">
        <v>0.99541229999999903</v>
      </c>
      <c r="Q5800">
        <v>-6.248015E-3</v>
      </c>
      <c r="R5800">
        <v>9.5474710000000004E-2</v>
      </c>
      <c r="S5800">
        <v>3.0671390000000001</v>
      </c>
      <c r="T5800">
        <v>8.0839750000000002E-2</v>
      </c>
      <c r="U5800">
        <v>-0.54916379999999998</v>
      </c>
      <c r="V5800">
        <v>-9.3931239999999999E-2</v>
      </c>
      <c r="W5800">
        <v>8.8393180000000005E-3</v>
      </c>
      <c r="X5800">
        <v>0.99553939999999996</v>
      </c>
      <c r="Y5800">
        <v>0.1776972</v>
      </c>
      <c r="Z5800">
        <v>2.3630739999999902E-3</v>
      </c>
      <c r="AA5800">
        <v>0.98408240000000002</v>
      </c>
      <c r="AB5800">
        <v>39</v>
      </c>
      <c r="AC5800">
        <v>3.0671390000000001</v>
      </c>
      <c r="AD5800">
        <v>8.0839750000000002E-2</v>
      </c>
      <c r="AE5800">
        <v>-0.54916379999999998</v>
      </c>
      <c r="AF5800">
        <v>0.55350442484472395</v>
      </c>
      <c r="AG5800">
        <v>8.0839750000000002E-2</v>
      </c>
      <c r="AH5800">
        <v>3.06422884756853</v>
      </c>
      <c r="AI5800">
        <v>88.512843212999002</v>
      </c>
      <c r="AJ5800">
        <v>79.760835401642694</v>
      </c>
      <c r="AK5800">
        <v>3.1148676767679699</v>
      </c>
    </row>
    <row r="5801" spans="1:37" x14ac:dyDescent="0.2">
      <c r="A5801" t="str">
        <f>"20200111153544435"</f>
        <v>20200111153544435</v>
      </c>
      <c r="B5801" t="str">
        <f>"1578728144431157"</f>
        <v>1578728144431157</v>
      </c>
      <c r="C5801" t="s">
        <v>37</v>
      </c>
      <c r="D5801">
        <v>4.8989880000000001</v>
      </c>
      <c r="E5801">
        <v>0.60507659999999996</v>
      </c>
      <c r="F5801" t="s">
        <v>58</v>
      </c>
      <c r="G5801">
        <v>0</v>
      </c>
      <c r="H5801">
        <v>0</v>
      </c>
      <c r="I5801">
        <v>0</v>
      </c>
      <c r="J5801">
        <v>-236.2287</v>
      </c>
      <c r="K5801">
        <v>1.10408</v>
      </c>
      <c r="L5801">
        <v>-63.62961</v>
      </c>
      <c r="M5801">
        <v>0.99988679999999996</v>
      </c>
      <c r="N5801">
        <v>0</v>
      </c>
      <c r="O5801">
        <v>1.2468329999999999E-3</v>
      </c>
      <c r="P5801">
        <v>0.99541740000000001</v>
      </c>
      <c r="Q5801">
        <v>-5.7483229999999996E-3</v>
      </c>
      <c r="R5801">
        <v>9.5452999999999996E-2</v>
      </c>
      <c r="S5801">
        <v>3.067078</v>
      </c>
      <c r="T5801">
        <v>8.1022499999999997E-2</v>
      </c>
      <c r="U5801">
        <v>-0.54971309999999995</v>
      </c>
      <c r="V5801">
        <v>-9.4197589999999998E-2</v>
      </c>
      <c r="W5801">
        <v>9.3375919999999901E-3</v>
      </c>
      <c r="X5801">
        <v>0.99550969999999905</v>
      </c>
      <c r="Y5801">
        <v>0.17758589999999999</v>
      </c>
      <c r="Z5801">
        <v>2.359369E-3</v>
      </c>
      <c r="AA5801">
        <v>0.98410249999999999</v>
      </c>
      <c r="AB5801">
        <v>39</v>
      </c>
      <c r="AC5801">
        <v>3.067078</v>
      </c>
      <c r="AD5801">
        <v>8.1022499999999997E-2</v>
      </c>
      <c r="AE5801">
        <v>-0.54971309999999995</v>
      </c>
      <c r="AF5801">
        <v>0.55316322658670103</v>
      </c>
      <c r="AG5801">
        <v>8.1022499999999997E-2</v>
      </c>
      <c r="AH5801">
        <v>3.0643182615054299</v>
      </c>
      <c r="AI5801">
        <v>88.509495884166796</v>
      </c>
      <c r="AJ5801">
        <v>79.767306031699206</v>
      </c>
      <c r="AK5801">
        <v>3.1148997750408798</v>
      </c>
    </row>
    <row r="5802" spans="1:37" x14ac:dyDescent="0.2">
      <c r="A5802" t="str">
        <f>"20200111153544446"</f>
        <v>20200111153544446</v>
      </c>
      <c r="B5802" t="str">
        <f>"1578728144441896"</f>
        <v>1578728144441896</v>
      </c>
      <c r="C5802" t="s">
        <v>37</v>
      </c>
      <c r="D5802">
        <v>4.9198079999999997</v>
      </c>
      <c r="E5802">
        <v>0.60502590000000001</v>
      </c>
      <c r="F5802" t="s">
        <v>58</v>
      </c>
      <c r="G5802">
        <v>0</v>
      </c>
      <c r="H5802">
        <v>0</v>
      </c>
      <c r="I5802">
        <v>0</v>
      </c>
      <c r="J5802">
        <v>-236.0308</v>
      </c>
      <c r="K5802">
        <v>1.1040840000000001</v>
      </c>
      <c r="L5802">
        <v>-63.629640000000002</v>
      </c>
      <c r="M5802">
        <v>0.99988709999999903</v>
      </c>
      <c r="N5802">
        <v>0</v>
      </c>
      <c r="O5802">
        <v>9.4563329999999997E-4</v>
      </c>
      <c r="P5802">
        <v>0.99543609999999905</v>
      </c>
      <c r="Q5802">
        <v>-5.3677769999999998E-3</v>
      </c>
      <c r="R5802">
        <v>9.5280480000000001E-2</v>
      </c>
      <c r="S5802">
        <v>3.066986</v>
      </c>
      <c r="T5802">
        <v>8.2076670000000004E-2</v>
      </c>
      <c r="U5802">
        <v>-0.5495911</v>
      </c>
      <c r="V5802">
        <v>-9.4324469999999994E-2</v>
      </c>
      <c r="W5802">
        <v>9.7161829999999998E-3</v>
      </c>
      <c r="X5802">
        <v>0.99549409999999905</v>
      </c>
      <c r="Y5802">
        <v>0.1772552</v>
      </c>
      <c r="Z5802">
        <v>2.3777479999999998E-3</v>
      </c>
      <c r="AA5802">
        <v>0.98416199999999998</v>
      </c>
      <c r="AB5802">
        <v>39</v>
      </c>
      <c r="AC5802">
        <v>3.066986</v>
      </c>
      <c r="AD5802">
        <v>8.2076670000000004E-2</v>
      </c>
      <c r="AE5802">
        <v>-0.5495911</v>
      </c>
      <c r="AF5802">
        <v>0.55210832312449598</v>
      </c>
      <c r="AG5802">
        <v>8.2076670000000004E-2</v>
      </c>
      <c r="AH5802">
        <v>3.06433855044587</v>
      </c>
      <c r="AI5802">
        <v>88.4900310374572</v>
      </c>
      <c r="AJ5802">
        <v>79.786475212347398</v>
      </c>
      <c r="AK5802">
        <v>3.1147601724643801</v>
      </c>
    </row>
    <row r="5803" spans="1:37" x14ac:dyDescent="0.2">
      <c r="A5803" t="str">
        <f>"20200111153544456"</f>
        <v>20200111153544456</v>
      </c>
      <c r="B5803" t="str">
        <f>"1578728144451653"</f>
        <v>1578728144451653</v>
      </c>
      <c r="C5803" t="s">
        <v>37</v>
      </c>
      <c r="D5803">
        <v>4.9228930000000002</v>
      </c>
      <c r="E5803">
        <v>0.60493490000000005</v>
      </c>
      <c r="F5803" t="s">
        <v>58</v>
      </c>
      <c r="G5803">
        <v>0</v>
      </c>
      <c r="H5803">
        <v>0</v>
      </c>
      <c r="I5803">
        <v>0</v>
      </c>
      <c r="J5803">
        <v>-235.83699999999999</v>
      </c>
      <c r="K5803">
        <v>1.104088</v>
      </c>
      <c r="L5803">
        <v>-63.629669999999997</v>
      </c>
      <c r="M5803">
        <v>0.99988729999999904</v>
      </c>
      <c r="N5803">
        <v>0</v>
      </c>
      <c r="O5803">
        <v>6.5057319999999995E-4</v>
      </c>
      <c r="P5803">
        <v>0.99544699999999997</v>
      </c>
      <c r="Q5803">
        <v>-5.1151759999999999E-3</v>
      </c>
      <c r="R5803">
        <v>9.5179730000000004E-2</v>
      </c>
      <c r="S5803">
        <v>3.066818</v>
      </c>
      <c r="T5803">
        <v>8.2068559999999999E-2</v>
      </c>
      <c r="U5803">
        <v>-0.54974369999999995</v>
      </c>
      <c r="V5803">
        <v>-9.451648E-2</v>
      </c>
      <c r="W5803">
        <v>9.9669879999999995E-3</v>
      </c>
      <c r="X5803">
        <v>0.99547339999999995</v>
      </c>
      <c r="Y5803">
        <v>0.17702179999999901</v>
      </c>
      <c r="Z5803">
        <v>2.3666999999999998E-3</v>
      </c>
      <c r="AA5803">
        <v>0.98420409999999903</v>
      </c>
      <c r="AB5803">
        <v>39</v>
      </c>
      <c r="AC5803">
        <v>3.066818</v>
      </c>
      <c r="AD5803">
        <v>8.2068559999999999E-2</v>
      </c>
      <c r="AE5803">
        <v>-0.54974369999999995</v>
      </c>
      <c r="AF5803">
        <v>0.55135645965236502</v>
      </c>
      <c r="AG5803">
        <v>8.2068559999999999E-2</v>
      </c>
      <c r="AH5803">
        <v>3.0643335889186698</v>
      </c>
      <c r="AI5803">
        <v>88.490113225475397</v>
      </c>
      <c r="AJ5803">
        <v>79.800075666450795</v>
      </c>
      <c r="AK5803">
        <v>3.1146218933148302</v>
      </c>
    </row>
    <row r="5804" spans="1:37" x14ac:dyDescent="0.2">
      <c r="A5804" t="str">
        <f>"20200111153544469"</f>
        <v>20200111153544469</v>
      </c>
      <c r="B5804" t="str">
        <f>"1578728144461413"</f>
        <v>1578728144461413</v>
      </c>
      <c r="C5804" t="s">
        <v>37</v>
      </c>
      <c r="D5804">
        <v>4.9042009999999996</v>
      </c>
      <c r="E5804">
        <v>0.60492239999999997</v>
      </c>
      <c r="F5804" t="s">
        <v>58</v>
      </c>
      <c r="G5804">
        <v>0</v>
      </c>
      <c r="H5804">
        <v>0</v>
      </c>
      <c r="I5804">
        <v>0</v>
      </c>
      <c r="J5804">
        <v>-235.64529999999999</v>
      </c>
      <c r="K5804">
        <v>1.104098</v>
      </c>
      <c r="L5804">
        <v>-63.629849999999998</v>
      </c>
      <c r="M5804">
        <v>0.99988719999999998</v>
      </c>
      <c r="N5804">
        <v>0</v>
      </c>
      <c r="O5804">
        <v>3.6045929999999998E-4</v>
      </c>
      <c r="P5804">
        <v>0.99544569999999999</v>
      </c>
      <c r="Q5804">
        <v>-5.0234590000000001E-3</v>
      </c>
      <c r="R5804">
        <v>9.5199350000000002E-2</v>
      </c>
      <c r="S5804">
        <v>3.0666660000000001</v>
      </c>
      <c r="T5804">
        <v>8.1783179999999997E-2</v>
      </c>
      <c r="U5804">
        <v>-0.54940800000000001</v>
      </c>
      <c r="V5804">
        <v>-9.4824919999999993E-2</v>
      </c>
      <c r="W5804">
        <v>1.007046E-2</v>
      </c>
      <c r="X5804">
        <v>0.99544299999999997</v>
      </c>
      <c r="Y5804">
        <v>0.17664099999999999</v>
      </c>
      <c r="Z5804">
        <v>2.3458989999999998E-3</v>
      </c>
      <c r="AA5804">
        <v>0.98427249999999999</v>
      </c>
      <c r="AB5804">
        <v>39</v>
      </c>
      <c r="AC5804">
        <v>3.0666660000000001</v>
      </c>
      <c r="AD5804">
        <v>8.1783179999999997E-2</v>
      </c>
      <c r="AE5804">
        <v>-0.54940800000000001</v>
      </c>
      <c r="AF5804">
        <v>0.55013440614227505</v>
      </c>
      <c r="AG5804">
        <v>8.1783179999999997E-2</v>
      </c>
      <c r="AH5804">
        <v>3.0643561278541198</v>
      </c>
      <c r="AI5804">
        <v>88.495267482987401</v>
      </c>
      <c r="AJ5804">
        <v>79.822283477234606</v>
      </c>
      <c r="AK5804">
        <v>3.1144204648167699</v>
      </c>
    </row>
    <row r="5805" spans="1:37" x14ac:dyDescent="0.2">
      <c r="A5805" t="str">
        <f>"20200111153544479"</f>
        <v>20200111153544479</v>
      </c>
      <c r="B5805" t="str">
        <f>"1578728144471173"</f>
        <v>1578728144471173</v>
      </c>
      <c r="C5805" t="s">
        <v>37</v>
      </c>
      <c r="D5805">
        <v>4.8758460000000001</v>
      </c>
      <c r="E5805">
        <v>0.60494859999999995</v>
      </c>
      <c r="F5805" t="s">
        <v>58</v>
      </c>
      <c r="G5805">
        <v>0</v>
      </c>
      <c r="H5805">
        <v>0</v>
      </c>
      <c r="I5805">
        <v>0</v>
      </c>
      <c r="J5805">
        <v>-235.4555</v>
      </c>
      <c r="K5805">
        <v>1.1041030000000001</v>
      </c>
      <c r="L5805">
        <v>-63.63</v>
      </c>
      <c r="M5805">
        <v>0.99988699999999997</v>
      </c>
      <c r="N5805">
        <v>0</v>
      </c>
      <c r="O5805" s="1">
        <v>7.3819229999999995E-5</v>
      </c>
      <c r="P5805">
        <v>0.99544140000000003</v>
      </c>
      <c r="Q5805">
        <v>-4.86488799999999E-3</v>
      </c>
      <c r="R5805">
        <v>9.5250689999999999E-2</v>
      </c>
      <c r="S5805">
        <v>3.066681</v>
      </c>
      <c r="T5805">
        <v>8.1408739999999993E-2</v>
      </c>
      <c r="U5805">
        <v>-0.54922490000000002</v>
      </c>
      <c r="V5805">
        <v>-9.5161770000000007E-2</v>
      </c>
      <c r="W5805">
        <v>1.0244970000000001E-2</v>
      </c>
      <c r="X5805">
        <v>0.99540910000000005</v>
      </c>
      <c r="Y5805">
        <v>0.17630179999999901</v>
      </c>
      <c r="Z5805">
        <v>2.3231469999999998E-3</v>
      </c>
      <c r="AA5805">
        <v>0.98433340000000003</v>
      </c>
      <c r="AB5805">
        <v>39</v>
      </c>
      <c r="AC5805">
        <v>3.066681</v>
      </c>
      <c r="AD5805">
        <v>8.1408739999999993E-2</v>
      </c>
      <c r="AE5805">
        <v>-0.54922490000000002</v>
      </c>
      <c r="AF5805">
        <v>0.54907639458414403</v>
      </c>
      <c r="AG5805">
        <v>8.1408739999999993E-2</v>
      </c>
      <c r="AH5805">
        <v>3.0645479693983302</v>
      </c>
      <c r="AI5805">
        <v>88.502154664815194</v>
      </c>
      <c r="AJ5805">
        <v>79.842071807618794</v>
      </c>
      <c r="AK5805">
        <v>3.1144127097707099</v>
      </c>
    </row>
    <row r="5806" spans="1:37" x14ac:dyDescent="0.2">
      <c r="A5806" t="str">
        <f>"20200111153544490"</f>
        <v>20200111153544490</v>
      </c>
      <c r="B5806" t="str">
        <f>"1578728144481909"</f>
        <v>1578728144481909</v>
      </c>
      <c r="C5806" t="s">
        <v>37</v>
      </c>
      <c r="D5806">
        <v>4.90015</v>
      </c>
      <c r="E5806">
        <v>0.60491539999999999</v>
      </c>
      <c r="F5806" t="s">
        <v>58</v>
      </c>
      <c r="G5806">
        <v>0</v>
      </c>
      <c r="H5806">
        <v>0</v>
      </c>
      <c r="I5806">
        <v>0</v>
      </c>
      <c r="J5806">
        <v>-235.26429999999999</v>
      </c>
      <c r="K5806">
        <v>1.1041179999999999</v>
      </c>
      <c r="L5806">
        <v>-63.630249999999997</v>
      </c>
      <c r="M5806">
        <v>0.99988619999999995</v>
      </c>
      <c r="N5806">
        <v>0</v>
      </c>
      <c r="O5806">
        <v>-2.09151699999999E-4</v>
      </c>
      <c r="P5806">
        <v>0.99544009999999905</v>
      </c>
      <c r="Q5806">
        <v>-5.0068370000000001E-3</v>
      </c>
      <c r="R5806">
        <v>9.5258120000000002E-2</v>
      </c>
      <c r="S5806">
        <v>3.0666959999999999</v>
      </c>
      <c r="T5806">
        <v>8.059144E-2</v>
      </c>
      <c r="U5806">
        <v>-0.54931640000000004</v>
      </c>
      <c r="V5806">
        <v>-9.5450419999999994E-2</v>
      </c>
      <c r="W5806">
        <v>1.0163429999999999E-2</v>
      </c>
      <c r="X5806">
        <v>0.99538230000000005</v>
      </c>
      <c r="Y5806">
        <v>0.17605219999999999</v>
      </c>
      <c r="Z5806">
        <v>2.289185E-3</v>
      </c>
      <c r="AA5806">
        <v>0.98437819999999898</v>
      </c>
      <c r="AB5806">
        <v>39</v>
      </c>
      <c r="AC5806">
        <v>3.0666959999999999</v>
      </c>
      <c r="AD5806">
        <v>8.059144E-2</v>
      </c>
      <c r="AE5806">
        <v>-0.54931640000000004</v>
      </c>
      <c r="AF5806">
        <v>0.54830801222262504</v>
      </c>
      <c r="AG5806">
        <v>8.059144E-2</v>
      </c>
      <c r="AH5806">
        <v>3.0647600646219</v>
      </c>
      <c r="AI5806">
        <v>88.517220401868499</v>
      </c>
      <c r="AJ5806">
        <v>79.856678941314996</v>
      </c>
      <c r="AK5806">
        <v>3.1144647871135098</v>
      </c>
    </row>
    <row r="5807" spans="1:37" x14ac:dyDescent="0.2">
      <c r="A5807" t="str">
        <f>"20200111153544501"</f>
        <v>20200111153544501</v>
      </c>
      <c r="B5807" t="str">
        <f>"1578728144491669"</f>
        <v>1578728144491669</v>
      </c>
      <c r="C5807" t="s">
        <v>37</v>
      </c>
      <c r="D5807">
        <v>4.8869619999999996</v>
      </c>
      <c r="E5807">
        <v>0.60493640000000004</v>
      </c>
      <c r="F5807" t="s">
        <v>58</v>
      </c>
      <c r="G5807">
        <v>0</v>
      </c>
      <c r="H5807">
        <v>0</v>
      </c>
      <c r="I5807">
        <v>0</v>
      </c>
      <c r="J5807">
        <v>-235.0746</v>
      </c>
      <c r="K5807">
        <v>1.104136</v>
      </c>
      <c r="L5807">
        <v>-63.630519999999997</v>
      </c>
      <c r="M5807">
        <v>0.99988500000000002</v>
      </c>
      <c r="N5807">
        <v>0</v>
      </c>
      <c r="O5807">
        <v>-4.8930830000000003E-4</v>
      </c>
      <c r="P5807">
        <v>0.99541780000000002</v>
      </c>
      <c r="Q5807">
        <v>-4.9514820000000001E-3</v>
      </c>
      <c r="R5807">
        <v>9.5493999999999996E-2</v>
      </c>
      <c r="S5807">
        <v>3.0666660000000001</v>
      </c>
      <c r="T5807">
        <v>7.9321740000000002E-2</v>
      </c>
      <c r="U5807">
        <v>-0.54895019999999894</v>
      </c>
      <c r="V5807">
        <v>-9.5965259999999997E-2</v>
      </c>
      <c r="W5807">
        <v>1.0293129999999999E-2</v>
      </c>
      <c r="X5807">
        <v>0.99533150000000004</v>
      </c>
      <c r="Y5807">
        <v>0.175666299999999</v>
      </c>
      <c r="Z5807">
        <v>2.2410360000000001E-3</v>
      </c>
      <c r="AA5807">
        <v>0.98444719999999997</v>
      </c>
      <c r="AB5807">
        <v>39</v>
      </c>
      <c r="AC5807">
        <v>3.0666660000000001</v>
      </c>
      <c r="AD5807">
        <v>7.9321740000000002E-2</v>
      </c>
      <c r="AE5807">
        <v>-0.54895019999999894</v>
      </c>
      <c r="AF5807">
        <v>0.54709475342131297</v>
      </c>
      <c r="AG5807">
        <v>7.9321740000000002E-2</v>
      </c>
      <c r="AH5807">
        <v>3.0649473661934601</v>
      </c>
      <c r="AI5807">
        <v>88.540557464051801</v>
      </c>
      <c r="AJ5807">
        <v>79.879264613413497</v>
      </c>
      <c r="AK5807">
        <v>3.1144031475057901</v>
      </c>
    </row>
    <row r="5808" spans="1:37" x14ac:dyDescent="0.2">
      <c r="A5808" t="str">
        <f>"20200111153544513"</f>
        <v>20200111153544513</v>
      </c>
      <c r="B5808" t="str">
        <f>"1578728144501429"</f>
        <v>1578728144501429</v>
      </c>
      <c r="C5808" t="s">
        <v>37</v>
      </c>
      <c r="D5808">
        <v>4.879461</v>
      </c>
      <c r="E5808">
        <v>0.60498719999999995</v>
      </c>
      <c r="F5808" t="s">
        <v>58</v>
      </c>
      <c r="G5808">
        <v>0</v>
      </c>
      <c r="H5808">
        <v>0</v>
      </c>
      <c r="I5808">
        <v>0</v>
      </c>
      <c r="J5808">
        <v>-234.8784</v>
      </c>
      <c r="K5808">
        <v>1.104163</v>
      </c>
      <c r="L5808">
        <v>-63.630890000000001</v>
      </c>
      <c r="M5808">
        <v>0.99988290000000002</v>
      </c>
      <c r="N5808">
        <v>0</v>
      </c>
      <c r="O5808">
        <v>-7.7804149999999999E-4</v>
      </c>
      <c r="P5808">
        <v>0.99540069999999903</v>
      </c>
      <c r="Q5808">
        <v>-4.9984749999999996E-3</v>
      </c>
      <c r="R5808">
        <v>9.5670140000000001E-2</v>
      </c>
      <c r="S5808">
        <v>3.06680299999999</v>
      </c>
      <c r="T5808">
        <v>7.926917E-2</v>
      </c>
      <c r="U5808">
        <v>-0.54843140000000001</v>
      </c>
      <c r="V5808">
        <v>-9.642887E-2</v>
      </c>
      <c r="W5808">
        <v>1.0365600000000001E-2</v>
      </c>
      <c r="X5808">
        <v>0.99528589999999995</v>
      </c>
      <c r="Y5808">
        <v>0.17521320000000001</v>
      </c>
      <c r="Z5808">
        <v>2.2262739999999999E-3</v>
      </c>
      <c r="AA5808">
        <v>0.98452799999999996</v>
      </c>
      <c r="AB5808">
        <v>39</v>
      </c>
      <c r="AC5808">
        <v>3.06680299999999</v>
      </c>
      <c r="AD5808">
        <v>7.926917E-2</v>
      </c>
      <c r="AE5808">
        <v>-0.54843140000000001</v>
      </c>
      <c r="AF5808">
        <v>0.54569158015214103</v>
      </c>
      <c r="AG5808">
        <v>7.926917E-2</v>
      </c>
      <c r="AH5808">
        <v>3.0652444162465802</v>
      </c>
      <c r="AI5808">
        <v>88.541545910020304</v>
      </c>
      <c r="AJ5808">
        <v>79.905645626548406</v>
      </c>
      <c r="AK5808">
        <v>3.1144479821137301</v>
      </c>
    </row>
    <row r="5809" spans="1:37" x14ac:dyDescent="0.2">
      <c r="A5809" t="str">
        <f>"20200111153544524"</f>
        <v>20200111153544524</v>
      </c>
      <c r="B5809" t="str">
        <f>"1578728144521925"</f>
        <v>1578728144521925</v>
      </c>
      <c r="C5809" t="s">
        <v>37</v>
      </c>
      <c r="D5809">
        <v>5.2629260000000002</v>
      </c>
      <c r="E5809">
        <v>0.60494049999999999</v>
      </c>
      <c r="F5809" t="s">
        <v>58</v>
      </c>
      <c r="G5809">
        <v>0</v>
      </c>
      <c r="H5809">
        <v>0</v>
      </c>
      <c r="I5809">
        <v>0</v>
      </c>
      <c r="J5809">
        <v>-234.68199999999999</v>
      </c>
      <c r="K5809">
        <v>1.104187</v>
      </c>
      <c r="L5809">
        <v>-63.631319999999903</v>
      </c>
      <c r="M5809">
        <v>0.99988060000000001</v>
      </c>
      <c r="N5809">
        <v>0</v>
      </c>
      <c r="O5809">
        <v>-1.067995E-3</v>
      </c>
      <c r="P5809">
        <v>0.99536899999999995</v>
      </c>
      <c r="Q5809">
        <v>-5.3751190000000003E-3</v>
      </c>
      <c r="R5809">
        <v>9.5977839999999995E-2</v>
      </c>
      <c r="S5809">
        <v>3.0669559999999998</v>
      </c>
      <c r="T5809">
        <v>7.910478E-2</v>
      </c>
      <c r="U5809">
        <v>-0.54827879999999996</v>
      </c>
      <c r="V5809">
        <v>-9.7025180000000003E-2</v>
      </c>
      <c r="W5809">
        <v>1.012529E-2</v>
      </c>
      <c r="X5809">
        <v>0.99523039999999996</v>
      </c>
      <c r="Y5809">
        <v>0.17487220000000001</v>
      </c>
      <c r="Z5809">
        <v>2.2097789999999998E-3</v>
      </c>
      <c r="AA5809">
        <v>0.98458860000000004</v>
      </c>
      <c r="AB5809">
        <v>39</v>
      </c>
      <c r="AC5809">
        <v>3.0669559999999998</v>
      </c>
      <c r="AD5809">
        <v>7.910478E-2</v>
      </c>
      <c r="AE5809">
        <v>-0.54827879999999996</v>
      </c>
      <c r="AF5809">
        <v>0.54465149139523195</v>
      </c>
      <c r="AG5809">
        <v>7.910478E-2</v>
      </c>
      <c r="AH5809">
        <v>3.0655636448277099</v>
      </c>
      <c r="AI5809">
        <v>88.5446309390084</v>
      </c>
      <c r="AJ5809">
        <v>79.925518623604106</v>
      </c>
      <c r="AK5809">
        <v>3.1145759380351001</v>
      </c>
    </row>
    <row r="5810" spans="1:37" x14ac:dyDescent="0.2">
      <c r="A5810" t="str">
        <f>"20200111153544535"</f>
        <v>20200111153544535</v>
      </c>
      <c r="B5810" t="str">
        <f>"1578728144531685"</f>
        <v>1578728144531685</v>
      </c>
      <c r="C5810" t="s">
        <v>37</v>
      </c>
      <c r="D5810">
        <v>4.9666839999999999</v>
      </c>
      <c r="E5810">
        <v>0.55722689999999997</v>
      </c>
      <c r="F5810" t="s">
        <v>58</v>
      </c>
      <c r="G5810">
        <v>0</v>
      </c>
      <c r="H5810">
        <v>0</v>
      </c>
      <c r="I5810">
        <v>0</v>
      </c>
      <c r="J5810">
        <v>-234.48269999999999</v>
      </c>
      <c r="K5810">
        <v>1.1042190000000001</v>
      </c>
      <c r="L5810">
        <v>-63.631809999999902</v>
      </c>
      <c r="M5810">
        <v>0.99987769999999998</v>
      </c>
      <c r="N5810">
        <v>0</v>
      </c>
      <c r="O5810">
        <v>-1.362769E-3</v>
      </c>
      <c r="P5810">
        <v>0.99534480000000003</v>
      </c>
      <c r="Q5810">
        <v>-5.7825759999999898E-3</v>
      </c>
      <c r="R5810">
        <v>9.6204090000000006E-2</v>
      </c>
      <c r="S5810">
        <v>3.0671080000000002</v>
      </c>
      <c r="T5810">
        <v>7.7613349999999998E-2</v>
      </c>
      <c r="U5810">
        <v>-0.54690550000000004</v>
      </c>
      <c r="V5810">
        <v>-9.7545530000000005E-2</v>
      </c>
      <c r="W5810">
        <v>9.8749630000000005E-3</v>
      </c>
      <c r="X5810">
        <v>0.99518209999999996</v>
      </c>
      <c r="Y5810">
        <v>0.17414859999999999</v>
      </c>
      <c r="Z5810">
        <v>2.1516249999999999E-3</v>
      </c>
      <c r="AA5810">
        <v>0.98471699999999995</v>
      </c>
      <c r="AB5810">
        <v>38</v>
      </c>
      <c r="AC5810">
        <v>3.0671080000000002</v>
      </c>
      <c r="AD5810">
        <v>7.7613349999999998E-2</v>
      </c>
      <c r="AE5810">
        <v>-0.54690550000000004</v>
      </c>
      <c r="AF5810">
        <v>0.54238811170293399</v>
      </c>
      <c r="AG5810">
        <v>7.7613349999999998E-2</v>
      </c>
      <c r="AH5810">
        <v>3.0659477796952701</v>
      </c>
      <c r="AI5810">
        <v>88.5720510515049</v>
      </c>
      <c r="AJ5810">
        <v>79.967763789800699</v>
      </c>
      <c r="AK5810">
        <v>3.1145215497140599</v>
      </c>
    </row>
    <row r="5811" spans="1:37" x14ac:dyDescent="0.2">
      <c r="A5811" t="str">
        <f>"20200111153544548"</f>
        <v>20200111153544548</v>
      </c>
      <c r="B5811" t="str">
        <f>"1578728144541445"</f>
        <v>1578728144541445</v>
      </c>
      <c r="C5811" t="s">
        <v>37</v>
      </c>
      <c r="D5811">
        <v>4.9165279999999996</v>
      </c>
      <c r="E5811">
        <v>0.53974119999999903</v>
      </c>
      <c r="F5811" t="s">
        <v>48</v>
      </c>
      <c r="G5811">
        <v>-168.45060000000001</v>
      </c>
      <c r="H5811">
        <v>0.18531320000000001</v>
      </c>
      <c r="I5811">
        <v>-67.234069999999903</v>
      </c>
      <c r="J5811">
        <v>-234.28399999999999</v>
      </c>
      <c r="K5811">
        <v>1.1042479999999999</v>
      </c>
      <c r="L5811">
        <v>-63.632350000000002</v>
      </c>
      <c r="M5811">
        <v>0.99987459999999995</v>
      </c>
      <c r="N5811">
        <v>0</v>
      </c>
      <c r="O5811">
        <v>-1.6571769999999999E-3</v>
      </c>
      <c r="P5811">
        <v>0.99530280000000004</v>
      </c>
      <c r="Q5811">
        <v>-6.1804779999999997E-3</v>
      </c>
      <c r="R5811">
        <v>9.6614469999999994E-2</v>
      </c>
      <c r="S5811">
        <v>3.02975499999999</v>
      </c>
      <c r="T5811">
        <v>-4.216313E-2</v>
      </c>
      <c r="U5811">
        <v>-0.16528319999999999</v>
      </c>
      <c r="V5811">
        <v>-9.8249470000000005E-2</v>
      </c>
      <c r="W5811">
        <v>9.6451379999999993E-3</v>
      </c>
      <c r="X5811">
        <v>0.99511510000000003</v>
      </c>
      <c r="Y5811">
        <v>5.2812390000000001E-2</v>
      </c>
      <c r="Z5811">
        <v>-3.4414100000000001E-4</v>
      </c>
      <c r="AA5811">
        <v>0.99860439999999995</v>
      </c>
      <c r="AB5811">
        <v>38</v>
      </c>
      <c r="AC5811">
        <v>65.833399999999997</v>
      </c>
      <c r="AD5811">
        <v>-0.91893479999999905</v>
      </c>
      <c r="AE5811">
        <v>-3.6017199999999798</v>
      </c>
      <c r="AF5811">
        <v>3.49192558977377</v>
      </c>
      <c r="AG5811">
        <v>-0.91893479999999905</v>
      </c>
      <c r="AH5811">
        <v>65.826491687248804</v>
      </c>
      <c r="AI5811">
        <v>90.798671690535599</v>
      </c>
      <c r="AJ5811">
        <v>86.963452862914295</v>
      </c>
      <c r="AK5811">
        <v>65.9254502703062</v>
      </c>
    </row>
    <row r="5812" spans="1:37" x14ac:dyDescent="0.2">
      <c r="A5812" t="str">
        <f>"20200111153544559"</f>
        <v>20200111153544559</v>
      </c>
      <c r="B5812" t="str">
        <f>"1578728144551205"</f>
        <v>1578728144551205</v>
      </c>
      <c r="C5812" t="s">
        <v>37</v>
      </c>
      <c r="D5812">
        <v>4.7931730000000003</v>
      </c>
      <c r="E5812">
        <v>0.53974119999999903</v>
      </c>
      <c r="F5812" t="s">
        <v>65</v>
      </c>
      <c r="G5812">
        <v>-197.54949999999999</v>
      </c>
      <c r="H5812" s="1">
        <v>-6.9108949999999998E-6</v>
      </c>
      <c r="I5812">
        <v>-63.929349999999999</v>
      </c>
      <c r="J5812">
        <v>-234.09379999999999</v>
      </c>
      <c r="K5812">
        <v>1.1042780000000001</v>
      </c>
      <c r="L5812">
        <v>-63.632869999999997</v>
      </c>
      <c r="M5812">
        <v>0.99987159999999997</v>
      </c>
      <c r="N5812">
        <v>0</v>
      </c>
      <c r="O5812">
        <v>-1.9395279999999901E-3</v>
      </c>
      <c r="P5812">
        <v>0.99525819999999998</v>
      </c>
      <c r="Q5812">
        <v>-6.4766340000000002E-3</v>
      </c>
      <c r="R5812">
        <v>9.7052830000000007E-2</v>
      </c>
      <c r="S5812">
        <v>3.0159609999999999</v>
      </c>
      <c r="T5812">
        <v>-9.0661169999999999E-2</v>
      </c>
      <c r="U5812">
        <v>-2.4383539999999999E-2</v>
      </c>
      <c r="V5812">
        <v>-9.8968929999999997E-2</v>
      </c>
      <c r="W5812">
        <v>9.5130609999999997E-3</v>
      </c>
      <c r="X5812">
        <v>0.99504509999999902</v>
      </c>
      <c r="Y5812">
        <v>6.1429479999999996E-3</v>
      </c>
      <c r="Z5812" s="1">
        <v>-3.401134E-5</v>
      </c>
      <c r="AA5812">
        <v>0.99998109999999996</v>
      </c>
      <c r="AB5812">
        <v>38</v>
      </c>
      <c r="AC5812">
        <v>36.5442999999999</v>
      </c>
      <c r="AD5812">
        <v>-1.1042849108949999</v>
      </c>
      <c r="AE5812">
        <v>-0.29648000000000202</v>
      </c>
      <c r="AF5812">
        <v>0.22538599189375</v>
      </c>
      <c r="AG5812">
        <v>-1.1042849108949999</v>
      </c>
      <c r="AH5812">
        <v>36.511469566238802</v>
      </c>
      <c r="AI5812">
        <v>91.732342722513593</v>
      </c>
      <c r="AJ5812">
        <v>89.646316562330597</v>
      </c>
      <c r="AK5812">
        <v>36.528860561153003</v>
      </c>
    </row>
    <row r="5813" spans="1:37" x14ac:dyDescent="0.2">
      <c r="A5813" t="str">
        <f>"20200111153544570"</f>
        <v>20200111153544570</v>
      </c>
      <c r="B5813" t="str">
        <f>"1578728144561941"</f>
        <v>1578728144561941</v>
      </c>
      <c r="C5813" t="s">
        <v>37</v>
      </c>
      <c r="D5813">
        <v>4.9000349999999999</v>
      </c>
      <c r="E5813">
        <v>0.4657809</v>
      </c>
      <c r="F5813" t="s">
        <v>65</v>
      </c>
      <c r="G5813">
        <v>-197.7209</v>
      </c>
      <c r="H5813" s="1">
        <v>-6.8400510000000001E-6</v>
      </c>
      <c r="I5813">
        <v>-63.911119999999997</v>
      </c>
      <c r="J5813">
        <v>-233.8921</v>
      </c>
      <c r="K5813">
        <v>1.1043080000000001</v>
      </c>
      <c r="L5813">
        <v>-63.633580000000002</v>
      </c>
      <c r="M5813">
        <v>0.99986779999999997</v>
      </c>
      <c r="N5813">
        <v>0</v>
      </c>
      <c r="O5813">
        <v>-2.2391289999999999E-3</v>
      </c>
      <c r="P5813">
        <v>0.99520719999999996</v>
      </c>
      <c r="Q5813">
        <v>-6.95344E-3</v>
      </c>
      <c r="R5813">
        <v>9.7543060000000001E-2</v>
      </c>
      <c r="S5813">
        <v>3.01593</v>
      </c>
      <c r="T5813">
        <v>-9.1563939999999996E-2</v>
      </c>
      <c r="U5813">
        <v>-2.3071290000000001E-2</v>
      </c>
      <c r="V5813">
        <v>-9.9757750000000006E-2</v>
      </c>
      <c r="W5813">
        <v>9.2226800000000005E-3</v>
      </c>
      <c r="X5813">
        <v>0.99496899999999999</v>
      </c>
      <c r="Y5813">
        <v>5.4087519999999898E-3</v>
      </c>
      <c r="Z5813" s="1">
        <v>-1.411287E-5</v>
      </c>
      <c r="AA5813">
        <v>0.99998539999999903</v>
      </c>
      <c r="AB5813">
        <v>38</v>
      </c>
      <c r="AC5813">
        <v>36.171199999999999</v>
      </c>
      <c r="AD5813">
        <v>-1.1043148400509999</v>
      </c>
      <c r="AE5813">
        <v>-0.27753999999999401</v>
      </c>
      <c r="AF5813">
        <v>0.19635380619748199</v>
      </c>
      <c r="AG5813">
        <v>-1.1043148400509999</v>
      </c>
      <c r="AH5813">
        <v>36.138048732722503</v>
      </c>
      <c r="AI5813">
        <v>91.7502871624623</v>
      </c>
      <c r="AJ5813">
        <v>89.688690062907796</v>
      </c>
      <c r="AK5813">
        <v>36.155450934704099</v>
      </c>
    </row>
    <row r="5814" spans="1:37" x14ac:dyDescent="0.2">
      <c r="A5814" t="str">
        <f>"20200111153544582"</f>
        <v>20200111153544582</v>
      </c>
      <c r="B5814" t="str">
        <f>"1578728144571701"</f>
        <v>1578728144571701</v>
      </c>
      <c r="C5814" t="s">
        <v>37</v>
      </c>
      <c r="D5814">
        <v>4.6773530000000001</v>
      </c>
      <c r="E5814">
        <v>0.44970299999999902</v>
      </c>
      <c r="F5814" t="s">
        <v>79</v>
      </c>
      <c r="G5814">
        <v>-213.7328</v>
      </c>
      <c r="H5814" s="1">
        <v>-6.7911169999999997E-7</v>
      </c>
      <c r="I5814">
        <v>-59.77073</v>
      </c>
      <c r="J5814">
        <v>-233.69450000000001</v>
      </c>
      <c r="K5814">
        <v>1.1043369999999999</v>
      </c>
      <c r="L5814">
        <v>-63.634279999999997</v>
      </c>
      <c r="M5814">
        <v>0.99986419999999998</v>
      </c>
      <c r="N5814">
        <v>0</v>
      </c>
      <c r="O5814">
        <v>-2.533141E-3</v>
      </c>
      <c r="P5814">
        <v>0.99516009999999999</v>
      </c>
      <c r="Q5814">
        <v>-7.1322729999999997E-3</v>
      </c>
      <c r="R5814">
        <v>9.8009059999999995E-2</v>
      </c>
      <c r="S5814">
        <v>2.957748</v>
      </c>
      <c r="T5814">
        <v>-0.16202239999999901</v>
      </c>
      <c r="U5814">
        <v>0.56674190000000002</v>
      </c>
      <c r="V5814">
        <v>-0.1005163</v>
      </c>
      <c r="W5814">
        <v>9.2298309999999904E-3</v>
      </c>
      <c r="X5814">
        <v>0.99489259999999902</v>
      </c>
      <c r="Y5814">
        <v>-0.1903976</v>
      </c>
      <c r="Z5814">
        <v>5.3015559999999998E-3</v>
      </c>
      <c r="AA5814">
        <v>0.98169269999999997</v>
      </c>
      <c r="AB5814">
        <v>38</v>
      </c>
      <c r="AC5814">
        <v>19.9617</v>
      </c>
      <c r="AD5814">
        <v>-1.1043376791117001</v>
      </c>
      <c r="AE5814">
        <v>3.8635499999999898</v>
      </c>
      <c r="AF5814">
        <v>-3.9025970485228498</v>
      </c>
      <c r="AG5814">
        <v>-1.1043376791117001</v>
      </c>
      <c r="AH5814">
        <v>19.8931608736271</v>
      </c>
      <c r="AI5814">
        <v>93.118109886411304</v>
      </c>
      <c r="AJ5814">
        <v>101.09920694650999</v>
      </c>
      <c r="AK5814">
        <v>20.302405645062201</v>
      </c>
    </row>
    <row r="5815" spans="1:37" x14ac:dyDescent="0.2">
      <c r="A5815" t="str">
        <f>"20200111153544592"</f>
        <v>20200111153544592</v>
      </c>
      <c r="B5815" t="str">
        <f>"1578728144581461"</f>
        <v>1578728144581461</v>
      </c>
      <c r="C5815" t="s">
        <v>37</v>
      </c>
      <c r="D5815">
        <v>4.7432160000000003</v>
      </c>
      <c r="E5815">
        <v>0.43862119999999999</v>
      </c>
      <c r="F5815" t="s">
        <v>79</v>
      </c>
      <c r="G5815">
        <v>-212.68190000000001</v>
      </c>
      <c r="H5815" s="1">
        <v>-4.2333169999999999E-7</v>
      </c>
      <c r="I5815">
        <v>-58.671169999999996</v>
      </c>
      <c r="J5815">
        <v>-233.524</v>
      </c>
      <c r="K5815">
        <v>1.1043670000000001</v>
      </c>
      <c r="L5815">
        <v>-63.634979999999999</v>
      </c>
      <c r="M5815">
        <v>0.99986059999999999</v>
      </c>
      <c r="N5815">
        <v>0</v>
      </c>
      <c r="O5815">
        <v>-2.7869559999999902E-3</v>
      </c>
      <c r="P5815">
        <v>0.99511749999999899</v>
      </c>
      <c r="Q5815">
        <v>-7.1193369999999999E-3</v>
      </c>
      <c r="R5815">
        <v>9.844087E-2</v>
      </c>
      <c r="S5815">
        <v>2.9449919999999898</v>
      </c>
      <c r="T5815">
        <v>-0.15477650000000001</v>
      </c>
      <c r="U5815">
        <v>0.69558719999999996</v>
      </c>
      <c r="V5815">
        <v>-0.10120069999999901</v>
      </c>
      <c r="W5815">
        <v>9.4110229999999993E-3</v>
      </c>
      <c r="X5815">
        <v>0.99482150000000003</v>
      </c>
      <c r="Y5815">
        <v>-0.2322728</v>
      </c>
      <c r="Z5815">
        <v>6.1612469999999999E-3</v>
      </c>
      <c r="AA5815">
        <v>0.97263120000000003</v>
      </c>
      <c r="AB5815">
        <v>38</v>
      </c>
      <c r="AC5815">
        <v>20.842099999999899</v>
      </c>
      <c r="AD5815">
        <v>-1.1043674233317</v>
      </c>
      <c r="AE5815">
        <v>4.9638099999999996</v>
      </c>
      <c r="AF5815">
        <v>-5.0085770572119896</v>
      </c>
      <c r="AG5815">
        <v>-1.1043674233317</v>
      </c>
      <c r="AH5815">
        <v>20.772990404021101</v>
      </c>
      <c r="AI5815">
        <v>92.958561616964403</v>
      </c>
      <c r="AJ5815">
        <v>103.555856174794</v>
      </c>
      <c r="AK5815">
        <v>21.3967895224798</v>
      </c>
    </row>
    <row r="5816" spans="1:37" x14ac:dyDescent="0.2">
      <c r="A5816" t="str">
        <f>"20200111153544601"</f>
        <v>20200111153544601</v>
      </c>
      <c r="B5816" t="str">
        <f>"1578728144591221"</f>
        <v>1578728144591221</v>
      </c>
      <c r="C5816" t="s">
        <v>37</v>
      </c>
      <c r="D5816">
        <v>4.7108049999999997</v>
      </c>
      <c r="E5816">
        <v>0.4327742</v>
      </c>
      <c r="F5816" t="s">
        <v>79</v>
      </c>
      <c r="G5816">
        <v>-212.4041</v>
      </c>
      <c r="H5816" s="1">
        <v>-4.2804609999999901E-7</v>
      </c>
      <c r="I5816">
        <v>-57.989130000000003</v>
      </c>
      <c r="J5816">
        <v>-233.35669999999999</v>
      </c>
      <c r="K5816">
        <v>1.1043959999999999</v>
      </c>
      <c r="L5816">
        <v>-63.635680000000001</v>
      </c>
      <c r="M5816">
        <v>0.99985709999999905</v>
      </c>
      <c r="N5816">
        <v>0</v>
      </c>
      <c r="O5816">
        <v>-3.0364839999999999E-3</v>
      </c>
      <c r="P5816">
        <v>0.99508180000000002</v>
      </c>
      <c r="Q5816">
        <v>-7.0358019999999999E-3</v>
      </c>
      <c r="R5816">
        <v>9.880709E-2</v>
      </c>
      <c r="S5816">
        <v>2.93598899999999</v>
      </c>
      <c r="T5816">
        <v>-0.15352399999999999</v>
      </c>
      <c r="U5816">
        <v>0.78485109999999902</v>
      </c>
      <c r="V5816">
        <v>-0.1018143</v>
      </c>
      <c r="W5816">
        <v>9.6618260000000001E-3</v>
      </c>
      <c r="X5816">
        <v>0.99475650000000004</v>
      </c>
      <c r="Y5816">
        <v>-0.26084869999999999</v>
      </c>
      <c r="Z5816">
        <v>6.8538979999999998E-3</v>
      </c>
      <c r="AA5816">
        <v>0.96535530000000003</v>
      </c>
      <c r="AB5816">
        <v>38</v>
      </c>
      <c r="AC5816">
        <v>20.952599999999901</v>
      </c>
      <c r="AD5816">
        <v>-1.1043964280460901</v>
      </c>
      <c r="AE5816">
        <v>5.6465500000000004</v>
      </c>
      <c r="AF5816">
        <v>-5.6954030129891597</v>
      </c>
      <c r="AG5816">
        <v>-1.1043964280460901</v>
      </c>
      <c r="AH5816">
        <v>20.881269601961101</v>
      </c>
      <c r="AI5816">
        <v>92.921006683203998</v>
      </c>
      <c r="AJ5816">
        <v>105.256424524211</v>
      </c>
      <c r="AK5816">
        <v>21.6722109425973</v>
      </c>
    </row>
    <row r="5817" spans="1:37" x14ac:dyDescent="0.2">
      <c r="A5817" t="str">
        <f>"20200111153544613"</f>
        <v>20200111153544613</v>
      </c>
      <c r="B5817" t="str">
        <f>"1578728144601957"</f>
        <v>1578728144601957</v>
      </c>
      <c r="C5817" t="s">
        <v>37</v>
      </c>
      <c r="D5817">
        <v>4.5505079999999998</v>
      </c>
      <c r="E5817">
        <v>0.429205</v>
      </c>
      <c r="F5817" t="s">
        <v>79</v>
      </c>
      <c r="G5817">
        <v>-212.6328</v>
      </c>
      <c r="H5817" s="1">
        <v>-5.6941669999999896E-7</v>
      </c>
      <c r="I5817">
        <v>-57.750209999999903</v>
      </c>
      <c r="J5817">
        <v>-233.1627</v>
      </c>
      <c r="K5817">
        <v>1.1044259999999999</v>
      </c>
      <c r="L5817">
        <v>-63.636539999999997</v>
      </c>
      <c r="M5817">
        <v>0.99985299999999999</v>
      </c>
      <c r="N5817">
        <v>0</v>
      </c>
      <c r="O5817">
        <v>-3.3258839999999999E-3</v>
      </c>
      <c r="P5817">
        <v>0.99506099999999997</v>
      </c>
      <c r="Q5817">
        <v>-6.2054069999999996E-3</v>
      </c>
      <c r="R5817">
        <v>9.9072660000000007E-2</v>
      </c>
      <c r="S5817">
        <v>2.931076</v>
      </c>
      <c r="T5817">
        <v>-0.15619929999999899</v>
      </c>
      <c r="U5817">
        <v>0.83239750000000001</v>
      </c>
      <c r="V5817">
        <v>-0.10236580000000001</v>
      </c>
      <c r="W5817">
        <v>1.069079E-2</v>
      </c>
      <c r="X5817">
        <v>0.99468939999999995</v>
      </c>
      <c r="Y5817">
        <v>-0.27601900000000001</v>
      </c>
      <c r="Z5817">
        <v>7.3809469999999997E-3</v>
      </c>
      <c r="AA5817">
        <v>0.96112379999999997</v>
      </c>
      <c r="AB5817">
        <v>38</v>
      </c>
      <c r="AC5817">
        <v>20.529900000000001</v>
      </c>
      <c r="AD5817">
        <v>-1.1044265694166999</v>
      </c>
      <c r="AE5817">
        <v>5.8863300000000001</v>
      </c>
      <c r="AF5817">
        <v>-5.9387060462148398</v>
      </c>
      <c r="AG5817">
        <v>-1.1044265694166999</v>
      </c>
      <c r="AH5817">
        <v>20.455504883311999</v>
      </c>
      <c r="AI5817">
        <v>92.968166779715304</v>
      </c>
      <c r="AJ5817">
        <v>106.18923487977899</v>
      </c>
      <c r="AK5817">
        <v>21.328752133722801</v>
      </c>
    </row>
    <row r="5818" spans="1:37" x14ac:dyDescent="0.2">
      <c r="A5818" t="str">
        <f>"20200111153544625"</f>
        <v>20200111153544625</v>
      </c>
      <c r="B5818" t="str">
        <f>"1578728144621477"</f>
        <v>1578728144621477</v>
      </c>
      <c r="C5818" t="s">
        <v>37</v>
      </c>
      <c r="D5818">
        <v>4.5859940000000003</v>
      </c>
      <c r="E5818">
        <v>0.42453849999999999</v>
      </c>
      <c r="F5818" t="s">
        <v>79</v>
      </c>
      <c r="G5818">
        <v>-211.20670000000001</v>
      </c>
      <c r="H5818" s="1">
        <v>-2.36401E-7</v>
      </c>
      <c r="I5818">
        <v>-57.177880000000002</v>
      </c>
      <c r="J5818">
        <v>-232.97309999999999</v>
      </c>
      <c r="K5818">
        <v>1.104454</v>
      </c>
      <c r="L5818">
        <v>-63.637419999999999</v>
      </c>
      <c r="M5818">
        <v>0.99984869999999904</v>
      </c>
      <c r="N5818">
        <v>0</v>
      </c>
      <c r="O5818">
        <v>-3.608577E-3</v>
      </c>
      <c r="P5818">
        <v>0.99501499999999998</v>
      </c>
      <c r="Q5818">
        <v>-5.6345290000000001E-3</v>
      </c>
      <c r="R5818">
        <v>9.9567619999999996E-2</v>
      </c>
      <c r="S5818">
        <v>2.9281919999999899</v>
      </c>
      <c r="T5818">
        <v>-0.14729300000000001</v>
      </c>
      <c r="U5818">
        <v>0.86135859999999997</v>
      </c>
      <c r="V5818">
        <v>-0.10314130000000001</v>
      </c>
      <c r="W5818">
        <v>1.145464E-2</v>
      </c>
      <c r="X5818">
        <v>0.99460079999999995</v>
      </c>
      <c r="Y5818">
        <v>-0.28532849999999998</v>
      </c>
      <c r="Z5818">
        <v>7.2009069999999899E-3</v>
      </c>
      <c r="AA5818">
        <v>0.9584028</v>
      </c>
      <c r="AB5818">
        <v>38</v>
      </c>
      <c r="AC5818">
        <v>21.766399999999901</v>
      </c>
      <c r="AD5818">
        <v>-1.1044542364009999</v>
      </c>
      <c r="AE5818">
        <v>6.4595399999999898</v>
      </c>
      <c r="AF5818">
        <v>-6.5226207194028696</v>
      </c>
      <c r="AG5818">
        <v>-1.1044542364009999</v>
      </c>
      <c r="AH5818">
        <v>21.6916167826502</v>
      </c>
      <c r="AI5818">
        <v>92.791501578022405</v>
      </c>
      <c r="AJ5818">
        <v>106.735915240053</v>
      </c>
      <c r="AK5818">
        <v>22.677976956837298</v>
      </c>
    </row>
    <row r="5819" spans="1:37" x14ac:dyDescent="0.2">
      <c r="A5819" t="str">
        <f>"20200111153544636"</f>
        <v>20200111153544636</v>
      </c>
      <c r="B5819" t="str">
        <f>"1578728144631236"</f>
        <v>1578728144631236</v>
      </c>
      <c r="C5819" t="s">
        <v>37</v>
      </c>
      <c r="D5819">
        <v>4.5644039999999997</v>
      </c>
      <c r="E5819">
        <v>0.42285800000000001</v>
      </c>
      <c r="F5819" t="s">
        <v>79</v>
      </c>
      <c r="G5819">
        <v>-210.65620000000001</v>
      </c>
      <c r="H5819" s="1">
        <v>-1.575031E-7</v>
      </c>
      <c r="I5819">
        <v>-56.770400000000002</v>
      </c>
      <c r="J5819">
        <v>-232.78099999999901</v>
      </c>
      <c r="K5819">
        <v>1.104484</v>
      </c>
      <c r="L5819">
        <v>-63.638399999999997</v>
      </c>
      <c r="M5819">
        <v>0.99984419999999996</v>
      </c>
      <c r="N5819">
        <v>0</v>
      </c>
      <c r="O5819">
        <v>-3.8951159999999901E-3</v>
      </c>
      <c r="P5819">
        <v>0.99495990000000001</v>
      </c>
      <c r="Q5819">
        <v>-5.2957179999999996E-3</v>
      </c>
      <c r="R5819">
        <v>0.1001349</v>
      </c>
      <c r="S5819">
        <v>2.9241790000000001</v>
      </c>
      <c r="T5819">
        <v>-0.14471689999999901</v>
      </c>
      <c r="U5819">
        <v>0.89978029999999998</v>
      </c>
      <c r="V5819">
        <v>-0.1039924</v>
      </c>
      <c r="W5819">
        <v>1.19877E-2</v>
      </c>
      <c r="X5819">
        <v>0.9945058</v>
      </c>
      <c r="Y5819">
        <v>-0.29747979999999902</v>
      </c>
      <c r="Z5819">
        <v>7.3788949999999999E-3</v>
      </c>
      <c r="AA5819">
        <v>0.95469959999999898</v>
      </c>
      <c r="AB5819">
        <v>38</v>
      </c>
      <c r="AC5819">
        <v>22.124799999999901</v>
      </c>
      <c r="AD5819">
        <v>-1.1044841575030999</v>
      </c>
      <c r="AE5819">
        <v>6.8679999999999897</v>
      </c>
      <c r="AF5819">
        <v>-6.9383681484597997</v>
      </c>
      <c r="AG5819">
        <v>-1.1044841575030999</v>
      </c>
      <c r="AH5819">
        <v>22.047761096402802</v>
      </c>
      <c r="AI5819">
        <v>92.735783816718495</v>
      </c>
      <c r="AJ5819">
        <v>107.468641603913</v>
      </c>
      <c r="AK5819">
        <v>23.140108192957801</v>
      </c>
    </row>
    <row r="5820" spans="1:37" x14ac:dyDescent="0.2">
      <c r="A5820" t="str">
        <f>"20200111153544647"</f>
        <v>20200111153544647</v>
      </c>
      <c r="B5820" t="str">
        <f>"1578728144641983"</f>
        <v>1578728144641983</v>
      </c>
      <c r="C5820" t="s">
        <v>37</v>
      </c>
      <c r="D5820">
        <v>4.567615</v>
      </c>
      <c r="E5820">
        <v>0.4211104</v>
      </c>
      <c r="F5820" t="s">
        <v>79</v>
      </c>
      <c r="G5820">
        <v>-210.66299999999899</v>
      </c>
      <c r="H5820" s="1">
        <v>-1.746597E-7</v>
      </c>
      <c r="I5820">
        <v>-56.714619999999996</v>
      </c>
      <c r="J5820">
        <v>-232.58949999999999</v>
      </c>
      <c r="K5820">
        <v>1.1045119999999999</v>
      </c>
      <c r="L5820">
        <v>-63.639429999999997</v>
      </c>
      <c r="M5820">
        <v>0.99983979999999995</v>
      </c>
      <c r="N5820">
        <v>0</v>
      </c>
      <c r="O5820">
        <v>-4.1804609999999999E-3</v>
      </c>
      <c r="P5820">
        <v>0.99489590000000006</v>
      </c>
      <c r="Q5820">
        <v>-4.818938E-3</v>
      </c>
      <c r="R5820">
        <v>0.1007936</v>
      </c>
      <c r="S5820">
        <v>2.9223330000000001</v>
      </c>
      <c r="T5820">
        <v>-0.14592959999999999</v>
      </c>
      <c r="U5820">
        <v>0.91479489999999997</v>
      </c>
      <c r="V5820">
        <v>-0.10493379999999999</v>
      </c>
      <c r="W5820">
        <v>1.2655700000000001E-2</v>
      </c>
      <c r="X5820">
        <v>0.99439869999999997</v>
      </c>
      <c r="Y5820">
        <v>-0.30238039999999999</v>
      </c>
      <c r="Z5820">
        <v>7.57296599999999E-3</v>
      </c>
      <c r="AA5820">
        <v>0.95315720000000004</v>
      </c>
      <c r="AB5820">
        <v>38</v>
      </c>
      <c r="AC5820">
        <v>21.926500000000001</v>
      </c>
      <c r="AD5820">
        <v>-1.1045121746597</v>
      </c>
      <c r="AE5820">
        <v>6.9248099999999999</v>
      </c>
      <c r="AF5820">
        <v>-7.0002742197365997</v>
      </c>
      <c r="AG5820">
        <v>-1.1045121746597</v>
      </c>
      <c r="AH5820">
        <v>21.846946718984402</v>
      </c>
      <c r="AI5820">
        <v>92.756412098877405</v>
      </c>
      <c r="AJ5820">
        <v>107.766677600153</v>
      </c>
      <c r="AK5820">
        <v>22.967648273988001</v>
      </c>
    </row>
    <row r="5821" spans="1:37" x14ac:dyDescent="0.2">
      <c r="A5821" t="str">
        <f>"20200111153544658"</f>
        <v>20200111153544658</v>
      </c>
      <c r="B5821" t="str">
        <f>"1578728144651733"</f>
        <v>1578728144651733</v>
      </c>
      <c r="C5821" t="s">
        <v>37</v>
      </c>
      <c r="D5821">
        <v>4.560956</v>
      </c>
      <c r="E5821">
        <v>0.41996539999999999</v>
      </c>
      <c r="F5821" t="s">
        <v>79</v>
      </c>
      <c r="G5821">
        <v>-210.30680000000001</v>
      </c>
      <c r="H5821" s="1">
        <v>-1.000004E-7</v>
      </c>
      <c r="I5821">
        <v>-56.5396</v>
      </c>
      <c r="J5821">
        <v>-232.4014</v>
      </c>
      <c r="K5821">
        <v>1.1045399999999901</v>
      </c>
      <c r="L5821">
        <v>-63.640439999999998</v>
      </c>
      <c r="M5821">
        <v>0.99983529999999998</v>
      </c>
      <c r="N5821">
        <v>0</v>
      </c>
      <c r="O5821">
        <v>-4.46066E-3</v>
      </c>
      <c r="P5821">
        <v>0.99479589999999996</v>
      </c>
      <c r="Q5821">
        <v>-4.25676599999999E-3</v>
      </c>
      <c r="R5821">
        <v>0.1018013</v>
      </c>
      <c r="S5821">
        <v>2.92041</v>
      </c>
      <c r="T5821">
        <v>-0.14475950000000001</v>
      </c>
      <c r="U5821">
        <v>0.93051149999999905</v>
      </c>
      <c r="V5821">
        <v>-0.1062186</v>
      </c>
      <c r="W5821">
        <v>1.34057E-2</v>
      </c>
      <c r="X5821">
        <v>0.99425239999999904</v>
      </c>
      <c r="Y5821">
        <v>-0.30748579999999998</v>
      </c>
      <c r="Z5821">
        <v>7.6480489999999996E-3</v>
      </c>
      <c r="AA5821">
        <v>0.95152190000000003</v>
      </c>
      <c r="AB5821">
        <v>38</v>
      </c>
      <c r="AC5821">
        <v>22.0945999999999</v>
      </c>
      <c r="AD5821">
        <v>-1.10454010000039</v>
      </c>
      <c r="AE5821">
        <v>7.1008399999999998</v>
      </c>
      <c r="AF5821">
        <v>-7.1830701640368702</v>
      </c>
      <c r="AG5821">
        <v>-1.10454010000039</v>
      </c>
      <c r="AH5821">
        <v>22.012837819241199</v>
      </c>
      <c r="AI5821">
        <v>92.731034684799596</v>
      </c>
      <c r="AJ5821">
        <v>108.072165982062</v>
      </c>
      <c r="AK5821">
        <v>23.181491208940798</v>
      </c>
    </row>
    <row r="5822" spans="1:37" x14ac:dyDescent="0.2">
      <c r="A5822" t="str">
        <f>"20200111153544669"</f>
        <v>20200111153544669</v>
      </c>
      <c r="B5822" t="str">
        <f>"1578728144661492"</f>
        <v>1578728144661492</v>
      </c>
      <c r="C5822" t="s">
        <v>37</v>
      </c>
      <c r="D5822">
        <v>4.51694</v>
      </c>
      <c r="E5822">
        <v>0.41913889999999998</v>
      </c>
      <c r="F5822" t="s">
        <v>79</v>
      </c>
      <c r="G5822">
        <v>-210.29660000000001</v>
      </c>
      <c r="H5822" s="1">
        <v>-1.063016E-7</v>
      </c>
      <c r="I5822">
        <v>-56.502859999999998</v>
      </c>
      <c r="J5822">
        <v>-232.2209</v>
      </c>
      <c r="K5822">
        <v>1.1045700000000001</v>
      </c>
      <c r="L5822">
        <v>-63.641539999999999</v>
      </c>
      <c r="M5822">
        <v>0.99983069999999896</v>
      </c>
      <c r="N5822">
        <v>0</v>
      </c>
      <c r="O5822">
        <v>-4.7292469999999998E-3</v>
      </c>
      <c r="P5822">
        <v>0.99472309999999997</v>
      </c>
      <c r="Q5822">
        <v>-4.0477709999999899E-3</v>
      </c>
      <c r="R5822">
        <v>0.1025165</v>
      </c>
      <c r="S5822">
        <v>2.9186399999999999</v>
      </c>
      <c r="T5822">
        <v>-0.14583959999999899</v>
      </c>
      <c r="U5822">
        <v>0.94241330000000001</v>
      </c>
      <c r="V5822">
        <v>-0.1072003</v>
      </c>
      <c r="W5822">
        <v>1.379524E-2</v>
      </c>
      <c r="X5822">
        <v>0.99414179999999996</v>
      </c>
      <c r="Y5822">
        <v>-0.31141380000000002</v>
      </c>
      <c r="Z5822">
        <v>7.8135569999999901E-3</v>
      </c>
      <c r="AA5822">
        <v>0.95024229999999998</v>
      </c>
      <c r="AB5822">
        <v>38</v>
      </c>
      <c r="AC5822">
        <v>21.924299999999899</v>
      </c>
      <c r="AD5822">
        <v>-1.1045701063016</v>
      </c>
      <c r="AE5822">
        <v>7.1386799999999999</v>
      </c>
      <c r="AF5822">
        <v>-7.2257193352632596</v>
      </c>
      <c r="AG5822">
        <v>-1.1045701063016</v>
      </c>
      <c r="AH5822">
        <v>21.840166823312501</v>
      </c>
      <c r="AI5822">
        <v>92.748976175193206</v>
      </c>
      <c r="AJ5822">
        <v>108.306561373229</v>
      </c>
      <c r="AK5822">
        <v>23.030935324077699</v>
      </c>
    </row>
    <row r="5823" spans="1:37" x14ac:dyDescent="0.2">
      <c r="A5823" t="str">
        <f>"20200111153544681"</f>
        <v>20200111153544681</v>
      </c>
      <c r="B5823" t="str">
        <f>"1578728144671254"</f>
        <v>1578728144671254</v>
      </c>
      <c r="C5823" t="s">
        <v>37</v>
      </c>
      <c r="D5823">
        <v>4.5639830000000003</v>
      </c>
      <c r="E5823">
        <v>0.41801709999999898</v>
      </c>
      <c r="F5823" t="s">
        <v>79</v>
      </c>
      <c r="G5823">
        <v>-210.4136</v>
      </c>
      <c r="H5823" s="1">
        <v>-1.380263E-7</v>
      </c>
      <c r="I5823">
        <v>-56.533209999999997</v>
      </c>
      <c r="J5823">
        <v>-232.0317</v>
      </c>
      <c r="K5823">
        <v>1.104598</v>
      </c>
      <c r="L5823">
        <v>-63.642699999999998</v>
      </c>
      <c r="M5823">
        <v>0.99982590000000005</v>
      </c>
      <c r="N5823">
        <v>0</v>
      </c>
      <c r="O5823">
        <v>-5.0110529999999997E-3</v>
      </c>
      <c r="P5823">
        <v>0.99464149999999996</v>
      </c>
      <c r="Q5823">
        <v>-3.3178420000000001E-3</v>
      </c>
      <c r="R5823">
        <v>0.10333189999999901</v>
      </c>
      <c r="S5823">
        <v>2.9173279999999999</v>
      </c>
      <c r="T5823">
        <v>-0.1477666</v>
      </c>
      <c r="U5823">
        <v>0.95092770000000004</v>
      </c>
      <c r="V5823">
        <v>-0.1082938</v>
      </c>
      <c r="W5823">
        <v>1.471544E-2</v>
      </c>
      <c r="X5823">
        <v>0.99400999999999995</v>
      </c>
      <c r="Y5823">
        <v>-0.3143012</v>
      </c>
      <c r="Z5823">
        <v>8.0017390000000008E-3</v>
      </c>
      <c r="AA5823">
        <v>0.94928959999999996</v>
      </c>
      <c r="AB5823">
        <v>38</v>
      </c>
      <c r="AC5823">
        <v>21.618099999999998</v>
      </c>
      <c r="AD5823">
        <v>-1.1045981380262999</v>
      </c>
      <c r="AE5823">
        <v>7.1094900000000001</v>
      </c>
      <c r="AF5823">
        <v>-7.2007826809723596</v>
      </c>
      <c r="AG5823">
        <v>-1.1045981380262999</v>
      </c>
      <c r="AH5823">
        <v>21.531468766464499</v>
      </c>
      <c r="AI5823">
        <v>92.785409561324997</v>
      </c>
      <c r="AJ5823">
        <v>108.491513644798</v>
      </c>
      <c r="AK5823">
        <v>22.730498355873301</v>
      </c>
    </row>
    <row r="5824" spans="1:37" x14ac:dyDescent="0.2">
      <c r="A5824" t="str">
        <f>"20200111153544692"</f>
        <v>20200111153544692</v>
      </c>
      <c r="B5824" t="str">
        <f>"1578728144681989"</f>
        <v>1578728144681989</v>
      </c>
      <c r="C5824" t="s">
        <v>37</v>
      </c>
      <c r="D5824">
        <v>4.5175039999999997</v>
      </c>
      <c r="E5824">
        <v>0.41703839999999998</v>
      </c>
      <c r="F5824" t="s">
        <v>79</v>
      </c>
      <c r="G5824">
        <v>-210.3408</v>
      </c>
      <c r="H5824" s="1">
        <v>-1.2615230000000001E-7</v>
      </c>
      <c r="I5824">
        <v>-56.4848</v>
      </c>
      <c r="J5824">
        <v>-231.8365</v>
      </c>
      <c r="K5824">
        <v>1.104638</v>
      </c>
      <c r="L5824">
        <v>-63.643949999999997</v>
      </c>
      <c r="M5824">
        <v>0.99982079999999995</v>
      </c>
      <c r="N5824">
        <v>0</v>
      </c>
      <c r="O5824">
        <v>-5.3016879999999997E-3</v>
      </c>
      <c r="P5824">
        <v>0.99459390000000003</v>
      </c>
      <c r="Q5824">
        <v>-2.7868529999999902E-3</v>
      </c>
      <c r="R5824">
        <v>0.1038056</v>
      </c>
      <c r="S5824">
        <v>2.9156949999999999</v>
      </c>
      <c r="T5824">
        <v>-0.14848020000000001</v>
      </c>
      <c r="U5824">
        <v>0.96215819999999996</v>
      </c>
      <c r="V5824">
        <v>-0.10905570000000001</v>
      </c>
      <c r="W5824">
        <v>1.544969E-2</v>
      </c>
      <c r="X5824">
        <v>0.99391559999999901</v>
      </c>
      <c r="Y5824">
        <v>-0.31802429999999998</v>
      </c>
      <c r="Z5824">
        <v>8.146627E-3</v>
      </c>
      <c r="AA5824">
        <v>0.94804759999999999</v>
      </c>
      <c r="AB5824">
        <v>37</v>
      </c>
      <c r="AC5824">
        <v>21.495699999999999</v>
      </c>
      <c r="AD5824">
        <v>-1.1046381261522999</v>
      </c>
      <c r="AE5824">
        <v>7.1591499999999897</v>
      </c>
      <c r="AF5824">
        <v>-7.2557837221020796</v>
      </c>
      <c r="AG5824">
        <v>-1.1046381261522999</v>
      </c>
      <c r="AH5824">
        <v>21.406549778479999</v>
      </c>
      <c r="AI5824">
        <v>92.797917643728695</v>
      </c>
      <c r="AJ5824">
        <v>108.72417017207999</v>
      </c>
      <c r="AK5824">
        <v>22.6297811794594</v>
      </c>
    </row>
    <row r="5825" spans="1:37" x14ac:dyDescent="0.2">
      <c r="A5825" t="str">
        <f>"20200111153544703"</f>
        <v>20200111153544703</v>
      </c>
      <c r="B5825" t="str">
        <f>"1578728144691750"</f>
        <v>1578728144691750</v>
      </c>
      <c r="C5825" t="s">
        <v>37</v>
      </c>
      <c r="D5825">
        <v>4.6638149999999996</v>
      </c>
      <c r="E5825">
        <v>0.41611320000000002</v>
      </c>
      <c r="F5825" t="s">
        <v>79</v>
      </c>
      <c r="G5825">
        <v>-210.55279999999999</v>
      </c>
      <c r="H5825" s="1">
        <v>-1.8082439999999899E-7</v>
      </c>
      <c r="I5825">
        <v>-56.55048</v>
      </c>
      <c r="J5825">
        <v>-231.66480000000001</v>
      </c>
      <c r="K5825">
        <v>1.1046689999999999</v>
      </c>
      <c r="L5825">
        <v>-63.645109999999903</v>
      </c>
      <c r="M5825">
        <v>0.99981589999999998</v>
      </c>
      <c r="N5825">
        <v>0</v>
      </c>
      <c r="O5825">
        <v>-5.5574229999999997E-3</v>
      </c>
      <c r="P5825">
        <v>0.99452819999999997</v>
      </c>
      <c r="Q5825">
        <v>-1.6748139999999999E-3</v>
      </c>
      <c r="R5825">
        <v>0.1044558</v>
      </c>
      <c r="S5825">
        <v>2.9145050000000001</v>
      </c>
      <c r="T5825">
        <v>-0.1512647</v>
      </c>
      <c r="U5825">
        <v>0.97134399999999999</v>
      </c>
      <c r="V5825">
        <v>-0.1099581</v>
      </c>
      <c r="W5825">
        <v>1.674032E-2</v>
      </c>
      <c r="X5825">
        <v>0.99379519999999899</v>
      </c>
      <c r="Y5825">
        <v>-0.32105400000000001</v>
      </c>
      <c r="Z5825">
        <v>8.3878549999999996E-3</v>
      </c>
      <c r="AA5825">
        <v>0.94702369999999902</v>
      </c>
      <c r="AB5825">
        <v>37</v>
      </c>
      <c r="AC5825">
        <v>21.111999999999998</v>
      </c>
      <c r="AD5825">
        <v>-1.10466918082439</v>
      </c>
      <c r="AE5825">
        <v>7.09462999999998</v>
      </c>
      <c r="AF5825">
        <v>-7.1941707011704104</v>
      </c>
      <c r="AG5825">
        <v>-1.10466918082439</v>
      </c>
      <c r="AH5825">
        <v>21.020528422412202</v>
      </c>
      <c r="AI5825">
        <v>92.846436954474001</v>
      </c>
      <c r="AJ5825">
        <v>108.893254422213</v>
      </c>
      <c r="AK5825">
        <v>22.244976988841401</v>
      </c>
    </row>
    <row r="5826" spans="1:37" x14ac:dyDescent="0.2">
      <c r="A5826" t="str">
        <f>"20200111153544714"</f>
        <v>20200111153544714</v>
      </c>
      <c r="B5826" t="str">
        <f>"1578728144711269"</f>
        <v>1578728144711269</v>
      </c>
      <c r="C5826" t="s">
        <v>37</v>
      </c>
      <c r="D5826">
        <v>4.6422610000000004</v>
      </c>
      <c r="E5826">
        <v>0.4145297</v>
      </c>
      <c r="F5826" t="s">
        <v>65</v>
      </c>
      <c r="G5826">
        <v>-209.702</v>
      </c>
      <c r="H5826" s="1">
        <v>-1.260267E-6</v>
      </c>
      <c r="I5826">
        <v>-56.252290000000002</v>
      </c>
      <c r="J5826">
        <v>-231.47190000000001</v>
      </c>
      <c r="K5826">
        <v>1.104703</v>
      </c>
      <c r="L5826">
        <v>-63.646450000000002</v>
      </c>
      <c r="M5826">
        <v>0.99981049999999905</v>
      </c>
      <c r="N5826">
        <v>0</v>
      </c>
      <c r="O5826">
        <v>-5.8454559999999997E-3</v>
      </c>
      <c r="P5826">
        <v>0.99440539999999999</v>
      </c>
      <c r="Q5826">
        <v>-1.0430610000000001E-3</v>
      </c>
      <c r="R5826">
        <v>0.1056271</v>
      </c>
      <c r="S5826">
        <v>2.9132539999999998</v>
      </c>
      <c r="T5826">
        <v>-0.14652899999999999</v>
      </c>
      <c r="U5826">
        <v>0.98062130000000003</v>
      </c>
      <c r="V5826">
        <v>-0.1114136</v>
      </c>
      <c r="W5826">
        <v>1.757324E-2</v>
      </c>
      <c r="X5826">
        <v>0.99361869999999997</v>
      </c>
      <c r="Y5826">
        <v>-0.3241792</v>
      </c>
      <c r="Z5826">
        <v>8.2154229999999995E-3</v>
      </c>
      <c r="AA5826">
        <v>0.94596000000000002</v>
      </c>
      <c r="AB5826">
        <v>37</v>
      </c>
      <c r="AC5826">
        <v>21.7699</v>
      </c>
      <c r="AD5826">
        <v>-1.1047042602670001</v>
      </c>
      <c r="AE5826">
        <v>7.3941599999999896</v>
      </c>
      <c r="AF5826">
        <v>-7.5039862863206901</v>
      </c>
      <c r="AG5826">
        <v>-1.1047042602670001</v>
      </c>
      <c r="AH5826">
        <v>21.676254780557802</v>
      </c>
      <c r="AI5826">
        <v>92.757212674496699</v>
      </c>
      <c r="AJ5826">
        <v>109.095067149681</v>
      </c>
      <c r="AK5826">
        <v>22.964977748728501</v>
      </c>
    </row>
    <row r="5827" spans="1:37" x14ac:dyDescent="0.2">
      <c r="A5827" t="str">
        <f>"20200111153544725"</f>
        <v>20200111153544725</v>
      </c>
      <c r="B5827" t="str">
        <f>"1578728144721029"</f>
        <v>1578728144721029</v>
      </c>
      <c r="C5827" t="s">
        <v>37</v>
      </c>
      <c r="D5827">
        <v>4.6457079999999999</v>
      </c>
      <c r="E5827">
        <v>0.41396109999999903</v>
      </c>
      <c r="F5827" t="s">
        <v>65</v>
      </c>
      <c r="G5827">
        <v>-208.89830000000001</v>
      </c>
      <c r="H5827" s="1">
        <v>-1.8596789999999901E-6</v>
      </c>
      <c r="I5827">
        <v>-55.919539999999998</v>
      </c>
      <c r="J5827">
        <v>-231.28710000000001</v>
      </c>
      <c r="K5827">
        <v>1.1047309999999999</v>
      </c>
      <c r="L5827">
        <v>-63.647829999999999</v>
      </c>
      <c r="M5827">
        <v>0.99980530000000001</v>
      </c>
      <c r="N5827">
        <v>0</v>
      </c>
      <c r="O5827">
        <v>-6.1218230000000002E-3</v>
      </c>
      <c r="P5827">
        <v>0.99418989999999996</v>
      </c>
      <c r="Q5827">
        <v>-3.3232059999999998E-4</v>
      </c>
      <c r="R5827">
        <v>0.10764079999999999</v>
      </c>
      <c r="S5827">
        <v>2.9109039999999999</v>
      </c>
      <c r="T5827">
        <v>-0.14245360000000001</v>
      </c>
      <c r="U5827">
        <v>0.99639889999999998</v>
      </c>
      <c r="V5827">
        <v>-0.11369990000000001</v>
      </c>
      <c r="W5827">
        <v>1.8470489999999999E-2</v>
      </c>
      <c r="X5827">
        <v>0.99334339999999999</v>
      </c>
      <c r="Y5827">
        <v>-0.32927899999999999</v>
      </c>
      <c r="Z5827">
        <v>8.1209409999999996E-3</v>
      </c>
      <c r="AA5827">
        <v>0.94419779999999998</v>
      </c>
      <c r="AB5827">
        <v>37</v>
      </c>
      <c r="AC5827">
        <v>22.3888</v>
      </c>
      <c r="AD5827">
        <v>-1.10473285967899</v>
      </c>
      <c r="AE5827">
        <v>7.7282900000000003</v>
      </c>
      <c r="AF5827">
        <v>-7.8481556908590902</v>
      </c>
      <c r="AG5827">
        <v>-1.10473285967899</v>
      </c>
      <c r="AH5827">
        <v>22.292562814492801</v>
      </c>
      <c r="AI5827">
        <v>92.676283547145204</v>
      </c>
      <c r="AJ5827">
        <v>109.394752241972</v>
      </c>
      <c r="AK5827">
        <v>23.659508432706801</v>
      </c>
    </row>
    <row r="5828" spans="1:37" x14ac:dyDescent="0.2">
      <c r="A5828" t="str">
        <f>"20200111153544737"</f>
        <v>20200111153544737</v>
      </c>
      <c r="B5828" t="str">
        <f>"1578728144731768"</f>
        <v>1578728144731768</v>
      </c>
      <c r="C5828" t="s">
        <v>37</v>
      </c>
      <c r="D5828">
        <v>4.6525449999999999</v>
      </c>
      <c r="E5828">
        <v>0.41345579999999998</v>
      </c>
      <c r="F5828" t="s">
        <v>65</v>
      </c>
      <c r="G5828">
        <v>-208.4135</v>
      </c>
      <c r="H5828" s="1">
        <v>-2.2180339999999999E-6</v>
      </c>
      <c r="I5828">
        <v>-55.730829999999997</v>
      </c>
      <c r="J5828">
        <v>-231.09360000000001</v>
      </c>
      <c r="K5828">
        <v>1.1047579999999999</v>
      </c>
      <c r="L5828">
        <v>-63.649230000000003</v>
      </c>
      <c r="M5828">
        <v>0.99979979999999902</v>
      </c>
      <c r="N5828">
        <v>0</v>
      </c>
      <c r="O5828">
        <v>-6.4122149999999998E-3</v>
      </c>
      <c r="P5828">
        <v>0.99388410000000005</v>
      </c>
      <c r="Q5828">
        <v>2.0907209999999999E-4</v>
      </c>
      <c r="R5828">
        <v>0.1104279</v>
      </c>
      <c r="S5828">
        <v>2.908493</v>
      </c>
      <c r="T5828">
        <v>-0.14047190000000001</v>
      </c>
      <c r="U5828">
        <v>1.006683</v>
      </c>
      <c r="V5828">
        <v>-0.1167723</v>
      </c>
      <c r="W5828">
        <v>1.9204220000000001E-2</v>
      </c>
      <c r="X5828">
        <v>0.99297299999999999</v>
      </c>
      <c r="Y5828">
        <v>-0.3327814</v>
      </c>
      <c r="Z5828">
        <v>8.1056659999999992E-3</v>
      </c>
      <c r="AA5828">
        <v>0.94296909999999901</v>
      </c>
      <c r="AB5828">
        <v>37</v>
      </c>
      <c r="AC5828">
        <v>22.680099999999999</v>
      </c>
      <c r="AD5828">
        <v>-1.1047602180339999</v>
      </c>
      <c r="AE5828">
        <v>7.9183999999999903</v>
      </c>
      <c r="AF5828">
        <v>-8.0466748817612093</v>
      </c>
      <c r="AG5828">
        <v>-1.1047602180339999</v>
      </c>
      <c r="AH5828">
        <v>22.581092746135099</v>
      </c>
      <c r="AI5828">
        <v>92.638639066736104</v>
      </c>
      <c r="AJ5828">
        <v>109.613305862476</v>
      </c>
      <c r="AK5828">
        <v>23.997400305067899</v>
      </c>
    </row>
    <row r="5829" spans="1:37" x14ac:dyDescent="0.2">
      <c r="A5829" t="str">
        <f>"20200111153544748"</f>
        <v>20200111153544748</v>
      </c>
      <c r="B5829" t="str">
        <f>"1578728144741525"</f>
        <v>1578728144741525</v>
      </c>
      <c r="C5829" t="s">
        <v>37</v>
      </c>
      <c r="D5829">
        <v>4.6478859999999997</v>
      </c>
      <c r="E5829">
        <v>0.41294700000000001</v>
      </c>
      <c r="F5829" t="s">
        <v>65</v>
      </c>
      <c r="G5829">
        <v>-208.13659999999999</v>
      </c>
      <c r="H5829" s="1">
        <v>-2.4284630000000002E-6</v>
      </c>
      <c r="I5829">
        <v>-55.601419999999997</v>
      </c>
      <c r="J5829">
        <v>-230.91900000000001</v>
      </c>
      <c r="K5829">
        <v>1.104776</v>
      </c>
      <c r="L5829">
        <v>-63.650599999999997</v>
      </c>
      <c r="M5829">
        <v>0.99979479999999998</v>
      </c>
      <c r="N5829">
        <v>0</v>
      </c>
      <c r="O5829">
        <v>-6.6763639999999997E-3</v>
      </c>
      <c r="P5829">
        <v>0.99357779999999996</v>
      </c>
      <c r="Q5829">
        <v>7.8804630000000003E-4</v>
      </c>
      <c r="R5829">
        <v>0.1131487</v>
      </c>
      <c r="S5829">
        <v>2.9053339999999999</v>
      </c>
      <c r="T5829">
        <v>-0.1398134</v>
      </c>
      <c r="U5829">
        <v>1.018494</v>
      </c>
      <c r="V5829">
        <v>-0.1197525</v>
      </c>
      <c r="W5829">
        <v>1.99446E-2</v>
      </c>
      <c r="X5829">
        <v>0.99260339999999903</v>
      </c>
      <c r="Y5829">
        <v>-0.33676119999999998</v>
      </c>
      <c r="Z5829">
        <v>8.1760359999999994E-3</v>
      </c>
      <c r="AA5829">
        <v>0.94155460000000002</v>
      </c>
      <c r="AB5829">
        <v>37</v>
      </c>
      <c r="AC5829">
        <v>22.782399999999999</v>
      </c>
      <c r="AD5829">
        <v>-1.104778428463</v>
      </c>
      <c r="AE5829">
        <v>8.0491799999999998</v>
      </c>
      <c r="AF5829">
        <v>-8.1840226331480395</v>
      </c>
      <c r="AG5829">
        <v>-1.104778428463</v>
      </c>
      <c r="AH5829">
        <v>22.6807271666517</v>
      </c>
      <c r="AI5829">
        <v>92.623367041324897</v>
      </c>
      <c r="AJ5829">
        <v>109.84126827359</v>
      </c>
      <c r="AK5829">
        <v>24.137401406198901</v>
      </c>
    </row>
    <row r="5830" spans="1:37" x14ac:dyDescent="0.2">
      <c r="A5830" t="str">
        <f>"20200111153544759"</f>
        <v>20200111153544759</v>
      </c>
      <c r="B5830" t="str">
        <f>"1578728144751285"</f>
        <v>1578728144751285</v>
      </c>
      <c r="C5830" t="s">
        <v>37</v>
      </c>
      <c r="D5830">
        <v>4.64771</v>
      </c>
      <c r="E5830">
        <v>0.41238770000000002</v>
      </c>
      <c r="F5830" t="s">
        <v>65</v>
      </c>
      <c r="G5830">
        <v>-207.8398</v>
      </c>
      <c r="H5830" s="1">
        <v>-2.6553719999999899E-6</v>
      </c>
      <c r="I5830">
        <v>-55.457749999999997</v>
      </c>
      <c r="J5830">
        <v>-230.7398</v>
      </c>
      <c r="K5830">
        <v>1.1047899999999999</v>
      </c>
      <c r="L5830">
        <v>-63.652009999999997</v>
      </c>
      <c r="M5830">
        <v>0.99978979999999995</v>
      </c>
      <c r="N5830">
        <v>0</v>
      </c>
      <c r="O5830">
        <v>-6.947829E-3</v>
      </c>
      <c r="P5830">
        <v>0.99316949999999904</v>
      </c>
      <c r="Q5830">
        <v>9.2334229999999995E-4</v>
      </c>
      <c r="R5830">
        <v>0.11667660000000001</v>
      </c>
      <c r="S5830">
        <v>2.9021910000000002</v>
      </c>
      <c r="T5830">
        <v>-0.13892470000000001</v>
      </c>
      <c r="U5830">
        <v>1.030243</v>
      </c>
      <c r="V5830">
        <v>-0.1235468</v>
      </c>
      <c r="W5830">
        <v>2.0243520000000001E-2</v>
      </c>
      <c r="X5830">
        <v>0.99213220000000002</v>
      </c>
      <c r="Y5830">
        <v>-0.34072160000000001</v>
      </c>
      <c r="Z5830">
        <v>8.2316460000000004E-3</v>
      </c>
      <c r="AA5830">
        <v>0.94012819999999997</v>
      </c>
      <c r="AB5830">
        <v>37</v>
      </c>
      <c r="AC5830">
        <v>22.9</v>
      </c>
      <c r="AD5830">
        <v>-1.104792655372</v>
      </c>
      <c r="AE5830">
        <v>8.1942599999999999</v>
      </c>
      <c r="AF5830">
        <v>-8.3359972411892507</v>
      </c>
      <c r="AG5830">
        <v>-1.104792655372</v>
      </c>
      <c r="AH5830">
        <v>22.795469897187399</v>
      </c>
      <c r="AI5830">
        <v>92.606159670219299</v>
      </c>
      <c r="AJ5830">
        <v>110.086787495312</v>
      </c>
      <c r="AK5830">
        <v>24.2969723350473</v>
      </c>
    </row>
    <row r="5831" spans="1:37" x14ac:dyDescent="0.2">
      <c r="A5831" t="str">
        <f>"20200111153544769"</f>
        <v>20200111153544769</v>
      </c>
      <c r="B5831" t="str">
        <f>"1578728144761045"</f>
        <v>1578728144761045</v>
      </c>
      <c r="C5831" t="s">
        <v>37</v>
      </c>
      <c r="D5831">
        <v>4.6345780000000003</v>
      </c>
      <c r="E5831">
        <v>0.41207440000000001</v>
      </c>
      <c r="F5831" t="s">
        <v>65</v>
      </c>
      <c r="G5831">
        <v>-207.72</v>
      </c>
      <c r="H5831" s="1">
        <v>-2.7590300000000002E-6</v>
      </c>
      <c r="I5831">
        <v>-55.354179999999999</v>
      </c>
      <c r="J5831">
        <v>-230.55629999999999</v>
      </c>
      <c r="K5831">
        <v>1.1048009999999999</v>
      </c>
      <c r="L5831">
        <v>-63.653559999999999</v>
      </c>
      <c r="M5831">
        <v>0.99978480000000003</v>
      </c>
      <c r="N5831">
        <v>0</v>
      </c>
      <c r="O5831">
        <v>-7.2305579999999998E-3</v>
      </c>
      <c r="P5831">
        <v>0.99271969999999998</v>
      </c>
      <c r="Q5831">
        <v>9.4561220000000004E-4</v>
      </c>
      <c r="R5831">
        <v>0.1204446</v>
      </c>
      <c r="S5831">
        <v>2.898056</v>
      </c>
      <c r="T5831">
        <v>-0.13908699999999999</v>
      </c>
      <c r="U5831">
        <v>1.0446469999999899</v>
      </c>
      <c r="V5831">
        <v>-0.1275916</v>
      </c>
      <c r="W5831">
        <v>2.0418479999999999E-2</v>
      </c>
      <c r="X5831">
        <v>0.99161659999999996</v>
      </c>
      <c r="Y5831">
        <v>-0.3455415</v>
      </c>
      <c r="Z5831">
        <v>8.3708669999999902E-3</v>
      </c>
      <c r="AA5831">
        <v>0.93836609999999998</v>
      </c>
      <c r="AB5831">
        <v>37</v>
      </c>
      <c r="AC5831">
        <v>22.836299999999898</v>
      </c>
      <c r="AD5831">
        <v>-1.1048037590299999</v>
      </c>
      <c r="AE5831">
        <v>8.2993799999999904</v>
      </c>
      <c r="AF5831">
        <v>-8.4468496845353904</v>
      </c>
      <c r="AG5831">
        <v>-1.1048037590299999</v>
      </c>
      <c r="AH5831">
        <v>22.7286911989899</v>
      </c>
      <c r="AI5831">
        <v>92.608795382124597</v>
      </c>
      <c r="AJ5831">
        <v>110.38698875919501</v>
      </c>
      <c r="AK5831">
        <v>24.272685565428201</v>
      </c>
    </row>
    <row r="5832" spans="1:37" x14ac:dyDescent="0.2">
      <c r="A5832" t="str">
        <f>"20200111153544780"</f>
        <v>20200111153544780</v>
      </c>
      <c r="B5832" t="str">
        <f>"1578728144771781"</f>
        <v>1578728144771781</v>
      </c>
      <c r="C5832" t="s">
        <v>37</v>
      </c>
      <c r="D5832">
        <v>4.659986</v>
      </c>
      <c r="E5832">
        <v>0.41176859999999998</v>
      </c>
      <c r="F5832" t="s">
        <v>65</v>
      </c>
      <c r="G5832">
        <v>-207.7962</v>
      </c>
      <c r="H5832" s="1">
        <v>-2.7156450000000001E-6</v>
      </c>
      <c r="I5832">
        <v>-55.335329999999999</v>
      </c>
      <c r="J5832">
        <v>-230.37780000000001</v>
      </c>
      <c r="K5832">
        <v>1.104808</v>
      </c>
      <c r="L5832">
        <v>-63.655090000000001</v>
      </c>
      <c r="M5832">
        <v>0.9997798</v>
      </c>
      <c r="N5832">
        <v>0</v>
      </c>
      <c r="O5832">
        <v>-7.5065549999999998E-3</v>
      </c>
      <c r="P5832">
        <v>0.99226530000000002</v>
      </c>
      <c r="Q5832">
        <v>1.031433E-3</v>
      </c>
      <c r="R5832">
        <v>0.12413159999999999</v>
      </c>
      <c r="S5832">
        <v>2.8938290000000002</v>
      </c>
      <c r="T5832">
        <v>-0.1404697</v>
      </c>
      <c r="U5832">
        <v>1.057617</v>
      </c>
      <c r="V5832">
        <v>-0.13154859999999999</v>
      </c>
      <c r="W5832">
        <v>2.06497E-2</v>
      </c>
      <c r="X5832">
        <v>0.99109459999999905</v>
      </c>
      <c r="Y5832">
        <v>-0.3499369</v>
      </c>
      <c r="Z5832">
        <v>8.5755959999999996E-3</v>
      </c>
      <c r="AA5832">
        <v>0.93673399999999996</v>
      </c>
      <c r="AB5832">
        <v>37</v>
      </c>
      <c r="AC5832">
        <v>22.581600000000002</v>
      </c>
      <c r="AD5832">
        <v>-1.104810715645</v>
      </c>
      <c r="AE5832">
        <v>8.3197599999999898</v>
      </c>
      <c r="AF5832">
        <v>-8.4712142042947498</v>
      </c>
      <c r="AG5832">
        <v>-1.104810715645</v>
      </c>
      <c r="AH5832">
        <v>22.471138767013802</v>
      </c>
      <c r="AI5832">
        <v>92.634051860144297</v>
      </c>
      <c r="AJ5832">
        <v>110.655538537897</v>
      </c>
      <c r="AK5832">
        <v>24.0402611112867</v>
      </c>
    </row>
    <row r="5833" spans="1:37" x14ac:dyDescent="0.2">
      <c r="A5833" t="str">
        <f>"20200111153544791"</f>
        <v>20200111153544791</v>
      </c>
      <c r="B5833" t="str">
        <f>"1578728144781541"</f>
        <v>1578728144781541</v>
      </c>
      <c r="C5833" t="s">
        <v>37</v>
      </c>
      <c r="D5833">
        <v>4.6420579999999996</v>
      </c>
      <c r="E5833">
        <v>0.41154009999999902</v>
      </c>
      <c r="F5833" t="s">
        <v>65</v>
      </c>
      <c r="G5833">
        <v>-208.00479999999999</v>
      </c>
      <c r="H5833" s="1">
        <v>-2.57407399999999E-6</v>
      </c>
      <c r="I5833">
        <v>-55.368919999999903</v>
      </c>
      <c r="J5833">
        <v>-230.19659999999999</v>
      </c>
      <c r="K5833">
        <v>1.104816</v>
      </c>
      <c r="L5833">
        <v>-63.656739999999999</v>
      </c>
      <c r="M5833">
        <v>0.99977490000000002</v>
      </c>
      <c r="N5833">
        <v>0</v>
      </c>
      <c r="O5833">
        <v>-7.7916640000000002E-3</v>
      </c>
      <c r="P5833">
        <v>0.99183909999999997</v>
      </c>
      <c r="Q5833">
        <v>1.2061330000000001E-3</v>
      </c>
      <c r="R5833">
        <v>0.1274902</v>
      </c>
      <c r="S5833">
        <v>2.8896329999999999</v>
      </c>
      <c r="T5833">
        <v>-0.1426946</v>
      </c>
      <c r="U5833">
        <v>1.0702209999999901</v>
      </c>
      <c r="V5833">
        <v>-0.13518529999999901</v>
      </c>
      <c r="W5833">
        <v>2.0961009999999999E-2</v>
      </c>
      <c r="X5833">
        <v>0.990598599999999</v>
      </c>
      <c r="Y5833">
        <v>-0.35421979999999997</v>
      </c>
      <c r="Z5833">
        <v>8.8327200000000005E-3</v>
      </c>
      <c r="AA5833">
        <v>0.93512050000000002</v>
      </c>
      <c r="AB5833">
        <v>37</v>
      </c>
      <c r="AC5833">
        <v>22.191800000000001</v>
      </c>
      <c r="AD5833">
        <v>-1.104818574074</v>
      </c>
      <c r="AE5833">
        <v>8.28782</v>
      </c>
      <c r="AF5833">
        <v>-8.4421499817323706</v>
      </c>
      <c r="AG5833">
        <v>-1.104818574074</v>
      </c>
      <c r="AH5833">
        <v>22.078513202946802</v>
      </c>
      <c r="AI5833">
        <v>92.676063379358894</v>
      </c>
      <c r="AJ5833">
        <v>110.92532931661501</v>
      </c>
      <c r="AK5833">
        <v>23.663289408879301</v>
      </c>
    </row>
    <row r="5834" spans="1:37" x14ac:dyDescent="0.2">
      <c r="A5834" t="str">
        <f>"20200111153544803"</f>
        <v>20200111153544803</v>
      </c>
      <c r="B5834" t="str">
        <f>"1578728144791301"</f>
        <v>1578728144791301</v>
      </c>
      <c r="C5834" t="s">
        <v>37</v>
      </c>
      <c r="D5834">
        <v>4.6497469999999996</v>
      </c>
      <c r="E5834">
        <v>0.41134920000000003</v>
      </c>
      <c r="F5834" t="s">
        <v>65</v>
      </c>
      <c r="G5834">
        <v>-208.0926</v>
      </c>
      <c r="H5834" s="1">
        <v>-2.51661599999999E-6</v>
      </c>
      <c r="I5834">
        <v>-55.375160000000001</v>
      </c>
      <c r="J5834">
        <v>-230.0119</v>
      </c>
      <c r="K5834">
        <v>1.104819</v>
      </c>
      <c r="L5834">
        <v>-63.658389999999997</v>
      </c>
      <c r="M5834">
        <v>0.99976969999999998</v>
      </c>
      <c r="N5834">
        <v>0</v>
      </c>
      <c r="O5834">
        <v>-8.0851029999999997E-3</v>
      </c>
      <c r="P5834">
        <v>0.99139129999999998</v>
      </c>
      <c r="Q5834">
        <v>1.0745639999999901E-3</v>
      </c>
      <c r="R5834">
        <v>0.13092799999999999</v>
      </c>
      <c r="S5834">
        <v>2.8858799999999998</v>
      </c>
      <c r="T5834">
        <v>-0.1442446</v>
      </c>
      <c r="U5834">
        <v>1.0812379999999999</v>
      </c>
      <c r="V5834">
        <v>-0.1389107</v>
      </c>
      <c r="W5834">
        <v>2.0962439999999999E-2</v>
      </c>
      <c r="X5834">
        <v>0.99008300000000005</v>
      </c>
      <c r="Y5834">
        <v>-0.3580084</v>
      </c>
      <c r="Z5834">
        <v>9.0393939999999992E-3</v>
      </c>
      <c r="AA5834">
        <v>0.93367459999999902</v>
      </c>
      <c r="AB5834">
        <v>37</v>
      </c>
      <c r="AC5834">
        <v>21.9193</v>
      </c>
      <c r="AD5834">
        <v>-1.104821516616</v>
      </c>
      <c r="AE5834">
        <v>8.2832299999999996</v>
      </c>
      <c r="AF5834">
        <v>-8.4414478233354693</v>
      </c>
      <c r="AG5834">
        <v>-1.104821516616</v>
      </c>
      <c r="AH5834">
        <v>21.803128809394199</v>
      </c>
      <c r="AI5834">
        <v>92.705473619885893</v>
      </c>
      <c r="AJ5834">
        <v>111.16474954807001</v>
      </c>
      <c r="AK5834">
        <v>23.4063046595721</v>
      </c>
    </row>
    <row r="5835" spans="1:37" x14ac:dyDescent="0.2">
      <c r="A5835" t="str">
        <f>"20200111153544814"</f>
        <v>20200111153544814</v>
      </c>
      <c r="B5835" t="str">
        <f>"1578728144811797"</f>
        <v>1578728144811797</v>
      </c>
      <c r="C5835" t="s">
        <v>37</v>
      </c>
      <c r="D5835">
        <v>4.5692349999999999</v>
      </c>
      <c r="E5835">
        <v>0.4108251</v>
      </c>
      <c r="F5835" t="s">
        <v>65</v>
      </c>
      <c r="G5835">
        <v>-208.2748</v>
      </c>
      <c r="H5835" s="1">
        <v>-2.3891740000000001E-6</v>
      </c>
      <c r="I5835">
        <v>-55.418869999999998</v>
      </c>
      <c r="J5835">
        <v>-229.8297</v>
      </c>
      <c r="K5835">
        <v>1.1048199999999999</v>
      </c>
      <c r="L5835">
        <v>-63.660159999999998</v>
      </c>
      <c r="M5835">
        <v>0.99976480000000001</v>
      </c>
      <c r="N5835">
        <v>0</v>
      </c>
      <c r="O5835">
        <v>-8.3792869999999992E-3</v>
      </c>
      <c r="P5835">
        <v>0.99095200000000006</v>
      </c>
      <c r="Q5835">
        <v>4.807999E-4</v>
      </c>
      <c r="R5835">
        <v>0.13421629999999901</v>
      </c>
      <c r="S5835">
        <v>2.8819430000000001</v>
      </c>
      <c r="T5835">
        <v>-0.1464789</v>
      </c>
      <c r="U5835">
        <v>1.0924069999999999</v>
      </c>
      <c r="V5835">
        <v>-0.1424869</v>
      </c>
      <c r="W5835">
        <v>2.0490950000000001E-2</v>
      </c>
      <c r="X5835">
        <v>0.98958459999999904</v>
      </c>
      <c r="Y5835">
        <v>-0.36184949999999999</v>
      </c>
      <c r="Z5835">
        <v>9.2936570000000003E-3</v>
      </c>
      <c r="AA5835">
        <v>0.93219019999999997</v>
      </c>
      <c r="AB5835">
        <v>36</v>
      </c>
      <c r="AC5835">
        <v>21.5549</v>
      </c>
      <c r="AD5835">
        <v>-1.1048223891740001</v>
      </c>
      <c r="AE5835">
        <v>8.2412899999999993</v>
      </c>
      <c r="AF5835">
        <v>-8.4023920444895595</v>
      </c>
      <c r="AG5835">
        <v>-1.1048223891740001</v>
      </c>
      <c r="AH5835">
        <v>21.435939114918501</v>
      </c>
      <c r="AI5835">
        <v>92.747282493594895</v>
      </c>
      <c r="AJ5835">
        <v>111.404030050735</v>
      </c>
      <c r="AK5835">
        <v>23.050386337747501</v>
      </c>
    </row>
    <row r="5836" spans="1:37" x14ac:dyDescent="0.2">
      <c r="A5836" t="str">
        <f>"20200111153544826"</f>
        <v>20200111153544826</v>
      </c>
      <c r="B5836" t="str">
        <f>"1578728144821556"</f>
        <v>1578728144821556</v>
      </c>
      <c r="C5836" t="s">
        <v>37</v>
      </c>
      <c r="D5836">
        <v>4.6217779999999999</v>
      </c>
      <c r="E5836">
        <v>0.410738099999999</v>
      </c>
      <c r="F5836" t="s">
        <v>65</v>
      </c>
      <c r="G5836">
        <v>-208.8502</v>
      </c>
      <c r="H5836" s="1">
        <v>-1.9754120000000001E-6</v>
      </c>
      <c r="I5836">
        <v>-55.599350000000001</v>
      </c>
      <c r="J5836">
        <v>-229.64340000000001</v>
      </c>
      <c r="K5836">
        <v>1.1048229999999899</v>
      </c>
      <c r="L5836">
        <v>-63.661990000000003</v>
      </c>
      <c r="M5836">
        <v>0.99975959999999997</v>
      </c>
      <c r="N5836">
        <v>0</v>
      </c>
      <c r="O5836">
        <v>-8.6846230000000007E-3</v>
      </c>
      <c r="P5836">
        <v>0.99048729999999996</v>
      </c>
      <c r="Q5836">
        <v>-6.5065499999999998E-4</v>
      </c>
      <c r="R5836">
        <v>0.1376019</v>
      </c>
      <c r="S5836">
        <v>2.8777009999999899</v>
      </c>
      <c r="T5836">
        <v>-0.15154589999999901</v>
      </c>
      <c r="U5836">
        <v>1.1056820000000001</v>
      </c>
      <c r="V5836">
        <v>-0.14617230000000001</v>
      </c>
      <c r="W5836">
        <v>1.9476440000000001E-2</v>
      </c>
      <c r="X5836">
        <v>0.98906740000000004</v>
      </c>
      <c r="Y5836">
        <v>-0.36630269999999998</v>
      </c>
      <c r="Z5836">
        <v>9.7490330000000007E-3</v>
      </c>
      <c r="AA5836">
        <v>0.93044470000000001</v>
      </c>
      <c r="AB5836">
        <v>36</v>
      </c>
      <c r="AC5836">
        <v>20.793199999999999</v>
      </c>
      <c r="AD5836">
        <v>-1.1048249754119901</v>
      </c>
      <c r="AE5836">
        <v>8.06264</v>
      </c>
      <c r="AF5836">
        <v>-8.2227730478921401</v>
      </c>
      <c r="AG5836">
        <v>-1.1048249754119901</v>
      </c>
      <c r="AH5836">
        <v>20.671647606797102</v>
      </c>
      <c r="AI5836">
        <v>92.843067250928499</v>
      </c>
      <c r="AJ5836">
        <v>111.691685463547</v>
      </c>
      <c r="AK5836">
        <v>22.274461825216701</v>
      </c>
    </row>
    <row r="5837" spans="1:37" x14ac:dyDescent="0.2">
      <c r="A5837" t="str">
        <f>"20200111153544838"</f>
        <v>20200111153544838</v>
      </c>
      <c r="B5837" t="str">
        <f>"1578728144831316"</f>
        <v>1578728144831316</v>
      </c>
      <c r="C5837" t="s">
        <v>37</v>
      </c>
      <c r="D5837">
        <v>4.5894870000000001</v>
      </c>
      <c r="E5837">
        <v>0.41065779999999902</v>
      </c>
      <c r="F5837" t="s">
        <v>65</v>
      </c>
      <c r="G5837">
        <v>-209.69210000000001</v>
      </c>
      <c r="H5837" s="1">
        <v>-1.3562809999999999E-6</v>
      </c>
      <c r="I5837">
        <v>-55.915019999999998</v>
      </c>
      <c r="J5837">
        <v>-229.45259999999999</v>
      </c>
      <c r="K5837">
        <v>1.104822</v>
      </c>
      <c r="L5837">
        <v>-63.663909999999902</v>
      </c>
      <c r="M5837">
        <v>0.99975449999999999</v>
      </c>
      <c r="N5837">
        <v>0</v>
      </c>
      <c r="O5837">
        <v>-9.0003150000000001E-3</v>
      </c>
      <c r="P5837">
        <v>0.99000569999999899</v>
      </c>
      <c r="Q5837">
        <v>-1.5471929999999899E-3</v>
      </c>
      <c r="R5837">
        <v>0.141019799999999</v>
      </c>
      <c r="S5837">
        <v>2.8737029999999999</v>
      </c>
      <c r="T5837">
        <v>-0.15913469999999999</v>
      </c>
      <c r="U5837">
        <v>1.115845</v>
      </c>
      <c r="V5837">
        <v>-0.1498989</v>
      </c>
      <c r="W5837">
        <v>1.8694570000000001E-2</v>
      </c>
      <c r="X5837">
        <v>0.98852459999999898</v>
      </c>
      <c r="Y5837">
        <v>-0.36983759999999999</v>
      </c>
      <c r="Z5837">
        <v>1.03547999999999E-2</v>
      </c>
      <c r="AA5837">
        <v>0.929038699999999</v>
      </c>
      <c r="AB5837">
        <v>36</v>
      </c>
      <c r="AC5837">
        <v>19.760499999999901</v>
      </c>
      <c r="AD5837">
        <v>-1.1048233562809999</v>
      </c>
      <c r="AE5837">
        <v>7.7488899999999896</v>
      </c>
      <c r="AF5837">
        <v>-7.9050454726898298</v>
      </c>
      <c r="AG5837">
        <v>-1.1048233562809999</v>
      </c>
      <c r="AH5837">
        <v>19.636739266204899</v>
      </c>
      <c r="AI5837">
        <v>92.9877093809787</v>
      </c>
      <c r="AJ5837">
        <v>111.927943768707</v>
      </c>
      <c r="AK5837">
        <v>21.196978737140601</v>
      </c>
    </row>
    <row r="5838" spans="1:37" x14ac:dyDescent="0.2">
      <c r="A5838" t="str">
        <f>"20200111153544848"</f>
        <v>20200111153544848</v>
      </c>
      <c r="B5838" t="str">
        <f>"1578728144841077"</f>
        <v>1578728144841077</v>
      </c>
      <c r="C5838" t="s">
        <v>37</v>
      </c>
      <c r="D5838">
        <v>4.5894279999999998</v>
      </c>
      <c r="E5838">
        <v>0.41053019999999901</v>
      </c>
      <c r="F5838" t="s">
        <v>79</v>
      </c>
      <c r="G5838">
        <v>-210.3878</v>
      </c>
      <c r="H5838" s="1">
        <v>-2.221867E-7</v>
      </c>
      <c r="I5838">
        <v>-56.183990000000001</v>
      </c>
      <c r="J5838">
        <v>-229.27979999999999</v>
      </c>
      <c r="K5838">
        <v>1.104819</v>
      </c>
      <c r="L5838">
        <v>-63.66574</v>
      </c>
      <c r="M5838">
        <v>0.99974979999999902</v>
      </c>
      <c r="N5838">
        <v>0</v>
      </c>
      <c r="O5838">
        <v>-9.2913179999999998E-3</v>
      </c>
      <c r="P5838">
        <v>0.98941100000000004</v>
      </c>
      <c r="Q5838">
        <v>-2.3842410000000001E-3</v>
      </c>
      <c r="R5838">
        <v>0.14512169999999999</v>
      </c>
      <c r="S5838">
        <v>2.869675</v>
      </c>
      <c r="T5838">
        <v>-0.16630020000000001</v>
      </c>
      <c r="U5838">
        <v>1.125885</v>
      </c>
      <c r="V5838">
        <v>-0.15428410000000001</v>
      </c>
      <c r="W5838">
        <v>1.7947009999999999E-2</v>
      </c>
      <c r="X5838">
        <v>0.98786350000000001</v>
      </c>
      <c r="Y5838">
        <v>-0.37331300000000001</v>
      </c>
      <c r="Z5838">
        <v>1.094117E-2</v>
      </c>
      <c r="AA5838">
        <v>0.92764089999999999</v>
      </c>
      <c r="AB5838">
        <v>36</v>
      </c>
      <c r="AC5838">
        <v>18.891999999999999</v>
      </c>
      <c r="AD5838">
        <v>-1.1048192221866999</v>
      </c>
      <c r="AE5838">
        <v>7.4817499999999901</v>
      </c>
      <c r="AF5838">
        <v>-7.6344248988157002</v>
      </c>
      <c r="AG5838">
        <v>-1.1048192221866999</v>
      </c>
      <c r="AH5838">
        <v>18.766175309041198</v>
      </c>
      <c r="AI5838">
        <v>93.121416850160003</v>
      </c>
      <c r="AJ5838">
        <v>112.137394955761</v>
      </c>
      <c r="AK5838">
        <v>20.289761082354801</v>
      </c>
    </row>
    <row r="5839" spans="1:37" x14ac:dyDescent="0.2">
      <c r="A5839" t="str">
        <f>"20200111153544859"</f>
        <v>20200111153544859</v>
      </c>
      <c r="B5839" t="str">
        <f>"1578728144851814"</f>
        <v>1578728144851814</v>
      </c>
      <c r="C5839" t="s">
        <v>37</v>
      </c>
      <c r="D5839">
        <v>4.6006919999999996</v>
      </c>
      <c r="E5839">
        <v>0.41047</v>
      </c>
      <c r="F5839" t="s">
        <v>79</v>
      </c>
      <c r="G5839">
        <v>-211.03309999999999</v>
      </c>
      <c r="H5839" s="1">
        <v>-3.7995880000000001E-7</v>
      </c>
      <c r="I5839">
        <v>-56.416309999999903</v>
      </c>
      <c r="J5839">
        <v>-229.1061</v>
      </c>
      <c r="K5839">
        <v>1.1048180000000001</v>
      </c>
      <c r="L5839">
        <v>-63.667569999999998</v>
      </c>
      <c r="M5839">
        <v>0.99974509999999905</v>
      </c>
      <c r="N5839">
        <v>0</v>
      </c>
      <c r="O5839">
        <v>-9.5845740000000002E-3</v>
      </c>
      <c r="P5839">
        <v>0.98882409999999998</v>
      </c>
      <c r="Q5839">
        <v>-3.0231099999999999E-3</v>
      </c>
      <c r="R5839">
        <v>0.1490571</v>
      </c>
      <c r="S5839">
        <v>2.8647309999999999</v>
      </c>
      <c r="T5839">
        <v>-0.17345669999999999</v>
      </c>
      <c r="U5839">
        <v>1.138153</v>
      </c>
      <c r="V5839">
        <v>-0.1585039</v>
      </c>
      <c r="W5839">
        <v>1.73972999999999E-2</v>
      </c>
      <c r="X5839">
        <v>0.98720509999999995</v>
      </c>
      <c r="Y5839">
        <v>-0.37750459999999902</v>
      </c>
      <c r="Z5839">
        <v>1.156018E-2</v>
      </c>
      <c r="AA5839">
        <v>0.92593559999999997</v>
      </c>
      <c r="AB5839">
        <v>36</v>
      </c>
      <c r="AC5839">
        <v>18.073</v>
      </c>
      <c r="AD5839">
        <v>-1.1048183799588001</v>
      </c>
      <c r="AE5839">
        <v>7.2512600000000003</v>
      </c>
      <c r="AF5839">
        <v>-7.4003645225661199</v>
      </c>
      <c r="AG5839">
        <v>-1.1048183799588001</v>
      </c>
      <c r="AH5839">
        <v>17.944893277796499</v>
      </c>
      <c r="AI5839">
        <v>93.257606604575003</v>
      </c>
      <c r="AJ5839">
        <v>112.410952178397</v>
      </c>
      <c r="AK5839">
        <v>19.442356170769401</v>
      </c>
    </row>
    <row r="5840" spans="1:37" x14ac:dyDescent="0.2">
      <c r="A5840" t="str">
        <f>"20200111153544870"</f>
        <v>20200111153544870</v>
      </c>
      <c r="B5840" t="str">
        <f>"1578728144861573"</f>
        <v>1578728144861573</v>
      </c>
      <c r="C5840" t="s">
        <v>37</v>
      </c>
      <c r="D5840">
        <v>4.6090450000000001</v>
      </c>
      <c r="E5840">
        <v>0.41048230000000002</v>
      </c>
      <c r="F5840" t="s">
        <v>40</v>
      </c>
      <c r="G5840">
        <v>-228.0676</v>
      </c>
      <c r="H5840">
        <v>1.039628</v>
      </c>
      <c r="I5840">
        <v>-63.250230000000002</v>
      </c>
      <c r="J5840">
        <v>-228.9307</v>
      </c>
      <c r="K5840">
        <v>1.104819</v>
      </c>
      <c r="L5840">
        <v>-63.669530000000002</v>
      </c>
      <c r="M5840">
        <v>0.99974050000000003</v>
      </c>
      <c r="N5840">
        <v>0</v>
      </c>
      <c r="O5840">
        <v>-9.88494E-3</v>
      </c>
      <c r="P5840">
        <v>0.98818969999999995</v>
      </c>
      <c r="Q5840">
        <v>-3.683006E-3</v>
      </c>
      <c r="R5840">
        <v>0.15319140000000001</v>
      </c>
      <c r="S5840">
        <v>2.8600919999999999</v>
      </c>
      <c r="T5840">
        <v>-0.17953729999999901</v>
      </c>
      <c r="U5840">
        <v>1.149475</v>
      </c>
      <c r="V5840">
        <v>-0.1629293</v>
      </c>
      <c r="W5840">
        <v>1.6811840000000002E-2</v>
      </c>
      <c r="X5840">
        <v>0.98649449999999905</v>
      </c>
      <c r="Y5840">
        <v>-0.38140299999999999</v>
      </c>
      <c r="Z5840">
        <v>1.21101E-2</v>
      </c>
      <c r="AA5840">
        <v>0.92432959999999997</v>
      </c>
      <c r="AB5840">
        <v>36</v>
      </c>
      <c r="AC5840">
        <v>0.86310000000000198</v>
      </c>
      <c r="AD5840">
        <v>-6.5190999999999999E-2</v>
      </c>
      <c r="AE5840">
        <v>0.41929999999999901</v>
      </c>
      <c r="AF5840">
        <v>-0.42584743759004701</v>
      </c>
      <c r="AG5840">
        <v>-6.5190999999999999E-2</v>
      </c>
      <c r="AH5840">
        <v>0.85496597264195695</v>
      </c>
      <c r="AI5840">
        <v>93.904499499243897</v>
      </c>
      <c r="AJ5840">
        <v>116.477298699504</v>
      </c>
      <c r="AK5840">
        <v>0.95737282234175503</v>
      </c>
    </row>
    <row r="5841" spans="1:37" x14ac:dyDescent="0.2">
      <c r="A5841" t="str">
        <f>"20200111153544883"</f>
        <v>20200111153544883</v>
      </c>
      <c r="B5841" t="str">
        <f>"1578728144871333"</f>
        <v>1578728144871333</v>
      </c>
      <c r="C5841" t="s">
        <v>37</v>
      </c>
      <c r="D5841">
        <v>4.622922</v>
      </c>
      <c r="E5841">
        <v>0.410495</v>
      </c>
      <c r="F5841" t="s">
        <v>79</v>
      </c>
      <c r="G5841">
        <v>-211.9128</v>
      </c>
      <c r="H5841" s="1">
        <v>-5.9017690000000004E-7</v>
      </c>
      <c r="I5841">
        <v>-56.751399999999997</v>
      </c>
      <c r="J5841">
        <v>-228.73910000000001</v>
      </c>
      <c r="K5841">
        <v>1.104819</v>
      </c>
      <c r="L5841">
        <v>-63.671689999999998</v>
      </c>
      <c r="M5841">
        <v>0.99973539999999905</v>
      </c>
      <c r="N5841">
        <v>0</v>
      </c>
      <c r="O5841">
        <v>-1.021407E-2</v>
      </c>
      <c r="P5841">
        <v>0.98755910000000002</v>
      </c>
      <c r="Q5841">
        <v>-4.2054980000000002E-3</v>
      </c>
      <c r="R5841">
        <v>0.15719159999999999</v>
      </c>
      <c r="S5841">
        <v>2.8552399999999998</v>
      </c>
      <c r="T5841">
        <v>-0.18536529999999901</v>
      </c>
      <c r="U5841">
        <v>1.160706</v>
      </c>
      <c r="V5841">
        <v>-0.1672487</v>
      </c>
      <c r="W5841">
        <v>1.6366530000000001E-2</v>
      </c>
      <c r="X5841">
        <v>0.98577890000000001</v>
      </c>
      <c r="Y5841">
        <v>-0.38531890000000002</v>
      </c>
      <c r="Z5841">
        <v>1.2656000000000001E-2</v>
      </c>
      <c r="AA5841">
        <v>0.92269669999999904</v>
      </c>
      <c r="AB5841">
        <v>36</v>
      </c>
      <c r="AC5841">
        <v>16.8263</v>
      </c>
      <c r="AD5841">
        <v>-1.10481959017689</v>
      </c>
      <c r="AE5841">
        <v>6.9202899999999996</v>
      </c>
      <c r="AF5841">
        <v>-7.0657751274518397</v>
      </c>
      <c r="AG5841">
        <v>-1.10481959017689</v>
      </c>
      <c r="AH5841">
        <v>16.6931660197647</v>
      </c>
      <c r="AI5841">
        <v>93.487802824853802</v>
      </c>
      <c r="AJ5841">
        <v>112.94165377841399</v>
      </c>
      <c r="AK5841">
        <v>18.160605613304401</v>
      </c>
    </row>
    <row r="5842" spans="1:37" x14ac:dyDescent="0.2">
      <c r="A5842" t="str">
        <f>"20200111153544893"</f>
        <v>20200111153544893</v>
      </c>
      <c r="B5842" t="str">
        <f>"1578728144891829"</f>
        <v>1578728144891829</v>
      </c>
      <c r="C5842" t="s">
        <v>37</v>
      </c>
      <c r="D5842">
        <v>4.635008</v>
      </c>
      <c r="E5842">
        <v>0.41065029999999902</v>
      </c>
      <c r="F5842" t="s">
        <v>40</v>
      </c>
      <c r="G5842">
        <v>-227.739</v>
      </c>
      <c r="H5842">
        <v>1.0379510000000001</v>
      </c>
      <c r="I5842">
        <v>-63.260819999999903</v>
      </c>
      <c r="J5842">
        <v>-228.5498</v>
      </c>
      <c r="K5842">
        <v>1.104822</v>
      </c>
      <c r="L5842">
        <v>-63.673949999999998</v>
      </c>
      <c r="M5842">
        <v>0.99973060000000002</v>
      </c>
      <c r="N5842">
        <v>0</v>
      </c>
      <c r="O5842">
        <v>-1.0542340000000001E-2</v>
      </c>
      <c r="P5842">
        <v>0.98683969999999899</v>
      </c>
      <c r="Q5842">
        <v>-4.473131E-3</v>
      </c>
      <c r="R5842">
        <v>0.1616407</v>
      </c>
      <c r="S5842">
        <v>2.8505099999999999</v>
      </c>
      <c r="T5842">
        <v>-0.19059400000000001</v>
      </c>
      <c r="U5842">
        <v>1.1716</v>
      </c>
      <c r="V5842">
        <v>-0.17201359999999999</v>
      </c>
      <c r="W5842">
        <v>1.6162470000000002E-2</v>
      </c>
      <c r="X5842">
        <v>0.984962</v>
      </c>
      <c r="Y5842">
        <v>-0.38912379999999902</v>
      </c>
      <c r="Z5842">
        <v>1.316645E-2</v>
      </c>
      <c r="AA5842">
        <v>0.9210914</v>
      </c>
      <c r="AB5842">
        <v>36</v>
      </c>
      <c r="AC5842">
        <v>0.81079999999999997</v>
      </c>
      <c r="AD5842">
        <v>-6.6870999999999903E-2</v>
      </c>
      <c r="AE5842">
        <v>0.413130000000002</v>
      </c>
      <c r="AF5842">
        <v>-0.419391804274105</v>
      </c>
      <c r="AG5842">
        <v>-6.6870999999999903E-2</v>
      </c>
      <c r="AH5842">
        <v>0.80206733897670002</v>
      </c>
      <c r="AI5842">
        <v>94.225486547189504</v>
      </c>
      <c r="AJ5842">
        <v>117.60455151689099</v>
      </c>
      <c r="AK5842">
        <v>0.90756445081683002</v>
      </c>
    </row>
    <row r="5843" spans="1:37" x14ac:dyDescent="0.2">
      <c r="A5843" t="str">
        <f>"20200111153544904"</f>
        <v>20200111153544904</v>
      </c>
      <c r="B5843" t="str">
        <f>"1578728144901589"</f>
        <v>1578728144901589</v>
      </c>
      <c r="C5843" t="s">
        <v>37</v>
      </c>
      <c r="D5843">
        <v>4.6161849999999998</v>
      </c>
      <c r="E5843">
        <v>0.41078419999999999</v>
      </c>
      <c r="F5843" t="s">
        <v>79</v>
      </c>
      <c r="G5843">
        <v>-212.61089999999999</v>
      </c>
      <c r="H5843" s="1">
        <v>-7.4809149999999996E-7</v>
      </c>
      <c r="I5843">
        <v>-57.050789999999999</v>
      </c>
      <c r="J5843">
        <v>-228.39830000000001</v>
      </c>
      <c r="K5843">
        <v>1.1048209999999901</v>
      </c>
      <c r="L5843">
        <v>-63.675750000000001</v>
      </c>
      <c r="M5843">
        <v>0.99972669999999997</v>
      </c>
      <c r="N5843">
        <v>0</v>
      </c>
      <c r="O5843">
        <v>-1.0805530000000001E-2</v>
      </c>
      <c r="P5843">
        <v>0.98606489999999902</v>
      </c>
      <c r="Q5843">
        <v>-4.9903580000000003E-3</v>
      </c>
      <c r="R5843">
        <v>0.16628689999999999</v>
      </c>
      <c r="S5843">
        <v>2.8454440000000001</v>
      </c>
      <c r="T5843">
        <v>-0.19723579999999999</v>
      </c>
      <c r="U5843">
        <v>1.1823729999999999</v>
      </c>
      <c r="V5843">
        <v>-0.17691099999999901</v>
      </c>
      <c r="W5843">
        <v>1.5688560000000001E-2</v>
      </c>
      <c r="X5843">
        <v>0.98410180000000003</v>
      </c>
      <c r="Y5843">
        <v>-0.39285349999999902</v>
      </c>
      <c r="Z5843">
        <v>1.3778759999999999E-2</v>
      </c>
      <c r="AA5843">
        <v>0.91949780000000003</v>
      </c>
      <c r="AB5843">
        <v>36</v>
      </c>
      <c r="AC5843">
        <v>15.7874</v>
      </c>
      <c r="AD5843">
        <v>-1.1048217480914999</v>
      </c>
      <c r="AE5843">
        <v>6.6249599999999997</v>
      </c>
      <c r="AF5843">
        <v>-6.7670224002008803</v>
      </c>
      <c r="AG5843">
        <v>-1.1048217480914999</v>
      </c>
      <c r="AH5843">
        <v>15.6497093797348</v>
      </c>
      <c r="AI5843">
        <v>93.707499572677605</v>
      </c>
      <c r="AJ5843">
        <v>113.383927170771</v>
      </c>
      <c r="AK5843">
        <v>17.0858604386796</v>
      </c>
    </row>
    <row r="5844" spans="1:37" x14ac:dyDescent="0.2">
      <c r="A5844" t="str">
        <f>"20200111153544915"</f>
        <v>20200111153544915</v>
      </c>
      <c r="B5844" t="str">
        <f>"1578728144911348"</f>
        <v>1578728144911348</v>
      </c>
      <c r="C5844" t="s">
        <v>37</v>
      </c>
      <c r="D5844">
        <v>4.6948699999999999</v>
      </c>
      <c r="E5844">
        <v>0.4109353</v>
      </c>
      <c r="F5844" t="s">
        <v>40</v>
      </c>
      <c r="G5844">
        <v>-227.42250000000001</v>
      </c>
      <c r="H5844">
        <v>1.035123</v>
      </c>
      <c r="I5844">
        <v>-63.265549999999998</v>
      </c>
      <c r="J5844">
        <v>-228.21599999999901</v>
      </c>
      <c r="K5844">
        <v>1.1048169999999999</v>
      </c>
      <c r="L5844">
        <v>-63.677979999999998</v>
      </c>
      <c r="M5844">
        <v>0.99972179999999999</v>
      </c>
      <c r="N5844">
        <v>0</v>
      </c>
      <c r="O5844">
        <v>-1.112349E-2</v>
      </c>
      <c r="P5844">
        <v>0.9852841</v>
      </c>
      <c r="Q5844">
        <v>-5.4638809999999899E-3</v>
      </c>
      <c r="R5844">
        <v>0.17083709999999999</v>
      </c>
      <c r="S5844">
        <v>2.84001199999999</v>
      </c>
      <c r="T5844">
        <v>-0.20285429999999999</v>
      </c>
      <c r="U5844">
        <v>1.1939090000000001</v>
      </c>
      <c r="V5844">
        <v>-0.18176589999999901</v>
      </c>
      <c r="W5844">
        <v>1.5263270000000001E-2</v>
      </c>
      <c r="X5844">
        <v>0.98322339999999997</v>
      </c>
      <c r="Y5844">
        <v>-0.39688489999999998</v>
      </c>
      <c r="Z5844">
        <v>1.434449E-2</v>
      </c>
      <c r="AA5844">
        <v>0.91775629999999997</v>
      </c>
      <c r="AB5844">
        <v>36</v>
      </c>
      <c r="AC5844">
        <v>0.79349999999996601</v>
      </c>
      <c r="AD5844">
        <v>-6.9693999999999895E-2</v>
      </c>
      <c r="AE5844">
        <v>0.41243000000000701</v>
      </c>
      <c r="AF5844">
        <v>-0.41868994371326701</v>
      </c>
      <c r="AG5844">
        <v>-6.9693999999999895E-2</v>
      </c>
      <c r="AH5844">
        <v>0.78409997415625599</v>
      </c>
      <c r="AI5844">
        <v>94.483173529358595</v>
      </c>
      <c r="AJ5844">
        <v>118.10111151542</v>
      </c>
      <c r="AK5844">
        <v>0.89161162625577095</v>
      </c>
    </row>
    <row r="5845" spans="1:37" x14ac:dyDescent="0.2">
      <c r="A5845" t="str">
        <f>"20200111153544926"</f>
        <v>20200111153544926</v>
      </c>
      <c r="B5845" t="str">
        <f>"1578728144921112"</f>
        <v>1578728144921112</v>
      </c>
      <c r="C5845" t="s">
        <v>37</v>
      </c>
      <c r="D5845">
        <v>4.7188379999999999</v>
      </c>
      <c r="E5845">
        <v>0.41112159999999898</v>
      </c>
      <c r="F5845" t="s">
        <v>79</v>
      </c>
      <c r="G5845">
        <v>-213.25120000000001</v>
      </c>
      <c r="H5845" s="1">
        <v>-9.0764619999999998E-7</v>
      </c>
      <c r="I5845">
        <v>-57.317540000000001</v>
      </c>
      <c r="J5845">
        <v>-228.03270000000001</v>
      </c>
      <c r="K5845">
        <v>1.1048129999999901</v>
      </c>
      <c r="L5845">
        <v>-63.680329999999998</v>
      </c>
      <c r="M5845">
        <v>0.99971710000000003</v>
      </c>
      <c r="N5845">
        <v>0</v>
      </c>
      <c r="O5845">
        <v>-1.144447E-2</v>
      </c>
      <c r="P5845">
        <v>0.98449580000000003</v>
      </c>
      <c r="Q5845">
        <v>-6.3853340000000003E-3</v>
      </c>
      <c r="R5845">
        <v>0.1752918</v>
      </c>
      <c r="S5845">
        <v>2.8347630000000001</v>
      </c>
      <c r="T5845">
        <v>-0.20928339999999901</v>
      </c>
      <c r="U5845">
        <v>1.204834</v>
      </c>
      <c r="V5845">
        <v>-0.1865281</v>
      </c>
      <c r="W5845">
        <v>1.4383119999999999E-2</v>
      </c>
      <c r="X5845">
        <v>0.98234429999999995</v>
      </c>
      <c r="Y5845">
        <v>-0.40071499999999999</v>
      </c>
      <c r="Z5845">
        <v>1.497068E-2</v>
      </c>
      <c r="AA5845">
        <v>0.91608049999999996</v>
      </c>
      <c r="AB5845">
        <v>36</v>
      </c>
      <c r="AC5845">
        <v>14.7814999999999</v>
      </c>
      <c r="AD5845">
        <v>-1.10481390764619</v>
      </c>
      <c r="AE5845">
        <v>6.3627900000000004</v>
      </c>
      <c r="AF5845">
        <v>-6.5009361387478402</v>
      </c>
      <c r="AG5845">
        <v>-1.10481390764619</v>
      </c>
      <c r="AH5845">
        <v>14.6387018471804</v>
      </c>
      <c r="AI5845">
        <v>93.945801510408899</v>
      </c>
      <c r="AJ5845">
        <v>113.945642913931</v>
      </c>
      <c r="AK5845">
        <v>16.055353506579898</v>
      </c>
    </row>
    <row r="5846" spans="1:37" x14ac:dyDescent="0.2">
      <c r="A5846" t="str">
        <f>"20200111153544937"</f>
        <v>20200111153544937</v>
      </c>
      <c r="B5846" t="str">
        <f>"1578728144931845"</f>
        <v>1578728144931845</v>
      </c>
      <c r="C5846" t="s">
        <v>37</v>
      </c>
      <c r="D5846">
        <v>4.7038760000000002</v>
      </c>
      <c r="E5846">
        <v>0.41128609999999999</v>
      </c>
      <c r="F5846" t="s">
        <v>40</v>
      </c>
      <c r="G5846">
        <v>-227.05179999999999</v>
      </c>
      <c r="H5846">
        <v>1.029776</v>
      </c>
      <c r="I5846">
        <v>-63.259250000000002</v>
      </c>
      <c r="J5846">
        <v>-227.85120000000001</v>
      </c>
      <c r="K5846">
        <v>1.1048069999999901</v>
      </c>
      <c r="L5846">
        <v>-63.682650000000002</v>
      </c>
      <c r="M5846">
        <v>0.9997123</v>
      </c>
      <c r="N5846">
        <v>0</v>
      </c>
      <c r="O5846">
        <v>-1.176278E-2</v>
      </c>
      <c r="P5846">
        <v>0.98369839999999997</v>
      </c>
      <c r="Q5846">
        <v>-7.5601640000000003E-3</v>
      </c>
      <c r="R5846">
        <v>0.1796681</v>
      </c>
      <c r="S5846">
        <v>2.8294980000000001</v>
      </c>
      <c r="T5846">
        <v>-0.2164556</v>
      </c>
      <c r="U5846">
        <v>1.2151179999999999</v>
      </c>
      <c r="V5846">
        <v>-0.1912095</v>
      </c>
      <c r="W5846">
        <v>1.32455E-2</v>
      </c>
      <c r="X5846">
        <v>0.98145990000000005</v>
      </c>
      <c r="Y5846">
        <v>-0.40435389999999999</v>
      </c>
      <c r="Z5846">
        <v>1.565476E-2</v>
      </c>
      <c r="AA5846">
        <v>0.91446859999999996</v>
      </c>
      <c r="AB5846">
        <v>36</v>
      </c>
      <c r="AC5846">
        <v>0.79940000000001898</v>
      </c>
      <c r="AD5846">
        <v>-7.5030999999999806E-2</v>
      </c>
      <c r="AE5846">
        <v>0.4234</v>
      </c>
      <c r="AF5846">
        <v>-0.42981892345473999</v>
      </c>
      <c r="AG5846">
        <v>-7.5030999999999806E-2</v>
      </c>
      <c r="AH5846">
        <v>0.78893564000435901</v>
      </c>
      <c r="AI5846">
        <v>94.773928418356604</v>
      </c>
      <c r="AJ5846">
        <v>118.581928438351</v>
      </c>
      <c r="AK5846">
        <v>0.901550554317328</v>
      </c>
    </row>
    <row r="5847" spans="1:37" x14ac:dyDescent="0.2">
      <c r="A5847" t="str">
        <f>"20200111153544949"</f>
        <v>20200111153544949</v>
      </c>
      <c r="B5847" t="str">
        <f>"1578728144941605"</f>
        <v>1578728144941605</v>
      </c>
      <c r="C5847" t="s">
        <v>37</v>
      </c>
      <c r="D5847">
        <v>4.7459049999999996</v>
      </c>
      <c r="E5847">
        <v>0.411576</v>
      </c>
      <c r="F5847" t="s">
        <v>79</v>
      </c>
      <c r="G5847">
        <v>-213.9434</v>
      </c>
      <c r="H5847" s="1">
        <v>-1.1458610000000001E-6</v>
      </c>
      <c r="I5847">
        <v>-57.648690000000002</v>
      </c>
      <c r="J5847">
        <v>-227.68190000000001</v>
      </c>
      <c r="K5847">
        <v>1.1047990000000001</v>
      </c>
      <c r="L5847">
        <v>-63.684939999999997</v>
      </c>
      <c r="M5847">
        <v>0.99970809999999999</v>
      </c>
      <c r="N5847">
        <v>0</v>
      </c>
      <c r="O5847">
        <v>-1.206055E-2</v>
      </c>
      <c r="P5847">
        <v>0.98290010000000005</v>
      </c>
      <c r="Q5847">
        <v>-9.2181599999999995E-3</v>
      </c>
      <c r="R5847">
        <v>0.1839093</v>
      </c>
      <c r="S5847">
        <v>2.8242029999999998</v>
      </c>
      <c r="T5847">
        <v>-0.22434889999999999</v>
      </c>
      <c r="U5847">
        <v>1.2252809999999901</v>
      </c>
      <c r="V5847">
        <v>-0.19573599999999999</v>
      </c>
      <c r="W5847">
        <v>1.161246E-2</v>
      </c>
      <c r="X5847">
        <v>0.98058789999999996</v>
      </c>
      <c r="Y5847">
        <v>-0.40792889999999998</v>
      </c>
      <c r="Z5847">
        <v>1.6399230000000001E-2</v>
      </c>
      <c r="AA5847">
        <v>0.91286639999999997</v>
      </c>
      <c r="AB5847">
        <v>36</v>
      </c>
      <c r="AC5847">
        <v>13.7385</v>
      </c>
      <c r="AD5847">
        <v>-1.1048001458609999</v>
      </c>
      <c r="AE5847">
        <v>6.0362499999999999</v>
      </c>
      <c r="AF5847">
        <v>-6.1681072780477901</v>
      </c>
      <c r="AG5847">
        <v>-1.1048001458609999</v>
      </c>
      <c r="AH5847">
        <v>13.591014969933401</v>
      </c>
      <c r="AI5847">
        <v>94.233457543561599</v>
      </c>
      <c r="AJ5847">
        <v>114.410311292128</v>
      </c>
      <c r="AK5847">
        <v>14.966022139124201</v>
      </c>
    </row>
    <row r="5848" spans="1:37" x14ac:dyDescent="0.2">
      <c r="A5848" t="str">
        <f>"20200111153544960"</f>
        <v>20200111153544960</v>
      </c>
      <c r="B5848" t="str">
        <f>"1578728144951365"</f>
        <v>1578728144951365</v>
      </c>
      <c r="C5848" t="s">
        <v>37</v>
      </c>
      <c r="D5848">
        <v>4.7685820000000003</v>
      </c>
      <c r="E5848">
        <v>0.41184759999999998</v>
      </c>
      <c r="F5848" t="s">
        <v>40</v>
      </c>
      <c r="G5848">
        <v>-226.7063</v>
      </c>
      <c r="H5848">
        <v>1.0238929999999999</v>
      </c>
      <c r="I5848">
        <v>-63.257950000000001</v>
      </c>
      <c r="J5848">
        <v>-227.50989999999999</v>
      </c>
      <c r="K5848">
        <v>1.1047899999999999</v>
      </c>
      <c r="L5848">
        <v>-63.687259999999903</v>
      </c>
      <c r="M5848">
        <v>0.99970360000000003</v>
      </c>
      <c r="N5848">
        <v>0</v>
      </c>
      <c r="O5848">
        <v>-1.2362959999999999E-2</v>
      </c>
      <c r="P5848">
        <v>0.98207339999999999</v>
      </c>
      <c r="Q5848">
        <v>-1.0992979999999999E-2</v>
      </c>
      <c r="R5848">
        <v>0.1881784</v>
      </c>
      <c r="S5848">
        <v>2.8190770000000001</v>
      </c>
      <c r="T5848">
        <v>-0.2338073</v>
      </c>
      <c r="U5848">
        <v>1.2341</v>
      </c>
      <c r="V5848">
        <v>-0.20029420000000001</v>
      </c>
      <c r="W5848">
        <v>9.8592290000000006E-3</v>
      </c>
      <c r="X5848">
        <v>0.97968619999999995</v>
      </c>
      <c r="Y5848">
        <v>-0.41109960000000001</v>
      </c>
      <c r="Z5848">
        <v>1.725633E-2</v>
      </c>
      <c r="AA5848">
        <v>0.91142710000000005</v>
      </c>
      <c r="AB5848">
        <v>35</v>
      </c>
      <c r="AC5848">
        <v>0.80359999999998799</v>
      </c>
      <c r="AD5848">
        <v>-8.0896999999999997E-2</v>
      </c>
      <c r="AE5848">
        <v>0.42930999999999298</v>
      </c>
      <c r="AF5848">
        <v>-0.43577857183795599</v>
      </c>
      <c r="AG5848">
        <v>-8.0896999999999997E-2</v>
      </c>
      <c r="AH5848">
        <v>0.79198585702886004</v>
      </c>
      <c r="AI5848">
        <v>95.113876281305096</v>
      </c>
      <c r="AJ5848">
        <v>118.821143134542</v>
      </c>
      <c r="AK5848">
        <v>0.90757307475258797</v>
      </c>
    </row>
    <row r="5849" spans="1:37" x14ac:dyDescent="0.2">
      <c r="A5849" t="str">
        <f>"20200111153544970"</f>
        <v>20200111153544970</v>
      </c>
      <c r="B5849" t="str">
        <f>"1578728144961125"</f>
        <v>1578728144961125</v>
      </c>
      <c r="C5849" t="s">
        <v>37</v>
      </c>
      <c r="D5849">
        <v>4.6966979999999996</v>
      </c>
      <c r="E5849">
        <v>0.4120818</v>
      </c>
      <c r="F5849" t="s">
        <v>40</v>
      </c>
      <c r="G5849">
        <v>-226.4915</v>
      </c>
      <c r="H5849">
        <v>1.016837</v>
      </c>
      <c r="I5849">
        <v>-63.237499999999997</v>
      </c>
      <c r="J5849">
        <v>-227.334</v>
      </c>
      <c r="K5849">
        <v>1.104784</v>
      </c>
      <c r="L5849">
        <v>-63.689700000000002</v>
      </c>
      <c r="M5849">
        <v>0.99969909999999995</v>
      </c>
      <c r="N5849">
        <v>0</v>
      </c>
      <c r="O5849">
        <v>-1.267298E-2</v>
      </c>
      <c r="P5849">
        <v>0.98122880000000001</v>
      </c>
      <c r="Q5849">
        <v>-1.2816040000000001E-2</v>
      </c>
      <c r="R5849">
        <v>0.19242139999999999</v>
      </c>
      <c r="S5849">
        <v>2.8138580000000002</v>
      </c>
      <c r="T5849">
        <v>-0.2430165</v>
      </c>
      <c r="U5849">
        <v>1.243042</v>
      </c>
      <c r="V5849">
        <v>-0.20483229999999999</v>
      </c>
      <c r="W5849">
        <v>8.0463649999999998E-3</v>
      </c>
      <c r="X5849">
        <v>0.97876399999999997</v>
      </c>
      <c r="Y5849">
        <v>-0.41431499999999999</v>
      </c>
      <c r="Z5849">
        <v>1.8111329999999998E-2</v>
      </c>
      <c r="AA5849">
        <v>0.90995339999999902</v>
      </c>
      <c r="AB5849">
        <v>35</v>
      </c>
      <c r="AC5849">
        <v>0.84250000000000103</v>
      </c>
      <c r="AD5849">
        <v>-8.7946999999999997E-2</v>
      </c>
      <c r="AE5849">
        <v>0.45220000000000399</v>
      </c>
      <c r="AF5849">
        <v>-0.45896032116276603</v>
      </c>
      <c r="AG5849">
        <v>-8.7946999999999997E-2</v>
      </c>
      <c r="AH5849">
        <v>0.82968142875592199</v>
      </c>
      <c r="AI5849">
        <v>95.299307538765902</v>
      </c>
      <c r="AJ5849">
        <v>118.95034037744099</v>
      </c>
      <c r="AK5849">
        <v>0.95223449025610196</v>
      </c>
    </row>
    <row r="5850" spans="1:37" x14ac:dyDescent="0.2">
      <c r="A5850" t="str">
        <f>"20200111153544983"</f>
        <v>20200111153544983</v>
      </c>
      <c r="B5850" t="str">
        <f>"1578728144971861"</f>
        <v>1578728144971861</v>
      </c>
      <c r="C5850" t="s">
        <v>37</v>
      </c>
      <c r="D5850">
        <v>4.7280280000000001</v>
      </c>
      <c r="E5850">
        <v>0.4120818</v>
      </c>
      <c r="F5850" t="s">
        <v>79</v>
      </c>
      <c r="G5850">
        <v>-215.03380000000001</v>
      </c>
      <c r="H5850" s="1">
        <v>-1.5150699999999999E-6</v>
      </c>
      <c r="I5850">
        <v>-58.204329999999999</v>
      </c>
      <c r="J5850">
        <v>-227.15260000000001</v>
      </c>
      <c r="K5850">
        <v>1.104778</v>
      </c>
      <c r="L5850">
        <v>-63.69229</v>
      </c>
      <c r="M5850">
        <v>0.99969459999999999</v>
      </c>
      <c r="N5850">
        <v>0</v>
      </c>
      <c r="O5850">
        <v>-1.29926E-2</v>
      </c>
      <c r="P5850">
        <v>0.9804117</v>
      </c>
      <c r="Q5850">
        <v>-1.392086E-2</v>
      </c>
      <c r="R5850">
        <v>0.19646720000000001</v>
      </c>
      <c r="S5850">
        <v>2.8084720000000001</v>
      </c>
      <c r="T5850">
        <v>-0.25225170000000002</v>
      </c>
      <c r="U5850">
        <v>1.2524409999999999</v>
      </c>
      <c r="V5850">
        <v>-0.20918129999999999</v>
      </c>
      <c r="W5850">
        <v>6.9472869999999999E-3</v>
      </c>
      <c r="X5850">
        <v>0.97785219999999995</v>
      </c>
      <c r="Y5850">
        <v>-0.41767309999999902</v>
      </c>
      <c r="Z5850">
        <v>1.8989079999999998E-2</v>
      </c>
      <c r="AA5850">
        <v>0.90839890000000001</v>
      </c>
      <c r="AB5850">
        <v>35</v>
      </c>
      <c r="AC5850">
        <v>12.118799999999901</v>
      </c>
      <c r="AD5850">
        <v>-1.1047795150699999</v>
      </c>
      <c r="AE5850">
        <v>5.4879599999999904</v>
      </c>
      <c r="AF5850">
        <v>-5.6063228981555602</v>
      </c>
      <c r="AG5850">
        <v>-1.1047795150699999</v>
      </c>
      <c r="AH5850">
        <v>11.9639503504209</v>
      </c>
      <c r="AI5850">
        <v>94.779782136176806</v>
      </c>
      <c r="AJ5850">
        <v>115.107850239062</v>
      </c>
      <c r="AK5850">
        <v>13.258487930478299</v>
      </c>
    </row>
    <row r="5851" spans="1:37" x14ac:dyDescent="0.2">
      <c r="A5851" t="str">
        <f>"20200111153544992"</f>
        <v>20200111153544992</v>
      </c>
      <c r="B5851" t="str">
        <f>"1578728144981153"</f>
        <v>1578728144981153</v>
      </c>
      <c r="C5851" t="s">
        <v>37</v>
      </c>
      <c r="D5851">
        <v>4.7026059999999896</v>
      </c>
      <c r="E5851">
        <v>0.42476940000000002</v>
      </c>
      <c r="F5851" t="s">
        <v>40</v>
      </c>
      <c r="G5851">
        <v>-226.17679999999999</v>
      </c>
      <c r="H5851">
        <v>1.0151330000000001</v>
      </c>
      <c r="I5851">
        <v>-63.252400000000002</v>
      </c>
      <c r="J5851">
        <v>-226.98699999999999</v>
      </c>
      <c r="K5851">
        <v>1.1047769999999999</v>
      </c>
      <c r="L5851">
        <v>-63.694669999999903</v>
      </c>
      <c r="M5851">
        <v>0.99969069999999904</v>
      </c>
      <c r="N5851">
        <v>0</v>
      </c>
      <c r="O5851">
        <v>-1.3284580000000001E-2</v>
      </c>
      <c r="P5851">
        <v>0.97951599999999905</v>
      </c>
      <c r="Q5851">
        <v>-1.472329E-2</v>
      </c>
      <c r="R5851">
        <v>0.20082829999999999</v>
      </c>
      <c r="S5851">
        <v>2.8030849999999998</v>
      </c>
      <c r="T5851">
        <v>-0.25749820000000001</v>
      </c>
      <c r="U5851">
        <v>1.2634889999999901</v>
      </c>
      <c r="V5851">
        <v>-0.21381710000000001</v>
      </c>
      <c r="W5851">
        <v>6.1385880000000004E-3</v>
      </c>
      <c r="X5851">
        <v>0.97685440000000001</v>
      </c>
      <c r="Y5851">
        <v>-0.42148590000000002</v>
      </c>
      <c r="Z5851">
        <v>1.9593940000000001E-2</v>
      </c>
      <c r="AA5851">
        <v>0.90662319999999996</v>
      </c>
      <c r="AB5851">
        <v>35</v>
      </c>
      <c r="AC5851">
        <v>0.81020000000000802</v>
      </c>
      <c r="AD5851">
        <v>-8.9644000000000001E-2</v>
      </c>
      <c r="AE5851">
        <v>0.442269999999993</v>
      </c>
      <c r="AF5851">
        <v>-0.44876390246251602</v>
      </c>
      <c r="AG5851">
        <v>-8.9644000000000001E-2</v>
      </c>
      <c r="AH5851">
        <v>0.796737229900355</v>
      </c>
      <c r="AI5851">
        <v>95.598976855444505</v>
      </c>
      <c r="AJ5851">
        <v>119.390476874382</v>
      </c>
      <c r="AK5851">
        <v>0.91881189609118497</v>
      </c>
    </row>
    <row r="5852" spans="1:37" x14ac:dyDescent="0.2">
      <c r="A5852" t="str">
        <f>"20200111153545004"</f>
        <v>20200111153545004</v>
      </c>
      <c r="B5852" t="str">
        <f>"1578728145001649"</f>
        <v>1578728145001649</v>
      </c>
      <c r="C5852" t="s">
        <v>37</v>
      </c>
      <c r="D5852">
        <v>4.7362630000000001</v>
      </c>
      <c r="E5852">
        <v>0.42562450000000002</v>
      </c>
      <c r="F5852" t="s">
        <v>79</v>
      </c>
      <c r="G5852">
        <v>-215.91050000000001</v>
      </c>
      <c r="H5852" s="1">
        <v>-1.736416E-6</v>
      </c>
      <c r="I5852">
        <v>-59.076839999999997</v>
      </c>
      <c r="J5852">
        <v>-226.81190000000001</v>
      </c>
      <c r="K5852">
        <v>1.1047719999999901</v>
      </c>
      <c r="L5852">
        <v>-63.697299999999998</v>
      </c>
      <c r="M5852">
        <v>0.99968630000000003</v>
      </c>
      <c r="N5852">
        <v>0</v>
      </c>
      <c r="O5852">
        <v>-1.3593299999999999E-2</v>
      </c>
      <c r="P5852">
        <v>0.97861419999999999</v>
      </c>
      <c r="Q5852">
        <v>-1.5694E-2</v>
      </c>
      <c r="R5852">
        <v>0.2051055</v>
      </c>
      <c r="S5852">
        <v>2.817688</v>
      </c>
      <c r="T5852">
        <v>-0.28103699999999998</v>
      </c>
      <c r="U5852">
        <v>1.1746829999999999</v>
      </c>
      <c r="V5852">
        <v>-0.21838460000000001</v>
      </c>
      <c r="W5852">
        <v>5.1563210000000002E-3</v>
      </c>
      <c r="X5852">
        <v>0.97584919999999997</v>
      </c>
      <c r="Y5852">
        <v>-0.39557680000000001</v>
      </c>
      <c r="Z5852">
        <v>2.019582E-2</v>
      </c>
      <c r="AA5852">
        <v>0.91821079999999999</v>
      </c>
      <c r="AB5852">
        <v>35</v>
      </c>
      <c r="AC5852">
        <v>10.901399999999899</v>
      </c>
      <c r="AD5852">
        <v>-1.104773736416</v>
      </c>
      <c r="AE5852">
        <v>4.6204599999999898</v>
      </c>
      <c r="AF5852">
        <v>-4.72709632706857</v>
      </c>
      <c r="AG5852">
        <v>-1.104773736416</v>
      </c>
      <c r="AH5852">
        <v>10.744030689735601</v>
      </c>
      <c r="AI5852">
        <v>95.376825612617907</v>
      </c>
      <c r="AJ5852">
        <v>113.74825610415201</v>
      </c>
      <c r="AK5852">
        <v>11.7898329146786</v>
      </c>
    </row>
    <row r="5853" spans="1:37" x14ac:dyDescent="0.2">
      <c r="A5853" t="str">
        <f>"20200111153545015"</f>
        <v>20200111153545015</v>
      </c>
      <c r="B5853" t="str">
        <f>"1578728145011408"</f>
        <v>1578728145011408</v>
      </c>
      <c r="C5853" t="s">
        <v>37</v>
      </c>
      <c r="D5853">
        <v>4.8441919999999996</v>
      </c>
      <c r="E5853">
        <v>0.42562450000000002</v>
      </c>
      <c r="F5853" t="s">
        <v>40</v>
      </c>
      <c r="G5853">
        <v>-225.82849999999999</v>
      </c>
      <c r="H5853">
        <v>1.0058069999999999</v>
      </c>
      <c r="I5853">
        <v>-63.285130000000002</v>
      </c>
      <c r="J5853">
        <v>-226.6352</v>
      </c>
      <c r="K5853">
        <v>1.1047689999999999</v>
      </c>
      <c r="L5853">
        <v>-63.699950000000001</v>
      </c>
      <c r="M5853">
        <v>0.99968210000000002</v>
      </c>
      <c r="N5853">
        <v>0</v>
      </c>
      <c r="O5853">
        <v>-1.390518E-2</v>
      </c>
      <c r="P5853">
        <v>0.9776224</v>
      </c>
      <c r="Q5853">
        <v>-1.6485E-2</v>
      </c>
      <c r="R5853">
        <v>0.20972099999999999</v>
      </c>
      <c r="S5853">
        <v>2.813736</v>
      </c>
      <c r="T5853">
        <v>-0.28317900000000001</v>
      </c>
      <c r="U5853">
        <v>1.1799010000000001</v>
      </c>
      <c r="V5853">
        <v>-0.22329179999999901</v>
      </c>
      <c r="W5853">
        <v>4.3476130000000002E-3</v>
      </c>
      <c r="X5853">
        <v>0.97474189999999905</v>
      </c>
      <c r="Y5853">
        <v>-0.397729099999999</v>
      </c>
      <c r="Z5853">
        <v>2.050217E-2</v>
      </c>
      <c r="AA5853">
        <v>0.91727380000000003</v>
      </c>
      <c r="AB5853">
        <v>35</v>
      </c>
      <c r="AC5853">
        <v>0.80670000000000597</v>
      </c>
      <c r="AD5853">
        <v>-9.8962000000000203E-2</v>
      </c>
      <c r="AE5853">
        <v>0.41481999999999802</v>
      </c>
      <c r="AF5853">
        <v>-0.42098904056405401</v>
      </c>
      <c r="AG5853">
        <v>-9.8962000000000203E-2</v>
      </c>
      <c r="AH5853">
        <v>0.79143288678135604</v>
      </c>
      <c r="AI5853">
        <v>96.299654386690904</v>
      </c>
      <c r="AJ5853">
        <v>118.009972399196</v>
      </c>
      <c r="AK5853">
        <v>0.90188206767742896</v>
      </c>
    </row>
    <row r="5854" spans="1:37" x14ac:dyDescent="0.2">
      <c r="A5854" t="str">
        <f>"20200111153545027"</f>
        <v>20200111153545027</v>
      </c>
      <c r="B5854" t="str">
        <f>"1578728145021168"</f>
        <v>1578728145021168</v>
      </c>
      <c r="C5854" t="s">
        <v>37</v>
      </c>
      <c r="D5854">
        <v>4.7453729999999998</v>
      </c>
      <c r="E5854">
        <v>0.42624719999999999</v>
      </c>
      <c r="F5854" t="s">
        <v>79</v>
      </c>
      <c r="G5854">
        <v>-215.80969999999999</v>
      </c>
      <c r="H5854" s="1">
        <v>-1.6887499999999999E-6</v>
      </c>
      <c r="I5854">
        <v>-59.101759999999999</v>
      </c>
      <c r="J5854">
        <v>-226.45689999999999</v>
      </c>
      <c r="K5854">
        <v>1.1047629999999999</v>
      </c>
      <c r="L5854">
        <v>-63.7027</v>
      </c>
      <c r="M5854">
        <v>0.99967779999999995</v>
      </c>
      <c r="N5854">
        <v>0</v>
      </c>
      <c r="O5854">
        <v>-1.422007E-2</v>
      </c>
      <c r="P5854">
        <v>0.97662709999999997</v>
      </c>
      <c r="Q5854">
        <v>-1.6866099999999998E-2</v>
      </c>
      <c r="R5854">
        <v>0.214278</v>
      </c>
      <c r="S5854">
        <v>2.8079830000000001</v>
      </c>
      <c r="T5854">
        <v>-0.28656140000000002</v>
      </c>
      <c r="U5854">
        <v>1.192688</v>
      </c>
      <c r="V5854">
        <v>-0.22814139999999899</v>
      </c>
      <c r="W5854">
        <v>3.9403989999999998E-3</v>
      </c>
      <c r="X5854">
        <v>0.97362009999999899</v>
      </c>
      <c r="Y5854">
        <v>-0.40216099999999999</v>
      </c>
      <c r="Z5854">
        <v>2.1014479999999999E-2</v>
      </c>
      <c r="AA5854">
        <v>0.91532780000000002</v>
      </c>
      <c r="AB5854">
        <v>35</v>
      </c>
      <c r="AC5854">
        <v>10.6471999999999</v>
      </c>
      <c r="AD5854">
        <v>-1.10476468875</v>
      </c>
      <c r="AE5854">
        <v>4.6009399999999996</v>
      </c>
      <c r="AF5854">
        <v>-4.70918900769749</v>
      </c>
      <c r="AG5854">
        <v>-1.10476468875</v>
      </c>
      <c r="AH5854">
        <v>10.485555134884301</v>
      </c>
      <c r="AI5854">
        <v>95.489979288568804</v>
      </c>
      <c r="AJ5854">
        <v>114.185422213553</v>
      </c>
      <c r="AK5854">
        <v>11.547460007050301</v>
      </c>
    </row>
    <row r="5855" spans="1:37" x14ac:dyDescent="0.2">
      <c r="A5855" t="str">
        <f>"20200111153545038"</f>
        <v>20200111153545038</v>
      </c>
      <c r="B5855" t="str">
        <f>"1578728145031904"</f>
        <v>1578728145031904</v>
      </c>
      <c r="C5855" t="s">
        <v>37</v>
      </c>
      <c r="D5855">
        <v>4.8444229999999999</v>
      </c>
      <c r="E5855">
        <v>0.42709940000000002</v>
      </c>
      <c r="F5855" t="s">
        <v>40</v>
      </c>
      <c r="G5855">
        <v>-225.47389999999999</v>
      </c>
      <c r="H5855">
        <v>1.0032350000000001</v>
      </c>
      <c r="I5855">
        <v>-63.281669999999998</v>
      </c>
      <c r="J5855">
        <v>-226.27850000000001</v>
      </c>
      <c r="K5855">
        <v>1.1047639999999901</v>
      </c>
      <c r="L5855">
        <v>-63.705509999999997</v>
      </c>
      <c r="M5855">
        <v>0.99967359999999905</v>
      </c>
      <c r="N5855">
        <v>0</v>
      </c>
      <c r="O5855">
        <v>-1.4535289999999999E-2</v>
      </c>
      <c r="P5855">
        <v>0.97557839999999996</v>
      </c>
      <c r="Q5855">
        <v>-1.7467010000000002E-2</v>
      </c>
      <c r="R5855">
        <v>0.2189566</v>
      </c>
      <c r="S5855">
        <v>2.803436</v>
      </c>
      <c r="T5855">
        <v>-0.2895218</v>
      </c>
      <c r="U5855">
        <v>1.2004090000000001</v>
      </c>
      <c r="V5855">
        <v>-0.2331125</v>
      </c>
      <c r="W5855">
        <v>3.3109759999999898E-3</v>
      </c>
      <c r="X5855">
        <v>0.97244409999999903</v>
      </c>
      <c r="Y5855">
        <v>-0.40505819999999998</v>
      </c>
      <c r="Z5855">
        <v>2.1425340000000001E-2</v>
      </c>
      <c r="AA5855">
        <v>0.91403989999999902</v>
      </c>
      <c r="AB5855">
        <v>35</v>
      </c>
      <c r="AC5855">
        <v>0.80460000000002097</v>
      </c>
      <c r="AD5855">
        <v>-0.101528999999999</v>
      </c>
      <c r="AE5855">
        <v>0.423839999999998</v>
      </c>
      <c r="AF5855">
        <v>-0.43013164635401102</v>
      </c>
      <c r="AG5855">
        <v>-0.101528999999999</v>
      </c>
      <c r="AH5855">
        <v>0.78852465816832196</v>
      </c>
      <c r="AI5855">
        <v>96.449031977963102</v>
      </c>
      <c r="AJ5855">
        <v>118.61198775325801</v>
      </c>
      <c r="AK5855">
        <v>0.90393169408738006</v>
      </c>
    </row>
    <row r="5856" spans="1:37" x14ac:dyDescent="0.2">
      <c r="A5856" t="str">
        <f>"20200111153545049"</f>
        <v>20200111153545049</v>
      </c>
      <c r="B5856" t="str">
        <f>"1578728145041664"</f>
        <v>1578728145041664</v>
      </c>
      <c r="C5856" t="s">
        <v>37</v>
      </c>
      <c r="D5856">
        <v>4.8330549999999999</v>
      </c>
      <c r="E5856">
        <v>0.42795270000000002</v>
      </c>
      <c r="F5856" t="s">
        <v>40</v>
      </c>
      <c r="G5856">
        <v>-225.24789999999999</v>
      </c>
      <c r="H5856">
        <v>0.99902469999999999</v>
      </c>
      <c r="I5856">
        <v>-63.261180000000003</v>
      </c>
      <c r="J5856">
        <v>-226.1123</v>
      </c>
      <c r="K5856">
        <v>1.104765</v>
      </c>
      <c r="L5856">
        <v>-63.708219999999997</v>
      </c>
      <c r="M5856">
        <v>0.99966959999999905</v>
      </c>
      <c r="N5856">
        <v>0</v>
      </c>
      <c r="O5856">
        <v>-1.4829780000000001E-2</v>
      </c>
      <c r="P5856">
        <v>0.97453999999999996</v>
      </c>
      <c r="Q5856">
        <v>-1.7766540000000001E-2</v>
      </c>
      <c r="R5856">
        <v>0.2235087</v>
      </c>
      <c r="S5856">
        <v>2.7990569999999999</v>
      </c>
      <c r="T5856">
        <v>-0.28717150000000002</v>
      </c>
      <c r="U5856">
        <v>1.207031</v>
      </c>
      <c r="V5856">
        <v>-0.23793510000000001</v>
      </c>
      <c r="W5856">
        <v>2.9733770000000001E-3</v>
      </c>
      <c r="X5856">
        <v>0.97127649999999999</v>
      </c>
      <c r="Y5856">
        <v>-0.40768219999999999</v>
      </c>
      <c r="Z5856">
        <v>2.1430649999999999E-2</v>
      </c>
      <c r="AA5856">
        <v>0.91287240000000003</v>
      </c>
      <c r="AB5856">
        <v>35</v>
      </c>
      <c r="AC5856">
        <v>0.86440000000001704</v>
      </c>
      <c r="AD5856">
        <v>-0.1057403</v>
      </c>
      <c r="AE5856">
        <v>0.447039999999994</v>
      </c>
      <c r="AF5856">
        <v>-0.45444713566206701</v>
      </c>
      <c r="AG5856">
        <v>-0.1057403</v>
      </c>
      <c r="AH5856">
        <v>0.847666077212058</v>
      </c>
      <c r="AI5856">
        <v>96.273899809788404</v>
      </c>
      <c r="AJ5856">
        <v>118.196460047969</v>
      </c>
      <c r="AK5856">
        <v>0.96759546744061697</v>
      </c>
    </row>
    <row r="5857" spans="1:37" x14ac:dyDescent="0.2">
      <c r="A5857" t="str">
        <f>"20200111153545060"</f>
        <v>20200111153545060</v>
      </c>
      <c r="B5857" t="str">
        <f>"1578728145051424"</f>
        <v>1578728145051424</v>
      </c>
      <c r="C5857" t="s">
        <v>37</v>
      </c>
      <c r="D5857">
        <v>4.8891619999999998</v>
      </c>
      <c r="E5857">
        <v>0.42872589999999999</v>
      </c>
      <c r="F5857" t="s">
        <v>79</v>
      </c>
      <c r="G5857">
        <v>-215.22649999999999</v>
      </c>
      <c r="H5857" s="1">
        <v>-1.459799E-6</v>
      </c>
      <c r="I5857">
        <v>-58.982030000000002</v>
      </c>
      <c r="J5857">
        <v>-225.95079999999999</v>
      </c>
      <c r="K5857">
        <v>1.1047709999999999</v>
      </c>
      <c r="L5857">
        <v>-63.710850000000001</v>
      </c>
      <c r="M5857">
        <v>0.99966580000000005</v>
      </c>
      <c r="N5857">
        <v>0</v>
      </c>
      <c r="O5857">
        <v>-1.511593E-2</v>
      </c>
      <c r="P5857">
        <v>0.97341710000000004</v>
      </c>
      <c r="Q5857">
        <v>-1.7563349999999998E-2</v>
      </c>
      <c r="R5857">
        <v>0.2283655</v>
      </c>
      <c r="S5857">
        <v>2.7948759999999999</v>
      </c>
      <c r="T5857">
        <v>-0.28364279999999997</v>
      </c>
      <c r="U5857">
        <v>1.213409</v>
      </c>
      <c r="V5857">
        <v>-0.24305259999999901</v>
      </c>
      <c r="W5857">
        <v>3.1355009999999902E-3</v>
      </c>
      <c r="X5857">
        <v>0.97000810000000004</v>
      </c>
      <c r="Y5857">
        <v>-0.4102229</v>
      </c>
      <c r="Z5857">
        <v>2.1339190000000001E-2</v>
      </c>
      <c r="AA5857">
        <v>0.91173559999999998</v>
      </c>
      <c r="AB5857">
        <v>35</v>
      </c>
      <c r="AC5857">
        <v>10.724299999999999</v>
      </c>
      <c r="AD5857">
        <v>-1.1047724597990001</v>
      </c>
      <c r="AE5857">
        <v>4.72881999999999</v>
      </c>
      <c r="AF5857">
        <v>-4.8473552584299497</v>
      </c>
      <c r="AG5857">
        <v>-1.1047724597990001</v>
      </c>
      <c r="AH5857">
        <v>10.5577745164858</v>
      </c>
      <c r="AI5857">
        <v>95.432294666336901</v>
      </c>
      <c r="AJ5857">
        <v>114.661114646531</v>
      </c>
      <c r="AK5857">
        <v>11.669789112503899</v>
      </c>
    </row>
    <row r="5858" spans="1:37" x14ac:dyDescent="0.2">
      <c r="A5858" t="str">
        <f>"20200111153545070"</f>
        <v>20200111153545070</v>
      </c>
      <c r="B5858" t="str">
        <f>"1578728145061185"</f>
        <v>1578728145061185</v>
      </c>
      <c r="C5858" t="s">
        <v>37</v>
      </c>
      <c r="D5858">
        <v>4.8593339999999996</v>
      </c>
      <c r="E5858">
        <v>0.42872589999999999</v>
      </c>
      <c r="F5858" t="s">
        <v>40</v>
      </c>
      <c r="G5858">
        <v>-224.93969999999999</v>
      </c>
      <c r="H5858">
        <v>1.0032719999999999</v>
      </c>
      <c r="I5858">
        <v>-63.268300000000004</v>
      </c>
      <c r="J5858">
        <v>-225.7748</v>
      </c>
      <c r="K5858">
        <v>1.1047719999999901</v>
      </c>
      <c r="L5858">
        <v>-63.713809999999903</v>
      </c>
      <c r="M5858">
        <v>0.99966169999999999</v>
      </c>
      <c r="N5858">
        <v>0</v>
      </c>
      <c r="O5858">
        <v>-1.5428399999999899E-2</v>
      </c>
      <c r="P5858">
        <v>0.97231160000000005</v>
      </c>
      <c r="Q5858">
        <v>-1.775854E-2</v>
      </c>
      <c r="R5858">
        <v>0.233013</v>
      </c>
      <c r="S5858">
        <v>2.7904049999999998</v>
      </c>
      <c r="T5858">
        <v>-0.28010750000000001</v>
      </c>
      <c r="U5858">
        <v>1.221069</v>
      </c>
      <c r="V5858">
        <v>-0.24798629999999999</v>
      </c>
      <c r="W5858">
        <v>2.888977E-3</v>
      </c>
      <c r="X5858">
        <v>0.96875919999999904</v>
      </c>
      <c r="Y5858">
        <v>-0.4131705</v>
      </c>
      <c r="Z5858">
        <v>2.1265360000000001E-2</v>
      </c>
      <c r="AA5858">
        <v>0.91040529999999997</v>
      </c>
      <c r="AB5858">
        <v>35</v>
      </c>
      <c r="AC5858">
        <v>0.83510000000001094</v>
      </c>
      <c r="AD5858">
        <v>-0.10149999999999899</v>
      </c>
      <c r="AE5858">
        <v>0.44550999999999102</v>
      </c>
      <c r="AF5858">
        <v>-0.45313313700984598</v>
      </c>
      <c r="AG5858">
        <v>-0.10149999999999899</v>
      </c>
      <c r="AH5858">
        <v>0.81871061814920298</v>
      </c>
      <c r="AI5858">
        <v>96.190660875579397</v>
      </c>
      <c r="AJ5858">
        <v>118.96328562276901</v>
      </c>
      <c r="AK5858">
        <v>0.94123268437014795</v>
      </c>
    </row>
    <row r="5859" spans="1:37" x14ac:dyDescent="0.2">
      <c r="A5859" t="str">
        <f>"20200111153545082"</f>
        <v>20200111153545082</v>
      </c>
      <c r="B5859" t="str">
        <f>"1578728145071920"</f>
        <v>1578728145071920</v>
      </c>
      <c r="C5859" t="s">
        <v>37</v>
      </c>
      <c r="D5859">
        <v>4.8113479999999997</v>
      </c>
      <c r="E5859">
        <v>0.42862309999999998</v>
      </c>
      <c r="F5859" t="s">
        <v>79</v>
      </c>
      <c r="G5859">
        <v>-214.8535</v>
      </c>
      <c r="H5859" s="1">
        <v>-1.3189730000000001E-6</v>
      </c>
      <c r="I5859">
        <v>-58.873999999999903</v>
      </c>
      <c r="J5859">
        <v>-225.60749999999999</v>
      </c>
      <c r="K5859">
        <v>1.1047739999999999</v>
      </c>
      <c r="L5859">
        <v>-63.716639999999998</v>
      </c>
      <c r="M5859">
        <v>0.99965769999999998</v>
      </c>
      <c r="N5859">
        <v>0</v>
      </c>
      <c r="O5859">
        <v>-1.5725380000000001E-2</v>
      </c>
      <c r="P5859">
        <v>0.97116159999999996</v>
      </c>
      <c r="Q5859">
        <v>-1.7858329999999999E-2</v>
      </c>
      <c r="R5859">
        <v>0.2377522</v>
      </c>
      <c r="S5859">
        <v>2.7845759999999999</v>
      </c>
      <c r="T5859">
        <v>-0.28168090000000001</v>
      </c>
      <c r="U5859">
        <v>1.233978</v>
      </c>
      <c r="V5859">
        <v>-0.25299460000000001</v>
      </c>
      <c r="W5859">
        <v>2.7363909999999999E-3</v>
      </c>
      <c r="X5859">
        <v>0.96746390000000004</v>
      </c>
      <c r="Y5859">
        <v>-0.41762559999999899</v>
      </c>
      <c r="Z5859">
        <v>2.1649560000000002E-2</v>
      </c>
      <c r="AA5859">
        <v>0.90836130000000004</v>
      </c>
      <c r="AB5859">
        <v>35</v>
      </c>
      <c r="AC5859">
        <v>10.7539999999999</v>
      </c>
      <c r="AD5859">
        <v>-1.1047753189730001</v>
      </c>
      <c r="AE5859">
        <v>4.8426400000000003</v>
      </c>
      <c r="AF5859">
        <v>-4.9676005018291001</v>
      </c>
      <c r="AG5859">
        <v>-1.1047753189730001</v>
      </c>
      <c r="AH5859">
        <v>10.5836346852206</v>
      </c>
      <c r="AI5859">
        <v>95.398088142368806</v>
      </c>
      <c r="AJ5859">
        <v>115.143774059902</v>
      </c>
      <c r="AK5859">
        <v>11.743547436843301</v>
      </c>
    </row>
    <row r="5860" spans="1:37" x14ac:dyDescent="0.2">
      <c r="A5860" t="str">
        <f>"20200111153545097"</f>
        <v>20200111153545097</v>
      </c>
      <c r="B5860" t="str">
        <f>"1578728145091946"</f>
        <v>1578728145091946</v>
      </c>
      <c r="C5860" t="s">
        <v>37</v>
      </c>
      <c r="D5860">
        <v>4.7976190000000001</v>
      </c>
      <c r="E5860">
        <v>0.4258054</v>
      </c>
      <c r="F5860" t="s">
        <v>40</v>
      </c>
      <c r="G5860">
        <v>-224.63210000000001</v>
      </c>
      <c r="H5860">
        <v>1.0102450000000001</v>
      </c>
      <c r="I5860">
        <v>-63.278190000000002</v>
      </c>
      <c r="J5860">
        <v>-225.36670000000001</v>
      </c>
      <c r="K5860">
        <v>1.1047689999999999</v>
      </c>
      <c r="L5860">
        <v>-63.720859999999902</v>
      </c>
      <c r="M5860">
        <v>0.99965210000000004</v>
      </c>
      <c r="N5860">
        <v>0</v>
      </c>
      <c r="O5860">
        <v>-1.61537E-2</v>
      </c>
      <c r="P5860">
        <v>0.9700607</v>
      </c>
      <c r="Q5860">
        <v>-1.7915850000000001E-2</v>
      </c>
      <c r="R5860">
        <v>0.24220069999999999</v>
      </c>
      <c r="S5860">
        <v>2.7783199999999999</v>
      </c>
      <c r="T5860">
        <v>-0.26925329999999997</v>
      </c>
      <c r="U5860">
        <v>1.2491459999999901</v>
      </c>
      <c r="V5860">
        <v>-0.25783909999999999</v>
      </c>
      <c r="W5860">
        <v>2.6052599999999999E-3</v>
      </c>
      <c r="X5860">
        <v>0.96618440000000005</v>
      </c>
      <c r="Y5860">
        <v>-0.42303209999999902</v>
      </c>
      <c r="Z5860">
        <v>2.1007910000000001E-2</v>
      </c>
      <c r="AA5860">
        <v>0.90587109999999904</v>
      </c>
      <c r="AB5860">
        <v>34</v>
      </c>
      <c r="AC5860">
        <v>0.73460000000000003</v>
      </c>
      <c r="AD5860">
        <v>-9.4523999999999997E-2</v>
      </c>
      <c r="AE5860">
        <v>0.44266999999999201</v>
      </c>
      <c r="AF5860">
        <v>-0.44902725803069599</v>
      </c>
      <c r="AG5860">
        <v>-9.4523999999999997E-2</v>
      </c>
      <c r="AH5860">
        <v>0.71862314101563296</v>
      </c>
      <c r="AI5860">
        <v>96.364983519569606</v>
      </c>
      <c r="AJ5860">
        <v>121.998949601647</v>
      </c>
      <c r="AK5860">
        <v>0.85263091888210396</v>
      </c>
    </row>
    <row r="5861" spans="1:37" x14ac:dyDescent="0.2">
      <c r="A5861" t="str">
        <f>"20200111153545107"</f>
        <v>20200111153545107</v>
      </c>
      <c r="B5861" t="str">
        <f>"1578728145101707"</f>
        <v>1578728145101707</v>
      </c>
      <c r="C5861" t="s">
        <v>37</v>
      </c>
      <c r="D5861">
        <v>4.8745059999999896</v>
      </c>
      <c r="E5861">
        <v>0.42431720000000001</v>
      </c>
      <c r="F5861" t="s">
        <v>79</v>
      </c>
      <c r="G5861">
        <v>-213.0771</v>
      </c>
      <c r="H5861" s="1">
        <v>-7.0999420000000001E-7</v>
      </c>
      <c r="I5861">
        <v>-58.010759999999998</v>
      </c>
      <c r="J5861">
        <v>-225.23259999999999</v>
      </c>
      <c r="K5861">
        <v>1.1047670000000001</v>
      </c>
      <c r="L5861">
        <v>-63.723239999999997</v>
      </c>
      <c r="M5861">
        <v>0.9996488</v>
      </c>
      <c r="N5861">
        <v>0</v>
      </c>
      <c r="O5861">
        <v>-1.639243E-2</v>
      </c>
      <c r="P5861">
        <v>0.96896130000000003</v>
      </c>
      <c r="Q5861">
        <v>-1.8037810000000001E-2</v>
      </c>
      <c r="R5861">
        <v>0.24655340000000001</v>
      </c>
      <c r="S5861">
        <v>2.7670140000000001</v>
      </c>
      <c r="T5861">
        <v>-0.24873879999999901</v>
      </c>
      <c r="U5861">
        <v>1.285614</v>
      </c>
      <c r="V5861">
        <v>-0.26240380000000002</v>
      </c>
      <c r="W5861">
        <v>2.4331219999999998E-3</v>
      </c>
      <c r="X5861">
        <v>0.96495509999999995</v>
      </c>
      <c r="Y5861">
        <v>-0.43467519999999998</v>
      </c>
      <c r="Z5861">
        <v>1.9951920000000001E-2</v>
      </c>
      <c r="AA5861">
        <v>0.90036620000000001</v>
      </c>
      <c r="AB5861">
        <v>34</v>
      </c>
      <c r="AC5861">
        <v>12.1554999999999</v>
      </c>
      <c r="AD5861">
        <v>-1.1047677099941999</v>
      </c>
      <c r="AE5861">
        <v>5.7124800000000002</v>
      </c>
      <c r="AF5861">
        <v>-5.8712882890478104</v>
      </c>
      <c r="AG5861">
        <v>-1.1047677099941999</v>
      </c>
      <c r="AH5861">
        <v>11.9791531760707</v>
      </c>
      <c r="AI5861">
        <v>94.733994565915793</v>
      </c>
      <c r="AJ5861">
        <v>116.11065155916</v>
      </c>
      <c r="AK5861">
        <v>13.386285843426499</v>
      </c>
    </row>
    <row r="5862" spans="1:37" x14ac:dyDescent="0.2">
      <c r="A5862" t="str">
        <f>"20200111153545117"</f>
        <v>20200111153545117</v>
      </c>
      <c r="B5862" t="str">
        <f>"1578728145111466"</f>
        <v>1578728145111466</v>
      </c>
      <c r="C5862" t="s">
        <v>37</v>
      </c>
      <c r="D5862">
        <v>4.8117049999999999</v>
      </c>
      <c r="E5862">
        <v>0.42333589999999999</v>
      </c>
      <c r="F5862" t="s">
        <v>40</v>
      </c>
      <c r="G5862">
        <v>-224.32470000000001</v>
      </c>
      <c r="H5862">
        <v>1.0254889999999901</v>
      </c>
      <c r="I5862">
        <v>-63.292009999999998</v>
      </c>
      <c r="J5862">
        <v>-225.0693</v>
      </c>
      <c r="K5862">
        <v>1.1047659999999999</v>
      </c>
      <c r="L5862">
        <v>-63.726169999999897</v>
      </c>
      <c r="M5862">
        <v>0.9996448</v>
      </c>
      <c r="N5862">
        <v>0</v>
      </c>
      <c r="O5862">
        <v>-1.6683030000000001E-2</v>
      </c>
      <c r="P5862">
        <v>0.96781709999999999</v>
      </c>
      <c r="Q5862">
        <v>-1.854979E-2</v>
      </c>
      <c r="R5862">
        <v>0.25097019999999998</v>
      </c>
      <c r="S5862">
        <v>2.7582550000000001</v>
      </c>
      <c r="T5862">
        <v>-0.240871999999999</v>
      </c>
      <c r="U5862">
        <v>1.3101499999999999</v>
      </c>
      <c r="V5862">
        <v>-0.2670824</v>
      </c>
      <c r="W5862">
        <v>1.8628259999999999E-3</v>
      </c>
      <c r="X5862">
        <v>0.96367190000000003</v>
      </c>
      <c r="Y5862">
        <v>-0.44263449999999999</v>
      </c>
      <c r="Z5862">
        <v>1.9697220000000001E-2</v>
      </c>
      <c r="AA5862">
        <v>0.89648570000000005</v>
      </c>
      <c r="AB5862">
        <v>34</v>
      </c>
      <c r="AC5862">
        <v>0.74459999999999105</v>
      </c>
      <c r="AD5862">
        <v>-7.9277E-2</v>
      </c>
      <c r="AE5862">
        <v>0.43415999999999799</v>
      </c>
      <c r="AF5862">
        <v>-0.44277868715554197</v>
      </c>
      <c r="AG5862">
        <v>-7.9277E-2</v>
      </c>
      <c r="AH5862">
        <v>0.73106712134047103</v>
      </c>
      <c r="AI5862">
        <v>95.2992607597606</v>
      </c>
      <c r="AJ5862">
        <v>121.201645712461</v>
      </c>
      <c r="AK5862">
        <v>0.85836876948851604</v>
      </c>
    </row>
    <row r="5863" spans="1:37" x14ac:dyDescent="0.2">
      <c r="A5863" t="str">
        <f>"20200111153545129"</f>
        <v>20200111153545129</v>
      </c>
      <c r="B5863" t="str">
        <f>"1578728145121226"</f>
        <v>1578728145121226</v>
      </c>
      <c r="C5863" t="s">
        <v>37</v>
      </c>
      <c r="D5863">
        <v>4.8000400000000001</v>
      </c>
      <c r="E5863">
        <v>0.4226451</v>
      </c>
      <c r="F5863" t="s">
        <v>79</v>
      </c>
      <c r="G5863">
        <v>-212.2328</v>
      </c>
      <c r="H5863" s="1">
        <v>-4.9612479999999997E-7</v>
      </c>
      <c r="I5863">
        <v>-57.514130000000002</v>
      </c>
      <c r="J5863">
        <v>-224.8989</v>
      </c>
      <c r="K5863">
        <v>1.1047670000000001</v>
      </c>
      <c r="L5863">
        <v>-63.729309999999998</v>
      </c>
      <c r="M5863">
        <v>0.99964050000000004</v>
      </c>
      <c r="N5863">
        <v>0</v>
      </c>
      <c r="O5863">
        <v>-1.69873E-2</v>
      </c>
      <c r="P5863">
        <v>0.96665689999999904</v>
      </c>
      <c r="Q5863">
        <v>-1.904695E-2</v>
      </c>
      <c r="R5863">
        <v>0.25536550000000002</v>
      </c>
      <c r="S5863">
        <v>2.7501220000000002</v>
      </c>
      <c r="T5863">
        <v>-0.23668829999999999</v>
      </c>
      <c r="U5863">
        <v>1.3308719999999901</v>
      </c>
      <c r="V5863">
        <v>-0.27175129999999997</v>
      </c>
      <c r="W5863">
        <v>1.302545E-3</v>
      </c>
      <c r="X5863">
        <v>0.96236659999999996</v>
      </c>
      <c r="Y5863">
        <v>-0.44943620000000001</v>
      </c>
      <c r="Z5863">
        <v>1.967959E-2</v>
      </c>
      <c r="AA5863">
        <v>0.89309559999999999</v>
      </c>
      <c r="AB5863">
        <v>34</v>
      </c>
      <c r="AC5863">
        <v>12.6661</v>
      </c>
      <c r="AD5863">
        <v>-1.1047674961248</v>
      </c>
      <c r="AE5863">
        <v>6.2151799999999904</v>
      </c>
      <c r="AF5863">
        <v>-6.3903102804974496</v>
      </c>
      <c r="AG5863">
        <v>-1.1047674961248</v>
      </c>
      <c r="AH5863">
        <v>12.482136514787801</v>
      </c>
      <c r="AI5863">
        <v>94.504656579094402</v>
      </c>
      <c r="AJ5863">
        <v>117.11046934924001</v>
      </c>
      <c r="AK5863">
        <v>14.066282688589901</v>
      </c>
    </row>
    <row r="5864" spans="1:37" x14ac:dyDescent="0.2">
      <c r="A5864" t="str">
        <f>"20200111153545139"</f>
        <v>20200111153545139</v>
      </c>
      <c r="B5864" t="str">
        <f>"1578728145131963"</f>
        <v>1578728145131963</v>
      </c>
      <c r="C5864" t="s">
        <v>37</v>
      </c>
      <c r="D5864">
        <v>4.8277659999999996</v>
      </c>
      <c r="E5864">
        <v>0.42223270000000002</v>
      </c>
      <c r="F5864" t="s">
        <v>40</v>
      </c>
      <c r="G5864">
        <v>-224.0205</v>
      </c>
      <c r="H5864">
        <v>1.0302770000000001</v>
      </c>
      <c r="I5864">
        <v>-63.297339999999998</v>
      </c>
      <c r="J5864">
        <v>-224.732</v>
      </c>
      <c r="K5864">
        <v>1.104762</v>
      </c>
      <c r="L5864">
        <v>-63.732419999999998</v>
      </c>
      <c r="M5864">
        <v>0.99963639999999998</v>
      </c>
      <c r="N5864">
        <v>0</v>
      </c>
      <c r="O5864">
        <v>-1.7285620000000002E-2</v>
      </c>
      <c r="P5864">
        <v>0.96548239999999996</v>
      </c>
      <c r="Q5864">
        <v>-1.9929249999999999E-2</v>
      </c>
      <c r="R5864">
        <v>0.25970490000000002</v>
      </c>
      <c r="S5864">
        <v>2.7425079999999999</v>
      </c>
      <c r="T5864">
        <v>-0.232565299999999</v>
      </c>
      <c r="U5864">
        <v>1.3489990000000001</v>
      </c>
      <c r="V5864">
        <v>-0.2763584</v>
      </c>
      <c r="W5864">
        <v>3.5697410000000001E-4</v>
      </c>
      <c r="X5864">
        <v>0.96105459999999998</v>
      </c>
      <c r="Y5864">
        <v>-0.45545740000000001</v>
      </c>
      <c r="Z5864">
        <v>1.9624590000000001E-2</v>
      </c>
      <c r="AA5864">
        <v>0.89004130000000004</v>
      </c>
      <c r="AB5864">
        <v>34</v>
      </c>
      <c r="AC5864">
        <v>0.71150000000000002</v>
      </c>
      <c r="AD5864">
        <v>-7.4484999999999899E-2</v>
      </c>
      <c r="AE5864">
        <v>0.43507999999999197</v>
      </c>
      <c r="AF5864">
        <v>-0.44377644553241802</v>
      </c>
      <c r="AG5864">
        <v>-7.4484999999999899E-2</v>
      </c>
      <c r="AH5864">
        <v>0.69830126661687397</v>
      </c>
      <c r="AI5864">
        <v>95.144176451690996</v>
      </c>
      <c r="AJ5864">
        <v>122.43630858594901</v>
      </c>
      <c r="AK5864">
        <v>0.83072872093910299</v>
      </c>
    </row>
    <row r="5865" spans="1:37" x14ac:dyDescent="0.2">
      <c r="A5865" t="str">
        <f>"20200111153545150"</f>
        <v>20200111153545150</v>
      </c>
      <c r="B5865" t="str">
        <f>"1578728145141724"</f>
        <v>1578728145141724</v>
      </c>
      <c r="C5865" t="s">
        <v>37</v>
      </c>
      <c r="D5865">
        <v>4.8809500000000003</v>
      </c>
      <c r="E5865">
        <v>0.42206499999999902</v>
      </c>
      <c r="F5865" t="s">
        <v>40</v>
      </c>
      <c r="G5865">
        <v>-223.7312</v>
      </c>
      <c r="H5865">
        <v>1.020597</v>
      </c>
      <c r="I5865">
        <v>-63.233150000000002</v>
      </c>
      <c r="J5865">
        <v>-224.5652</v>
      </c>
      <c r="K5865">
        <v>1.1047549999999999</v>
      </c>
      <c r="L5865">
        <v>-63.735599999999998</v>
      </c>
      <c r="M5865">
        <v>0.99963189999999902</v>
      </c>
      <c r="N5865">
        <v>0</v>
      </c>
      <c r="O5865">
        <v>-1.758475E-2</v>
      </c>
      <c r="P5865">
        <v>0.96433930000000001</v>
      </c>
      <c r="Q5865">
        <v>-2.0946389999999999E-2</v>
      </c>
      <c r="R5865">
        <v>0.26383909999999899</v>
      </c>
      <c r="S5865">
        <v>2.7353669999999899</v>
      </c>
      <c r="T5865">
        <v>-0.230044</v>
      </c>
      <c r="U5865">
        <v>1.364868</v>
      </c>
      <c r="V5865">
        <v>-0.28076119999999999</v>
      </c>
      <c r="W5865">
        <v>-7.2490330000000004E-4</v>
      </c>
      <c r="X5865">
        <v>0.959777399999999</v>
      </c>
      <c r="Y5865">
        <v>-0.46079019999999998</v>
      </c>
      <c r="Z5865">
        <v>1.966948E-2</v>
      </c>
      <c r="AA5865">
        <v>0.8872911</v>
      </c>
      <c r="AB5865">
        <v>34</v>
      </c>
      <c r="AC5865">
        <v>0.83400000000000296</v>
      </c>
      <c r="AD5865">
        <v>-8.41579999999999E-2</v>
      </c>
      <c r="AE5865">
        <v>0.50244999999999596</v>
      </c>
      <c r="AF5865">
        <v>-0.51320693514629401</v>
      </c>
      <c r="AG5865">
        <v>-8.41579999999999E-2</v>
      </c>
      <c r="AH5865">
        <v>0.81891555158937002</v>
      </c>
      <c r="AI5865">
        <v>94.976792084300399</v>
      </c>
      <c r="AJ5865">
        <v>122.074998375023</v>
      </c>
      <c r="AK5865">
        <v>0.97009618486064297</v>
      </c>
    </row>
    <row r="5866" spans="1:37" x14ac:dyDescent="0.2">
      <c r="A5866" t="str">
        <f>"20200111153545161"</f>
        <v>20200111153545161</v>
      </c>
      <c r="B5866" t="str">
        <f>"1578728145151482"</f>
        <v>1578728145151482</v>
      </c>
      <c r="C5866" t="s">
        <v>37</v>
      </c>
      <c r="D5866">
        <v>4.8225049999999996</v>
      </c>
      <c r="E5866">
        <v>0.42197509999999999</v>
      </c>
      <c r="F5866" t="s">
        <v>40</v>
      </c>
      <c r="G5866">
        <v>-223.7165</v>
      </c>
      <c r="H5866">
        <v>1.033558</v>
      </c>
      <c r="I5866">
        <v>-63.307139999999997</v>
      </c>
      <c r="J5866">
        <v>-224.4015</v>
      </c>
      <c r="K5866">
        <v>1.1047499999999999</v>
      </c>
      <c r="L5866">
        <v>-63.73874</v>
      </c>
      <c r="M5866">
        <v>0.99962770000000001</v>
      </c>
      <c r="N5866">
        <v>0</v>
      </c>
      <c r="O5866">
        <v>-1.7878419999999999E-2</v>
      </c>
      <c r="P5866">
        <v>0.96317359999999896</v>
      </c>
      <c r="Q5866">
        <v>-2.2052459999999999E-2</v>
      </c>
      <c r="R5866">
        <v>0.2679745</v>
      </c>
      <c r="S5866">
        <v>2.7289279999999998</v>
      </c>
      <c r="T5866">
        <v>-0.22894639999999999</v>
      </c>
      <c r="U5866">
        <v>1.3780520000000001</v>
      </c>
      <c r="V5866">
        <v>-0.28515819999999997</v>
      </c>
      <c r="W5866">
        <v>-1.8948960000000001E-3</v>
      </c>
      <c r="X5866">
        <v>0.95847859999999996</v>
      </c>
      <c r="Y5866">
        <v>-0.46529999999999999</v>
      </c>
      <c r="Z5866">
        <v>1.979858E-2</v>
      </c>
      <c r="AA5866">
        <v>0.88493159999999904</v>
      </c>
      <c r="AB5866">
        <v>34</v>
      </c>
      <c r="AC5866">
        <v>0.68500000000000205</v>
      </c>
      <c r="AD5866">
        <v>-7.1191999999999894E-2</v>
      </c>
      <c r="AE5866">
        <v>0.43159999999999599</v>
      </c>
      <c r="AF5866">
        <v>-0.44037536027646801</v>
      </c>
      <c r="AG5866">
        <v>-7.1191999999999894E-2</v>
      </c>
      <c r="AH5866">
        <v>0.67197683221985705</v>
      </c>
      <c r="AI5866">
        <v>95.063822534614999</v>
      </c>
      <c r="AJ5866">
        <v>123.23855180002199</v>
      </c>
      <c r="AK5866">
        <v>0.80656780362401204</v>
      </c>
    </row>
    <row r="5867" spans="1:37" x14ac:dyDescent="0.2">
      <c r="A5867" t="str">
        <f>"20200111153545172"</f>
        <v>20200111153545172</v>
      </c>
      <c r="B5867" t="str">
        <f>"1578728145161243"</f>
        <v>1578728145161243</v>
      </c>
      <c r="C5867" t="s">
        <v>37</v>
      </c>
      <c r="D5867">
        <v>4.8726050000000001</v>
      </c>
      <c r="E5867">
        <v>0.4220449</v>
      </c>
      <c r="F5867" t="s">
        <v>40</v>
      </c>
      <c r="G5867">
        <v>-223.42859999999999</v>
      </c>
      <c r="H5867">
        <v>1.0230629999999901</v>
      </c>
      <c r="I5867">
        <v>-63.24183</v>
      </c>
      <c r="J5867">
        <v>-224.23089999999999</v>
      </c>
      <c r="K5867">
        <v>1.1047450000000001</v>
      </c>
      <c r="L5867">
        <v>-63.742069999999998</v>
      </c>
      <c r="M5867">
        <v>0.99962320000000005</v>
      </c>
      <c r="N5867">
        <v>0</v>
      </c>
      <c r="O5867">
        <v>-1.8185299999999901E-2</v>
      </c>
      <c r="P5867">
        <v>0.96212960000000003</v>
      </c>
      <c r="Q5867">
        <v>-2.3098339999999998E-2</v>
      </c>
      <c r="R5867">
        <v>0.27161199999999902</v>
      </c>
      <c r="S5867">
        <v>2.7225189999999899</v>
      </c>
      <c r="T5867">
        <v>-0.228587399999999</v>
      </c>
      <c r="U5867">
        <v>1.3908389999999999</v>
      </c>
      <c r="V5867">
        <v>-0.28907179999999999</v>
      </c>
      <c r="W5867">
        <v>-3.0042809999999902E-3</v>
      </c>
      <c r="X5867">
        <v>0.95730269999999995</v>
      </c>
      <c r="Y5867">
        <v>-0.46969449999999902</v>
      </c>
      <c r="Z5867">
        <v>1.99870999999999E-2</v>
      </c>
      <c r="AA5867">
        <v>0.88260280000000002</v>
      </c>
      <c r="AB5867">
        <v>34</v>
      </c>
      <c r="AC5867">
        <v>0.80230000000000201</v>
      </c>
      <c r="AD5867">
        <v>-8.1682000000000199E-2</v>
      </c>
      <c r="AE5867">
        <v>0.50023999999999003</v>
      </c>
      <c r="AF5867">
        <v>-0.51093693706576804</v>
      </c>
      <c r="AG5867">
        <v>-8.1682000000000199E-2</v>
      </c>
      <c r="AH5867">
        <v>0.78719299674092402</v>
      </c>
      <c r="AI5867">
        <v>94.974330953454896</v>
      </c>
      <c r="AJ5867">
        <v>122.986064043865</v>
      </c>
      <c r="AK5867">
        <v>0.94201980706358002</v>
      </c>
    </row>
    <row r="5868" spans="1:37" x14ac:dyDescent="0.2">
      <c r="A5868" t="str">
        <f>"20200111153545184"</f>
        <v>20200111153545184</v>
      </c>
      <c r="B5868" t="str">
        <f>"1578728145171003"</f>
        <v>1578728145171003</v>
      </c>
      <c r="C5868" t="s">
        <v>37</v>
      </c>
      <c r="D5868">
        <v>4.8660769999999998</v>
      </c>
      <c r="E5868">
        <v>0.42230249999999903</v>
      </c>
      <c r="F5868" t="s">
        <v>40</v>
      </c>
      <c r="G5868">
        <v>-223.41309999999999</v>
      </c>
      <c r="H5868">
        <v>1.036071</v>
      </c>
      <c r="I5868">
        <v>-63.320549999999997</v>
      </c>
      <c r="J5868">
        <v>-224.06270000000001</v>
      </c>
      <c r="K5868">
        <v>1.1047389999999999</v>
      </c>
      <c r="L5868">
        <v>-63.745419999999903</v>
      </c>
      <c r="M5868">
        <v>0.99961840000000002</v>
      </c>
      <c r="N5868">
        <v>0</v>
      </c>
      <c r="O5868">
        <v>-1.8488149999999998E-2</v>
      </c>
      <c r="P5868">
        <v>0.96116789999999996</v>
      </c>
      <c r="Q5868">
        <v>-2.4033849999999999E-2</v>
      </c>
      <c r="R5868">
        <v>0.27491579999999999</v>
      </c>
      <c r="S5868">
        <v>2.717133</v>
      </c>
      <c r="T5868">
        <v>-0.2281707</v>
      </c>
      <c r="U5868">
        <v>1.400879</v>
      </c>
      <c r="V5868">
        <v>-0.29264849999999998</v>
      </c>
      <c r="W5868">
        <v>-4.0004229999999899E-3</v>
      </c>
      <c r="X5868">
        <v>0.9562117</v>
      </c>
      <c r="Y5868">
        <v>-0.47323900000000002</v>
      </c>
      <c r="Z5868">
        <v>2.01339E-2</v>
      </c>
      <c r="AA5868">
        <v>0.88070400000000004</v>
      </c>
      <c r="AB5868">
        <v>34</v>
      </c>
      <c r="AC5868">
        <v>0.64960000000002005</v>
      </c>
      <c r="AD5868">
        <v>-6.8667999999999896E-2</v>
      </c>
      <c r="AE5868">
        <v>0.42486999999999803</v>
      </c>
      <c r="AF5868">
        <v>-0.43341773289722502</v>
      </c>
      <c r="AG5868">
        <v>-6.8667999999999896E-2</v>
      </c>
      <c r="AH5868">
        <v>0.63664960762428802</v>
      </c>
      <c r="AI5868">
        <v>95.094942359488599</v>
      </c>
      <c r="AJ5868">
        <v>124.246214791887</v>
      </c>
      <c r="AK5868">
        <v>0.773232790498393</v>
      </c>
    </row>
    <row r="5869" spans="1:37" x14ac:dyDescent="0.2">
      <c r="A5869" t="str">
        <f>"20200111153545195"</f>
        <v>20200111153545195</v>
      </c>
      <c r="B5869" t="str">
        <f>"1578728145191499"</f>
        <v>1578728145191499</v>
      </c>
      <c r="C5869" t="s">
        <v>37</v>
      </c>
      <c r="D5869">
        <v>4.9481339999999996</v>
      </c>
      <c r="E5869">
        <v>0.42298239999999998</v>
      </c>
      <c r="F5869" t="s">
        <v>40</v>
      </c>
      <c r="G5869">
        <v>-223.12549999999999</v>
      </c>
      <c r="H5869">
        <v>1.026313</v>
      </c>
      <c r="I5869">
        <v>-63.258980000000001</v>
      </c>
      <c r="J5869">
        <v>-223.89400000000001</v>
      </c>
      <c r="K5869">
        <v>1.104732</v>
      </c>
      <c r="L5869">
        <v>-63.748840000000001</v>
      </c>
      <c r="M5869">
        <v>0.99961369999999905</v>
      </c>
      <c r="N5869">
        <v>0</v>
      </c>
      <c r="O5869">
        <v>-1.879256E-2</v>
      </c>
      <c r="P5869">
        <v>0.96028269999999905</v>
      </c>
      <c r="Q5869">
        <v>-2.4720389999999998E-2</v>
      </c>
      <c r="R5869">
        <v>0.27793179999999901</v>
      </c>
      <c r="S5869">
        <v>2.7126459999999999</v>
      </c>
      <c r="T5869">
        <v>-0.2270324</v>
      </c>
      <c r="U5869">
        <v>1.408569</v>
      </c>
      <c r="V5869">
        <v>-0.29593959999999903</v>
      </c>
      <c r="W5869">
        <v>-4.7455020000000004E-3</v>
      </c>
      <c r="X5869">
        <v>0.95519489999999996</v>
      </c>
      <c r="Y5869">
        <v>-0.47606949999999998</v>
      </c>
      <c r="Z5869">
        <v>2.0186079999999999E-2</v>
      </c>
      <c r="AA5869">
        <v>0.87917599999999996</v>
      </c>
      <c r="AB5869">
        <v>34</v>
      </c>
      <c r="AC5869">
        <v>0.76850000000001695</v>
      </c>
      <c r="AD5869">
        <v>-7.8419000000000003E-2</v>
      </c>
      <c r="AE5869">
        <v>0.48985999999999302</v>
      </c>
      <c r="AF5869">
        <v>-0.50051270528901703</v>
      </c>
      <c r="AG5869">
        <v>-7.8419000000000003E-2</v>
      </c>
      <c r="AH5869">
        <v>0.75357699155775903</v>
      </c>
      <c r="AI5869">
        <v>94.954264398385305</v>
      </c>
      <c r="AJ5869">
        <v>123.59141970079099</v>
      </c>
      <c r="AK5869">
        <v>0.90804228421476796</v>
      </c>
    </row>
    <row r="5870" spans="1:37" x14ac:dyDescent="0.2">
      <c r="A5870" t="str">
        <f>"20200111153545208"</f>
        <v>20200111153545208</v>
      </c>
      <c r="B5870" t="str">
        <f>"1578728145201258"</f>
        <v>1578728145201258</v>
      </c>
      <c r="C5870" t="s">
        <v>37</v>
      </c>
      <c r="D5870">
        <v>4.8943859999999999</v>
      </c>
      <c r="E5870">
        <v>0.42322330000000002</v>
      </c>
      <c r="F5870" t="s">
        <v>40</v>
      </c>
      <c r="G5870">
        <v>-223.1086</v>
      </c>
      <c r="H5870">
        <v>1.0404690000000001</v>
      </c>
      <c r="I5870">
        <v>-63.339599999999997</v>
      </c>
      <c r="J5870">
        <v>-223.70840000000001</v>
      </c>
      <c r="K5870">
        <v>1.1047309999999999</v>
      </c>
      <c r="L5870">
        <v>-63.752659999999999</v>
      </c>
      <c r="M5870">
        <v>0.99960830000000001</v>
      </c>
      <c r="N5870">
        <v>0</v>
      </c>
      <c r="O5870">
        <v>-1.9125159999999999E-2</v>
      </c>
      <c r="P5870">
        <v>0.95954819999999996</v>
      </c>
      <c r="Q5870">
        <v>-2.5374770000000001E-2</v>
      </c>
      <c r="R5870">
        <v>0.28039849999999999</v>
      </c>
      <c r="S5870">
        <v>2.709549</v>
      </c>
      <c r="T5870">
        <v>-0.22172939999999999</v>
      </c>
      <c r="U5870">
        <v>1.4124760000000001</v>
      </c>
      <c r="V5870">
        <v>-0.29871059999999999</v>
      </c>
      <c r="W5870">
        <v>-5.4593819999999996E-3</v>
      </c>
      <c r="X5870">
        <v>0.95432809999999901</v>
      </c>
      <c r="Y5870">
        <v>-0.477825</v>
      </c>
      <c r="Z5870">
        <v>1.9822719999999999E-2</v>
      </c>
      <c r="AA5870">
        <v>0.8782314</v>
      </c>
      <c r="AB5870">
        <v>34</v>
      </c>
      <c r="AC5870">
        <v>0.59980000000001599</v>
      </c>
      <c r="AD5870">
        <v>-6.4261999999999805E-2</v>
      </c>
      <c r="AE5870">
        <v>0.41306000000000098</v>
      </c>
      <c r="AF5870">
        <v>-0.42117872631800601</v>
      </c>
      <c r="AG5870">
        <v>-6.4261999999999805E-2</v>
      </c>
      <c r="AH5870">
        <v>0.58721660752395299</v>
      </c>
      <c r="AI5870">
        <v>95.081727571029603</v>
      </c>
      <c r="AJ5870">
        <v>125.649828830603</v>
      </c>
      <c r="AK5870">
        <v>0.72549601535694097</v>
      </c>
    </row>
    <row r="5871" spans="1:37" x14ac:dyDescent="0.2">
      <c r="A5871" t="str">
        <f>"20200111153545217"</f>
        <v>20200111153545217</v>
      </c>
      <c r="B5871" t="str">
        <f>"1578728145211019"</f>
        <v>1578728145211019</v>
      </c>
      <c r="C5871" t="s">
        <v>37</v>
      </c>
      <c r="D5871">
        <v>4.8879519999999896</v>
      </c>
      <c r="E5871">
        <v>0.42351159999999999</v>
      </c>
      <c r="F5871" t="s">
        <v>40</v>
      </c>
      <c r="G5871">
        <v>-222.82130000000001</v>
      </c>
      <c r="H5871">
        <v>1.0323229999999901</v>
      </c>
      <c r="I5871">
        <v>-63.288040000000002</v>
      </c>
      <c r="J5871">
        <v>-223.5522</v>
      </c>
      <c r="K5871">
        <v>1.104732</v>
      </c>
      <c r="L5871">
        <v>-63.755859999999998</v>
      </c>
      <c r="M5871">
        <v>0.99960369999999998</v>
      </c>
      <c r="N5871">
        <v>0</v>
      </c>
      <c r="O5871">
        <v>-1.9404080000000001E-2</v>
      </c>
      <c r="P5871">
        <v>0.95889059999999904</v>
      </c>
      <c r="Q5871">
        <v>-2.6112219999999998E-2</v>
      </c>
      <c r="R5871">
        <v>0.28257259999999901</v>
      </c>
      <c r="S5871">
        <v>2.7062680000000001</v>
      </c>
      <c r="T5871">
        <v>-0.22092149999999999</v>
      </c>
      <c r="U5871">
        <v>1.417969</v>
      </c>
      <c r="V5871">
        <v>-0.30113879999999998</v>
      </c>
      <c r="W5871">
        <v>-6.2472669999999999E-3</v>
      </c>
      <c r="X5871">
        <v>0.95355990000000002</v>
      </c>
      <c r="Y5871">
        <v>-0.47990659999999902</v>
      </c>
      <c r="Z5871">
        <v>1.9864300000000001E-2</v>
      </c>
      <c r="AA5871">
        <v>0.8770947</v>
      </c>
      <c r="AB5871">
        <v>34</v>
      </c>
      <c r="AC5871">
        <v>0.730899999999991</v>
      </c>
      <c r="AD5871">
        <v>-7.2409000000000098E-2</v>
      </c>
      <c r="AE5871">
        <v>0.46781999999999602</v>
      </c>
      <c r="AF5871">
        <v>-0.478585246468263</v>
      </c>
      <c r="AG5871">
        <v>-7.2409000000000098E-2</v>
      </c>
      <c r="AH5871">
        <v>0.71669303081782898</v>
      </c>
      <c r="AI5871">
        <v>94.802769391630605</v>
      </c>
      <c r="AJ5871">
        <v>123.73376292440901</v>
      </c>
      <c r="AK5871">
        <v>0.86483281727796002</v>
      </c>
    </row>
    <row r="5872" spans="1:37" x14ac:dyDescent="0.2">
      <c r="A5872" t="str">
        <f>"20200111153545229"</f>
        <v>20200111153545229</v>
      </c>
      <c r="B5872" t="str">
        <f>"1578728145221754"</f>
        <v>1578728145221754</v>
      </c>
      <c r="C5872" t="s">
        <v>37</v>
      </c>
      <c r="D5872">
        <v>4.973211</v>
      </c>
      <c r="E5872">
        <v>0.42374020000000001</v>
      </c>
      <c r="F5872" t="s">
        <v>40</v>
      </c>
      <c r="G5872">
        <v>-222.76669999999999</v>
      </c>
      <c r="H5872">
        <v>1.0406739999999901</v>
      </c>
      <c r="I5872">
        <v>-63.342880000000001</v>
      </c>
      <c r="J5872">
        <v>-223.38640000000001</v>
      </c>
      <c r="K5872">
        <v>1.1047359999999999</v>
      </c>
      <c r="L5872">
        <v>-63.759369999999997</v>
      </c>
      <c r="M5872">
        <v>0.99959920000000002</v>
      </c>
      <c r="N5872">
        <v>0</v>
      </c>
      <c r="O5872">
        <v>-1.96815999999999E-2</v>
      </c>
      <c r="P5872">
        <v>0.95829419999999899</v>
      </c>
      <c r="Q5872">
        <v>-2.668713E-2</v>
      </c>
      <c r="R5872">
        <v>0.28453509999999999</v>
      </c>
      <c r="S5872">
        <v>2.7035520000000002</v>
      </c>
      <c r="T5872">
        <v>-0.2205117</v>
      </c>
      <c r="U5872">
        <v>1.4221189999999999</v>
      </c>
      <c r="V5872">
        <v>-0.30335420000000002</v>
      </c>
      <c r="W5872">
        <v>-6.8775529999999998E-3</v>
      </c>
      <c r="X5872">
        <v>0.95285299999999995</v>
      </c>
      <c r="Y5872">
        <v>-0.48156509999999902</v>
      </c>
      <c r="Z5872">
        <v>1.9923219999999998E-2</v>
      </c>
      <c r="AA5872">
        <v>0.87618390000000002</v>
      </c>
      <c r="AB5872">
        <v>34</v>
      </c>
      <c r="AC5872">
        <v>0.61970000000002201</v>
      </c>
      <c r="AD5872">
        <v>-6.4062000000000202E-2</v>
      </c>
      <c r="AE5872">
        <v>0.41648999999998798</v>
      </c>
      <c r="AF5872">
        <v>-0.42547638957636102</v>
      </c>
      <c r="AG5872">
        <v>-6.4062000000000202E-2</v>
      </c>
      <c r="AH5872">
        <v>0.60691327509552895</v>
      </c>
      <c r="AI5872">
        <v>94.939820658430705</v>
      </c>
      <c r="AJ5872">
        <v>125.032366255441</v>
      </c>
      <c r="AK5872">
        <v>0.74396090046326802</v>
      </c>
    </row>
    <row r="5873" spans="1:37" x14ac:dyDescent="0.2">
      <c r="A5873" t="str">
        <f>"20200111153545241"</f>
        <v>20200111153545241</v>
      </c>
      <c r="B5873" t="str">
        <f>"1578728145231515"</f>
        <v>1578728145231515</v>
      </c>
      <c r="C5873" t="s">
        <v>37</v>
      </c>
      <c r="D5873">
        <v>4.9401199999999896</v>
      </c>
      <c r="E5873">
        <v>0.42398760000000002</v>
      </c>
      <c r="F5873" t="s">
        <v>40</v>
      </c>
      <c r="G5873">
        <v>-222.52119999999999</v>
      </c>
      <c r="H5873">
        <v>1.034222</v>
      </c>
      <c r="I5873">
        <v>-63.302519999999902</v>
      </c>
      <c r="J5873">
        <v>-223.2165</v>
      </c>
      <c r="K5873">
        <v>1.1047469999999999</v>
      </c>
      <c r="L5873">
        <v>-63.762999999999998</v>
      </c>
      <c r="M5873">
        <v>0.99959439999999999</v>
      </c>
      <c r="N5873">
        <v>0</v>
      </c>
      <c r="O5873">
        <v>-1.9957579999999999E-2</v>
      </c>
      <c r="P5873">
        <v>0.95762119999999995</v>
      </c>
      <c r="Q5873">
        <v>-2.7444550000000002E-2</v>
      </c>
      <c r="R5873">
        <v>0.28672059999999999</v>
      </c>
      <c r="S5873">
        <v>2.7010040000000002</v>
      </c>
      <c r="T5873">
        <v>-0.22012219999999999</v>
      </c>
      <c r="U5873">
        <v>1.4261170000000001</v>
      </c>
      <c r="V5873">
        <v>-0.30578949999999999</v>
      </c>
      <c r="W5873">
        <v>-7.694808E-3</v>
      </c>
      <c r="X5873">
        <v>0.95206800000000003</v>
      </c>
      <c r="Y5873">
        <v>-0.48315999999999998</v>
      </c>
      <c r="Z5873">
        <v>1.9980330000000001E-2</v>
      </c>
      <c r="AA5873">
        <v>0.87530409999999903</v>
      </c>
      <c r="AB5873">
        <v>33</v>
      </c>
      <c r="AC5873">
        <v>0.69530000000000303</v>
      </c>
      <c r="AD5873">
        <v>-7.0524999999999893E-2</v>
      </c>
      <c r="AE5873">
        <v>0.46048000000001099</v>
      </c>
      <c r="AF5873">
        <v>-0.47089996092393099</v>
      </c>
      <c r="AG5873">
        <v>-7.0524999999999893E-2</v>
      </c>
      <c r="AH5873">
        <v>0.68109859623715696</v>
      </c>
      <c r="AI5873">
        <v>94.868219298553896</v>
      </c>
      <c r="AJ5873">
        <v>124.659321198293</v>
      </c>
      <c r="AK5873">
        <v>0.83103299971745204</v>
      </c>
    </row>
    <row r="5874" spans="1:37" x14ac:dyDescent="0.2">
      <c r="A5874" t="str">
        <f>"20200111153545252"</f>
        <v>20200111153545252</v>
      </c>
      <c r="B5874" t="str">
        <f>"1578728145241274"</f>
        <v>1578728145241274</v>
      </c>
      <c r="C5874" t="s">
        <v>37</v>
      </c>
      <c r="D5874">
        <v>4.9978189999999998</v>
      </c>
      <c r="E5874">
        <v>0.42427779999999998</v>
      </c>
      <c r="F5874" t="s">
        <v>40</v>
      </c>
      <c r="G5874">
        <v>-222.23650000000001</v>
      </c>
      <c r="H5874">
        <v>1.0245839999999999</v>
      </c>
      <c r="I5874">
        <v>-63.2436199999999</v>
      </c>
      <c r="J5874">
        <v>-223.05</v>
      </c>
      <c r="K5874">
        <v>1.104773</v>
      </c>
      <c r="L5874">
        <v>-63.766569999999902</v>
      </c>
      <c r="M5874">
        <v>0.99959050000000005</v>
      </c>
      <c r="N5874">
        <v>0</v>
      </c>
      <c r="O5874">
        <v>-2.0190079999999999E-2</v>
      </c>
      <c r="P5874">
        <v>0.95700959999999902</v>
      </c>
      <c r="Q5874">
        <v>-2.839585E-2</v>
      </c>
      <c r="R5874">
        <v>0.28866320000000001</v>
      </c>
      <c r="S5874">
        <v>2.69813499999999</v>
      </c>
      <c r="T5874">
        <v>-0.22073019999999999</v>
      </c>
      <c r="U5874">
        <v>1.4305110000000001</v>
      </c>
      <c r="V5874">
        <v>-0.30794120000000003</v>
      </c>
      <c r="W5874">
        <v>-8.7126959999999903E-3</v>
      </c>
      <c r="X5874">
        <v>0.95136549999999998</v>
      </c>
      <c r="Y5874">
        <v>-0.48484650000000001</v>
      </c>
      <c r="Z5874">
        <v>2.0129499999999901E-2</v>
      </c>
      <c r="AA5874">
        <v>0.87436759999999902</v>
      </c>
      <c r="AB5874">
        <v>33</v>
      </c>
      <c r="AC5874">
        <v>0.813500000000004</v>
      </c>
      <c r="AD5874">
        <v>-8.0188999999999996E-2</v>
      </c>
      <c r="AE5874">
        <v>0.52295000000000103</v>
      </c>
      <c r="AF5874">
        <v>-0.53558897939366501</v>
      </c>
      <c r="AG5874">
        <v>-8.0188999999999996E-2</v>
      </c>
      <c r="AH5874">
        <v>0.79729183664893799</v>
      </c>
      <c r="AI5874">
        <v>94.772448026416598</v>
      </c>
      <c r="AJ5874">
        <v>123.891637263478</v>
      </c>
      <c r="AK5874">
        <v>0.96382576400301001</v>
      </c>
    </row>
    <row r="5875" spans="1:37" x14ac:dyDescent="0.2">
      <c r="A5875" t="str">
        <f>"20200111153545262"</f>
        <v>20200111153545262</v>
      </c>
      <c r="B5875" t="str">
        <f>"1578728145252011"</f>
        <v>1578728145252011</v>
      </c>
      <c r="C5875" t="s">
        <v>37</v>
      </c>
      <c r="D5875">
        <v>5.2171240000000001</v>
      </c>
      <c r="E5875">
        <v>0.42471309999999901</v>
      </c>
      <c r="F5875" t="s">
        <v>40</v>
      </c>
      <c r="G5875">
        <v>-222.22059999999999</v>
      </c>
      <c r="H5875">
        <v>1.036348</v>
      </c>
      <c r="I5875">
        <v>-63.325559999999903</v>
      </c>
      <c r="J5875">
        <v>-222.8921</v>
      </c>
      <c r="K5875">
        <v>1.1048020000000001</v>
      </c>
      <c r="L5875">
        <v>-63.76999</v>
      </c>
      <c r="M5875">
        <v>0.99958709999999995</v>
      </c>
      <c r="N5875">
        <v>0</v>
      </c>
      <c r="O5875">
        <v>-2.0391980000000001E-2</v>
      </c>
      <c r="P5875">
        <v>0.95645389999999997</v>
      </c>
      <c r="Q5875">
        <v>-2.962381E-2</v>
      </c>
      <c r="R5875">
        <v>0.29037689999999999</v>
      </c>
      <c r="S5875">
        <v>2.6956790000000002</v>
      </c>
      <c r="T5875">
        <v>-0.22239320000000001</v>
      </c>
      <c r="U5875">
        <v>1.4338070000000001</v>
      </c>
      <c r="V5875">
        <v>-0.30983620000000001</v>
      </c>
      <c r="W5875">
        <v>-1.00071E-2</v>
      </c>
      <c r="X5875">
        <v>0.95073730000000001</v>
      </c>
      <c r="Y5875">
        <v>-0.4861607</v>
      </c>
      <c r="Z5875">
        <v>2.0357989999999999E-2</v>
      </c>
      <c r="AA5875">
        <v>0.87363230000000003</v>
      </c>
      <c r="AB5875">
        <v>33</v>
      </c>
      <c r="AC5875">
        <v>0.67150000000000798</v>
      </c>
      <c r="AD5875">
        <v>-6.8454000000000001E-2</v>
      </c>
      <c r="AE5875">
        <v>0.44443000000000399</v>
      </c>
      <c r="AF5875">
        <v>-0.45474728986054302</v>
      </c>
      <c r="AG5875">
        <v>-6.8454000000000001E-2</v>
      </c>
      <c r="AH5875">
        <v>0.65754383691997298</v>
      </c>
      <c r="AI5875">
        <v>94.893944429664302</v>
      </c>
      <c r="AJ5875">
        <v>124.66714308102</v>
      </c>
      <c r="AK5875">
        <v>0.80239949228731999</v>
      </c>
    </row>
    <row r="5876" spans="1:37" x14ac:dyDescent="0.2">
      <c r="A5876" t="str">
        <f>"20200111153545274"</f>
        <v>20200111153545274</v>
      </c>
      <c r="B5876" t="str">
        <f>"1578728145261771"</f>
        <v>1578728145261771</v>
      </c>
      <c r="C5876" t="s">
        <v>37</v>
      </c>
      <c r="D5876">
        <v>5.0940110000000001</v>
      </c>
      <c r="E5876">
        <v>0.42512339999999998</v>
      </c>
      <c r="F5876" t="s">
        <v>40</v>
      </c>
      <c r="G5876">
        <v>-221.93809999999999</v>
      </c>
      <c r="H5876">
        <v>1.0255989999999999</v>
      </c>
      <c r="I5876">
        <v>-63.261699999999998</v>
      </c>
      <c r="J5876">
        <v>-222.71289999999999</v>
      </c>
      <c r="K5876">
        <v>1.1048500000000001</v>
      </c>
      <c r="L5876">
        <v>-63.773859999999999</v>
      </c>
      <c r="M5876">
        <v>0.99958389999999997</v>
      </c>
      <c r="N5876">
        <v>0</v>
      </c>
      <c r="O5876">
        <v>-2.0581019999999998E-2</v>
      </c>
      <c r="P5876">
        <v>0.95596639999999999</v>
      </c>
      <c r="Q5876">
        <v>-3.089182E-2</v>
      </c>
      <c r="R5876">
        <v>0.29184589999999999</v>
      </c>
      <c r="S5876">
        <v>2.693848</v>
      </c>
      <c r="T5876">
        <v>-0.2236658</v>
      </c>
      <c r="U5876">
        <v>1.4354549999999999</v>
      </c>
      <c r="V5876">
        <v>-0.31147509999999901</v>
      </c>
      <c r="W5876">
        <v>-1.135589E-2</v>
      </c>
      <c r="X5876">
        <v>0.95018639999999999</v>
      </c>
      <c r="Y5876">
        <v>-0.48696879999999998</v>
      </c>
      <c r="Z5876">
        <v>2.0529809999999999E-2</v>
      </c>
      <c r="AA5876">
        <v>0.87317809999999996</v>
      </c>
      <c r="AB5876">
        <v>33</v>
      </c>
      <c r="AC5876">
        <v>0.77479999999999805</v>
      </c>
      <c r="AD5876">
        <v>-7.9251000000000099E-2</v>
      </c>
      <c r="AE5876">
        <v>0.51216000000000095</v>
      </c>
      <c r="AF5876">
        <v>-0.52418434202519104</v>
      </c>
      <c r="AG5876">
        <v>-7.9251000000000099E-2</v>
      </c>
      <c r="AH5876">
        <v>0.75856977817537796</v>
      </c>
      <c r="AI5876">
        <v>94.912487871395598</v>
      </c>
      <c r="AJ5876">
        <v>124.645118480844</v>
      </c>
      <c r="AK5876">
        <v>0.92546099528096004</v>
      </c>
    </row>
    <row r="5877" spans="1:37" x14ac:dyDescent="0.2">
      <c r="A5877" t="str">
        <f>"20200111153545284"</f>
        <v>20200111153545284</v>
      </c>
      <c r="B5877" t="str">
        <f>"1578728145271530"</f>
        <v>1578728145271530</v>
      </c>
      <c r="C5877" t="s">
        <v>37</v>
      </c>
      <c r="D5877">
        <v>4.9881060000000002</v>
      </c>
      <c r="E5877">
        <v>0.42552689999999999</v>
      </c>
      <c r="F5877" t="s">
        <v>40</v>
      </c>
      <c r="G5877">
        <v>-221.92070000000001</v>
      </c>
      <c r="H5877">
        <v>1.0384930000000001</v>
      </c>
      <c r="I5877">
        <v>-63.351179999999999</v>
      </c>
      <c r="J5877">
        <v>-222.5719</v>
      </c>
      <c r="K5877">
        <v>1.104892</v>
      </c>
      <c r="L5877">
        <v>-63.776890000000002</v>
      </c>
      <c r="M5877">
        <v>0.99958189999999902</v>
      </c>
      <c r="N5877">
        <v>0</v>
      </c>
      <c r="O5877">
        <v>-2.0698270000000001E-2</v>
      </c>
      <c r="P5877">
        <v>0.95549309999999998</v>
      </c>
      <c r="Q5877">
        <v>-3.2220489999999997E-2</v>
      </c>
      <c r="R5877">
        <v>0.293249599999999</v>
      </c>
      <c r="S5877">
        <v>2.692307</v>
      </c>
      <c r="T5877">
        <v>-0.2255277</v>
      </c>
      <c r="U5877">
        <v>1.4366760000000001</v>
      </c>
      <c r="V5877">
        <v>-0.31298009999999998</v>
      </c>
      <c r="W5877">
        <v>-1.275388E-2</v>
      </c>
      <c r="X5877">
        <v>0.94967409999999997</v>
      </c>
      <c r="Y5877">
        <v>-0.48756090000000002</v>
      </c>
      <c r="Z5877">
        <v>2.0741010000000001E-2</v>
      </c>
      <c r="AA5877">
        <v>0.87284259999999902</v>
      </c>
      <c r="AB5877">
        <v>33</v>
      </c>
      <c r="AC5877">
        <v>0.65119999999998801</v>
      </c>
      <c r="AD5877">
        <v>-6.6398999999999805E-2</v>
      </c>
      <c r="AE5877">
        <v>0.42570999999999498</v>
      </c>
      <c r="AF5877">
        <v>-0.43592502350807999</v>
      </c>
      <c r="AG5877">
        <v>-6.6398999999999805E-2</v>
      </c>
      <c r="AH5877">
        <v>0.63760299224612105</v>
      </c>
      <c r="AI5877">
        <v>94.913462815063596</v>
      </c>
      <c r="AJ5877">
        <v>124.36016252654299</v>
      </c>
      <c r="AK5877">
        <v>0.77522708224282799</v>
      </c>
    </row>
    <row r="5878" spans="1:37" x14ac:dyDescent="0.2">
      <c r="A5878" t="str">
        <f>"20200111153545294"</f>
        <v>20200111153545294</v>
      </c>
      <c r="B5878" t="str">
        <f>"1578728145291050"</f>
        <v>1578728145291050</v>
      </c>
      <c r="C5878" t="s">
        <v>37</v>
      </c>
      <c r="D5878">
        <v>4.9934669999999999</v>
      </c>
      <c r="E5878">
        <v>0.42624629999999902</v>
      </c>
      <c r="F5878" t="s">
        <v>40</v>
      </c>
      <c r="G5878">
        <v>-221.64089999999999</v>
      </c>
      <c r="H5878">
        <v>1.026095</v>
      </c>
      <c r="I5878">
        <v>-63.279730000000001</v>
      </c>
      <c r="J5878">
        <v>-222.41159999999999</v>
      </c>
      <c r="K5878">
        <v>1.1049439999999999</v>
      </c>
      <c r="L5878">
        <v>-63.780359999999902</v>
      </c>
      <c r="M5878">
        <v>0.99958019999999903</v>
      </c>
      <c r="N5878">
        <v>0</v>
      </c>
      <c r="O5878">
        <v>-2.080243E-2</v>
      </c>
      <c r="P5878">
        <v>0.95501780000000003</v>
      </c>
      <c r="Q5878">
        <v>-3.3424710000000003E-2</v>
      </c>
      <c r="R5878">
        <v>0.29465819999999998</v>
      </c>
      <c r="S5878">
        <v>2.6908569999999998</v>
      </c>
      <c r="T5878">
        <v>-0.22777610000000001</v>
      </c>
      <c r="U5878">
        <v>1.437592</v>
      </c>
      <c r="V5878">
        <v>-0.31447629999999999</v>
      </c>
      <c r="W5878">
        <v>-1.4039660000000001E-2</v>
      </c>
      <c r="X5878">
        <v>0.94916149999999999</v>
      </c>
      <c r="Y5878">
        <v>-0.48804750000000002</v>
      </c>
      <c r="Z5878">
        <v>2.0983089999999999E-2</v>
      </c>
      <c r="AA5878">
        <v>0.87256480000000003</v>
      </c>
      <c r="AB5878">
        <v>33</v>
      </c>
      <c r="AC5878">
        <v>0.77070000000000505</v>
      </c>
      <c r="AD5878">
        <v>-7.88490000000001E-2</v>
      </c>
      <c r="AE5878">
        <v>0.50062999999998603</v>
      </c>
      <c r="AF5878">
        <v>-0.51278272357348498</v>
      </c>
      <c r="AG5878">
        <v>-7.88490000000001E-2</v>
      </c>
      <c r="AH5878">
        <v>0.75456238584038604</v>
      </c>
      <c r="AI5878">
        <v>94.939673638232193</v>
      </c>
      <c r="AJ5878">
        <v>124.19909908296999</v>
      </c>
      <c r="AK5878">
        <v>0.91571157059500896</v>
      </c>
    </row>
    <row r="5879" spans="1:37" x14ac:dyDescent="0.2">
      <c r="A5879" t="str">
        <f>"20200111153545307"</f>
        <v>20200111153545307</v>
      </c>
      <c r="B5879" t="str">
        <f>"1578728145301786"</f>
        <v>1578728145301786</v>
      </c>
      <c r="C5879" t="s">
        <v>37</v>
      </c>
      <c r="D5879">
        <v>5.2142499999999998</v>
      </c>
      <c r="E5879">
        <v>0.42658379999999901</v>
      </c>
      <c r="F5879" t="s">
        <v>40</v>
      </c>
      <c r="G5879">
        <v>-221.62520000000001</v>
      </c>
      <c r="H5879">
        <v>1.0381689999999999</v>
      </c>
      <c r="I5879">
        <v>-63.360709999999997</v>
      </c>
      <c r="J5879">
        <v>-222.23259999999999</v>
      </c>
      <c r="K5879">
        <v>1.1050199999999999</v>
      </c>
      <c r="L5879">
        <v>-63.784149999999997</v>
      </c>
      <c r="M5879">
        <v>0.99957980000000002</v>
      </c>
      <c r="N5879">
        <v>0</v>
      </c>
      <c r="O5879">
        <v>-2.0849980000000001E-2</v>
      </c>
      <c r="P5879">
        <v>0.95467999999999997</v>
      </c>
      <c r="Q5879">
        <v>-3.4376959999999998E-2</v>
      </c>
      <c r="R5879">
        <v>0.29564190000000001</v>
      </c>
      <c r="S5879">
        <v>2.6901860000000002</v>
      </c>
      <c r="T5879">
        <v>-0.2284428</v>
      </c>
      <c r="U5879">
        <v>1.436218</v>
      </c>
      <c r="V5879">
        <v>-0.3154959</v>
      </c>
      <c r="W5879">
        <v>-1.508641E-2</v>
      </c>
      <c r="X5879">
        <v>0.94880699999999996</v>
      </c>
      <c r="Y5879">
        <v>-0.48782409999999998</v>
      </c>
      <c r="Z5879">
        <v>2.1046220000000001E-2</v>
      </c>
      <c r="AA5879">
        <v>0.87268819999999903</v>
      </c>
      <c r="AB5879">
        <v>33</v>
      </c>
      <c r="AC5879">
        <v>0.60739999999998395</v>
      </c>
      <c r="AD5879">
        <v>-6.6850999999999994E-2</v>
      </c>
      <c r="AE5879">
        <v>0.42343999999999898</v>
      </c>
      <c r="AF5879">
        <v>-0.43248923779943399</v>
      </c>
      <c r="AG5879">
        <v>-6.6850999999999994E-2</v>
      </c>
      <c r="AH5879">
        <v>0.59359856442812298</v>
      </c>
      <c r="AI5879">
        <v>95.200887531810395</v>
      </c>
      <c r="AJ5879">
        <v>126.076659971591</v>
      </c>
      <c r="AK5879">
        <v>0.73747898458495997</v>
      </c>
    </row>
    <row r="5880" spans="1:37" x14ac:dyDescent="0.2">
      <c r="A5880" t="str">
        <f>"20200111153545318"</f>
        <v>20200111153545318</v>
      </c>
      <c r="B5880" t="str">
        <f>"1578728145311547"</f>
        <v>1578728145311547</v>
      </c>
      <c r="C5880" t="s">
        <v>37</v>
      </c>
      <c r="D5880">
        <v>5.007015</v>
      </c>
      <c r="E5880">
        <v>0.42690850000000002</v>
      </c>
      <c r="F5880" t="s">
        <v>40</v>
      </c>
      <c r="G5880">
        <v>-221.34280000000001</v>
      </c>
      <c r="H5880">
        <v>1.0290809999999999</v>
      </c>
      <c r="I5880">
        <v>-63.308750000000003</v>
      </c>
      <c r="J5880">
        <v>-222.0684</v>
      </c>
      <c r="K5880">
        <v>1.1050949999999999</v>
      </c>
      <c r="L5880">
        <v>-63.78763</v>
      </c>
      <c r="M5880">
        <v>0.99958009999999997</v>
      </c>
      <c r="N5880">
        <v>0</v>
      </c>
      <c r="O5880">
        <v>-2.0864850000000001E-2</v>
      </c>
      <c r="P5880">
        <v>0.95433060000000003</v>
      </c>
      <c r="Q5880">
        <v>-3.4978099999999998E-2</v>
      </c>
      <c r="R5880">
        <v>0.29669800000000002</v>
      </c>
      <c r="S5880">
        <v>2.6893009999999999</v>
      </c>
      <c r="T5880">
        <v>-0.22951099999999999</v>
      </c>
      <c r="U5880">
        <v>1.4365540000000001</v>
      </c>
      <c r="V5880">
        <v>-0.316556</v>
      </c>
      <c r="W5880">
        <v>-1.5778170000000001E-2</v>
      </c>
      <c r="X5880">
        <v>0.94844259999999903</v>
      </c>
      <c r="Y5880">
        <v>-0.48802640000000003</v>
      </c>
      <c r="Z5880">
        <v>2.1159150000000002E-2</v>
      </c>
      <c r="AA5880">
        <v>0.87257240000000003</v>
      </c>
      <c r="AB5880">
        <v>33</v>
      </c>
      <c r="AC5880">
        <v>0.72559999999998503</v>
      </c>
      <c r="AD5880">
        <v>-7.6014000000000206E-2</v>
      </c>
      <c r="AE5880">
        <v>0.47888000000000303</v>
      </c>
      <c r="AF5880">
        <v>-0.490171029143527</v>
      </c>
      <c r="AG5880">
        <v>-7.6014000000000206E-2</v>
      </c>
      <c r="AH5880">
        <v>0.71002021145899497</v>
      </c>
      <c r="AI5880">
        <v>95.034938589561904</v>
      </c>
      <c r="AJ5880">
        <v>124.619727495037</v>
      </c>
      <c r="AK5880">
        <v>0.86612612631642805</v>
      </c>
    </row>
    <row r="5881" spans="1:37" x14ac:dyDescent="0.2">
      <c r="A5881" t="str">
        <f>"20200111153545330"</f>
        <v>20200111153545330</v>
      </c>
      <c r="B5881" t="str">
        <f>"1578728145321306"</f>
        <v>1578728145321306</v>
      </c>
      <c r="C5881" t="s">
        <v>37</v>
      </c>
      <c r="D5881">
        <v>5.0314639999999997</v>
      </c>
      <c r="E5881">
        <v>0.427089099999999</v>
      </c>
      <c r="F5881" t="s">
        <v>40</v>
      </c>
      <c r="G5881">
        <v>-221.3049</v>
      </c>
      <c r="H5881">
        <v>1.0397940000000001</v>
      </c>
      <c r="I5881">
        <v>-63.379369999999902</v>
      </c>
      <c r="J5881">
        <v>-221.9067</v>
      </c>
      <c r="K5881">
        <v>1.1051879999999901</v>
      </c>
      <c r="L5881">
        <v>-63.790950000000002</v>
      </c>
      <c r="M5881">
        <v>0.99958269999999905</v>
      </c>
      <c r="N5881">
        <v>0</v>
      </c>
      <c r="O5881">
        <v>-2.0769510000000001E-2</v>
      </c>
      <c r="P5881">
        <v>0.95396270000000005</v>
      </c>
      <c r="Q5881">
        <v>-3.5114819999999998E-2</v>
      </c>
      <c r="R5881">
        <v>0.29786279999999998</v>
      </c>
      <c r="S5881">
        <v>2.6883539999999999</v>
      </c>
      <c r="T5881">
        <v>-0.22992460000000001</v>
      </c>
      <c r="U5881">
        <v>1.4371639999999899</v>
      </c>
      <c r="V5881">
        <v>-0.31761919999999999</v>
      </c>
      <c r="W5881">
        <v>-1.6014380000000002E-2</v>
      </c>
      <c r="X5881">
        <v>0.94808309999999996</v>
      </c>
      <c r="Y5881">
        <v>-0.48821870000000001</v>
      </c>
      <c r="Z5881">
        <v>2.1202720000000001E-2</v>
      </c>
      <c r="AA5881">
        <v>0.87246380000000001</v>
      </c>
      <c r="AB5881">
        <v>33</v>
      </c>
      <c r="AC5881">
        <v>0.601799999999997</v>
      </c>
      <c r="AD5881">
        <v>-6.5393999999999702E-2</v>
      </c>
      <c r="AE5881">
        <v>0.411580000000007</v>
      </c>
      <c r="AF5881">
        <v>-0.42060902192511401</v>
      </c>
      <c r="AG5881">
        <v>-6.5393999999999702E-2</v>
      </c>
      <c r="AH5881">
        <v>0.58838656510827703</v>
      </c>
      <c r="AI5881">
        <v>95.166357654212902</v>
      </c>
      <c r="AJ5881">
        <v>125.559137658799</v>
      </c>
      <c r="AK5881">
        <v>0.726214207077167</v>
      </c>
    </row>
    <row r="5882" spans="1:37" x14ac:dyDescent="0.2">
      <c r="A5882" t="str">
        <f>"20200111153545340"</f>
        <v>20200111153545340</v>
      </c>
      <c r="B5882" t="str">
        <f>"1578728145331068"</f>
        <v>1578728145331068</v>
      </c>
      <c r="C5882" t="s">
        <v>37</v>
      </c>
      <c r="D5882">
        <v>5.2472000000000003</v>
      </c>
      <c r="E5882">
        <v>0.427089099999999</v>
      </c>
      <c r="F5882" t="s">
        <v>40</v>
      </c>
      <c r="G5882">
        <v>-221.04730000000001</v>
      </c>
      <c r="H5882">
        <v>1.031963</v>
      </c>
      <c r="I5882">
        <v>-63.330829999999999</v>
      </c>
      <c r="J5882">
        <v>-221.7433</v>
      </c>
      <c r="K5882">
        <v>1.1052839999999999</v>
      </c>
      <c r="L5882">
        <v>-63.794280000000001</v>
      </c>
      <c r="M5882">
        <v>0.99958570000000002</v>
      </c>
      <c r="N5882">
        <v>0</v>
      </c>
      <c r="O5882">
        <v>-2.0645960000000001E-2</v>
      </c>
      <c r="P5882">
        <v>0.95370880000000002</v>
      </c>
      <c r="Q5882">
        <v>-3.4612370000000003E-2</v>
      </c>
      <c r="R5882">
        <v>0.29873349999999999</v>
      </c>
      <c r="S5882">
        <v>2.6869509999999899</v>
      </c>
      <c r="T5882">
        <v>-0.22896169999999999</v>
      </c>
      <c r="U5882">
        <v>1.4391780000000001</v>
      </c>
      <c r="V5882">
        <v>-0.31836399999999998</v>
      </c>
      <c r="W5882">
        <v>-1.5612839999999999E-2</v>
      </c>
      <c r="X5882">
        <v>0.94784000000000002</v>
      </c>
      <c r="Y5882">
        <v>-0.4888188</v>
      </c>
      <c r="Z5882">
        <v>2.1134449999999999E-2</v>
      </c>
      <c r="AA5882">
        <v>0.8721293</v>
      </c>
      <c r="AB5882">
        <v>33</v>
      </c>
      <c r="AC5882">
        <v>0.69599999999999795</v>
      </c>
      <c r="AD5882">
        <v>-7.33209999999999E-2</v>
      </c>
      <c r="AE5882">
        <v>0.46345000000000097</v>
      </c>
      <c r="AF5882">
        <v>-0.47407859566731497</v>
      </c>
      <c r="AG5882">
        <v>-7.33209999999999E-2</v>
      </c>
      <c r="AH5882">
        <v>0.68104492760422397</v>
      </c>
      <c r="AI5882">
        <v>95.049515115892802</v>
      </c>
      <c r="AJ5882">
        <v>124.841959008993</v>
      </c>
      <c r="AK5882">
        <v>0.83303581995394205</v>
      </c>
    </row>
    <row r="5883" spans="1:37" x14ac:dyDescent="0.2">
      <c r="A5883" t="str">
        <f>"20200111153545351"</f>
        <v>20200111153545351</v>
      </c>
      <c r="B5883" t="str">
        <f>"1578728145341804"</f>
        <v>1578728145341804</v>
      </c>
      <c r="C5883" t="s">
        <v>37</v>
      </c>
      <c r="D5883">
        <v>5.2673750000000004</v>
      </c>
      <c r="E5883">
        <v>0.42899939999999998</v>
      </c>
      <c r="F5883" t="s">
        <v>40</v>
      </c>
      <c r="G5883">
        <v>-220.7689</v>
      </c>
      <c r="H5883">
        <v>1.0228729999999999</v>
      </c>
      <c r="I5883">
        <v>-63.271250000000002</v>
      </c>
      <c r="J5883">
        <v>-221.59030000000001</v>
      </c>
      <c r="K5883">
        <v>1.105391</v>
      </c>
      <c r="L5883">
        <v>-63.797240000000002</v>
      </c>
      <c r="M5883">
        <v>0.99959089999999995</v>
      </c>
      <c r="N5883">
        <v>0</v>
      </c>
      <c r="O5883">
        <v>-2.0419380000000001E-2</v>
      </c>
      <c r="P5883">
        <v>0.95352000000000003</v>
      </c>
      <c r="Q5883">
        <v>-3.4298479999999999E-2</v>
      </c>
      <c r="R5883">
        <v>0.29937170000000002</v>
      </c>
      <c r="S5883">
        <v>2.6857759999999899</v>
      </c>
      <c r="T5883">
        <v>-0.2271445</v>
      </c>
      <c r="U5883">
        <v>1.4417420000000001</v>
      </c>
      <c r="V5883">
        <v>-0.31877939999999999</v>
      </c>
      <c r="W5883">
        <v>-1.5402249999999999E-2</v>
      </c>
      <c r="X5883">
        <v>0.94770379999999999</v>
      </c>
      <c r="Y5883">
        <v>-0.48944769999999999</v>
      </c>
      <c r="Z5883">
        <v>2.0977760000000002E-2</v>
      </c>
      <c r="AA5883">
        <v>0.87178029999999995</v>
      </c>
      <c r="AB5883">
        <v>33</v>
      </c>
      <c r="AC5883">
        <v>0.82140000000001101</v>
      </c>
      <c r="AD5883">
        <v>-8.2517999999999994E-2</v>
      </c>
      <c r="AE5883">
        <v>0.52598999999999996</v>
      </c>
      <c r="AF5883">
        <v>-0.53879976509822802</v>
      </c>
      <c r="AG5883">
        <v>-8.2517999999999994E-2</v>
      </c>
      <c r="AH5883">
        <v>0.80472643622441198</v>
      </c>
      <c r="AI5883">
        <v>94.870210038156401</v>
      </c>
      <c r="AJ5883">
        <v>123.8040495979</v>
      </c>
      <c r="AK5883">
        <v>0.97195629755269797</v>
      </c>
    </row>
    <row r="5884" spans="1:37" x14ac:dyDescent="0.2">
      <c r="A5884" t="str">
        <f>"20200111153545364"</f>
        <v>20200111153545364</v>
      </c>
      <c r="B5884" t="str">
        <f>"1578728145351564"</f>
        <v>1578728145351564</v>
      </c>
      <c r="C5884" t="s">
        <v>37</v>
      </c>
      <c r="D5884">
        <v>5.2184160000000004</v>
      </c>
      <c r="E5884">
        <v>0.42899939999999998</v>
      </c>
      <c r="F5884" t="s">
        <v>40</v>
      </c>
      <c r="G5884">
        <v>-220.75309999999999</v>
      </c>
      <c r="H5884">
        <v>1.0355159999999901</v>
      </c>
      <c r="I5884">
        <v>-63.35239</v>
      </c>
      <c r="J5884">
        <v>-221.41069999999999</v>
      </c>
      <c r="K5884">
        <v>1.105521</v>
      </c>
      <c r="L5884">
        <v>-63.800690000000003</v>
      </c>
      <c r="M5884">
        <v>0.99959779999999998</v>
      </c>
      <c r="N5884">
        <v>0</v>
      </c>
      <c r="O5884">
        <v>-2.0094750000000001E-2</v>
      </c>
      <c r="P5884">
        <v>0.95345299999999999</v>
      </c>
      <c r="Q5884">
        <v>-3.3941649999999997E-2</v>
      </c>
      <c r="R5884">
        <v>0.29962549999999999</v>
      </c>
      <c r="S5884">
        <v>2.6894529999999999</v>
      </c>
      <c r="T5884">
        <v>-0.22446099999999999</v>
      </c>
      <c r="U5884">
        <v>1.4291689999999999</v>
      </c>
      <c r="V5884">
        <v>-0.31871959999999999</v>
      </c>
      <c r="W5884">
        <v>-1.516609E-2</v>
      </c>
      <c r="X5884">
        <v>0.94772769999999995</v>
      </c>
      <c r="Y5884">
        <v>-0.48553549999999901</v>
      </c>
      <c r="Z5884">
        <v>2.054866E-2</v>
      </c>
      <c r="AA5884">
        <v>0.87397539999999996</v>
      </c>
      <c r="AB5884">
        <v>33</v>
      </c>
      <c r="AC5884">
        <v>0.65760000000000196</v>
      </c>
      <c r="AD5884">
        <v>-7.0005000000000095E-2</v>
      </c>
      <c r="AE5884">
        <v>0.44830000000000297</v>
      </c>
      <c r="AF5884">
        <v>-0.45788374932415599</v>
      </c>
      <c r="AG5884">
        <v>-7.0005000000000095E-2</v>
      </c>
      <c r="AH5884">
        <v>0.64347829026502601</v>
      </c>
      <c r="AI5884">
        <v>95.065503584825095</v>
      </c>
      <c r="AJ5884">
        <v>125.434744314043</v>
      </c>
      <c r="AK5884">
        <v>0.79285719897251805</v>
      </c>
    </row>
    <row r="5885" spans="1:37" x14ac:dyDescent="0.2">
      <c r="A5885" t="str">
        <f>"20200111153545374"</f>
        <v>20200111153545374</v>
      </c>
      <c r="B5885" t="str">
        <f>"1578728145371083"</f>
        <v>1578728145371083</v>
      </c>
      <c r="C5885" t="s">
        <v>37</v>
      </c>
      <c r="D5885">
        <v>5.3517589999999897</v>
      </c>
      <c r="E5885">
        <v>0.53496889999999997</v>
      </c>
      <c r="F5885" t="s">
        <v>40</v>
      </c>
      <c r="G5885">
        <v>-220.47399999999999</v>
      </c>
      <c r="H5885">
        <v>1.0279399999999901</v>
      </c>
      <c r="I5885">
        <v>-63.302759999999999</v>
      </c>
      <c r="J5885">
        <v>-221.23689999999999</v>
      </c>
      <c r="K5885">
        <v>1.1056549999999901</v>
      </c>
      <c r="L5885">
        <v>-63.80386</v>
      </c>
      <c r="M5885">
        <v>0.99960640000000001</v>
      </c>
      <c r="N5885">
        <v>0</v>
      </c>
      <c r="O5885">
        <v>-1.9685950000000001E-2</v>
      </c>
      <c r="P5885">
        <v>0.95331929999999998</v>
      </c>
      <c r="Q5885">
        <v>-3.3981450000000003E-2</v>
      </c>
      <c r="R5885">
        <v>0.30004619999999999</v>
      </c>
      <c r="S5885">
        <v>2.689117</v>
      </c>
      <c r="T5885">
        <v>-0.2227314</v>
      </c>
      <c r="U5885">
        <v>1.4300539999999999</v>
      </c>
      <c r="V5885">
        <v>-0.318745</v>
      </c>
      <c r="W5885">
        <v>-1.532856E-2</v>
      </c>
      <c r="X5885">
        <v>0.94771649999999996</v>
      </c>
      <c r="Y5885">
        <v>-0.48547010000000002</v>
      </c>
      <c r="Z5885">
        <v>2.0357219999999999E-2</v>
      </c>
      <c r="AA5885">
        <v>0.87401620000000002</v>
      </c>
      <c r="AB5885">
        <v>33</v>
      </c>
      <c r="AC5885">
        <v>0.76289999999997304</v>
      </c>
      <c r="AD5885">
        <v>-7.7714999999999895E-2</v>
      </c>
      <c r="AE5885">
        <v>0.50110000000000099</v>
      </c>
      <c r="AF5885">
        <v>-0.512310312953008</v>
      </c>
      <c r="AG5885">
        <v>-7.7714999999999895E-2</v>
      </c>
      <c r="AH5885">
        <v>0.74746679783071301</v>
      </c>
      <c r="AI5885">
        <v>94.9017368964724</v>
      </c>
      <c r="AJ5885">
        <v>124.426560486984</v>
      </c>
      <c r="AK5885">
        <v>0.90950980854650998</v>
      </c>
    </row>
    <row r="5886" spans="1:37" x14ac:dyDescent="0.2">
      <c r="A5886" t="str">
        <f>"20200111153545385"</f>
        <v>20200111153545385</v>
      </c>
      <c r="B5886" t="str">
        <f>"1578728145380976"</f>
        <v>1578728145380976</v>
      </c>
      <c r="C5886" t="s">
        <v>37</v>
      </c>
      <c r="D5886">
        <v>5.273733</v>
      </c>
      <c r="E5886">
        <v>0.54765769999999903</v>
      </c>
      <c r="F5886" t="s">
        <v>65</v>
      </c>
      <c r="G5886">
        <v>-204.25470000000001</v>
      </c>
      <c r="H5886" s="1">
        <v>-3.5763169999999998E-6</v>
      </c>
      <c r="I5886">
        <v>-60.196300000000001</v>
      </c>
      <c r="J5886">
        <v>-221.09599999999901</v>
      </c>
      <c r="K5886">
        <v>1.105769</v>
      </c>
      <c r="L5886">
        <v>-63.806269999999998</v>
      </c>
      <c r="M5886">
        <v>0.99961480000000003</v>
      </c>
      <c r="N5886">
        <v>0</v>
      </c>
      <c r="O5886">
        <v>-1.927007E-2</v>
      </c>
      <c r="P5886">
        <v>0.95317549999999995</v>
      </c>
      <c r="Q5886">
        <v>-3.4540599999999998E-2</v>
      </c>
      <c r="R5886">
        <v>0.30043909999999902</v>
      </c>
      <c r="S5886">
        <v>2.9432529999999999</v>
      </c>
      <c r="T5886">
        <v>-0.19162699999999999</v>
      </c>
      <c r="U5886">
        <v>0.62524409999999997</v>
      </c>
      <c r="V5886">
        <v>-0.31873579999999901</v>
      </c>
      <c r="W5886">
        <v>-1.59902E-2</v>
      </c>
      <c r="X5886">
        <v>0.94770869999999996</v>
      </c>
      <c r="Y5886">
        <v>-0.22611300000000001</v>
      </c>
      <c r="Z5886">
        <v>8.5124509999999903E-3</v>
      </c>
      <c r="AA5886">
        <v>0.97406389999999998</v>
      </c>
      <c r="AB5886">
        <v>33</v>
      </c>
      <c r="AC5886">
        <v>16.841299999999901</v>
      </c>
      <c r="AD5886">
        <v>-1.1057725763170001</v>
      </c>
      <c r="AE5886">
        <v>3.6099699999999899</v>
      </c>
      <c r="AF5886">
        <v>-3.9177496145992801</v>
      </c>
      <c r="AG5886">
        <v>-1.1057725763170001</v>
      </c>
      <c r="AH5886">
        <v>16.699762795527299</v>
      </c>
      <c r="AI5886">
        <v>93.688449438166899</v>
      </c>
      <c r="AJ5886">
        <v>103.202782447215</v>
      </c>
      <c r="AK5886">
        <v>17.188762970618502</v>
      </c>
    </row>
    <row r="5887" spans="1:37" x14ac:dyDescent="0.2">
      <c r="A5887" t="str">
        <f>"20200111153545396"</f>
        <v>20200111153545396</v>
      </c>
      <c r="B5887" t="str">
        <f>"1578728145391712"</f>
        <v>1578728145391712</v>
      </c>
      <c r="C5887" t="s">
        <v>37</v>
      </c>
      <c r="D5887">
        <v>5.320316</v>
      </c>
      <c r="E5887">
        <v>0.55454009999999998</v>
      </c>
      <c r="F5887" t="s">
        <v>65</v>
      </c>
      <c r="G5887">
        <v>-202.10830000000001</v>
      </c>
      <c r="H5887" s="1">
        <v>-4.6301400000000002E-6</v>
      </c>
      <c r="I5887">
        <v>-60.412840000000003</v>
      </c>
      <c r="J5887">
        <v>-220.9307</v>
      </c>
      <c r="K5887">
        <v>1.105901</v>
      </c>
      <c r="L5887">
        <v>-63.809019999999997</v>
      </c>
      <c r="M5887">
        <v>0.99962530000000005</v>
      </c>
      <c r="N5887">
        <v>0</v>
      </c>
      <c r="O5887">
        <v>-1.87295E-2</v>
      </c>
      <c r="P5887">
        <v>0.95300879999999999</v>
      </c>
      <c r="Q5887">
        <v>-3.5138530000000001E-2</v>
      </c>
      <c r="R5887">
        <v>0.30089759999999999</v>
      </c>
      <c r="S5887">
        <v>2.97358699999999</v>
      </c>
      <c r="T5887">
        <v>-0.17317089999999999</v>
      </c>
      <c r="U5887">
        <v>0.53143309999999999</v>
      </c>
      <c r="V5887">
        <v>-0.31867289999999998</v>
      </c>
      <c r="W5887">
        <v>-1.670986E-2</v>
      </c>
      <c r="X5887">
        <v>0.94771749999999899</v>
      </c>
      <c r="Y5887">
        <v>-0.19399089999999999</v>
      </c>
      <c r="Z5887">
        <v>6.6815190000000003E-3</v>
      </c>
      <c r="AA5887">
        <v>0.98098059999999998</v>
      </c>
      <c r="AB5887">
        <v>32</v>
      </c>
      <c r="AC5887">
        <v>18.822399999999899</v>
      </c>
      <c r="AD5887">
        <v>-1.1059056301400001</v>
      </c>
      <c r="AE5887">
        <v>3.39617999999999</v>
      </c>
      <c r="AF5887">
        <v>-3.7356989475044098</v>
      </c>
      <c r="AG5887">
        <v>-1.1059056301400001</v>
      </c>
      <c r="AH5887">
        <v>18.692979738596801</v>
      </c>
      <c r="AI5887">
        <v>93.320258627334695</v>
      </c>
      <c r="AJ5887">
        <v>101.301394157982</v>
      </c>
      <c r="AK5887">
        <v>19.094658032987901</v>
      </c>
    </row>
    <row r="5888" spans="1:37" x14ac:dyDescent="0.2">
      <c r="A5888" t="str">
        <f>"20200111153545408"</f>
        <v>20200111153545408</v>
      </c>
      <c r="B5888" t="str">
        <f>"1578728145401472"</f>
        <v>1578728145401472</v>
      </c>
      <c r="C5888" t="s">
        <v>37</v>
      </c>
      <c r="D5888">
        <v>5.2569339999999896</v>
      </c>
      <c r="E5888">
        <v>0.558446</v>
      </c>
      <c r="F5888" t="s">
        <v>65</v>
      </c>
      <c r="G5888">
        <v>-201.56399999999999</v>
      </c>
      <c r="H5888" s="1">
        <v>-4.9238950000000001E-6</v>
      </c>
      <c r="I5888">
        <v>-60.695009999999897</v>
      </c>
      <c r="J5888">
        <v>-220.7723</v>
      </c>
      <c r="K5888">
        <v>1.1060399999999999</v>
      </c>
      <c r="L5888">
        <v>-63.811369999999997</v>
      </c>
      <c r="M5888">
        <v>0.99963769999999996</v>
      </c>
      <c r="N5888">
        <v>0</v>
      </c>
      <c r="O5888">
        <v>-1.807916E-2</v>
      </c>
      <c r="P5888">
        <v>0.95275239999999894</v>
      </c>
      <c r="Q5888">
        <v>-3.5543350000000001E-2</v>
      </c>
      <c r="R5888">
        <v>0.30166149999999903</v>
      </c>
      <c r="S5888">
        <v>2.9898530000000001</v>
      </c>
      <c r="T5888">
        <v>-0.17073039999999901</v>
      </c>
      <c r="U5888">
        <v>0.48074339999999999</v>
      </c>
      <c r="V5888">
        <v>-0.31880920000000001</v>
      </c>
      <c r="W5888">
        <v>-1.723831E-2</v>
      </c>
      <c r="X5888">
        <v>0.94766219999999901</v>
      </c>
      <c r="Y5888">
        <v>-0.17627119999999999</v>
      </c>
      <c r="Z5888">
        <v>6.0222239999999996E-3</v>
      </c>
      <c r="AA5888">
        <v>0.98432319999999995</v>
      </c>
      <c r="AB5888">
        <v>32</v>
      </c>
      <c r="AC5888">
        <v>19.208299999999898</v>
      </c>
      <c r="AD5888">
        <v>-1.1060449238950001</v>
      </c>
      <c r="AE5888">
        <v>3.1163599999999998</v>
      </c>
      <c r="AF5888">
        <v>-3.4520372699926001</v>
      </c>
      <c r="AG5888">
        <v>-1.1060449238950001</v>
      </c>
      <c r="AH5888">
        <v>19.087143892141</v>
      </c>
      <c r="AI5888">
        <v>93.263588540907307</v>
      </c>
      <c r="AJ5888">
        <v>100.25150974615801</v>
      </c>
      <c r="AK5888">
        <v>19.4283030305373</v>
      </c>
    </row>
    <row r="5889" spans="1:37" x14ac:dyDescent="0.2">
      <c r="A5889" t="str">
        <f>"20200111153545418"</f>
        <v>20200111153545418</v>
      </c>
      <c r="B5889" t="str">
        <f>"1578728145411232"</f>
        <v>1578728145411232</v>
      </c>
      <c r="C5889" t="s">
        <v>37</v>
      </c>
      <c r="D5889">
        <v>5.2578629999999897</v>
      </c>
      <c r="E5889">
        <v>0.55971800000000005</v>
      </c>
      <c r="F5889" t="s">
        <v>65</v>
      </c>
      <c r="G5889">
        <v>-200.8698</v>
      </c>
      <c r="H5889" s="1">
        <v>-5.2836539999999999E-6</v>
      </c>
      <c r="I5889">
        <v>-60.799889999999998</v>
      </c>
      <c r="J5889">
        <v>-220.61789999999999</v>
      </c>
      <c r="K5889">
        <v>1.106177</v>
      </c>
      <c r="L5889">
        <v>-63.813630000000003</v>
      </c>
      <c r="M5889">
        <v>0.99964969999999997</v>
      </c>
      <c r="N5889">
        <v>0</v>
      </c>
      <c r="O5889">
        <v>-1.741318E-2</v>
      </c>
      <c r="P5889">
        <v>0.95247630000000005</v>
      </c>
      <c r="Q5889">
        <v>-3.5392750000000001E-2</v>
      </c>
      <c r="R5889">
        <v>0.30254979999999998</v>
      </c>
      <c r="S5889">
        <v>2.9988709999999998</v>
      </c>
      <c r="T5889">
        <v>-0.166657</v>
      </c>
      <c r="U5889">
        <v>0.4537659</v>
      </c>
      <c r="V5889">
        <v>-0.31905600000000001</v>
      </c>
      <c r="W5889">
        <v>-1.7210489999999998E-2</v>
      </c>
      <c r="X5889">
        <v>0.94757959999999997</v>
      </c>
      <c r="Y5889">
        <v>-0.1665295</v>
      </c>
      <c r="Z5889">
        <v>5.5595899999999997E-3</v>
      </c>
      <c r="AA5889">
        <v>0.98602080000000003</v>
      </c>
      <c r="AB5889">
        <v>32</v>
      </c>
      <c r="AC5889">
        <v>19.748099999999901</v>
      </c>
      <c r="AD5889">
        <v>-1.1061822836540001</v>
      </c>
      <c r="AE5889">
        <v>3.0137399999999901</v>
      </c>
      <c r="AF5889">
        <v>-3.3469658614850402</v>
      </c>
      <c r="AG5889">
        <v>-1.1061822836540001</v>
      </c>
      <c r="AH5889">
        <v>19.632417921737002</v>
      </c>
      <c r="AI5889">
        <v>93.179130396326201</v>
      </c>
      <c r="AJ5889">
        <v>99.674861323264693</v>
      </c>
      <c r="AK5889">
        <v>19.946369423440402</v>
      </c>
    </row>
    <row r="5890" spans="1:37" x14ac:dyDescent="0.2">
      <c r="A5890" t="str">
        <f>"20200111153545429"</f>
        <v>20200111153545429</v>
      </c>
      <c r="B5890" t="str">
        <f>"1578728145421968"</f>
        <v>1578728145421968</v>
      </c>
      <c r="C5890" t="s">
        <v>37</v>
      </c>
      <c r="D5890">
        <v>5.1958789999999997</v>
      </c>
      <c r="E5890">
        <v>0.56046309999999999</v>
      </c>
      <c r="F5890" t="s">
        <v>65</v>
      </c>
      <c r="G5890">
        <v>-201.17490000000001</v>
      </c>
      <c r="H5890" s="1">
        <v>-5.1352369999999999E-6</v>
      </c>
      <c r="I5890">
        <v>-60.92109</v>
      </c>
      <c r="J5890">
        <v>-220.4598</v>
      </c>
      <c r="K5890">
        <v>1.106331</v>
      </c>
      <c r="L5890">
        <v>-63.815550000000002</v>
      </c>
      <c r="M5890">
        <v>0.9996642</v>
      </c>
      <c r="N5890">
        <v>0</v>
      </c>
      <c r="O5890">
        <v>-1.6569319999999998E-2</v>
      </c>
      <c r="P5890">
        <v>0.95218340000000001</v>
      </c>
      <c r="Q5890">
        <v>-3.4995539999999999E-2</v>
      </c>
      <c r="R5890">
        <v>0.30351620000000001</v>
      </c>
      <c r="S5890">
        <v>3.0014949999999998</v>
      </c>
      <c r="T5890">
        <v>-0.17076620000000001</v>
      </c>
      <c r="U5890">
        <v>0.44653320000000002</v>
      </c>
      <c r="V5890">
        <v>-0.31921240000000001</v>
      </c>
      <c r="W5890">
        <v>-1.6941850000000001E-2</v>
      </c>
      <c r="X5890">
        <v>0.94753180000000004</v>
      </c>
      <c r="Y5890">
        <v>-0.1632381</v>
      </c>
      <c r="Z5890">
        <v>5.5517530000000004E-3</v>
      </c>
      <c r="AA5890">
        <v>0.98657109999999903</v>
      </c>
      <c r="AB5890">
        <v>32</v>
      </c>
      <c r="AC5890">
        <v>19.2849</v>
      </c>
      <c r="AD5890">
        <v>-1.106336135237</v>
      </c>
      <c r="AE5890">
        <v>2.89446</v>
      </c>
      <c r="AF5890">
        <v>-3.2033533483487799</v>
      </c>
      <c r="AG5890">
        <v>-1.106336135237</v>
      </c>
      <c r="AH5890">
        <v>19.172574231536899</v>
      </c>
      <c r="AI5890">
        <v>93.257483790676204</v>
      </c>
      <c r="AJ5890">
        <v>99.485361827091594</v>
      </c>
      <c r="AK5890">
        <v>19.469798534712702</v>
      </c>
    </row>
    <row r="5891" spans="1:37" x14ac:dyDescent="0.2">
      <c r="A5891" t="str">
        <f>"20200111153545440"</f>
        <v>20200111153545440</v>
      </c>
      <c r="B5891" t="str">
        <f>"1578728145431729"</f>
        <v>1578728145431729</v>
      </c>
      <c r="C5891" t="s">
        <v>37</v>
      </c>
      <c r="D5891">
        <v>5.2594479999999999</v>
      </c>
      <c r="E5891">
        <v>0.56097589999999997</v>
      </c>
      <c r="F5891" t="s">
        <v>65</v>
      </c>
      <c r="G5891">
        <v>-201.1567</v>
      </c>
      <c r="H5891" s="1">
        <v>-5.1469919999999998E-6</v>
      </c>
      <c r="I5891">
        <v>-60.963380000000001</v>
      </c>
      <c r="J5891">
        <v>-220.30250000000001</v>
      </c>
      <c r="K5891">
        <v>1.1064849999999999</v>
      </c>
      <c r="L5891">
        <v>-63.81738</v>
      </c>
      <c r="M5891">
        <v>0.99967870000000003</v>
      </c>
      <c r="N5891">
        <v>0</v>
      </c>
      <c r="O5891">
        <v>-1.5698839999999999E-2</v>
      </c>
      <c r="P5891">
        <v>0.95192710000000003</v>
      </c>
      <c r="Q5891">
        <v>-3.4386849999999997E-2</v>
      </c>
      <c r="R5891">
        <v>0.30438880000000001</v>
      </c>
      <c r="S5891">
        <v>3.002869</v>
      </c>
      <c r="T5891">
        <v>-0.17210610000000001</v>
      </c>
      <c r="U5891">
        <v>0.44369510000000001</v>
      </c>
      <c r="V5891">
        <v>-0.31925209999999998</v>
      </c>
      <c r="W5891">
        <v>-1.6460470000000001E-2</v>
      </c>
      <c r="X5891">
        <v>0.94752689999999995</v>
      </c>
      <c r="Y5891">
        <v>-0.16140079999999901</v>
      </c>
      <c r="Z5891">
        <v>5.4911580000000003E-3</v>
      </c>
      <c r="AA5891">
        <v>0.98687369999999996</v>
      </c>
      <c r="AB5891">
        <v>32</v>
      </c>
      <c r="AC5891">
        <v>19.145800000000001</v>
      </c>
      <c r="AD5891">
        <v>-1.1064901469920001</v>
      </c>
      <c r="AE5891">
        <v>2.8539999999999899</v>
      </c>
      <c r="AF5891">
        <v>-3.1440018013528701</v>
      </c>
      <c r="AG5891">
        <v>-1.1064901469920001</v>
      </c>
      <c r="AH5891">
        <v>19.036426513764599</v>
      </c>
      <c r="AI5891">
        <v>93.282204033227202</v>
      </c>
      <c r="AJ5891">
        <v>99.378149835897801</v>
      </c>
      <c r="AK5891">
        <v>19.3260084390507</v>
      </c>
    </row>
    <row r="5892" spans="1:37" x14ac:dyDescent="0.2">
      <c r="A5892" t="str">
        <f>"20200111153545451"</f>
        <v>20200111153545451</v>
      </c>
      <c r="B5892" t="str">
        <f>"1578728145441488"</f>
        <v>1578728145441488</v>
      </c>
      <c r="C5892" t="s">
        <v>37</v>
      </c>
      <c r="D5892">
        <v>5.28193</v>
      </c>
      <c r="E5892">
        <v>0.56155390000000005</v>
      </c>
      <c r="F5892" t="s">
        <v>65</v>
      </c>
      <c r="G5892">
        <v>-201.06870000000001</v>
      </c>
      <c r="H5892" s="1">
        <v>-5.1930530000000001E-6</v>
      </c>
      <c r="I5892">
        <v>-60.984749999999998</v>
      </c>
      <c r="J5892">
        <v>-220.1472</v>
      </c>
      <c r="K5892">
        <v>1.106641</v>
      </c>
      <c r="L5892">
        <v>-63.81888</v>
      </c>
      <c r="M5892">
        <v>0.99969399999999997</v>
      </c>
      <c r="N5892">
        <v>0</v>
      </c>
      <c r="O5892">
        <v>-1.469908E-2</v>
      </c>
      <c r="P5892">
        <v>0.95157930000000002</v>
      </c>
      <c r="Q5892">
        <v>-3.3994950000000003E-2</v>
      </c>
      <c r="R5892">
        <v>0.30551780000000001</v>
      </c>
      <c r="S5892">
        <v>3.0038149999999999</v>
      </c>
      <c r="T5892">
        <v>-0.17280509999999999</v>
      </c>
      <c r="U5892">
        <v>0.44238279999999902</v>
      </c>
      <c r="V5892">
        <v>-0.31942340000000002</v>
      </c>
      <c r="W5892">
        <v>-1.6196350000000002E-2</v>
      </c>
      <c r="X5892">
        <v>0.94747369999999898</v>
      </c>
      <c r="Y5892">
        <v>-0.1599486</v>
      </c>
      <c r="Z5892">
        <v>5.4131719999999999E-3</v>
      </c>
      <c r="AA5892">
        <v>0.9871105</v>
      </c>
      <c r="AB5892">
        <v>32</v>
      </c>
      <c r="AC5892">
        <v>19.078499999999899</v>
      </c>
      <c r="AD5892">
        <v>-1.106646193053</v>
      </c>
      <c r="AE5892">
        <v>2.83413</v>
      </c>
      <c r="AF5892">
        <v>-3.1040971584053398</v>
      </c>
      <c r="AG5892">
        <v>-1.106646193053</v>
      </c>
      <c r="AH5892">
        <v>18.972315251215601</v>
      </c>
      <c r="AI5892">
        <v>93.294547238813905</v>
      </c>
      <c r="AJ5892">
        <v>99.291945286568094</v>
      </c>
      <c r="AK5892">
        <v>19.256397143726801</v>
      </c>
    </row>
    <row r="5893" spans="1:37" x14ac:dyDescent="0.2">
      <c r="A5893" t="str">
        <f>"20200111153545462"</f>
        <v>20200111153545462</v>
      </c>
      <c r="B5893" t="str">
        <f>"1578728145451249"</f>
        <v>1578728145451249</v>
      </c>
      <c r="C5893" t="s">
        <v>37</v>
      </c>
      <c r="D5893">
        <v>5.2900179999999999</v>
      </c>
      <c r="E5893">
        <v>0.56182369999999904</v>
      </c>
      <c r="F5893" t="s">
        <v>65</v>
      </c>
      <c r="G5893">
        <v>-201.51660000000001</v>
      </c>
      <c r="H5893" s="1">
        <v>-4.9706100000000002E-6</v>
      </c>
      <c r="I5893">
        <v>-61.084400000000002</v>
      </c>
      <c r="J5893">
        <v>-219.98820000000001</v>
      </c>
      <c r="K5893">
        <v>1.1067959999999999</v>
      </c>
      <c r="L5893">
        <v>-63.820250000000001</v>
      </c>
      <c r="M5893">
        <v>0.99970949999999903</v>
      </c>
      <c r="N5893">
        <v>0</v>
      </c>
      <c r="O5893">
        <v>-1.3624870000000001E-2</v>
      </c>
      <c r="P5893">
        <v>0.95125269999999995</v>
      </c>
      <c r="Q5893">
        <v>-3.3834169999999997E-2</v>
      </c>
      <c r="R5893">
        <v>0.30655110000000002</v>
      </c>
      <c r="S5893">
        <v>3.0047000000000001</v>
      </c>
      <c r="T5893">
        <v>-0.178477</v>
      </c>
      <c r="U5893">
        <v>0.4410095</v>
      </c>
      <c r="V5893">
        <v>-0.31942900000000002</v>
      </c>
      <c r="W5893">
        <v>-1.6163009999999998E-2</v>
      </c>
      <c r="X5893">
        <v>0.94747239999999999</v>
      </c>
      <c r="Y5893">
        <v>-0.15839010000000001</v>
      </c>
      <c r="Z5893">
        <v>5.4796459999999899E-3</v>
      </c>
      <c r="AA5893">
        <v>0.98736139999999994</v>
      </c>
      <c r="AB5893">
        <v>32</v>
      </c>
      <c r="AC5893">
        <v>18.471599999999899</v>
      </c>
      <c r="AD5893">
        <v>-1.1068009706099999</v>
      </c>
      <c r="AE5893">
        <v>2.7358499999999899</v>
      </c>
      <c r="AF5893">
        <v>-2.9768604739544302</v>
      </c>
      <c r="AG5893">
        <v>-1.1068009706099999</v>
      </c>
      <c r="AH5893">
        <v>18.368070603586101</v>
      </c>
      <c r="AI5893">
        <v>93.4039824895697</v>
      </c>
      <c r="AJ5893">
        <v>99.205720996170697</v>
      </c>
      <c r="AK5893">
        <v>18.640620278527798</v>
      </c>
    </row>
    <row r="5894" spans="1:37" x14ac:dyDescent="0.2">
      <c r="A5894" t="str">
        <f>"20200111153545473"</f>
        <v>20200111153545473</v>
      </c>
      <c r="B5894" t="str">
        <f>"1578728145461986"</f>
        <v>1578728145461986</v>
      </c>
      <c r="C5894" t="s">
        <v>37</v>
      </c>
      <c r="D5894">
        <v>5.2513529999999999</v>
      </c>
      <c r="E5894">
        <v>0.56197919999999901</v>
      </c>
      <c r="F5894" t="s">
        <v>65</v>
      </c>
      <c r="G5894">
        <v>-202.04320000000001</v>
      </c>
      <c r="H5894" s="1">
        <v>-4.7080079999999999E-6</v>
      </c>
      <c r="I5894">
        <v>-61.182290000000002</v>
      </c>
      <c r="J5894">
        <v>-219.8279</v>
      </c>
      <c r="K5894">
        <v>1.106949</v>
      </c>
      <c r="L5894">
        <v>-63.821289999999998</v>
      </c>
      <c r="M5894">
        <v>0.99972510000000003</v>
      </c>
      <c r="N5894">
        <v>0</v>
      </c>
      <c r="O5894">
        <v>-1.243648E-2</v>
      </c>
      <c r="P5894">
        <v>0.95088069999999902</v>
      </c>
      <c r="Q5894">
        <v>-3.4074819999999999E-2</v>
      </c>
      <c r="R5894">
        <v>0.30767649999999902</v>
      </c>
      <c r="S5894">
        <v>3.004807</v>
      </c>
      <c r="T5894">
        <v>-0.18532799999999999</v>
      </c>
      <c r="U5894">
        <v>0.44171139999999998</v>
      </c>
      <c r="V5894">
        <v>-0.31941710000000001</v>
      </c>
      <c r="W5894">
        <v>-1.652789E-2</v>
      </c>
      <c r="X5894">
        <v>0.94747009999999898</v>
      </c>
      <c r="Y5894">
        <v>-0.1574179</v>
      </c>
      <c r="Z5894">
        <v>5.586634E-3</v>
      </c>
      <c r="AA5894">
        <v>0.98751630000000001</v>
      </c>
      <c r="AB5894">
        <v>32</v>
      </c>
      <c r="AC5894">
        <v>17.784699999999901</v>
      </c>
      <c r="AD5894">
        <v>-1.1069537080079901</v>
      </c>
      <c r="AE5894">
        <v>2.6389999999999998</v>
      </c>
      <c r="AF5894">
        <v>-2.8492183714792798</v>
      </c>
      <c r="AG5894">
        <v>-1.1069537080079901</v>
      </c>
      <c r="AH5894">
        <v>17.683466883304899</v>
      </c>
      <c r="AI5894">
        <v>93.536448297292196</v>
      </c>
      <c r="AJ5894">
        <v>99.153019219934507</v>
      </c>
      <c r="AK5894">
        <v>17.945706808398199</v>
      </c>
    </row>
    <row r="5895" spans="1:37" x14ac:dyDescent="0.2">
      <c r="A5895" t="str">
        <f>"20200111153545485"</f>
        <v>20200111153545485</v>
      </c>
      <c r="B5895" t="str">
        <f>"1578728145481505"</f>
        <v>1578728145481505</v>
      </c>
      <c r="C5895" t="s">
        <v>37</v>
      </c>
      <c r="D5895">
        <v>5.2603150000000003</v>
      </c>
      <c r="E5895">
        <v>0.56193059999999995</v>
      </c>
      <c r="F5895" t="s">
        <v>65</v>
      </c>
      <c r="G5895">
        <v>-202.5017</v>
      </c>
      <c r="H5895" s="1">
        <v>-4.4790569999999999E-6</v>
      </c>
      <c r="I5895">
        <v>-61.262809999999902</v>
      </c>
      <c r="J5895">
        <v>-219.672</v>
      </c>
      <c r="K5895">
        <v>1.107089</v>
      </c>
      <c r="L5895">
        <v>-63.822049999999997</v>
      </c>
      <c r="M5895">
        <v>0.99973989999999902</v>
      </c>
      <c r="N5895">
        <v>0</v>
      </c>
      <c r="O5895">
        <v>-1.1199799999999999E-2</v>
      </c>
      <c r="P5895">
        <v>0.95047309999999996</v>
      </c>
      <c r="Q5895">
        <v>-3.4264269999999999E-2</v>
      </c>
      <c r="R5895">
        <v>0.30891249999999998</v>
      </c>
      <c r="S5895">
        <v>3.00453199999999</v>
      </c>
      <c r="T5895">
        <v>-0.1919565</v>
      </c>
      <c r="U5895">
        <v>0.44366459999999902</v>
      </c>
      <c r="V5895">
        <v>-0.31947009999999998</v>
      </c>
      <c r="W5895">
        <v>-1.6835119999999999E-2</v>
      </c>
      <c r="X5895">
        <v>0.94744680000000003</v>
      </c>
      <c r="Y5895">
        <v>-0.1568184</v>
      </c>
      <c r="Z5895">
        <v>5.6887250000000004E-3</v>
      </c>
      <c r="AA5895">
        <v>0.98761109999999896</v>
      </c>
      <c r="AB5895">
        <v>32</v>
      </c>
      <c r="AC5895">
        <v>17.170299999999902</v>
      </c>
      <c r="AD5895">
        <v>-1.107093479057</v>
      </c>
      <c r="AE5895">
        <v>2.55924</v>
      </c>
      <c r="AF5895">
        <v>-2.7402767080464501</v>
      </c>
      <c r="AG5895">
        <v>-1.107093479057</v>
      </c>
      <c r="AH5895">
        <v>17.071126398034298</v>
      </c>
      <c r="AI5895">
        <v>93.663767264374997</v>
      </c>
      <c r="AJ5895">
        <v>99.119388483412393</v>
      </c>
      <c r="AK5895">
        <v>17.3250722626399</v>
      </c>
    </row>
    <row r="5896" spans="1:37" x14ac:dyDescent="0.2">
      <c r="A5896" t="str">
        <f>"20200111153545496"</f>
        <v>20200111153545496</v>
      </c>
      <c r="B5896" t="str">
        <f>"1578728145491264"</f>
        <v>1578728145491264</v>
      </c>
      <c r="C5896" t="s">
        <v>37</v>
      </c>
      <c r="D5896">
        <v>5.3271300000000004</v>
      </c>
      <c r="E5896">
        <v>0.56193009999999999</v>
      </c>
      <c r="F5896" t="s">
        <v>65</v>
      </c>
      <c r="G5896">
        <v>-203.20699999999999</v>
      </c>
      <c r="H5896" s="1">
        <v>-4.1259289999999999E-6</v>
      </c>
      <c r="I5896">
        <v>-61.370849999999997</v>
      </c>
      <c r="J5896">
        <v>-219.5069</v>
      </c>
      <c r="K5896">
        <v>1.1072360000000001</v>
      </c>
      <c r="L5896">
        <v>-63.822600000000001</v>
      </c>
      <c r="M5896">
        <v>0.99975460000000005</v>
      </c>
      <c r="N5896">
        <v>0</v>
      </c>
      <c r="O5896">
        <v>-9.8166030000000001E-3</v>
      </c>
      <c r="P5896">
        <v>0.94999560000000005</v>
      </c>
      <c r="Q5896">
        <v>-3.4532609999999998E-2</v>
      </c>
      <c r="R5896">
        <v>0.31034829999999902</v>
      </c>
      <c r="S5896">
        <v>3.0037229999999999</v>
      </c>
      <c r="T5896">
        <v>-0.20196789999999901</v>
      </c>
      <c r="U5896">
        <v>0.44717410000000002</v>
      </c>
      <c r="V5896">
        <v>-0.31958320000000001</v>
      </c>
      <c r="W5896">
        <v>-1.7225830000000001E-2</v>
      </c>
      <c r="X5896">
        <v>0.94740159999999995</v>
      </c>
      <c r="Y5896">
        <v>-0.15658710000000001</v>
      </c>
      <c r="Z5896">
        <v>5.885693E-3</v>
      </c>
      <c r="AA5896">
        <v>0.98764660000000004</v>
      </c>
      <c r="AB5896">
        <v>32</v>
      </c>
      <c r="AC5896">
        <v>16.299900000000001</v>
      </c>
      <c r="AD5896">
        <v>-1.1072401259289999</v>
      </c>
      <c r="AE5896">
        <v>2.4517500000000001</v>
      </c>
      <c r="AF5896">
        <v>-2.59994132450585</v>
      </c>
      <c r="AG5896">
        <v>-1.1072401259289999</v>
      </c>
      <c r="AH5896">
        <v>16.201933787686801</v>
      </c>
      <c r="AI5896">
        <v>93.8602799111096</v>
      </c>
      <c r="AJ5896">
        <v>99.116590477016302</v>
      </c>
      <c r="AK5896">
        <v>16.446529544190401</v>
      </c>
    </row>
    <row r="5897" spans="1:37" x14ac:dyDescent="0.2">
      <c r="A5897" t="str">
        <f>"20200111153545507"</f>
        <v>20200111153545507</v>
      </c>
      <c r="B5897" t="str">
        <f>"1578728145501024"</f>
        <v>1578728145501024</v>
      </c>
      <c r="C5897" t="s">
        <v>37</v>
      </c>
      <c r="D5897">
        <v>5.2871309999999996</v>
      </c>
      <c r="E5897">
        <v>0.56181840000000005</v>
      </c>
      <c r="F5897" t="s">
        <v>65</v>
      </c>
      <c r="G5897">
        <v>-203.40649999999999</v>
      </c>
      <c r="H5897" s="1">
        <v>-4.0261049999999998E-6</v>
      </c>
      <c r="I5897">
        <v>-61.401959999999903</v>
      </c>
      <c r="J5897">
        <v>-219.3458</v>
      </c>
      <c r="K5897">
        <v>1.107375</v>
      </c>
      <c r="L5897">
        <v>-63.822690000000001</v>
      </c>
      <c r="M5897">
        <v>0.99976830000000005</v>
      </c>
      <c r="N5897">
        <v>0</v>
      </c>
      <c r="O5897">
        <v>-8.3397719999999901E-3</v>
      </c>
      <c r="P5897">
        <v>0.94943369999999905</v>
      </c>
      <c r="Q5897">
        <v>-3.4545039999999999E-2</v>
      </c>
      <c r="R5897">
        <v>0.31206149999999999</v>
      </c>
      <c r="S5897">
        <v>3.0029140000000001</v>
      </c>
      <c r="T5897">
        <v>-0.20651259999999999</v>
      </c>
      <c r="U5897">
        <v>0.45147709999999902</v>
      </c>
      <c r="V5897">
        <v>-0.31988699999999998</v>
      </c>
      <c r="W5897">
        <v>-1.7359320000000001E-2</v>
      </c>
      <c r="X5897">
        <v>0.94729669999999899</v>
      </c>
      <c r="Y5897">
        <v>-0.15653789999999901</v>
      </c>
      <c r="Z5897">
        <v>5.9161869999999998E-3</v>
      </c>
      <c r="AA5897">
        <v>0.98765419999999904</v>
      </c>
      <c r="AB5897">
        <v>32</v>
      </c>
      <c r="AC5897">
        <v>15.939299999999999</v>
      </c>
      <c r="AD5897">
        <v>-1.1073790261049901</v>
      </c>
      <c r="AE5897">
        <v>2.4207299999999998</v>
      </c>
      <c r="AF5897">
        <v>-2.54161096648961</v>
      </c>
      <c r="AG5897">
        <v>-1.1073790261049901</v>
      </c>
      <c r="AH5897">
        <v>15.8438033111398</v>
      </c>
      <c r="AI5897">
        <v>93.947791234682896</v>
      </c>
      <c r="AJ5897">
        <v>99.1135557518339</v>
      </c>
      <c r="AK5897">
        <v>16.084532258493699</v>
      </c>
    </row>
    <row r="5898" spans="1:37" x14ac:dyDescent="0.2">
      <c r="A5898" t="str">
        <f>"20200111153545519"</f>
        <v>20200111153545519</v>
      </c>
      <c r="B5898" t="str">
        <f>"1578728145511760"</f>
        <v>1578728145511760</v>
      </c>
      <c r="C5898" t="s">
        <v>37</v>
      </c>
      <c r="D5898">
        <v>5.2731890000000003</v>
      </c>
      <c r="E5898">
        <v>0.56167929999999999</v>
      </c>
      <c r="F5898" t="s">
        <v>65</v>
      </c>
      <c r="G5898">
        <v>-203.52010000000001</v>
      </c>
      <c r="H5898" s="1">
        <v>-3.9687020000000003E-6</v>
      </c>
      <c r="I5898">
        <v>-61.41093</v>
      </c>
      <c r="J5898">
        <v>-219.18440000000001</v>
      </c>
      <c r="K5898">
        <v>1.1075139999999899</v>
      </c>
      <c r="L5898">
        <v>-63.822659999999999</v>
      </c>
      <c r="M5898">
        <v>0.99978009999999995</v>
      </c>
      <c r="N5898">
        <v>0</v>
      </c>
      <c r="O5898">
        <v>-6.8208089999999997E-3</v>
      </c>
      <c r="P5898">
        <v>0.94871930000000004</v>
      </c>
      <c r="Q5898">
        <v>-3.4407529999999999E-2</v>
      </c>
      <c r="R5898">
        <v>0.31424229999999997</v>
      </c>
      <c r="S5898">
        <v>3.00177</v>
      </c>
      <c r="T5898">
        <v>-0.21004519999999999</v>
      </c>
      <c r="U5898">
        <v>0.45745849999999999</v>
      </c>
      <c r="V5898">
        <v>-0.32061869999999998</v>
      </c>
      <c r="W5898">
        <v>-1.7348510000000001E-2</v>
      </c>
      <c r="X5898">
        <v>0.94704949999999999</v>
      </c>
      <c r="Y5898">
        <v>-0.15700600000000001</v>
      </c>
      <c r="Z5898">
        <v>5.9291869999999998E-3</v>
      </c>
      <c r="AA5898">
        <v>0.98757980000000001</v>
      </c>
      <c r="AB5898">
        <v>32</v>
      </c>
      <c r="AC5898">
        <v>15.6642999999999</v>
      </c>
      <c r="AD5898">
        <v>-1.10751796870199</v>
      </c>
      <c r="AE5898">
        <v>2.4117299999999902</v>
      </c>
      <c r="AF5898">
        <v>-2.50629931717376</v>
      </c>
      <c r="AG5898">
        <v>-1.10751796870199</v>
      </c>
      <c r="AH5898">
        <v>15.5714437539824</v>
      </c>
      <c r="AI5898">
        <v>94.016782655166494</v>
      </c>
      <c r="AJ5898">
        <v>99.143611972879299</v>
      </c>
      <c r="AK5898">
        <v>15.8106923599727</v>
      </c>
    </row>
    <row r="5899" spans="1:37" x14ac:dyDescent="0.2">
      <c r="A5899" t="str">
        <f>"20200111153545530"</f>
        <v>20200111153545530</v>
      </c>
      <c r="B5899" t="str">
        <f>"1578728145521521"</f>
        <v>1578728145521521</v>
      </c>
      <c r="C5899" t="s">
        <v>37</v>
      </c>
      <c r="D5899">
        <v>5.2858890000000001</v>
      </c>
      <c r="E5899">
        <v>0.56152360000000001</v>
      </c>
      <c r="F5899" t="s">
        <v>65</v>
      </c>
      <c r="G5899">
        <v>-203.6653</v>
      </c>
      <c r="H5899" s="1">
        <v>-3.8951140000000002E-6</v>
      </c>
      <c r="I5899">
        <v>-61.417019999999901</v>
      </c>
      <c r="J5899">
        <v>-219.02719999999999</v>
      </c>
      <c r="K5899">
        <v>1.1076469999999901</v>
      </c>
      <c r="L5899">
        <v>-63.822109999999903</v>
      </c>
      <c r="M5899">
        <v>0.99978999999999996</v>
      </c>
      <c r="N5899">
        <v>0</v>
      </c>
      <c r="O5899">
        <v>-5.1980469999999999E-3</v>
      </c>
      <c r="P5899">
        <v>0.94799359999999999</v>
      </c>
      <c r="Q5899">
        <v>-3.4215889999999999E-2</v>
      </c>
      <c r="R5899">
        <v>0.31644470000000002</v>
      </c>
      <c r="S5899">
        <v>3.00035099999999</v>
      </c>
      <c r="T5899">
        <v>-0.2141188</v>
      </c>
      <c r="U5899">
        <v>0.4650879</v>
      </c>
      <c r="V5899">
        <v>-0.32127600000000001</v>
      </c>
      <c r="W5899">
        <v>-1.728033E-2</v>
      </c>
      <c r="X5899">
        <v>0.94682789999999994</v>
      </c>
      <c r="Y5899">
        <v>-0.1579122</v>
      </c>
      <c r="Z5899">
        <v>5.962635E-3</v>
      </c>
      <c r="AA5899">
        <v>0.98743519999999896</v>
      </c>
      <c r="AB5899">
        <v>32</v>
      </c>
      <c r="AC5899">
        <v>15.361899999999901</v>
      </c>
      <c r="AD5899">
        <v>-1.1076508951139901</v>
      </c>
      <c r="AE5899">
        <v>2.40509</v>
      </c>
      <c r="AF5899">
        <v>-2.4723788127018702</v>
      </c>
      <c r="AG5899">
        <v>-1.1076508951139901</v>
      </c>
      <c r="AH5899">
        <v>15.2716909263721</v>
      </c>
      <c r="AI5899">
        <v>94.095245872852402</v>
      </c>
      <c r="AJ5899">
        <v>99.195995371183898</v>
      </c>
      <c r="AK5899">
        <v>15.510128666441799</v>
      </c>
    </row>
    <row r="5900" spans="1:37" x14ac:dyDescent="0.2">
      <c r="A5900" t="str">
        <f>"20200111153545542"</f>
        <v>20200111153545542</v>
      </c>
      <c r="B5900" t="str">
        <f>"1578728145531281"</f>
        <v>1578728145531281</v>
      </c>
      <c r="C5900" t="s">
        <v>37</v>
      </c>
      <c r="D5900">
        <v>5.2554540000000003</v>
      </c>
      <c r="E5900">
        <v>0.56132510000000002</v>
      </c>
      <c r="F5900" t="s">
        <v>65</v>
      </c>
      <c r="G5900">
        <v>-203.7619</v>
      </c>
      <c r="H5900" s="1">
        <v>-3.8457329999999997E-6</v>
      </c>
      <c r="I5900">
        <v>-61.414700000000003</v>
      </c>
      <c r="J5900">
        <v>-218.8723</v>
      </c>
      <c r="K5900">
        <v>1.1077790000000001</v>
      </c>
      <c r="L5900">
        <v>-63.821379999999998</v>
      </c>
      <c r="M5900">
        <v>0.99979739999999995</v>
      </c>
      <c r="N5900">
        <v>0</v>
      </c>
      <c r="O5900">
        <v>-3.56574E-3</v>
      </c>
      <c r="P5900">
        <v>0.94718279999999999</v>
      </c>
      <c r="Q5900">
        <v>-3.3983670000000001E-2</v>
      </c>
      <c r="R5900">
        <v>0.31888850000000002</v>
      </c>
      <c r="S5900">
        <v>2.99884</v>
      </c>
      <c r="T5900">
        <v>-0.2175957</v>
      </c>
      <c r="U5900">
        <v>0.47293089999999999</v>
      </c>
      <c r="V5900">
        <v>-0.32216729999999999</v>
      </c>
      <c r="W5900">
        <v>-1.717221E-2</v>
      </c>
      <c r="X5900">
        <v>0.94652700000000001</v>
      </c>
      <c r="Y5900">
        <v>-0.15888440000000001</v>
      </c>
      <c r="Z5900">
        <v>5.9784139999999996E-3</v>
      </c>
      <c r="AA5900">
        <v>0.98727909999999997</v>
      </c>
      <c r="AB5900">
        <v>32</v>
      </c>
      <c r="AC5900">
        <v>15.110399999999901</v>
      </c>
      <c r="AD5900">
        <v>-1.1077828457329999</v>
      </c>
      <c r="AE5900">
        <v>2.4066800000000002</v>
      </c>
      <c r="AF5900">
        <v>-2.44772462767747</v>
      </c>
      <c r="AG5900">
        <v>-1.1077828457329999</v>
      </c>
      <c r="AH5900">
        <v>15.022973709748101</v>
      </c>
      <c r="AI5900">
        <v>94.162621515208698</v>
      </c>
      <c r="AJ5900">
        <v>99.254005064122794</v>
      </c>
      <c r="AK5900">
        <v>15.2613327651953</v>
      </c>
    </row>
    <row r="5901" spans="1:37" x14ac:dyDescent="0.2">
      <c r="A5901" t="str">
        <f>"20200111153545553"</f>
        <v>20200111153545553</v>
      </c>
      <c r="B5901" t="str">
        <f>"1578728145541040"</f>
        <v>1578728145541040</v>
      </c>
      <c r="C5901" t="s">
        <v>37</v>
      </c>
      <c r="D5901">
        <v>5.2839720000000003</v>
      </c>
      <c r="E5901">
        <v>0.56116350000000004</v>
      </c>
      <c r="F5901" t="s">
        <v>65</v>
      </c>
      <c r="G5901">
        <v>-203.8013</v>
      </c>
      <c r="H5901" s="1">
        <v>-3.8246949999999996E-6</v>
      </c>
      <c r="I5901">
        <v>-61.397969999999901</v>
      </c>
      <c r="J5901">
        <v>-218.70330000000001</v>
      </c>
      <c r="K5901">
        <v>1.107918</v>
      </c>
      <c r="L5901">
        <v>-63.820129999999999</v>
      </c>
      <c r="M5901">
        <v>0.99980259999999999</v>
      </c>
      <c r="N5901">
        <v>0</v>
      </c>
      <c r="O5901">
        <v>-1.678639E-3</v>
      </c>
      <c r="P5901">
        <v>0.946287199999999</v>
      </c>
      <c r="Q5901">
        <v>-3.3330489999999997E-2</v>
      </c>
      <c r="R5901">
        <v>0.32160519999999998</v>
      </c>
      <c r="S5901">
        <v>2.9971160000000001</v>
      </c>
      <c r="T5901">
        <v>-0.2203001</v>
      </c>
      <c r="U5901">
        <v>0.48193359999999902</v>
      </c>
      <c r="V5901">
        <v>-0.3230943</v>
      </c>
      <c r="W5901">
        <v>-1.6650169999999999E-2</v>
      </c>
      <c r="X5901">
        <v>0.94622030000000001</v>
      </c>
      <c r="Y5901">
        <v>-0.159992</v>
      </c>
      <c r="Z5901">
        <v>5.9572480000000001E-3</v>
      </c>
      <c r="AA5901">
        <v>0.98710030000000004</v>
      </c>
      <c r="AB5901">
        <v>31</v>
      </c>
      <c r="AC5901">
        <v>14.901999999999999</v>
      </c>
      <c r="AD5901">
        <v>-1.107921824695</v>
      </c>
      <c r="AE5901">
        <v>2.4221600000000101</v>
      </c>
      <c r="AF5901">
        <v>-2.4340685439236101</v>
      </c>
      <c r="AG5901">
        <v>-1.107921824695</v>
      </c>
      <c r="AH5901">
        <v>14.8181132867165</v>
      </c>
      <c r="AI5901">
        <v>94.219599093457703</v>
      </c>
      <c r="AJ5901">
        <v>99.328275423860703</v>
      </c>
      <c r="AK5901">
        <v>15.057511807205</v>
      </c>
    </row>
    <row r="5902" spans="1:37" x14ac:dyDescent="0.2">
      <c r="A5902" t="str">
        <f>"20200111153545569"</f>
        <v>20200111153545569</v>
      </c>
      <c r="B5902" t="str">
        <f>"1578728145561538"</f>
        <v>1578728145561538</v>
      </c>
      <c r="C5902" t="s">
        <v>37</v>
      </c>
      <c r="D5902">
        <v>5.2772069999999998</v>
      </c>
      <c r="E5902">
        <v>0.56084659999999997</v>
      </c>
      <c r="F5902" t="s">
        <v>65</v>
      </c>
      <c r="G5902">
        <v>-203.726</v>
      </c>
      <c r="H5902" s="1">
        <v>-3.860933E-6</v>
      </c>
      <c r="I5902">
        <v>-61.361730000000001</v>
      </c>
      <c r="J5902">
        <v>-218.49529999999999</v>
      </c>
      <c r="K5902">
        <v>1.1080909999999999</v>
      </c>
      <c r="L5902">
        <v>-63.818019999999997</v>
      </c>
      <c r="M5902">
        <v>0.99980409999999997</v>
      </c>
      <c r="N5902">
        <v>0</v>
      </c>
      <c r="O5902">
        <v>7.5720869999999904E-4</v>
      </c>
      <c r="P5902">
        <v>0.94524039999999998</v>
      </c>
      <c r="Q5902">
        <v>-3.295468E-2</v>
      </c>
      <c r="R5902">
        <v>0.3247063</v>
      </c>
      <c r="S5902">
        <v>2.9953919999999998</v>
      </c>
      <c r="T5902">
        <v>-0.22157929999999901</v>
      </c>
      <c r="U5902">
        <v>0.49166870000000001</v>
      </c>
      <c r="V5902">
        <v>-0.32388719999999999</v>
      </c>
      <c r="W5902">
        <v>-1.642737E-2</v>
      </c>
      <c r="X5902">
        <v>0.94595309999999899</v>
      </c>
      <c r="Y5902">
        <v>-0.160801</v>
      </c>
      <c r="Z5902">
        <v>5.8444909999999899E-3</v>
      </c>
      <c r="AA5902">
        <v>0.98696949999999894</v>
      </c>
      <c r="AB5902">
        <v>31</v>
      </c>
      <c r="AC5902">
        <v>14.7692999999999</v>
      </c>
      <c r="AD5902">
        <v>-1.1080948609329999</v>
      </c>
      <c r="AE5902">
        <v>2.4562899999999899</v>
      </c>
      <c r="AF5902">
        <v>-2.4317834924217898</v>
      </c>
      <c r="AG5902">
        <v>-1.1080948609329999</v>
      </c>
      <c r="AH5902">
        <v>14.6906873379533</v>
      </c>
      <c r="AI5902">
        <v>94.255863880131599</v>
      </c>
      <c r="AJ5902">
        <v>99.399073651000506</v>
      </c>
      <c r="AK5902">
        <v>14.931769474390601</v>
      </c>
    </row>
    <row r="5903" spans="1:37" x14ac:dyDescent="0.2">
      <c r="A5903" t="str">
        <f>"20200111153545581"</f>
        <v>20200111153545581</v>
      </c>
      <c r="B5903" t="str">
        <f>"1578728145571297"</f>
        <v>1578728145571297</v>
      </c>
      <c r="C5903" t="s">
        <v>37</v>
      </c>
      <c r="D5903">
        <v>5.2773599999999998</v>
      </c>
      <c r="E5903">
        <v>0.56068339999999905</v>
      </c>
      <c r="F5903" t="s">
        <v>65</v>
      </c>
      <c r="G5903">
        <v>-203.79750000000001</v>
      </c>
      <c r="H5903" s="1">
        <v>-3.8235279999999998E-6</v>
      </c>
      <c r="I5903">
        <v>-61.344769999999997</v>
      </c>
      <c r="J5903">
        <v>-218.3272</v>
      </c>
      <c r="K5903">
        <v>1.108223</v>
      </c>
      <c r="L5903">
        <v>-63.815950000000001</v>
      </c>
      <c r="M5903">
        <v>0.99980069999999999</v>
      </c>
      <c r="N5903">
        <v>0</v>
      </c>
      <c r="O5903">
        <v>2.7961609999999902E-3</v>
      </c>
      <c r="P5903">
        <v>0.94437159999999998</v>
      </c>
      <c r="Q5903">
        <v>-3.2241529999999997E-2</v>
      </c>
      <c r="R5903">
        <v>0.32729580000000003</v>
      </c>
      <c r="S5903">
        <v>2.9929349999999899</v>
      </c>
      <c r="T5903">
        <v>-0.22564279999999901</v>
      </c>
      <c r="U5903">
        <v>0.50363159999999996</v>
      </c>
      <c r="V5903">
        <v>-0.3245497</v>
      </c>
      <c r="W5903">
        <v>-1.5835990000000001E-2</v>
      </c>
      <c r="X5903">
        <v>0.94573609999999897</v>
      </c>
      <c r="Y5903">
        <v>-0.16274059999999901</v>
      </c>
      <c r="Z5903">
        <v>5.874303E-3</v>
      </c>
      <c r="AA5903">
        <v>0.98665139999999996</v>
      </c>
      <c r="AB5903">
        <v>31</v>
      </c>
      <c r="AC5903">
        <v>14.529699999999901</v>
      </c>
      <c r="AD5903">
        <v>-1.1082268235279999</v>
      </c>
      <c r="AE5903">
        <v>2.4711799999999999</v>
      </c>
      <c r="AF5903">
        <v>-2.4168699110847802</v>
      </c>
      <c r="AG5903">
        <v>-1.1082268235279999</v>
      </c>
      <c r="AH5903">
        <v>14.4548260291433</v>
      </c>
      <c r="AI5903">
        <v>94.324394774381204</v>
      </c>
      <c r="AJ5903">
        <v>99.492140181955193</v>
      </c>
      <c r="AK5903">
        <v>14.697327049239</v>
      </c>
    </row>
    <row r="5904" spans="1:37" x14ac:dyDescent="0.2">
      <c r="A5904" t="str">
        <f>"20200111153545591"</f>
        <v>20200111153545591</v>
      </c>
      <c r="B5904" t="str">
        <f>"1578728145581056"</f>
        <v>1578728145581056</v>
      </c>
      <c r="C5904" t="s">
        <v>37</v>
      </c>
      <c r="D5904">
        <v>5.2670440000000003</v>
      </c>
      <c r="E5904">
        <v>0.56058949999999996</v>
      </c>
      <c r="F5904" t="s">
        <v>65</v>
      </c>
      <c r="G5904">
        <v>-203.66319999999999</v>
      </c>
      <c r="H5904" s="1">
        <v>-3.8894219999999997E-6</v>
      </c>
      <c r="I5904">
        <v>-61.300879999999999</v>
      </c>
      <c r="J5904">
        <v>-218.1728</v>
      </c>
      <c r="K5904">
        <v>1.1083459999999901</v>
      </c>
      <c r="L5904">
        <v>-63.813479999999998</v>
      </c>
      <c r="M5904">
        <v>0.99979340000000005</v>
      </c>
      <c r="N5904">
        <v>0</v>
      </c>
      <c r="O5904">
        <v>4.7779390000000001E-3</v>
      </c>
      <c r="P5904">
        <v>0.9435074</v>
      </c>
      <c r="Q5904">
        <v>-3.1685100000000001E-2</v>
      </c>
      <c r="R5904">
        <v>0.32983319999999999</v>
      </c>
      <c r="S5904">
        <v>2.9912109999999998</v>
      </c>
      <c r="T5904">
        <v>-0.22605929999999999</v>
      </c>
      <c r="U5904">
        <v>0.51303100000000001</v>
      </c>
      <c r="V5904">
        <v>-0.32521709999999998</v>
      </c>
      <c r="W5904">
        <v>-1.538965E-2</v>
      </c>
      <c r="X5904">
        <v>0.94551409999999902</v>
      </c>
      <c r="Y5904">
        <v>-0.163891799999999</v>
      </c>
      <c r="Z5904">
        <v>5.7815610000000002E-3</v>
      </c>
      <c r="AA5904">
        <v>0.98646139999999904</v>
      </c>
      <c r="AB5904">
        <v>31</v>
      </c>
      <c r="AC5904">
        <v>14.509600000000001</v>
      </c>
      <c r="AD5904">
        <v>-1.1083498894220001</v>
      </c>
      <c r="AE5904">
        <v>2.5125999999999902</v>
      </c>
      <c r="AF5904">
        <v>-2.4294684990572999</v>
      </c>
      <c r="AG5904">
        <v>-1.1083498894220001</v>
      </c>
      <c r="AH5904">
        <v>14.439639055382001</v>
      </c>
      <c r="AI5904">
        <v>94.328667032207306</v>
      </c>
      <c r="AJ5904">
        <v>99.5505629732274</v>
      </c>
      <c r="AK5904">
        <v>14.6844793137178</v>
      </c>
    </row>
    <row r="5905" spans="1:37" x14ac:dyDescent="0.2">
      <c r="A5905" t="str">
        <f>"20200111153545602"</f>
        <v>20200111153545602</v>
      </c>
      <c r="B5905" t="str">
        <f>"1578728145591793"</f>
        <v>1578728145591793</v>
      </c>
      <c r="C5905" t="s">
        <v>37</v>
      </c>
      <c r="D5905">
        <v>5.2700779999999998</v>
      </c>
      <c r="E5905">
        <v>0.56044169999999904</v>
      </c>
      <c r="F5905" t="s">
        <v>65</v>
      </c>
      <c r="G5905">
        <v>-203.53550000000001</v>
      </c>
      <c r="H5905" s="1">
        <v>-3.9520579999999999E-6</v>
      </c>
      <c r="I5905">
        <v>-61.258749999999999</v>
      </c>
      <c r="J5905">
        <v>-218.02670000000001</v>
      </c>
      <c r="K5905">
        <v>1.1084639999999999</v>
      </c>
      <c r="L5905">
        <v>-63.810969999999998</v>
      </c>
      <c r="M5905">
        <v>0.99978279999999997</v>
      </c>
      <c r="N5905">
        <v>0</v>
      </c>
      <c r="O5905">
        <v>6.6956289999999998E-3</v>
      </c>
      <c r="P5905">
        <v>0.94271240000000001</v>
      </c>
      <c r="Q5905">
        <v>-3.088308E-2</v>
      </c>
      <c r="R5905">
        <v>0.33217409999999897</v>
      </c>
      <c r="S5905">
        <v>2.9896090000000002</v>
      </c>
      <c r="T5905">
        <v>-0.226375299999999</v>
      </c>
      <c r="U5905">
        <v>0.52178959999999996</v>
      </c>
      <c r="V5905">
        <v>-0.32575149999999897</v>
      </c>
      <c r="W5905">
        <v>-1.469195E-2</v>
      </c>
      <c r="X5905">
        <v>0.94534130000000005</v>
      </c>
      <c r="Y5905">
        <v>-0.16489479999999901</v>
      </c>
      <c r="Z5905">
        <v>5.6849709999999996E-3</v>
      </c>
      <c r="AA5905">
        <v>0.98629469999999997</v>
      </c>
      <c r="AB5905">
        <v>31</v>
      </c>
      <c r="AC5905">
        <v>14.4911999999999</v>
      </c>
      <c r="AD5905">
        <v>-1.1084679520579901</v>
      </c>
      <c r="AE5905">
        <v>2.5522199999999899</v>
      </c>
      <c r="AF5905">
        <v>-2.4412618432972999</v>
      </c>
      <c r="AG5905">
        <v>-1.1084679520579901</v>
      </c>
      <c r="AH5905">
        <v>14.4260980271197</v>
      </c>
      <c r="AI5905">
        <v>94.332483666910093</v>
      </c>
      <c r="AJ5905">
        <v>99.604903673225806</v>
      </c>
      <c r="AK5905">
        <v>14.673130711485801</v>
      </c>
    </row>
    <row r="5906" spans="1:37" x14ac:dyDescent="0.2">
      <c r="A5906" t="str">
        <f>"20200111153545613"</f>
        <v>20200111153545613</v>
      </c>
      <c r="B5906" t="str">
        <f>"1578728145601552"</f>
        <v>1578728145601552</v>
      </c>
      <c r="C5906" t="s">
        <v>37</v>
      </c>
      <c r="D5906">
        <v>5.2205149999999998</v>
      </c>
      <c r="E5906">
        <v>0.56025480000000005</v>
      </c>
      <c r="F5906" t="s">
        <v>65</v>
      </c>
      <c r="G5906">
        <v>-203.35429999999999</v>
      </c>
      <c r="H5906" s="1">
        <v>-4.0413370000000001E-6</v>
      </c>
      <c r="I5906">
        <v>-61.20684</v>
      </c>
      <c r="J5906">
        <v>-217.87309999999999</v>
      </c>
      <c r="K5906">
        <v>1.108581</v>
      </c>
      <c r="L5906">
        <v>-63.807859999999998</v>
      </c>
      <c r="M5906">
        <v>0.99976679999999996</v>
      </c>
      <c r="N5906">
        <v>0</v>
      </c>
      <c r="O5906">
        <v>8.7907239999999998E-3</v>
      </c>
      <c r="P5906">
        <v>0.94189679999999998</v>
      </c>
      <c r="Q5906">
        <v>-2.973922E-2</v>
      </c>
      <c r="R5906">
        <v>0.33458339999999998</v>
      </c>
      <c r="S5906">
        <v>2.9880369999999998</v>
      </c>
      <c r="T5906">
        <v>-0.22574079999999999</v>
      </c>
      <c r="U5906">
        <v>0.53033450000000004</v>
      </c>
      <c r="V5906">
        <v>-0.32619169999999997</v>
      </c>
      <c r="W5906">
        <v>-1.3658180000000001E-2</v>
      </c>
      <c r="X5906">
        <v>0.94520499999999996</v>
      </c>
      <c r="Y5906">
        <v>-0.16565769999999999</v>
      </c>
      <c r="Z5906">
        <v>5.5423640000000001E-3</v>
      </c>
      <c r="AA5906">
        <v>0.98616769999999998</v>
      </c>
      <c r="AB5906">
        <v>31</v>
      </c>
      <c r="AC5906">
        <v>14.518800000000001</v>
      </c>
      <c r="AD5906">
        <v>-1.108585041337</v>
      </c>
      <c r="AE5906">
        <v>2.6010199999999899</v>
      </c>
      <c r="AF5906">
        <v>-2.4593713293558501</v>
      </c>
      <c r="AG5906">
        <v>-1.108585041337</v>
      </c>
      <c r="AH5906">
        <v>14.4594294600208</v>
      </c>
      <c r="AI5906">
        <v>94.322376926757002</v>
      </c>
      <c r="AJ5906">
        <v>99.652929828858802</v>
      </c>
      <c r="AK5906">
        <v>14.7089281879697</v>
      </c>
    </row>
    <row r="5907" spans="1:37" x14ac:dyDescent="0.2">
      <c r="A5907" t="str">
        <f>"20200111153545624"</f>
        <v>20200111153545624</v>
      </c>
      <c r="B5907" t="str">
        <f>"1578728145621072"</f>
        <v>1578728145621072</v>
      </c>
      <c r="C5907" t="s">
        <v>37</v>
      </c>
      <c r="D5907">
        <v>5.2567519999999996</v>
      </c>
      <c r="E5907">
        <v>0.55988979999999999</v>
      </c>
      <c r="F5907" t="s">
        <v>65</v>
      </c>
      <c r="G5907">
        <v>-203.1446</v>
      </c>
      <c r="H5907" s="1">
        <v>-4.1447889999999996E-6</v>
      </c>
      <c r="I5907">
        <v>-61.147569999999902</v>
      </c>
      <c r="J5907">
        <v>-217.73070000000001</v>
      </c>
      <c r="K5907">
        <v>1.1086879999999999</v>
      </c>
      <c r="L5907">
        <v>-63.804630000000003</v>
      </c>
      <c r="M5907">
        <v>0.99974779999999996</v>
      </c>
      <c r="N5907">
        <v>0</v>
      </c>
      <c r="O5907">
        <v>1.0792660000000001E-2</v>
      </c>
      <c r="P5907">
        <v>0.94107879999999999</v>
      </c>
      <c r="Q5907">
        <v>-2.886768E-2</v>
      </c>
      <c r="R5907">
        <v>0.33695340000000001</v>
      </c>
      <c r="S5907">
        <v>2.9863430000000002</v>
      </c>
      <c r="T5907">
        <v>-0.22477549999999999</v>
      </c>
      <c r="U5907">
        <v>0.53939820000000005</v>
      </c>
      <c r="V5907">
        <v>-0.32668130000000001</v>
      </c>
      <c r="W5907">
        <v>-1.289599E-2</v>
      </c>
      <c r="X5907">
        <v>0.94504650000000001</v>
      </c>
      <c r="Y5907">
        <v>-0.16668540000000001</v>
      </c>
      <c r="Z5907">
        <v>5.4094390000000003E-3</v>
      </c>
      <c r="AA5907">
        <v>0.98599530000000002</v>
      </c>
      <c r="AB5907">
        <v>31</v>
      </c>
      <c r="AC5907">
        <v>14.5861</v>
      </c>
      <c r="AD5907">
        <v>-1.1086921447889999</v>
      </c>
      <c r="AE5907">
        <v>2.65706</v>
      </c>
      <c r="AF5907">
        <v>-2.4855526563432502</v>
      </c>
      <c r="AG5907">
        <v>-1.1086921447889999</v>
      </c>
      <c r="AH5907">
        <v>14.5326659906908</v>
      </c>
      <c r="AI5907">
        <v>94.300419784229305</v>
      </c>
      <c r="AJ5907">
        <v>99.705510520757201</v>
      </c>
      <c r="AK5907">
        <v>14.785315386435</v>
      </c>
    </row>
    <row r="5908" spans="1:37" x14ac:dyDescent="0.2">
      <c r="A5908" t="str">
        <f>"20200111153545636"</f>
        <v>20200111153545636</v>
      </c>
      <c r="B5908" t="str">
        <f>"1578728145631809"</f>
        <v>1578728145631809</v>
      </c>
      <c r="C5908" t="s">
        <v>37</v>
      </c>
      <c r="D5908">
        <v>5.1798359999999999</v>
      </c>
      <c r="E5908">
        <v>0.55968969999999996</v>
      </c>
      <c r="F5908" t="s">
        <v>65</v>
      </c>
      <c r="G5908">
        <v>-203.15819999999999</v>
      </c>
      <c r="H5908" s="1">
        <v>-4.1363410000000002E-6</v>
      </c>
      <c r="I5908">
        <v>-61.121869999999902</v>
      </c>
      <c r="J5908">
        <v>-217.55850000000001</v>
      </c>
      <c r="K5908">
        <v>1.1088069999999901</v>
      </c>
      <c r="L5908">
        <v>-63.800350000000002</v>
      </c>
      <c r="M5908">
        <v>0.99971840000000001</v>
      </c>
      <c r="N5908">
        <v>0</v>
      </c>
      <c r="O5908">
        <v>1.3281060000000001E-2</v>
      </c>
      <c r="P5908">
        <v>0.94010799999999906</v>
      </c>
      <c r="Q5908">
        <v>-2.7273349999999998E-2</v>
      </c>
      <c r="R5908">
        <v>0.33978350000000002</v>
      </c>
      <c r="S5908">
        <v>2.9841609999999998</v>
      </c>
      <c r="T5908">
        <v>-0.22703870000000001</v>
      </c>
      <c r="U5908">
        <v>0.54937740000000002</v>
      </c>
      <c r="V5908">
        <v>-0.327181</v>
      </c>
      <c r="W5908">
        <v>-1.143916E-2</v>
      </c>
      <c r="X5908">
        <v>0.94489249999999902</v>
      </c>
      <c r="Y5908">
        <v>-0.1675442</v>
      </c>
      <c r="Z5908">
        <v>5.3110049999999997E-3</v>
      </c>
      <c r="AA5908">
        <v>0.98585029999999996</v>
      </c>
      <c r="AB5908">
        <v>31</v>
      </c>
      <c r="AC5908">
        <v>14.4003</v>
      </c>
      <c r="AD5908">
        <v>-1.10881113634099</v>
      </c>
      <c r="AE5908">
        <v>2.67848</v>
      </c>
      <c r="AF5908">
        <v>-2.4727848623717601</v>
      </c>
      <c r="AG5908">
        <v>-1.10881113634099</v>
      </c>
      <c r="AH5908">
        <v>14.3523615587166</v>
      </c>
      <c r="AI5908">
        <v>94.353793093744599</v>
      </c>
      <c r="AJ5908">
        <v>99.775582754263198</v>
      </c>
      <c r="AK5908">
        <v>14.605971704196</v>
      </c>
    </row>
    <row r="5909" spans="1:37" x14ac:dyDescent="0.2">
      <c r="A5909" t="str">
        <f>"20200111153545647"</f>
        <v>20200111153545647</v>
      </c>
      <c r="B5909" t="str">
        <f>"1578728145641568"</f>
        <v>1578728145641568</v>
      </c>
      <c r="C5909" t="s">
        <v>37</v>
      </c>
      <c r="D5909">
        <v>5.8777419999999996</v>
      </c>
      <c r="E5909">
        <v>0.55983709999999998</v>
      </c>
      <c r="F5909" t="s">
        <v>65</v>
      </c>
      <c r="G5909">
        <v>-202.8673</v>
      </c>
      <c r="H5909" s="1">
        <v>-4.2799570000000004E-6</v>
      </c>
      <c r="I5909">
        <v>-61.0426</v>
      </c>
      <c r="J5909">
        <v>-217.41659999999999</v>
      </c>
      <c r="K5909">
        <v>1.108905</v>
      </c>
      <c r="L5909">
        <v>-63.796259999999997</v>
      </c>
      <c r="M5909">
        <v>0.99968869999999899</v>
      </c>
      <c r="N5909">
        <v>0</v>
      </c>
      <c r="O5909">
        <v>1.54235E-2</v>
      </c>
      <c r="P5909">
        <v>0.93933480000000003</v>
      </c>
      <c r="Q5909">
        <v>-2.6157369999999999E-2</v>
      </c>
      <c r="R5909">
        <v>0.3420029</v>
      </c>
      <c r="S5909">
        <v>2.9822540000000002</v>
      </c>
      <c r="T5909">
        <v>-0.2250848</v>
      </c>
      <c r="U5909">
        <v>0.55981449999999999</v>
      </c>
      <c r="V5909">
        <v>-0.32739359999999901</v>
      </c>
      <c r="W5909">
        <v>-1.04478E-2</v>
      </c>
      <c r="X5909">
        <v>0.94483030000000001</v>
      </c>
      <c r="Y5909">
        <v>-0.16888789999999901</v>
      </c>
      <c r="Z5909">
        <v>5.1572829999999899E-3</v>
      </c>
      <c r="AA5909">
        <v>0.98562179999999999</v>
      </c>
      <c r="AB5909">
        <v>31</v>
      </c>
      <c r="AC5909">
        <v>14.549299999999899</v>
      </c>
      <c r="AD5909">
        <v>-1.1089092799569999</v>
      </c>
      <c r="AE5909">
        <v>2.7536599999999898</v>
      </c>
      <c r="AF5909">
        <v>-2.5147846280569</v>
      </c>
      <c r="AG5909">
        <v>-1.1089092799569999</v>
      </c>
      <c r="AH5909">
        <v>14.5086804295692</v>
      </c>
      <c r="AI5909">
        <v>94.306694158026701</v>
      </c>
      <c r="AJ5909">
        <v>99.833359568061894</v>
      </c>
      <c r="AK5909">
        <v>14.766706786689101</v>
      </c>
    </row>
    <row r="5910" spans="1:37" x14ac:dyDescent="0.2">
      <c r="A5910" t="str">
        <f>"20200111153545657"</f>
        <v>20200111153545657</v>
      </c>
      <c r="B5910" t="str">
        <f>"1578728145651328"</f>
        <v>1578728145651328</v>
      </c>
      <c r="C5910" t="s">
        <v>37</v>
      </c>
      <c r="D5910">
        <v>5.4229940000000001</v>
      </c>
      <c r="E5910">
        <v>0.55983709999999998</v>
      </c>
      <c r="F5910" t="s">
        <v>65</v>
      </c>
      <c r="G5910">
        <v>-202.553</v>
      </c>
      <c r="H5910" s="1">
        <v>-4.4361949999999996E-6</v>
      </c>
      <c r="I5910">
        <v>-60.975009999999997</v>
      </c>
      <c r="J5910">
        <v>-217.26769999999999</v>
      </c>
      <c r="K5910">
        <v>1.1090040000000001</v>
      </c>
      <c r="L5910">
        <v>-63.791840000000001</v>
      </c>
      <c r="M5910">
        <v>0.99965210000000004</v>
      </c>
      <c r="N5910">
        <v>0</v>
      </c>
      <c r="O5910">
        <v>1.769766E-2</v>
      </c>
      <c r="P5910">
        <v>0.93848739999999997</v>
      </c>
      <c r="Q5910">
        <v>-2.5251909999999999E-2</v>
      </c>
      <c r="R5910">
        <v>0.34438930000000001</v>
      </c>
      <c r="S5910">
        <v>2.981506</v>
      </c>
      <c r="T5910">
        <v>-0.222437</v>
      </c>
      <c r="U5910">
        <v>0.56591800000000003</v>
      </c>
      <c r="V5910">
        <v>-0.3276502</v>
      </c>
      <c r="W5910">
        <v>-9.6780960000000006E-3</v>
      </c>
      <c r="X5910">
        <v>0.94474950000000002</v>
      </c>
      <c r="Y5910">
        <v>-0.16865559999999999</v>
      </c>
      <c r="Z5910">
        <v>4.9206800000000002E-3</v>
      </c>
      <c r="AA5910">
        <v>0.98566279999999995</v>
      </c>
      <c r="AB5910">
        <v>31</v>
      </c>
      <c r="AC5910">
        <v>14.714699999999899</v>
      </c>
      <c r="AD5910">
        <v>-1.1090084361949999</v>
      </c>
      <c r="AE5910">
        <v>2.8168299999999999</v>
      </c>
      <c r="AF5910">
        <v>-2.5419943761991202</v>
      </c>
      <c r="AG5910">
        <v>-1.1090084361949999</v>
      </c>
      <c r="AH5910">
        <v>14.68180722232</v>
      </c>
      <c r="AI5910">
        <v>94.256612770041798</v>
      </c>
      <c r="AJ5910">
        <v>99.822757523124693</v>
      </c>
      <c r="AK5910">
        <v>14.9414556999493</v>
      </c>
    </row>
    <row r="5911" spans="1:37" x14ac:dyDescent="0.2">
      <c r="A5911" t="str">
        <f>"20200111153545667"</f>
        <v>20200111153545667</v>
      </c>
      <c r="B5911" t="str">
        <f>"1578728145661090"</f>
        <v>1578728145661090</v>
      </c>
      <c r="C5911" t="s">
        <v>37</v>
      </c>
      <c r="D5911">
        <v>5.4424929999999998</v>
      </c>
      <c r="E5911">
        <v>0.60182789999999997</v>
      </c>
      <c r="F5911" t="s">
        <v>65</v>
      </c>
      <c r="G5911">
        <v>-202.24270000000001</v>
      </c>
      <c r="H5911" s="1">
        <v>-4.5899629999999997E-6</v>
      </c>
      <c r="I5911">
        <v>-60.89996</v>
      </c>
      <c r="J5911">
        <v>-217.13059999999999</v>
      </c>
      <c r="K5911">
        <v>1.1090879999999901</v>
      </c>
      <c r="L5911">
        <v>-63.787140000000001</v>
      </c>
      <c r="M5911">
        <v>0.99961219999999995</v>
      </c>
      <c r="N5911">
        <v>0</v>
      </c>
      <c r="O5911">
        <v>1.9898590000000001E-2</v>
      </c>
      <c r="P5911">
        <v>0.93773799999999996</v>
      </c>
      <c r="Q5911">
        <v>-2.4326960000000002E-2</v>
      </c>
      <c r="R5911">
        <v>0.34649079999999999</v>
      </c>
      <c r="S5911">
        <v>2.9802399999999998</v>
      </c>
      <c r="T5911">
        <v>-0.21997329999999901</v>
      </c>
      <c r="U5911">
        <v>0.57360840000000002</v>
      </c>
      <c r="V5911">
        <v>-0.32769179999999998</v>
      </c>
      <c r="W5911">
        <v>-8.8972259999999994E-3</v>
      </c>
      <c r="X5911">
        <v>0.94474279999999999</v>
      </c>
      <c r="Y5911">
        <v>-0.1690297</v>
      </c>
      <c r="Z5911">
        <v>4.7202299999999997E-3</v>
      </c>
      <c r="AA5911">
        <v>0.98559959999999902</v>
      </c>
      <c r="AB5911">
        <v>31</v>
      </c>
      <c r="AC5911">
        <v>14.887899999999901</v>
      </c>
      <c r="AD5911">
        <v>-1.10909258996299</v>
      </c>
      <c r="AE5911">
        <v>2.8871799999999999</v>
      </c>
      <c r="AF5911">
        <v>-2.57652304375946</v>
      </c>
      <c r="AG5911">
        <v>-1.10909258996299</v>
      </c>
      <c r="AH5911">
        <v>14.8629179068328</v>
      </c>
      <c r="AI5911">
        <v>94.205098959504099</v>
      </c>
      <c r="AJ5911">
        <v>99.834626607807394</v>
      </c>
      <c r="AK5911">
        <v>15.125306148087899</v>
      </c>
    </row>
    <row r="5912" spans="1:37" x14ac:dyDescent="0.2">
      <c r="A5912" t="str">
        <f>"20200111153545679"</f>
        <v>20200111153545679</v>
      </c>
      <c r="B5912" t="str">
        <f>"1578728145671824"</f>
        <v>1578728145671824</v>
      </c>
      <c r="C5912" t="s">
        <v>37</v>
      </c>
      <c r="D5912">
        <v>5.4160570000000003</v>
      </c>
      <c r="E5912">
        <v>0.61028490000000002</v>
      </c>
      <c r="F5912" t="s">
        <v>40</v>
      </c>
      <c r="G5912">
        <v>-216.28579999999999</v>
      </c>
      <c r="H5912">
        <v>0.98863199999999996</v>
      </c>
      <c r="I5912">
        <v>-63.7192199999999</v>
      </c>
      <c r="J5912">
        <v>-216.9785</v>
      </c>
      <c r="K5912">
        <v>1.109181</v>
      </c>
      <c r="L5912">
        <v>-63.781829999999999</v>
      </c>
      <c r="M5912">
        <v>0.9995617</v>
      </c>
      <c r="N5912">
        <v>0</v>
      </c>
      <c r="O5912">
        <v>2.2355239999999998E-2</v>
      </c>
      <c r="P5912">
        <v>0.9369113</v>
      </c>
      <c r="Q5912">
        <v>-2.403951E-2</v>
      </c>
      <c r="R5912">
        <v>0.34873959999999998</v>
      </c>
      <c r="S5912">
        <v>3.0956730000000001</v>
      </c>
      <c r="T5912">
        <v>-0.44148729999999903</v>
      </c>
      <c r="U5912">
        <v>0.249115</v>
      </c>
      <c r="V5912">
        <v>-0.32763579999999998</v>
      </c>
      <c r="W5912">
        <v>-8.77165699999999E-3</v>
      </c>
      <c r="X5912">
        <v>0.94476340000000003</v>
      </c>
      <c r="Y5912">
        <v>-5.7551579999999998E-2</v>
      </c>
      <c r="Z5912">
        <v>9.0991499999999996E-4</v>
      </c>
      <c r="AA5912">
        <v>0.99834210000000001</v>
      </c>
      <c r="AB5912">
        <v>31</v>
      </c>
      <c r="AC5912">
        <v>0.69270000000000198</v>
      </c>
      <c r="AD5912">
        <v>-0.120549</v>
      </c>
      <c r="AE5912">
        <v>6.2610000000013599E-2</v>
      </c>
      <c r="AF5912">
        <v>-4.5732150958065099E-2</v>
      </c>
      <c r="AG5912">
        <v>-0.120549</v>
      </c>
      <c r="AH5912">
        <v>0.67368897456655896</v>
      </c>
      <c r="AI5912">
        <v>100.12224859481201</v>
      </c>
      <c r="AJ5912">
        <v>93.883461953278399</v>
      </c>
      <c r="AK5912">
        <v>0.68591568394722702</v>
      </c>
    </row>
    <row r="5913" spans="1:37" x14ac:dyDescent="0.2">
      <c r="A5913" t="str">
        <f>"20200111153545689"</f>
        <v>20200111153545689</v>
      </c>
      <c r="B5913" t="str">
        <f>"1578728145681205"</f>
        <v>1578728145681205</v>
      </c>
      <c r="C5913" t="s">
        <v>37</v>
      </c>
      <c r="D5913">
        <v>5.29169</v>
      </c>
      <c r="E5913">
        <v>0.616457699999999</v>
      </c>
      <c r="F5913" t="s">
        <v>40</v>
      </c>
      <c r="G5913">
        <v>-216.03020000000001</v>
      </c>
      <c r="H5913">
        <v>0.95650049999999898</v>
      </c>
      <c r="I5913">
        <v>-63.724669999999897</v>
      </c>
      <c r="J5913">
        <v>-216.83779999999999</v>
      </c>
      <c r="K5913">
        <v>1.1092610000000001</v>
      </c>
      <c r="L5913">
        <v>-63.776179999999997</v>
      </c>
      <c r="M5913">
        <v>0.99950740000000005</v>
      </c>
      <c r="N5913">
        <v>0</v>
      </c>
      <c r="O5913">
        <v>2.4739799999999999E-2</v>
      </c>
      <c r="P5913">
        <v>0.93618369999999995</v>
      </c>
      <c r="Q5913">
        <v>-2.3369709999999998E-2</v>
      </c>
      <c r="R5913">
        <v>0.35073369999999998</v>
      </c>
      <c r="S5913">
        <v>3.118973</v>
      </c>
      <c r="T5913">
        <v>-0.50233859999999997</v>
      </c>
      <c r="U5913">
        <v>0.188446</v>
      </c>
      <c r="V5913">
        <v>-0.32739659999999998</v>
      </c>
      <c r="W5913">
        <v>-8.264202E-3</v>
      </c>
      <c r="X5913">
        <v>0.94485090000000005</v>
      </c>
      <c r="Y5913">
        <v>-3.5453940000000003E-2</v>
      </c>
      <c r="Z5913">
        <v>-1.1209449999999999E-3</v>
      </c>
      <c r="AA5913">
        <v>0.99937069999999995</v>
      </c>
      <c r="AB5913">
        <v>31</v>
      </c>
      <c r="AC5913">
        <v>0.807599999999979</v>
      </c>
      <c r="AD5913">
        <v>-0.15276049999999999</v>
      </c>
      <c r="AE5913">
        <v>5.1510000000007397E-2</v>
      </c>
      <c r="AF5913">
        <v>-3.0426419900943202E-2</v>
      </c>
      <c r="AG5913">
        <v>-0.15276049999999999</v>
      </c>
      <c r="AH5913">
        <v>0.78080402119679004</v>
      </c>
      <c r="AI5913">
        <v>101.061625456616</v>
      </c>
      <c r="AJ5913">
        <v>92.231576417327304</v>
      </c>
      <c r="AK5913">
        <v>0.79618870684361998</v>
      </c>
    </row>
    <row r="5914" spans="1:37" x14ac:dyDescent="0.2">
      <c r="A5914" t="str">
        <f>"20200111153545699"</f>
        <v>20200111153545699</v>
      </c>
      <c r="B5914" t="str">
        <f>"1578728145691942"</f>
        <v>1578728145691942</v>
      </c>
      <c r="C5914" t="s">
        <v>37</v>
      </c>
      <c r="D5914">
        <v>5.3302069999999997</v>
      </c>
      <c r="E5914">
        <v>0.61994669999999996</v>
      </c>
      <c r="F5914" t="s">
        <v>40</v>
      </c>
      <c r="G5914">
        <v>-216.02629999999999</v>
      </c>
      <c r="H5914">
        <v>0.96494159999999995</v>
      </c>
      <c r="I5914">
        <v>-63.738889999999998</v>
      </c>
      <c r="J5914">
        <v>-216.71080000000001</v>
      </c>
      <c r="K5914">
        <v>1.1093309999999901</v>
      </c>
      <c r="L5914">
        <v>-63.771090000000001</v>
      </c>
      <c r="M5914">
        <v>0.99945339999999905</v>
      </c>
      <c r="N5914">
        <v>0</v>
      </c>
      <c r="O5914">
        <v>2.68940999999999E-2</v>
      </c>
      <c r="P5914">
        <v>0.935521099999999</v>
      </c>
      <c r="Q5914">
        <v>-2.2841259999999999E-2</v>
      </c>
      <c r="R5914">
        <v>0.35253190000000001</v>
      </c>
      <c r="S5914">
        <v>3.136368</v>
      </c>
      <c r="T5914">
        <v>-0.55799189999999999</v>
      </c>
      <c r="U5914">
        <v>0.14465329999999901</v>
      </c>
      <c r="V5914">
        <v>-0.32717829999999998</v>
      </c>
      <c r="W5914">
        <v>-7.8826739999999992E-3</v>
      </c>
      <c r="X5914">
        <v>0.94492980000000004</v>
      </c>
      <c r="Y5914">
        <v>-1.9304040000000001E-2</v>
      </c>
      <c r="Z5914">
        <v>-3.0417809999999999E-3</v>
      </c>
      <c r="AA5914">
        <v>0.99980899999999995</v>
      </c>
      <c r="AB5914">
        <v>31</v>
      </c>
      <c r="AC5914">
        <v>0.68450000000001399</v>
      </c>
      <c r="AD5914">
        <v>-0.144389399999999</v>
      </c>
      <c r="AE5914">
        <v>3.2199999999996003E-2</v>
      </c>
      <c r="AF5914">
        <v>-1.3190310294100401E-2</v>
      </c>
      <c r="AG5914">
        <v>-0.144389399999999</v>
      </c>
      <c r="AH5914">
        <v>0.65599364001446503</v>
      </c>
      <c r="AI5914">
        <v>102.41088577227301</v>
      </c>
      <c r="AJ5914">
        <v>91.151912514834095</v>
      </c>
      <c r="AK5914">
        <v>0.67182582479199304</v>
      </c>
    </row>
    <row r="5915" spans="1:37" x14ac:dyDescent="0.2">
      <c r="A5915" t="str">
        <f>"20200111153545709"</f>
        <v>20200111153545709</v>
      </c>
      <c r="B5915" t="str">
        <f>"1578728145701702"</f>
        <v>1578728145701702</v>
      </c>
      <c r="C5915" t="s">
        <v>37</v>
      </c>
      <c r="D5915">
        <v>5.3404040000000004</v>
      </c>
      <c r="E5915">
        <v>0.62103790000000003</v>
      </c>
      <c r="F5915" t="s">
        <v>40</v>
      </c>
      <c r="G5915">
        <v>-215.77080000000001</v>
      </c>
      <c r="H5915">
        <v>0.93347000000000002</v>
      </c>
      <c r="I5915">
        <v>-63.734630000000003</v>
      </c>
      <c r="J5915">
        <v>-216.56659999999999</v>
      </c>
      <c r="K5915">
        <v>1.1094059999999999</v>
      </c>
      <c r="L5915">
        <v>-63.764559999999904</v>
      </c>
      <c r="M5915">
        <v>0.99938340000000003</v>
      </c>
      <c r="N5915">
        <v>0</v>
      </c>
      <c r="O5915">
        <v>2.9446750000000001E-2</v>
      </c>
      <c r="P5915">
        <v>0.93473989999999996</v>
      </c>
      <c r="Q5915">
        <v>-2.2448550000000001E-2</v>
      </c>
      <c r="R5915">
        <v>0.3546224</v>
      </c>
      <c r="S5915">
        <v>3.1463169999999998</v>
      </c>
      <c r="T5915">
        <v>-0.5887675</v>
      </c>
      <c r="U5915">
        <v>0.1222839</v>
      </c>
      <c r="V5915">
        <v>-0.32687820000000001</v>
      </c>
      <c r="W5915">
        <v>-7.6547439999999998E-3</v>
      </c>
      <c r="X5915">
        <v>0.94503549999999903</v>
      </c>
      <c r="Y5915">
        <v>-9.7312639999999999E-3</v>
      </c>
      <c r="Z5915">
        <v>-4.558215E-3</v>
      </c>
      <c r="AA5915">
        <v>0.999942199999999</v>
      </c>
      <c r="AB5915">
        <v>31</v>
      </c>
      <c r="AC5915">
        <v>0.79579999999998496</v>
      </c>
      <c r="AD5915">
        <v>-0.17593599999999901</v>
      </c>
      <c r="AE5915">
        <v>2.9929999999993101E-2</v>
      </c>
      <c r="AF5915">
        <v>-6.1774973578690197E-3</v>
      </c>
      <c r="AG5915">
        <v>-0.17593599999999901</v>
      </c>
      <c r="AH5915">
        <v>0.75927773457198</v>
      </c>
      <c r="AI5915">
        <v>103.04563494846801</v>
      </c>
      <c r="AJ5915">
        <v>90.466149211273304</v>
      </c>
      <c r="AK5915">
        <v>0.77941921697271799</v>
      </c>
    </row>
    <row r="5916" spans="1:37" x14ac:dyDescent="0.2">
      <c r="A5916" t="str">
        <f>"20200111153545720"</f>
        <v>20200111153545720</v>
      </c>
      <c r="B5916" t="str">
        <f>"1578728145711462"</f>
        <v>1578728145711462</v>
      </c>
      <c r="C5916" t="s">
        <v>37</v>
      </c>
      <c r="D5916">
        <v>5.2874019999999904</v>
      </c>
      <c r="E5916">
        <v>0.62230620000000003</v>
      </c>
      <c r="F5916" t="s">
        <v>40</v>
      </c>
      <c r="G5916">
        <v>-215.76439999999999</v>
      </c>
      <c r="H5916">
        <v>0.94712999999999903</v>
      </c>
      <c r="I5916">
        <v>-63.734609999999897</v>
      </c>
      <c r="J5916">
        <v>-216.43</v>
      </c>
      <c r="K5916">
        <v>1.109477</v>
      </c>
      <c r="L5916">
        <v>-63.758299999999998</v>
      </c>
      <c r="M5916">
        <v>0.9993109</v>
      </c>
      <c r="N5916">
        <v>0</v>
      </c>
      <c r="O5916">
        <v>3.1873329999999998E-2</v>
      </c>
      <c r="P5916">
        <v>0.93410939999999998</v>
      </c>
      <c r="Q5916">
        <v>-2.2060469999999999E-2</v>
      </c>
      <c r="R5916">
        <v>0.35630459999999903</v>
      </c>
      <c r="S5916">
        <v>3.1494140000000002</v>
      </c>
      <c r="T5916">
        <v>-0.63715900000000003</v>
      </c>
      <c r="U5916">
        <v>0.11788940000000001</v>
      </c>
      <c r="V5916">
        <v>-0.32628570000000001</v>
      </c>
      <c r="W5916">
        <v>-7.417346E-3</v>
      </c>
      <c r="X5916">
        <v>0.94524209999999997</v>
      </c>
      <c r="Y5916">
        <v>-6.052361E-3</v>
      </c>
      <c r="Z5916">
        <v>-5.774983E-3</v>
      </c>
      <c r="AA5916">
        <v>0.99996499999999999</v>
      </c>
      <c r="AB5916">
        <v>31</v>
      </c>
      <c r="AC5916">
        <v>0.66560000000001196</v>
      </c>
      <c r="AD5916">
        <v>-0.16234699999999999</v>
      </c>
      <c r="AE5916">
        <v>2.3690000000001901E-2</v>
      </c>
      <c r="AF5916">
        <v>-2.3213062185723598E-3</v>
      </c>
      <c r="AG5916">
        <v>-0.16234699999999999</v>
      </c>
      <c r="AH5916">
        <v>0.62866349544610201</v>
      </c>
      <c r="AI5916">
        <v>104.47970605693099</v>
      </c>
      <c r="AJ5916">
        <v>90.211560629490194</v>
      </c>
      <c r="AK5916">
        <v>0.64929171208176595</v>
      </c>
    </row>
    <row r="5917" spans="1:37" x14ac:dyDescent="0.2">
      <c r="A5917" t="str">
        <f>"20200111153545730"</f>
        <v>20200111153545730</v>
      </c>
      <c r="B5917" t="str">
        <f>"1578728145721222"</f>
        <v>1578728145721222</v>
      </c>
      <c r="C5917" t="s">
        <v>37</v>
      </c>
      <c r="D5917">
        <v>5.3075650000000003</v>
      </c>
      <c r="E5917">
        <v>0.62302539999999995</v>
      </c>
      <c r="F5917" t="s">
        <v>40</v>
      </c>
      <c r="G5917">
        <v>-215.50659999999999</v>
      </c>
      <c r="H5917">
        <v>0.92181100000000005</v>
      </c>
      <c r="I5917">
        <v>-63.724939999999997</v>
      </c>
      <c r="J5917">
        <v>-216.28200000000001</v>
      </c>
      <c r="K5917">
        <v>1.10955</v>
      </c>
      <c r="L5917">
        <v>-63.75076</v>
      </c>
      <c r="M5917">
        <v>0.9992219</v>
      </c>
      <c r="N5917">
        <v>0</v>
      </c>
      <c r="O5917">
        <v>3.4606449999999997E-2</v>
      </c>
      <c r="P5917">
        <v>0.93351819999999897</v>
      </c>
      <c r="Q5917">
        <v>-2.1973409999999999E-2</v>
      </c>
      <c r="R5917">
        <v>0.35785609999999901</v>
      </c>
      <c r="S5917">
        <v>3.1529240000000001</v>
      </c>
      <c r="T5917">
        <v>-0.64090340000000001</v>
      </c>
      <c r="U5917">
        <v>0.1141968</v>
      </c>
      <c r="V5917">
        <v>-0.32526949999999999</v>
      </c>
      <c r="W5917">
        <v>-7.4805469999999997E-3</v>
      </c>
      <c r="X5917">
        <v>0.94559179999999998</v>
      </c>
      <c r="Y5917">
        <v>-2.2446160000000001E-3</v>
      </c>
      <c r="Z5917">
        <v>-6.7344900000000001E-3</v>
      </c>
      <c r="AA5917">
        <v>0.99997479999999905</v>
      </c>
      <c r="AB5917">
        <v>31</v>
      </c>
      <c r="AC5917">
        <v>0.77540000000001896</v>
      </c>
      <c r="AD5917">
        <v>-0.18773899999999999</v>
      </c>
      <c r="AE5917">
        <v>2.5819999999995898E-2</v>
      </c>
      <c r="AF5917">
        <v>9.7691229184841601E-4</v>
      </c>
      <c r="AG5917">
        <v>-0.18773899999999999</v>
      </c>
      <c r="AH5917">
        <v>0.73291220763003195</v>
      </c>
      <c r="AI5917">
        <v>104.36764934294899</v>
      </c>
      <c r="AJ5917">
        <v>89.923629436723502</v>
      </c>
      <c r="AK5917">
        <v>0.75657596483879397</v>
      </c>
    </row>
    <row r="5918" spans="1:37" x14ac:dyDescent="0.2">
      <c r="A5918" t="str">
        <f>"20200111153545741"</f>
        <v>20200111153545741</v>
      </c>
      <c r="B5918" t="str">
        <f>"1578728145731958"</f>
        <v>1578728145731958</v>
      </c>
      <c r="C5918" t="s">
        <v>37</v>
      </c>
      <c r="D5918">
        <v>5.2876320000000003</v>
      </c>
      <c r="E5918">
        <v>0.62342209999999998</v>
      </c>
      <c r="F5918" t="s">
        <v>40</v>
      </c>
      <c r="G5918">
        <v>-215.4939</v>
      </c>
      <c r="H5918">
        <v>0.94886019999999904</v>
      </c>
      <c r="I5918">
        <v>-63.72231</v>
      </c>
      <c r="J5918">
        <v>-216.13239999999999</v>
      </c>
      <c r="K5918">
        <v>1.109623</v>
      </c>
      <c r="L5918">
        <v>-63.742919999999998</v>
      </c>
      <c r="M5918">
        <v>0.99912319999999999</v>
      </c>
      <c r="N5918">
        <v>0</v>
      </c>
      <c r="O5918">
        <v>3.7401589999999998E-2</v>
      </c>
      <c r="P5918">
        <v>0.93288419999999905</v>
      </c>
      <c r="Q5918">
        <v>-2.166976E-2</v>
      </c>
      <c r="R5918">
        <v>0.35952399999999901</v>
      </c>
      <c r="S5918">
        <v>3.154709</v>
      </c>
      <c r="T5918">
        <v>-0.64330469999999995</v>
      </c>
      <c r="U5918">
        <v>0.11425779999999899</v>
      </c>
      <c r="V5918">
        <v>-0.32431470000000001</v>
      </c>
      <c r="W5918">
        <v>-7.3316309999999999E-3</v>
      </c>
      <c r="X5918">
        <v>0.94592080000000001</v>
      </c>
      <c r="Y5918">
        <v>4.3728579999999999E-4</v>
      </c>
      <c r="Z5918">
        <v>-7.5896649999999998E-3</v>
      </c>
      <c r="AA5918">
        <v>0.999971099999999</v>
      </c>
      <c r="AB5918">
        <v>31</v>
      </c>
      <c r="AC5918">
        <v>0.63849999999999296</v>
      </c>
      <c r="AD5918">
        <v>-0.16076280000000001</v>
      </c>
      <c r="AE5918">
        <v>2.06099999999978E-2</v>
      </c>
      <c r="AF5918">
        <v>3.0936528622657299E-3</v>
      </c>
      <c r="AG5918">
        <v>-0.16076280000000001</v>
      </c>
      <c r="AH5918">
        <v>0.60077790124488795</v>
      </c>
      <c r="AI5918">
        <v>104.980664075126</v>
      </c>
      <c r="AJ5918">
        <v>89.704963040026101</v>
      </c>
      <c r="AK5918">
        <v>0.62192309426172998</v>
      </c>
    </row>
    <row r="5919" spans="1:37" x14ac:dyDescent="0.2">
      <c r="A5919" t="str">
        <f>"20200111153545753"</f>
        <v>20200111153545753</v>
      </c>
      <c r="B5919" t="str">
        <f>"1578728145741718"</f>
        <v>1578728145741718</v>
      </c>
      <c r="C5919" t="s">
        <v>37</v>
      </c>
      <c r="D5919">
        <v>5.2532110000000003</v>
      </c>
      <c r="E5919">
        <v>0.62371489999999996</v>
      </c>
      <c r="F5919" t="s">
        <v>40</v>
      </c>
      <c r="G5919">
        <v>-215.2354</v>
      </c>
      <c r="H5919">
        <v>0.92666380000000004</v>
      </c>
      <c r="I5919">
        <v>-63.70964</v>
      </c>
      <c r="J5919">
        <v>-215.9752</v>
      </c>
      <c r="K5919">
        <v>1.1096950000000001</v>
      </c>
      <c r="L5919">
        <v>-63.733980000000003</v>
      </c>
      <c r="M5919">
        <v>0.99900730000000004</v>
      </c>
      <c r="N5919">
        <v>0</v>
      </c>
      <c r="O5919">
        <v>4.0434409999999997E-2</v>
      </c>
      <c r="P5919">
        <v>0.93217070000000002</v>
      </c>
      <c r="Q5919">
        <v>-2.1473849999999999E-2</v>
      </c>
      <c r="R5919">
        <v>0.36138159999999903</v>
      </c>
      <c r="S5919">
        <v>3.155716</v>
      </c>
      <c r="T5919">
        <v>-0.64373389999999997</v>
      </c>
      <c r="U5919">
        <v>0.1171875</v>
      </c>
      <c r="V5919">
        <v>-0.32332729999999998</v>
      </c>
      <c r="W5919">
        <v>-7.3034329999999998E-3</v>
      </c>
      <c r="X5919">
        <v>0.94625899999999996</v>
      </c>
      <c r="Y5919">
        <v>2.4530760000000002E-3</v>
      </c>
      <c r="Z5919">
        <v>-8.4072069999999999E-3</v>
      </c>
      <c r="AA5919">
        <v>0.99996169999999995</v>
      </c>
      <c r="AB5919">
        <v>30</v>
      </c>
      <c r="AC5919">
        <v>0.73980000000000201</v>
      </c>
      <c r="AD5919">
        <v>-0.18303120000000001</v>
      </c>
      <c r="AE5919">
        <v>2.43400000000022E-2</v>
      </c>
      <c r="AF5919">
        <v>5.27592743885507E-3</v>
      </c>
      <c r="AG5919">
        <v>-0.18303120000000001</v>
      </c>
      <c r="AH5919">
        <v>0.69752957926338099</v>
      </c>
      <c r="AI5919">
        <v>104.702498045989</v>
      </c>
      <c r="AJ5919">
        <v>89.566638290614307</v>
      </c>
      <c r="AK5919">
        <v>0.72116278989637905</v>
      </c>
    </row>
    <row r="5920" spans="1:37" x14ac:dyDescent="0.2">
      <c r="A5920" t="str">
        <f>"20200111153545764"</f>
        <v>20200111153545764</v>
      </c>
      <c r="B5920" t="str">
        <f>"1578728145751478"</f>
        <v>1578728145751478</v>
      </c>
      <c r="C5920" t="s">
        <v>37</v>
      </c>
      <c r="D5920">
        <v>5.2998370000000001</v>
      </c>
      <c r="E5920">
        <v>0.62400789999999995</v>
      </c>
      <c r="F5920" t="s">
        <v>40</v>
      </c>
      <c r="G5920">
        <v>-215.22149999999999</v>
      </c>
      <c r="H5920">
        <v>0.95595379999999996</v>
      </c>
      <c r="I5920">
        <v>-63.704990000000002</v>
      </c>
      <c r="J5920">
        <v>-215.8329</v>
      </c>
      <c r="K5920">
        <v>1.109758</v>
      </c>
      <c r="L5920">
        <v>-63.725490000000001</v>
      </c>
      <c r="M5920">
        <v>0.99889209999999995</v>
      </c>
      <c r="N5920">
        <v>0</v>
      </c>
      <c r="O5920">
        <v>4.3233029999999999E-2</v>
      </c>
      <c r="P5920">
        <v>0.93146530000000005</v>
      </c>
      <c r="Q5920">
        <v>-2.1667829999999999E-2</v>
      </c>
      <c r="R5920">
        <v>0.36318420000000001</v>
      </c>
      <c r="S5920">
        <v>3.156342</v>
      </c>
      <c r="T5920">
        <v>-0.64398900000000003</v>
      </c>
      <c r="U5920">
        <v>0.121521</v>
      </c>
      <c r="V5920">
        <v>-0.32250229999999902</v>
      </c>
      <c r="W5920">
        <v>-7.6549579999999999E-3</v>
      </c>
      <c r="X5920">
        <v>0.94653770000000004</v>
      </c>
      <c r="Y5920">
        <v>3.8054040000000001E-3</v>
      </c>
      <c r="Z5920">
        <v>-9.109532E-3</v>
      </c>
      <c r="AA5920">
        <v>0.99995119999999904</v>
      </c>
      <c r="AB5920">
        <v>30</v>
      </c>
      <c r="AC5920">
        <v>0.61140000000000305</v>
      </c>
      <c r="AD5920">
        <v>-0.153804199999999</v>
      </c>
      <c r="AE5920">
        <v>2.0499999999998401E-2</v>
      </c>
      <c r="AF5920">
        <v>5.6022854363906296E-3</v>
      </c>
      <c r="AG5920">
        <v>-0.153804199999999</v>
      </c>
      <c r="AH5920">
        <v>0.57534597920098096</v>
      </c>
      <c r="AI5920">
        <v>104.96593404033</v>
      </c>
      <c r="AJ5920">
        <v>89.442114521313599</v>
      </c>
      <c r="AK5920">
        <v>0.59557544721259803</v>
      </c>
    </row>
    <row r="5921" spans="1:37" x14ac:dyDescent="0.2">
      <c r="A5921" t="str">
        <f>"20200111153545775"</f>
        <v>20200111153545775</v>
      </c>
      <c r="B5921" t="str">
        <f>"1578728145771975"</f>
        <v>1578728145771975</v>
      </c>
      <c r="C5921" t="s">
        <v>37</v>
      </c>
      <c r="D5921">
        <v>5.2690630000000001</v>
      </c>
      <c r="E5921">
        <v>0.62485249999999903</v>
      </c>
      <c r="F5921" t="s">
        <v>40</v>
      </c>
      <c r="G5921">
        <v>-214.96449999999999</v>
      </c>
      <c r="H5921">
        <v>0.93256430000000001</v>
      </c>
      <c r="I5921">
        <v>-63.691119999999998</v>
      </c>
      <c r="J5921">
        <v>-215.67609999999999</v>
      </c>
      <c r="K5921">
        <v>1.1098330000000001</v>
      </c>
      <c r="L5921">
        <v>-63.715669999999903</v>
      </c>
      <c r="M5921">
        <v>0.99875319999999901</v>
      </c>
      <c r="N5921">
        <v>0</v>
      </c>
      <c r="O5921">
        <v>4.638163E-2</v>
      </c>
      <c r="P5921">
        <v>0.93057199999999995</v>
      </c>
      <c r="Q5921">
        <v>-2.157651E-2</v>
      </c>
      <c r="R5921">
        <v>0.36547249999999998</v>
      </c>
      <c r="S5921">
        <v>3.156784</v>
      </c>
      <c r="T5921">
        <v>-0.644416199999999</v>
      </c>
      <c r="U5921">
        <v>0.12561040000000001</v>
      </c>
      <c r="V5921">
        <v>-0.32184309999999899</v>
      </c>
      <c r="W5921">
        <v>-7.7469169999999999E-3</v>
      </c>
      <c r="X5921">
        <v>0.94676139999999998</v>
      </c>
      <c r="Y5921">
        <v>5.5676789999999999E-3</v>
      </c>
      <c r="Z5921">
        <v>-9.9271510000000004E-3</v>
      </c>
      <c r="AA5921">
        <v>0.99993519999999902</v>
      </c>
      <c r="AB5921">
        <v>30</v>
      </c>
      <c r="AC5921">
        <v>0.71160000000000401</v>
      </c>
      <c r="AD5921">
        <v>-0.1772687</v>
      </c>
      <c r="AE5921">
        <v>2.4549999999997799E-2</v>
      </c>
      <c r="AF5921">
        <v>7.99186020660843E-3</v>
      </c>
      <c r="AG5921">
        <v>-0.1772687</v>
      </c>
      <c r="AH5921">
        <v>0.67041796494262695</v>
      </c>
      <c r="AI5921">
        <v>104.809908553418</v>
      </c>
      <c r="AJ5921">
        <v>89.317025801245506</v>
      </c>
      <c r="AK5921">
        <v>0.69350436880171495</v>
      </c>
    </row>
    <row r="5922" spans="1:37" x14ac:dyDescent="0.2">
      <c r="A5922" t="str">
        <f>"20200111153545788"</f>
        <v>20200111153545788</v>
      </c>
      <c r="B5922" t="str">
        <f>"1578728145781599"</f>
        <v>1578728145781599</v>
      </c>
      <c r="C5922" t="s">
        <v>37</v>
      </c>
      <c r="D5922">
        <v>5.1115219999999999</v>
      </c>
      <c r="E5922">
        <v>0.62297919999999996</v>
      </c>
      <c r="F5922" t="s">
        <v>40</v>
      </c>
      <c r="G5922">
        <v>-214.94990000000001</v>
      </c>
      <c r="H5922">
        <v>0.96314449999999996</v>
      </c>
      <c r="I5922">
        <v>-63.686450000000001</v>
      </c>
      <c r="J5922">
        <v>-215.51920000000001</v>
      </c>
      <c r="K5922">
        <v>1.1099159999999999</v>
      </c>
      <c r="L5922">
        <v>-63.70514</v>
      </c>
      <c r="M5922">
        <v>0.99859979999999904</v>
      </c>
      <c r="N5922">
        <v>0</v>
      </c>
      <c r="O5922">
        <v>4.9625250000000003E-2</v>
      </c>
      <c r="P5922">
        <v>0.92955080000000001</v>
      </c>
      <c r="Q5922">
        <v>-2.171352E-2</v>
      </c>
      <c r="R5922">
        <v>0.3680542</v>
      </c>
      <c r="S5922">
        <v>3.158798</v>
      </c>
      <c r="T5922">
        <v>-0.63843729999999999</v>
      </c>
      <c r="U5922">
        <v>0.12783810000000001</v>
      </c>
      <c r="V5922">
        <v>-0.321391599999999</v>
      </c>
      <c r="W5922">
        <v>-8.0796419999999997E-3</v>
      </c>
      <c r="X5922">
        <v>0.94691190000000003</v>
      </c>
      <c r="Y5922">
        <v>8.042291E-3</v>
      </c>
      <c r="Z5922">
        <v>-1.0726009999999999E-2</v>
      </c>
      <c r="AA5922">
        <v>0.99991010000000002</v>
      </c>
      <c r="AB5922">
        <v>30</v>
      </c>
      <c r="AC5922">
        <v>0.56929999999999803</v>
      </c>
      <c r="AD5922">
        <v>-0.146771499999999</v>
      </c>
      <c r="AE5922">
        <v>1.8689999999999402E-2</v>
      </c>
      <c r="AF5922">
        <v>8.9923879374850992E-3</v>
      </c>
      <c r="AG5922">
        <v>-0.146771499999999</v>
      </c>
      <c r="AH5922">
        <v>0.53406679329623896</v>
      </c>
      <c r="AI5922">
        <v>105.364514380665</v>
      </c>
      <c r="AJ5922">
        <v>89.0353693549051</v>
      </c>
      <c r="AK5922">
        <v>0.55394049856893102</v>
      </c>
    </row>
    <row r="5923" spans="1:37" x14ac:dyDescent="0.2">
      <c r="A5923" t="str">
        <f>"20200111153545800"</f>
        <v>20200111153545800</v>
      </c>
      <c r="B5923" t="str">
        <f>"1578728145791359"</f>
        <v>1578728145791359</v>
      </c>
      <c r="C5923" t="s">
        <v>37</v>
      </c>
      <c r="D5923">
        <v>5.2093309999999997</v>
      </c>
      <c r="E5923">
        <v>0.62297919999999996</v>
      </c>
      <c r="F5923" t="s">
        <v>40</v>
      </c>
      <c r="G5923">
        <v>-214.69229999999999</v>
      </c>
      <c r="H5923">
        <v>0.94274210000000003</v>
      </c>
      <c r="I5923">
        <v>-63.665550000000003</v>
      </c>
      <c r="J5923">
        <v>-215.35230000000001</v>
      </c>
      <c r="K5923">
        <v>1.110007</v>
      </c>
      <c r="L5923">
        <v>-63.693569999999902</v>
      </c>
      <c r="M5923">
        <v>0.99842249999999999</v>
      </c>
      <c r="N5923">
        <v>0</v>
      </c>
      <c r="O5923">
        <v>5.3122530000000001E-2</v>
      </c>
      <c r="P5923">
        <v>0.92848050000000004</v>
      </c>
      <c r="Q5923">
        <v>-2.1444629999999999E-2</v>
      </c>
      <c r="R5923">
        <v>0.37076160000000002</v>
      </c>
      <c r="S5923">
        <v>3.1525880000000002</v>
      </c>
      <c r="T5923">
        <v>-0.63745980000000002</v>
      </c>
      <c r="U5923">
        <v>0.15124509999999999</v>
      </c>
      <c r="V5923">
        <v>-0.32083400000000001</v>
      </c>
      <c r="W5923">
        <v>-8.0216450000000009E-3</v>
      </c>
      <c r="X5923">
        <v>0.94710149999999904</v>
      </c>
      <c r="Y5923">
        <v>4.0647620000000004E-3</v>
      </c>
      <c r="Z5923">
        <v>-1.102917E-2</v>
      </c>
      <c r="AA5923">
        <v>0.99993089999999996</v>
      </c>
      <c r="AB5923">
        <v>30</v>
      </c>
      <c r="AC5923">
        <v>0.66000000000002501</v>
      </c>
      <c r="AD5923">
        <v>-0.16726489999999899</v>
      </c>
      <c r="AE5923">
        <v>2.8019999999990799E-2</v>
      </c>
      <c r="AF5923">
        <v>6.6593010064197201E-3</v>
      </c>
      <c r="AG5923">
        <v>-0.16726489999999899</v>
      </c>
      <c r="AH5923">
        <v>0.62075841450149705</v>
      </c>
      <c r="AI5923">
        <v>105.079504376312</v>
      </c>
      <c r="AJ5923">
        <v>89.385372477264497</v>
      </c>
      <c r="AK5923">
        <v>0.64293304646464999</v>
      </c>
    </row>
    <row r="5924" spans="1:37" x14ac:dyDescent="0.2">
      <c r="A5924" t="str">
        <f>"20200111153545810"</f>
        <v>20200111153545810</v>
      </c>
      <c r="B5924" t="str">
        <f>"1578728145801119"</f>
        <v>1578728145801119</v>
      </c>
      <c r="C5924" t="s">
        <v>37</v>
      </c>
      <c r="D5924">
        <v>5.163557</v>
      </c>
      <c r="E5924">
        <v>0.53963799999999995</v>
      </c>
      <c r="F5924" t="s">
        <v>40</v>
      </c>
      <c r="G5924">
        <v>-214.434</v>
      </c>
      <c r="H5924">
        <v>0.92440750000000005</v>
      </c>
      <c r="I5924">
        <v>-63.646880000000003</v>
      </c>
      <c r="J5924">
        <v>-215.209</v>
      </c>
      <c r="K5924">
        <v>1.110093</v>
      </c>
      <c r="L5924">
        <v>-63.682769999999998</v>
      </c>
      <c r="M5924">
        <v>0.99825419999999998</v>
      </c>
      <c r="N5924">
        <v>0</v>
      </c>
      <c r="O5924">
        <v>5.6233379999999999E-2</v>
      </c>
      <c r="P5924">
        <v>0.92739210000000005</v>
      </c>
      <c r="Q5924">
        <v>-2.0986560000000001E-2</v>
      </c>
      <c r="R5924">
        <v>0.37350149999999999</v>
      </c>
      <c r="S5924">
        <v>3.1521300000000001</v>
      </c>
      <c r="T5924">
        <v>-0.63741020000000004</v>
      </c>
      <c r="U5924">
        <v>0.16085820000000001</v>
      </c>
      <c r="V5924">
        <v>-0.3206812</v>
      </c>
      <c r="W5924">
        <v>-7.756598E-3</v>
      </c>
      <c r="X5924">
        <v>0.94715539999999998</v>
      </c>
      <c r="Y5924">
        <v>4.0690559999999997E-3</v>
      </c>
      <c r="Z5924">
        <v>-1.165062E-2</v>
      </c>
      <c r="AA5924">
        <v>0.99992380000000003</v>
      </c>
      <c r="AB5924">
        <v>30</v>
      </c>
      <c r="AC5924">
        <v>0.77499999999997704</v>
      </c>
      <c r="AD5924">
        <v>-0.185685499999999</v>
      </c>
      <c r="AE5924">
        <v>3.5889999999994801E-2</v>
      </c>
      <c r="AF5924">
        <v>7.3346447775261003E-3</v>
      </c>
      <c r="AG5924">
        <v>-0.185685499999999</v>
      </c>
      <c r="AH5924">
        <v>0.73376018473766103</v>
      </c>
      <c r="AI5924">
        <v>104.20046623611201</v>
      </c>
      <c r="AJ5924">
        <v>89.427292182502399</v>
      </c>
      <c r="AK5924">
        <v>0.75692596112863597</v>
      </c>
    </row>
    <row r="5925" spans="1:37" x14ac:dyDescent="0.2">
      <c r="A5925" t="str">
        <f>"20200111153545820"</f>
        <v>20200111153545820</v>
      </c>
      <c r="B5925" t="str">
        <f>"1578728145811855"</f>
        <v>1578728145811855</v>
      </c>
      <c r="C5925" t="s">
        <v>37</v>
      </c>
      <c r="D5925">
        <v>5.138147</v>
      </c>
      <c r="E5925">
        <v>0.53963799999999995</v>
      </c>
      <c r="F5925" t="s">
        <v>65</v>
      </c>
      <c r="G5925">
        <v>-209.71809999999999</v>
      </c>
      <c r="H5925" s="1">
        <v>-5.6918080000000001E-7</v>
      </c>
      <c r="I5925">
        <v>-62.184750000000001</v>
      </c>
      <c r="J5925">
        <v>-215.07919999999999</v>
      </c>
      <c r="K5925">
        <v>1.1101719999999999</v>
      </c>
      <c r="L5925">
        <v>-63.672849999999997</v>
      </c>
      <c r="M5925">
        <v>0.9980928</v>
      </c>
      <c r="N5925">
        <v>0</v>
      </c>
      <c r="O5925">
        <v>5.9067990000000001E-2</v>
      </c>
      <c r="P5925">
        <v>0.92635979999999996</v>
      </c>
      <c r="Q5925">
        <v>-2.0087609999999999E-2</v>
      </c>
      <c r="R5925">
        <v>0.37610389999999999</v>
      </c>
      <c r="S5925">
        <v>2.902679</v>
      </c>
      <c r="T5925">
        <v>-0.5868295</v>
      </c>
      <c r="U5925">
        <v>0.79190059999999995</v>
      </c>
      <c r="V5925">
        <v>-0.32065759999999899</v>
      </c>
      <c r="W5925">
        <v>-7.0347839999999997E-3</v>
      </c>
      <c r="X5925">
        <v>0.94716909999999899</v>
      </c>
      <c r="Y5925">
        <v>-0.2030411</v>
      </c>
      <c r="Z5925">
        <v>8.374411E-3</v>
      </c>
      <c r="AA5925">
        <v>0.97913439999999996</v>
      </c>
      <c r="AB5925">
        <v>30</v>
      </c>
      <c r="AC5925">
        <v>5.3610999999999898</v>
      </c>
      <c r="AD5925">
        <v>-1.1101725691808</v>
      </c>
      <c r="AE5925">
        <v>1.48809999999999</v>
      </c>
      <c r="AF5925">
        <v>-1.1240281966147001</v>
      </c>
      <c r="AG5925">
        <v>-1.1101725691808</v>
      </c>
      <c r="AH5925">
        <v>5.2313666172838804</v>
      </c>
      <c r="AI5925">
        <v>101.721389671887</v>
      </c>
      <c r="AJ5925">
        <v>102.126388464027</v>
      </c>
      <c r="AK5925">
        <v>5.4647158393258302</v>
      </c>
    </row>
    <row r="5926" spans="1:37" x14ac:dyDescent="0.2">
      <c r="A5926" t="str">
        <f>"20200111153545831"</f>
        <v>20200111153545831</v>
      </c>
      <c r="B5926" t="str">
        <f>"1578728145821617"</f>
        <v>1578728145821617</v>
      </c>
      <c r="C5926" t="s">
        <v>37</v>
      </c>
      <c r="D5926">
        <v>5.020092</v>
      </c>
      <c r="E5926">
        <v>0.47027859999999999</v>
      </c>
      <c r="F5926" t="s">
        <v>65</v>
      </c>
      <c r="G5926">
        <v>-209.5684</v>
      </c>
      <c r="H5926" s="1">
        <v>-6.1766139999999998E-7</v>
      </c>
      <c r="I5926">
        <v>-62.152019999999901</v>
      </c>
      <c r="J5926">
        <v>-214.92769999999999</v>
      </c>
      <c r="K5926">
        <v>1.110266</v>
      </c>
      <c r="L5926">
        <v>-63.660429999999998</v>
      </c>
      <c r="M5926">
        <v>0.99788770000000004</v>
      </c>
      <c r="N5926">
        <v>0</v>
      </c>
      <c r="O5926">
        <v>6.2473769999999998E-2</v>
      </c>
      <c r="P5926">
        <v>0.92512549999999905</v>
      </c>
      <c r="Q5926">
        <v>-1.9231270000000002E-2</v>
      </c>
      <c r="R5926">
        <v>0.37917399999999901</v>
      </c>
      <c r="S5926">
        <v>2.9007719999999999</v>
      </c>
      <c r="T5926">
        <v>-0.58437359999999905</v>
      </c>
      <c r="U5926">
        <v>0.8005371</v>
      </c>
      <c r="V5926">
        <v>-0.32057279999999999</v>
      </c>
      <c r="W5926">
        <v>-6.3834640000000002E-3</v>
      </c>
      <c r="X5926">
        <v>0.947202399999999</v>
      </c>
      <c r="Y5926">
        <v>-0.2026685</v>
      </c>
      <c r="Z5926">
        <v>7.6422189999999996E-3</v>
      </c>
      <c r="AA5926">
        <v>0.97921759999999902</v>
      </c>
      <c r="AB5926">
        <v>30</v>
      </c>
      <c r="AC5926">
        <v>5.3592999999999904</v>
      </c>
      <c r="AD5926">
        <v>-1.11026661766139</v>
      </c>
      <c r="AE5926">
        <v>1.50841000000001</v>
      </c>
      <c r="AF5926">
        <v>-1.1258225067835601</v>
      </c>
      <c r="AG5926">
        <v>-1.11026661766139</v>
      </c>
      <c r="AH5926">
        <v>5.2348994920629801</v>
      </c>
      <c r="AI5926">
        <v>101.714199992481</v>
      </c>
      <c r="AJ5926">
        <v>102.137218524085</v>
      </c>
      <c r="AK5926">
        <v>5.4684861681341896</v>
      </c>
    </row>
    <row r="5927" spans="1:37" x14ac:dyDescent="0.2">
      <c r="A5927" t="str">
        <f>"20200111153545843"</f>
        <v>20200111153545843</v>
      </c>
      <c r="B5927" t="str">
        <f>"1578728145831375"</f>
        <v>1578728145831375</v>
      </c>
      <c r="C5927" t="s">
        <v>37</v>
      </c>
      <c r="D5927">
        <v>5.0585800000000001</v>
      </c>
      <c r="E5927">
        <v>0.46046599999999999</v>
      </c>
      <c r="F5927" t="s">
        <v>65</v>
      </c>
      <c r="G5927">
        <v>-206.7373</v>
      </c>
      <c r="H5927" s="1">
        <v>-2.2582939999999999E-6</v>
      </c>
      <c r="I5927">
        <v>-59.58361</v>
      </c>
      <c r="J5927">
        <v>-214.7842</v>
      </c>
      <c r="K5927">
        <v>1.110355</v>
      </c>
      <c r="L5927">
        <v>-63.648350000000001</v>
      </c>
      <c r="M5927">
        <v>0.99768049999999997</v>
      </c>
      <c r="N5927">
        <v>0</v>
      </c>
      <c r="O5927">
        <v>6.5736269999999999E-2</v>
      </c>
      <c r="P5927">
        <v>0.92376429999999998</v>
      </c>
      <c r="Q5927">
        <v>-1.7960730000000001E-2</v>
      </c>
      <c r="R5927">
        <v>0.3825402</v>
      </c>
      <c r="S5927">
        <v>2.6870270000000001</v>
      </c>
      <c r="T5927">
        <v>-0.36424869999999998</v>
      </c>
      <c r="U5927">
        <v>1.337494</v>
      </c>
      <c r="V5927">
        <v>-0.32093660000000002</v>
      </c>
      <c r="W5927">
        <v>-5.316103E-3</v>
      </c>
      <c r="X5927">
        <v>0.94708579999999998</v>
      </c>
      <c r="Y5927">
        <v>-0.38347340000000002</v>
      </c>
      <c r="Z5927">
        <v>1.6109229999999999E-2</v>
      </c>
      <c r="AA5927">
        <v>0.92341139999999999</v>
      </c>
      <c r="AB5927">
        <v>30</v>
      </c>
      <c r="AC5927">
        <v>8.0468999999999902</v>
      </c>
      <c r="AD5927">
        <v>-1.110357258294</v>
      </c>
      <c r="AE5927">
        <v>4.0647399999999996</v>
      </c>
      <c r="AF5927">
        <v>-3.4741879764301702</v>
      </c>
      <c r="AG5927">
        <v>-1.110357258294</v>
      </c>
      <c r="AH5927">
        <v>8.1727556907343608</v>
      </c>
      <c r="AI5927">
        <v>97.1268603183658</v>
      </c>
      <c r="AJ5927">
        <v>113.03004518026999</v>
      </c>
      <c r="AK5927">
        <v>8.9496821684934194</v>
      </c>
    </row>
    <row r="5928" spans="1:37" x14ac:dyDescent="0.2">
      <c r="A5928" t="str">
        <f>"20200111153545853"</f>
        <v>20200111153545853</v>
      </c>
      <c r="B5928" t="str">
        <f>"1578728145841134"</f>
        <v>1578728145841134</v>
      </c>
      <c r="C5928" t="s">
        <v>37</v>
      </c>
      <c r="D5928">
        <v>5.1110519999999999</v>
      </c>
      <c r="E5928">
        <v>0.45182339999999999</v>
      </c>
      <c r="F5928" t="s">
        <v>40</v>
      </c>
      <c r="G5928">
        <v>-213.86580000000001</v>
      </c>
      <c r="H5928">
        <v>1.000316</v>
      </c>
      <c r="I5928">
        <v>-63.155850000000001</v>
      </c>
      <c r="J5928">
        <v>-214.63800000000001</v>
      </c>
      <c r="K5928">
        <v>1.1104419999999999</v>
      </c>
      <c r="L5928">
        <v>-63.635350000000003</v>
      </c>
      <c r="M5928">
        <v>0.99745260000000002</v>
      </c>
      <c r="N5928">
        <v>0</v>
      </c>
      <c r="O5928">
        <v>6.9142019999999998E-2</v>
      </c>
      <c r="P5928">
        <v>0.92219319999999905</v>
      </c>
      <c r="Q5928">
        <v>-1.6575679999999999E-2</v>
      </c>
      <c r="R5928">
        <v>0.386374</v>
      </c>
      <c r="S5928">
        <v>2.6522669999999899</v>
      </c>
      <c r="T5928">
        <v>-0.31778400000000001</v>
      </c>
      <c r="U5928">
        <v>1.422607</v>
      </c>
      <c r="V5928">
        <v>-0.32164999999999999</v>
      </c>
      <c r="W5928">
        <v>-4.1463139999999999E-3</v>
      </c>
      <c r="X5928">
        <v>0.94684959999999996</v>
      </c>
      <c r="Y5928">
        <v>-0.4087307</v>
      </c>
      <c r="Z5928">
        <v>1.517106E-2</v>
      </c>
      <c r="AA5928">
        <v>0.91252889999999998</v>
      </c>
      <c r="AB5928">
        <v>30</v>
      </c>
      <c r="AC5928">
        <v>0.772199999999997</v>
      </c>
      <c r="AD5928">
        <v>-0.110125999999999</v>
      </c>
      <c r="AE5928">
        <v>0.47950000000000098</v>
      </c>
      <c r="AF5928">
        <v>-0.41880492334421499</v>
      </c>
      <c r="AG5928">
        <v>-0.110125999999999</v>
      </c>
      <c r="AH5928">
        <v>0.79188626000573903</v>
      </c>
      <c r="AI5928">
        <v>97.008440681733703</v>
      </c>
      <c r="AJ5928">
        <v>117.873022286412</v>
      </c>
      <c r="AK5928">
        <v>0.90255700566735997</v>
      </c>
    </row>
    <row r="5929" spans="1:37" x14ac:dyDescent="0.2">
      <c r="A5929" t="str">
        <f>"20200111153545866"</f>
        <v>20200111153545866</v>
      </c>
      <c r="B5929" t="str">
        <f>"1578728145861631"</f>
        <v>1578728145861631</v>
      </c>
      <c r="C5929" t="s">
        <v>37</v>
      </c>
      <c r="D5929">
        <v>4.9314080000000002</v>
      </c>
      <c r="E5929">
        <v>0.44474719999999901</v>
      </c>
      <c r="F5929" t="s">
        <v>65</v>
      </c>
      <c r="G5929">
        <v>-204.11019999999999</v>
      </c>
      <c r="H5929" s="1">
        <v>-4.2239490000000002E-6</v>
      </c>
      <c r="I5929">
        <v>-57.60754</v>
      </c>
      <c r="J5929">
        <v>-214.47099999999901</v>
      </c>
      <c r="K5929">
        <v>1.110535</v>
      </c>
      <c r="L5929">
        <v>-63.619840000000003</v>
      </c>
      <c r="M5929">
        <v>0.99717219999999995</v>
      </c>
      <c r="N5929">
        <v>0</v>
      </c>
      <c r="O5929">
        <v>7.311057E-2</v>
      </c>
      <c r="P5929">
        <v>0.9204483</v>
      </c>
      <c r="Q5929">
        <v>-1.524519E-2</v>
      </c>
      <c r="R5929">
        <v>0.39056679999999999</v>
      </c>
      <c r="S5929">
        <v>2.6196899999999999</v>
      </c>
      <c r="T5929">
        <v>-0.2763197</v>
      </c>
      <c r="U5929">
        <v>1.4999389999999999</v>
      </c>
      <c r="V5929">
        <v>-0.32220470000000001</v>
      </c>
      <c r="W5929">
        <v>-3.0595709999999901E-3</v>
      </c>
      <c r="X5929">
        <v>0.94666510000000004</v>
      </c>
      <c r="Y5929">
        <v>-0.43061509999999997</v>
      </c>
      <c r="Z5929">
        <v>1.394419E-2</v>
      </c>
      <c r="AA5929">
        <v>0.90242800000000001</v>
      </c>
      <c r="AB5929">
        <v>30</v>
      </c>
      <c r="AC5929">
        <v>10.3607999999999</v>
      </c>
      <c r="AD5929">
        <v>-1.110539223949</v>
      </c>
      <c r="AE5929">
        <v>6.0122999999999998</v>
      </c>
      <c r="AF5929">
        <v>-5.1939657444679401</v>
      </c>
      <c r="AG5929">
        <v>-1.110539223949</v>
      </c>
      <c r="AH5929">
        <v>10.6808937932493</v>
      </c>
      <c r="AI5929">
        <v>95.341897550414998</v>
      </c>
      <c r="AJ5929">
        <v>115.93299143177001</v>
      </c>
      <c r="AK5929">
        <v>11.928623966967301</v>
      </c>
    </row>
    <row r="5930" spans="1:37" x14ac:dyDescent="0.2">
      <c r="A5930" t="str">
        <f>"20200111153545878"</f>
        <v>20200111153545878</v>
      </c>
      <c r="B5930" t="str">
        <f>"1578728145871391"</f>
        <v>1578728145871391</v>
      </c>
      <c r="C5930" t="s">
        <v>37</v>
      </c>
      <c r="D5930">
        <v>4.8698920000000001</v>
      </c>
      <c r="E5930">
        <v>0.44306839999999997</v>
      </c>
      <c r="F5930" t="s">
        <v>40</v>
      </c>
      <c r="G5930">
        <v>-213.61859999999999</v>
      </c>
      <c r="H5930">
        <v>1.0357129999999899</v>
      </c>
      <c r="I5930">
        <v>-63.104319999999902</v>
      </c>
      <c r="J5930">
        <v>-214.3098</v>
      </c>
      <c r="K5930">
        <v>1.1106259999999999</v>
      </c>
      <c r="L5930">
        <v>-63.604399999999998</v>
      </c>
      <c r="M5930">
        <v>0.99688239999999995</v>
      </c>
      <c r="N5930">
        <v>0</v>
      </c>
      <c r="O5930">
        <v>7.6997560000000007E-2</v>
      </c>
      <c r="P5930">
        <v>0.9185662</v>
      </c>
      <c r="Q5930">
        <v>-1.4081420000000001E-2</v>
      </c>
      <c r="R5930">
        <v>0.39501649999999999</v>
      </c>
      <c r="S5930">
        <v>2.590668</v>
      </c>
      <c r="T5930">
        <v>-0.22741149999999999</v>
      </c>
      <c r="U5930">
        <v>1.566864</v>
      </c>
      <c r="V5930">
        <v>-0.32310630000000001</v>
      </c>
      <c r="W5930">
        <v>-2.1404929999999998E-3</v>
      </c>
      <c r="X5930">
        <v>0.94636030000000004</v>
      </c>
      <c r="Y5930">
        <v>-0.4490518</v>
      </c>
      <c r="Z5930">
        <v>1.1961589999999999E-2</v>
      </c>
      <c r="AA5930">
        <v>0.89342569999999999</v>
      </c>
      <c r="AB5930">
        <v>30</v>
      </c>
      <c r="AC5930">
        <v>0.69120000000000903</v>
      </c>
      <c r="AD5930">
        <v>-7.4913000000000202E-2</v>
      </c>
      <c r="AE5930">
        <v>0.50008000000000397</v>
      </c>
      <c r="AF5930">
        <v>-0.44195864487929798</v>
      </c>
      <c r="AG5930">
        <v>-7.4913000000000202E-2</v>
      </c>
      <c r="AH5930">
        <v>0.72209042225078501</v>
      </c>
      <c r="AI5930">
        <v>95.056717986978498</v>
      </c>
      <c r="AJ5930">
        <v>121.46890121779499</v>
      </c>
      <c r="AK5930">
        <v>0.84991410110602605</v>
      </c>
    </row>
    <row r="5931" spans="1:37" x14ac:dyDescent="0.2">
      <c r="A5931" t="str">
        <f>"20200111153545887"</f>
        <v>20200111153545887</v>
      </c>
      <c r="B5931" t="str">
        <f>"1578728145881150"</f>
        <v>1578728145881150</v>
      </c>
      <c r="C5931" t="s">
        <v>37</v>
      </c>
      <c r="D5931">
        <v>4.8387890000000002</v>
      </c>
      <c r="E5931">
        <v>0.44211919999999999</v>
      </c>
      <c r="F5931" t="s">
        <v>65</v>
      </c>
      <c r="G5931">
        <v>-200.85980000000001</v>
      </c>
      <c r="H5931" s="1">
        <v>-6.1776449999999997E-6</v>
      </c>
      <c r="I5931">
        <v>-55.29513</v>
      </c>
      <c r="J5931">
        <v>-214.18510000000001</v>
      </c>
      <c r="K5931">
        <v>1.1107</v>
      </c>
      <c r="L5931">
        <v>-63.59158</v>
      </c>
      <c r="M5931">
        <v>0.99663979999999996</v>
      </c>
      <c r="N5931">
        <v>0</v>
      </c>
      <c r="O5931">
        <v>8.0100299999999999E-2</v>
      </c>
      <c r="P5931">
        <v>0.91696200000000005</v>
      </c>
      <c r="Q5931">
        <v>-1.348624E-2</v>
      </c>
      <c r="R5931">
        <v>0.39874609999999999</v>
      </c>
      <c r="S5931">
        <v>2.5778349999999999</v>
      </c>
      <c r="T5931">
        <v>-0.21286430000000001</v>
      </c>
      <c r="U5931">
        <v>1.59256</v>
      </c>
      <c r="V5931">
        <v>-0.3240112</v>
      </c>
      <c r="W5931">
        <v>-1.7362110000000001E-3</v>
      </c>
      <c r="X5931">
        <v>0.94605169999999905</v>
      </c>
      <c r="Y5931">
        <v>-0.4548239</v>
      </c>
      <c r="Z5931">
        <v>1.120647E-2</v>
      </c>
      <c r="AA5931">
        <v>0.89051089999999999</v>
      </c>
      <c r="AB5931">
        <v>30</v>
      </c>
      <c r="AC5931">
        <v>13.3253</v>
      </c>
      <c r="AD5931">
        <v>-1.110706177645</v>
      </c>
      <c r="AE5931">
        <v>8.2964500000000001</v>
      </c>
      <c r="AF5931">
        <v>-7.1663859143429001</v>
      </c>
      <c r="AG5931">
        <v>-1.110706177645</v>
      </c>
      <c r="AH5931">
        <v>13.877632605559601</v>
      </c>
      <c r="AI5931">
        <v>94.067660270721206</v>
      </c>
      <c r="AJ5931">
        <v>117.311753562219</v>
      </c>
      <c r="AK5931">
        <v>15.6582068584254</v>
      </c>
    </row>
    <row r="5932" spans="1:37" x14ac:dyDescent="0.2">
      <c r="A5932" t="str">
        <f>"20200111153545898"</f>
        <v>20200111153545898</v>
      </c>
      <c r="B5932" t="str">
        <f>"1578728145891886"</f>
        <v>1578728145891886</v>
      </c>
      <c r="C5932" t="s">
        <v>37</v>
      </c>
      <c r="D5932">
        <v>4.8955880000000001</v>
      </c>
      <c r="E5932">
        <v>0.44115119999999902</v>
      </c>
      <c r="F5932" t="s">
        <v>40</v>
      </c>
      <c r="G5932">
        <v>-213.35720000000001</v>
      </c>
      <c r="H5932">
        <v>1.044281</v>
      </c>
      <c r="I5932">
        <v>-63.072740000000003</v>
      </c>
      <c r="J5932">
        <v>-214.0367</v>
      </c>
      <c r="K5932">
        <v>1.1107799999999901</v>
      </c>
      <c r="L5932">
        <v>-63.576319999999903</v>
      </c>
      <c r="M5932">
        <v>0.99633819999999995</v>
      </c>
      <c r="N5932">
        <v>0</v>
      </c>
      <c r="O5932">
        <v>8.3797499999999997E-2</v>
      </c>
      <c r="P5932">
        <v>0.91508459999999903</v>
      </c>
      <c r="Q5932">
        <v>-1.2816040000000001E-2</v>
      </c>
      <c r="R5932">
        <v>0.40305839999999998</v>
      </c>
      <c r="S5932">
        <v>2.5684200000000001</v>
      </c>
      <c r="T5932">
        <v>-0.20607979999999901</v>
      </c>
      <c r="U5932">
        <v>1.6102289999999999</v>
      </c>
      <c r="V5932">
        <v>-0.3249609</v>
      </c>
      <c r="W5932">
        <v>-1.2912569999999901E-3</v>
      </c>
      <c r="X5932">
        <v>0.94572659999999997</v>
      </c>
      <c r="Y5932">
        <v>-0.45744750000000001</v>
      </c>
      <c r="Z5932">
        <v>1.06947E-2</v>
      </c>
      <c r="AA5932">
        <v>0.88917230000000003</v>
      </c>
      <c r="AB5932">
        <v>30</v>
      </c>
      <c r="AC5932">
        <v>0.67949999999999</v>
      </c>
      <c r="AD5932">
        <v>-6.6498999999999794E-2</v>
      </c>
      <c r="AE5932">
        <v>0.50357999999999203</v>
      </c>
      <c r="AF5932">
        <v>-0.44212643425575698</v>
      </c>
      <c r="AG5932">
        <v>-6.6498999999999794E-2</v>
      </c>
      <c r="AH5932">
        <v>0.71489467142856999</v>
      </c>
      <c r="AI5932">
        <v>94.523375533018196</v>
      </c>
      <c r="AJ5932">
        <v>121.734708707222</v>
      </c>
      <c r="AK5932">
        <v>0.84319172914923302</v>
      </c>
    </row>
    <row r="5933" spans="1:37" x14ac:dyDescent="0.2">
      <c r="A5933" t="str">
        <f>"20200111153545909"</f>
        <v>20200111153545909</v>
      </c>
      <c r="B5933" t="str">
        <f>"1578728145901646"</f>
        <v>1578728145901646</v>
      </c>
      <c r="C5933" t="s">
        <v>37</v>
      </c>
      <c r="D5933">
        <v>4.9122379999999897</v>
      </c>
      <c r="E5933">
        <v>0.44089030000000001</v>
      </c>
      <c r="F5933" t="s">
        <v>40</v>
      </c>
      <c r="G5933">
        <v>-213.11279999999999</v>
      </c>
      <c r="H5933">
        <v>1.0367230000000001</v>
      </c>
      <c r="I5933">
        <v>-62.987719999999896</v>
      </c>
      <c r="J5933">
        <v>-213.8939</v>
      </c>
      <c r="K5933">
        <v>1.110865</v>
      </c>
      <c r="L5933">
        <v>-63.560519999999997</v>
      </c>
      <c r="M5933">
        <v>0.99602409999999997</v>
      </c>
      <c r="N5933">
        <v>0</v>
      </c>
      <c r="O5933">
        <v>8.7475049999999999E-2</v>
      </c>
      <c r="P5933">
        <v>0.91327400000000003</v>
      </c>
      <c r="Q5933">
        <v>-1.2446240000000001E-2</v>
      </c>
      <c r="R5933">
        <v>0.40715580000000001</v>
      </c>
      <c r="S5933">
        <v>2.5577549999999998</v>
      </c>
      <c r="T5933">
        <v>-0.20501069999999999</v>
      </c>
      <c r="U5933">
        <v>1.6295469999999901</v>
      </c>
      <c r="V5933">
        <v>-0.32571169999999999</v>
      </c>
      <c r="W5933">
        <v>-1.1275580000000001E-3</v>
      </c>
      <c r="X5933">
        <v>0.94546849999999905</v>
      </c>
      <c r="Y5933">
        <v>-0.46063199999999999</v>
      </c>
      <c r="Z5933">
        <v>1.050891E-2</v>
      </c>
      <c r="AA5933">
        <v>0.88752900000000001</v>
      </c>
      <c r="AB5933">
        <v>30</v>
      </c>
      <c r="AC5933">
        <v>0.78110000000000901</v>
      </c>
      <c r="AD5933">
        <v>-7.4141999999999902E-2</v>
      </c>
      <c r="AE5933">
        <v>0.57279999999999998</v>
      </c>
      <c r="AF5933">
        <v>-0.49934154296108502</v>
      </c>
      <c r="AG5933">
        <v>-7.4141999999999902E-2</v>
      </c>
      <c r="AH5933">
        <v>0.82339351079646494</v>
      </c>
      <c r="AI5933">
        <v>94.402673028819294</v>
      </c>
      <c r="AJ5933">
        <v>121.234439773956</v>
      </c>
      <c r="AK5933">
        <v>0.96582394167492402</v>
      </c>
    </row>
    <row r="5934" spans="1:37" x14ac:dyDescent="0.2">
      <c r="A5934" t="str">
        <f>"20200111153545921"</f>
        <v>20200111153545921</v>
      </c>
      <c r="B5934" t="str">
        <f>"1578728145911407"</f>
        <v>1578728145911407</v>
      </c>
      <c r="C5934" t="s">
        <v>37</v>
      </c>
      <c r="D5934">
        <v>4.8750419999999997</v>
      </c>
      <c r="E5934">
        <v>0.44064959999999997</v>
      </c>
      <c r="F5934" t="s">
        <v>40</v>
      </c>
      <c r="G5934">
        <v>-213.09469999999999</v>
      </c>
      <c r="H5934">
        <v>1.0467489999999999</v>
      </c>
      <c r="I5934">
        <v>-63.0456</v>
      </c>
      <c r="J5934">
        <v>-213.74789999999999</v>
      </c>
      <c r="K5934">
        <v>1.1109500000000001</v>
      </c>
      <c r="L5934">
        <v>-63.54419</v>
      </c>
      <c r="M5934">
        <v>0.99568749999999995</v>
      </c>
      <c r="N5934">
        <v>0</v>
      </c>
      <c r="O5934">
        <v>9.1250810000000002E-2</v>
      </c>
      <c r="P5934">
        <v>0.91143719999999995</v>
      </c>
      <c r="Q5934">
        <v>-1.206608E-2</v>
      </c>
      <c r="R5934">
        <v>0.41126249999999998</v>
      </c>
      <c r="S5934">
        <v>2.549652</v>
      </c>
      <c r="T5934">
        <v>-0.204557399999999</v>
      </c>
      <c r="U5934">
        <v>1.642914</v>
      </c>
      <c r="V5934">
        <v>-0.32638519999999999</v>
      </c>
      <c r="W5934">
        <v>-9.5458890000000001E-4</v>
      </c>
      <c r="X5934">
        <v>0.94523639999999998</v>
      </c>
      <c r="Y5934">
        <v>-0.46184899999999901</v>
      </c>
      <c r="Z5934">
        <v>1.027314E-2</v>
      </c>
      <c r="AA5934">
        <v>0.88689910000000005</v>
      </c>
      <c r="AB5934">
        <v>30</v>
      </c>
      <c r="AC5934">
        <v>0.653199999999998</v>
      </c>
      <c r="AD5934">
        <v>-6.4201000000000105E-2</v>
      </c>
      <c r="AE5934">
        <v>0.49858999999999998</v>
      </c>
      <c r="AF5934">
        <v>-0.43424529142777701</v>
      </c>
      <c r="AG5934">
        <v>-6.4201000000000105E-2</v>
      </c>
      <c r="AH5934">
        <v>0.69175471503777497</v>
      </c>
      <c r="AI5934">
        <v>94.494475107029302</v>
      </c>
      <c r="AJ5934">
        <v>122.118325539586</v>
      </c>
      <c r="AK5934">
        <v>0.81927732014574195</v>
      </c>
    </row>
    <row r="5935" spans="1:37" x14ac:dyDescent="0.2">
      <c r="A5935" t="str">
        <f>"20200111153545931"</f>
        <v>20200111153545931</v>
      </c>
      <c r="B5935" t="str">
        <f>"1578728145921168"</f>
        <v>1578728145921168</v>
      </c>
      <c r="C5935" t="s">
        <v>37</v>
      </c>
      <c r="D5935">
        <v>4.9108980000000004</v>
      </c>
      <c r="E5935">
        <v>0.4408029</v>
      </c>
      <c r="F5935" t="s">
        <v>40</v>
      </c>
      <c r="G5935">
        <v>-212.851</v>
      </c>
      <c r="H5935">
        <v>1.0387580000000001</v>
      </c>
      <c r="I5935">
        <v>-62.959699999999998</v>
      </c>
      <c r="J5935">
        <v>-213.6018</v>
      </c>
      <c r="K5935">
        <v>1.1110409999999999</v>
      </c>
      <c r="L5935">
        <v>-63.526919999999997</v>
      </c>
      <c r="M5935">
        <v>0.99532710000000002</v>
      </c>
      <c r="N5935">
        <v>0</v>
      </c>
      <c r="O5935">
        <v>9.5120650000000001E-2</v>
      </c>
      <c r="P5935">
        <v>0.90951780000000004</v>
      </c>
      <c r="Q5935">
        <v>-1.174587E-2</v>
      </c>
      <c r="R5935">
        <v>0.41549910000000001</v>
      </c>
      <c r="S5935">
        <v>2.541458</v>
      </c>
      <c r="T5935">
        <v>-0.20457139999999999</v>
      </c>
      <c r="U5935">
        <v>1.65625</v>
      </c>
      <c r="V5935">
        <v>-0.32711170000000001</v>
      </c>
      <c r="W5935">
        <v>-8.3206689999999999E-4</v>
      </c>
      <c r="X5935">
        <v>0.94498530000000003</v>
      </c>
      <c r="Y5935">
        <v>-0.46298260000000002</v>
      </c>
      <c r="Z5935">
        <v>1.0051279999999999E-2</v>
      </c>
      <c r="AA5935">
        <v>0.88631039999999905</v>
      </c>
      <c r="AB5935">
        <v>30</v>
      </c>
      <c r="AC5935">
        <v>0.75079999999999802</v>
      </c>
      <c r="AD5935">
        <v>-7.2282999999999806E-2</v>
      </c>
      <c r="AE5935">
        <v>0.56721999999999895</v>
      </c>
      <c r="AF5935">
        <v>-0.490327586130063</v>
      </c>
      <c r="AG5935">
        <v>-7.2282999999999806E-2</v>
      </c>
      <c r="AH5935">
        <v>0.79665559231401095</v>
      </c>
      <c r="AI5935">
        <v>94.418475889582695</v>
      </c>
      <c r="AJ5935">
        <v>121.611570495358</v>
      </c>
      <c r="AK5935">
        <v>0.93824629313113905</v>
      </c>
    </row>
    <row r="5936" spans="1:37" x14ac:dyDescent="0.2">
      <c r="A5936" t="str">
        <f>"20200111153545943"</f>
        <v>20200111153545943</v>
      </c>
      <c r="B5936" t="str">
        <f>"1578728145931903"</f>
        <v>1578728145931903</v>
      </c>
      <c r="C5936" t="s">
        <v>37</v>
      </c>
      <c r="D5936">
        <v>4.8950719999999999</v>
      </c>
      <c r="E5936">
        <v>0.441092599999999</v>
      </c>
      <c r="F5936" t="s">
        <v>40</v>
      </c>
      <c r="G5936">
        <v>-212.83160000000001</v>
      </c>
      <c r="H5936">
        <v>1.047628</v>
      </c>
      <c r="I5936">
        <v>-63.020359999999997</v>
      </c>
      <c r="J5936">
        <v>-213.4485</v>
      </c>
      <c r="K5936">
        <v>1.111132</v>
      </c>
      <c r="L5936">
        <v>-63.508299999999998</v>
      </c>
      <c r="M5936">
        <v>0.99492819999999904</v>
      </c>
      <c r="N5936">
        <v>0</v>
      </c>
      <c r="O5936">
        <v>9.9225859999999999E-2</v>
      </c>
      <c r="P5936">
        <v>0.907481599999999</v>
      </c>
      <c r="Q5936">
        <v>-1.140478E-2</v>
      </c>
      <c r="R5936">
        <v>0.41993720000000001</v>
      </c>
      <c r="S5936">
        <v>2.5342709999999999</v>
      </c>
      <c r="T5936">
        <v>-0.20866689999999999</v>
      </c>
      <c r="U5936">
        <v>1.6668400000000001</v>
      </c>
      <c r="V5936">
        <v>-0.32783259999999997</v>
      </c>
      <c r="W5936">
        <v>-6.9301580000000001E-4</v>
      </c>
      <c r="X5936">
        <v>0.94473560000000001</v>
      </c>
      <c r="Y5936">
        <v>-0.46304200000000001</v>
      </c>
      <c r="Z5936">
        <v>9.9663240000000004E-3</v>
      </c>
      <c r="AA5936">
        <v>0.88628039999999997</v>
      </c>
      <c r="AB5936">
        <v>30</v>
      </c>
      <c r="AC5936">
        <v>0.61689999999998602</v>
      </c>
      <c r="AD5936">
        <v>-6.3503999999999894E-2</v>
      </c>
      <c r="AE5936">
        <v>0.48794000000000098</v>
      </c>
      <c r="AF5936">
        <v>-0.42156255464041498</v>
      </c>
      <c r="AG5936">
        <v>-6.3503999999999894E-2</v>
      </c>
      <c r="AH5936">
        <v>0.65798839987647795</v>
      </c>
      <c r="AI5936">
        <v>94.645894752657199</v>
      </c>
      <c r="AJ5936">
        <v>122.647031604123</v>
      </c>
      <c r="AK5936">
        <v>0.78402581581409703</v>
      </c>
    </row>
    <row r="5937" spans="1:37" x14ac:dyDescent="0.2">
      <c r="A5937" t="str">
        <f>"20200111153545956"</f>
        <v>20200111153545956</v>
      </c>
      <c r="B5937" t="str">
        <f>"1578728145951423"</f>
        <v>1578728145951423</v>
      </c>
      <c r="C5937" t="s">
        <v>37</v>
      </c>
      <c r="D5937">
        <v>4.8751610000000003</v>
      </c>
      <c r="E5937">
        <v>0.44163520000000001</v>
      </c>
      <c r="F5937" t="s">
        <v>40</v>
      </c>
      <c r="G5937">
        <v>-212.58760000000001</v>
      </c>
      <c r="H5937">
        <v>1.0391509999999999</v>
      </c>
      <c r="I5937">
        <v>-62.937019999999997</v>
      </c>
      <c r="J5937">
        <v>-213.2773</v>
      </c>
      <c r="K5937">
        <v>1.1112309999999901</v>
      </c>
      <c r="L5937">
        <v>-63.486719999999998</v>
      </c>
      <c r="M5937">
        <v>0.99445439999999996</v>
      </c>
      <c r="N5937">
        <v>0</v>
      </c>
      <c r="O5937">
        <v>0.1038854</v>
      </c>
      <c r="P5937">
        <v>0.90516649999999998</v>
      </c>
      <c r="Q5937">
        <v>-1.073504E-2</v>
      </c>
      <c r="R5937">
        <v>0.42492159999999901</v>
      </c>
      <c r="S5937">
        <v>2.5271149999999998</v>
      </c>
      <c r="T5937">
        <v>-0.21129410000000001</v>
      </c>
      <c r="U5937">
        <v>1.677063</v>
      </c>
      <c r="V5937">
        <v>-0.32860919999999999</v>
      </c>
      <c r="W5937">
        <v>-2.4036970000000001E-4</v>
      </c>
      <c r="X5937">
        <v>0.94446589999999997</v>
      </c>
      <c r="Y5937">
        <v>-0.46252709999999903</v>
      </c>
      <c r="Z5937">
        <v>9.7388839999999997E-3</v>
      </c>
      <c r="AA5937">
        <v>0.8865516</v>
      </c>
      <c r="AB5937">
        <v>30</v>
      </c>
      <c r="AC5937">
        <v>0.68969999999998699</v>
      </c>
      <c r="AD5937">
        <v>-7.2079999999999894E-2</v>
      </c>
      <c r="AE5937">
        <v>0.54970000000000097</v>
      </c>
      <c r="AF5937">
        <v>-0.47191350370950902</v>
      </c>
      <c r="AG5937">
        <v>-7.2079999999999894E-2</v>
      </c>
      <c r="AH5937">
        <v>0.73815036409683599</v>
      </c>
      <c r="AI5937">
        <v>94.7032911854118</v>
      </c>
      <c r="AJ5937">
        <v>122.591551321804</v>
      </c>
      <c r="AK5937">
        <v>0.87906987287682503</v>
      </c>
    </row>
    <row r="5938" spans="1:37" x14ac:dyDescent="0.2">
      <c r="A5938" t="str">
        <f>"20200111153545967"</f>
        <v>20200111153545967</v>
      </c>
      <c r="B5938" t="str">
        <f>"1578728145961183"</f>
        <v>1578728145961183</v>
      </c>
      <c r="C5938" t="s">
        <v>37</v>
      </c>
      <c r="D5938">
        <v>4.8684279999999998</v>
      </c>
      <c r="E5938">
        <v>0.44197039999999999</v>
      </c>
      <c r="F5938" t="s">
        <v>40</v>
      </c>
      <c r="G5938">
        <v>-212.49979999999999</v>
      </c>
      <c r="H5938">
        <v>1.0442100000000001</v>
      </c>
      <c r="I5938">
        <v>-62.966290000000001</v>
      </c>
      <c r="J5938">
        <v>-213.14019999999999</v>
      </c>
      <c r="K5938">
        <v>1.111318</v>
      </c>
      <c r="L5938">
        <v>-63.468600000000002</v>
      </c>
      <c r="M5938">
        <v>0.99405030000000005</v>
      </c>
      <c r="N5938">
        <v>0</v>
      </c>
      <c r="O5938">
        <v>0.1076971</v>
      </c>
      <c r="P5938">
        <v>0.90313149999999998</v>
      </c>
      <c r="Q5938">
        <v>-1.008262E-2</v>
      </c>
      <c r="R5938">
        <v>0.4292456</v>
      </c>
      <c r="S5938">
        <v>2.5198520000000002</v>
      </c>
      <c r="T5938">
        <v>-0.21721209999999999</v>
      </c>
      <c r="U5938">
        <v>1.6868289999999999</v>
      </c>
      <c r="V5938">
        <v>-0.32951329999999901</v>
      </c>
      <c r="W5938">
        <v>2.4015270000000001E-4</v>
      </c>
      <c r="X5938">
        <v>0.94415090000000002</v>
      </c>
      <c r="Y5938">
        <v>-0.46264240000000001</v>
      </c>
      <c r="Z5938">
        <v>9.7381269999999992E-3</v>
      </c>
      <c r="AA5938">
        <v>0.88649149999999999</v>
      </c>
      <c r="AB5938">
        <v>30</v>
      </c>
      <c r="AC5938">
        <v>0.64039999999999897</v>
      </c>
      <c r="AD5938">
        <v>-6.7107999999999904E-2</v>
      </c>
      <c r="AE5938">
        <v>0.50231000000000103</v>
      </c>
      <c r="AF5938">
        <v>-0.42750292910395898</v>
      </c>
      <c r="AG5938">
        <v>-6.7107999999999904E-2</v>
      </c>
      <c r="AH5938">
        <v>0.68611427547289106</v>
      </c>
      <c r="AI5938">
        <v>94.745430916912795</v>
      </c>
      <c r="AJ5938">
        <v>121.92613873719699</v>
      </c>
      <c r="AK5938">
        <v>0.81118126030139204</v>
      </c>
    </row>
    <row r="5939" spans="1:37" x14ac:dyDescent="0.2">
      <c r="A5939" t="str">
        <f>"20200111153545977"</f>
        <v>20200111153545977</v>
      </c>
      <c r="B5939" t="str">
        <f>"1578728145971918"</f>
        <v>1578728145971918</v>
      </c>
      <c r="C5939" t="s">
        <v>37</v>
      </c>
      <c r="D5939">
        <v>4.844665</v>
      </c>
      <c r="E5939">
        <v>0.44223980000000002</v>
      </c>
      <c r="F5939" t="s">
        <v>40</v>
      </c>
      <c r="G5939">
        <v>-212.32299999999901</v>
      </c>
      <c r="H5939">
        <v>1.0401940000000001</v>
      </c>
      <c r="I5939">
        <v>-62.917159999999903</v>
      </c>
      <c r="J5939">
        <v>-213.00229999999999</v>
      </c>
      <c r="K5939">
        <v>1.1113999999999999</v>
      </c>
      <c r="L5939">
        <v>-63.450130000000001</v>
      </c>
      <c r="M5939">
        <v>0.99362669999999997</v>
      </c>
      <c r="N5939">
        <v>0</v>
      </c>
      <c r="O5939">
        <v>0.11155080000000001</v>
      </c>
      <c r="P5939">
        <v>0.90105519999999995</v>
      </c>
      <c r="Q5939">
        <v>-9.4265249999999998E-3</v>
      </c>
      <c r="R5939">
        <v>0.43360209999999999</v>
      </c>
      <c r="S5939">
        <v>2.5130619999999899</v>
      </c>
      <c r="T5939">
        <v>-0.21873570000000001</v>
      </c>
      <c r="U5939">
        <v>1.6963809999999999</v>
      </c>
      <c r="V5939">
        <v>-0.3304203</v>
      </c>
      <c r="W5939">
        <v>7.2461649999999895E-4</v>
      </c>
      <c r="X5939">
        <v>0.94383359999999905</v>
      </c>
      <c r="Y5939">
        <v>-0.46262799999999998</v>
      </c>
      <c r="Z5939">
        <v>9.5213880000000004E-3</v>
      </c>
      <c r="AA5939">
        <v>0.88650139999999999</v>
      </c>
      <c r="AB5939">
        <v>30</v>
      </c>
      <c r="AC5939">
        <v>0.67930000000001201</v>
      </c>
      <c r="AD5939">
        <v>-7.1205999999999797E-2</v>
      </c>
      <c r="AE5939">
        <v>0.53297000000000505</v>
      </c>
      <c r="AF5939">
        <v>-0.450790420682953</v>
      </c>
      <c r="AG5939">
        <v>-7.1205999999999797E-2</v>
      </c>
      <c r="AH5939">
        <v>0.72955838692459196</v>
      </c>
      <c r="AI5939">
        <v>94.746379501660797</v>
      </c>
      <c r="AJ5939">
        <v>121.71170829089</v>
      </c>
      <c r="AK5939">
        <v>0.86054502366089303</v>
      </c>
    </row>
    <row r="5940" spans="1:37" x14ac:dyDescent="0.2">
      <c r="A5940" t="str">
        <f>"20200111153545989"</f>
        <v>20200111153545989</v>
      </c>
      <c r="B5940" t="str">
        <f>"1578728145981678"</f>
        <v>1578728145981678</v>
      </c>
      <c r="C5940" t="s">
        <v>37</v>
      </c>
      <c r="D5940">
        <v>4.8509690000000001</v>
      </c>
      <c r="E5940">
        <v>0.44250479999999998</v>
      </c>
      <c r="F5940" t="s">
        <v>40</v>
      </c>
      <c r="G5940">
        <v>-212.22229999999999</v>
      </c>
      <c r="H5940">
        <v>1.042915</v>
      </c>
      <c r="I5940">
        <v>-62.919150000000002</v>
      </c>
      <c r="J5940">
        <v>-212.85230000000001</v>
      </c>
      <c r="K5940">
        <v>1.1114930000000001</v>
      </c>
      <c r="L5940">
        <v>-63.428890000000003</v>
      </c>
      <c r="M5940">
        <v>0.99313629999999997</v>
      </c>
      <c r="N5940">
        <v>0</v>
      </c>
      <c r="O5940">
        <v>0.115847399999999</v>
      </c>
      <c r="P5940">
        <v>0.89878950000000002</v>
      </c>
      <c r="Q5940">
        <v>-8.7535959999999902E-3</v>
      </c>
      <c r="R5940">
        <v>0.43829299999999999</v>
      </c>
      <c r="S5940">
        <v>2.5060119999999899</v>
      </c>
      <c r="T5940">
        <v>-0.220027799999999</v>
      </c>
      <c r="U5940">
        <v>1.706421</v>
      </c>
      <c r="V5940">
        <v>-0.33126609999999901</v>
      </c>
      <c r="W5940">
        <v>1.2224359999999999E-3</v>
      </c>
      <c r="X5940">
        <v>0.94353659999999995</v>
      </c>
      <c r="Y5940">
        <v>-0.46238210000000002</v>
      </c>
      <c r="Z5940">
        <v>9.2472839999999997E-3</v>
      </c>
      <c r="AA5940">
        <v>0.88663259999999899</v>
      </c>
      <c r="AB5940">
        <v>30</v>
      </c>
      <c r="AC5940">
        <v>0.63000000000002299</v>
      </c>
      <c r="AD5940">
        <v>-6.8578E-2</v>
      </c>
      <c r="AE5940">
        <v>0.50973999999999997</v>
      </c>
      <c r="AF5940">
        <v>-0.43023275987606502</v>
      </c>
      <c r="AG5940">
        <v>-6.8578E-2</v>
      </c>
      <c r="AH5940">
        <v>0.67994767026902003</v>
      </c>
      <c r="AI5940">
        <v>94.871504099817699</v>
      </c>
      <c r="AJ5940">
        <v>122.32333447460699</v>
      </c>
      <c r="AK5940">
        <v>0.80754690517569605</v>
      </c>
    </row>
    <row r="5941" spans="1:37" x14ac:dyDescent="0.2">
      <c r="A5941" t="str">
        <f>"20200111153546000"</f>
        <v>20200111153546000</v>
      </c>
      <c r="B5941" t="str">
        <f>"1578728145991439"</f>
        <v>1578728145991439</v>
      </c>
      <c r="C5941" t="s">
        <v>37</v>
      </c>
      <c r="D5941">
        <v>4.8414269999999897</v>
      </c>
      <c r="E5941">
        <v>0.4427411</v>
      </c>
      <c r="F5941" t="s">
        <v>40</v>
      </c>
      <c r="G5941">
        <v>-212.06219999999999</v>
      </c>
      <c r="H5941">
        <v>1.041882</v>
      </c>
      <c r="I5941">
        <v>-62.885669999999998</v>
      </c>
      <c r="J5941">
        <v>-212.71440000000001</v>
      </c>
      <c r="K5941">
        <v>1.111577</v>
      </c>
      <c r="L5941">
        <v>-63.409179999999999</v>
      </c>
      <c r="M5941">
        <v>0.99266679999999996</v>
      </c>
      <c r="N5941">
        <v>0</v>
      </c>
      <c r="O5941">
        <v>0.1198148</v>
      </c>
      <c r="P5941">
        <v>0.89670369999999999</v>
      </c>
      <c r="Q5941">
        <v>-8.3570199999999997E-3</v>
      </c>
      <c r="R5941">
        <v>0.44255240000000001</v>
      </c>
      <c r="S5941">
        <v>2.498062</v>
      </c>
      <c r="T5941">
        <v>-0.2200857</v>
      </c>
      <c r="U5941">
        <v>1.7177119999999999</v>
      </c>
      <c r="V5941">
        <v>-0.33197719999999997</v>
      </c>
      <c r="W5941">
        <v>1.459901E-3</v>
      </c>
      <c r="X5941">
        <v>0.94328630000000002</v>
      </c>
      <c r="Y5941">
        <v>-0.46288629999999997</v>
      </c>
      <c r="Z5941">
        <v>8.9758649999999995E-3</v>
      </c>
      <c r="AA5941">
        <v>0.88637219999999906</v>
      </c>
      <c r="AB5941">
        <v>30</v>
      </c>
      <c r="AC5941">
        <v>0.65220000000002099</v>
      </c>
      <c r="AD5941">
        <v>-6.9694999999999993E-2</v>
      </c>
      <c r="AE5941">
        <v>0.52351000000000802</v>
      </c>
      <c r="AF5941">
        <v>-0.43853896876868398</v>
      </c>
      <c r="AG5941">
        <v>-6.9694999999999993E-2</v>
      </c>
      <c r="AH5941">
        <v>0.70533440220872501</v>
      </c>
      <c r="AI5941">
        <v>94.796696860272306</v>
      </c>
      <c r="AJ5941">
        <v>121.871124899113</v>
      </c>
      <c r="AK5941">
        <v>0.83346891909227205</v>
      </c>
    </row>
    <row r="5942" spans="1:37" x14ac:dyDescent="0.2">
      <c r="A5942" t="str">
        <f>"20200111153546009"</f>
        <v>20200111153546009</v>
      </c>
      <c r="B5942" t="str">
        <f>"1578728146001198"</f>
        <v>1578728146001198</v>
      </c>
      <c r="C5942" t="s">
        <v>37</v>
      </c>
      <c r="D5942">
        <v>4.8399320000000001</v>
      </c>
      <c r="E5942">
        <v>0.44300800000000001</v>
      </c>
      <c r="F5942" t="s">
        <v>40</v>
      </c>
      <c r="G5942">
        <v>-211.8235</v>
      </c>
      <c r="H5942">
        <v>1.0325660000000001</v>
      </c>
      <c r="I5942">
        <v>-62.791260000000001</v>
      </c>
      <c r="J5942">
        <v>-212.57069999999999</v>
      </c>
      <c r="K5942">
        <v>1.111667</v>
      </c>
      <c r="L5942">
        <v>-63.387509999999999</v>
      </c>
      <c r="M5942">
        <v>0.99214769999999897</v>
      </c>
      <c r="N5942">
        <v>0</v>
      </c>
      <c r="O5942">
        <v>0.1240492</v>
      </c>
      <c r="P5942">
        <v>0.89445909999999995</v>
      </c>
      <c r="Q5942">
        <v>-7.7462269999999996E-3</v>
      </c>
      <c r="R5942">
        <v>0.447082799999999</v>
      </c>
      <c r="S5942">
        <v>2.4908600000000001</v>
      </c>
      <c r="T5942">
        <v>-0.22090409999999999</v>
      </c>
      <c r="U5942">
        <v>1.727722</v>
      </c>
      <c r="V5942">
        <v>-0.33273249999999999</v>
      </c>
      <c r="W5942">
        <v>1.9133710000000001E-3</v>
      </c>
      <c r="X5942">
        <v>0.9430193</v>
      </c>
      <c r="Y5942">
        <v>-0.46271479999999998</v>
      </c>
      <c r="Z5942">
        <v>8.6848919999999996E-3</v>
      </c>
      <c r="AA5942">
        <v>0.886464699999999</v>
      </c>
      <c r="AB5942">
        <v>30</v>
      </c>
      <c r="AC5942">
        <v>0.74719999999999198</v>
      </c>
      <c r="AD5942">
        <v>-7.9100999999999796E-2</v>
      </c>
      <c r="AE5942">
        <v>0.59624999999999695</v>
      </c>
      <c r="AF5942">
        <v>-0.495549017332932</v>
      </c>
      <c r="AG5942">
        <v>-7.9100999999999796E-2</v>
      </c>
      <c r="AH5942">
        <v>0.80985585082683798</v>
      </c>
      <c r="AI5942">
        <v>94.762505597292204</v>
      </c>
      <c r="AJ5942">
        <v>121.462372217902</v>
      </c>
      <c r="AK5942">
        <v>0.95272886798873502</v>
      </c>
    </row>
    <row r="5943" spans="1:37" x14ac:dyDescent="0.2">
      <c r="A5943" t="str">
        <f>"20200111153546021"</f>
        <v>20200111153546021</v>
      </c>
      <c r="B5943" t="str">
        <f>"1578728146011935"</f>
        <v>1578728146011935</v>
      </c>
      <c r="C5943" t="s">
        <v>37</v>
      </c>
      <c r="D5943">
        <v>7.1442189999999997</v>
      </c>
      <c r="E5943">
        <v>0.44344259999999902</v>
      </c>
      <c r="F5943" t="s">
        <v>40</v>
      </c>
      <c r="G5943">
        <v>-211.80279999999999</v>
      </c>
      <c r="H5943">
        <v>1.0432520000000001</v>
      </c>
      <c r="I5943">
        <v>-62.849899999999998</v>
      </c>
      <c r="J5943">
        <v>-212.42740000000001</v>
      </c>
      <c r="K5943">
        <v>1.1117569999999899</v>
      </c>
      <c r="L5943">
        <v>-63.365569999999998</v>
      </c>
      <c r="M5943">
        <v>0.99160859999999995</v>
      </c>
      <c r="N5943">
        <v>0</v>
      </c>
      <c r="O5943">
        <v>0.1282964</v>
      </c>
      <c r="P5943">
        <v>0.89220290000000002</v>
      </c>
      <c r="Q5943">
        <v>-7.2140540000000001E-3</v>
      </c>
      <c r="R5943">
        <v>0.45157730000000001</v>
      </c>
      <c r="S5943">
        <v>2.4830930000000002</v>
      </c>
      <c r="T5943">
        <v>-0.22122039999999901</v>
      </c>
      <c r="U5943">
        <v>1.7384949999999999</v>
      </c>
      <c r="V5943">
        <v>-0.33344669999999998</v>
      </c>
      <c r="W5943">
        <v>2.2915019999999999E-3</v>
      </c>
      <c r="X5943">
        <v>0.9427662</v>
      </c>
      <c r="Y5943">
        <v>-0.46281119999999998</v>
      </c>
      <c r="Z5943">
        <v>8.3827499999999996E-3</v>
      </c>
      <c r="AA5943">
        <v>0.88641729999999996</v>
      </c>
      <c r="AB5943">
        <v>30</v>
      </c>
      <c r="AC5943">
        <v>0.62460000000001503</v>
      </c>
      <c r="AD5943">
        <v>-6.8504999999999802E-2</v>
      </c>
      <c r="AE5943">
        <v>0.51566999999999996</v>
      </c>
      <c r="AF5943">
        <v>-0.42820021194694102</v>
      </c>
      <c r="AG5943">
        <v>-6.8504999999999802E-2</v>
      </c>
      <c r="AH5943">
        <v>0.68073429243006001</v>
      </c>
      <c r="AI5943">
        <v>94.868867953997693</v>
      </c>
      <c r="AJ5943">
        <v>122.17099899237</v>
      </c>
      <c r="AK5943">
        <v>0.80712299770645901</v>
      </c>
    </row>
    <row r="5944" spans="1:37" x14ac:dyDescent="0.2">
      <c r="A5944" t="str">
        <f>"20200111153546031"</f>
        <v>20200111153546031</v>
      </c>
      <c r="B5944" t="str">
        <f>"1578728146021696"</f>
        <v>1578728146021696</v>
      </c>
      <c r="C5944" t="s">
        <v>37</v>
      </c>
      <c r="D5944">
        <v>4.8161529999999999</v>
      </c>
      <c r="E5944">
        <v>0.44385530000000001</v>
      </c>
      <c r="F5944" t="s">
        <v>40</v>
      </c>
      <c r="G5944">
        <v>-211.5643</v>
      </c>
      <c r="H5944">
        <v>1.034246</v>
      </c>
      <c r="I5944">
        <v>-62.756340000000002</v>
      </c>
      <c r="J5944">
        <v>-212.291</v>
      </c>
      <c r="K5944">
        <v>1.1118410000000001</v>
      </c>
      <c r="L5944">
        <v>-63.343809999999998</v>
      </c>
      <c r="M5944">
        <v>0.99106839999999996</v>
      </c>
      <c r="N5944">
        <v>0</v>
      </c>
      <c r="O5944">
        <v>0.132411</v>
      </c>
      <c r="P5944">
        <v>0.88992890000000002</v>
      </c>
      <c r="Q5944">
        <v>-6.6546519999999996E-3</v>
      </c>
      <c r="R5944">
        <v>0.45605069999999998</v>
      </c>
      <c r="S5944">
        <v>2.4760439999999999</v>
      </c>
      <c r="T5944">
        <v>-0.22234989999999999</v>
      </c>
      <c r="U5944">
        <v>1.7477720000000001</v>
      </c>
      <c r="V5944">
        <v>-0.33427420000000002</v>
      </c>
      <c r="W5944">
        <v>2.7096870000000001E-3</v>
      </c>
      <c r="X5944">
        <v>0.94247199999999998</v>
      </c>
      <c r="Y5944">
        <v>-0.46254059999999902</v>
      </c>
      <c r="Z5944">
        <v>8.1035940000000004E-3</v>
      </c>
      <c r="AA5944">
        <v>0.88656109999999899</v>
      </c>
      <c r="AB5944">
        <v>30</v>
      </c>
      <c r="AC5944">
        <v>0.72669999999999302</v>
      </c>
      <c r="AD5944">
        <v>-7.7594999999999997E-2</v>
      </c>
      <c r="AE5944">
        <v>0.58746999999999605</v>
      </c>
      <c r="AF5944">
        <v>-0.48273228836349302</v>
      </c>
      <c r="AG5944">
        <v>-7.7594999999999997E-2</v>
      </c>
      <c r="AH5944">
        <v>0.79263161243235702</v>
      </c>
      <c r="AI5944">
        <v>94.779377995109698</v>
      </c>
      <c r="AJ5944">
        <v>121.34245016301</v>
      </c>
      <c r="AK5944">
        <v>0.93129819031326999</v>
      </c>
    </row>
    <row r="5945" spans="1:37" x14ac:dyDescent="0.2">
      <c r="A5945" t="str">
        <f>"20200111153546044"</f>
        <v>20200111153546044</v>
      </c>
      <c r="B5945" t="str">
        <f>"1578728146031455"</f>
        <v>1578728146031455</v>
      </c>
      <c r="C5945" t="s">
        <v>37</v>
      </c>
      <c r="D5945">
        <v>4.9092880000000001</v>
      </c>
      <c r="E5945">
        <v>0.44420500000000002</v>
      </c>
      <c r="F5945" t="s">
        <v>40</v>
      </c>
      <c r="G5945">
        <v>-211.54320000000001</v>
      </c>
      <c r="H5945">
        <v>1.044241</v>
      </c>
      <c r="I5945">
        <v>-62.811659999999897</v>
      </c>
      <c r="J5945">
        <v>-212.1447</v>
      </c>
      <c r="K5945">
        <v>1.1119289999999999</v>
      </c>
      <c r="L5945">
        <v>-63.319980000000001</v>
      </c>
      <c r="M5945">
        <v>0.99046469999999898</v>
      </c>
      <c r="N5945">
        <v>0</v>
      </c>
      <c r="O5945">
        <v>0.13686110000000001</v>
      </c>
      <c r="P5945">
        <v>0.88747099999999901</v>
      </c>
      <c r="Q5945">
        <v>-6.1833449999999998E-3</v>
      </c>
      <c r="R5945">
        <v>0.46082219999999902</v>
      </c>
      <c r="S5945">
        <v>2.4689329999999998</v>
      </c>
      <c r="T5945">
        <v>-0.22319610000000001</v>
      </c>
      <c r="U5945">
        <v>1.7571410000000001</v>
      </c>
      <c r="V5945">
        <v>-0.33510830000000003</v>
      </c>
      <c r="W5945">
        <v>3.034414E-3</v>
      </c>
      <c r="X5945">
        <v>0.94217469999999903</v>
      </c>
      <c r="Y5945">
        <v>-0.46200449999999998</v>
      </c>
      <c r="Z5945">
        <v>7.7736840000000003E-3</v>
      </c>
      <c r="AA5945">
        <v>0.88684349999999901</v>
      </c>
      <c r="AB5945">
        <v>30</v>
      </c>
      <c r="AC5945">
        <v>0.60149999999998705</v>
      </c>
      <c r="AD5945">
        <v>-6.7688000000000095E-2</v>
      </c>
      <c r="AE5945">
        <v>0.50832000000001099</v>
      </c>
      <c r="AF5945">
        <v>-0.41811462585048798</v>
      </c>
      <c r="AG5945">
        <v>-6.7688000000000095E-2</v>
      </c>
      <c r="AH5945">
        <v>0.66053679043096103</v>
      </c>
      <c r="AI5945">
        <v>94.948643602830899</v>
      </c>
      <c r="AJ5945">
        <v>122.33349070992899</v>
      </c>
      <c r="AK5945">
        <v>0.784672133573589</v>
      </c>
    </row>
    <row r="5946" spans="1:37" x14ac:dyDescent="0.2">
      <c r="A5946" t="str">
        <f>"20200111153546055"</f>
        <v>20200111153546055</v>
      </c>
      <c r="B5946" t="str">
        <f>"1578728146051951"</f>
        <v>1578728146051951</v>
      </c>
      <c r="C5946" t="s">
        <v>37</v>
      </c>
      <c r="D5946">
        <v>4.7168559999999999</v>
      </c>
      <c r="E5946">
        <v>0.44423029999999902</v>
      </c>
      <c r="F5946" t="s">
        <v>40</v>
      </c>
      <c r="G5946">
        <v>-211.30629999999999</v>
      </c>
      <c r="H5946">
        <v>1.0355799999999999</v>
      </c>
      <c r="I5946">
        <v>-62.717730000000003</v>
      </c>
      <c r="J5946">
        <v>-211.9914</v>
      </c>
      <c r="K5946">
        <v>1.112018</v>
      </c>
      <c r="L5946">
        <v>-63.294159999999998</v>
      </c>
      <c r="M5946">
        <v>0.98980179999999995</v>
      </c>
      <c r="N5946">
        <v>0</v>
      </c>
      <c r="O5946">
        <v>0.1415825</v>
      </c>
      <c r="P5946">
        <v>0.88478259999999898</v>
      </c>
      <c r="Q5946">
        <v>-5.3692719999999996E-3</v>
      </c>
      <c r="R5946">
        <v>0.46597339999999998</v>
      </c>
      <c r="S5946">
        <v>2.460861</v>
      </c>
      <c r="T5946">
        <v>-0.22410379999999999</v>
      </c>
      <c r="U5946">
        <v>1.767914</v>
      </c>
      <c r="V5946">
        <v>-0.33610519999999999</v>
      </c>
      <c r="W5946">
        <v>3.6991200000000002E-3</v>
      </c>
      <c r="X5946">
        <v>0.94181719999999902</v>
      </c>
      <c r="Y5946">
        <v>-0.46172150000000001</v>
      </c>
      <c r="Z5946">
        <v>7.4327739999999996E-3</v>
      </c>
      <c r="AA5946">
        <v>0.88699380000000005</v>
      </c>
      <c r="AB5946">
        <v>30</v>
      </c>
      <c r="AC5946">
        <v>0.68510000000000504</v>
      </c>
      <c r="AD5946">
        <v>-7.6438000000000006E-2</v>
      </c>
      <c r="AE5946">
        <v>0.576429999999994</v>
      </c>
      <c r="AF5946">
        <v>-0.47018474860294102</v>
      </c>
      <c r="AG5946">
        <v>-7.6438000000000006E-2</v>
      </c>
      <c r="AH5946">
        <v>0.75432144835326098</v>
      </c>
      <c r="AI5946">
        <v>94.915081930083204</v>
      </c>
      <c r="AJ5946">
        <v>121.936172846842</v>
      </c>
      <c r="AK5946">
        <v>0.89214198035322401</v>
      </c>
    </row>
    <row r="5947" spans="1:37" x14ac:dyDescent="0.2">
      <c r="A5947" t="str">
        <f>"20200111153546067"</f>
        <v>20200111153546067</v>
      </c>
      <c r="B5947" t="str">
        <f>"1578728146061711"</f>
        <v>1578728146061711</v>
      </c>
      <c r="C5947" t="s">
        <v>37</v>
      </c>
      <c r="D5947">
        <v>4.7038449999999896</v>
      </c>
      <c r="E5947">
        <v>0.41045109999999901</v>
      </c>
      <c r="F5947" t="s">
        <v>40</v>
      </c>
      <c r="G5947">
        <v>-211.2439</v>
      </c>
      <c r="H5947">
        <v>1.0441530000000001</v>
      </c>
      <c r="I5947">
        <v>-62.7506699999999</v>
      </c>
      <c r="J5947">
        <v>-211.8467</v>
      </c>
      <c r="K5947">
        <v>1.112106</v>
      </c>
      <c r="L5947">
        <v>-63.268919999999902</v>
      </c>
      <c r="M5947">
        <v>0.98914429999999998</v>
      </c>
      <c r="N5947">
        <v>0</v>
      </c>
      <c r="O5947">
        <v>0.1461104</v>
      </c>
      <c r="P5947">
        <v>0.88219899999999996</v>
      </c>
      <c r="Q5947">
        <v>-4.7246199999999997E-3</v>
      </c>
      <c r="R5947">
        <v>0.47085320000000003</v>
      </c>
      <c r="S5947">
        <v>2.450806</v>
      </c>
      <c r="T5947">
        <v>-0.22249179999999899</v>
      </c>
      <c r="U5947">
        <v>1.7820130000000001</v>
      </c>
      <c r="V5947">
        <v>-0.33700799999999997</v>
      </c>
      <c r="W5947">
        <v>4.2098090000000001E-3</v>
      </c>
      <c r="X5947">
        <v>0.94149240000000001</v>
      </c>
      <c r="Y5947">
        <v>-0.46275329999999898</v>
      </c>
      <c r="Z5947">
        <v>7.0799740000000002E-3</v>
      </c>
      <c r="AA5947">
        <v>0.88645890000000005</v>
      </c>
      <c r="AB5947">
        <v>30</v>
      </c>
      <c r="AC5947">
        <v>0.602800000000002</v>
      </c>
      <c r="AD5947">
        <v>-6.7952999999999902E-2</v>
      </c>
      <c r="AE5947">
        <v>0.51825000000000099</v>
      </c>
      <c r="AF5947">
        <v>-0.42152075043598403</v>
      </c>
      <c r="AG5947">
        <v>-6.7952999999999902E-2</v>
      </c>
      <c r="AH5947">
        <v>0.667185269048159</v>
      </c>
      <c r="AI5947">
        <v>94.921319333605894</v>
      </c>
      <c r="AJ5947">
        <v>122.284273619358</v>
      </c>
      <c r="AK5947">
        <v>0.792107023382561</v>
      </c>
    </row>
    <row r="5948" spans="1:37" x14ac:dyDescent="0.2">
      <c r="A5948" t="str">
        <f>"20200111153546077"</f>
        <v>20200111153546077</v>
      </c>
      <c r="B5948" t="str">
        <f>"1578728146071471"</f>
        <v>1578728146071471</v>
      </c>
      <c r="C5948" t="s">
        <v>37</v>
      </c>
      <c r="D5948">
        <v>4.7976489999999998</v>
      </c>
      <c r="E5948">
        <v>0.41045109999999901</v>
      </c>
      <c r="F5948" t="s">
        <v>40</v>
      </c>
      <c r="G5948">
        <v>-211.07990000000001</v>
      </c>
      <c r="H5948">
        <v>1.03982</v>
      </c>
      <c r="I5948">
        <v>-62.595080000000003</v>
      </c>
      <c r="J5948">
        <v>-211.70249999999999</v>
      </c>
      <c r="K5948">
        <v>1.1121859999999999</v>
      </c>
      <c r="L5948">
        <v>-63.243380000000002</v>
      </c>
      <c r="M5948">
        <v>0.9884636</v>
      </c>
      <c r="N5948">
        <v>0</v>
      </c>
      <c r="O5948">
        <v>0.15065110000000001</v>
      </c>
      <c r="P5948">
        <v>0.87953440000000005</v>
      </c>
      <c r="Q5948">
        <v>-4.0966420000000002E-3</v>
      </c>
      <c r="R5948">
        <v>0.47581769999999901</v>
      </c>
      <c r="S5948">
        <v>2.314041</v>
      </c>
      <c r="T5948">
        <v>-0.21815389999999901</v>
      </c>
      <c r="U5948">
        <v>2.0335999999999999</v>
      </c>
      <c r="V5948">
        <v>-0.33800089999999999</v>
      </c>
      <c r="W5948">
        <v>4.7042830000000001E-3</v>
      </c>
      <c r="X5948">
        <v>0.94113400000000003</v>
      </c>
      <c r="Y5948">
        <v>-0.53846780000000005</v>
      </c>
      <c r="Z5948">
        <v>9.778218E-3</v>
      </c>
      <c r="AA5948">
        <v>0.84258940000000004</v>
      </c>
      <c r="AB5948">
        <v>30</v>
      </c>
      <c r="AC5948">
        <v>0.62259999999997695</v>
      </c>
      <c r="AD5948">
        <v>-7.2366000000000097E-2</v>
      </c>
      <c r="AE5948">
        <v>0.64829999999999899</v>
      </c>
      <c r="AF5948">
        <v>-0.54356898343906701</v>
      </c>
      <c r="AG5948">
        <v>-7.2366000000000097E-2</v>
      </c>
      <c r="AH5948">
        <v>0.70857864381709301</v>
      </c>
      <c r="AI5948">
        <v>94.632656852973298</v>
      </c>
      <c r="AJ5948">
        <v>127.49274519563799</v>
      </c>
      <c r="AK5948">
        <v>0.89598424773354801</v>
      </c>
    </row>
    <row r="5949" spans="1:37" x14ac:dyDescent="0.2">
      <c r="A5949" t="str">
        <f>"20200111153546089"</f>
        <v>20200111153546089</v>
      </c>
      <c r="B5949" t="str">
        <f>"1578728146081230"</f>
        <v>1578728146081230</v>
      </c>
      <c r="C5949" t="s">
        <v>37</v>
      </c>
      <c r="D5949">
        <v>5.1266930000000004</v>
      </c>
      <c r="E5949">
        <v>0.36605009999999999</v>
      </c>
      <c r="F5949" t="s">
        <v>40</v>
      </c>
      <c r="G5949">
        <v>-211.05289999999999</v>
      </c>
      <c r="H5949">
        <v>1.0510930000000001</v>
      </c>
      <c r="I5949">
        <v>-62.666059999999902</v>
      </c>
      <c r="J5949">
        <v>-211.5599</v>
      </c>
      <c r="K5949">
        <v>1.1122650000000001</v>
      </c>
      <c r="L5949">
        <v>-63.216919999999902</v>
      </c>
      <c r="M5949">
        <v>0.98775609999999903</v>
      </c>
      <c r="N5949">
        <v>0</v>
      </c>
      <c r="O5949">
        <v>0.1552267</v>
      </c>
      <c r="P5949">
        <v>0.87670890000000001</v>
      </c>
      <c r="Q5949">
        <v>-3.6223229999999898E-3</v>
      </c>
      <c r="R5949">
        <v>0.48100769999999998</v>
      </c>
      <c r="S5949">
        <v>2.302673</v>
      </c>
      <c r="T5949">
        <v>-0.21657709999999999</v>
      </c>
      <c r="U5949">
        <v>2.0466310000000001</v>
      </c>
      <c r="V5949">
        <v>-0.33921269999999998</v>
      </c>
      <c r="W5949">
        <v>5.0480769999999998E-3</v>
      </c>
      <c r="X5949">
        <v>0.94069619999999998</v>
      </c>
      <c r="Y5949">
        <v>-0.53931830000000003</v>
      </c>
      <c r="Z5949">
        <v>9.4094069999999998E-3</v>
      </c>
      <c r="AA5949">
        <v>0.84204939999999995</v>
      </c>
      <c r="AB5949">
        <v>30</v>
      </c>
      <c r="AC5949">
        <v>0.507000000000005</v>
      </c>
      <c r="AD5949">
        <v>-6.1171999999999997E-2</v>
      </c>
      <c r="AE5949">
        <v>0.55086000000000002</v>
      </c>
      <c r="AF5949">
        <v>-0.46238484381747003</v>
      </c>
      <c r="AG5949">
        <v>-6.1171999999999997E-2</v>
      </c>
      <c r="AH5949">
        <v>0.58248283660022304</v>
      </c>
      <c r="AI5949">
        <v>94.702214153522803</v>
      </c>
      <c r="AJ5949">
        <v>128.443147703769</v>
      </c>
      <c r="AK5949">
        <v>0.74620909422892301</v>
      </c>
    </row>
    <row r="5950" spans="1:37" x14ac:dyDescent="0.2">
      <c r="A5950" t="str">
        <f>"20200111153546100"</f>
        <v>20200111153546100</v>
      </c>
      <c r="B5950" t="str">
        <f>"1578728146091967"</f>
        <v>1578728146091967</v>
      </c>
      <c r="C5950" t="s">
        <v>37</v>
      </c>
      <c r="D5950">
        <v>4.8767370000000003</v>
      </c>
      <c r="E5950">
        <v>0.36043819999999999</v>
      </c>
      <c r="F5950" t="s">
        <v>38</v>
      </c>
      <c r="G5950">
        <v>-161.00980000000001</v>
      </c>
      <c r="H5950">
        <v>-0.05</v>
      </c>
      <c r="I5950">
        <v>-6.393402</v>
      </c>
      <c r="J5950">
        <v>-211.41540000000001</v>
      </c>
      <c r="K5950">
        <v>1.1123459999999901</v>
      </c>
      <c r="L5950">
        <v>-63.189790000000002</v>
      </c>
      <c r="M5950">
        <v>0.98701299999999903</v>
      </c>
      <c r="N5950">
        <v>0</v>
      </c>
      <c r="O5950">
        <v>0.15988740000000001</v>
      </c>
      <c r="P5950">
        <v>0.87398719999999996</v>
      </c>
      <c r="Q5950">
        <v>-3.1408459999999901E-3</v>
      </c>
      <c r="R5950">
        <v>0.48593890000000001</v>
      </c>
      <c r="S5950">
        <v>2.116409</v>
      </c>
      <c r="T5950">
        <v>-4.866111E-2</v>
      </c>
      <c r="U5950">
        <v>2.3790589999999998</v>
      </c>
      <c r="V5950">
        <v>-0.34007989999999999</v>
      </c>
      <c r="W5950">
        <v>5.4071309999999999E-3</v>
      </c>
      <c r="X5950">
        <v>0.94038099999999902</v>
      </c>
      <c r="Y5950">
        <v>-0.6311949</v>
      </c>
      <c r="Z5950">
        <v>2.9187129999999999E-3</v>
      </c>
      <c r="AA5950">
        <v>0.77561869999999999</v>
      </c>
      <c r="AB5950">
        <v>30</v>
      </c>
      <c r="AC5950">
        <v>50.4055999999999</v>
      </c>
      <c r="AD5950">
        <v>-1.1623459999999901</v>
      </c>
      <c r="AE5950">
        <v>56.796388</v>
      </c>
      <c r="AF5950">
        <v>-47.994101989274498</v>
      </c>
      <c r="AG5950">
        <v>-1.1623459999999901</v>
      </c>
      <c r="AH5950">
        <v>58.8253281190891</v>
      </c>
      <c r="AI5950">
        <v>90.877137499163894</v>
      </c>
      <c r="AJ5950">
        <v>129.21013823541799</v>
      </c>
      <c r="AK5950">
        <v>75.928941137744701</v>
      </c>
    </row>
    <row r="5951" spans="1:37" x14ac:dyDescent="0.2">
      <c r="A5951" t="str">
        <f>"20200111153546111"</f>
        <v>20200111153546111</v>
      </c>
      <c r="B5951" t="str">
        <f>"1578728146101728"</f>
        <v>1578728146101728</v>
      </c>
      <c r="C5951" t="s">
        <v>37</v>
      </c>
      <c r="D5951">
        <v>4.8524799999999999</v>
      </c>
      <c r="E5951">
        <v>0.35864040000000003</v>
      </c>
      <c r="F5951" t="s">
        <v>38</v>
      </c>
      <c r="G5951">
        <v>-160.26230000000001</v>
      </c>
      <c r="H5951">
        <v>-0.05</v>
      </c>
      <c r="I5951">
        <v>-3.465576</v>
      </c>
      <c r="J5951">
        <v>-211.26240000000001</v>
      </c>
      <c r="K5951">
        <v>1.1124270000000001</v>
      </c>
      <c r="L5951">
        <v>-63.159819999999897</v>
      </c>
      <c r="M5951">
        <v>0.98618639999999902</v>
      </c>
      <c r="N5951">
        <v>0</v>
      </c>
      <c r="O5951">
        <v>0.16491239999999999</v>
      </c>
      <c r="P5951">
        <v>0.87111839999999996</v>
      </c>
      <c r="Q5951">
        <v>-2.9234790000000001E-3</v>
      </c>
      <c r="R5951">
        <v>0.49106470000000002</v>
      </c>
      <c r="S5951">
        <v>2.0812840000000001</v>
      </c>
      <c r="T5951">
        <v>-4.7292830000000001E-2</v>
      </c>
      <c r="U5951">
        <v>2.4300229999999998</v>
      </c>
      <c r="V5951">
        <v>-0.34081899999999998</v>
      </c>
      <c r="W5951">
        <v>5.50583699999999E-3</v>
      </c>
      <c r="X5951">
        <v>0.94011279999999997</v>
      </c>
      <c r="Y5951">
        <v>-0.64176199999999906</v>
      </c>
      <c r="Z5951">
        <v>2.8572259999999901E-3</v>
      </c>
      <c r="AA5951">
        <v>0.76689849999999904</v>
      </c>
      <c r="AB5951">
        <v>30</v>
      </c>
      <c r="AC5951">
        <v>51.000100000000003</v>
      </c>
      <c r="AD5951">
        <v>-1.1624270000000001</v>
      </c>
      <c r="AE5951">
        <v>59.694243999999998</v>
      </c>
      <c r="AF5951">
        <v>-50.454106552488298</v>
      </c>
      <c r="AG5951">
        <v>-1.1624270000000001</v>
      </c>
      <c r="AH5951">
        <v>60.133971380432698</v>
      </c>
      <c r="AI5951">
        <v>90.848410240833502</v>
      </c>
      <c r="AJ5951">
        <v>129.99760313066199</v>
      </c>
      <c r="AK5951">
        <v>78.505175743532206</v>
      </c>
    </row>
    <row r="5952" spans="1:37" x14ac:dyDescent="0.2">
      <c r="A5952" t="str">
        <f>"20200111153546124"</f>
        <v>20200111153546124</v>
      </c>
      <c r="B5952" t="str">
        <f>"1578728146111488"</f>
        <v>1578728146111488</v>
      </c>
      <c r="C5952" t="s">
        <v>37</v>
      </c>
      <c r="D5952">
        <v>4.8034910000000002</v>
      </c>
      <c r="E5952">
        <v>0.35888599999999998</v>
      </c>
      <c r="F5952" t="s">
        <v>39</v>
      </c>
      <c r="G5952">
        <v>-175.5078</v>
      </c>
      <c r="H5952">
        <v>7.9986959999999996E-2</v>
      </c>
      <c r="I5952">
        <v>-20.564239999999899</v>
      </c>
      <c r="J5952">
        <v>-211.11160000000001</v>
      </c>
      <c r="K5952">
        <v>1.112503</v>
      </c>
      <c r="L5952">
        <v>-63.1297</v>
      </c>
      <c r="M5952">
        <v>0.98533930000000003</v>
      </c>
      <c r="N5952">
        <v>0</v>
      </c>
      <c r="O5952">
        <v>0.16990359999999999</v>
      </c>
      <c r="P5952">
        <v>0.86819139999999995</v>
      </c>
      <c r="Q5952">
        <v>-2.7751009999999999E-3</v>
      </c>
      <c r="R5952">
        <v>0.496222</v>
      </c>
      <c r="S5952">
        <v>2.06012</v>
      </c>
      <c r="T5952">
        <v>-5.9487459999999999E-2</v>
      </c>
      <c r="U5952">
        <v>2.454285</v>
      </c>
      <c r="V5952">
        <v>-0.34163699999999902</v>
      </c>
      <c r="W5952">
        <v>5.5382629999999999E-3</v>
      </c>
      <c r="X5952">
        <v>0.93981569999999903</v>
      </c>
      <c r="Y5952">
        <v>-0.64546740000000002</v>
      </c>
      <c r="Z5952">
        <v>3.5402859999999902E-3</v>
      </c>
      <c r="AA5952">
        <v>0.76377969999999995</v>
      </c>
      <c r="AB5952">
        <v>30</v>
      </c>
      <c r="AC5952">
        <v>35.6038</v>
      </c>
      <c r="AD5952">
        <v>-1.03251604</v>
      </c>
      <c r="AE5952">
        <v>42.565460000000002</v>
      </c>
      <c r="AF5952">
        <v>-35.884077911131101</v>
      </c>
      <c r="AG5952">
        <v>-1.03251604</v>
      </c>
      <c r="AH5952">
        <v>42.304265031871701</v>
      </c>
      <c r="AI5952">
        <v>91.066309098315102</v>
      </c>
      <c r="AJ5952">
        <v>130.30587020333499</v>
      </c>
      <c r="AK5952">
        <v>55.483186433295501</v>
      </c>
    </row>
    <row r="5953" spans="1:37" x14ac:dyDescent="0.2">
      <c r="A5953" t="str">
        <f>"20200111153546134"</f>
        <v>20200111153546134</v>
      </c>
      <c r="B5953" t="str">
        <f>"1578728146131983"</f>
        <v>1578728146131983</v>
      </c>
      <c r="C5953" t="s">
        <v>37</v>
      </c>
      <c r="D5953">
        <v>4.7924230000000003</v>
      </c>
      <c r="E5953">
        <v>0.36031530000000001</v>
      </c>
      <c r="F5953" t="s">
        <v>39</v>
      </c>
      <c r="G5953">
        <v>-179.49799999999999</v>
      </c>
      <c r="H5953">
        <v>7.9985479999999998E-2</v>
      </c>
      <c r="I5953">
        <v>-25.062850000000001</v>
      </c>
      <c r="J5953">
        <v>-210.96719999999999</v>
      </c>
      <c r="K5953">
        <v>1.1125719999999999</v>
      </c>
      <c r="L5953">
        <v>-63.10004</v>
      </c>
      <c r="M5953">
        <v>0.98449439999999999</v>
      </c>
      <c r="N5953">
        <v>0</v>
      </c>
      <c r="O5953">
        <v>0.1747351</v>
      </c>
      <c r="P5953">
        <v>0.86538599999999999</v>
      </c>
      <c r="Q5953">
        <v>-2.697578E-3</v>
      </c>
      <c r="R5953">
        <v>0.50109870000000001</v>
      </c>
      <c r="S5953">
        <v>2.0466609999999998</v>
      </c>
      <c r="T5953">
        <v>-6.6845180000000004E-2</v>
      </c>
      <c r="U5953">
        <v>2.4644469999999998</v>
      </c>
      <c r="V5953">
        <v>-0.34231590000000001</v>
      </c>
      <c r="W5953">
        <v>5.5120350000000002E-3</v>
      </c>
      <c r="X5953">
        <v>0.93956879999999998</v>
      </c>
      <c r="Y5953">
        <v>-0.64571639999999997</v>
      </c>
      <c r="Z5953">
        <v>3.8756559999999999E-3</v>
      </c>
      <c r="AA5953">
        <v>0.76356749999999995</v>
      </c>
      <c r="AB5953">
        <v>30</v>
      </c>
      <c r="AC5953">
        <v>31.469200000000001</v>
      </c>
      <c r="AD5953">
        <v>-1.03258652</v>
      </c>
      <c r="AE5953">
        <v>38.037190000000002</v>
      </c>
      <c r="AF5953">
        <v>-31.938463128170898</v>
      </c>
      <c r="AG5953">
        <v>-1.03258652</v>
      </c>
      <c r="AH5953">
        <v>37.6157131197089</v>
      </c>
      <c r="AI5953">
        <v>91.198769190302798</v>
      </c>
      <c r="AJ5953">
        <v>130.333666937114</v>
      </c>
      <c r="AK5953">
        <v>49.356595662738499</v>
      </c>
    </row>
    <row r="5954" spans="1:37" x14ac:dyDescent="0.2">
      <c r="A5954" t="str">
        <f>"20200111153546146"</f>
        <v>20200111153546146</v>
      </c>
      <c r="B5954" t="str">
        <f>"1578728146141743"</f>
        <v>1578728146141743</v>
      </c>
      <c r="C5954" t="s">
        <v>37</v>
      </c>
      <c r="D5954">
        <v>4.7930869999999999</v>
      </c>
      <c r="E5954">
        <v>0.36074499999999998</v>
      </c>
      <c r="F5954" t="s">
        <v>39</v>
      </c>
      <c r="G5954">
        <v>-182.0966</v>
      </c>
      <c r="H5954" s="1">
        <v>-2.8376830000000001E-6</v>
      </c>
      <c r="I5954">
        <v>-28.192720000000001</v>
      </c>
      <c r="J5954">
        <v>-210.8321</v>
      </c>
      <c r="K5954">
        <v>1.112636</v>
      </c>
      <c r="L5954">
        <v>-63.071440000000003</v>
      </c>
      <c r="M5954">
        <v>0.98367269999999896</v>
      </c>
      <c r="N5954">
        <v>0</v>
      </c>
      <c r="O5954">
        <v>0.179305399999999</v>
      </c>
      <c r="P5954">
        <v>0.862703199999999</v>
      </c>
      <c r="Q5954">
        <v>-2.6799440000000001E-3</v>
      </c>
      <c r="R5954">
        <v>0.50570360000000003</v>
      </c>
      <c r="S5954">
        <v>2.03891</v>
      </c>
      <c r="T5954">
        <v>-7.8572749999999997E-2</v>
      </c>
      <c r="U5954">
        <v>2.4652400000000001</v>
      </c>
      <c r="V5954">
        <v>-0.3429606</v>
      </c>
      <c r="W5954">
        <v>5.437173E-3</v>
      </c>
      <c r="X5954">
        <v>0.939334</v>
      </c>
      <c r="Y5954">
        <v>-0.64367680000000005</v>
      </c>
      <c r="Z5954">
        <v>4.4054819999999996E-3</v>
      </c>
      <c r="AA5954">
        <v>0.76528479999999999</v>
      </c>
      <c r="AB5954">
        <v>30</v>
      </c>
      <c r="AC5954">
        <v>28.735499999999998</v>
      </c>
      <c r="AD5954">
        <v>-1.1126388376829901</v>
      </c>
      <c r="AE5954">
        <v>34.878720000000001</v>
      </c>
      <c r="AF5954">
        <v>-29.1426131457103</v>
      </c>
      <c r="AG5954">
        <v>-1.1126388376829901</v>
      </c>
      <c r="AH5954">
        <v>34.503456163367098</v>
      </c>
      <c r="AI5954">
        <v>91.411228392752506</v>
      </c>
      <c r="AJ5954">
        <v>130.18539966496201</v>
      </c>
      <c r="AK5954">
        <v>45.177631117191702</v>
      </c>
    </row>
    <row r="5955" spans="1:37" x14ac:dyDescent="0.2">
      <c r="A5955" t="str">
        <f>"20200111153546156"</f>
        <v>20200111153546156</v>
      </c>
      <c r="B5955" t="str">
        <f>"1578728146151503"</f>
        <v>1578728146151503</v>
      </c>
      <c r="C5955" t="s">
        <v>37</v>
      </c>
      <c r="D5955">
        <v>4.7913239999999897</v>
      </c>
      <c r="E5955">
        <v>0.36120000000000002</v>
      </c>
      <c r="F5955" t="s">
        <v>39</v>
      </c>
      <c r="G5955">
        <v>-183.7022</v>
      </c>
      <c r="H5955" s="1">
        <v>-1.8016149999999901E-6</v>
      </c>
      <c r="I5955">
        <v>-29.981859999999902</v>
      </c>
      <c r="J5955">
        <v>-210.69810000000001</v>
      </c>
      <c r="K5955">
        <v>1.1126969999999901</v>
      </c>
      <c r="L5955">
        <v>-63.0426</v>
      </c>
      <c r="M5955">
        <v>0.9828306</v>
      </c>
      <c r="N5955">
        <v>0</v>
      </c>
      <c r="O5955">
        <v>0.1838669</v>
      </c>
      <c r="P5955">
        <v>0.86008130000000005</v>
      </c>
      <c r="Q5955">
        <v>-2.486084E-3</v>
      </c>
      <c r="R5955">
        <v>0.51015129999999997</v>
      </c>
      <c r="S5955">
        <v>2.0275569999999998</v>
      </c>
      <c r="T5955">
        <v>-8.3153370000000004E-2</v>
      </c>
      <c r="U5955">
        <v>2.4729610000000002</v>
      </c>
      <c r="V5955">
        <v>-0.3434567</v>
      </c>
      <c r="W5955">
        <v>5.5439840000000001E-3</v>
      </c>
      <c r="X5955">
        <v>0.93915219999999899</v>
      </c>
      <c r="Y5955">
        <v>-0.64338309999999999</v>
      </c>
      <c r="Z5955">
        <v>4.5319289999999996E-3</v>
      </c>
      <c r="AA5955">
        <v>0.76553090000000001</v>
      </c>
      <c r="AB5955">
        <v>30</v>
      </c>
      <c r="AC5955">
        <v>26.995899999999999</v>
      </c>
      <c r="AD5955">
        <v>-1.1126988016149999</v>
      </c>
      <c r="AE5955">
        <v>33.060740000000003</v>
      </c>
      <c r="AF5955">
        <v>-27.514018289914699</v>
      </c>
      <c r="AG5955">
        <v>-1.1126988016149999</v>
      </c>
      <c r="AH5955">
        <v>32.592886776454399</v>
      </c>
      <c r="AI5955">
        <v>91.494333456840707</v>
      </c>
      <c r="AJ5955">
        <v>130.17013683240501</v>
      </c>
      <c r="AK5955">
        <v>42.667968893581701</v>
      </c>
    </row>
    <row r="5956" spans="1:37" x14ac:dyDescent="0.2">
      <c r="A5956" t="str">
        <f>"20200111153546167"</f>
        <v>20200111153546167</v>
      </c>
      <c r="B5956" t="str">
        <f>"1578728146161263"</f>
        <v>1578728146161263</v>
      </c>
      <c r="C5956" t="s">
        <v>37</v>
      </c>
      <c r="D5956">
        <v>4.7769339999999998</v>
      </c>
      <c r="E5956">
        <v>0.36175489999999999</v>
      </c>
      <c r="F5956" t="s">
        <v>39</v>
      </c>
      <c r="G5956">
        <v>-184.78200000000001</v>
      </c>
      <c r="H5956" s="1">
        <v>-4.87061999999999E-6</v>
      </c>
      <c r="I5956">
        <v>-31.171220000000002</v>
      </c>
      <c r="J5956">
        <v>-210.5583</v>
      </c>
      <c r="K5956">
        <v>1.1127609999999999</v>
      </c>
      <c r="L5956">
        <v>-63.011469999999903</v>
      </c>
      <c r="M5956">
        <v>0.98191569999999995</v>
      </c>
      <c r="N5956">
        <v>0</v>
      </c>
      <c r="O5956">
        <v>0.18869349999999999</v>
      </c>
      <c r="P5956">
        <v>0.85729829999999996</v>
      </c>
      <c r="Q5956">
        <v>-2.571991E-3</v>
      </c>
      <c r="R5956">
        <v>0.51481359999999998</v>
      </c>
      <c r="S5956">
        <v>2.0167079999999999</v>
      </c>
      <c r="T5956">
        <v>-8.6587070000000002E-2</v>
      </c>
      <c r="U5956">
        <v>2.4801329999999999</v>
      </c>
      <c r="V5956">
        <v>-0.34394049999999998</v>
      </c>
      <c r="W5956">
        <v>5.3727990000000002E-3</v>
      </c>
      <c r="X5956">
        <v>0.93897600000000003</v>
      </c>
      <c r="Y5956">
        <v>-0.64270950000000004</v>
      </c>
      <c r="Z5956">
        <v>4.5679259999999999E-3</v>
      </c>
      <c r="AA5956">
        <v>0.76609640000000001</v>
      </c>
      <c r="AB5956">
        <v>30</v>
      </c>
      <c r="AC5956">
        <v>25.7762999999999</v>
      </c>
      <c r="AD5956">
        <v>-1.1127658706200001</v>
      </c>
      <c r="AE5956">
        <v>31.840249999999902</v>
      </c>
      <c r="AF5956">
        <v>-26.3842739426841</v>
      </c>
      <c r="AG5956">
        <v>-1.1127658706200001</v>
      </c>
      <c r="AH5956">
        <v>31.298809764527899</v>
      </c>
      <c r="AI5956">
        <v>91.5570963083142</v>
      </c>
      <c r="AJ5956">
        <v>130.13022235303299</v>
      </c>
      <c r="AK5956">
        <v>40.950990855430199</v>
      </c>
    </row>
    <row r="5957" spans="1:37" x14ac:dyDescent="0.2">
      <c r="A5957" t="str">
        <f>"20200111153546181"</f>
        <v>20200111153546181</v>
      </c>
      <c r="B5957" t="str">
        <f>"1578728146171999"</f>
        <v>1578728146171999</v>
      </c>
      <c r="C5957" t="s">
        <v>37</v>
      </c>
      <c r="D5957">
        <v>4.7991659999999996</v>
      </c>
      <c r="E5957">
        <v>0.36237059999999999</v>
      </c>
      <c r="F5957" t="s">
        <v>39</v>
      </c>
      <c r="G5957">
        <v>-187.08459999999999</v>
      </c>
      <c r="H5957" s="1">
        <v>-3.2872999999999998E-6</v>
      </c>
      <c r="I5957">
        <v>-33.90992</v>
      </c>
      <c r="J5957">
        <v>-210.3683</v>
      </c>
      <c r="K5957">
        <v>1.112846</v>
      </c>
      <c r="L5957">
        <v>-62.968319999999999</v>
      </c>
      <c r="M5957">
        <v>0.98062240000000001</v>
      </c>
      <c r="N5957">
        <v>0</v>
      </c>
      <c r="O5957">
        <v>0.19530510000000001</v>
      </c>
      <c r="P5957">
        <v>0.85352899999999998</v>
      </c>
      <c r="Q5957">
        <v>-2.370343E-3</v>
      </c>
      <c r="R5957">
        <v>0.52103999999999995</v>
      </c>
      <c r="S5957">
        <v>2.005798</v>
      </c>
      <c r="T5957">
        <v>-9.5084429999999998E-2</v>
      </c>
      <c r="U5957">
        <v>2.486694</v>
      </c>
      <c r="V5957">
        <v>-0.34445300000000001</v>
      </c>
      <c r="W5957">
        <v>5.4643519999999996E-3</v>
      </c>
      <c r="X5957">
        <v>0.93878760000000006</v>
      </c>
      <c r="Y5957">
        <v>-0.64053919999999998</v>
      </c>
      <c r="Z5957">
        <v>4.76133299999999E-3</v>
      </c>
      <c r="AA5957">
        <v>0.7679108</v>
      </c>
      <c r="AB5957">
        <v>30</v>
      </c>
      <c r="AC5957">
        <v>23.2837</v>
      </c>
      <c r="AD5957">
        <v>-1.1128492873</v>
      </c>
      <c r="AE5957">
        <v>29.058399999999999</v>
      </c>
      <c r="AF5957">
        <v>-23.929340907863899</v>
      </c>
      <c r="AG5957">
        <v>-1.1128492873</v>
      </c>
      <c r="AH5957">
        <v>28.4856874137181</v>
      </c>
      <c r="AI5957">
        <v>91.713381070538304</v>
      </c>
      <c r="AJ5957">
        <v>130.031867165774</v>
      </c>
      <c r="AK5957">
        <v>37.219432790587597</v>
      </c>
    </row>
    <row r="5958" spans="1:37" x14ac:dyDescent="0.2">
      <c r="A5958" t="str">
        <f>"20200111153546192"</f>
        <v>20200111153546192</v>
      </c>
      <c r="B5958" t="str">
        <f>"1578728146181760"</f>
        <v>1578728146181760</v>
      </c>
      <c r="C5958" t="s">
        <v>37</v>
      </c>
      <c r="D5958">
        <v>4.8013129999999897</v>
      </c>
      <c r="E5958">
        <v>0.36306659999999902</v>
      </c>
      <c r="F5958" t="s">
        <v>39</v>
      </c>
      <c r="G5958">
        <v>-188.22819999999999</v>
      </c>
      <c r="H5958" s="1">
        <v>-2.533217E-6</v>
      </c>
      <c r="I5958">
        <v>-35.194829999999897</v>
      </c>
      <c r="J5958">
        <v>-210.2286</v>
      </c>
      <c r="K5958">
        <v>1.1129089999999999</v>
      </c>
      <c r="L5958">
        <v>-62.935459999999999</v>
      </c>
      <c r="M5958">
        <v>0.97962839999999995</v>
      </c>
      <c r="N5958">
        <v>0</v>
      </c>
      <c r="O5958">
        <v>0.200232299999999</v>
      </c>
      <c r="P5958">
        <v>0.85059810000000002</v>
      </c>
      <c r="Q5958">
        <v>-2.1658110000000001E-3</v>
      </c>
      <c r="R5958">
        <v>0.52581199999999995</v>
      </c>
      <c r="S5958">
        <v>1.990356</v>
      </c>
      <c r="T5958">
        <v>-0.10004339999999901</v>
      </c>
      <c r="U5958">
        <v>2.4967959999999998</v>
      </c>
      <c r="V5958">
        <v>-0.34499570000000002</v>
      </c>
      <c r="W5958">
        <v>5.5868999999999997E-3</v>
      </c>
      <c r="X5958">
        <v>0.93858770000000002</v>
      </c>
      <c r="Y5958">
        <v>-0.64107630000000004</v>
      </c>
      <c r="Z5958">
        <v>4.8588490000000002E-3</v>
      </c>
      <c r="AA5958">
        <v>0.76746179999999997</v>
      </c>
      <c r="AB5958">
        <v>29</v>
      </c>
      <c r="AC5958">
        <v>22.000399999999999</v>
      </c>
      <c r="AD5958">
        <v>-1.1129115332170001</v>
      </c>
      <c r="AE5958">
        <v>27.740629999999999</v>
      </c>
      <c r="AF5958">
        <v>-22.750518319708601</v>
      </c>
      <c r="AG5958">
        <v>-1.1129115332170001</v>
      </c>
      <c r="AH5958">
        <v>27.083216046825701</v>
      </c>
      <c r="AI5958">
        <v>91.8021723444283</v>
      </c>
      <c r="AJ5958">
        <v>130.031024362957</v>
      </c>
      <c r="AK5958">
        <v>35.388207744038198</v>
      </c>
    </row>
    <row r="5959" spans="1:37" x14ac:dyDescent="0.2">
      <c r="A5959" t="str">
        <f>"20200111153546204"</f>
        <v>20200111153546204</v>
      </c>
      <c r="B5959" t="str">
        <f>"1578728146201279"</f>
        <v>1578728146201279</v>
      </c>
      <c r="C5959" t="s">
        <v>37</v>
      </c>
      <c r="D5959">
        <v>4.8506999999999998</v>
      </c>
      <c r="E5959">
        <v>0.36414380000000002</v>
      </c>
      <c r="F5959" t="s">
        <v>39</v>
      </c>
      <c r="G5959">
        <v>-189.39449999999999</v>
      </c>
      <c r="H5959" s="1">
        <v>-1.726927E-6</v>
      </c>
      <c r="I5959">
        <v>-36.592089999999999</v>
      </c>
      <c r="J5959">
        <v>-210.09530000000001</v>
      </c>
      <c r="K5959">
        <v>1.1129739999999999</v>
      </c>
      <c r="L5959">
        <v>-62.903500000000001</v>
      </c>
      <c r="M5959">
        <v>0.97864859999999898</v>
      </c>
      <c r="N5959">
        <v>0</v>
      </c>
      <c r="O5959">
        <v>0.2049687</v>
      </c>
      <c r="P5959">
        <v>0.84786519999999999</v>
      </c>
      <c r="Q5959">
        <v>-2.1116379999999999E-3</v>
      </c>
      <c r="R5959">
        <v>0.53020780000000001</v>
      </c>
      <c r="S5959">
        <v>1.9794619999999901</v>
      </c>
      <c r="T5959">
        <v>-0.10573829999999999</v>
      </c>
      <c r="U5959">
        <v>2.5028990000000002</v>
      </c>
      <c r="V5959">
        <v>-0.34531519999999999</v>
      </c>
      <c r="W5959">
        <v>5.5702109999999899E-3</v>
      </c>
      <c r="X5959">
        <v>0.93847019999999903</v>
      </c>
      <c r="Y5959">
        <v>-0.6403065</v>
      </c>
      <c r="Z5959">
        <v>4.9514329999999999E-3</v>
      </c>
      <c r="AA5959">
        <v>0.7681036</v>
      </c>
      <c r="AB5959">
        <v>29</v>
      </c>
      <c r="AC5959">
        <v>20.700800000000001</v>
      </c>
      <c r="AD5959">
        <v>-1.112975726927</v>
      </c>
      <c r="AE5959">
        <v>26.311409999999999</v>
      </c>
      <c r="AF5959">
        <v>-21.485387778609301</v>
      </c>
      <c r="AG5959">
        <v>-1.112975726927</v>
      </c>
      <c r="AH5959">
        <v>25.626513612007699</v>
      </c>
      <c r="AI5959">
        <v>91.906167711769996</v>
      </c>
      <c r="AJ5959">
        <v>129.97662444594201</v>
      </c>
      <c r="AK5959">
        <v>33.460107633902801</v>
      </c>
    </row>
    <row r="5960" spans="1:37" x14ac:dyDescent="0.2">
      <c r="A5960" t="str">
        <f>"20200111153546213"</f>
        <v>20200111153546213</v>
      </c>
      <c r="B5960" t="str">
        <f>"1578728146212015"</f>
        <v>1578728146212015</v>
      </c>
      <c r="C5960" t="s">
        <v>37</v>
      </c>
      <c r="D5960">
        <v>4.8520539999999999</v>
      </c>
      <c r="E5960">
        <v>0.364670099999999</v>
      </c>
      <c r="F5960" t="s">
        <v>39</v>
      </c>
      <c r="G5960">
        <v>-191.03960000000001</v>
      </c>
      <c r="H5960" s="1">
        <v>-1.0161999999999999E-6</v>
      </c>
      <c r="I5960">
        <v>-38.686889999999998</v>
      </c>
      <c r="J5960">
        <v>-209.95650000000001</v>
      </c>
      <c r="K5960">
        <v>1.1130340000000001</v>
      </c>
      <c r="L5960">
        <v>-62.869450000000001</v>
      </c>
      <c r="M5960">
        <v>0.97759309999999999</v>
      </c>
      <c r="N5960">
        <v>0</v>
      </c>
      <c r="O5960">
        <v>0.20994599999999999</v>
      </c>
      <c r="P5960">
        <v>0.84484139999999996</v>
      </c>
      <c r="Q5960">
        <v>-1.9667320000000001E-3</v>
      </c>
      <c r="R5960">
        <v>0.53501339999999997</v>
      </c>
      <c r="S5960">
        <v>1.97134399999999</v>
      </c>
      <c r="T5960">
        <v>-0.11513909999999999</v>
      </c>
      <c r="U5960">
        <v>2.5052490000000001</v>
      </c>
      <c r="V5960">
        <v>-0.3458717</v>
      </c>
      <c r="W5960">
        <v>5.638395E-3</v>
      </c>
      <c r="X5960">
        <v>0.93826480000000001</v>
      </c>
      <c r="Y5960">
        <v>-0.63824360000000002</v>
      </c>
      <c r="Z5960">
        <v>5.1497299999999999E-3</v>
      </c>
      <c r="AA5960">
        <v>0.76981730000000004</v>
      </c>
      <c r="AB5960">
        <v>29</v>
      </c>
      <c r="AC5960">
        <v>18.916899999999998</v>
      </c>
      <c r="AD5960">
        <v>-1.1130350162</v>
      </c>
      <c r="AE5960">
        <v>24.182559999999899</v>
      </c>
      <c r="AF5960">
        <v>-19.645663220593999</v>
      </c>
      <c r="AG5960">
        <v>-1.1130350162</v>
      </c>
      <c r="AH5960">
        <v>23.5418863372029</v>
      </c>
      <c r="AI5960">
        <v>92.078916489462898</v>
      </c>
      <c r="AJ5960">
        <v>129.844939298714</v>
      </c>
      <c r="AK5960">
        <v>30.682427261187598</v>
      </c>
    </row>
    <row r="5961" spans="1:37" x14ac:dyDescent="0.2">
      <c r="A5961" t="str">
        <f>"20200111153546225"</f>
        <v>20200111153546225</v>
      </c>
      <c r="B5961" t="str">
        <f>"1578728146221775"</f>
        <v>1578728146221775</v>
      </c>
      <c r="C5961" t="s">
        <v>37</v>
      </c>
      <c r="D5961">
        <v>4.8276859999999999</v>
      </c>
      <c r="E5961">
        <v>0.36519209999999902</v>
      </c>
      <c r="F5961" t="s">
        <v>39</v>
      </c>
      <c r="G5961">
        <v>-191.76929999999999</v>
      </c>
      <c r="H5961" s="1">
        <v>-8.4078029999999997E-7</v>
      </c>
      <c r="I5961">
        <v>-39.548369999999998</v>
      </c>
      <c r="J5961">
        <v>-209.822</v>
      </c>
      <c r="K5961">
        <v>1.113092</v>
      </c>
      <c r="L5961">
        <v>-62.835569999999997</v>
      </c>
      <c r="M5961">
        <v>0.97653409999999996</v>
      </c>
      <c r="N5961">
        <v>0</v>
      </c>
      <c r="O5961">
        <v>0.2148187</v>
      </c>
      <c r="P5961">
        <v>0.84210319999999905</v>
      </c>
      <c r="Q5961">
        <v>-1.8888189999999999E-3</v>
      </c>
      <c r="R5961">
        <v>0.53931319999999905</v>
      </c>
      <c r="S5961">
        <v>1.95950299999999</v>
      </c>
      <c r="T5961">
        <v>-0.1199194</v>
      </c>
      <c r="U5961">
        <v>2.5126339999999998</v>
      </c>
      <c r="V5961">
        <v>-0.34597719999999998</v>
      </c>
      <c r="W5961">
        <v>5.6550840000000003E-3</v>
      </c>
      <c r="X5961">
        <v>0.93822589999999995</v>
      </c>
      <c r="Y5961">
        <v>-0.63773709999999995</v>
      </c>
      <c r="Z5961">
        <v>5.1545330000000002E-3</v>
      </c>
      <c r="AA5961">
        <v>0.7702369</v>
      </c>
      <c r="AB5961">
        <v>29</v>
      </c>
      <c r="AC5961">
        <v>18.052700000000002</v>
      </c>
      <c r="AD5961">
        <v>-1.1130928407803</v>
      </c>
      <c r="AE5961">
        <v>23.287199999999999</v>
      </c>
      <c r="AF5961">
        <v>-18.838012185354899</v>
      </c>
      <c r="AG5961">
        <v>-1.1130928407803</v>
      </c>
      <c r="AH5961">
        <v>22.6019977201363</v>
      </c>
      <c r="AI5961">
        <v>92.166496506086801</v>
      </c>
      <c r="AJ5961">
        <v>129.810080043298</v>
      </c>
      <c r="AK5961">
        <v>29.444184140655398</v>
      </c>
    </row>
    <row r="5962" spans="1:37" x14ac:dyDescent="0.2">
      <c r="A5962" t="str">
        <f>"20200111153546236"</f>
        <v>20200111153546236</v>
      </c>
      <c r="B5962" t="str">
        <f>"1578728146231538"</f>
        <v>1578728146231538</v>
      </c>
      <c r="C5962" t="s">
        <v>37</v>
      </c>
      <c r="D5962">
        <v>4.841405</v>
      </c>
      <c r="E5962">
        <v>0.36564530000000001</v>
      </c>
      <c r="F5962" t="s">
        <v>65</v>
      </c>
      <c r="G5962">
        <v>-192.4761</v>
      </c>
      <c r="H5962" s="1">
        <v>-6.4332809999999903E-6</v>
      </c>
      <c r="I5962">
        <v>-40.418900000000001</v>
      </c>
      <c r="J5962">
        <v>-209.68</v>
      </c>
      <c r="K5962">
        <v>1.113157</v>
      </c>
      <c r="L5962">
        <v>-62.799259999999997</v>
      </c>
      <c r="M5962">
        <v>0.97538099999999905</v>
      </c>
      <c r="N5962">
        <v>0</v>
      </c>
      <c r="O5962">
        <v>0.21999560000000001</v>
      </c>
      <c r="P5962">
        <v>0.83914319999999898</v>
      </c>
      <c r="Q5962">
        <v>-1.883144E-3</v>
      </c>
      <c r="R5962">
        <v>0.54390749999999999</v>
      </c>
      <c r="S5962">
        <v>1.9490810000000001</v>
      </c>
      <c r="T5962">
        <v>-0.12507389999999999</v>
      </c>
      <c r="U5962">
        <v>2.5188599999999899</v>
      </c>
      <c r="V5962">
        <v>-0.34612949999999998</v>
      </c>
      <c r="W5962">
        <v>5.5950030000000003E-3</v>
      </c>
      <c r="X5962">
        <v>0.93816999999999995</v>
      </c>
      <c r="Y5962">
        <v>-0.63654419999999901</v>
      </c>
      <c r="Z5962">
        <v>5.125391E-3</v>
      </c>
      <c r="AA5962">
        <v>0.7712232</v>
      </c>
      <c r="AB5962">
        <v>29</v>
      </c>
      <c r="AC5962">
        <v>17.203900000000001</v>
      </c>
      <c r="AD5962">
        <v>-1.1131634332809901</v>
      </c>
      <c r="AE5962">
        <v>22.38036</v>
      </c>
      <c r="AF5962">
        <v>-18.018686171027099</v>
      </c>
      <c r="AG5962">
        <v>-1.1131634332809901</v>
      </c>
      <c r="AH5962">
        <v>21.672774179939299</v>
      </c>
      <c r="AI5962">
        <v>92.261732050130107</v>
      </c>
      <c r="AJ5962">
        <v>129.74004425282899</v>
      </c>
      <c r="AK5962">
        <v>28.206760267953499</v>
      </c>
    </row>
    <row r="5963" spans="1:37" x14ac:dyDescent="0.2">
      <c r="A5963" t="str">
        <f>"20200111153546246"</f>
        <v>20200111153546246</v>
      </c>
      <c r="B5963" t="str">
        <f>"1578728146241295"</f>
        <v>1578728146241295</v>
      </c>
      <c r="C5963" t="s">
        <v>37</v>
      </c>
      <c r="D5963">
        <v>4.8543310000000002</v>
      </c>
      <c r="E5963">
        <v>0.36606279999999902</v>
      </c>
      <c r="F5963" t="s">
        <v>40</v>
      </c>
      <c r="G5963">
        <v>-209.11439999999999</v>
      </c>
      <c r="H5963">
        <v>1.0754569999999899</v>
      </c>
      <c r="I5963">
        <v>-62.061630000000001</v>
      </c>
      <c r="J5963">
        <v>-209.56370000000001</v>
      </c>
      <c r="K5963">
        <v>1.113211</v>
      </c>
      <c r="L5963">
        <v>-62.768549999999998</v>
      </c>
      <c r="M5963">
        <v>0.97440210000000005</v>
      </c>
      <c r="N5963">
        <v>0</v>
      </c>
      <c r="O5963">
        <v>0.22429169999999901</v>
      </c>
      <c r="P5963">
        <v>0.83671709999999999</v>
      </c>
      <c r="Q5963">
        <v>-1.72319799999999E-3</v>
      </c>
      <c r="R5963">
        <v>0.54763300000000004</v>
      </c>
      <c r="S5963">
        <v>1.93731699999999</v>
      </c>
      <c r="T5963">
        <v>-0.12913079999999999</v>
      </c>
      <c r="U5963">
        <v>2.52627599999999</v>
      </c>
      <c r="V5963">
        <v>-0.34617009999999998</v>
      </c>
      <c r="W5963">
        <v>5.7046750000000002E-3</v>
      </c>
      <c r="X5963">
        <v>0.9381545</v>
      </c>
      <c r="Y5963">
        <v>-0.6364824</v>
      </c>
      <c r="Z5963">
        <v>5.1034209999999899E-3</v>
      </c>
      <c r="AA5963">
        <v>0.77127429999999997</v>
      </c>
      <c r="AB5963">
        <v>29</v>
      </c>
      <c r="AC5963">
        <v>0.44930000000002202</v>
      </c>
      <c r="AD5963">
        <v>-3.7754000000000003E-2</v>
      </c>
      <c r="AE5963">
        <v>0.706919999999989</v>
      </c>
      <c r="AF5963">
        <v>-0.58692643733527305</v>
      </c>
      <c r="AG5963">
        <v>-3.7754000000000003E-2</v>
      </c>
      <c r="AH5963">
        <v>0.59521564852483599</v>
      </c>
      <c r="AI5963">
        <v>92.585980289324695</v>
      </c>
      <c r="AJ5963">
        <v>134.59824708164399</v>
      </c>
      <c r="AK5963">
        <v>0.83677337171298505</v>
      </c>
    </row>
    <row r="5964" spans="1:37" x14ac:dyDescent="0.2">
      <c r="A5964" t="str">
        <f>"20200111153546256"</f>
        <v>20200111153546256</v>
      </c>
      <c r="B5964" t="str">
        <f>"1578728146252031"</f>
        <v>1578728146252031</v>
      </c>
      <c r="C5964" t="s">
        <v>37</v>
      </c>
      <c r="D5964">
        <v>4.8631900000000003</v>
      </c>
      <c r="E5964">
        <v>0.3665677</v>
      </c>
      <c r="F5964" t="s">
        <v>65</v>
      </c>
      <c r="G5964">
        <v>-193.3526</v>
      </c>
      <c r="H5964" s="1">
        <v>-6.1754950000000001E-6</v>
      </c>
      <c r="I5964">
        <v>-41.483539999999998</v>
      </c>
      <c r="J5964">
        <v>-209.42939999999999</v>
      </c>
      <c r="K5964">
        <v>1.11327</v>
      </c>
      <c r="L5964">
        <v>-62.732759999999999</v>
      </c>
      <c r="M5964">
        <v>0.97324239999999995</v>
      </c>
      <c r="N5964">
        <v>0</v>
      </c>
      <c r="O5964">
        <v>0.229271999999999</v>
      </c>
      <c r="P5964">
        <v>0.83385209999999998</v>
      </c>
      <c r="Q5964">
        <v>-1.7370319999999999E-3</v>
      </c>
      <c r="R5964">
        <v>0.55198539999999996</v>
      </c>
      <c r="S5964">
        <v>1.928177</v>
      </c>
      <c r="T5964">
        <v>-0.132408</v>
      </c>
      <c r="U5964">
        <v>2.5316770000000002</v>
      </c>
      <c r="V5964">
        <v>-0.34626099999999999</v>
      </c>
      <c r="W5964">
        <v>5.6312430000000002E-3</v>
      </c>
      <c r="X5964">
        <v>0.93812129999999905</v>
      </c>
      <c r="Y5964">
        <v>-0.6350808</v>
      </c>
      <c r="Z5964">
        <v>4.96890599999999E-3</v>
      </c>
      <c r="AA5964">
        <v>0.7724297</v>
      </c>
      <c r="AB5964">
        <v>29</v>
      </c>
      <c r="AC5964">
        <v>16.076799999999899</v>
      </c>
      <c r="AD5964">
        <v>-1.113276175495</v>
      </c>
      <c r="AE5964">
        <v>21.249219999999902</v>
      </c>
      <c r="AF5964">
        <v>-16.967048779196102</v>
      </c>
      <c r="AG5964">
        <v>-1.113276175495</v>
      </c>
      <c r="AH5964">
        <v>20.4851119675943</v>
      </c>
      <c r="AI5964">
        <v>92.396638987052498</v>
      </c>
      <c r="AJ5964">
        <v>129.63367615668699</v>
      </c>
      <c r="AK5964">
        <v>26.622545716805899</v>
      </c>
    </row>
    <row r="5965" spans="1:37" x14ac:dyDescent="0.2">
      <c r="A5965" t="str">
        <f>"20200111153546268"</f>
        <v>20200111153546268</v>
      </c>
      <c r="B5965" t="str">
        <f>"1578728146261790"</f>
        <v>1578728146261790</v>
      </c>
      <c r="C5965" t="s">
        <v>37</v>
      </c>
      <c r="D5965">
        <v>4.8768519999999898</v>
      </c>
      <c r="E5965">
        <v>0.36698130000000001</v>
      </c>
      <c r="F5965" t="s">
        <v>40</v>
      </c>
      <c r="G5965">
        <v>-208.87039999999999</v>
      </c>
      <c r="H5965">
        <v>1.0733409999999901</v>
      </c>
      <c r="I5965">
        <v>-61.99286</v>
      </c>
      <c r="J5965">
        <v>-209.28469999999999</v>
      </c>
      <c r="K5965">
        <v>1.1133420000000001</v>
      </c>
      <c r="L5965">
        <v>-62.692900000000002</v>
      </c>
      <c r="M5965">
        <v>0.97194360000000002</v>
      </c>
      <c r="N5965">
        <v>0</v>
      </c>
      <c r="O5965">
        <v>0.23471719999999999</v>
      </c>
      <c r="P5965">
        <v>0.83075049999999995</v>
      </c>
      <c r="Q5965">
        <v>-1.550399E-3</v>
      </c>
      <c r="R5965">
        <v>0.55664279999999999</v>
      </c>
      <c r="S5965">
        <v>1.9173279999999999</v>
      </c>
      <c r="T5965">
        <v>-0.1369522</v>
      </c>
      <c r="U5965">
        <v>2.538116</v>
      </c>
      <c r="V5965">
        <v>-0.34626289999999998</v>
      </c>
      <c r="W5965">
        <v>5.7571269999999999E-3</v>
      </c>
      <c r="X5965">
        <v>0.93811979999999995</v>
      </c>
      <c r="Y5965">
        <v>-0.63378190000000001</v>
      </c>
      <c r="Z5965">
        <v>4.8475369999999999E-3</v>
      </c>
      <c r="AA5965">
        <v>0.77349659999999998</v>
      </c>
      <c r="AB5965">
        <v>29</v>
      </c>
      <c r="AC5965">
        <v>0.414299999999997</v>
      </c>
      <c r="AD5965">
        <v>-4.0001000000000099E-2</v>
      </c>
      <c r="AE5965">
        <v>0.70004000000000099</v>
      </c>
      <c r="AF5965">
        <v>-0.58181723808061003</v>
      </c>
      <c r="AG5965">
        <v>-4.0001000000000099E-2</v>
      </c>
      <c r="AH5965">
        <v>0.56568595826506896</v>
      </c>
      <c r="AI5965">
        <v>92.822021256600806</v>
      </c>
      <c r="AJ5965">
        <v>135.80539503347401</v>
      </c>
      <c r="AK5965">
        <v>0.81247275763992199</v>
      </c>
    </row>
    <row r="5966" spans="1:37" x14ac:dyDescent="0.2">
      <c r="A5966" t="str">
        <f>"20200111153546279"</f>
        <v>20200111153546279</v>
      </c>
      <c r="B5966" t="str">
        <f>"1578728146271551"</f>
        <v>1578728146271551</v>
      </c>
      <c r="C5966" t="s">
        <v>37</v>
      </c>
      <c r="D5966">
        <v>4.8476470000000003</v>
      </c>
      <c r="E5966">
        <v>0.36742209999999997</v>
      </c>
      <c r="F5966" t="s">
        <v>65</v>
      </c>
      <c r="G5966">
        <v>-194.22900000000001</v>
      </c>
      <c r="H5966" s="1">
        <v>-5.9028240000000003E-6</v>
      </c>
      <c r="I5966">
        <v>-42.571950000000001</v>
      </c>
      <c r="J5966">
        <v>-209.15039999999999</v>
      </c>
      <c r="K5966">
        <v>1.1134090000000001</v>
      </c>
      <c r="L5966">
        <v>-62.655609999999903</v>
      </c>
      <c r="M5966">
        <v>0.97070009999999995</v>
      </c>
      <c r="N5966">
        <v>0</v>
      </c>
      <c r="O5966">
        <v>0.23980869999999899</v>
      </c>
      <c r="P5966">
        <v>0.82789469999999998</v>
      </c>
      <c r="Q5966">
        <v>-1.0944589999999899E-3</v>
      </c>
      <c r="R5966">
        <v>0.56088269999999996</v>
      </c>
      <c r="S5966">
        <v>1.905014</v>
      </c>
      <c r="T5966">
        <v>-0.14087330000000001</v>
      </c>
      <c r="U5966">
        <v>2.5459290000000001</v>
      </c>
      <c r="V5966">
        <v>-0.34615119999999999</v>
      </c>
      <c r="W5966">
        <v>6.1557549999999997E-3</v>
      </c>
      <c r="X5966">
        <v>0.93815859999999995</v>
      </c>
      <c r="Y5966">
        <v>-0.63324820000000004</v>
      </c>
      <c r="Z5966">
        <v>4.7261040000000001E-3</v>
      </c>
      <c r="AA5966">
        <v>0.77393440000000002</v>
      </c>
      <c r="AB5966">
        <v>29</v>
      </c>
      <c r="AC5966">
        <v>14.921399999999901</v>
      </c>
      <c r="AD5966">
        <v>-1.1134149028239999</v>
      </c>
      <c r="AE5966">
        <v>20.083659999999899</v>
      </c>
      <c r="AF5966">
        <v>-15.8873224840983</v>
      </c>
      <c r="AG5966">
        <v>-1.1134149028239999</v>
      </c>
      <c r="AH5966">
        <v>19.264540518049401</v>
      </c>
      <c r="AI5966">
        <v>92.553075012063601</v>
      </c>
      <c r="AJ5966">
        <v>129.51214712796201</v>
      </c>
      <c r="AK5966">
        <v>24.995384170505002</v>
      </c>
    </row>
    <row r="5967" spans="1:37" x14ac:dyDescent="0.2">
      <c r="A5967" t="str">
        <f>"20200111153546290"</f>
        <v>20200111153546290</v>
      </c>
      <c r="B5967" t="str">
        <f>"1578728146281311"</f>
        <v>1578728146281311</v>
      </c>
      <c r="C5967" t="s">
        <v>37</v>
      </c>
      <c r="D5967">
        <v>4.8800800000000004</v>
      </c>
      <c r="E5967">
        <v>0.36794939999999998</v>
      </c>
      <c r="F5967" t="s">
        <v>65</v>
      </c>
      <c r="G5967">
        <v>-194.34870000000001</v>
      </c>
      <c r="H5967" s="1">
        <v>-5.859456E-6</v>
      </c>
      <c r="I5967">
        <v>-42.710769999999997</v>
      </c>
      <c r="J5967">
        <v>-209.01349999999999</v>
      </c>
      <c r="K5967">
        <v>1.11337</v>
      </c>
      <c r="L5967">
        <v>-62.616269999999901</v>
      </c>
      <c r="M5967">
        <v>0.96927609999999997</v>
      </c>
      <c r="N5967">
        <v>0</v>
      </c>
      <c r="O5967">
        <v>0.24551049999999999</v>
      </c>
      <c r="P5967">
        <v>0.82447190000000004</v>
      </c>
      <c r="Q5967">
        <v>-3.4589879999999998E-4</v>
      </c>
      <c r="R5967">
        <v>0.56590280000000004</v>
      </c>
      <c r="S5967">
        <v>1.8942410000000001</v>
      </c>
      <c r="T5967">
        <v>-0.14248859999999999</v>
      </c>
      <c r="U5967">
        <v>2.5524290000000001</v>
      </c>
      <c r="V5967">
        <v>-0.34634939999999997</v>
      </c>
      <c r="W5967">
        <v>6.7532180000000001E-3</v>
      </c>
      <c r="X5967">
        <v>0.93808130000000001</v>
      </c>
      <c r="Y5967">
        <v>-0.63174549999999996</v>
      </c>
      <c r="Z5967">
        <v>4.4562539999999998E-3</v>
      </c>
      <c r="AA5967">
        <v>0.77516309999999999</v>
      </c>
      <c r="AB5967">
        <v>29</v>
      </c>
      <c r="AC5967">
        <v>14.6647999999999</v>
      </c>
      <c r="AD5967">
        <v>-1.1133758594559999</v>
      </c>
      <c r="AE5967">
        <v>19.9054999999999</v>
      </c>
      <c r="AF5967">
        <v>-15.663592130120801</v>
      </c>
      <c r="AG5967">
        <v>-1.1133758594559999</v>
      </c>
      <c r="AH5967">
        <v>19.064770656739</v>
      </c>
      <c r="AI5967">
        <v>92.583614806362903</v>
      </c>
      <c r="AJ5967">
        <v>129.40648296542199</v>
      </c>
      <c r="AK5967">
        <v>24.699255138915799</v>
      </c>
    </row>
    <row r="5968" spans="1:37" x14ac:dyDescent="0.2">
      <c r="A5968" t="str">
        <f>"20200111153546301"</f>
        <v>20200111153546301</v>
      </c>
      <c r="B5968" t="str">
        <f>"1578728146292047"</f>
        <v>1578728146292047</v>
      </c>
      <c r="C5968" t="s">
        <v>37</v>
      </c>
      <c r="D5968">
        <v>4.8703699999999897</v>
      </c>
      <c r="E5968">
        <v>0.36839339999999998</v>
      </c>
      <c r="F5968" t="s">
        <v>65</v>
      </c>
      <c r="G5968">
        <v>-194.55799999999999</v>
      </c>
      <c r="H5968" s="1">
        <v>-5.7873230000000001E-6</v>
      </c>
      <c r="I5968">
        <v>-42.945630000000001</v>
      </c>
      <c r="J5968">
        <v>-208.87629999999999</v>
      </c>
      <c r="K5968">
        <v>1.1133629999999901</v>
      </c>
      <c r="L5968">
        <v>-62.576509999999999</v>
      </c>
      <c r="M5968">
        <v>0.96783209999999997</v>
      </c>
      <c r="N5968">
        <v>0</v>
      </c>
      <c r="O5968">
        <v>0.25114949999999903</v>
      </c>
      <c r="P5968">
        <v>0.82106599999999996</v>
      </c>
      <c r="Q5968">
        <v>9.2949720000000001E-4</v>
      </c>
      <c r="R5968">
        <v>0.57083269999999997</v>
      </c>
      <c r="S5968">
        <v>1.8813930000000001</v>
      </c>
      <c r="T5968">
        <v>-0.1449067</v>
      </c>
      <c r="U5968">
        <v>2.5601500000000001</v>
      </c>
      <c r="V5968">
        <v>-0.346533799999999</v>
      </c>
      <c r="W5968">
        <v>7.901412E-3</v>
      </c>
      <c r="X5968">
        <v>0.93800419999999995</v>
      </c>
      <c r="Y5968">
        <v>-0.63086660000000006</v>
      </c>
      <c r="Z5968">
        <v>4.2251019999999997E-3</v>
      </c>
      <c r="AA5968">
        <v>0.77587989999999996</v>
      </c>
      <c r="AB5968">
        <v>29</v>
      </c>
      <c r="AC5968">
        <v>14.318299999999899</v>
      </c>
      <c r="AD5968">
        <v>-1.1133687873229901</v>
      </c>
      <c r="AE5968">
        <v>19.630879999999902</v>
      </c>
      <c r="AF5968">
        <v>-15.372817532457701</v>
      </c>
      <c r="AG5968">
        <v>-1.1133687873229901</v>
      </c>
      <c r="AH5968">
        <v>18.7507400308039</v>
      </c>
      <c r="AI5968">
        <v>92.629056420408602</v>
      </c>
      <c r="AJ5968">
        <v>129.34665591720301</v>
      </c>
      <c r="AK5968">
        <v>24.272481551040801</v>
      </c>
    </row>
    <row r="5969" spans="1:37" x14ac:dyDescent="0.2">
      <c r="A5969" t="str">
        <f>"20200111153546312"</f>
        <v>20200111153546312</v>
      </c>
      <c r="B5969" t="str">
        <f>"1578728146301807"</f>
        <v>1578728146301807</v>
      </c>
      <c r="C5969" t="s">
        <v>37</v>
      </c>
      <c r="D5969">
        <v>4.9354550000000001</v>
      </c>
      <c r="E5969">
        <v>0.36890220000000001</v>
      </c>
      <c r="F5969" t="s">
        <v>65</v>
      </c>
      <c r="G5969">
        <v>-194.47409999999999</v>
      </c>
      <c r="H5969" s="1">
        <v>-5.8510039999999997E-6</v>
      </c>
      <c r="I5969">
        <v>-42.77684</v>
      </c>
      <c r="J5969">
        <v>-208.73990000000001</v>
      </c>
      <c r="K5969">
        <v>1.1134520000000001</v>
      </c>
      <c r="L5969">
        <v>-62.5357699999999</v>
      </c>
      <c r="M5969">
        <v>0.96641679999999996</v>
      </c>
      <c r="N5969">
        <v>0</v>
      </c>
      <c r="O5969">
        <v>0.25653930000000003</v>
      </c>
      <c r="P5969">
        <v>0.81758299999999995</v>
      </c>
      <c r="Q5969">
        <v>1.9099379999999999E-3</v>
      </c>
      <c r="R5969">
        <v>0.57580779999999998</v>
      </c>
      <c r="S5969">
        <v>1.8682859999999999</v>
      </c>
      <c r="T5969">
        <v>-0.14442839999999901</v>
      </c>
      <c r="U5969">
        <v>2.568451</v>
      </c>
      <c r="V5969">
        <v>-0.34702490000000003</v>
      </c>
      <c r="W5969">
        <v>8.8221510000000003E-3</v>
      </c>
      <c r="X5969">
        <v>0.93781440000000005</v>
      </c>
      <c r="Y5969">
        <v>-0.63033189999999995</v>
      </c>
      <c r="Z5969">
        <v>3.9276019999999997E-3</v>
      </c>
      <c r="AA5969">
        <v>0.7763158</v>
      </c>
      <c r="AB5969">
        <v>29</v>
      </c>
      <c r="AC5969">
        <v>14.2658</v>
      </c>
      <c r="AD5969">
        <v>-1.1134578510040001</v>
      </c>
      <c r="AE5969">
        <v>19.7589299999999</v>
      </c>
      <c r="AF5969">
        <v>-15.4052118653038</v>
      </c>
      <c r="AG5969">
        <v>-1.1134578510040001</v>
      </c>
      <c r="AH5969">
        <v>18.818500933600401</v>
      </c>
      <c r="AI5969">
        <v>92.621391117912793</v>
      </c>
      <c r="AJ5969">
        <v>129.30446173746401</v>
      </c>
      <c r="AK5969">
        <v>24.3453551707257</v>
      </c>
    </row>
    <row r="5970" spans="1:37" x14ac:dyDescent="0.2">
      <c r="A5970" t="str">
        <f>"20200111153546323"</f>
        <v>20200111153546323</v>
      </c>
      <c r="B5970" t="str">
        <f>"1578728146311567"</f>
        <v>1578728146311567</v>
      </c>
      <c r="C5970" t="s">
        <v>37</v>
      </c>
      <c r="D5970">
        <v>4.8751189999999998</v>
      </c>
      <c r="E5970">
        <v>0.36927929999999998</v>
      </c>
      <c r="F5970" t="s">
        <v>65</v>
      </c>
      <c r="G5970">
        <v>-194.53270000000001</v>
      </c>
      <c r="H5970" s="1">
        <v>-5.8471040000000004E-6</v>
      </c>
      <c r="I5970">
        <v>-42.80762</v>
      </c>
      <c r="J5970">
        <v>-208.60650000000001</v>
      </c>
      <c r="K5970">
        <v>1.113572</v>
      </c>
      <c r="L5970">
        <v>-62.495359999999998</v>
      </c>
      <c r="M5970">
        <v>0.96501899999999996</v>
      </c>
      <c r="N5970">
        <v>0</v>
      </c>
      <c r="O5970">
        <v>0.2617449</v>
      </c>
      <c r="P5970">
        <v>0.81405340000000004</v>
      </c>
      <c r="Q5970">
        <v>3.1618979999999998E-3</v>
      </c>
      <c r="R5970">
        <v>0.58078160000000001</v>
      </c>
      <c r="S5970">
        <v>1.855286</v>
      </c>
      <c r="T5970">
        <v>-0.14540459999999999</v>
      </c>
      <c r="U5970">
        <v>2.576263</v>
      </c>
      <c r="V5970">
        <v>-0.34771809999999997</v>
      </c>
      <c r="W5970">
        <v>1.000847E-2</v>
      </c>
      <c r="X5970">
        <v>0.93754570000000004</v>
      </c>
      <c r="Y5970">
        <v>-0.62984240000000002</v>
      </c>
      <c r="Z5970">
        <v>3.6789890000000001E-3</v>
      </c>
      <c r="AA5970">
        <v>0.77671429999999997</v>
      </c>
      <c r="AB5970">
        <v>29</v>
      </c>
      <c r="AC5970">
        <v>14.0738</v>
      </c>
      <c r="AD5970">
        <v>-1.1135778471040001</v>
      </c>
      <c r="AE5970">
        <v>19.687739999999899</v>
      </c>
      <c r="AF5970">
        <v>-15.2846813605649</v>
      </c>
      <c r="AG5970">
        <v>-1.1135778471040001</v>
      </c>
      <c r="AH5970">
        <v>18.6971979645798</v>
      </c>
      <c r="AI5970">
        <v>92.640124688226706</v>
      </c>
      <c r="AJ5970">
        <v>129.26548793868</v>
      </c>
      <c r="AK5970">
        <v>24.175333537352699</v>
      </c>
    </row>
    <row r="5971" spans="1:37" x14ac:dyDescent="0.2">
      <c r="A5971" t="str">
        <f>"20200111153546335"</f>
        <v>20200111153546335</v>
      </c>
      <c r="B5971" t="str">
        <f>"1578728146332062"</f>
        <v>1578728146332062</v>
      </c>
      <c r="C5971" t="s">
        <v>37</v>
      </c>
      <c r="D5971">
        <v>4.8441839999999896</v>
      </c>
      <c r="E5971">
        <v>0.37010720000000003</v>
      </c>
      <c r="F5971" t="s">
        <v>65</v>
      </c>
      <c r="G5971">
        <v>-194.47900000000001</v>
      </c>
      <c r="H5971" s="1">
        <v>-5.9040589999999901E-6</v>
      </c>
      <c r="I5971">
        <v>-42.664809999999903</v>
      </c>
      <c r="J5971">
        <v>-208.45249999999999</v>
      </c>
      <c r="K5971">
        <v>1.1137520000000001</v>
      </c>
      <c r="L5971">
        <v>-62.447569999999899</v>
      </c>
      <c r="M5971">
        <v>0.96339219999999903</v>
      </c>
      <c r="N5971">
        <v>0</v>
      </c>
      <c r="O5971">
        <v>0.26766430000000002</v>
      </c>
      <c r="P5971">
        <v>0.80992889999999995</v>
      </c>
      <c r="Q5971">
        <v>4.3184759999999999E-3</v>
      </c>
      <c r="R5971">
        <v>0.58651229999999999</v>
      </c>
      <c r="S5971">
        <v>1.841583</v>
      </c>
      <c r="T5971">
        <v>-0.14515939999999999</v>
      </c>
      <c r="U5971">
        <v>2.584991</v>
      </c>
      <c r="V5971">
        <v>-0.34861170000000002</v>
      </c>
      <c r="W5971">
        <v>1.108511E-2</v>
      </c>
      <c r="X5971">
        <v>0.93720170000000003</v>
      </c>
      <c r="Y5971">
        <v>-0.62905089999999997</v>
      </c>
      <c r="Z5971">
        <v>3.3515390000000002E-3</v>
      </c>
      <c r="AA5971">
        <v>0.77735690000000002</v>
      </c>
      <c r="AB5971">
        <v>29</v>
      </c>
      <c r="AC5971">
        <v>13.9734999999999</v>
      </c>
      <c r="AD5971">
        <v>-1.113757904059</v>
      </c>
      <c r="AE5971">
        <v>19.78276</v>
      </c>
      <c r="AF5971">
        <v>-15.287793878773099</v>
      </c>
      <c r="AG5971">
        <v>-1.113757904059</v>
      </c>
      <c r="AH5971">
        <v>18.719684492988002</v>
      </c>
      <c r="AI5971">
        <v>92.638436372147297</v>
      </c>
      <c r="AJ5971">
        <v>129.23746175251799</v>
      </c>
      <c r="AK5971">
        <v>24.194703673856498</v>
      </c>
    </row>
    <row r="5972" spans="1:37" x14ac:dyDescent="0.2">
      <c r="A5972" t="str">
        <f>"20200111153546348"</f>
        <v>20200111153546348</v>
      </c>
      <c r="B5972" t="str">
        <f>"1578728146341823"</f>
        <v>1578728146341823</v>
      </c>
      <c r="C5972" t="s">
        <v>37</v>
      </c>
      <c r="D5972">
        <v>5.0196670000000001</v>
      </c>
      <c r="E5972">
        <v>0.37010720000000003</v>
      </c>
      <c r="F5972" t="s">
        <v>40</v>
      </c>
      <c r="G5972">
        <v>-207.9127</v>
      </c>
      <c r="H5972">
        <v>1.07129599999999</v>
      </c>
      <c r="I5972">
        <v>-61.681989999999999</v>
      </c>
      <c r="J5972">
        <v>-208.30619999999999</v>
      </c>
      <c r="K5972">
        <v>1.1139030000000001</v>
      </c>
      <c r="L5972">
        <v>-62.400819999999896</v>
      </c>
      <c r="M5972">
        <v>0.96179439999999905</v>
      </c>
      <c r="N5972">
        <v>0</v>
      </c>
      <c r="O5972">
        <v>0.2733468</v>
      </c>
      <c r="P5972">
        <v>0.80594279999999996</v>
      </c>
      <c r="Q5972">
        <v>5.6794030000000004E-3</v>
      </c>
      <c r="R5972">
        <v>0.591966199999999</v>
      </c>
      <c r="S5972">
        <v>1.8273619999999999</v>
      </c>
      <c r="T5972">
        <v>-0.14372660000000001</v>
      </c>
      <c r="U5972">
        <v>2.5926209999999998</v>
      </c>
      <c r="V5972">
        <v>-0.34944309999999901</v>
      </c>
      <c r="W5972">
        <v>1.2318600000000001E-2</v>
      </c>
      <c r="X5972">
        <v>0.93687659999999995</v>
      </c>
      <c r="Y5972">
        <v>-0.62839820000000002</v>
      </c>
      <c r="Z5972">
        <v>3.01696E-3</v>
      </c>
      <c r="AA5972">
        <v>0.77788599999999997</v>
      </c>
      <c r="AB5972">
        <v>29</v>
      </c>
      <c r="AC5972">
        <v>0.39349999999998803</v>
      </c>
      <c r="AD5972">
        <v>-4.26070000000002E-2</v>
      </c>
      <c r="AE5972">
        <v>0.71882999999999697</v>
      </c>
      <c r="AF5972">
        <v>-0.58229867652121703</v>
      </c>
      <c r="AG5972">
        <v>-4.26070000000002E-2</v>
      </c>
      <c r="AH5972">
        <v>0.57347277724821499</v>
      </c>
      <c r="AI5972">
        <v>92.984289675481094</v>
      </c>
      <c r="AJ5972">
        <v>135.437523307812</v>
      </c>
      <c r="AK5972">
        <v>0.81838751907158402</v>
      </c>
    </row>
    <row r="5973" spans="1:37" x14ac:dyDescent="0.2">
      <c r="A5973" t="str">
        <f>"20200111153546359"</f>
        <v>20200111153546359</v>
      </c>
      <c r="B5973" t="str">
        <f>"1578728146351582"</f>
        <v>1578728146351582</v>
      </c>
      <c r="C5973" t="s">
        <v>37</v>
      </c>
      <c r="D5973">
        <v>4.8577219999999999</v>
      </c>
      <c r="E5973">
        <v>0.37047379999999902</v>
      </c>
      <c r="F5973" t="s">
        <v>65</v>
      </c>
      <c r="G5973">
        <v>-193.9059</v>
      </c>
      <c r="H5973" s="1">
        <v>-6.17254E-6</v>
      </c>
      <c r="I5973">
        <v>-41.678269999999998</v>
      </c>
      <c r="J5973">
        <v>-208.16480000000001</v>
      </c>
      <c r="K5973">
        <v>1.1140410000000001</v>
      </c>
      <c r="L5973">
        <v>-62.355069999999998</v>
      </c>
      <c r="M5973">
        <v>0.96020839999999996</v>
      </c>
      <c r="N5973">
        <v>0</v>
      </c>
      <c r="O5973">
        <v>0.27886609999999901</v>
      </c>
      <c r="P5973">
        <v>0.80193389999999998</v>
      </c>
      <c r="Q5973">
        <v>7.078605E-3</v>
      </c>
      <c r="R5973">
        <v>0.59737090000000004</v>
      </c>
      <c r="S5973">
        <v>1.8101039999999999</v>
      </c>
      <c r="T5973">
        <v>-0.1400169</v>
      </c>
      <c r="U5973">
        <v>2.604797</v>
      </c>
      <c r="V5973">
        <v>-0.35039949999999997</v>
      </c>
      <c r="W5973">
        <v>1.357162E-2</v>
      </c>
      <c r="X5973">
        <v>0.93650199999999995</v>
      </c>
      <c r="Y5973">
        <v>-0.62913189999999997</v>
      </c>
      <c r="Z5973">
        <v>2.693258E-3</v>
      </c>
      <c r="AA5973">
        <v>0.77729399999999904</v>
      </c>
      <c r="AB5973">
        <v>29</v>
      </c>
      <c r="AC5973">
        <v>14.258900000000001</v>
      </c>
      <c r="AD5973">
        <v>-1.1140471725400001</v>
      </c>
      <c r="AE5973">
        <v>20.6768</v>
      </c>
      <c r="AF5973">
        <v>-15.8483880043903</v>
      </c>
      <c r="AG5973">
        <v>-1.1140471725400001</v>
      </c>
      <c r="AH5973">
        <v>19.421637130107701</v>
      </c>
      <c r="AI5973">
        <v>92.544675037018195</v>
      </c>
      <c r="AJ5973">
        <v>129.21503326446401</v>
      </c>
      <c r="AK5973">
        <v>25.092080269557599</v>
      </c>
    </row>
    <row r="5974" spans="1:37" x14ac:dyDescent="0.2">
      <c r="A5974" t="str">
        <f>"20200111153546370"</f>
        <v>20200111153546370</v>
      </c>
      <c r="B5974" t="str">
        <f>"1578728146361344"</f>
        <v>1578728146361344</v>
      </c>
      <c r="C5974" t="s">
        <v>37</v>
      </c>
      <c r="D5974">
        <v>4.8576839999999999</v>
      </c>
      <c r="E5974">
        <v>0.37088589999999999</v>
      </c>
      <c r="F5974" t="s">
        <v>65</v>
      </c>
      <c r="G5974">
        <v>-193.5745</v>
      </c>
      <c r="H5974" s="1">
        <v>-6.3308069999999903E-6</v>
      </c>
      <c r="I5974">
        <v>-41.094110000000001</v>
      </c>
      <c r="J5974">
        <v>-208.0309</v>
      </c>
      <c r="K5974">
        <v>1.1141159999999899</v>
      </c>
      <c r="L5974">
        <v>-62.310209999999998</v>
      </c>
      <c r="M5974">
        <v>0.95862969999999903</v>
      </c>
      <c r="N5974">
        <v>0</v>
      </c>
      <c r="O5974">
        <v>0.28424690000000002</v>
      </c>
      <c r="P5974">
        <v>0.79777319999999996</v>
      </c>
      <c r="Q5974">
        <v>8.2821100000000005E-3</v>
      </c>
      <c r="R5974">
        <v>0.60290089999999996</v>
      </c>
      <c r="S5974">
        <v>1.7943880000000001</v>
      </c>
      <c r="T5974">
        <v>-0.13701089999999999</v>
      </c>
      <c r="U5974">
        <v>2.6147770000000001</v>
      </c>
      <c r="V5974">
        <v>-0.35165550000000001</v>
      </c>
      <c r="W5974">
        <v>1.462104E-2</v>
      </c>
      <c r="X5974">
        <v>0.93601529999999999</v>
      </c>
      <c r="Y5974">
        <v>-0.62934990000000002</v>
      </c>
      <c r="Z5974">
        <v>2.3860600000000002E-3</v>
      </c>
      <c r="AA5974">
        <v>0.77711839999999999</v>
      </c>
      <c r="AB5974">
        <v>29</v>
      </c>
      <c r="AC5974">
        <v>14.4564</v>
      </c>
      <c r="AD5974">
        <v>-1.1141223308069901</v>
      </c>
      <c r="AE5974">
        <v>21.216100000000001</v>
      </c>
      <c r="AF5974">
        <v>-16.200576377532801</v>
      </c>
      <c r="AG5974">
        <v>-1.1141223308069901</v>
      </c>
      <c r="AH5974">
        <v>19.853870739801302</v>
      </c>
      <c r="AI5974">
        <v>92.489545754230804</v>
      </c>
      <c r="AJ5974">
        <v>129.214129589853</v>
      </c>
      <c r="AK5974">
        <v>25.6490960247144</v>
      </c>
    </row>
    <row r="5975" spans="1:37" x14ac:dyDescent="0.2">
      <c r="A5975" t="str">
        <f>"20200111153546380"</f>
        <v>20200111153546380</v>
      </c>
      <c r="B5975" t="str">
        <f>"1578728146372079"</f>
        <v>1578728146372079</v>
      </c>
      <c r="C5975" t="s">
        <v>37</v>
      </c>
      <c r="D5975">
        <v>4.8105029999999998</v>
      </c>
      <c r="E5975">
        <v>0.37128610000000001</v>
      </c>
      <c r="F5975" t="s">
        <v>65</v>
      </c>
      <c r="G5975">
        <v>-193.29580000000001</v>
      </c>
      <c r="H5975" s="1">
        <v>-6.4761569999999998E-6</v>
      </c>
      <c r="I5975">
        <v>-40.566270000000003</v>
      </c>
      <c r="J5975">
        <v>-207.91120000000001</v>
      </c>
      <c r="K5975">
        <v>1.1141749999999999</v>
      </c>
      <c r="L5975">
        <v>-62.26981</v>
      </c>
      <c r="M5975">
        <v>0.95718630000000005</v>
      </c>
      <c r="N5975">
        <v>0</v>
      </c>
      <c r="O5975">
        <v>0.28907169999999999</v>
      </c>
      <c r="P5975">
        <v>0.79396279999999997</v>
      </c>
      <c r="Q5975">
        <v>9.1665419999999997E-3</v>
      </c>
      <c r="R5975">
        <v>0.60789729999999997</v>
      </c>
      <c r="S5975">
        <v>1.7784880000000001</v>
      </c>
      <c r="T5975">
        <v>-0.13447239999999999</v>
      </c>
      <c r="U5975">
        <v>2.6244509999999899</v>
      </c>
      <c r="V5975">
        <v>-0.35284299999999902</v>
      </c>
      <c r="W5975">
        <v>1.537055E-2</v>
      </c>
      <c r="X5975">
        <v>0.93555630000000001</v>
      </c>
      <c r="Y5975">
        <v>-0.63000529999999999</v>
      </c>
      <c r="Z5975">
        <v>2.135582E-3</v>
      </c>
      <c r="AA5975">
        <v>0.7765879</v>
      </c>
      <c r="AB5975">
        <v>29</v>
      </c>
      <c r="AC5975">
        <v>14.6153999999999</v>
      </c>
      <c r="AD5975">
        <v>-1.1141814761569999</v>
      </c>
      <c r="AE5975">
        <v>21.70354</v>
      </c>
      <c r="AF5975">
        <v>-16.521395921865601</v>
      </c>
      <c r="AG5975">
        <v>-1.1141814761569999</v>
      </c>
      <c r="AH5975">
        <v>20.229211010835201</v>
      </c>
      <c r="AI5975">
        <v>92.4426803584943</v>
      </c>
      <c r="AJ5975">
        <v>129.23885142193501</v>
      </c>
      <c r="AK5975">
        <v>26.142281876105301</v>
      </c>
    </row>
    <row r="5976" spans="1:37" x14ac:dyDescent="0.2">
      <c r="A5976" t="str">
        <f>"20200111153546390"</f>
        <v>20200111153546390</v>
      </c>
      <c r="B5976" t="str">
        <f>"1578728146381839"</f>
        <v>1578728146381839</v>
      </c>
      <c r="C5976" t="s">
        <v>37</v>
      </c>
      <c r="D5976">
        <v>4.8391400000000004</v>
      </c>
      <c r="E5976">
        <v>0.37172909999999998</v>
      </c>
      <c r="F5976" t="s">
        <v>39</v>
      </c>
      <c r="G5976">
        <v>-193.10409999999999</v>
      </c>
      <c r="H5976" s="1">
        <v>-9.2964769999999998E-7</v>
      </c>
      <c r="I5976">
        <v>-40.169080000000001</v>
      </c>
      <c r="J5976">
        <v>-207.78270000000001</v>
      </c>
      <c r="K5976">
        <v>1.114201</v>
      </c>
      <c r="L5976">
        <v>-62.22513</v>
      </c>
      <c r="M5976">
        <v>0.95556719999999895</v>
      </c>
      <c r="N5976">
        <v>0</v>
      </c>
      <c r="O5976">
        <v>0.29438029999999998</v>
      </c>
      <c r="P5976">
        <v>0.78988329999999995</v>
      </c>
      <c r="Q5976">
        <v>9.7856109999999996E-3</v>
      </c>
      <c r="R5976">
        <v>0.61317909999999998</v>
      </c>
      <c r="S5976">
        <v>1.764084</v>
      </c>
      <c r="T5976">
        <v>-0.1327402</v>
      </c>
      <c r="U5976">
        <v>2.6330259999999899</v>
      </c>
      <c r="V5976">
        <v>-0.35390729999999998</v>
      </c>
      <c r="W5976">
        <v>1.5891189999999999E-2</v>
      </c>
      <c r="X5976">
        <v>0.93514549999999996</v>
      </c>
      <c r="Y5976">
        <v>-0.62980709999999995</v>
      </c>
      <c r="Z5976">
        <v>1.856639E-3</v>
      </c>
      <c r="AA5976">
        <v>0.77674940000000003</v>
      </c>
      <c r="AB5976">
        <v>29</v>
      </c>
      <c r="AC5976">
        <v>14.678599999999999</v>
      </c>
      <c r="AD5976">
        <v>-1.1142019296476999</v>
      </c>
      <c r="AE5976">
        <v>22.056049999999999</v>
      </c>
      <c r="AF5976">
        <v>-16.727303358142301</v>
      </c>
      <c r="AG5976">
        <v>-1.1142019296476999</v>
      </c>
      <c r="AH5976">
        <v>20.485400691048401</v>
      </c>
      <c r="AI5976">
        <v>92.412404434149707</v>
      </c>
      <c r="AJ5976">
        <v>129.23327197823301</v>
      </c>
      <c r="AK5976">
        <v>26.4706585684633</v>
      </c>
    </row>
    <row r="5977" spans="1:37" x14ac:dyDescent="0.2">
      <c r="A5977" t="str">
        <f>"20200111153546402"</f>
        <v>20200111153546402</v>
      </c>
      <c r="B5977" t="str">
        <f>"1578728146391599"</f>
        <v>1578728146391599</v>
      </c>
      <c r="C5977" t="s">
        <v>37</v>
      </c>
      <c r="D5977">
        <v>4.8024250000000004</v>
      </c>
      <c r="E5977">
        <v>0.37195679999999998</v>
      </c>
      <c r="F5977" t="s">
        <v>39</v>
      </c>
      <c r="G5977">
        <v>-193.0547</v>
      </c>
      <c r="H5977" s="1">
        <v>-1.000561E-6</v>
      </c>
      <c r="I5977">
        <v>-39.973190000000002</v>
      </c>
      <c r="J5977">
        <v>-207.6499</v>
      </c>
      <c r="K5977">
        <v>1.1142160000000001</v>
      </c>
      <c r="L5977">
        <v>-62.17841</v>
      </c>
      <c r="M5977">
        <v>0.95384939999999996</v>
      </c>
      <c r="N5977">
        <v>0</v>
      </c>
      <c r="O5977">
        <v>0.29990119999999998</v>
      </c>
      <c r="P5977">
        <v>0.78548249999999997</v>
      </c>
      <c r="Q5977">
        <v>1.0053100000000001E-2</v>
      </c>
      <c r="R5977">
        <v>0.61880239999999997</v>
      </c>
      <c r="S5977">
        <v>1.748688</v>
      </c>
      <c r="T5977">
        <v>-0.13229199999999999</v>
      </c>
      <c r="U5977">
        <v>2.642029</v>
      </c>
      <c r="V5977">
        <v>-0.35518359999999999</v>
      </c>
      <c r="W5977">
        <v>1.606521E-2</v>
      </c>
      <c r="X5977">
        <v>0.93465849999999995</v>
      </c>
      <c r="Y5977">
        <v>-0.62968630000000003</v>
      </c>
      <c r="Z5977">
        <v>1.5916019999999999E-3</v>
      </c>
      <c r="AA5977">
        <v>0.77684779999999998</v>
      </c>
      <c r="AB5977">
        <v>29</v>
      </c>
      <c r="AC5977">
        <v>14.5952</v>
      </c>
      <c r="AD5977">
        <v>-1.1142170005609999</v>
      </c>
      <c r="AE5977">
        <v>22.205220000000001</v>
      </c>
      <c r="AF5977">
        <v>-16.7757596394292</v>
      </c>
      <c r="AG5977">
        <v>-1.1142170005609999</v>
      </c>
      <c r="AH5977">
        <v>20.5472411993326</v>
      </c>
      <c r="AI5977">
        <v>92.405301733749397</v>
      </c>
      <c r="AJ5977">
        <v>129.22985981923799</v>
      </c>
      <c r="AK5977">
        <v>26.549137686708299</v>
      </c>
    </row>
    <row r="5978" spans="1:37" x14ac:dyDescent="0.2">
      <c r="A5978" t="str">
        <f>"20200111153546415"</f>
        <v>20200111153546415</v>
      </c>
      <c r="B5978" t="str">
        <f>"1578728146412095"</f>
        <v>1578728146412095</v>
      </c>
      <c r="C5978" t="s">
        <v>37</v>
      </c>
      <c r="D5978">
        <v>4.8157579999999998</v>
      </c>
      <c r="E5978">
        <v>0.3725213</v>
      </c>
      <c r="F5978" t="s">
        <v>39</v>
      </c>
      <c r="G5978">
        <v>-193.20740000000001</v>
      </c>
      <c r="H5978" s="1">
        <v>-1.010787E-6</v>
      </c>
      <c r="I5978">
        <v>-40.044040000000003</v>
      </c>
      <c r="J5978">
        <v>-207.49709999999999</v>
      </c>
      <c r="K5978">
        <v>1.114217</v>
      </c>
      <c r="L5978">
        <v>-62.123350000000002</v>
      </c>
      <c r="M5978">
        <v>0.95179449999999999</v>
      </c>
      <c r="N5978">
        <v>0</v>
      </c>
      <c r="O5978">
        <v>0.30636029999999997</v>
      </c>
      <c r="P5978">
        <v>0.78061069999999999</v>
      </c>
      <c r="Q5978">
        <v>9.8140710000000006E-3</v>
      </c>
      <c r="R5978">
        <v>0.62494050000000001</v>
      </c>
      <c r="S5978">
        <v>1.731033</v>
      </c>
      <c r="T5978">
        <v>-0.13354649999999901</v>
      </c>
      <c r="U5978">
        <v>2.6529539999999998</v>
      </c>
      <c r="V5978">
        <v>-0.35616779999999998</v>
      </c>
      <c r="W5978">
        <v>1.5771520000000001E-2</v>
      </c>
      <c r="X5978">
        <v>0.93428889999999998</v>
      </c>
      <c r="Y5978">
        <v>-0.62950969999999995</v>
      </c>
      <c r="Z5978">
        <v>1.298909E-3</v>
      </c>
      <c r="AA5978">
        <v>0.77699149999999995</v>
      </c>
      <c r="AB5978">
        <v>29</v>
      </c>
      <c r="AC5978">
        <v>14.2896999999999</v>
      </c>
      <c r="AD5978">
        <v>-1.1142180107869999</v>
      </c>
      <c r="AE5978">
        <v>22.07931</v>
      </c>
      <c r="AF5978">
        <v>-16.6092764653336</v>
      </c>
      <c r="AG5978">
        <v>-1.1142180107869999</v>
      </c>
      <c r="AH5978">
        <v>20.330939397099399</v>
      </c>
      <c r="AI5978">
        <v>92.430271725517102</v>
      </c>
      <c r="AJ5978">
        <v>129.24696164573001</v>
      </c>
      <c r="AK5978">
        <v>26.2765416911354</v>
      </c>
    </row>
    <row r="5979" spans="1:37" x14ac:dyDescent="0.2">
      <c r="A5979" t="str">
        <f>"20200111153546426"</f>
        <v>20200111153546426</v>
      </c>
      <c r="B5979" t="str">
        <f>"1578728146421855"</f>
        <v>1578728146421855</v>
      </c>
      <c r="C5979" t="s">
        <v>37</v>
      </c>
      <c r="D5979">
        <v>4.8922639999999999</v>
      </c>
      <c r="E5979">
        <v>0.3725213</v>
      </c>
      <c r="F5979" t="s">
        <v>40</v>
      </c>
      <c r="G5979">
        <v>-206.98150000000001</v>
      </c>
      <c r="H5979">
        <v>1.072255</v>
      </c>
      <c r="I5979">
        <v>-61.322029999999998</v>
      </c>
      <c r="J5979">
        <v>-207.36599999999899</v>
      </c>
      <c r="K5979">
        <v>1.114214</v>
      </c>
      <c r="L5979">
        <v>-62.075069999999997</v>
      </c>
      <c r="M5979">
        <v>0.94997109999999996</v>
      </c>
      <c r="N5979">
        <v>0</v>
      </c>
      <c r="O5979">
        <v>0.31196839999999998</v>
      </c>
      <c r="P5979">
        <v>0.77601419999999999</v>
      </c>
      <c r="Q5979">
        <v>9.2400329999999999E-3</v>
      </c>
      <c r="R5979">
        <v>0.63064779999999998</v>
      </c>
      <c r="S5979">
        <v>1.713257</v>
      </c>
      <c r="T5979">
        <v>-0.13942839999999901</v>
      </c>
      <c r="U5979">
        <v>2.66262799999999</v>
      </c>
      <c r="V5979">
        <v>-0.35749309999999901</v>
      </c>
      <c r="W5979">
        <v>1.515027E-2</v>
      </c>
      <c r="X5979">
        <v>0.93379290000000004</v>
      </c>
      <c r="Y5979">
        <v>-0.62985849999999999</v>
      </c>
      <c r="Z5979">
        <v>1.0919739999999999E-3</v>
      </c>
      <c r="AA5979">
        <v>0.77670909999999904</v>
      </c>
      <c r="AB5979">
        <v>29</v>
      </c>
      <c r="AC5979">
        <v>0.38449999999997397</v>
      </c>
      <c r="AD5979">
        <v>-4.1959000000000003E-2</v>
      </c>
      <c r="AE5979">
        <v>0.75303999999999105</v>
      </c>
      <c r="AF5979">
        <v>-0.59402020632990105</v>
      </c>
      <c r="AG5979">
        <v>-4.1959000000000003E-2</v>
      </c>
      <c r="AH5979">
        <v>0.59878321197262696</v>
      </c>
      <c r="AI5979">
        <v>92.847951213356794</v>
      </c>
      <c r="AJ5979">
        <v>134.771212367027</v>
      </c>
      <c r="AK5979">
        <v>0.84448913441765205</v>
      </c>
    </row>
    <row r="5980" spans="1:37" x14ac:dyDescent="0.2">
      <c r="A5980" t="str">
        <f>"20200111153546438"</f>
        <v>20200111153546438</v>
      </c>
      <c r="B5980" t="str">
        <f>"1578728146431615"</f>
        <v>1578728146431615</v>
      </c>
      <c r="C5980" t="s">
        <v>37</v>
      </c>
      <c r="D5980">
        <v>4.8717800000000002</v>
      </c>
      <c r="E5980">
        <v>0.38540740000000001</v>
      </c>
      <c r="F5980" t="s">
        <v>65</v>
      </c>
      <c r="G5980">
        <v>-193.94970000000001</v>
      </c>
      <c r="H5980" s="1">
        <v>-6.4435180000000003E-6</v>
      </c>
      <c r="I5980">
        <v>-40.883479999999999</v>
      </c>
      <c r="J5980">
        <v>-207.21420000000001</v>
      </c>
      <c r="K5980">
        <v>1.1142099999999999</v>
      </c>
      <c r="L5980">
        <v>-62.018430000000002</v>
      </c>
      <c r="M5980">
        <v>0.94780140000000002</v>
      </c>
      <c r="N5980">
        <v>0</v>
      </c>
      <c r="O5980">
        <v>0.31849939999999999</v>
      </c>
      <c r="P5980">
        <v>0.77083020000000002</v>
      </c>
      <c r="Q5980">
        <v>8.9799649999999995E-3</v>
      </c>
      <c r="R5980">
        <v>0.63697749999999997</v>
      </c>
      <c r="S5980">
        <v>1.6936040000000001</v>
      </c>
      <c r="T5980">
        <v>-0.1406531</v>
      </c>
      <c r="U5980">
        <v>2.6751099999999899</v>
      </c>
      <c r="V5980">
        <v>-0.35870159999999901</v>
      </c>
      <c r="W5980">
        <v>1.4853709999999999E-2</v>
      </c>
      <c r="X5980">
        <v>0.93333410000000006</v>
      </c>
      <c r="Y5980">
        <v>-0.63022449999999997</v>
      </c>
      <c r="Z5980">
        <v>7.8853129999999997E-4</v>
      </c>
      <c r="AA5980">
        <v>0.77641260000000001</v>
      </c>
      <c r="AB5980">
        <v>29</v>
      </c>
      <c r="AC5980">
        <v>13.2644999999999</v>
      </c>
      <c r="AD5980">
        <v>-1.114216443518</v>
      </c>
      <c r="AE5980">
        <v>21.13495</v>
      </c>
      <c r="AF5980">
        <v>-15.777364328023801</v>
      </c>
      <c r="AG5980">
        <v>-1.114216443518</v>
      </c>
      <c r="AH5980">
        <v>19.2673894590069</v>
      </c>
      <c r="AI5980">
        <v>92.561837850849599</v>
      </c>
      <c r="AJ5980">
        <v>129.31279907196901</v>
      </c>
      <c r="AK5980">
        <v>24.927875962208599</v>
      </c>
    </row>
    <row r="5981" spans="1:37" x14ac:dyDescent="0.2">
      <c r="A5981" t="str">
        <f>"20200111153546449"</f>
        <v>20200111153546449</v>
      </c>
      <c r="B5981" t="str">
        <f>"1578728146441375"</f>
        <v>1578728146441375</v>
      </c>
      <c r="C5981" t="s">
        <v>37</v>
      </c>
      <c r="D5981">
        <v>4.903206</v>
      </c>
      <c r="E5981">
        <v>0.3864494</v>
      </c>
      <c r="F5981" t="s">
        <v>40</v>
      </c>
      <c r="G5981">
        <v>-206.72130000000001</v>
      </c>
      <c r="H5981">
        <v>1.038942</v>
      </c>
      <c r="I5981">
        <v>-61.282019999999903</v>
      </c>
      <c r="J5981">
        <v>-207.09209999999999</v>
      </c>
      <c r="K5981">
        <v>1.114217</v>
      </c>
      <c r="L5981">
        <v>-61.971409999999999</v>
      </c>
      <c r="M5981">
        <v>0.94599690000000003</v>
      </c>
      <c r="N5981">
        <v>0</v>
      </c>
      <c r="O5981">
        <v>0.32381909999999903</v>
      </c>
      <c r="P5981">
        <v>0.76629590000000003</v>
      </c>
      <c r="Q5981">
        <v>8.6621330000000007E-3</v>
      </c>
      <c r="R5981">
        <v>0.64242940000000004</v>
      </c>
      <c r="S5981">
        <v>1.742996</v>
      </c>
      <c r="T5981">
        <v>-0.26616409999999902</v>
      </c>
      <c r="U5981">
        <v>2.604187</v>
      </c>
      <c r="V5981">
        <v>-0.36006929999999998</v>
      </c>
      <c r="W5981">
        <v>1.4496119999999999E-2</v>
      </c>
      <c r="X5981">
        <v>0.93281289999999994</v>
      </c>
      <c r="Y5981">
        <v>-0.60516419999999904</v>
      </c>
      <c r="Z5981">
        <v>-4.3102910000000002E-4</v>
      </c>
      <c r="AA5981">
        <v>0.79610059999999905</v>
      </c>
      <c r="AB5981">
        <v>29</v>
      </c>
      <c r="AC5981">
        <v>0.37079999999997398</v>
      </c>
      <c r="AD5981">
        <v>-7.5274999999999898E-2</v>
      </c>
      <c r="AE5981">
        <v>0.68939000000000294</v>
      </c>
      <c r="AF5981">
        <v>-0.52727427197306997</v>
      </c>
      <c r="AG5981">
        <v>-7.5274999999999898E-2</v>
      </c>
      <c r="AH5981">
        <v>0.56881955174035903</v>
      </c>
      <c r="AI5981">
        <v>95.543332058530794</v>
      </c>
      <c r="AJ5981">
        <v>132.829355290243</v>
      </c>
      <c r="AK5981">
        <v>0.77925616195948999</v>
      </c>
    </row>
    <row r="5982" spans="1:37" x14ac:dyDescent="0.2">
      <c r="A5982" t="str">
        <f>"20200111153546459"</f>
        <v>20200111153546459</v>
      </c>
      <c r="B5982" t="str">
        <f>"1578728146451135"</f>
        <v>1578728146451135</v>
      </c>
      <c r="C5982" t="s">
        <v>37</v>
      </c>
      <c r="D5982">
        <v>4.8507949999999997</v>
      </c>
      <c r="E5982">
        <v>0.38638400000000001</v>
      </c>
      <c r="F5982" t="s">
        <v>65</v>
      </c>
      <c r="G5982">
        <v>-199.874</v>
      </c>
      <c r="H5982" s="1">
        <v>-1.054328E-5</v>
      </c>
      <c r="I5982">
        <v>-51.079599999999999</v>
      </c>
      <c r="J5982">
        <v>-206.96039999999999</v>
      </c>
      <c r="K5982">
        <v>1.1142270000000001</v>
      </c>
      <c r="L5982">
        <v>-61.920439999999999</v>
      </c>
      <c r="M5982">
        <v>0.94401369999999896</v>
      </c>
      <c r="N5982">
        <v>0</v>
      </c>
      <c r="O5982">
        <v>0.329555599999999</v>
      </c>
      <c r="P5982">
        <v>0.76150839999999997</v>
      </c>
      <c r="Q5982">
        <v>8.06842199999999E-3</v>
      </c>
      <c r="R5982">
        <v>0.64810489999999998</v>
      </c>
      <c r="S5982">
        <v>1.729752</v>
      </c>
      <c r="T5982">
        <v>-0.2670131</v>
      </c>
      <c r="U5982">
        <v>2.6101070000000002</v>
      </c>
      <c r="V5982">
        <v>-0.36132120000000001</v>
      </c>
      <c r="W5982">
        <v>1.3865809999999999E-2</v>
      </c>
      <c r="X5982">
        <v>0.93233829999999995</v>
      </c>
      <c r="Y5982">
        <v>-0.60398309999999999</v>
      </c>
      <c r="Z5982">
        <v>-1.044389E-3</v>
      </c>
      <c r="AA5982">
        <v>0.79699640000000005</v>
      </c>
      <c r="AB5982">
        <v>29</v>
      </c>
      <c r="AC5982">
        <v>7.0863999999999603</v>
      </c>
      <c r="AD5982">
        <v>-1.11423754328</v>
      </c>
      <c r="AE5982">
        <v>10.84084</v>
      </c>
      <c r="AF5982">
        <v>-7.8414142496484196</v>
      </c>
      <c r="AG5982">
        <v>-1.11423754328</v>
      </c>
      <c r="AH5982">
        <v>10.1880982780515</v>
      </c>
      <c r="AI5982">
        <v>94.953357463998898</v>
      </c>
      <c r="AJ5982">
        <v>127.584189714196</v>
      </c>
      <c r="AK5982">
        <v>12.904520497123499</v>
      </c>
    </row>
    <row r="5983" spans="1:37" x14ac:dyDescent="0.2">
      <c r="A5983" t="str">
        <f>"20200111153546470"</f>
        <v>20200111153546470</v>
      </c>
      <c r="B5983" t="str">
        <f>"1578728146461871"</f>
        <v>1578728146461871</v>
      </c>
      <c r="C5983" t="s">
        <v>37</v>
      </c>
      <c r="D5983">
        <v>4.8857569999999999</v>
      </c>
      <c r="E5983">
        <v>0.386602</v>
      </c>
      <c r="F5983" t="s">
        <v>65</v>
      </c>
      <c r="G5983">
        <v>-199.88480000000001</v>
      </c>
      <c r="H5983" s="1">
        <v>-1.055023E-5</v>
      </c>
      <c r="I5983">
        <v>-51.063249999999996</v>
      </c>
      <c r="J5983">
        <v>-206.83359999999999</v>
      </c>
      <c r="K5983">
        <v>1.114244</v>
      </c>
      <c r="L5983">
        <v>-61.869869999999999</v>
      </c>
      <c r="M5983">
        <v>0.94205049999999901</v>
      </c>
      <c r="N5983">
        <v>0</v>
      </c>
      <c r="O5983">
        <v>0.33512599999999998</v>
      </c>
      <c r="P5983">
        <v>0.75698009999999905</v>
      </c>
      <c r="Q5983">
        <v>8.0216060000000006E-3</v>
      </c>
      <c r="R5983">
        <v>0.65338890000000005</v>
      </c>
      <c r="S5983">
        <v>1.7096709999999999</v>
      </c>
      <c r="T5983">
        <v>-0.2692291</v>
      </c>
      <c r="U5983">
        <v>2.623383</v>
      </c>
      <c r="V5983">
        <v>-0.3623017</v>
      </c>
      <c r="W5983">
        <v>1.378618E-2</v>
      </c>
      <c r="X5983">
        <v>0.93195890000000003</v>
      </c>
      <c r="Y5983">
        <v>-0.60539900000000002</v>
      </c>
      <c r="Z5983">
        <v>-1.507806E-3</v>
      </c>
      <c r="AA5983">
        <v>0.79592069999999904</v>
      </c>
      <c r="AB5983">
        <v>29</v>
      </c>
      <c r="AC5983">
        <v>6.9487999999999701</v>
      </c>
      <c r="AD5983">
        <v>-1.1142545502300001</v>
      </c>
      <c r="AE5983">
        <v>10.806620000000001</v>
      </c>
      <c r="AF5983">
        <v>-7.7939448449907598</v>
      </c>
      <c r="AG5983">
        <v>-1.1142545502300001</v>
      </c>
      <c r="AH5983">
        <v>10.092962472858799</v>
      </c>
      <c r="AI5983">
        <v>94.993754006731507</v>
      </c>
      <c r="AJ5983">
        <v>127.67588611289</v>
      </c>
      <c r="AK5983">
        <v>12.800587132159301</v>
      </c>
    </row>
    <row r="5984" spans="1:37" x14ac:dyDescent="0.2">
      <c r="A5984" t="str">
        <f>"20200111153546481"</f>
        <v>20200111153546481</v>
      </c>
      <c r="B5984" t="str">
        <f>"1578728146471631"</f>
        <v>1578728146471631</v>
      </c>
      <c r="C5984" t="s">
        <v>37</v>
      </c>
      <c r="D5984">
        <v>4.8640140000000001</v>
      </c>
      <c r="E5984">
        <v>0.38694269999999997</v>
      </c>
      <c r="F5984" t="s">
        <v>40</v>
      </c>
      <c r="G5984">
        <v>-206.29689999999999</v>
      </c>
      <c r="H5984">
        <v>1.0287040000000001</v>
      </c>
      <c r="I5984">
        <v>-61.034759999999999</v>
      </c>
      <c r="J5984">
        <v>-206.7141</v>
      </c>
      <c r="K5984">
        <v>1.1142639999999999</v>
      </c>
      <c r="L5984">
        <v>-61.821899999999999</v>
      </c>
      <c r="M5984">
        <v>0.94016669999999902</v>
      </c>
      <c r="N5984">
        <v>0</v>
      </c>
      <c r="O5984">
        <v>0.34037459999999897</v>
      </c>
      <c r="P5984">
        <v>0.75259469999999995</v>
      </c>
      <c r="Q5984">
        <v>7.6426230000000003E-3</v>
      </c>
      <c r="R5984">
        <v>0.65843980000000002</v>
      </c>
      <c r="S5984">
        <v>1.6925809999999999</v>
      </c>
      <c r="T5984">
        <v>-0.26976079999999902</v>
      </c>
      <c r="U5984">
        <v>2.6338200000000001</v>
      </c>
      <c r="V5984">
        <v>-0.36333140000000003</v>
      </c>
      <c r="W5984">
        <v>1.33727999999999E-2</v>
      </c>
      <c r="X5984">
        <v>0.93156399999999995</v>
      </c>
      <c r="Y5984">
        <v>-0.60605959999999903</v>
      </c>
      <c r="Z5984">
        <v>-1.979785E-3</v>
      </c>
      <c r="AA5984">
        <v>0.79541680000000003</v>
      </c>
      <c r="AB5984">
        <v>29</v>
      </c>
      <c r="AC5984">
        <v>0.41720000000000801</v>
      </c>
      <c r="AD5984">
        <v>-8.5559999999999803E-2</v>
      </c>
      <c r="AE5984">
        <v>0.78713999999999995</v>
      </c>
      <c r="AF5984">
        <v>-0.59264135859205103</v>
      </c>
      <c r="AG5984">
        <v>-8.5559999999999803E-2</v>
      </c>
      <c r="AH5984">
        <v>0.65420220183137501</v>
      </c>
      <c r="AI5984">
        <v>95.536218191876003</v>
      </c>
      <c r="AJ5984">
        <v>132.17341076383701</v>
      </c>
      <c r="AK5984">
        <v>0.88686234241558104</v>
      </c>
    </row>
    <row r="5985" spans="1:37" x14ac:dyDescent="0.2">
      <c r="A5985" t="str">
        <f>"20200111153546492"</f>
        <v>20200111153546492</v>
      </c>
      <c r="B5985" t="str">
        <f>"1578728146481391"</f>
        <v>1578728146481391</v>
      </c>
      <c r="C5985" t="s">
        <v>37</v>
      </c>
      <c r="D5985">
        <v>4.8631320000000002</v>
      </c>
      <c r="E5985">
        <v>0.38729999999999998</v>
      </c>
      <c r="F5985" t="s">
        <v>65</v>
      </c>
      <c r="G5985">
        <v>-199.85570000000001</v>
      </c>
      <c r="H5985" s="1">
        <v>-1.05651E-5</v>
      </c>
      <c r="I5985">
        <v>-51.011559999999903</v>
      </c>
      <c r="J5985">
        <v>-206.58359999999999</v>
      </c>
      <c r="K5985">
        <v>1.1142909999999999</v>
      </c>
      <c r="L5985">
        <v>-61.768129999999999</v>
      </c>
      <c r="M5985">
        <v>0.93805859999999996</v>
      </c>
      <c r="N5985">
        <v>0</v>
      </c>
      <c r="O5985">
        <v>0.34614109999999998</v>
      </c>
      <c r="P5985">
        <v>0.74794510000000003</v>
      </c>
      <c r="Q5985">
        <v>6.83293099999999E-3</v>
      </c>
      <c r="R5985">
        <v>0.66372549999999997</v>
      </c>
      <c r="S5985">
        <v>1.6767430000000001</v>
      </c>
      <c r="T5985">
        <v>-0.27241490000000002</v>
      </c>
      <c r="U5985">
        <v>2.6428829999999999</v>
      </c>
      <c r="V5985">
        <v>-0.36415259999999999</v>
      </c>
      <c r="W5985">
        <v>1.253316E-2</v>
      </c>
      <c r="X5985">
        <v>0.93125499999999894</v>
      </c>
      <c r="Y5985">
        <v>-0.60580889999999998</v>
      </c>
      <c r="Z5985">
        <v>-2.576942E-3</v>
      </c>
      <c r="AA5985">
        <v>0.79560600000000004</v>
      </c>
      <c r="AB5985">
        <v>29</v>
      </c>
      <c r="AC5985">
        <v>6.7278999999999698</v>
      </c>
      <c r="AD5985">
        <v>-1.1143015650999999</v>
      </c>
      <c r="AE5985">
        <v>10.75657</v>
      </c>
      <c r="AF5985">
        <v>-7.7029736350903502</v>
      </c>
      <c r="AG5985">
        <v>-1.1143015650999999</v>
      </c>
      <c r="AH5985">
        <v>9.9588020760412892</v>
      </c>
      <c r="AI5985">
        <v>95.057804603974603</v>
      </c>
      <c r="AJ5985">
        <v>127.721376359212</v>
      </c>
      <c r="AK5985">
        <v>12.6394307463052</v>
      </c>
    </row>
    <row r="5986" spans="1:37" x14ac:dyDescent="0.2">
      <c r="A5986" t="str">
        <f>"20200111153546502"</f>
        <v>20200111153546502</v>
      </c>
      <c r="B5986" t="str">
        <f>"1578728146491151"</f>
        <v>1578728146491151</v>
      </c>
      <c r="C5986" t="s">
        <v>37</v>
      </c>
      <c r="D5986">
        <v>4.8127469999999999</v>
      </c>
      <c r="E5986">
        <v>0.3874843</v>
      </c>
      <c r="F5986" t="s">
        <v>40</v>
      </c>
      <c r="G5986">
        <v>-206.06630000000001</v>
      </c>
      <c r="H5986">
        <v>1.028009</v>
      </c>
      <c r="I5986">
        <v>-60.941699999999997</v>
      </c>
      <c r="J5986">
        <v>-206.46299999999999</v>
      </c>
      <c r="K5986">
        <v>1.114312</v>
      </c>
      <c r="L5986">
        <v>-61.717930000000003</v>
      </c>
      <c r="M5986">
        <v>0.93607289999999999</v>
      </c>
      <c r="N5986">
        <v>0</v>
      </c>
      <c r="O5986">
        <v>0.35147529999999999</v>
      </c>
      <c r="P5986">
        <v>0.74367380000000005</v>
      </c>
      <c r="Q5986">
        <v>6.2253569999999999E-3</v>
      </c>
      <c r="R5986">
        <v>0.66851369999999999</v>
      </c>
      <c r="S5986">
        <v>1.659897</v>
      </c>
      <c r="T5986">
        <v>-0.27687899999999999</v>
      </c>
      <c r="U5986">
        <v>2.6522830000000002</v>
      </c>
      <c r="V5986">
        <v>-0.36481520000000001</v>
      </c>
      <c r="W5986">
        <v>1.190045E-2</v>
      </c>
      <c r="X5986">
        <v>0.9310039</v>
      </c>
      <c r="Y5986">
        <v>-0.60616349999999997</v>
      </c>
      <c r="Z5986">
        <v>-3.1297299999999998E-3</v>
      </c>
      <c r="AA5986">
        <v>0.79533390000000004</v>
      </c>
      <c r="AB5986">
        <v>29</v>
      </c>
      <c r="AC5986">
        <v>0.39669999999998101</v>
      </c>
      <c r="AD5986">
        <v>-8.6303000000000005E-2</v>
      </c>
      <c r="AE5986">
        <v>0.77623000000000497</v>
      </c>
      <c r="AF5986">
        <v>-0.58154589834370296</v>
      </c>
      <c r="AG5986">
        <v>-8.6303000000000005E-2</v>
      </c>
      <c r="AH5986">
        <v>0.63798749124567999</v>
      </c>
      <c r="AI5986">
        <v>95.709059470947906</v>
      </c>
      <c r="AJ5986">
        <v>132.35016759904201</v>
      </c>
      <c r="AK5986">
        <v>0.86756664220988899</v>
      </c>
    </row>
    <row r="5987" spans="1:37" x14ac:dyDescent="0.2">
      <c r="A5987" t="str">
        <f>"20200111153546513"</f>
        <v>20200111153546513</v>
      </c>
      <c r="B5987" t="str">
        <f>"1578728146501887"</f>
        <v>1578728146501887</v>
      </c>
      <c r="C5987" t="s">
        <v>37</v>
      </c>
      <c r="D5987">
        <v>4.8320959999999999</v>
      </c>
      <c r="E5987">
        <v>0.38789029999999902</v>
      </c>
      <c r="F5987" t="s">
        <v>65</v>
      </c>
      <c r="G5987">
        <v>-199.92850000000001</v>
      </c>
      <c r="H5987" s="1">
        <v>-1.052841E-5</v>
      </c>
      <c r="I5987">
        <v>-51.139429999999997</v>
      </c>
      <c r="J5987">
        <v>-206.33019999999999</v>
      </c>
      <c r="K5987">
        <v>1.114344</v>
      </c>
      <c r="L5987">
        <v>-61.661469999999902</v>
      </c>
      <c r="M5987">
        <v>0.93383629999999995</v>
      </c>
      <c r="N5987">
        <v>0</v>
      </c>
      <c r="O5987">
        <v>0.35737469999999999</v>
      </c>
      <c r="P5987">
        <v>0.73905480000000001</v>
      </c>
      <c r="Q5987">
        <v>5.7550989999999996E-3</v>
      </c>
      <c r="R5987">
        <v>0.67362069999999996</v>
      </c>
      <c r="S5987">
        <v>1.64396699999999</v>
      </c>
      <c r="T5987">
        <v>-0.28034530000000002</v>
      </c>
      <c r="U5987">
        <v>2.6613769999999999</v>
      </c>
      <c r="V5987">
        <v>-0.36534240000000001</v>
      </c>
      <c r="W5987">
        <v>1.140886E-2</v>
      </c>
      <c r="X5987">
        <v>0.9308033</v>
      </c>
      <c r="Y5987">
        <v>-0.60580349999999905</v>
      </c>
      <c r="Z5987">
        <v>-3.785793E-3</v>
      </c>
      <c r="AA5987">
        <v>0.79560529999999996</v>
      </c>
      <c r="AB5987">
        <v>29</v>
      </c>
      <c r="AC5987">
        <v>6.4016999999999697</v>
      </c>
      <c r="AD5987">
        <v>-1.11435452841</v>
      </c>
      <c r="AE5987">
        <v>10.522039999999899</v>
      </c>
      <c r="AF5987">
        <v>-7.4777228233621598</v>
      </c>
      <c r="AG5987">
        <v>-1.11435452841</v>
      </c>
      <c r="AH5987">
        <v>9.6605043627023299</v>
      </c>
      <c r="AI5987">
        <v>95.211955881353504</v>
      </c>
      <c r="AJ5987">
        <v>127.741697517354</v>
      </c>
      <c r="AK5987">
        <v>12.267170381950701</v>
      </c>
    </row>
    <row r="5988" spans="1:37" x14ac:dyDescent="0.2">
      <c r="A5988" t="str">
        <f>"20200111153546526"</f>
        <v>20200111153546526</v>
      </c>
      <c r="B5988" t="str">
        <f>"1578728146521408"</f>
        <v>1578728146521408</v>
      </c>
      <c r="C5988" t="s">
        <v>37</v>
      </c>
      <c r="D5988">
        <v>4.8178619999999999</v>
      </c>
      <c r="E5988">
        <v>0.38872410000000002</v>
      </c>
      <c r="F5988" t="s">
        <v>40</v>
      </c>
      <c r="G5988">
        <v>-205.83500000000001</v>
      </c>
      <c r="H5988">
        <v>1.0275559999999999</v>
      </c>
      <c r="I5988">
        <v>-60.849260000000001</v>
      </c>
      <c r="J5988">
        <v>-206.18639999999999</v>
      </c>
      <c r="K5988">
        <v>1.114376</v>
      </c>
      <c r="L5988">
        <v>-61.599209999999999</v>
      </c>
      <c r="M5988">
        <v>0.93135809999999997</v>
      </c>
      <c r="N5988">
        <v>0</v>
      </c>
      <c r="O5988">
        <v>0.36378379999999999</v>
      </c>
      <c r="P5988">
        <v>0.73425099999999999</v>
      </c>
      <c r="Q5988">
        <v>5.5469269999999897E-3</v>
      </c>
      <c r="R5988">
        <v>0.67885549999999995</v>
      </c>
      <c r="S5988">
        <v>1.6277919999999999</v>
      </c>
      <c r="T5988">
        <v>-0.28529499999999902</v>
      </c>
      <c r="U5988">
        <v>2.6700740000000001</v>
      </c>
      <c r="V5988">
        <v>-0.36555500000000002</v>
      </c>
      <c r="W5988">
        <v>1.1189050000000001E-2</v>
      </c>
      <c r="X5988">
        <v>0.93072250000000001</v>
      </c>
      <c r="Y5988">
        <v>-0.60499250000000004</v>
      </c>
      <c r="Z5988">
        <v>-4.5614779999999999E-3</v>
      </c>
      <c r="AA5988">
        <v>0.79621809999999904</v>
      </c>
      <c r="AB5988">
        <v>29</v>
      </c>
      <c r="AC5988">
        <v>0.351399999999983</v>
      </c>
      <c r="AD5988">
        <v>-8.6820000000000105E-2</v>
      </c>
      <c r="AE5988">
        <v>0.74994999999999801</v>
      </c>
      <c r="AF5988">
        <v>-0.56450145772058202</v>
      </c>
      <c r="AG5988">
        <v>-8.6820000000000105E-2</v>
      </c>
      <c r="AH5988">
        <v>0.59364514239516697</v>
      </c>
      <c r="AI5988">
        <v>96.049761267044403</v>
      </c>
      <c r="AJ5988">
        <v>133.55850908101999</v>
      </c>
      <c r="AK5988">
        <v>0.82378040961049903</v>
      </c>
    </row>
    <row r="5989" spans="1:37" x14ac:dyDescent="0.2">
      <c r="A5989" t="str">
        <f>"20200111153546538"</f>
        <v>20200111153546538</v>
      </c>
      <c r="B5989" t="str">
        <f>"1578728146531167"</f>
        <v>1578728146531167</v>
      </c>
      <c r="C5989" t="s">
        <v>37</v>
      </c>
      <c r="D5989">
        <v>4.8554599999999999</v>
      </c>
      <c r="E5989">
        <v>0.38913709999999901</v>
      </c>
      <c r="F5989" t="s">
        <v>65</v>
      </c>
      <c r="G5989">
        <v>-199.9495</v>
      </c>
      <c r="H5989" s="1">
        <v>-1.0491540000000001E-5</v>
      </c>
      <c r="I5989">
        <v>-51.251179999999998</v>
      </c>
      <c r="J5989">
        <v>-206.03799999999899</v>
      </c>
      <c r="K5989">
        <v>1.1144099999999999</v>
      </c>
      <c r="L5989">
        <v>-61.534089999999999</v>
      </c>
      <c r="M5989">
        <v>0.92874129999999999</v>
      </c>
      <c r="N5989">
        <v>0</v>
      </c>
      <c r="O5989">
        <v>0.37041269999999998</v>
      </c>
      <c r="P5989">
        <v>0.72941519999999904</v>
      </c>
      <c r="Q5989">
        <v>5.709553E-3</v>
      </c>
      <c r="R5989">
        <v>0.68404739999999997</v>
      </c>
      <c r="S5989">
        <v>1.613281</v>
      </c>
      <c r="T5989">
        <v>-0.28825200000000001</v>
      </c>
      <c r="U5989">
        <v>2.676666</v>
      </c>
      <c r="V5989">
        <v>-0.36552950000000001</v>
      </c>
      <c r="W5989">
        <v>1.1347350000000001E-2</v>
      </c>
      <c r="X5989">
        <v>0.93073059999999996</v>
      </c>
      <c r="Y5989">
        <v>-0.60335799999999995</v>
      </c>
      <c r="Z5989">
        <v>-5.4001980000000002E-3</v>
      </c>
      <c r="AA5989">
        <v>0.79745219999999895</v>
      </c>
      <c r="AB5989">
        <v>29</v>
      </c>
      <c r="AC5989">
        <v>6.0884999999999803</v>
      </c>
      <c r="AD5989">
        <v>-1.11442049154</v>
      </c>
      <c r="AE5989">
        <v>10.282909999999999</v>
      </c>
      <c r="AF5989">
        <v>-7.2328585495811399</v>
      </c>
      <c r="AG5989">
        <v>-1.11442049154</v>
      </c>
      <c r="AH5989">
        <v>9.3830693950362392</v>
      </c>
      <c r="AI5989">
        <v>95.373779112249593</v>
      </c>
      <c r="AJ5989">
        <v>127.626524326799</v>
      </c>
      <c r="AK5989">
        <v>11.8995028090369</v>
      </c>
    </row>
    <row r="5990" spans="1:37" x14ac:dyDescent="0.2">
      <c r="A5990" t="str">
        <f>"20200111153546551"</f>
        <v>20200111153546551</v>
      </c>
      <c r="B5990" t="str">
        <f>"1578728146541903"</f>
        <v>1578728146541903</v>
      </c>
      <c r="C5990" t="s">
        <v>37</v>
      </c>
      <c r="D5990">
        <v>4.8415860000000004</v>
      </c>
      <c r="E5990">
        <v>0.38938390000000001</v>
      </c>
      <c r="F5990" t="s">
        <v>65</v>
      </c>
      <c r="G5990">
        <v>-199.8443</v>
      </c>
      <c r="H5990" s="1">
        <v>-1.052711E-5</v>
      </c>
      <c r="I5990">
        <v>-51.116169999999997</v>
      </c>
      <c r="J5990">
        <v>-205.89259999999999</v>
      </c>
      <c r="K5990">
        <v>1.1144430000000001</v>
      </c>
      <c r="L5990">
        <v>-61.468290000000003</v>
      </c>
      <c r="M5990">
        <v>0.92610190000000003</v>
      </c>
      <c r="N5990">
        <v>0</v>
      </c>
      <c r="O5990">
        <v>0.37696279999999999</v>
      </c>
      <c r="P5990">
        <v>0.72490949999999998</v>
      </c>
      <c r="Q5990">
        <v>5.9672179999999998E-3</v>
      </c>
      <c r="R5990">
        <v>0.68881829999999999</v>
      </c>
      <c r="S5990">
        <v>1.596619</v>
      </c>
      <c r="T5990">
        <v>-0.287277</v>
      </c>
      <c r="U5990">
        <v>2.6855470000000001</v>
      </c>
      <c r="V5990">
        <v>-0.36507030000000001</v>
      </c>
      <c r="W5990">
        <v>1.1617219999999999E-2</v>
      </c>
      <c r="X5990">
        <v>0.9309075</v>
      </c>
      <c r="Y5990">
        <v>-0.60257130000000003</v>
      </c>
      <c r="Z5990">
        <v>-6.1125509999999999E-3</v>
      </c>
      <c r="AA5990">
        <v>0.79804160000000002</v>
      </c>
      <c r="AB5990">
        <v>29</v>
      </c>
      <c r="AC5990">
        <v>6.0482999999999798</v>
      </c>
      <c r="AD5990">
        <v>-1.11445352711</v>
      </c>
      <c r="AE5990">
        <v>10.352119999999999</v>
      </c>
      <c r="AF5990">
        <v>-7.24538891845829</v>
      </c>
      <c r="AG5990">
        <v>-1.11445352711</v>
      </c>
      <c r="AH5990">
        <v>9.4234003379062496</v>
      </c>
      <c r="AI5990">
        <v>95.356138262077494</v>
      </c>
      <c r="AJ5990">
        <v>127.55567641864501</v>
      </c>
      <c r="AK5990">
        <v>11.938933837334799</v>
      </c>
    </row>
    <row r="5991" spans="1:37" x14ac:dyDescent="0.2">
      <c r="A5991" t="str">
        <f>"20200111153546564"</f>
        <v>20200111153546564</v>
      </c>
      <c r="B5991" t="str">
        <f>"1578728146561424"</f>
        <v>1578728146561424</v>
      </c>
      <c r="C5991" t="s">
        <v>37</v>
      </c>
      <c r="D5991">
        <v>4.8626740000000002</v>
      </c>
      <c r="E5991">
        <v>0.39544479999999999</v>
      </c>
      <c r="F5991" t="s">
        <v>40</v>
      </c>
      <c r="G5991">
        <v>-205.398</v>
      </c>
      <c r="H5991">
        <v>1.024518</v>
      </c>
      <c r="I5991">
        <v>-60.625009999999897</v>
      </c>
      <c r="J5991">
        <v>-205.7516</v>
      </c>
      <c r="K5991">
        <v>1.114471</v>
      </c>
      <c r="L5991">
        <v>-61.4037199999999</v>
      </c>
      <c r="M5991">
        <v>0.92348699999999995</v>
      </c>
      <c r="N5991">
        <v>0</v>
      </c>
      <c r="O5991">
        <v>0.38332359999999999</v>
      </c>
      <c r="P5991">
        <v>0.72073160000000003</v>
      </c>
      <c r="Q5991">
        <v>6.6030209999999997E-3</v>
      </c>
      <c r="R5991">
        <v>0.69318290000000005</v>
      </c>
      <c r="S5991">
        <v>1.58046</v>
      </c>
      <c r="T5991">
        <v>-0.2873425</v>
      </c>
      <c r="U5991">
        <v>2.6945189999999899</v>
      </c>
      <c r="V5991">
        <v>-0.36430609999999902</v>
      </c>
      <c r="W5991">
        <v>1.227521E-2</v>
      </c>
      <c r="X5991">
        <v>0.93119839999999998</v>
      </c>
      <c r="Y5991">
        <v>-0.60182720000000001</v>
      </c>
      <c r="Z5991">
        <v>-6.8231209999999997E-3</v>
      </c>
      <c r="AA5991">
        <v>0.79859720000000001</v>
      </c>
      <c r="AB5991">
        <v>29</v>
      </c>
      <c r="AC5991">
        <v>0.35360000000000003</v>
      </c>
      <c r="AD5991">
        <v>-8.9952999999999894E-2</v>
      </c>
      <c r="AE5991">
        <v>0.77870999999999602</v>
      </c>
      <c r="AF5991">
        <v>-0.57726768663532702</v>
      </c>
      <c r="AG5991">
        <v>-8.9952999999999894E-2</v>
      </c>
      <c r="AH5991">
        <v>0.61827647112710304</v>
      </c>
      <c r="AI5991">
        <v>96.070202223895805</v>
      </c>
      <c r="AJ5991">
        <v>133.03544737561899</v>
      </c>
      <c r="AK5991">
        <v>0.85064406128044301</v>
      </c>
    </row>
    <row r="5992" spans="1:37" x14ac:dyDescent="0.2">
      <c r="A5992" t="str">
        <f>"20200111153546577"</f>
        <v>20200111153546577</v>
      </c>
      <c r="B5992" t="str">
        <f>"1578728146571183"</f>
        <v>1578728146571183</v>
      </c>
      <c r="C5992" t="s">
        <v>37</v>
      </c>
      <c r="D5992">
        <v>4.8411939999999998</v>
      </c>
      <c r="E5992">
        <v>0.39511839999999998</v>
      </c>
      <c r="F5992" t="s">
        <v>65</v>
      </c>
      <c r="G5992">
        <v>-199.46719999999999</v>
      </c>
      <c r="H5992" s="1">
        <v>-1.055878E-5</v>
      </c>
      <c r="I5992">
        <v>-50.905070000000002</v>
      </c>
      <c r="J5992">
        <v>-205.60489999999999</v>
      </c>
      <c r="K5992">
        <v>1.114498</v>
      </c>
      <c r="L5992">
        <v>-61.335299999999997</v>
      </c>
      <c r="M5992">
        <v>0.92070110000000005</v>
      </c>
      <c r="N5992">
        <v>0</v>
      </c>
      <c r="O5992">
        <v>0.38996709999999901</v>
      </c>
      <c r="P5992">
        <v>0.71649659999999904</v>
      </c>
      <c r="Q5992">
        <v>7.37041E-3</v>
      </c>
      <c r="R5992">
        <v>0.69755149999999999</v>
      </c>
      <c r="S5992">
        <v>1.597809</v>
      </c>
      <c r="T5992">
        <v>-0.28335359999999998</v>
      </c>
      <c r="U5992">
        <v>2.6692499999999999</v>
      </c>
      <c r="V5992">
        <v>-0.36327959999999998</v>
      </c>
      <c r="W5992">
        <v>1.307433E-2</v>
      </c>
      <c r="X5992">
        <v>0.93158839999999998</v>
      </c>
      <c r="Y5992">
        <v>-0.58896709999999997</v>
      </c>
      <c r="Z5992">
        <v>-8.1878100000000002E-3</v>
      </c>
      <c r="AA5992">
        <v>0.80811549999999999</v>
      </c>
      <c r="AB5992">
        <v>29</v>
      </c>
      <c r="AC5992">
        <v>6.1376999999999899</v>
      </c>
      <c r="AD5992">
        <v>-1.1145085587799901</v>
      </c>
      <c r="AE5992">
        <v>10.4302299999999</v>
      </c>
      <c r="AF5992">
        <v>-7.1498335679617799</v>
      </c>
      <c r="AG5992">
        <v>-1.1145085587799901</v>
      </c>
      <c r="AH5992">
        <v>9.63783845790622</v>
      </c>
      <c r="AI5992">
        <v>95.306017047165696</v>
      </c>
      <c r="AJ5992">
        <v>126.56988380839</v>
      </c>
      <c r="AK5992">
        <v>12.051978240846701</v>
      </c>
    </row>
    <row r="5993" spans="1:37" x14ac:dyDescent="0.2">
      <c r="A5993" t="str">
        <f>"20200111153546591"</f>
        <v>20200111153546591</v>
      </c>
      <c r="B5993" t="str">
        <f>"1578728146581919"</f>
        <v>1578728146581919</v>
      </c>
      <c r="C5993" t="s">
        <v>37</v>
      </c>
      <c r="D5993">
        <v>4.8670269999999896</v>
      </c>
      <c r="E5993">
        <v>0.39536979999999999</v>
      </c>
      <c r="F5993" t="s">
        <v>40</v>
      </c>
      <c r="G5993">
        <v>-205.1473</v>
      </c>
      <c r="H5993">
        <v>1.033909</v>
      </c>
      <c r="I5993">
        <v>-60.558969999999903</v>
      </c>
      <c r="J5993">
        <v>-205.43700000000001</v>
      </c>
      <c r="K5993">
        <v>1.114525</v>
      </c>
      <c r="L5993">
        <v>-61.255000000000003</v>
      </c>
      <c r="M5993">
        <v>0.91742409999999996</v>
      </c>
      <c r="N5993">
        <v>0</v>
      </c>
      <c r="O5993">
        <v>0.39761469999999999</v>
      </c>
      <c r="P5993">
        <v>0.7122965</v>
      </c>
      <c r="Q5993">
        <v>8.7594719999999904E-3</v>
      </c>
      <c r="R5993">
        <v>0.70182409999999995</v>
      </c>
      <c r="S5993">
        <v>1.57962</v>
      </c>
      <c r="T5993">
        <v>-0.27826430000000002</v>
      </c>
      <c r="U5993">
        <v>2.6811829999999999</v>
      </c>
      <c r="V5993">
        <v>-0.36113869999999998</v>
      </c>
      <c r="W5993">
        <v>1.452997E-2</v>
      </c>
      <c r="X5993">
        <v>0.93239889999999903</v>
      </c>
      <c r="Y5993">
        <v>-0.58794469999999899</v>
      </c>
      <c r="Z5993">
        <v>-8.8737199999999999E-3</v>
      </c>
      <c r="AA5993">
        <v>0.80885249999999997</v>
      </c>
      <c r="AB5993">
        <v>29</v>
      </c>
      <c r="AC5993">
        <v>0.28970000000001001</v>
      </c>
      <c r="AD5993">
        <v>-8.0615999999999993E-2</v>
      </c>
      <c r="AE5993">
        <v>0.69603000000000703</v>
      </c>
      <c r="AF5993">
        <v>-0.51751012768262805</v>
      </c>
      <c r="AG5993">
        <v>-8.0615999999999993E-2</v>
      </c>
      <c r="AH5993">
        <v>0.536459520339163</v>
      </c>
      <c r="AI5993">
        <v>96.172708847806703</v>
      </c>
      <c r="AJ5993">
        <v>133.96998622015201</v>
      </c>
      <c r="AK5993">
        <v>0.74973627941604604</v>
      </c>
    </row>
    <row r="5994" spans="1:37" x14ac:dyDescent="0.2">
      <c r="A5994" t="str">
        <f>"20200111153546603"</f>
        <v>20200111153546603</v>
      </c>
      <c r="B5994" t="str">
        <f>"1578728146591680"</f>
        <v>1578728146591680</v>
      </c>
      <c r="C5994" t="s">
        <v>37</v>
      </c>
      <c r="D5994">
        <v>4.8585709999999898</v>
      </c>
      <c r="E5994">
        <v>0.39557500000000001</v>
      </c>
      <c r="F5994" t="s">
        <v>40</v>
      </c>
      <c r="G5994">
        <v>-204.9495</v>
      </c>
      <c r="H5994">
        <v>1.027928</v>
      </c>
      <c r="I5994">
        <v>-60.417279999999998</v>
      </c>
      <c r="J5994">
        <v>-205.31219999999999</v>
      </c>
      <c r="K5994">
        <v>1.1145419999999999</v>
      </c>
      <c r="L5994">
        <v>-61.194459999999999</v>
      </c>
      <c r="M5994">
        <v>0.91493419999999903</v>
      </c>
      <c r="N5994">
        <v>0</v>
      </c>
      <c r="O5994">
        <v>0.40331070000000002</v>
      </c>
      <c r="P5994">
        <v>0.70875219999999906</v>
      </c>
      <c r="Q5994">
        <v>9.2225769999999992E-3</v>
      </c>
      <c r="R5994">
        <v>0.70539739999999995</v>
      </c>
      <c r="S5994">
        <v>1.5652159999999999</v>
      </c>
      <c r="T5994">
        <v>-0.27802929999999998</v>
      </c>
      <c r="U5994">
        <v>2.6894529999999999</v>
      </c>
      <c r="V5994">
        <v>-0.3600447</v>
      </c>
      <c r="W5994">
        <v>1.502774E-2</v>
      </c>
      <c r="X5994">
        <v>0.93281399999999903</v>
      </c>
      <c r="Y5994">
        <v>-0.58725519999999998</v>
      </c>
      <c r="Z5994">
        <v>-9.4850549999999992E-3</v>
      </c>
      <c r="AA5994">
        <v>0.80934619999999902</v>
      </c>
      <c r="AB5994">
        <v>29</v>
      </c>
      <c r="AC5994">
        <v>0.36269999999998898</v>
      </c>
      <c r="AD5994">
        <v>-8.6613999999999705E-2</v>
      </c>
      <c r="AE5994">
        <v>0.77717999999999399</v>
      </c>
      <c r="AF5994">
        <v>-0.55915160267549402</v>
      </c>
      <c r="AG5994">
        <v>-8.6613999999999705E-2</v>
      </c>
      <c r="AH5994">
        <v>0.63885210652320301</v>
      </c>
      <c r="AI5994">
        <v>95.825170299889294</v>
      </c>
      <c r="AJ5994">
        <v>131.19384875996499</v>
      </c>
      <c r="AK5994">
        <v>0.85339587166783704</v>
      </c>
    </row>
    <row r="5995" spans="1:37" x14ac:dyDescent="0.2">
      <c r="A5995" t="str">
        <f>"20200111153546615"</f>
        <v>20200111153546615</v>
      </c>
      <c r="B5995" t="str">
        <f>"1578728146611199"</f>
        <v>1578728146611199</v>
      </c>
      <c r="C5995" t="s">
        <v>37</v>
      </c>
      <c r="D5995">
        <v>4.8136679999999998</v>
      </c>
      <c r="E5995">
        <v>0.39566399999999902</v>
      </c>
      <c r="F5995" t="s">
        <v>65</v>
      </c>
      <c r="G5995">
        <v>-199.0822</v>
      </c>
      <c r="H5995" s="1">
        <v>-2.9056509999999899E-6</v>
      </c>
      <c r="I5995">
        <v>-50.377629999999897</v>
      </c>
      <c r="J5995">
        <v>-205.17320000000001</v>
      </c>
      <c r="K5995">
        <v>1.1145590000000001</v>
      </c>
      <c r="L5995">
        <v>-61.12576</v>
      </c>
      <c r="M5995">
        <v>0.91209889999999905</v>
      </c>
      <c r="N5995">
        <v>0</v>
      </c>
      <c r="O5995">
        <v>0.40968189999999999</v>
      </c>
      <c r="P5995">
        <v>0.70448719999999998</v>
      </c>
      <c r="Q5995">
        <v>9.6552519999999996E-3</v>
      </c>
      <c r="R5995">
        <v>0.70965109999999998</v>
      </c>
      <c r="S5995">
        <v>1.5529170000000001</v>
      </c>
      <c r="T5995">
        <v>-0.27781739999999999</v>
      </c>
      <c r="U5995">
        <v>2.696259</v>
      </c>
      <c r="V5995">
        <v>-0.35916709999999902</v>
      </c>
      <c r="W5995">
        <v>1.5489259999999999E-2</v>
      </c>
      <c r="X5995">
        <v>0.93314470000000005</v>
      </c>
      <c r="Y5995">
        <v>-0.58529330000000002</v>
      </c>
      <c r="Z5995">
        <v>-1.0237E-2</v>
      </c>
      <c r="AA5995">
        <v>0.81075699999999995</v>
      </c>
      <c r="AB5995">
        <v>29</v>
      </c>
      <c r="AC5995">
        <v>6.0910000000000002</v>
      </c>
      <c r="AD5995">
        <v>-1.1145619056510001</v>
      </c>
      <c r="AE5995">
        <v>10.74813</v>
      </c>
      <c r="AF5995">
        <v>-7.2498398580904002</v>
      </c>
      <c r="AG5995">
        <v>-1.1145619056510001</v>
      </c>
      <c r="AH5995">
        <v>9.8796716768885808</v>
      </c>
      <c r="AI5995">
        <v>95.196904300660606</v>
      </c>
      <c r="AJ5995">
        <v>126.271736921897</v>
      </c>
      <c r="AK5995">
        <v>12.304890842774601</v>
      </c>
    </row>
    <row r="5996" spans="1:37" x14ac:dyDescent="0.2">
      <c r="A5996" t="str">
        <f>"20200111153546626"</f>
        <v>20200111153546626</v>
      </c>
      <c r="B5996" t="str">
        <f>"1578728146621935"</f>
        <v>1578728146621935</v>
      </c>
      <c r="C5996" t="s">
        <v>37</v>
      </c>
      <c r="D5996">
        <v>4.8713110000000004</v>
      </c>
      <c r="E5996">
        <v>0.39572360000000001</v>
      </c>
      <c r="F5996" t="s">
        <v>40</v>
      </c>
      <c r="G5996">
        <v>-204.71719999999999</v>
      </c>
      <c r="H5996">
        <v>1.0328809999999999</v>
      </c>
      <c r="I5996">
        <v>-60.323560000000001</v>
      </c>
      <c r="J5996">
        <v>-205.05099999999999</v>
      </c>
      <c r="K5996">
        <v>1.1145719999999999</v>
      </c>
      <c r="L5996">
        <v>-61.06418</v>
      </c>
      <c r="M5996">
        <v>0.90955280000000005</v>
      </c>
      <c r="N5996">
        <v>0</v>
      </c>
      <c r="O5996">
        <v>0.41530359999999999</v>
      </c>
      <c r="P5996">
        <v>0.70061240000000002</v>
      </c>
      <c r="Q5996">
        <v>1.003911E-2</v>
      </c>
      <c r="R5996">
        <v>0.71347150000000004</v>
      </c>
      <c r="S5996">
        <v>1.5370790000000001</v>
      </c>
      <c r="T5996">
        <v>-0.27539940000000002</v>
      </c>
      <c r="U5996">
        <v>2.705292</v>
      </c>
      <c r="V5996">
        <v>-0.35849369999999903</v>
      </c>
      <c r="W5996">
        <v>1.5895949999999999E-2</v>
      </c>
      <c r="X5996">
        <v>0.93339680000000003</v>
      </c>
      <c r="Y5996">
        <v>-0.58507049999999905</v>
      </c>
      <c r="Z5996">
        <v>-1.072971E-2</v>
      </c>
      <c r="AA5996">
        <v>0.81091139999999995</v>
      </c>
      <c r="AB5996">
        <v>29</v>
      </c>
      <c r="AC5996">
        <v>0.33379999999999599</v>
      </c>
      <c r="AD5996">
        <v>-8.1690999999999903E-2</v>
      </c>
      <c r="AE5996">
        <v>0.74062000000000605</v>
      </c>
      <c r="AF5996">
        <v>-0.52971143786012198</v>
      </c>
      <c r="AG5996">
        <v>-8.1690999999999903E-2</v>
      </c>
      <c r="AH5996">
        <v>0.60514389238585398</v>
      </c>
      <c r="AI5996">
        <v>95.799987691982295</v>
      </c>
      <c r="AJ5996">
        <v>131.197212952407</v>
      </c>
      <c r="AK5996">
        <v>0.80837290737180201</v>
      </c>
    </row>
    <row r="5997" spans="1:37" x14ac:dyDescent="0.2">
      <c r="A5997" t="str">
        <f>"20200111153546638"</f>
        <v>20200111153546638</v>
      </c>
      <c r="B5997" t="str">
        <f>"1578728146631695"</f>
        <v>1578728146631695</v>
      </c>
      <c r="C5997" t="s">
        <v>37</v>
      </c>
      <c r="D5997">
        <v>5.2604749999999996</v>
      </c>
      <c r="E5997">
        <v>0.39572360000000001</v>
      </c>
      <c r="F5997" t="s">
        <v>40</v>
      </c>
      <c r="G5997">
        <v>-204.5402</v>
      </c>
      <c r="H5997">
        <v>1.0225869999999999</v>
      </c>
      <c r="I5997">
        <v>-60.153999999999897</v>
      </c>
      <c r="J5997">
        <v>-204.90870000000001</v>
      </c>
      <c r="K5997">
        <v>1.114587</v>
      </c>
      <c r="L5997">
        <v>-60.991759999999999</v>
      </c>
      <c r="M5997">
        <v>0.90653379999999995</v>
      </c>
      <c r="N5997">
        <v>0</v>
      </c>
      <c r="O5997">
        <v>0.42185230000000001</v>
      </c>
      <c r="P5997">
        <v>0.69575220000000004</v>
      </c>
      <c r="Q5997">
        <v>1.0178599999999999E-2</v>
      </c>
      <c r="R5997">
        <v>0.71820980000000001</v>
      </c>
      <c r="S5997">
        <v>1.5226440000000001</v>
      </c>
      <c r="T5997">
        <v>-0.27422370000000001</v>
      </c>
      <c r="U5997">
        <v>2.7134399999999999</v>
      </c>
      <c r="V5997">
        <v>-0.35810209999999998</v>
      </c>
      <c r="W5997">
        <v>1.6049480000000001E-2</v>
      </c>
      <c r="X5997">
        <v>0.9335445</v>
      </c>
      <c r="Y5997">
        <v>-0.58357230000000004</v>
      </c>
      <c r="Z5997">
        <v>-1.142698E-2</v>
      </c>
      <c r="AA5997">
        <v>0.81198079999999995</v>
      </c>
      <c r="AB5997">
        <v>29</v>
      </c>
      <c r="AC5997">
        <v>0.36850000000001099</v>
      </c>
      <c r="AD5997">
        <v>-9.1999999999999804E-2</v>
      </c>
      <c r="AE5997">
        <v>0.83776000000000295</v>
      </c>
      <c r="AF5997">
        <v>-0.59803387953757603</v>
      </c>
      <c r="AG5997">
        <v>-9.1999999999999804E-2</v>
      </c>
      <c r="AH5997">
        <v>0.68067224868735698</v>
      </c>
      <c r="AI5997">
        <v>95.797807357151996</v>
      </c>
      <c r="AJ5997">
        <v>131.30231346585501</v>
      </c>
      <c r="AK5997">
        <v>0.91072675990544405</v>
      </c>
    </row>
    <row r="5998" spans="1:37" x14ac:dyDescent="0.2">
      <c r="A5998" t="str">
        <f>"20200111153546650"</f>
        <v>20200111153546650</v>
      </c>
      <c r="B5998" t="str">
        <f>"1578728146641456"</f>
        <v>1578728146641456</v>
      </c>
      <c r="C5998" t="s">
        <v>37</v>
      </c>
      <c r="D5998">
        <v>4.8749510000000003</v>
      </c>
      <c r="E5998">
        <v>0.419908</v>
      </c>
      <c r="F5998" t="s">
        <v>40</v>
      </c>
      <c r="G5998">
        <v>-204.4864</v>
      </c>
      <c r="H5998">
        <v>1.0379039999999999</v>
      </c>
      <c r="I5998">
        <v>-60.226930000000003</v>
      </c>
      <c r="J5998">
        <v>-204.79050000000001</v>
      </c>
      <c r="K5998">
        <v>1.1146</v>
      </c>
      <c r="L5998">
        <v>-60.929929999999999</v>
      </c>
      <c r="M5998">
        <v>0.90396559999999904</v>
      </c>
      <c r="N5998">
        <v>0</v>
      </c>
      <c r="O5998">
        <v>0.42732749999999903</v>
      </c>
      <c r="P5998">
        <v>0.69138149999999998</v>
      </c>
      <c r="Q5998">
        <v>9.9718749999999998E-3</v>
      </c>
      <c r="R5998">
        <v>0.72242119999999999</v>
      </c>
      <c r="S5998">
        <v>1.5040439999999999</v>
      </c>
      <c r="T5998">
        <v>-0.27309609999999901</v>
      </c>
      <c r="U5998">
        <v>2.7239070000000001</v>
      </c>
      <c r="V5998">
        <v>-0.3581183</v>
      </c>
      <c r="W5998">
        <v>1.5845410000000001E-2</v>
      </c>
      <c r="X5998">
        <v>0.93354169999999903</v>
      </c>
      <c r="Y5998">
        <v>-0.58424989999999999</v>
      </c>
      <c r="Z5998">
        <v>-1.1895279999999999E-2</v>
      </c>
      <c r="AA5998">
        <v>0.81148669999999901</v>
      </c>
      <c r="AB5998">
        <v>29</v>
      </c>
      <c r="AC5998">
        <v>0.30410000000000498</v>
      </c>
      <c r="AD5998">
        <v>-7.6695999999999806E-2</v>
      </c>
      <c r="AE5998">
        <v>0.70300000000000296</v>
      </c>
      <c r="AF5998">
        <v>-0.50057860108747398</v>
      </c>
      <c r="AG5998">
        <v>-7.6695999999999806E-2</v>
      </c>
      <c r="AH5998">
        <v>0.56966386348119602</v>
      </c>
      <c r="AI5998">
        <v>95.774987476624801</v>
      </c>
      <c r="AJ5998">
        <v>131.306622151206</v>
      </c>
      <c r="AK5998">
        <v>0.762219213638056</v>
      </c>
    </row>
    <row r="5999" spans="1:37" x14ac:dyDescent="0.2">
      <c r="A5999" t="str">
        <f>"20200111153546661"</f>
        <v>20200111153546661</v>
      </c>
      <c r="B5999" t="str">
        <f>"1578728146651215"</f>
        <v>1578728146651215</v>
      </c>
      <c r="C5999" t="s">
        <v>37</v>
      </c>
      <c r="D5999">
        <v>4.9240440000000003</v>
      </c>
      <c r="E5999">
        <v>0.42273459999999902</v>
      </c>
      <c r="F5999" t="s">
        <v>40</v>
      </c>
      <c r="G5999">
        <v>-204.2741</v>
      </c>
      <c r="H5999">
        <v>1.0231250000000001</v>
      </c>
      <c r="I5999">
        <v>-60.105369999999901</v>
      </c>
      <c r="J5999">
        <v>-204.65539999999999</v>
      </c>
      <c r="K5999">
        <v>1.114614</v>
      </c>
      <c r="L5999">
        <v>-60.858699999999999</v>
      </c>
      <c r="M5999">
        <v>0.90098069999999897</v>
      </c>
      <c r="N5999">
        <v>0</v>
      </c>
      <c r="O5999">
        <v>0.43358530000000001</v>
      </c>
      <c r="P5999">
        <v>0.68639499999999998</v>
      </c>
      <c r="Q5999">
        <v>9.8566650000000006E-3</v>
      </c>
      <c r="R5999">
        <v>0.72716219999999998</v>
      </c>
      <c r="S5999">
        <v>1.627686</v>
      </c>
      <c r="T5999">
        <v>-0.2883115</v>
      </c>
      <c r="U5999">
        <v>2.598938</v>
      </c>
      <c r="V5999">
        <v>-0.35806640000000001</v>
      </c>
      <c r="W5999">
        <v>1.573432E-2</v>
      </c>
      <c r="X5999">
        <v>0.93356349999999999</v>
      </c>
      <c r="Y5999">
        <v>-0.53302700000000003</v>
      </c>
      <c r="Z5999">
        <v>-1.6269079999999998E-2</v>
      </c>
      <c r="AA5999">
        <v>0.84594179999999997</v>
      </c>
      <c r="AB5999">
        <v>29</v>
      </c>
      <c r="AC5999">
        <v>0.38129999999998099</v>
      </c>
      <c r="AD5999">
        <v>-9.1488999999999904E-2</v>
      </c>
      <c r="AE5999">
        <v>0.75333000000000505</v>
      </c>
      <c r="AF5999">
        <v>-0.50751192256678301</v>
      </c>
      <c r="AG5999">
        <v>-9.1488999999999904E-2</v>
      </c>
      <c r="AH5999">
        <v>0.66247810057830703</v>
      </c>
      <c r="AI5999">
        <v>96.256292656265003</v>
      </c>
      <c r="AJ5999">
        <v>127.455041506055</v>
      </c>
      <c r="AK5999">
        <v>0.83953309786706698</v>
      </c>
    </row>
    <row r="6000" spans="1:37" x14ac:dyDescent="0.2">
      <c r="A6000" t="str">
        <f>"20200111153546674"</f>
        <v>20200111153546674</v>
      </c>
      <c r="B6000" t="str">
        <f>"1578728146671711"</f>
        <v>1578728146671711</v>
      </c>
      <c r="C6000" t="s">
        <v>37</v>
      </c>
      <c r="D6000">
        <v>4.8075900000000003</v>
      </c>
      <c r="E6000">
        <v>0.425872999999999</v>
      </c>
      <c r="F6000" t="s">
        <v>40</v>
      </c>
      <c r="G6000">
        <v>-204.08709999999999</v>
      </c>
      <c r="H6000">
        <v>1.014157</v>
      </c>
      <c r="I6000">
        <v>-59.951709999999999</v>
      </c>
      <c r="J6000">
        <v>-204.5163</v>
      </c>
      <c r="K6000">
        <v>1.114625</v>
      </c>
      <c r="L6000">
        <v>-60.783839999999998</v>
      </c>
      <c r="M6000">
        <v>0.89783919999999995</v>
      </c>
      <c r="N6000">
        <v>0</v>
      </c>
      <c r="O6000">
        <v>0.44005319999999998</v>
      </c>
      <c r="P6000">
        <v>0.68091330000000005</v>
      </c>
      <c r="Q6000">
        <v>9.7618819999999995E-3</v>
      </c>
      <c r="R6000">
        <v>0.73229909999999998</v>
      </c>
      <c r="S6000">
        <v>1.625885</v>
      </c>
      <c r="T6000">
        <v>-0.2874003</v>
      </c>
      <c r="U6000">
        <v>2.5947879999999999</v>
      </c>
      <c r="V6000">
        <v>-0.35836570000000001</v>
      </c>
      <c r="W6000">
        <v>1.5634200000000001E-2</v>
      </c>
      <c r="X6000">
        <v>0.93345040000000001</v>
      </c>
      <c r="Y6000">
        <v>-0.52678919999999996</v>
      </c>
      <c r="Z6000">
        <v>-1.7266219999999999E-2</v>
      </c>
      <c r="AA6000">
        <v>0.84982060000000004</v>
      </c>
      <c r="AB6000">
        <v>28</v>
      </c>
      <c r="AC6000">
        <v>0.42920000000000802</v>
      </c>
      <c r="AD6000">
        <v>-0.100468</v>
      </c>
      <c r="AE6000">
        <v>0.83213000000000603</v>
      </c>
      <c r="AF6000">
        <v>-0.55195924821089604</v>
      </c>
      <c r="AG6000">
        <v>-0.100468</v>
      </c>
      <c r="AH6000">
        <v>0.74306777109466804</v>
      </c>
      <c r="AI6000">
        <v>96.194577063157098</v>
      </c>
      <c r="AJ6000">
        <v>126.60538772337399</v>
      </c>
      <c r="AK6000">
        <v>0.93107601362570602</v>
      </c>
    </row>
    <row r="6001" spans="1:37" x14ac:dyDescent="0.2">
      <c r="A6001" t="str">
        <f>"20200111153546686"</f>
        <v>20200111153546686</v>
      </c>
      <c r="B6001" t="str">
        <f>"1578728146681471"</f>
        <v>1578728146681471</v>
      </c>
      <c r="C6001" t="s">
        <v>37</v>
      </c>
      <c r="D6001">
        <v>4.9508830000000001</v>
      </c>
      <c r="E6001">
        <v>0.42665509999999901</v>
      </c>
      <c r="F6001" t="s">
        <v>40</v>
      </c>
      <c r="G6001">
        <v>-204.03530000000001</v>
      </c>
      <c r="H6001">
        <v>1.0314449999999999</v>
      </c>
      <c r="I6001">
        <v>-60.017009999999999</v>
      </c>
      <c r="J6001">
        <v>-204.38939999999999</v>
      </c>
      <c r="K6001">
        <v>1.1146339999999999</v>
      </c>
      <c r="L6001">
        <v>-60.714390000000002</v>
      </c>
      <c r="M6001">
        <v>0.89491679999999996</v>
      </c>
      <c r="N6001">
        <v>0</v>
      </c>
      <c r="O6001">
        <v>0.44596609999999998</v>
      </c>
      <c r="P6001">
        <v>0.67578519999999997</v>
      </c>
      <c r="Q6001">
        <v>9.7722260000000002E-3</v>
      </c>
      <c r="R6001">
        <v>0.73703390000000002</v>
      </c>
      <c r="S6001">
        <v>1.6244350000000001</v>
      </c>
      <c r="T6001">
        <v>-0.28094980000000003</v>
      </c>
      <c r="U6001">
        <v>2.58999599999999</v>
      </c>
      <c r="V6001">
        <v>-0.35872389999999998</v>
      </c>
      <c r="W6001">
        <v>1.5637539999999998E-2</v>
      </c>
      <c r="X6001">
        <v>0.9333127</v>
      </c>
      <c r="Y6001">
        <v>-0.52086309999999902</v>
      </c>
      <c r="Z6001">
        <v>-1.7833370000000001E-2</v>
      </c>
      <c r="AA6001">
        <v>0.85345389999999999</v>
      </c>
      <c r="AB6001">
        <v>28</v>
      </c>
      <c r="AC6001">
        <v>0.35409999999998798</v>
      </c>
      <c r="AD6001">
        <v>-8.3188999999999902E-2</v>
      </c>
      <c r="AE6001">
        <v>0.697380000000002</v>
      </c>
      <c r="AF6001">
        <v>-0.46102051160025698</v>
      </c>
      <c r="AG6001">
        <v>-8.3188999999999902E-2</v>
      </c>
      <c r="AH6001">
        <v>0.62094792039187896</v>
      </c>
      <c r="AI6001">
        <v>96.139444845009905</v>
      </c>
      <c r="AJ6001">
        <v>126.591904513541</v>
      </c>
      <c r="AK6001">
        <v>0.77784101311011</v>
      </c>
    </row>
    <row r="6002" spans="1:37" x14ac:dyDescent="0.2">
      <c r="A6002" t="str">
        <f>"20200111153546698"</f>
        <v>20200111153546698</v>
      </c>
      <c r="B6002" t="str">
        <f>"1578728146691231"</f>
        <v>1578728146691231</v>
      </c>
      <c r="C6002" t="s">
        <v>37</v>
      </c>
      <c r="D6002">
        <v>4.8815249999999999</v>
      </c>
      <c r="E6002">
        <v>0.42722209999999899</v>
      </c>
      <c r="F6002" t="s">
        <v>40</v>
      </c>
      <c r="G6002">
        <v>-203.85579999999999</v>
      </c>
      <c r="H6002">
        <v>1.0247010000000001</v>
      </c>
      <c r="I6002">
        <v>-59.85389</v>
      </c>
      <c r="J6002">
        <v>-204.2518</v>
      </c>
      <c r="K6002">
        <v>1.114644</v>
      </c>
      <c r="L6002">
        <v>-60.638309999999997</v>
      </c>
      <c r="M6002">
        <v>0.89169219999999905</v>
      </c>
      <c r="N6002">
        <v>0</v>
      </c>
      <c r="O6002">
        <v>0.45237889999999997</v>
      </c>
      <c r="P6002">
        <v>0.67035009999999995</v>
      </c>
      <c r="Q6002">
        <v>9.9825639999999993E-3</v>
      </c>
      <c r="R6002">
        <v>0.74197789999999997</v>
      </c>
      <c r="S6002">
        <v>1.6103969999999901</v>
      </c>
      <c r="T6002">
        <v>-0.27144029999999902</v>
      </c>
      <c r="U6002">
        <v>2.5973820000000001</v>
      </c>
      <c r="V6002">
        <v>-0.35888609999999999</v>
      </c>
      <c r="W6002">
        <v>1.5847320000000002E-2</v>
      </c>
      <c r="X6002">
        <v>0.93324689999999999</v>
      </c>
      <c r="Y6002">
        <v>-0.51920109999999997</v>
      </c>
      <c r="Z6002">
        <v>-1.797027E-2</v>
      </c>
      <c r="AA6002">
        <v>0.85446319999999998</v>
      </c>
      <c r="AB6002">
        <v>28</v>
      </c>
      <c r="AC6002">
        <v>0.39600000000001501</v>
      </c>
      <c r="AD6002">
        <v>-8.9942999999999801E-2</v>
      </c>
      <c r="AE6002">
        <v>0.78441999999999701</v>
      </c>
      <c r="AF6002">
        <v>-0.514985581259778</v>
      </c>
      <c r="AG6002">
        <v>-8.9942999999999801E-2</v>
      </c>
      <c r="AH6002">
        <v>0.700708118727985</v>
      </c>
      <c r="AI6002">
        <v>95.905131110884099</v>
      </c>
      <c r="AJ6002">
        <v>126.314034330583</v>
      </c>
      <c r="AK6002">
        <v>0.87423781650405796</v>
      </c>
    </row>
    <row r="6003" spans="1:37" x14ac:dyDescent="0.2">
      <c r="A6003" t="str">
        <f>"20200111153546710"</f>
        <v>20200111153546710</v>
      </c>
      <c r="B6003" t="str">
        <f>"1578728146701967"</f>
        <v>1578728146701967</v>
      </c>
      <c r="C6003" t="s">
        <v>37</v>
      </c>
      <c r="D6003">
        <v>4.8252620000000004</v>
      </c>
      <c r="E6003">
        <v>0.4264848</v>
      </c>
      <c r="F6003" t="s">
        <v>40</v>
      </c>
      <c r="G6003">
        <v>-203.80799999999999</v>
      </c>
      <c r="H6003">
        <v>1.041388</v>
      </c>
      <c r="I6003">
        <v>-59.912730000000003</v>
      </c>
      <c r="J6003">
        <v>-204.11959999999999</v>
      </c>
      <c r="K6003">
        <v>1.114652</v>
      </c>
      <c r="L6003">
        <v>-60.5631699999999</v>
      </c>
      <c r="M6003">
        <v>0.88851930000000001</v>
      </c>
      <c r="N6003">
        <v>0</v>
      </c>
      <c r="O6003">
        <v>0.45857920000000002</v>
      </c>
      <c r="P6003">
        <v>0.66536490000000004</v>
      </c>
      <c r="Q6003">
        <v>1.0190909999999999E-2</v>
      </c>
      <c r="R6003">
        <v>0.74644880000000002</v>
      </c>
      <c r="S6003">
        <v>1.594055</v>
      </c>
      <c r="T6003">
        <v>-0.26314399999999999</v>
      </c>
      <c r="U6003">
        <v>2.606598</v>
      </c>
      <c r="V6003">
        <v>-0.358639599999999</v>
      </c>
      <c r="W6003">
        <v>1.6067120000000001E-2</v>
      </c>
      <c r="X6003">
        <v>0.9333378</v>
      </c>
      <c r="Y6003">
        <v>-0.51852940000000003</v>
      </c>
      <c r="Z6003">
        <v>-1.8068810000000001E-2</v>
      </c>
      <c r="AA6003">
        <v>0.85486890000000004</v>
      </c>
      <c r="AB6003">
        <v>28</v>
      </c>
      <c r="AC6003">
        <v>0.31159999999999799</v>
      </c>
      <c r="AD6003">
        <v>-7.3263999999999996E-2</v>
      </c>
      <c r="AE6003">
        <v>0.65043999999998903</v>
      </c>
      <c r="AF6003">
        <v>-0.430643298489299</v>
      </c>
      <c r="AG6003">
        <v>-7.3263999999999996E-2</v>
      </c>
      <c r="AH6003">
        <v>0.56933450993119605</v>
      </c>
      <c r="AI6003">
        <v>95.859797238343205</v>
      </c>
      <c r="AJ6003">
        <v>127.10377631345401</v>
      </c>
      <c r="AK6003">
        <v>0.71760925887863103</v>
      </c>
    </row>
    <row r="6004" spans="1:37" x14ac:dyDescent="0.2">
      <c r="A6004" t="str">
        <f>"20200111153546727"</f>
        <v>20200111153546727</v>
      </c>
      <c r="B6004" t="str">
        <f>"1578728146721487"</f>
        <v>1578728146721487</v>
      </c>
      <c r="C6004" t="s">
        <v>37</v>
      </c>
      <c r="D6004">
        <v>4.8176329999999998</v>
      </c>
      <c r="E6004">
        <v>0.42594670000000001</v>
      </c>
      <c r="F6004" t="s">
        <v>40</v>
      </c>
      <c r="G6004">
        <v>-203.63040000000001</v>
      </c>
      <c r="H6004">
        <v>1.0330360000000001</v>
      </c>
      <c r="I6004">
        <v>-59.747599999999998</v>
      </c>
      <c r="J6004">
        <v>-203.94810000000001</v>
      </c>
      <c r="K6004">
        <v>1.1146579999999999</v>
      </c>
      <c r="L6004">
        <v>-60.464449999999999</v>
      </c>
      <c r="M6004">
        <v>0.88432040000000001</v>
      </c>
      <c r="N6004">
        <v>0</v>
      </c>
      <c r="O6004">
        <v>0.46662439999999999</v>
      </c>
      <c r="P6004">
        <v>0.65910950000000001</v>
      </c>
      <c r="Q6004">
        <v>1.168779E-2</v>
      </c>
      <c r="R6004">
        <v>0.75195610000000002</v>
      </c>
      <c r="S6004">
        <v>1.572006</v>
      </c>
      <c r="T6004">
        <v>-0.26230690000000001</v>
      </c>
      <c r="U6004">
        <v>2.6213989999999998</v>
      </c>
      <c r="V6004">
        <v>-0.3579775</v>
      </c>
      <c r="W6004">
        <v>1.7590399999999999E-2</v>
      </c>
      <c r="X6004">
        <v>0.93356450000000002</v>
      </c>
      <c r="Y6004">
        <v>-0.51821470000000003</v>
      </c>
      <c r="Z6004">
        <v>-1.8808499999999999E-2</v>
      </c>
      <c r="AA6004">
        <v>0.85504369999999996</v>
      </c>
      <c r="AB6004">
        <v>28</v>
      </c>
      <c r="AC6004">
        <v>0.31770000000000198</v>
      </c>
      <c r="AD6004">
        <v>-8.1621999999999806E-2</v>
      </c>
      <c r="AE6004">
        <v>0.71684999999999999</v>
      </c>
      <c r="AF6004">
        <v>-0.480529484413313</v>
      </c>
      <c r="AG6004">
        <v>-8.1621999999999806E-2</v>
      </c>
      <c r="AH6004">
        <v>0.60892348820529796</v>
      </c>
      <c r="AI6004">
        <v>96.006838009764195</v>
      </c>
      <c r="AJ6004">
        <v>128.27859229320299</v>
      </c>
      <c r="AK6004">
        <v>0.77997342952348803</v>
      </c>
    </row>
    <row r="6005" spans="1:37" x14ac:dyDescent="0.2">
      <c r="A6005" t="str">
        <f>"20200111153546738"</f>
        <v>20200111153546738</v>
      </c>
      <c r="B6005" t="str">
        <f>"1578728146731247"</f>
        <v>1578728146731247</v>
      </c>
      <c r="C6005" t="s">
        <v>37</v>
      </c>
      <c r="D6005">
        <v>4.8086839999999897</v>
      </c>
      <c r="E6005">
        <v>0.42592570000000002</v>
      </c>
      <c r="F6005" t="s">
        <v>40</v>
      </c>
      <c r="G6005">
        <v>-203.44040000000001</v>
      </c>
      <c r="H6005">
        <v>1.0288040000000001</v>
      </c>
      <c r="I6005">
        <v>-59.598680000000002</v>
      </c>
      <c r="J6005">
        <v>-203.8203</v>
      </c>
      <c r="K6005">
        <v>1.114663</v>
      </c>
      <c r="L6005">
        <v>-60.389859999999999</v>
      </c>
      <c r="M6005">
        <v>0.88112780000000002</v>
      </c>
      <c r="N6005">
        <v>0</v>
      </c>
      <c r="O6005">
        <v>0.47262520000000002</v>
      </c>
      <c r="P6005">
        <v>0.65464119999999903</v>
      </c>
      <c r="Q6005">
        <v>1.264529E-2</v>
      </c>
      <c r="R6005">
        <v>0.75583400000000001</v>
      </c>
      <c r="S6005">
        <v>1.5466770000000001</v>
      </c>
      <c r="T6005">
        <v>-0.2615671</v>
      </c>
      <c r="U6005">
        <v>2.6379389999999998</v>
      </c>
      <c r="V6005">
        <v>-0.35717369999999998</v>
      </c>
      <c r="W6005">
        <v>1.857634E-2</v>
      </c>
      <c r="X6005">
        <v>0.9338533</v>
      </c>
      <c r="Y6005">
        <v>-0.52086100000000002</v>
      </c>
      <c r="Z6005">
        <v>-1.9210209999999998E-2</v>
      </c>
      <c r="AA6005">
        <v>0.85342530000000005</v>
      </c>
      <c r="AB6005">
        <v>28</v>
      </c>
      <c r="AC6005">
        <v>0.37989999999999202</v>
      </c>
      <c r="AD6005">
        <v>-8.5858999999999894E-2</v>
      </c>
      <c r="AE6005">
        <v>0.791179999999997</v>
      </c>
      <c r="AF6005">
        <v>-0.512735358063101</v>
      </c>
      <c r="AG6005">
        <v>-8.5858999999999894E-2</v>
      </c>
      <c r="AH6005">
        <v>0.702038244469818</v>
      </c>
      <c r="AI6005">
        <v>95.640423917221696</v>
      </c>
      <c r="AJ6005">
        <v>126.142615919487</v>
      </c>
      <c r="AK6005">
        <v>0.87357141207079403</v>
      </c>
    </row>
    <row r="6006" spans="1:37" x14ac:dyDescent="0.2">
      <c r="A6006" t="str">
        <f>"20200111153546750"</f>
        <v>20200111153546750</v>
      </c>
      <c r="B6006" t="str">
        <f>"1578728146741982"</f>
        <v>1578728146741982</v>
      </c>
      <c r="C6006" t="s">
        <v>37</v>
      </c>
      <c r="D6006">
        <v>4.9181599999999897</v>
      </c>
      <c r="E6006">
        <v>0.42635990000000001</v>
      </c>
      <c r="F6006" t="s">
        <v>40</v>
      </c>
      <c r="G6006">
        <v>-203.39410000000001</v>
      </c>
      <c r="H6006">
        <v>1.043183</v>
      </c>
      <c r="I6006">
        <v>-59.653089999999999</v>
      </c>
      <c r="J6006">
        <v>-203.6902</v>
      </c>
      <c r="K6006">
        <v>1.1146659999999999</v>
      </c>
      <c r="L6006">
        <v>-60.311950000000003</v>
      </c>
      <c r="M6006">
        <v>0.87780509999999901</v>
      </c>
      <c r="N6006">
        <v>0</v>
      </c>
      <c r="O6006">
        <v>0.47876809999999997</v>
      </c>
      <c r="P6006">
        <v>0.64996390000000004</v>
      </c>
      <c r="Q6006">
        <v>1.3575780000000001E-2</v>
      </c>
      <c r="R6006">
        <v>0.75984390000000002</v>
      </c>
      <c r="S6006">
        <v>1.530945</v>
      </c>
      <c r="T6006">
        <v>-0.2568125</v>
      </c>
      <c r="U6006">
        <v>2.6474299999999999</v>
      </c>
      <c r="V6006">
        <v>-0.35642249999999998</v>
      </c>
      <c r="W6006">
        <v>1.953365E-2</v>
      </c>
      <c r="X6006">
        <v>0.93412070000000003</v>
      </c>
      <c r="Y6006">
        <v>-0.52005279999999998</v>
      </c>
      <c r="Z6006">
        <v>-1.9491060000000001E-2</v>
      </c>
      <c r="AA6006">
        <v>0.85391170000000005</v>
      </c>
      <c r="AB6006">
        <v>28</v>
      </c>
      <c r="AC6006">
        <v>0.29609999999999498</v>
      </c>
      <c r="AD6006">
        <v>-7.1482999999999894E-2</v>
      </c>
      <c r="AE6006">
        <v>0.658860000000004</v>
      </c>
      <c r="AF6006">
        <v>-0.432405050702584</v>
      </c>
      <c r="AG6006">
        <v>-7.1482999999999894E-2</v>
      </c>
      <c r="AH6006">
        <v>0.56984746308082501</v>
      </c>
      <c r="AI6006">
        <v>95.706609908835304</v>
      </c>
      <c r="AJ6006">
        <v>127.19153279821499</v>
      </c>
      <c r="AK6006">
        <v>0.718895039864483</v>
      </c>
    </row>
    <row r="6007" spans="1:37" x14ac:dyDescent="0.2">
      <c r="A6007" t="str">
        <f>"20200111153546762"</f>
        <v>20200111153546762</v>
      </c>
      <c r="B6007" t="str">
        <f>"1578728146751742"</f>
        <v>1578728146751742</v>
      </c>
      <c r="C6007" t="s">
        <v>37</v>
      </c>
      <c r="D6007">
        <v>4.7884039999999999</v>
      </c>
      <c r="E6007">
        <v>0.42667870000000002</v>
      </c>
      <c r="F6007" t="s">
        <v>40</v>
      </c>
      <c r="G6007">
        <v>-203.21879999999999</v>
      </c>
      <c r="H6007">
        <v>1.03572999999999</v>
      </c>
      <c r="I6007">
        <v>-59.486819999999902</v>
      </c>
      <c r="J6007">
        <v>-203.5634</v>
      </c>
      <c r="K6007">
        <v>1.1146670000000001</v>
      </c>
      <c r="L6007">
        <v>-60.235259999999997</v>
      </c>
      <c r="M6007">
        <v>0.87451199999999996</v>
      </c>
      <c r="N6007">
        <v>0</v>
      </c>
      <c r="O6007">
        <v>0.4847572</v>
      </c>
      <c r="P6007">
        <v>0.64585009999999998</v>
      </c>
      <c r="Q6007">
        <v>1.3850889999999999E-2</v>
      </c>
      <c r="R6007">
        <v>0.76333869999999904</v>
      </c>
      <c r="S6007">
        <v>1.5171809999999999</v>
      </c>
      <c r="T6007">
        <v>-0.25400639999999902</v>
      </c>
      <c r="U6007">
        <v>2.654938</v>
      </c>
      <c r="V6007">
        <v>-0.3550855</v>
      </c>
      <c r="W6007">
        <v>1.985259E-2</v>
      </c>
      <c r="X6007">
        <v>0.93462299999999998</v>
      </c>
      <c r="Y6007">
        <v>-0.51861449999999998</v>
      </c>
      <c r="Z6007">
        <v>-1.991977E-2</v>
      </c>
      <c r="AA6007">
        <v>0.85477610000000004</v>
      </c>
      <c r="AB6007">
        <v>28</v>
      </c>
      <c r="AC6007">
        <v>0.34460000000001401</v>
      </c>
      <c r="AD6007">
        <v>-7.8937000000000201E-2</v>
      </c>
      <c r="AE6007">
        <v>0.74844000000000199</v>
      </c>
      <c r="AF6007">
        <v>-0.48309688418361502</v>
      </c>
      <c r="AG6007">
        <v>-7.8937000000000201E-2</v>
      </c>
      <c r="AH6007">
        <v>0.65820694632001797</v>
      </c>
      <c r="AI6007">
        <v>95.522258196328707</v>
      </c>
      <c r="AJ6007">
        <v>126.277140802025</v>
      </c>
      <c r="AK6007">
        <v>0.82027436486875605</v>
      </c>
    </row>
    <row r="6008" spans="1:37" x14ac:dyDescent="0.2">
      <c r="A6008" t="str">
        <f>"20200111153546775"</f>
        <v>20200111153546775</v>
      </c>
      <c r="B6008" t="str">
        <f>"1578728146771263"</f>
        <v>1578728146771263</v>
      </c>
      <c r="C6008" t="s">
        <v>37</v>
      </c>
      <c r="D6008">
        <v>4.7840699999999998</v>
      </c>
      <c r="E6008">
        <v>0.427370799999999</v>
      </c>
      <c r="F6008" t="s">
        <v>40</v>
      </c>
      <c r="G6008">
        <v>-203.04570000000001</v>
      </c>
      <c r="H6008">
        <v>1.027264</v>
      </c>
      <c r="I6008">
        <v>-59.319510000000001</v>
      </c>
      <c r="J6008">
        <v>-203.42439999999999</v>
      </c>
      <c r="K6008">
        <v>1.1146659999999999</v>
      </c>
      <c r="L6008">
        <v>-60.149719999999903</v>
      </c>
      <c r="M6008">
        <v>0.87083049999999995</v>
      </c>
      <c r="N6008">
        <v>0</v>
      </c>
      <c r="O6008">
        <v>0.49133949999999998</v>
      </c>
      <c r="P6008">
        <v>0.6409475</v>
      </c>
      <c r="Q6008">
        <v>1.4266030000000001E-2</v>
      </c>
      <c r="R6008">
        <v>0.76745220000000003</v>
      </c>
      <c r="S6008">
        <v>1.5045930000000001</v>
      </c>
      <c r="T6008">
        <v>-0.25402920000000001</v>
      </c>
      <c r="U6008">
        <v>2.6617130000000002</v>
      </c>
      <c r="V6008">
        <v>-0.3540258</v>
      </c>
      <c r="W6008">
        <v>2.0303109999999999E-2</v>
      </c>
      <c r="X6008">
        <v>0.93501529999999999</v>
      </c>
      <c r="Y6008">
        <v>-0.51618149999999996</v>
      </c>
      <c r="Z6008">
        <v>-2.0665119999999999E-2</v>
      </c>
      <c r="AA6008">
        <v>0.85622980000000004</v>
      </c>
      <c r="AB6008">
        <v>28</v>
      </c>
      <c r="AC6008">
        <v>0.37869999999998</v>
      </c>
      <c r="AD6008">
        <v>-8.7401999999999896E-2</v>
      </c>
      <c r="AE6008">
        <v>0.83020999999999301</v>
      </c>
      <c r="AF6008">
        <v>-0.53208477440689395</v>
      </c>
      <c r="AG6008">
        <v>-8.7401999999999896E-2</v>
      </c>
      <c r="AH6008">
        <v>0.73107976029213195</v>
      </c>
      <c r="AI6008">
        <v>95.521137702720196</v>
      </c>
      <c r="AJ6008">
        <v>126.047380048078</v>
      </c>
      <c r="AK6008">
        <v>0.90842222158445496</v>
      </c>
    </row>
    <row r="6009" spans="1:37" x14ac:dyDescent="0.2">
      <c r="A6009" t="str">
        <f>"20200111153546787"</f>
        <v>20200111153546787</v>
      </c>
      <c r="B6009" t="str">
        <f>"1578728146782000"</f>
        <v>1578728146782000</v>
      </c>
      <c r="C6009" t="s">
        <v>37</v>
      </c>
      <c r="D6009">
        <v>4.7896809999999999</v>
      </c>
      <c r="E6009">
        <v>0.42765760000000003</v>
      </c>
      <c r="F6009" t="s">
        <v>40</v>
      </c>
      <c r="G6009">
        <v>-202.9931</v>
      </c>
      <c r="H6009">
        <v>1.0412969999999999</v>
      </c>
      <c r="I6009">
        <v>-59.378569999999897</v>
      </c>
      <c r="J6009">
        <v>-203.29820000000001</v>
      </c>
      <c r="K6009">
        <v>1.1146659999999999</v>
      </c>
      <c r="L6009">
        <v>-60.070590000000003</v>
      </c>
      <c r="M6009">
        <v>0.86742189999999997</v>
      </c>
      <c r="N6009">
        <v>0</v>
      </c>
      <c r="O6009">
        <v>0.49733240000000001</v>
      </c>
      <c r="P6009">
        <v>0.63651590000000002</v>
      </c>
      <c r="Q6009">
        <v>1.428895E-2</v>
      </c>
      <c r="R6009">
        <v>0.77113129999999996</v>
      </c>
      <c r="S6009">
        <v>1.49173</v>
      </c>
      <c r="T6009">
        <v>-0.2538127</v>
      </c>
      <c r="U6009">
        <v>2.6679080000000002</v>
      </c>
      <c r="V6009">
        <v>-0.35296490000000003</v>
      </c>
      <c r="W6009">
        <v>2.0361270000000001E-2</v>
      </c>
      <c r="X6009">
        <v>0.935415</v>
      </c>
      <c r="Y6009">
        <v>-0.51428569999999996</v>
      </c>
      <c r="Z6009">
        <v>-2.1314159999999999E-2</v>
      </c>
      <c r="AA6009">
        <v>0.85735399999999995</v>
      </c>
      <c r="AB6009">
        <v>28</v>
      </c>
      <c r="AC6009">
        <v>0.30510000000000997</v>
      </c>
      <c r="AD6009">
        <v>-7.3369000000000004E-2</v>
      </c>
      <c r="AE6009">
        <v>0.69202000000000596</v>
      </c>
      <c r="AF6009">
        <v>-0.44440853361817401</v>
      </c>
      <c r="AG6009">
        <v>-7.3369000000000004E-2</v>
      </c>
      <c r="AH6009">
        <v>0.60321042973068795</v>
      </c>
      <c r="AI6009">
        <v>95.592826831055305</v>
      </c>
      <c r="AJ6009">
        <v>126.38051580009299</v>
      </c>
      <c r="AK6009">
        <v>0.75282453297533802</v>
      </c>
    </row>
    <row r="6010" spans="1:37" x14ac:dyDescent="0.2">
      <c r="A6010" t="str">
        <f>"20200111153546805"</f>
        <v>20200111153546805</v>
      </c>
      <c r="B6010" t="str">
        <f>"1578728146801519"</f>
        <v>1578728146801519</v>
      </c>
      <c r="C6010" t="s">
        <v>37</v>
      </c>
      <c r="D6010">
        <v>4.8705239999999996</v>
      </c>
      <c r="E6010">
        <v>0.42845829999999901</v>
      </c>
      <c r="F6010" t="s">
        <v>40</v>
      </c>
      <c r="G6010">
        <v>-202.82230000000001</v>
      </c>
      <c r="H6010">
        <v>1.0328580000000001</v>
      </c>
      <c r="I6010">
        <v>-59.208909999999896</v>
      </c>
      <c r="J6010">
        <v>-203.11680000000001</v>
      </c>
      <c r="K6010">
        <v>1.1146609999999999</v>
      </c>
      <c r="L6010">
        <v>-59.954929999999997</v>
      </c>
      <c r="M6010">
        <v>0.8624153</v>
      </c>
      <c r="N6010">
        <v>0</v>
      </c>
      <c r="O6010">
        <v>0.50596450000000004</v>
      </c>
      <c r="P6010">
        <v>0.63066650000000002</v>
      </c>
      <c r="Q6010">
        <v>1.4110650000000001E-2</v>
      </c>
      <c r="R6010">
        <v>0.77592569999999905</v>
      </c>
      <c r="S6010">
        <v>1.4777830000000001</v>
      </c>
      <c r="T6010">
        <v>-0.25399949999999999</v>
      </c>
      <c r="U6010">
        <v>2.6752929999999999</v>
      </c>
      <c r="V6010">
        <v>-0.35070050000000003</v>
      </c>
      <c r="W6010">
        <v>2.025544E-2</v>
      </c>
      <c r="X6010">
        <v>0.93626860000000001</v>
      </c>
      <c r="Y6010">
        <v>-0.51017840000000003</v>
      </c>
      <c r="Z6010">
        <v>-2.2346439999999999E-2</v>
      </c>
      <c r="AA6010">
        <v>0.8597783</v>
      </c>
      <c r="AB6010">
        <v>28</v>
      </c>
      <c r="AC6010">
        <v>0.29449999999999898</v>
      </c>
      <c r="AD6010">
        <v>-8.1803000000000001E-2</v>
      </c>
      <c r="AE6010">
        <v>0.74602000000000801</v>
      </c>
      <c r="AF6010">
        <v>-0.48934138386452902</v>
      </c>
      <c r="AG6010">
        <v>-8.1803000000000001E-2</v>
      </c>
      <c r="AH6010">
        <v>0.62501489043232705</v>
      </c>
      <c r="AI6010">
        <v>95.883790665394002</v>
      </c>
      <c r="AJ6010">
        <v>128.05837095922999</v>
      </c>
      <c r="AK6010">
        <v>0.797991437318463</v>
      </c>
    </row>
    <row r="6011" spans="1:37" x14ac:dyDescent="0.2">
      <c r="A6011" t="str">
        <f>"20200111153546817"</f>
        <v>20200111153546817</v>
      </c>
      <c r="B6011" t="str">
        <f>"1578728146811280"</f>
        <v>1578728146811280</v>
      </c>
      <c r="C6011" t="s">
        <v>37</v>
      </c>
      <c r="D6011">
        <v>4.8262910000000003</v>
      </c>
      <c r="E6011">
        <v>0.42884919999999999</v>
      </c>
      <c r="F6011" t="s">
        <v>40</v>
      </c>
      <c r="G6011">
        <v>-202.63059999999999</v>
      </c>
      <c r="H6011">
        <v>1.029053</v>
      </c>
      <c r="I6011">
        <v>-59.062959999999997</v>
      </c>
      <c r="J6011">
        <v>-202.98849999999999</v>
      </c>
      <c r="K6011">
        <v>1.114662</v>
      </c>
      <c r="L6011">
        <v>-59.871769999999998</v>
      </c>
      <c r="M6011">
        <v>0.85880059999999903</v>
      </c>
      <c r="N6011">
        <v>0</v>
      </c>
      <c r="O6011">
        <v>0.51207570000000002</v>
      </c>
      <c r="P6011">
        <v>0.62586830000000004</v>
      </c>
      <c r="Q6011">
        <v>1.387875E-2</v>
      </c>
      <c r="R6011">
        <v>0.77980539999999998</v>
      </c>
      <c r="S6011">
        <v>1.462097</v>
      </c>
      <c r="T6011">
        <v>-0.25746540000000001</v>
      </c>
      <c r="U6011">
        <v>2.6826479999999999</v>
      </c>
      <c r="V6011">
        <v>-0.34982590000000002</v>
      </c>
      <c r="W6011">
        <v>2.00533E-2</v>
      </c>
      <c r="X6011">
        <v>0.93660010000000005</v>
      </c>
      <c r="Y6011">
        <v>-0.5089496</v>
      </c>
      <c r="Z6011">
        <v>-2.3310529999999999E-2</v>
      </c>
      <c r="AA6011">
        <v>0.86048060000000004</v>
      </c>
      <c r="AB6011">
        <v>28</v>
      </c>
      <c r="AC6011">
        <v>0.3579</v>
      </c>
      <c r="AD6011">
        <v>-8.5609000000000005E-2</v>
      </c>
      <c r="AE6011">
        <v>0.80881000000000103</v>
      </c>
      <c r="AF6011">
        <v>-0.50664929283778903</v>
      </c>
      <c r="AG6011">
        <v>-8.5609000000000005E-2</v>
      </c>
      <c r="AH6011">
        <v>0.71492528578452996</v>
      </c>
      <c r="AI6011">
        <v>95.580056264049801</v>
      </c>
      <c r="AJ6011">
        <v>125.32422646717301</v>
      </c>
      <c r="AK6011">
        <v>0.88042067846463301</v>
      </c>
    </row>
    <row r="6012" spans="1:37" x14ac:dyDescent="0.2">
      <c r="A6012" t="str">
        <f>"20200111153546829"</f>
        <v>20200111153546829</v>
      </c>
      <c r="B6012" t="str">
        <f>"1578728146822016"</f>
        <v>1578728146822016</v>
      </c>
      <c r="C6012" t="s">
        <v>37</v>
      </c>
      <c r="D6012">
        <v>4.8504639999999997</v>
      </c>
      <c r="E6012">
        <v>0.42922359999999998</v>
      </c>
      <c r="F6012" t="s">
        <v>40</v>
      </c>
      <c r="G6012">
        <v>-202.58150000000001</v>
      </c>
      <c r="H6012">
        <v>1.041733</v>
      </c>
      <c r="I6012">
        <v>-59.115719999999897</v>
      </c>
      <c r="J6012">
        <v>-202.85769999999999</v>
      </c>
      <c r="K6012">
        <v>1.114665</v>
      </c>
      <c r="L6012">
        <v>-59.7851</v>
      </c>
      <c r="M6012">
        <v>0.85503949999999995</v>
      </c>
      <c r="N6012">
        <v>0</v>
      </c>
      <c r="O6012">
        <v>0.51833109999999905</v>
      </c>
      <c r="P6012">
        <v>0.62069569999999996</v>
      </c>
      <c r="Q6012">
        <v>1.3848890000000001E-2</v>
      </c>
      <c r="R6012">
        <v>0.78392919999999999</v>
      </c>
      <c r="S6012">
        <v>1.4479059999999999</v>
      </c>
      <c r="T6012">
        <v>-0.25943679999999902</v>
      </c>
      <c r="U6012">
        <v>2.6896360000000001</v>
      </c>
      <c r="V6012">
        <v>-0.3491841</v>
      </c>
      <c r="W6012">
        <v>2.0047579999999999E-2</v>
      </c>
      <c r="X6012">
        <v>0.93683969999999905</v>
      </c>
      <c r="Y6012">
        <v>-0.50713549999999996</v>
      </c>
      <c r="Z6012">
        <v>-2.4191879999999999E-2</v>
      </c>
      <c r="AA6012">
        <v>0.86152680000000004</v>
      </c>
      <c r="AB6012">
        <v>28</v>
      </c>
      <c r="AC6012">
        <v>0.27619999999998801</v>
      </c>
      <c r="AD6012">
        <v>-7.2931999999999997E-2</v>
      </c>
      <c r="AE6012">
        <v>0.66938000000000297</v>
      </c>
      <c r="AF6012">
        <v>-0.42492443074547498</v>
      </c>
      <c r="AG6012">
        <v>-7.2931999999999997E-2</v>
      </c>
      <c r="AH6012">
        <v>0.57733595747775801</v>
      </c>
      <c r="AI6012">
        <v>95.809237852562006</v>
      </c>
      <c r="AJ6012">
        <v>126.35340083775201</v>
      </c>
      <c r="AK6012">
        <v>0.720553021133855</v>
      </c>
    </row>
    <row r="6013" spans="1:37" x14ac:dyDescent="0.2">
      <c r="A6013" t="str">
        <f>"20200111153546843"</f>
        <v>20200111153546843</v>
      </c>
      <c r="B6013" t="str">
        <f>"1578728146831775"</f>
        <v>1578728146831775</v>
      </c>
      <c r="C6013" t="s">
        <v>37</v>
      </c>
      <c r="D6013">
        <v>4.8479469999999996</v>
      </c>
      <c r="E6013">
        <v>0.4295503</v>
      </c>
      <c r="F6013" t="s">
        <v>40</v>
      </c>
      <c r="G6013">
        <v>-202.41200000000001</v>
      </c>
      <c r="H6013">
        <v>1.03356</v>
      </c>
      <c r="I6013">
        <v>-58.945489999999999</v>
      </c>
      <c r="J6013">
        <v>-202.72489999999999</v>
      </c>
      <c r="K6013">
        <v>1.114662</v>
      </c>
      <c r="L6013">
        <v>-59.696080000000002</v>
      </c>
      <c r="M6013">
        <v>0.85115669999999899</v>
      </c>
      <c r="N6013">
        <v>0</v>
      </c>
      <c r="O6013">
        <v>0.52468269999999995</v>
      </c>
      <c r="P6013">
        <v>0.61536880000000005</v>
      </c>
      <c r="Q6013">
        <v>1.385248E-2</v>
      </c>
      <c r="R6013">
        <v>0.78811759999999997</v>
      </c>
      <c r="S6013">
        <v>1.4322360000000001</v>
      </c>
      <c r="T6013">
        <v>-0.26059759999999998</v>
      </c>
      <c r="U6013">
        <v>2.6974490000000002</v>
      </c>
      <c r="V6013">
        <v>-0.34855799999999998</v>
      </c>
      <c r="W6013">
        <v>2.0075229999999999E-2</v>
      </c>
      <c r="X6013">
        <v>0.93707220000000002</v>
      </c>
      <c r="Y6013">
        <v>-0.5056737</v>
      </c>
      <c r="Z6013">
        <v>-2.499997E-2</v>
      </c>
      <c r="AA6013">
        <v>0.86236250000000003</v>
      </c>
      <c r="AB6013">
        <v>28</v>
      </c>
      <c r="AC6013">
        <v>0.31289999999998402</v>
      </c>
      <c r="AD6013">
        <v>-8.1101999999999994E-2</v>
      </c>
      <c r="AE6013">
        <v>0.75059000000000198</v>
      </c>
      <c r="AF6013">
        <v>-0.47007791721014403</v>
      </c>
      <c r="AG6013">
        <v>-8.1101999999999994E-2</v>
      </c>
      <c r="AH6013">
        <v>0.65372558486460597</v>
      </c>
      <c r="AI6013">
        <v>95.751667018720397</v>
      </c>
      <c r="AJ6013">
        <v>125.718978811798</v>
      </c>
      <c r="AK6013">
        <v>0.80926381542683501</v>
      </c>
    </row>
    <row r="6014" spans="1:37" x14ac:dyDescent="0.2">
      <c r="A6014" t="str">
        <f>"20200111153546862"</f>
        <v>20200111153546862</v>
      </c>
      <c r="B6014" t="str">
        <f>"1578728146851294"</f>
        <v>1578728146851294</v>
      </c>
      <c r="C6014" t="s">
        <v>37</v>
      </c>
      <c r="D6014">
        <v>4.8269739999999999</v>
      </c>
      <c r="E6014">
        <v>0.43019099999999999</v>
      </c>
      <c r="F6014" t="s">
        <v>40</v>
      </c>
      <c r="G6014">
        <v>-202.2433</v>
      </c>
      <c r="H6014">
        <v>1.0257129999999901</v>
      </c>
      <c r="I6014">
        <v>-58.775790000000001</v>
      </c>
      <c r="J6014">
        <v>-202.53809999999999</v>
      </c>
      <c r="K6014">
        <v>1.1146559999999901</v>
      </c>
      <c r="L6014">
        <v>-59.568330000000003</v>
      </c>
      <c r="M6014">
        <v>0.84557109999999902</v>
      </c>
      <c r="N6014">
        <v>0</v>
      </c>
      <c r="O6014">
        <v>0.53363760000000005</v>
      </c>
      <c r="P6014">
        <v>0.60839869999999996</v>
      </c>
      <c r="Q6014">
        <v>1.40307E-2</v>
      </c>
      <c r="R6014">
        <v>0.79350759999999998</v>
      </c>
      <c r="S6014">
        <v>1.4157869999999999</v>
      </c>
      <c r="T6014">
        <v>-0.26150239999999902</v>
      </c>
      <c r="U6014">
        <v>2.7056879999999999</v>
      </c>
      <c r="V6014">
        <v>-0.3469275</v>
      </c>
      <c r="W6014">
        <v>2.031169E-2</v>
      </c>
      <c r="X6014">
        <v>0.93767199999999995</v>
      </c>
      <c r="Y6014">
        <v>-0.50178809999999996</v>
      </c>
      <c r="Z6014">
        <v>-2.6157909999999999E-2</v>
      </c>
      <c r="AA6014">
        <v>0.86459490000000006</v>
      </c>
      <c r="AB6014">
        <v>28</v>
      </c>
      <c r="AC6014">
        <v>0.29479999999998002</v>
      </c>
      <c r="AD6014">
        <v>-8.8942999999999994E-2</v>
      </c>
      <c r="AE6014">
        <v>0.79254000000000202</v>
      </c>
      <c r="AF6014">
        <v>-0.50728179034694298</v>
      </c>
      <c r="AG6014">
        <v>-8.8942999999999994E-2</v>
      </c>
      <c r="AH6014">
        <v>0.66492774976272295</v>
      </c>
      <c r="AI6014">
        <v>96.070472586947901</v>
      </c>
      <c r="AJ6014">
        <v>127.34046812172301</v>
      </c>
      <c r="AK6014">
        <v>0.84105563696530705</v>
      </c>
    </row>
    <row r="6015" spans="1:37" x14ac:dyDescent="0.2">
      <c r="A6015" t="str">
        <f>"20200111153546873"</f>
        <v>20200111153546873</v>
      </c>
      <c r="B6015" t="str">
        <f>"1578728146862031"</f>
        <v>1578728146862031</v>
      </c>
      <c r="C6015" t="s">
        <v>37</v>
      </c>
      <c r="D6015">
        <v>4.8696659999999996</v>
      </c>
      <c r="E6015">
        <v>0.430492599999999</v>
      </c>
      <c r="F6015" t="s">
        <v>40</v>
      </c>
      <c r="G6015">
        <v>-202.05439999999999</v>
      </c>
      <c r="H6015">
        <v>1.0235650000000001</v>
      </c>
      <c r="I6015">
        <v>-58.627450000000003</v>
      </c>
      <c r="J6015">
        <v>-202.41299999999899</v>
      </c>
      <c r="K6015">
        <v>1.1146499999999999</v>
      </c>
      <c r="L6015">
        <v>-59.480959999999897</v>
      </c>
      <c r="M6015">
        <v>0.84175009999999995</v>
      </c>
      <c r="N6015">
        <v>0</v>
      </c>
      <c r="O6015">
        <v>0.53964449999999997</v>
      </c>
      <c r="P6015">
        <v>0.60337280000000004</v>
      </c>
      <c r="Q6015">
        <v>1.4360090000000001E-2</v>
      </c>
      <c r="R6015">
        <v>0.79732999999999998</v>
      </c>
      <c r="S6015">
        <v>1.3958280000000001</v>
      </c>
      <c r="T6015">
        <v>-0.2628627</v>
      </c>
      <c r="U6015">
        <v>2.7150880000000002</v>
      </c>
      <c r="V6015">
        <v>-0.34617809999999999</v>
      </c>
      <c r="W6015">
        <v>2.0671160000000001E-2</v>
      </c>
      <c r="X6015">
        <v>0.93794100000000002</v>
      </c>
      <c r="Y6015">
        <v>-0.50188540000000004</v>
      </c>
      <c r="Z6015">
        <v>-2.6900190000000001E-2</v>
      </c>
      <c r="AA6015">
        <v>0.864515699999999</v>
      </c>
      <c r="AB6015">
        <v>28</v>
      </c>
      <c r="AC6015">
        <v>0.35859999999999498</v>
      </c>
      <c r="AD6015">
        <v>-9.1084999999999805E-2</v>
      </c>
      <c r="AE6015">
        <v>0.853509999999992</v>
      </c>
      <c r="AF6015">
        <v>-0.51995559068096198</v>
      </c>
      <c r="AG6015">
        <v>-9.1084999999999805E-2</v>
      </c>
      <c r="AH6015">
        <v>0.75522471284096704</v>
      </c>
      <c r="AI6015">
        <v>95.673117273586499</v>
      </c>
      <c r="AJ6015">
        <v>124.54655562213</v>
      </c>
      <c r="AK6015">
        <v>0.92141991534322198</v>
      </c>
    </row>
    <row r="6016" spans="1:37" x14ac:dyDescent="0.2">
      <c r="A6016" t="str">
        <f>"20200111153546887"</f>
        <v>20200111153546887</v>
      </c>
      <c r="B6016" t="str">
        <f>"1578728146881551"</f>
        <v>1578728146881551</v>
      </c>
      <c r="C6016" t="s">
        <v>37</v>
      </c>
      <c r="D6016">
        <v>4.8372489999999999</v>
      </c>
      <c r="E6016">
        <v>0.43109429999999999</v>
      </c>
      <c r="F6016" t="s">
        <v>40</v>
      </c>
      <c r="G6016">
        <v>-202.0052</v>
      </c>
      <c r="H6016">
        <v>1.03708</v>
      </c>
      <c r="I6016">
        <v>-58.676630000000003</v>
      </c>
      <c r="J6016">
        <v>-202.28440000000001</v>
      </c>
      <c r="K6016">
        <v>1.11464599999999</v>
      </c>
      <c r="L6016">
        <v>-59.389740000000003</v>
      </c>
      <c r="M6016">
        <v>0.83775259999999996</v>
      </c>
      <c r="N6016">
        <v>0</v>
      </c>
      <c r="O6016">
        <v>0.54582949999999997</v>
      </c>
      <c r="P6016">
        <v>0.59839919999999902</v>
      </c>
      <c r="Q6016">
        <v>1.447331E-2</v>
      </c>
      <c r="R6016">
        <v>0.80106750000000004</v>
      </c>
      <c r="S6016">
        <v>1.380417</v>
      </c>
      <c r="T6016">
        <v>-0.26258480000000001</v>
      </c>
      <c r="U6016">
        <v>2.7226560000000002</v>
      </c>
      <c r="V6016">
        <v>-0.34510749999999901</v>
      </c>
      <c r="W6016">
        <v>2.0825139999999999E-2</v>
      </c>
      <c r="X6016">
        <v>0.9383321</v>
      </c>
      <c r="Y6016">
        <v>-0.50039509999999998</v>
      </c>
      <c r="Z6016">
        <v>-2.7563279999999999E-2</v>
      </c>
      <c r="AA6016">
        <v>0.86535839999999997</v>
      </c>
      <c r="AB6016">
        <v>28</v>
      </c>
      <c r="AC6016">
        <v>0.279200000000003</v>
      </c>
      <c r="AD6016">
        <v>-7.7565999999999802E-2</v>
      </c>
      <c r="AE6016">
        <v>0.71311000000000002</v>
      </c>
      <c r="AF6016">
        <v>-0.44054830004441897</v>
      </c>
      <c r="AG6016">
        <v>-7.7565999999999802E-2</v>
      </c>
      <c r="AH6016">
        <v>0.616883620563907</v>
      </c>
      <c r="AI6016">
        <v>95.842405168234293</v>
      </c>
      <c r="AJ6016">
        <v>125.532581630561</v>
      </c>
      <c r="AK6016">
        <v>0.76200045298415797</v>
      </c>
    </row>
    <row r="6017" spans="1:37" x14ac:dyDescent="0.2">
      <c r="A6017" t="str">
        <f>"20200111153546899"</f>
        <v>20200111153546899</v>
      </c>
      <c r="B6017" t="str">
        <f>"1578728146891311"</f>
        <v>1578728146891311</v>
      </c>
      <c r="C6017" t="s">
        <v>37</v>
      </c>
      <c r="D6017">
        <v>4.8653779999999998</v>
      </c>
      <c r="E6017">
        <v>0.43131520000000001</v>
      </c>
      <c r="F6017" t="s">
        <v>40</v>
      </c>
      <c r="G6017">
        <v>-201.84030000000001</v>
      </c>
      <c r="H6017">
        <v>1.029037</v>
      </c>
      <c r="I6017">
        <v>-58.503729999999997</v>
      </c>
      <c r="J6017">
        <v>-202.1559</v>
      </c>
      <c r="K6017">
        <v>1.1146399999999901</v>
      </c>
      <c r="L6017">
        <v>-59.297609999999999</v>
      </c>
      <c r="M6017">
        <v>0.8336964</v>
      </c>
      <c r="N6017">
        <v>0</v>
      </c>
      <c r="O6017">
        <v>0.55200519999999997</v>
      </c>
      <c r="P6017">
        <v>0.59337930000000005</v>
      </c>
      <c r="Q6017">
        <v>1.4971780000000001E-2</v>
      </c>
      <c r="R6017">
        <v>0.80478380000000005</v>
      </c>
      <c r="S6017">
        <v>1.367218</v>
      </c>
      <c r="T6017">
        <v>-0.26360459999999902</v>
      </c>
      <c r="U6017">
        <v>2.7284549999999999</v>
      </c>
      <c r="V6017">
        <v>-0.3440433</v>
      </c>
      <c r="W6017">
        <v>2.1364319999999999E-2</v>
      </c>
      <c r="X6017">
        <v>0.93871070000000001</v>
      </c>
      <c r="Y6017">
        <v>-0.49809769999999998</v>
      </c>
      <c r="Z6017">
        <v>-2.8404209999999999E-2</v>
      </c>
      <c r="AA6017">
        <v>0.86665559999999997</v>
      </c>
      <c r="AB6017">
        <v>28</v>
      </c>
      <c r="AC6017">
        <v>0.315599999999989</v>
      </c>
      <c r="AD6017">
        <v>-8.5602999999999804E-2</v>
      </c>
      <c r="AE6017">
        <v>0.79387999999999403</v>
      </c>
      <c r="AF6017">
        <v>-0.48285275559434099</v>
      </c>
      <c r="AG6017">
        <v>-8.5602999999999804E-2</v>
      </c>
      <c r="AH6017">
        <v>0.69445236464472304</v>
      </c>
      <c r="AI6017">
        <v>95.779065018883301</v>
      </c>
      <c r="AJ6017">
        <v>124.810890671628</v>
      </c>
      <c r="AK6017">
        <v>0.85014042602072304</v>
      </c>
    </row>
    <row r="6018" spans="1:37" x14ac:dyDescent="0.2">
      <c r="A6018" t="str">
        <f>"20200111153546911"</f>
        <v>20200111153546911</v>
      </c>
      <c r="B6018" t="str">
        <f>"1578728146902047"</f>
        <v>1578728146902047</v>
      </c>
      <c r="C6018" t="s">
        <v>37</v>
      </c>
      <c r="D6018">
        <v>4.8805160000000001</v>
      </c>
      <c r="E6018">
        <v>0.43131520000000001</v>
      </c>
      <c r="F6018" t="s">
        <v>40</v>
      </c>
      <c r="G6018">
        <v>-201.67779999999999</v>
      </c>
      <c r="H6018">
        <v>1.0216379999999901</v>
      </c>
      <c r="I6018">
        <v>-58.329689999999999</v>
      </c>
      <c r="J6018">
        <v>-202.0341</v>
      </c>
      <c r="K6018">
        <v>1.114633</v>
      </c>
      <c r="L6018">
        <v>-59.208219999999997</v>
      </c>
      <c r="M6018">
        <v>0.82977520000000005</v>
      </c>
      <c r="N6018">
        <v>0</v>
      </c>
      <c r="O6018">
        <v>0.55788209999999905</v>
      </c>
      <c r="P6018">
        <v>0.58876989999999996</v>
      </c>
      <c r="Q6018">
        <v>1.552796E-2</v>
      </c>
      <c r="R6018">
        <v>0.80815150000000002</v>
      </c>
      <c r="S6018">
        <v>1.3516079999999999</v>
      </c>
      <c r="T6018">
        <v>-0.26289420000000002</v>
      </c>
      <c r="U6018">
        <v>2.7360229999999999</v>
      </c>
      <c r="V6018">
        <v>-0.342779</v>
      </c>
      <c r="W6018">
        <v>2.1967850000000001E-2</v>
      </c>
      <c r="X6018">
        <v>0.93915919999999897</v>
      </c>
      <c r="Y6018">
        <v>-0.49691380000000002</v>
      </c>
      <c r="Z6018">
        <v>-2.897634E-2</v>
      </c>
      <c r="AA6018">
        <v>0.86731599999999998</v>
      </c>
      <c r="AB6018">
        <v>28</v>
      </c>
      <c r="AC6018">
        <v>0.356300000000004</v>
      </c>
      <c r="AD6018">
        <v>-9.2995000000000105E-2</v>
      </c>
      <c r="AE6018">
        <v>0.87852999999999704</v>
      </c>
      <c r="AF6018">
        <v>-0.52521908159915898</v>
      </c>
      <c r="AG6018">
        <v>-9.2995000000000105E-2</v>
      </c>
      <c r="AH6018">
        <v>0.77837002909655795</v>
      </c>
      <c r="AI6018">
        <v>95.655932672864296</v>
      </c>
      <c r="AJ6018">
        <v>124.010211736786</v>
      </c>
      <c r="AK6018">
        <v>0.943590512826746</v>
      </c>
    </row>
    <row r="6019" spans="1:37" x14ac:dyDescent="0.2">
      <c r="A6019" t="str">
        <f>"20200111153546929"</f>
        <v>20200111153546929</v>
      </c>
      <c r="B6019" t="str">
        <f>"1578728146921566"</f>
        <v>1578728146921566</v>
      </c>
      <c r="C6019" t="s">
        <v>37</v>
      </c>
      <c r="D6019">
        <v>4.9156620000000002</v>
      </c>
      <c r="E6019">
        <v>0.43921080000000001</v>
      </c>
      <c r="F6019" t="s">
        <v>40</v>
      </c>
      <c r="G6019">
        <v>-201.62909999999999</v>
      </c>
      <c r="H6019">
        <v>1.0355889999999901</v>
      </c>
      <c r="I6019">
        <v>-58.37621</v>
      </c>
      <c r="J6019">
        <v>-201.8638</v>
      </c>
      <c r="K6019">
        <v>1.114622</v>
      </c>
      <c r="L6019">
        <v>-59.081419999999902</v>
      </c>
      <c r="M6019">
        <v>0.82419279999999995</v>
      </c>
      <c r="N6019">
        <v>0</v>
      </c>
      <c r="O6019">
        <v>0.56609699999999996</v>
      </c>
      <c r="P6019">
        <v>0.58291219999999999</v>
      </c>
      <c r="Q6019">
        <v>1.6791569999999999E-2</v>
      </c>
      <c r="R6019">
        <v>0.81236169999999996</v>
      </c>
      <c r="S6019">
        <v>1.3357239999999999</v>
      </c>
      <c r="T6019">
        <v>-0.26070079999999901</v>
      </c>
      <c r="U6019">
        <v>2.744049</v>
      </c>
      <c r="V6019">
        <v>-0.34024690000000002</v>
      </c>
      <c r="W6019">
        <v>2.3320770000000001E-2</v>
      </c>
      <c r="X6019">
        <v>0.94004690000000002</v>
      </c>
      <c r="Y6019">
        <v>-0.49337520000000001</v>
      </c>
      <c r="Z6019">
        <v>-2.9712849999999999E-2</v>
      </c>
      <c r="AA6019">
        <v>0.86930889999999905</v>
      </c>
      <c r="AB6019">
        <v>28</v>
      </c>
      <c r="AC6019">
        <v>0.23470000000000299</v>
      </c>
      <c r="AD6019">
        <v>-7.9033000000000103E-2</v>
      </c>
      <c r="AE6019">
        <v>0.70520999999999301</v>
      </c>
      <c r="AF6019">
        <v>-0.44340621545557601</v>
      </c>
      <c r="AG6019">
        <v>-7.9033000000000103E-2</v>
      </c>
      <c r="AH6019">
        <v>0.58609936505531102</v>
      </c>
      <c r="AI6019">
        <v>96.137896423087895</v>
      </c>
      <c r="AJ6019">
        <v>127.10887606565601</v>
      </c>
      <c r="AK6019">
        <v>0.73916693156003299</v>
      </c>
    </row>
    <row r="6020" spans="1:37" x14ac:dyDescent="0.2">
      <c r="A6020" t="str">
        <f>"20200111153546941"</f>
        <v>20200111153546941</v>
      </c>
      <c r="B6020" t="str">
        <f>"1578728146931329"</f>
        <v>1578728146931329</v>
      </c>
      <c r="C6020" t="s">
        <v>37</v>
      </c>
      <c r="D6020">
        <v>4.8695559999999896</v>
      </c>
      <c r="E6020">
        <v>0.43910680000000002</v>
      </c>
      <c r="F6020" t="s">
        <v>40</v>
      </c>
      <c r="G6020">
        <v>-201.4357</v>
      </c>
      <c r="H6020">
        <v>1.026103</v>
      </c>
      <c r="I6020">
        <v>-58.231099999999998</v>
      </c>
      <c r="J6020">
        <v>-201.74469999999999</v>
      </c>
      <c r="K6020">
        <v>1.114611</v>
      </c>
      <c r="L6020">
        <v>-58.991549999999997</v>
      </c>
      <c r="M6020">
        <v>0.82022359999999905</v>
      </c>
      <c r="N6020">
        <v>0</v>
      </c>
      <c r="O6020">
        <v>0.57183280000000003</v>
      </c>
      <c r="P6020">
        <v>0.57843199999999995</v>
      </c>
      <c r="Q6020">
        <v>1.7509980000000001E-2</v>
      </c>
      <c r="R6020">
        <v>0.81554269999999995</v>
      </c>
      <c r="S6020">
        <v>1.3677219999999899</v>
      </c>
      <c r="T6020">
        <v>-0.28286040000000001</v>
      </c>
      <c r="U6020">
        <v>2.717346</v>
      </c>
      <c r="V6020">
        <v>-0.33886699999999997</v>
      </c>
      <c r="W6020">
        <v>2.4090170000000001E-2</v>
      </c>
      <c r="X6020">
        <v>0.94052579999999997</v>
      </c>
      <c r="Y6020">
        <v>-0.4757188</v>
      </c>
      <c r="Z6020">
        <v>-3.3774270000000002E-2</v>
      </c>
      <c r="AA6020">
        <v>0.87894869999999903</v>
      </c>
      <c r="AB6020">
        <v>28</v>
      </c>
      <c r="AC6020">
        <v>0.308999999999997</v>
      </c>
      <c r="AD6020">
        <v>-8.8508000000000003E-2</v>
      </c>
      <c r="AE6020">
        <v>0.76044999999999796</v>
      </c>
      <c r="AF6020">
        <v>-0.44195795418433997</v>
      </c>
      <c r="AG6020">
        <v>-8.8508000000000003E-2</v>
      </c>
      <c r="AH6020">
        <v>0.68047049976895901</v>
      </c>
      <c r="AI6020">
        <v>96.225259616530494</v>
      </c>
      <c r="AJ6020">
        <v>123.003271677976</v>
      </c>
      <c r="AK6020">
        <v>0.81621112488535896</v>
      </c>
    </row>
    <row r="6021" spans="1:37" x14ac:dyDescent="0.2">
      <c r="A6021" t="str">
        <f>"20200111153546951"</f>
        <v>20200111153546951</v>
      </c>
      <c r="B6021" t="str">
        <f>"1578728146942064"</f>
        <v>1578728146942064</v>
      </c>
      <c r="C6021" t="s">
        <v>37</v>
      </c>
      <c r="D6021">
        <v>4.8725959999999997</v>
      </c>
      <c r="E6021">
        <v>0.43899650000000001</v>
      </c>
      <c r="F6021" t="s">
        <v>40</v>
      </c>
      <c r="G6021">
        <v>-201.27879999999999</v>
      </c>
      <c r="H6021">
        <v>1.0180719999999901</v>
      </c>
      <c r="I6021">
        <v>-58.052129999999998</v>
      </c>
      <c r="J6021">
        <v>-201.6354</v>
      </c>
      <c r="K6021">
        <v>1.1145989999999999</v>
      </c>
      <c r="L6021">
        <v>-58.907380000000003</v>
      </c>
      <c r="M6021">
        <v>0.81651629999999997</v>
      </c>
      <c r="N6021">
        <v>0</v>
      </c>
      <c r="O6021">
        <v>0.57711400000000002</v>
      </c>
      <c r="P6021">
        <v>0.57450380000000001</v>
      </c>
      <c r="Q6021">
        <v>1.8152669999999999E-2</v>
      </c>
      <c r="R6021">
        <v>0.81830069999999999</v>
      </c>
      <c r="S6021">
        <v>1.351944</v>
      </c>
      <c r="T6021">
        <v>-0.28010829999999998</v>
      </c>
      <c r="U6021">
        <v>2.7256770000000001</v>
      </c>
      <c r="V6021">
        <v>-0.33732249999999903</v>
      </c>
      <c r="W6021">
        <v>2.478901E-2</v>
      </c>
      <c r="X6021">
        <v>0.94106270000000003</v>
      </c>
      <c r="Y6021">
        <v>-0.4752093</v>
      </c>
      <c r="Z6021">
        <v>-3.4036699999999899E-2</v>
      </c>
      <c r="AA6021">
        <v>0.87921419999999995</v>
      </c>
      <c r="AB6021">
        <v>28</v>
      </c>
      <c r="AC6021">
        <v>0.35660000000001402</v>
      </c>
      <c r="AD6021">
        <v>-9.6527000000000002E-2</v>
      </c>
      <c r="AE6021">
        <v>0.85524999999999796</v>
      </c>
      <c r="AF6021">
        <v>-0.48729794483504302</v>
      </c>
      <c r="AG6021">
        <v>-9.6527000000000002E-2</v>
      </c>
      <c r="AH6021">
        <v>0.77641542574564304</v>
      </c>
      <c r="AI6021">
        <v>96.011208749561504</v>
      </c>
      <c r="AJ6021">
        <v>122.11342075397199</v>
      </c>
      <c r="AK6021">
        <v>0.92173622154347701</v>
      </c>
    </row>
    <row r="6022" spans="1:37" x14ac:dyDescent="0.2">
      <c r="A6022" t="str">
        <f>"20200111153546964"</f>
        <v>20200111153546964</v>
      </c>
      <c r="B6022" t="str">
        <f>"1578728146951822"</f>
        <v>1578728146951822</v>
      </c>
      <c r="C6022" t="s">
        <v>37</v>
      </c>
      <c r="D6022">
        <v>4.8656499999999996</v>
      </c>
      <c r="E6022">
        <v>0.43927240000000001</v>
      </c>
      <c r="F6022" t="s">
        <v>40</v>
      </c>
      <c r="G6022">
        <v>-201.23589999999999</v>
      </c>
      <c r="H6022">
        <v>1.0317149999999999</v>
      </c>
      <c r="I6022">
        <v>-58.091290000000001</v>
      </c>
      <c r="J6022">
        <v>-201.5256</v>
      </c>
      <c r="K6022">
        <v>1.1145849999999999</v>
      </c>
      <c r="L6022">
        <v>-58.821959999999997</v>
      </c>
      <c r="M6022">
        <v>0.81274679999999999</v>
      </c>
      <c r="N6022">
        <v>0</v>
      </c>
      <c r="O6022">
        <v>0.58241069999999995</v>
      </c>
      <c r="P6022">
        <v>0.57058129999999996</v>
      </c>
      <c r="Q6022">
        <v>1.8849230000000002E-2</v>
      </c>
      <c r="R6022">
        <v>0.8210248</v>
      </c>
      <c r="S6022">
        <v>1.338074</v>
      </c>
      <c r="T6022">
        <v>-0.27756969999999997</v>
      </c>
      <c r="U6022">
        <v>2.73287999999999</v>
      </c>
      <c r="V6022">
        <v>-0.33570870000000003</v>
      </c>
      <c r="W6022">
        <v>2.5544069999999999E-2</v>
      </c>
      <c r="X6022">
        <v>0.94161949999999905</v>
      </c>
      <c r="Y6022">
        <v>-0.47401789999999999</v>
      </c>
      <c r="Z6022">
        <v>-3.4347509999999998E-2</v>
      </c>
      <c r="AA6022">
        <v>0.87984499999999999</v>
      </c>
      <c r="AB6022">
        <v>28</v>
      </c>
      <c r="AC6022">
        <v>0.28970000000001001</v>
      </c>
      <c r="AD6022">
        <v>-8.2869999999999999E-2</v>
      </c>
      <c r="AE6022">
        <v>0.73066999999999604</v>
      </c>
      <c r="AF6022">
        <v>-0.42050218966953601</v>
      </c>
      <c r="AG6022">
        <v>-8.2869999999999999E-2</v>
      </c>
      <c r="AH6022">
        <v>0.65381452912184401</v>
      </c>
      <c r="AI6022">
        <v>96.084966130896404</v>
      </c>
      <c r="AJ6022">
        <v>122.74718278833301</v>
      </c>
      <c r="AK6022">
        <v>0.78176912634593898</v>
      </c>
    </row>
    <row r="6023" spans="1:37" x14ac:dyDescent="0.2">
      <c r="A6023" t="str">
        <f>"20200111153546976"</f>
        <v>20200111153546976</v>
      </c>
      <c r="B6023" t="str">
        <f>"1578728146971342"</f>
        <v>1578728146971342</v>
      </c>
      <c r="C6023" t="s">
        <v>37</v>
      </c>
      <c r="D6023">
        <v>4.873075</v>
      </c>
      <c r="E6023">
        <v>0.43922109999999898</v>
      </c>
      <c r="F6023" t="s">
        <v>40</v>
      </c>
      <c r="G6023">
        <v>-201.0831</v>
      </c>
      <c r="H6023">
        <v>1.0215379999999901</v>
      </c>
      <c r="I6023">
        <v>-57.908830000000002</v>
      </c>
      <c r="J6023">
        <v>-201.40270000000001</v>
      </c>
      <c r="K6023">
        <v>1.1145670000000001</v>
      </c>
      <c r="L6023">
        <v>-58.72513</v>
      </c>
      <c r="M6023">
        <v>0.80846680000000004</v>
      </c>
      <c r="N6023">
        <v>0</v>
      </c>
      <c r="O6023">
        <v>0.58833760000000002</v>
      </c>
      <c r="P6023">
        <v>0.56607909999999995</v>
      </c>
      <c r="Q6023">
        <v>1.919562E-2</v>
      </c>
      <c r="R6023">
        <v>0.82412750000000001</v>
      </c>
      <c r="S6023">
        <v>1.326767</v>
      </c>
      <c r="T6023">
        <v>-0.27901029999999999</v>
      </c>
      <c r="U6023">
        <v>2.7383419999999998</v>
      </c>
      <c r="V6023">
        <v>-0.3339782</v>
      </c>
      <c r="W6023">
        <v>2.5954970000000001E-2</v>
      </c>
      <c r="X6023">
        <v>0.94222340000000004</v>
      </c>
      <c r="Y6023">
        <v>-0.4712325</v>
      </c>
      <c r="Z6023">
        <v>-3.528937E-2</v>
      </c>
      <c r="AA6023">
        <v>0.88130280000000005</v>
      </c>
      <c r="AB6023">
        <v>28</v>
      </c>
      <c r="AC6023">
        <v>0.31960000000000799</v>
      </c>
      <c r="AD6023">
        <v>-9.3029000000000195E-2</v>
      </c>
      <c r="AE6023">
        <v>0.81630000000000502</v>
      </c>
      <c r="AF6023">
        <v>-0.46671947401261499</v>
      </c>
      <c r="AG6023">
        <v>-9.3029000000000195E-2</v>
      </c>
      <c r="AH6023">
        <v>0.73050807630487602</v>
      </c>
      <c r="AI6023">
        <v>96.125287458795896</v>
      </c>
      <c r="AJ6023">
        <v>122.574390253036</v>
      </c>
      <c r="AK6023">
        <v>0.87185062471174701</v>
      </c>
    </row>
    <row r="6024" spans="1:37" x14ac:dyDescent="0.2">
      <c r="A6024" t="str">
        <f>"20200111153546989"</f>
        <v>20200111153546989</v>
      </c>
      <c r="B6024" t="str">
        <f>"1578728146982078"</f>
        <v>1578728146982078</v>
      </c>
      <c r="C6024" t="s">
        <v>37</v>
      </c>
      <c r="D6024">
        <v>4.8998860000000004</v>
      </c>
      <c r="E6024">
        <v>0.43902159999999901</v>
      </c>
      <c r="F6024" t="s">
        <v>40</v>
      </c>
      <c r="G6024">
        <v>-201.0095</v>
      </c>
      <c r="H6024">
        <v>1.0312749999999999</v>
      </c>
      <c r="I6024">
        <v>-57.901859999999999</v>
      </c>
      <c r="J6024">
        <v>-201.2792</v>
      </c>
      <c r="K6024">
        <v>1.1145419999999999</v>
      </c>
      <c r="L6024">
        <v>-58.625819999999997</v>
      </c>
      <c r="M6024">
        <v>0.80409339999999996</v>
      </c>
      <c r="N6024">
        <v>0</v>
      </c>
      <c r="O6024">
        <v>0.59430090000000002</v>
      </c>
      <c r="P6024">
        <v>0.56164899999999995</v>
      </c>
      <c r="Q6024">
        <v>1.937121E-2</v>
      </c>
      <c r="R6024">
        <v>0.82714880000000002</v>
      </c>
      <c r="S6024">
        <v>1.311188</v>
      </c>
      <c r="T6024">
        <v>-0.27779769999999998</v>
      </c>
      <c r="U6024">
        <v>2.7460629999999999</v>
      </c>
      <c r="V6024">
        <v>-0.33206360000000001</v>
      </c>
      <c r="W6024">
        <v>2.6201889999999999E-2</v>
      </c>
      <c r="X6024">
        <v>0.94289299999999998</v>
      </c>
      <c r="Y6024">
        <v>-0.46976179999999901</v>
      </c>
      <c r="Z6024">
        <v>-3.584126E-2</v>
      </c>
      <c r="AA6024">
        <v>0.8820654</v>
      </c>
      <c r="AB6024">
        <v>28</v>
      </c>
      <c r="AC6024">
        <v>0.2697</v>
      </c>
      <c r="AD6024">
        <v>-8.3266999999999897E-2</v>
      </c>
      <c r="AE6024">
        <v>0.72395999999999805</v>
      </c>
      <c r="AF6024">
        <v>-0.41705446494798498</v>
      </c>
      <c r="AG6024">
        <v>-8.3266999999999897E-2</v>
      </c>
      <c r="AH6024">
        <v>0.63976002936945098</v>
      </c>
      <c r="AI6024">
        <v>96.222493624205697</v>
      </c>
      <c r="AJ6024">
        <v>123.100009342044</v>
      </c>
      <c r="AK6024">
        <v>0.76821918434835501</v>
      </c>
    </row>
    <row r="6025" spans="1:37" x14ac:dyDescent="0.2">
      <c r="A6025" t="str">
        <f>"20200111153547001"</f>
        <v>20200111153547001</v>
      </c>
      <c r="B6025" t="str">
        <f>"1578728146991839"</f>
        <v>1578728146991839</v>
      </c>
      <c r="C6025" t="s">
        <v>37</v>
      </c>
      <c r="D6025">
        <v>4.7442029999999997</v>
      </c>
      <c r="E6025">
        <v>0.43941750000000002</v>
      </c>
      <c r="F6025" t="s">
        <v>40</v>
      </c>
      <c r="G6025">
        <v>-200.8783</v>
      </c>
      <c r="H6025">
        <v>1.0291649999999899</v>
      </c>
      <c r="I6025">
        <v>-57.772849999999998</v>
      </c>
      <c r="J6025">
        <v>-201.16560000000001</v>
      </c>
      <c r="K6025">
        <v>1.114511</v>
      </c>
      <c r="L6025">
        <v>-58.53369</v>
      </c>
      <c r="M6025">
        <v>0.80002320000000005</v>
      </c>
      <c r="N6025">
        <v>0</v>
      </c>
      <c r="O6025">
        <v>0.59976879999999999</v>
      </c>
      <c r="P6025">
        <v>0.55754230000000005</v>
      </c>
      <c r="Q6025">
        <v>1.9297310000000002E-2</v>
      </c>
      <c r="R6025">
        <v>0.8299242</v>
      </c>
      <c r="S6025">
        <v>1.294754</v>
      </c>
      <c r="T6025">
        <v>-0.2756941</v>
      </c>
      <c r="U6025">
        <v>2.7542110000000002</v>
      </c>
      <c r="V6025">
        <v>-0.3303065</v>
      </c>
      <c r="W6025">
        <v>2.6195220000000002E-2</v>
      </c>
      <c r="X6025">
        <v>0.94351019999999897</v>
      </c>
      <c r="Y6025">
        <v>-0.46907199999999999</v>
      </c>
      <c r="Z6025">
        <v>-3.6182680000000002E-2</v>
      </c>
      <c r="AA6025">
        <v>0.88241849999999999</v>
      </c>
      <c r="AB6025">
        <v>28</v>
      </c>
      <c r="AC6025">
        <v>0.28730000000001599</v>
      </c>
      <c r="AD6025">
        <v>-8.5346000000000102E-2</v>
      </c>
      <c r="AE6025">
        <v>0.76084000000000096</v>
      </c>
      <c r="AF6025">
        <v>-0.43167464822977403</v>
      </c>
      <c r="AG6025">
        <v>-8.5346000000000102E-2</v>
      </c>
      <c r="AH6025">
        <v>0.67878205195544405</v>
      </c>
      <c r="AI6025">
        <v>96.056231333342097</v>
      </c>
      <c r="AJ6025">
        <v>122.45451304347399</v>
      </c>
      <c r="AK6025">
        <v>0.80893263977734498</v>
      </c>
    </row>
    <row r="6026" spans="1:37" x14ac:dyDescent="0.2">
      <c r="A6026" t="str">
        <f>"20200111153547018"</f>
        <v>20200111153547018</v>
      </c>
      <c r="B6026" t="str">
        <f>"1578728147011358"</f>
        <v>1578728147011358</v>
      </c>
      <c r="C6026" t="s">
        <v>37</v>
      </c>
      <c r="D6026">
        <v>4.8766339999999904</v>
      </c>
      <c r="E6026">
        <v>0.44023620000000002</v>
      </c>
      <c r="F6026" t="s">
        <v>40</v>
      </c>
      <c r="G6026">
        <v>-200.7268</v>
      </c>
      <c r="H6026">
        <v>1.020486</v>
      </c>
      <c r="I6026">
        <v>-57.590389999999999</v>
      </c>
      <c r="J6026">
        <v>-201.0085</v>
      </c>
      <c r="K6026">
        <v>1.114466</v>
      </c>
      <c r="L6026">
        <v>-58.403930000000003</v>
      </c>
      <c r="M6026">
        <v>0.79430219999999996</v>
      </c>
      <c r="N6026">
        <v>0</v>
      </c>
      <c r="O6026">
        <v>0.60732509999999995</v>
      </c>
      <c r="P6026">
        <v>0.55232419999999904</v>
      </c>
      <c r="Q6026">
        <v>1.9041700000000002E-2</v>
      </c>
      <c r="R6026">
        <v>0.83341189999999998</v>
      </c>
      <c r="S6026">
        <v>1.28331</v>
      </c>
      <c r="T6026">
        <v>-0.27499409999999902</v>
      </c>
      <c r="U6026">
        <v>2.7590330000000001</v>
      </c>
      <c r="V6026">
        <v>-0.32727689999999998</v>
      </c>
      <c r="W6026">
        <v>2.6051729999999999E-2</v>
      </c>
      <c r="X6026">
        <v>0.94456929999999995</v>
      </c>
      <c r="Y6026">
        <v>-0.4643215</v>
      </c>
      <c r="Z6026">
        <v>-3.71096E-2</v>
      </c>
      <c r="AA6026">
        <v>0.88488889999999998</v>
      </c>
      <c r="AB6026">
        <v>28</v>
      </c>
      <c r="AC6026">
        <v>0.28170000000000001</v>
      </c>
      <c r="AD6026">
        <v>-9.3979999999999897E-2</v>
      </c>
      <c r="AE6026">
        <v>0.81354000000000304</v>
      </c>
      <c r="AF6026">
        <v>-0.46957471190433803</v>
      </c>
      <c r="AG6026">
        <v>-9.3979999999999897E-2</v>
      </c>
      <c r="AH6026">
        <v>0.70947031335146504</v>
      </c>
      <c r="AI6026">
        <v>96.303432475925007</v>
      </c>
      <c r="AJ6026">
        <v>123.499244989037</v>
      </c>
      <c r="AK6026">
        <v>0.85596774237530004</v>
      </c>
    </row>
    <row r="6027" spans="1:37" x14ac:dyDescent="0.2">
      <c r="A6027" t="str">
        <f>"20200111153547031"</f>
        <v>20200111153547031</v>
      </c>
      <c r="B6027" t="str">
        <f>"1578728147021120"</f>
        <v>1578728147021120</v>
      </c>
      <c r="C6027" t="s">
        <v>37</v>
      </c>
      <c r="D6027">
        <v>4.864223</v>
      </c>
      <c r="E6027">
        <v>0.44056400000000001</v>
      </c>
      <c r="F6027" t="s">
        <v>65</v>
      </c>
      <c r="G6027">
        <v>-195.91220000000001</v>
      </c>
      <c r="H6027" s="1">
        <v>-3.9167939999999998E-6</v>
      </c>
      <c r="I6027">
        <v>-47.322959999999902</v>
      </c>
      <c r="J6027">
        <v>-200.88839999999999</v>
      </c>
      <c r="K6027">
        <v>1.1144289999999999</v>
      </c>
      <c r="L6027">
        <v>-58.302549999999997</v>
      </c>
      <c r="M6027">
        <v>0.78985819999999995</v>
      </c>
      <c r="N6027">
        <v>0</v>
      </c>
      <c r="O6027">
        <v>0.61309389999999997</v>
      </c>
      <c r="P6027">
        <v>0.54751459999999996</v>
      </c>
      <c r="Q6027">
        <v>1.8610689999999999E-2</v>
      </c>
      <c r="R6027">
        <v>0.83658909999999997</v>
      </c>
      <c r="S6027">
        <v>1.271042</v>
      </c>
      <c r="T6027">
        <v>-0.27795349999999902</v>
      </c>
      <c r="U6027">
        <v>2.7636409999999998</v>
      </c>
      <c r="V6027">
        <v>-0.3258334</v>
      </c>
      <c r="W6027">
        <v>2.568517E-2</v>
      </c>
      <c r="X6027">
        <v>0.94507830000000004</v>
      </c>
      <c r="Y6027">
        <v>-0.46169529999999998</v>
      </c>
      <c r="Z6027">
        <v>-3.8256199999999997E-2</v>
      </c>
      <c r="AA6027">
        <v>0.88621319999999904</v>
      </c>
      <c r="AB6027">
        <v>28</v>
      </c>
      <c r="AC6027">
        <v>4.9761999999999702</v>
      </c>
      <c r="AD6027">
        <v>-1.1144329167939999</v>
      </c>
      <c r="AE6027">
        <v>10.97959</v>
      </c>
      <c r="AF6027">
        <v>-5.5744721577142604</v>
      </c>
      <c r="AG6027">
        <v>-1.1144329167939999</v>
      </c>
      <c r="AH6027">
        <v>10.572927069616499</v>
      </c>
      <c r="AI6027">
        <v>95.326784522541203</v>
      </c>
      <c r="AJ6027">
        <v>117.800000397982</v>
      </c>
      <c r="AK6027">
        <v>12.0043111998396</v>
      </c>
    </row>
    <row r="6028" spans="1:37" x14ac:dyDescent="0.2">
      <c r="A6028" t="str">
        <f>"20200111153547045"</f>
        <v>20200111153547045</v>
      </c>
      <c r="B6028" t="str">
        <f>"1578728147041615"</f>
        <v>1578728147041615</v>
      </c>
      <c r="C6028" t="s">
        <v>37</v>
      </c>
      <c r="D6028">
        <v>4.8969959999999997</v>
      </c>
      <c r="E6028">
        <v>0.44110659999999902</v>
      </c>
      <c r="F6028" t="s">
        <v>40</v>
      </c>
      <c r="G6028">
        <v>-200.5078</v>
      </c>
      <c r="H6028">
        <v>1.029962</v>
      </c>
      <c r="I6028">
        <v>-57.463809999999903</v>
      </c>
      <c r="J6028">
        <v>-200.76439999999999</v>
      </c>
      <c r="K6028">
        <v>1.1143829999999999</v>
      </c>
      <c r="L6028">
        <v>-58.196750000000002</v>
      </c>
      <c r="M6028">
        <v>0.78521609999999997</v>
      </c>
      <c r="N6028">
        <v>0</v>
      </c>
      <c r="O6028">
        <v>0.61902809999999997</v>
      </c>
      <c r="P6028">
        <v>0.54266040000000004</v>
      </c>
      <c r="Q6028">
        <v>1.8577969999999999E-2</v>
      </c>
      <c r="R6028">
        <v>0.83974669999999896</v>
      </c>
      <c r="S6028">
        <v>1.25705</v>
      </c>
      <c r="T6028">
        <v>-0.27893649999999998</v>
      </c>
      <c r="U6028">
        <v>2.7695310000000002</v>
      </c>
      <c r="V6028">
        <v>-0.32418219999999998</v>
      </c>
      <c r="W6028">
        <v>2.572617E-2</v>
      </c>
      <c r="X6028">
        <v>0.94564479999999995</v>
      </c>
      <c r="Y6028">
        <v>-0.45945269999999999</v>
      </c>
      <c r="Z6028">
        <v>-3.9138369999999999E-2</v>
      </c>
      <c r="AA6028">
        <v>0.88733949999999995</v>
      </c>
      <c r="AB6028">
        <v>28</v>
      </c>
      <c r="AC6028">
        <v>0.256599999999991</v>
      </c>
      <c r="AD6028">
        <v>-8.4420999999999802E-2</v>
      </c>
      <c r="AE6028">
        <v>0.73294000000000603</v>
      </c>
      <c r="AF6028">
        <v>-0.41185626224159799</v>
      </c>
      <c r="AG6028">
        <v>-8.4420999999999802E-2</v>
      </c>
      <c r="AH6028">
        <v>0.64762178036831697</v>
      </c>
      <c r="AI6028">
        <v>96.277091712884499</v>
      </c>
      <c r="AJ6028">
        <v>122.45439560583699</v>
      </c>
      <c r="AK6028">
        <v>0.77211816219802099</v>
      </c>
    </row>
    <row r="6029" spans="1:37" x14ac:dyDescent="0.2">
      <c r="A6029" t="str">
        <f>"20200111153547063"</f>
        <v>20200111153547063</v>
      </c>
      <c r="B6029" t="str">
        <f>"1578728147051374"</f>
        <v>1578728147051374</v>
      </c>
      <c r="C6029" t="s">
        <v>37</v>
      </c>
      <c r="D6029">
        <v>4.8671749999999996</v>
      </c>
      <c r="E6029">
        <v>0.44129570000000001</v>
      </c>
      <c r="F6029" t="s">
        <v>40</v>
      </c>
      <c r="G6029">
        <v>-200.35499999999999</v>
      </c>
      <c r="H6029">
        <v>1.022438</v>
      </c>
      <c r="I6029">
        <v>-57.284190000000002</v>
      </c>
      <c r="J6029">
        <v>-200.60169999999999</v>
      </c>
      <c r="K6029">
        <v>1.114312</v>
      </c>
      <c r="L6029">
        <v>-58.055569999999904</v>
      </c>
      <c r="M6029">
        <v>0.77904430000000002</v>
      </c>
      <c r="N6029">
        <v>0</v>
      </c>
      <c r="O6029">
        <v>0.62677780000000005</v>
      </c>
      <c r="P6029">
        <v>0.53705689999999995</v>
      </c>
      <c r="Q6029">
        <v>1.7996120000000001E-2</v>
      </c>
      <c r="R6029">
        <v>0.84335400000000005</v>
      </c>
      <c r="S6029">
        <v>1.2444759999999999</v>
      </c>
      <c r="T6029">
        <v>-0.27953139999999999</v>
      </c>
      <c r="U6029">
        <v>2.7744749999999998</v>
      </c>
      <c r="V6029">
        <v>-0.32109949999999998</v>
      </c>
      <c r="W6029">
        <v>2.5272369999999999E-2</v>
      </c>
      <c r="X6029">
        <v>0.9467082</v>
      </c>
      <c r="Y6029">
        <v>-0.45461419999999902</v>
      </c>
      <c r="Z6029">
        <v>-4.0282430000000001E-2</v>
      </c>
      <c r="AA6029">
        <v>0.88977709999999999</v>
      </c>
      <c r="AB6029">
        <v>28</v>
      </c>
      <c r="AC6029">
        <v>0.246700000000004</v>
      </c>
      <c r="AD6029">
        <v>-9.1873999999999997E-2</v>
      </c>
      <c r="AE6029">
        <v>0.77137999999999296</v>
      </c>
      <c r="AF6029">
        <v>-0.44069513338013799</v>
      </c>
      <c r="AG6029">
        <v>-9.1873999999999997E-2</v>
      </c>
      <c r="AH6029">
        <v>0.66716902660686195</v>
      </c>
      <c r="AI6029">
        <v>96.554708685470601</v>
      </c>
      <c r="AJ6029">
        <v>123.446555184895</v>
      </c>
      <c r="AK6029">
        <v>0.80484007263833801</v>
      </c>
    </row>
    <row r="6030" spans="1:37" x14ac:dyDescent="0.2">
      <c r="A6030" t="str">
        <f>"20200111153547074"</f>
        <v>20200111153547074</v>
      </c>
      <c r="B6030" t="str">
        <f>"1578728147071871"</f>
        <v>1578728147071871</v>
      </c>
      <c r="C6030" t="s">
        <v>37</v>
      </c>
      <c r="D6030">
        <v>4.9085919999999996</v>
      </c>
      <c r="E6030">
        <v>0.44154579999999999</v>
      </c>
      <c r="F6030" t="s">
        <v>40</v>
      </c>
      <c r="G6030">
        <v>-200.1874</v>
      </c>
      <c r="H6030">
        <v>1.0196179999999999</v>
      </c>
      <c r="I6030">
        <v>-57.115749999999998</v>
      </c>
      <c r="J6030">
        <v>-200.48679999999999</v>
      </c>
      <c r="K6030">
        <v>1.1142570000000001</v>
      </c>
      <c r="L6030">
        <v>-57.954009999999997</v>
      </c>
      <c r="M6030">
        <v>0.77462619999999904</v>
      </c>
      <c r="N6030">
        <v>0</v>
      </c>
      <c r="O6030">
        <v>0.63223019999999996</v>
      </c>
      <c r="P6030">
        <v>0.53239899999999996</v>
      </c>
      <c r="Q6030">
        <v>1.759324E-2</v>
      </c>
      <c r="R6030">
        <v>0.84631069999999997</v>
      </c>
      <c r="S6030">
        <v>1.226761</v>
      </c>
      <c r="T6030">
        <v>-0.28031980000000001</v>
      </c>
      <c r="U6030">
        <v>2.7819820000000002</v>
      </c>
      <c r="V6030">
        <v>-0.31966809999999901</v>
      </c>
      <c r="W6030">
        <v>2.4941540000000002E-2</v>
      </c>
      <c r="X6030">
        <v>0.94720130000000002</v>
      </c>
      <c r="Y6030">
        <v>-0.45400810000000003</v>
      </c>
      <c r="Z6030">
        <v>-4.1023610000000002E-2</v>
      </c>
      <c r="AA6030">
        <v>0.89005270000000003</v>
      </c>
      <c r="AB6030">
        <v>28</v>
      </c>
      <c r="AC6030">
        <v>0.29939999999999101</v>
      </c>
      <c r="AD6030">
        <v>-9.4638999999999904E-2</v>
      </c>
      <c r="AE6030">
        <v>0.83825999999999801</v>
      </c>
      <c r="AF6030">
        <v>-0.45496051239033702</v>
      </c>
      <c r="AG6030">
        <v>-9.4638999999999904E-2</v>
      </c>
      <c r="AH6030">
        <v>0.75347014824038405</v>
      </c>
      <c r="AI6030">
        <v>96.137039123768702</v>
      </c>
      <c r="AJ6030">
        <v>121.124428413101</v>
      </c>
      <c r="AK6030">
        <v>0.88524735099567797</v>
      </c>
    </row>
    <row r="6031" spans="1:37" x14ac:dyDescent="0.2">
      <c r="A6031" t="str">
        <f>"20200111153547089"</f>
        <v>20200111153547089</v>
      </c>
      <c r="B6031" t="str">
        <f>"1578728147081631"</f>
        <v>1578728147081631</v>
      </c>
      <c r="C6031" t="s">
        <v>37</v>
      </c>
      <c r="D6031">
        <v>4.9077459999999897</v>
      </c>
      <c r="E6031">
        <v>0.4417045</v>
      </c>
      <c r="F6031" t="s">
        <v>40</v>
      </c>
      <c r="G6031">
        <v>-200.09950000000001</v>
      </c>
      <c r="H6031">
        <v>1.0239370000000001</v>
      </c>
      <c r="I6031">
        <v>-57.063809999999997</v>
      </c>
      <c r="J6031">
        <v>-200.3603</v>
      </c>
      <c r="K6031">
        <v>1.1141920000000001</v>
      </c>
      <c r="L6031">
        <v>-57.84055</v>
      </c>
      <c r="M6031">
        <v>0.76971690000000004</v>
      </c>
      <c r="N6031">
        <v>0</v>
      </c>
      <c r="O6031">
        <v>0.6381983</v>
      </c>
      <c r="P6031">
        <v>0.52704379999999995</v>
      </c>
      <c r="Q6031">
        <v>1.7552290000000002E-2</v>
      </c>
      <c r="R6031">
        <v>0.84965689999999905</v>
      </c>
      <c r="S6031">
        <v>1.212982</v>
      </c>
      <c r="T6031">
        <v>-0.28285339999999998</v>
      </c>
      <c r="U6031">
        <v>2.787598</v>
      </c>
      <c r="V6031">
        <v>-0.31832470000000002</v>
      </c>
      <c r="W6031">
        <v>2.4975870000000001E-2</v>
      </c>
      <c r="X6031">
        <v>0.94765270000000001</v>
      </c>
      <c r="Y6031">
        <v>-0.45149979999999901</v>
      </c>
      <c r="Z6031">
        <v>-4.2165620000000001E-2</v>
      </c>
      <c r="AA6031">
        <v>0.89127440000000002</v>
      </c>
      <c r="AB6031">
        <v>28</v>
      </c>
      <c r="AC6031">
        <v>0.26079999999998899</v>
      </c>
      <c r="AD6031">
        <v>-9.0254999999999905E-2</v>
      </c>
      <c r="AE6031">
        <v>0.77674000000000298</v>
      </c>
      <c r="AF6031">
        <v>-0.42630657133549699</v>
      </c>
      <c r="AG6031">
        <v>-9.0254999999999905E-2</v>
      </c>
      <c r="AH6031">
        <v>0.68818910564928304</v>
      </c>
      <c r="AI6031">
        <v>96.361656742152704</v>
      </c>
      <c r="AJ6031">
        <v>121.776615624755</v>
      </c>
      <c r="AK6031">
        <v>0.81454742214507603</v>
      </c>
    </row>
    <row r="6032" spans="1:37" x14ac:dyDescent="0.2">
      <c r="A6032" t="str">
        <f>"20200111153547101"</f>
        <v>20200111153547101</v>
      </c>
      <c r="B6032" t="str">
        <f>"1578728147091391"</f>
        <v>1578728147091391</v>
      </c>
      <c r="C6032" t="s">
        <v>37</v>
      </c>
      <c r="D6032">
        <v>4.9008209999999996</v>
      </c>
      <c r="E6032">
        <v>0.44185449999999998</v>
      </c>
      <c r="F6032" t="s">
        <v>40</v>
      </c>
      <c r="G6032">
        <v>-199.988</v>
      </c>
      <c r="H6032">
        <v>1.026024</v>
      </c>
      <c r="I6032">
        <v>-56.970829999999999</v>
      </c>
      <c r="J6032">
        <v>-200.24680000000001</v>
      </c>
      <c r="K6032">
        <v>1.114123</v>
      </c>
      <c r="L6032">
        <v>-57.737580000000001</v>
      </c>
      <c r="M6032">
        <v>0.76526830000000001</v>
      </c>
      <c r="N6032">
        <v>0</v>
      </c>
      <c r="O6032">
        <v>0.64352609999999999</v>
      </c>
      <c r="P6032">
        <v>0.52213969999999998</v>
      </c>
      <c r="Q6032">
        <v>1.7312660000000001E-2</v>
      </c>
      <c r="R6032">
        <v>0.85268409999999994</v>
      </c>
      <c r="S6032">
        <v>1.196304</v>
      </c>
      <c r="T6032">
        <v>-0.28329109999999902</v>
      </c>
      <c r="U6032">
        <v>2.7946169999999899</v>
      </c>
      <c r="V6032">
        <v>-0.3172007</v>
      </c>
      <c r="W6032">
        <v>2.4803780000000001E-2</v>
      </c>
      <c r="X6032">
        <v>0.94803400000000004</v>
      </c>
      <c r="Y6032">
        <v>-0.45062619999999998</v>
      </c>
      <c r="Z6032">
        <v>-4.2862369999999997E-2</v>
      </c>
      <c r="AA6032">
        <v>0.89168320000000001</v>
      </c>
      <c r="AB6032">
        <v>28</v>
      </c>
      <c r="AC6032">
        <v>0.25880000000000702</v>
      </c>
      <c r="AD6032">
        <v>-8.80989999999999E-2</v>
      </c>
      <c r="AE6032">
        <v>0.76674999999999405</v>
      </c>
      <c r="AF6032">
        <v>-0.41535244826289902</v>
      </c>
      <c r="AG6032">
        <v>-8.80989999999999E-2</v>
      </c>
      <c r="AH6032">
        <v>0.68345748852204402</v>
      </c>
      <c r="AI6032">
        <v>96.286098029441106</v>
      </c>
      <c r="AJ6032">
        <v>121.287988751982</v>
      </c>
      <c r="AK6032">
        <v>0.80460749977603596</v>
      </c>
    </row>
    <row r="6033" spans="1:37" x14ac:dyDescent="0.2">
      <c r="A6033" t="str">
        <f>"20200111153547120"</f>
        <v>20200111153547120</v>
      </c>
      <c r="B6033" t="str">
        <f>"1578728147111886"</f>
        <v>1578728147111886</v>
      </c>
      <c r="C6033" t="s">
        <v>37</v>
      </c>
      <c r="D6033">
        <v>4.9101109999999997</v>
      </c>
      <c r="E6033">
        <v>0.44213940000000002</v>
      </c>
      <c r="F6033" t="s">
        <v>40</v>
      </c>
      <c r="G6033">
        <v>-199.84479999999999</v>
      </c>
      <c r="H6033">
        <v>1.017312</v>
      </c>
      <c r="I6033">
        <v>-56.78454</v>
      </c>
      <c r="J6033">
        <v>-200.08340000000001</v>
      </c>
      <c r="K6033">
        <v>1.1140190000000001</v>
      </c>
      <c r="L6033">
        <v>-57.586640000000003</v>
      </c>
      <c r="M6033">
        <v>0.75880069999999999</v>
      </c>
      <c r="N6033">
        <v>0</v>
      </c>
      <c r="O6033">
        <v>0.65113999999999905</v>
      </c>
      <c r="P6033">
        <v>0.51502230000000004</v>
      </c>
      <c r="Q6033">
        <v>1.6121630000000001E-2</v>
      </c>
      <c r="R6033">
        <v>0.85702509999999998</v>
      </c>
      <c r="S6033">
        <v>1.181335</v>
      </c>
      <c r="T6033">
        <v>-0.28449419999999997</v>
      </c>
      <c r="U6033">
        <v>2.8006899999999999</v>
      </c>
      <c r="V6033">
        <v>-0.31560559999999999</v>
      </c>
      <c r="W6033">
        <v>2.3715489999999999E-2</v>
      </c>
      <c r="X6033">
        <v>0.948594099999999</v>
      </c>
      <c r="Y6033">
        <v>-0.44647029999999899</v>
      </c>
      <c r="Z6033">
        <v>-4.4073769999999998E-2</v>
      </c>
      <c r="AA6033">
        <v>0.89371239999999996</v>
      </c>
      <c r="AB6033">
        <v>28</v>
      </c>
      <c r="AC6033">
        <v>0.23860000000001899</v>
      </c>
      <c r="AD6033">
        <v>-9.6707000000000098E-2</v>
      </c>
      <c r="AE6033">
        <v>0.80210000000000203</v>
      </c>
      <c r="AF6033">
        <v>-0.44735176826726197</v>
      </c>
      <c r="AG6033">
        <v>-9.6707000000000098E-2</v>
      </c>
      <c r="AH6033">
        <v>0.69414292882606499</v>
      </c>
      <c r="AI6033">
        <v>96.679256902658693</v>
      </c>
      <c r="AJ6033">
        <v>122.800418562438</v>
      </c>
      <c r="AK6033">
        <v>0.83145069250080805</v>
      </c>
    </row>
    <row r="6034" spans="1:37" x14ac:dyDescent="0.2">
      <c r="A6034" t="str">
        <f>"20200111153547133"</f>
        <v>20200111153547133</v>
      </c>
      <c r="B6034" t="str">
        <f>"1578728147121647"</f>
        <v>1578728147121647</v>
      </c>
      <c r="C6034" t="s">
        <v>37</v>
      </c>
      <c r="D6034">
        <v>4.8983080000000001</v>
      </c>
      <c r="E6034">
        <v>0.44225209999999998</v>
      </c>
      <c r="F6034" t="s">
        <v>40</v>
      </c>
      <c r="G6034">
        <v>-199.68119999999999</v>
      </c>
      <c r="H6034">
        <v>1.0141149999999901</v>
      </c>
      <c r="I6034">
        <v>-56.612850000000002</v>
      </c>
      <c r="J6034">
        <v>-199.96129999999999</v>
      </c>
      <c r="K6034">
        <v>1.113936</v>
      </c>
      <c r="L6034">
        <v>-57.471619999999902</v>
      </c>
      <c r="M6034">
        <v>0.75392799999999904</v>
      </c>
      <c r="N6034">
        <v>0</v>
      </c>
      <c r="O6034">
        <v>0.65677619999999903</v>
      </c>
      <c r="P6034">
        <v>0.50924269999999905</v>
      </c>
      <c r="Q6034">
        <v>1.5783789999999999E-2</v>
      </c>
      <c r="R6034">
        <v>0.86047819999999997</v>
      </c>
      <c r="S6034">
        <v>1.1597599999999999</v>
      </c>
      <c r="T6034">
        <v>-0.28816809999999998</v>
      </c>
      <c r="U6034">
        <v>2.8089599999999999</v>
      </c>
      <c r="V6034">
        <v>-0.31491399999999897</v>
      </c>
      <c r="W6034">
        <v>2.3443760000000001E-2</v>
      </c>
      <c r="X6034">
        <v>0.94883059999999997</v>
      </c>
      <c r="Y6034">
        <v>-0.44661590000000001</v>
      </c>
      <c r="Z6034">
        <v>-4.5283400000000001E-2</v>
      </c>
      <c r="AA6034">
        <v>0.89357909999999996</v>
      </c>
      <c r="AB6034">
        <v>28</v>
      </c>
      <c r="AC6034">
        <v>0.28010000000000401</v>
      </c>
      <c r="AD6034">
        <v>-9.9821000000000104E-2</v>
      </c>
      <c r="AE6034">
        <v>0.85876999999999204</v>
      </c>
      <c r="AF6034">
        <v>-0.45795034454962502</v>
      </c>
      <c r="AG6034">
        <v>-9.9821000000000104E-2</v>
      </c>
      <c r="AH6034">
        <v>0.76593350494263401</v>
      </c>
      <c r="AI6034">
        <v>96.382411847949101</v>
      </c>
      <c r="AJ6034">
        <v>120.875131605807</v>
      </c>
      <c r="AK6034">
        <v>0.89796262957198203</v>
      </c>
    </row>
    <row r="6035" spans="1:37" x14ac:dyDescent="0.2">
      <c r="A6035" t="str">
        <f>"20200111153547151"</f>
        <v>20200111153547151</v>
      </c>
      <c r="B6035" t="str">
        <f>"1578728147141171"</f>
        <v>1578728147141171</v>
      </c>
      <c r="C6035" t="s">
        <v>37</v>
      </c>
      <c r="D6035">
        <v>4.897462</v>
      </c>
      <c r="E6035">
        <v>0.44244090000000003</v>
      </c>
      <c r="F6035" t="s">
        <v>65</v>
      </c>
      <c r="G6035">
        <v>-195.57230000000001</v>
      </c>
      <c r="H6035" s="1">
        <v>-4.1983260000000004E-6</v>
      </c>
      <c r="I6035">
        <v>-46.643259999999998</v>
      </c>
      <c r="J6035">
        <v>-199.8022</v>
      </c>
      <c r="K6035">
        <v>1.113823</v>
      </c>
      <c r="L6035">
        <v>-57.319490000000002</v>
      </c>
      <c r="M6035">
        <v>0.74752350000000001</v>
      </c>
      <c r="N6035">
        <v>0</v>
      </c>
      <c r="O6035">
        <v>0.66405700000000001</v>
      </c>
      <c r="P6035">
        <v>0.50226119999999996</v>
      </c>
      <c r="Q6035">
        <v>1.5030170000000001E-2</v>
      </c>
      <c r="R6035">
        <v>0.8645853</v>
      </c>
      <c r="S6035">
        <v>1.1414949999999999</v>
      </c>
      <c r="T6035">
        <v>-0.28970869999999999</v>
      </c>
      <c r="U6035">
        <v>2.8161930000000002</v>
      </c>
      <c r="V6035">
        <v>-0.31337870000000001</v>
      </c>
      <c r="W6035">
        <v>2.279544E-2</v>
      </c>
      <c r="X6035">
        <v>0.94935460000000005</v>
      </c>
      <c r="Y6035">
        <v>-0.44374039999999998</v>
      </c>
      <c r="Z6035">
        <v>-4.6481679999999997E-2</v>
      </c>
      <c r="AA6035">
        <v>0.89494910000000005</v>
      </c>
      <c r="AB6035">
        <v>28</v>
      </c>
      <c r="AC6035">
        <v>4.2298999999999802</v>
      </c>
      <c r="AD6035">
        <v>-1.113827198326</v>
      </c>
      <c r="AE6035">
        <v>10.67623</v>
      </c>
      <c r="AF6035">
        <v>-5.1242442737883804</v>
      </c>
      <c r="AG6035">
        <v>-1.113827198326</v>
      </c>
      <c r="AH6035">
        <v>10.1572348033653</v>
      </c>
      <c r="AI6035">
        <v>95.591722508263501</v>
      </c>
      <c r="AJ6035">
        <v>116.770581692741</v>
      </c>
      <c r="AK6035">
        <v>11.4310064848148</v>
      </c>
    </row>
    <row r="6036" spans="1:37" x14ac:dyDescent="0.2">
      <c r="A6036" t="str">
        <f>"20200111153547164"</f>
        <v>20200111153547164</v>
      </c>
      <c r="B6036" t="str">
        <f>"1578728147161663"</f>
        <v>1578728147161663</v>
      </c>
      <c r="C6036" t="s">
        <v>37</v>
      </c>
      <c r="D6036">
        <v>4.9338850000000001</v>
      </c>
      <c r="E6036">
        <v>0.4424592</v>
      </c>
      <c r="F6036" t="s">
        <v>40</v>
      </c>
      <c r="G6036">
        <v>-199.43950000000001</v>
      </c>
      <c r="H6036">
        <v>1.0190410000000001</v>
      </c>
      <c r="I6036">
        <v>-56.404130000000002</v>
      </c>
      <c r="J6036">
        <v>-199.69329999999999</v>
      </c>
      <c r="K6036">
        <v>1.1137429999999999</v>
      </c>
      <c r="L6036">
        <v>-57.213809999999903</v>
      </c>
      <c r="M6036">
        <v>0.74311240000000001</v>
      </c>
      <c r="N6036">
        <v>0</v>
      </c>
      <c r="O6036">
        <v>0.66898990000000003</v>
      </c>
      <c r="P6036">
        <v>0.49689139999999998</v>
      </c>
      <c r="Q6036">
        <v>1.498151E-2</v>
      </c>
      <c r="R6036">
        <v>0.86768339999999999</v>
      </c>
      <c r="S6036">
        <v>1.1194309999999901</v>
      </c>
      <c r="T6036">
        <v>-0.292487</v>
      </c>
      <c r="U6036">
        <v>2.8246769999999999</v>
      </c>
      <c r="V6036">
        <v>-0.31297619999999998</v>
      </c>
      <c r="W6036">
        <v>2.2804020000000001E-2</v>
      </c>
      <c r="X6036">
        <v>0.94948719999999998</v>
      </c>
      <c r="Y6036">
        <v>-0.44478679999999898</v>
      </c>
      <c r="Z6036">
        <v>-4.7457069999999997E-2</v>
      </c>
      <c r="AA6036">
        <v>0.89437819999999901</v>
      </c>
      <c r="AB6036">
        <v>28</v>
      </c>
      <c r="AC6036">
        <v>0.25379999999998398</v>
      </c>
      <c r="AD6036">
        <v>-9.47019999999998E-2</v>
      </c>
      <c r="AE6036">
        <v>0.80967999999999296</v>
      </c>
      <c r="AF6036">
        <v>-0.42663046075474598</v>
      </c>
      <c r="AG6036">
        <v>-9.47019999999998E-2</v>
      </c>
      <c r="AH6036">
        <v>0.72137044234637804</v>
      </c>
      <c r="AI6036">
        <v>96.446955748270298</v>
      </c>
      <c r="AJ6036">
        <v>120.600775007471</v>
      </c>
      <c r="AK6036">
        <v>0.84342002225392798</v>
      </c>
    </row>
    <row r="6037" spans="1:37" x14ac:dyDescent="0.2">
      <c r="A6037" t="str">
        <f>"20200111153547178"</f>
        <v>20200111153547178</v>
      </c>
      <c r="B6037" t="str">
        <f>"1578728147171423"</f>
        <v>1578728147171423</v>
      </c>
      <c r="C6037" t="s">
        <v>37</v>
      </c>
      <c r="D6037">
        <v>4.9785659999999998</v>
      </c>
      <c r="E6037">
        <v>0.44257200000000002</v>
      </c>
      <c r="F6037" t="s">
        <v>40</v>
      </c>
      <c r="G6037">
        <v>-199.33170000000001</v>
      </c>
      <c r="H6037">
        <v>1.0171330000000001</v>
      </c>
      <c r="I6037">
        <v>-56.285240000000002</v>
      </c>
      <c r="J6037">
        <v>-199.5728</v>
      </c>
      <c r="K6037">
        <v>1.11365</v>
      </c>
      <c r="L6037">
        <v>-57.095579999999998</v>
      </c>
      <c r="M6037">
        <v>0.73820540000000001</v>
      </c>
      <c r="N6037">
        <v>0</v>
      </c>
      <c r="O6037">
        <v>0.67440119999999903</v>
      </c>
      <c r="P6037">
        <v>0.49062050000000001</v>
      </c>
      <c r="Q6037">
        <v>1.5316979999999999E-2</v>
      </c>
      <c r="R6037">
        <v>0.87123869999999903</v>
      </c>
      <c r="S6037">
        <v>1.102158</v>
      </c>
      <c r="T6037">
        <v>-0.29455579999999998</v>
      </c>
      <c r="U6037">
        <v>2.83142099999999</v>
      </c>
      <c r="V6037">
        <v>-0.31288459999999901</v>
      </c>
      <c r="W6037">
        <v>2.3196350000000001E-2</v>
      </c>
      <c r="X6037">
        <v>0.94950780000000001</v>
      </c>
      <c r="Y6037">
        <v>-0.44372209999999901</v>
      </c>
      <c r="Z6037">
        <v>-4.8468799999999999E-2</v>
      </c>
      <c r="AA6037">
        <v>0.8948528</v>
      </c>
      <c r="AB6037">
        <v>28</v>
      </c>
      <c r="AC6037">
        <v>0.24109999999998799</v>
      </c>
      <c r="AD6037">
        <v>-9.6516999999999895E-2</v>
      </c>
      <c r="AE6037">
        <v>0.81034000000000295</v>
      </c>
      <c r="AF6037">
        <v>-0.430045933209799</v>
      </c>
      <c r="AG6037">
        <v>-9.6516999999999895E-2</v>
      </c>
      <c r="AH6037">
        <v>0.71523950606821396</v>
      </c>
      <c r="AI6037">
        <v>96.596880841828295</v>
      </c>
      <c r="AJ6037">
        <v>121.01687035195501</v>
      </c>
      <c r="AK6037">
        <v>0.84013248181461797</v>
      </c>
    </row>
    <row r="6038" spans="1:37" x14ac:dyDescent="0.2">
      <c r="A6038" t="str">
        <f>"20200111153547198"</f>
        <v>20200111153547198</v>
      </c>
      <c r="B6038" t="str">
        <f>"1578728147191919"</f>
        <v>1578728147191919</v>
      </c>
      <c r="C6038" t="s">
        <v>37</v>
      </c>
      <c r="D6038">
        <v>4.9403680000000003</v>
      </c>
      <c r="E6038">
        <v>0.44266309999999898</v>
      </c>
      <c r="F6038" t="s">
        <v>65</v>
      </c>
      <c r="G6038">
        <v>-195.47450000000001</v>
      </c>
      <c r="H6038" s="1">
        <v>-4.3294770000000002E-6</v>
      </c>
      <c r="I6038">
        <v>-46.348059999999997</v>
      </c>
      <c r="J6038">
        <v>-199.40430000000001</v>
      </c>
      <c r="K6038">
        <v>1.1135090000000001</v>
      </c>
      <c r="L6038">
        <v>-56.927059999999997</v>
      </c>
      <c r="M6038">
        <v>0.73132209999999997</v>
      </c>
      <c r="N6038">
        <v>0</v>
      </c>
      <c r="O6038">
        <v>0.68186000000000002</v>
      </c>
      <c r="P6038">
        <v>0.48178009999999899</v>
      </c>
      <c r="Q6038">
        <v>1.573138E-2</v>
      </c>
      <c r="R6038">
        <v>0.87615089999999995</v>
      </c>
      <c r="S6038">
        <v>1.0825499999999999</v>
      </c>
      <c r="T6038">
        <v>-0.29416890000000001</v>
      </c>
      <c r="U6038">
        <v>2.8389279999999899</v>
      </c>
      <c r="V6038">
        <v>-0.31284829999999902</v>
      </c>
      <c r="W6038">
        <v>2.3694030000000001E-2</v>
      </c>
      <c r="X6038">
        <v>0.94950749999999995</v>
      </c>
      <c r="Y6038">
        <v>-0.44082979999999999</v>
      </c>
      <c r="Z6038">
        <v>-4.9399949999999998E-2</v>
      </c>
      <c r="AA6038">
        <v>0.89623030000000004</v>
      </c>
      <c r="AB6038">
        <v>28</v>
      </c>
      <c r="AC6038">
        <v>3.9298000000000002</v>
      </c>
      <c r="AD6038">
        <v>-1.1135133294770001</v>
      </c>
      <c r="AE6038">
        <v>10.579000000000001</v>
      </c>
      <c r="AF6038">
        <v>-5.0089124318947098</v>
      </c>
      <c r="AG6038">
        <v>-1.1135133294770001</v>
      </c>
      <c r="AH6038">
        <v>9.9912607235095194</v>
      </c>
      <c r="AI6038">
        <v>95.689588149596403</v>
      </c>
      <c r="AJ6038">
        <v>116.62595254666699</v>
      </c>
      <c r="AK6038">
        <v>11.2318478680249</v>
      </c>
    </row>
    <row r="6039" spans="1:37" x14ac:dyDescent="0.2">
      <c r="A6039" t="str">
        <f>"20200111153547213"</f>
        <v>20200111153547213</v>
      </c>
      <c r="B6039" t="str">
        <f>"1578728147201680"</f>
        <v>1578728147201680</v>
      </c>
      <c r="C6039" t="s">
        <v>37</v>
      </c>
      <c r="D6039">
        <v>4.9361670000000002</v>
      </c>
      <c r="E6039">
        <v>0.44924799999999998</v>
      </c>
      <c r="F6039" t="s">
        <v>65</v>
      </c>
      <c r="G6039">
        <v>-195.39320000000001</v>
      </c>
      <c r="H6039" s="1">
        <v>-4.4463790000000004E-6</v>
      </c>
      <c r="I6039">
        <v>-46.086979999999997</v>
      </c>
      <c r="J6039">
        <v>-199.27860000000001</v>
      </c>
      <c r="K6039">
        <v>1.113394</v>
      </c>
      <c r="L6039">
        <v>-56.798859999999998</v>
      </c>
      <c r="M6039">
        <v>0.72617379999999998</v>
      </c>
      <c r="N6039">
        <v>0</v>
      </c>
      <c r="O6039">
        <v>0.68734069999999903</v>
      </c>
      <c r="P6039">
        <v>0.475493</v>
      </c>
      <c r="Q6039">
        <v>1.616099E-2</v>
      </c>
      <c r="R6039">
        <v>0.87957109999999905</v>
      </c>
      <c r="S6039">
        <v>1.0544129999999901</v>
      </c>
      <c r="T6039">
        <v>-0.29270780000000002</v>
      </c>
      <c r="U6039">
        <v>2.8495180000000002</v>
      </c>
      <c r="V6039">
        <v>-0.31250359999999899</v>
      </c>
      <c r="W6039">
        <v>2.4198859999999999E-2</v>
      </c>
      <c r="X6039">
        <v>0.94960829999999996</v>
      </c>
      <c r="Y6039">
        <v>-0.44295010000000001</v>
      </c>
      <c r="Z6039">
        <v>-4.9709179999999999E-2</v>
      </c>
      <c r="AA6039">
        <v>0.89516709999999999</v>
      </c>
      <c r="AB6039">
        <v>27</v>
      </c>
      <c r="AC6039">
        <v>3.8854000000000002</v>
      </c>
      <c r="AD6039">
        <v>-1.1133984463790001</v>
      </c>
      <c r="AE6039">
        <v>10.711880000000001</v>
      </c>
      <c r="AF6039">
        <v>-5.06037772451882</v>
      </c>
      <c r="AG6039">
        <v>-1.1133984463790001</v>
      </c>
      <c r="AH6039">
        <v>10.089055040703601</v>
      </c>
      <c r="AI6039">
        <v>95.633675332394205</v>
      </c>
      <c r="AJ6039">
        <v>116.637016608018</v>
      </c>
      <c r="AK6039">
        <v>11.3417860334936</v>
      </c>
    </row>
    <row r="6040" spans="1:37" x14ac:dyDescent="0.2">
      <c r="A6040" t="str">
        <f>"20200111153547232"</f>
        <v>20200111153547232</v>
      </c>
      <c r="B6040" t="str">
        <f>"1578728147221198"</f>
        <v>1578728147221198</v>
      </c>
      <c r="C6040" t="s">
        <v>37</v>
      </c>
      <c r="D6040">
        <v>4.9416070000000003</v>
      </c>
      <c r="E6040">
        <v>0.45334140000000001</v>
      </c>
      <c r="F6040" t="s">
        <v>65</v>
      </c>
      <c r="G6040">
        <v>-194.4427</v>
      </c>
      <c r="H6040" s="1">
        <v>-5.2256280000000003E-6</v>
      </c>
      <c r="I6040">
        <v>-44.107379999999999</v>
      </c>
      <c r="J6040">
        <v>-199.11580000000001</v>
      </c>
      <c r="K6040">
        <v>1.113243</v>
      </c>
      <c r="L6040">
        <v>-56.630580000000002</v>
      </c>
      <c r="M6040">
        <v>0.71949200000000002</v>
      </c>
      <c r="N6040">
        <v>0</v>
      </c>
      <c r="O6040">
        <v>0.69433279999999997</v>
      </c>
      <c r="P6040">
        <v>0.46749020000000002</v>
      </c>
      <c r="Q6040">
        <v>1.676714E-2</v>
      </c>
      <c r="R6040">
        <v>0.88383919999999905</v>
      </c>
      <c r="S6040">
        <v>1.0790709999999999</v>
      </c>
      <c r="T6040">
        <v>-0.24844349999999901</v>
      </c>
      <c r="U6040">
        <v>2.8319700000000001</v>
      </c>
      <c r="V6040">
        <v>-0.31193169999999998</v>
      </c>
      <c r="W6040">
        <v>2.4909130000000002E-2</v>
      </c>
      <c r="X6040">
        <v>0.94977800000000001</v>
      </c>
      <c r="Y6040">
        <v>-0.42549609999999899</v>
      </c>
      <c r="Z6040">
        <v>-4.3639160000000003E-2</v>
      </c>
      <c r="AA6040">
        <v>0.90390749999999997</v>
      </c>
      <c r="AB6040">
        <v>27</v>
      </c>
      <c r="AC6040">
        <v>4.6730999999999998</v>
      </c>
      <c r="AD6040">
        <v>-1.1132482256280001</v>
      </c>
      <c r="AE6040">
        <v>12.523199999999999</v>
      </c>
      <c r="AF6040">
        <v>-5.72660584662313</v>
      </c>
      <c r="AG6040">
        <v>-1.1132482256280001</v>
      </c>
      <c r="AH6040">
        <v>11.975863102825601</v>
      </c>
      <c r="AI6040">
        <v>94.793776499535198</v>
      </c>
      <c r="AJ6040">
        <v>115.55614593438099</v>
      </c>
      <c r="AK6040">
        <v>13.3212098997074</v>
      </c>
    </row>
    <row r="6041" spans="1:37" x14ac:dyDescent="0.2">
      <c r="A6041" t="str">
        <f>"20200111153547254"</f>
        <v>20200111153547254</v>
      </c>
      <c r="B6041" t="str">
        <f>"1578728147241695"</f>
        <v>1578728147241695</v>
      </c>
      <c r="C6041" t="s">
        <v>37</v>
      </c>
      <c r="D6041">
        <v>4.9477739999999999</v>
      </c>
      <c r="E6041">
        <v>0.45307700000000001</v>
      </c>
      <c r="F6041" t="s">
        <v>65</v>
      </c>
      <c r="G6041">
        <v>-193.9502</v>
      </c>
      <c r="H6041" s="1">
        <v>-5.5918929999999998E-6</v>
      </c>
      <c r="I6041">
        <v>-43.132890000000003</v>
      </c>
      <c r="J6041">
        <v>-198.94309999999999</v>
      </c>
      <c r="K6041">
        <v>1.113075</v>
      </c>
      <c r="L6041">
        <v>-56.448700000000002</v>
      </c>
      <c r="M6041">
        <v>0.71238509999999999</v>
      </c>
      <c r="N6041">
        <v>0</v>
      </c>
      <c r="O6041">
        <v>0.70162329999999995</v>
      </c>
      <c r="P6041">
        <v>0.45939750000000001</v>
      </c>
      <c r="Q6041">
        <v>1.6905529999999998E-2</v>
      </c>
      <c r="R6041">
        <v>0.88806989999999997</v>
      </c>
      <c r="S6041">
        <v>1.081726</v>
      </c>
      <c r="T6041">
        <v>-0.23312430000000001</v>
      </c>
      <c r="U6041">
        <v>2.8265380000000002</v>
      </c>
      <c r="V6041">
        <v>-0.31092579999999997</v>
      </c>
      <c r="W6041">
        <v>2.5168920000000001E-2</v>
      </c>
      <c r="X6041">
        <v>0.95010079999999997</v>
      </c>
      <c r="Y6041">
        <v>-0.41492010000000001</v>
      </c>
      <c r="Z6041">
        <v>-4.2032630000000001E-2</v>
      </c>
      <c r="AA6041">
        <v>0.90888639999999998</v>
      </c>
      <c r="AB6041">
        <v>27</v>
      </c>
      <c r="AC6041">
        <v>4.9928999999999899</v>
      </c>
      <c r="AD6041">
        <v>-1.113080591893</v>
      </c>
      <c r="AE6041">
        <v>13.315810000000001</v>
      </c>
      <c r="AF6041">
        <v>-5.9471116332475402</v>
      </c>
      <c r="AG6041">
        <v>-1.113080591893</v>
      </c>
      <c r="AH6041">
        <v>12.822495782682401</v>
      </c>
      <c r="AI6041">
        <v>94.502699506304893</v>
      </c>
      <c r="AJ6041">
        <v>114.882010365082</v>
      </c>
      <c r="AK6041">
        <v>14.1782750459732</v>
      </c>
    </row>
    <row r="6042" spans="1:37" x14ac:dyDescent="0.2">
      <c r="A6042" t="str">
        <f>"20200111153547269"</f>
        <v>20200111153547269</v>
      </c>
      <c r="B6042" t="str">
        <f>"1578728147261214"</f>
        <v>1578728147261214</v>
      </c>
      <c r="C6042" t="s">
        <v>37</v>
      </c>
      <c r="D6042">
        <v>4.9757189999999998</v>
      </c>
      <c r="E6042">
        <v>0.45270459999999901</v>
      </c>
      <c r="F6042" t="s">
        <v>65</v>
      </c>
      <c r="G6042">
        <v>-193.93340000000001</v>
      </c>
      <c r="H6042" s="1">
        <v>-5.669887E-6</v>
      </c>
      <c r="I6042">
        <v>-42.959040000000002</v>
      </c>
      <c r="J6042">
        <v>-198.81790000000001</v>
      </c>
      <c r="K6042">
        <v>1.1129469999999999</v>
      </c>
      <c r="L6042">
        <v>-56.3146699999999</v>
      </c>
      <c r="M6042">
        <v>0.70723400000000003</v>
      </c>
      <c r="N6042">
        <v>0</v>
      </c>
      <c r="O6042">
        <v>0.70681579999999999</v>
      </c>
      <c r="P6042">
        <v>0.45354359999999999</v>
      </c>
      <c r="Q6042">
        <v>1.686872E-2</v>
      </c>
      <c r="R6042">
        <v>0.89107440000000004</v>
      </c>
      <c r="S6042">
        <v>1.053741</v>
      </c>
      <c r="T6042">
        <v>-0.23412929999999901</v>
      </c>
      <c r="U6042">
        <v>2.8374630000000001</v>
      </c>
      <c r="V6042">
        <v>-0.31021959999999998</v>
      </c>
      <c r="W6042">
        <v>2.5218020000000001E-2</v>
      </c>
      <c r="X6042">
        <v>0.95033040000000002</v>
      </c>
      <c r="Y6042">
        <v>-0.41729060000000001</v>
      </c>
      <c r="Z6042">
        <v>-4.2620230000000002E-2</v>
      </c>
      <c r="AA6042">
        <v>0.9077731</v>
      </c>
      <c r="AB6042">
        <v>27</v>
      </c>
      <c r="AC6042">
        <v>4.8845000000000001</v>
      </c>
      <c r="AD6042">
        <v>-1.11295266988699</v>
      </c>
      <c r="AE6042">
        <v>13.3556299999999</v>
      </c>
      <c r="AF6042">
        <v>-5.9573191493181197</v>
      </c>
      <c r="AG6042">
        <v>-1.11295266988699</v>
      </c>
      <c r="AH6042">
        <v>12.8174408579057</v>
      </c>
      <c r="AI6042">
        <v>94.502274975932806</v>
      </c>
      <c r="AJ6042">
        <v>114.928169247431</v>
      </c>
      <c r="AK6042">
        <v>14.177979589425</v>
      </c>
    </row>
    <row r="6043" spans="1:37" x14ac:dyDescent="0.2">
      <c r="A6043" t="str">
        <f>"20200111153547287"</f>
        <v>20200111153547287</v>
      </c>
      <c r="B6043" t="str">
        <f>"1578728147281710"</f>
        <v>1578728147281710</v>
      </c>
      <c r="C6043" t="s">
        <v>37</v>
      </c>
      <c r="D6043">
        <v>4.9520369999999998</v>
      </c>
      <c r="E6043">
        <v>0.45292850000000001</v>
      </c>
      <c r="F6043" t="s">
        <v>65</v>
      </c>
      <c r="G6043">
        <v>-194.22219999999999</v>
      </c>
      <c r="H6043" s="1">
        <v>-5.3986040000000004E-6</v>
      </c>
      <c r="I6043">
        <v>-43.65175</v>
      </c>
      <c r="J6043">
        <v>-198.66990000000001</v>
      </c>
      <c r="K6043">
        <v>1.1128009999999999</v>
      </c>
      <c r="L6043">
        <v>-56.153779999999998</v>
      </c>
      <c r="M6043">
        <v>0.70112989999999997</v>
      </c>
      <c r="N6043">
        <v>0</v>
      </c>
      <c r="O6043">
        <v>0.7128719</v>
      </c>
      <c r="P6043">
        <v>0.44711009999999901</v>
      </c>
      <c r="Q6043">
        <v>1.6766440000000001E-2</v>
      </c>
      <c r="R6043">
        <v>0.89432179999999994</v>
      </c>
      <c r="S6043">
        <v>1.0328219999999999</v>
      </c>
      <c r="T6043">
        <v>-0.25011620000000001</v>
      </c>
      <c r="U6043">
        <v>2.845764</v>
      </c>
      <c r="V6043">
        <v>-0.30888509999999902</v>
      </c>
      <c r="W6043">
        <v>2.5228029999999999E-2</v>
      </c>
      <c r="X6043">
        <v>0.95076469999999902</v>
      </c>
      <c r="Y6043">
        <v>-0.41627700000000001</v>
      </c>
      <c r="Z6043">
        <v>-4.6148929999999998E-2</v>
      </c>
      <c r="AA6043">
        <v>0.90806589999999998</v>
      </c>
      <c r="AB6043">
        <v>27</v>
      </c>
      <c r="AC6043">
        <v>4.4477000000000197</v>
      </c>
      <c r="AD6043">
        <v>-1.112806398604</v>
      </c>
      <c r="AE6043">
        <v>12.50203</v>
      </c>
      <c r="AF6043">
        <v>-5.5564746280203199</v>
      </c>
      <c r="AG6043">
        <v>-1.112806398604</v>
      </c>
      <c r="AH6043">
        <v>11.9481206346442</v>
      </c>
      <c r="AI6043">
        <v>94.8272310364259</v>
      </c>
      <c r="AJ6043">
        <v>114.94078752950701</v>
      </c>
      <c r="AK6043">
        <v>13.223854773575599</v>
      </c>
    </row>
    <row r="6044" spans="1:37" x14ac:dyDescent="0.2">
      <c r="A6044" t="str">
        <f>"20200111153547300"</f>
        <v>20200111153547300</v>
      </c>
      <c r="B6044" t="str">
        <f>"1578728147291471"</f>
        <v>1578728147291471</v>
      </c>
      <c r="C6044" t="s">
        <v>37</v>
      </c>
      <c r="D6044">
        <v>4.9437239999999996</v>
      </c>
      <c r="E6044">
        <v>0.45311419999999902</v>
      </c>
      <c r="F6044" t="s">
        <v>65</v>
      </c>
      <c r="G6044">
        <v>-194.17410000000001</v>
      </c>
      <c r="H6044" s="1">
        <v>-5.4603369999999996E-6</v>
      </c>
      <c r="I6044">
        <v>-43.50085</v>
      </c>
      <c r="J6044">
        <v>-198.5626</v>
      </c>
      <c r="K6044">
        <v>1.112703</v>
      </c>
      <c r="L6044">
        <v>-56.03586</v>
      </c>
      <c r="M6044">
        <v>0.69670129999999997</v>
      </c>
      <c r="N6044">
        <v>0</v>
      </c>
      <c r="O6044">
        <v>0.71720109999999904</v>
      </c>
      <c r="P6044">
        <v>0.44237910000000003</v>
      </c>
      <c r="Q6044">
        <v>1.6800530000000001E-2</v>
      </c>
      <c r="R6044">
        <v>0.89667079999999999</v>
      </c>
      <c r="S6044">
        <v>1.01355</v>
      </c>
      <c r="T6044">
        <v>-0.25087399999999999</v>
      </c>
      <c r="U6044">
        <v>2.852509</v>
      </c>
      <c r="V6044">
        <v>-0.30801269999999997</v>
      </c>
      <c r="W6044">
        <v>2.533958E-2</v>
      </c>
      <c r="X6044">
        <v>0.95104469999999997</v>
      </c>
      <c r="Y6044">
        <v>-0.41677779999999998</v>
      </c>
      <c r="Z6044">
        <v>-4.6711000000000003E-2</v>
      </c>
      <c r="AA6044">
        <v>0.90780740000000004</v>
      </c>
      <c r="AB6044">
        <v>27</v>
      </c>
      <c r="AC6044">
        <v>4.3884999999999899</v>
      </c>
      <c r="AD6044">
        <v>-1.1127084603370001</v>
      </c>
      <c r="AE6044">
        <v>12.53501</v>
      </c>
      <c r="AF6044">
        <v>-5.5474232756221804</v>
      </c>
      <c r="AG6044">
        <v>-1.1127084603370001</v>
      </c>
      <c r="AH6044">
        <v>11.964994501022</v>
      </c>
      <c r="AI6044">
        <v>94.822621969889198</v>
      </c>
      <c r="AJ6044">
        <v>114.87421987013499</v>
      </c>
      <c r="AK6044">
        <v>13.2352982031425</v>
      </c>
    </row>
    <row r="6045" spans="1:37" x14ac:dyDescent="0.2">
      <c r="A6045" t="str">
        <f>"20200111153547312"</f>
        <v>20200111153547312</v>
      </c>
      <c r="B6045" t="str">
        <f>"1578728147301231"</f>
        <v>1578728147301231</v>
      </c>
      <c r="C6045" t="s">
        <v>37</v>
      </c>
      <c r="D6045">
        <v>4.9305629999999896</v>
      </c>
      <c r="E6045">
        <v>0.45337509999999998</v>
      </c>
      <c r="F6045" t="s">
        <v>40</v>
      </c>
      <c r="G6045">
        <v>-198.2183</v>
      </c>
      <c r="H6045">
        <v>1.026187</v>
      </c>
      <c r="I6045">
        <v>-55.051719999999897</v>
      </c>
      <c r="J6045">
        <v>-198.4554</v>
      </c>
      <c r="K6045">
        <v>1.112601</v>
      </c>
      <c r="L6045">
        <v>-55.916139999999999</v>
      </c>
      <c r="M6045">
        <v>0.69228080000000003</v>
      </c>
      <c r="N6045">
        <v>0</v>
      </c>
      <c r="O6045">
        <v>0.72146949999999999</v>
      </c>
      <c r="P6045">
        <v>0.43787129999999902</v>
      </c>
      <c r="Q6045">
        <v>1.67753E-2</v>
      </c>
      <c r="R6045">
        <v>0.89888109999999999</v>
      </c>
      <c r="S6045">
        <v>0.99966429999999995</v>
      </c>
      <c r="T6045">
        <v>-0.25117990000000001</v>
      </c>
      <c r="U6045">
        <v>2.857208</v>
      </c>
      <c r="V6045">
        <v>-0.3069364</v>
      </c>
      <c r="W6045">
        <v>2.5392499999999998E-2</v>
      </c>
      <c r="X6045">
        <v>0.95139119999999999</v>
      </c>
      <c r="Y6045">
        <v>-0.41559620000000003</v>
      </c>
      <c r="Z6045">
        <v>-4.7242050000000001E-2</v>
      </c>
      <c r="AA6045">
        <v>0.90832159999999995</v>
      </c>
      <c r="AB6045">
        <v>27</v>
      </c>
      <c r="AC6045">
        <v>0.23709999999999801</v>
      </c>
      <c r="AD6045">
        <v>-8.6413999999999699E-2</v>
      </c>
      <c r="AE6045">
        <v>0.86442000000000896</v>
      </c>
      <c r="AF6045">
        <v>-0.42347401829727899</v>
      </c>
      <c r="AG6045">
        <v>-8.6413999999999699E-2</v>
      </c>
      <c r="AH6045">
        <v>0.78062731475787595</v>
      </c>
      <c r="AI6045">
        <v>95.557548400355003</v>
      </c>
      <c r="AJ6045">
        <v>118.478906801235</v>
      </c>
      <c r="AK6045">
        <v>0.89228730133009104</v>
      </c>
    </row>
    <row r="6046" spans="1:37" x14ac:dyDescent="0.2">
      <c r="A6046" t="str">
        <f>"20200111153547332"</f>
        <v>20200111153547332</v>
      </c>
      <c r="B6046" t="str">
        <f>"1578728147321729"</f>
        <v>1578728147321729</v>
      </c>
      <c r="C6046" t="s">
        <v>37</v>
      </c>
      <c r="D6046">
        <v>4.9488370000000002</v>
      </c>
      <c r="E6046">
        <v>0.4537794</v>
      </c>
      <c r="F6046" t="s">
        <v>65</v>
      </c>
      <c r="G6046">
        <v>-194.1037</v>
      </c>
      <c r="H6046" s="1">
        <v>-5.5405020000000002E-6</v>
      </c>
      <c r="I6046">
        <v>-43.301850000000002</v>
      </c>
      <c r="J6046">
        <v>-198.3066</v>
      </c>
      <c r="K6046">
        <v>1.1124670000000001</v>
      </c>
      <c r="L6046">
        <v>-55.747799999999998</v>
      </c>
      <c r="M6046">
        <v>0.68612959999999901</v>
      </c>
      <c r="N6046">
        <v>0</v>
      </c>
      <c r="O6046">
        <v>0.72732249999999998</v>
      </c>
      <c r="P6046">
        <v>0.43239049999999901</v>
      </c>
      <c r="Q6046">
        <v>1.6168979999999999E-2</v>
      </c>
      <c r="R6046">
        <v>0.9015415</v>
      </c>
      <c r="S6046">
        <v>0.98712160000000004</v>
      </c>
      <c r="T6046">
        <v>-0.25237520000000002</v>
      </c>
      <c r="U6046">
        <v>2.8613279999999999</v>
      </c>
      <c r="V6046">
        <v>-0.30463600000000002</v>
      </c>
      <c r="W6046">
        <v>2.4911030000000001E-2</v>
      </c>
      <c r="X6046">
        <v>0.95214299999999996</v>
      </c>
      <c r="Y6046">
        <v>-0.41184809999999999</v>
      </c>
      <c r="Z6046">
        <v>-4.8189379999999997E-2</v>
      </c>
      <c r="AA6046">
        <v>0.90997739999999905</v>
      </c>
      <c r="AB6046">
        <v>27</v>
      </c>
      <c r="AC6046">
        <v>4.2028999999999996</v>
      </c>
      <c r="AD6046">
        <v>-1.112472540502</v>
      </c>
      <c r="AE6046">
        <v>12.4459499999999</v>
      </c>
      <c r="AF6046">
        <v>-5.4442518660541399</v>
      </c>
      <c r="AG6046">
        <v>-1.112472540502</v>
      </c>
      <c r="AH6046">
        <v>11.8523139439642</v>
      </c>
      <c r="AI6046">
        <v>94.875149477882005</v>
      </c>
      <c r="AJ6046">
        <v>114.67125127058</v>
      </c>
      <c r="AK6046">
        <v>13.0902566575562</v>
      </c>
    </row>
    <row r="6047" spans="1:37" x14ac:dyDescent="0.2">
      <c r="A6047" t="str">
        <f>"20200111153547353"</f>
        <v>20200111153547353</v>
      </c>
      <c r="B6047" t="str">
        <f>"1578728147341250"</f>
        <v>1578728147341250</v>
      </c>
      <c r="C6047" t="s">
        <v>37</v>
      </c>
      <c r="D6047">
        <v>4.9442129999999898</v>
      </c>
      <c r="E6047">
        <v>0.45436070000000001</v>
      </c>
      <c r="F6047" t="s">
        <v>65</v>
      </c>
      <c r="G6047">
        <v>-194.07299999999901</v>
      </c>
      <c r="H6047" s="1">
        <v>-5.5514379999999997E-6</v>
      </c>
      <c r="I6047">
        <v>-43.266640000000002</v>
      </c>
      <c r="J6047">
        <v>-198.1395</v>
      </c>
      <c r="K6047">
        <v>1.112312</v>
      </c>
      <c r="L6047">
        <v>-55.555729999999997</v>
      </c>
      <c r="M6047">
        <v>0.67922090000000002</v>
      </c>
      <c r="N6047">
        <v>0</v>
      </c>
      <c r="O6047">
        <v>0.73377910000000002</v>
      </c>
      <c r="P6047">
        <v>0.42583890000000002</v>
      </c>
      <c r="Q6047">
        <v>1.5008850000000001E-2</v>
      </c>
      <c r="R6047">
        <v>0.90467450000000005</v>
      </c>
      <c r="S6047">
        <v>0.97213749999999999</v>
      </c>
      <c r="T6047">
        <v>-0.2554496</v>
      </c>
      <c r="U6047">
        <v>2.8659669999999999</v>
      </c>
      <c r="V6047">
        <v>-0.30252040000000002</v>
      </c>
      <c r="W6047">
        <v>2.3878509999999999E-2</v>
      </c>
      <c r="X6047">
        <v>0.95284380000000002</v>
      </c>
      <c r="Y6047">
        <v>-0.40796549999999998</v>
      </c>
      <c r="Z6047">
        <v>-4.9575729999999998E-2</v>
      </c>
      <c r="AA6047">
        <v>0.91165039999999997</v>
      </c>
      <c r="AB6047">
        <v>27</v>
      </c>
      <c r="AC6047">
        <v>4.0665000000000102</v>
      </c>
      <c r="AD6047">
        <v>-1.1123175514379999</v>
      </c>
      <c r="AE6047">
        <v>12.28909</v>
      </c>
      <c r="AF6047">
        <v>-5.3243881040357399</v>
      </c>
      <c r="AG6047">
        <v>-1.1123175514379999</v>
      </c>
      <c r="AH6047">
        <v>11.694515216400401</v>
      </c>
      <c r="AI6047">
        <v>94.947461304022099</v>
      </c>
      <c r="AJ6047">
        <v>114.479268133044</v>
      </c>
      <c r="AK6047">
        <v>12.897598426228599</v>
      </c>
    </row>
    <row r="6048" spans="1:37" x14ac:dyDescent="0.2">
      <c r="A6048" t="str">
        <f>"20200111153547369"</f>
        <v>20200111153547369</v>
      </c>
      <c r="B6048" t="str">
        <f>"1578728147361742"</f>
        <v>1578728147361742</v>
      </c>
      <c r="C6048" t="s">
        <v>37</v>
      </c>
      <c r="D6048">
        <v>4.9416019999999996</v>
      </c>
      <c r="E6048">
        <v>0.454916299999999</v>
      </c>
      <c r="F6048" t="s">
        <v>65</v>
      </c>
      <c r="G6048">
        <v>-194.04400000000001</v>
      </c>
      <c r="H6048" s="1">
        <v>-5.5558849999999901E-6</v>
      </c>
      <c r="I6048">
        <v>-43.246009999999998</v>
      </c>
      <c r="J6048">
        <v>-198.01910000000001</v>
      </c>
      <c r="K6048">
        <v>1.112201</v>
      </c>
      <c r="L6048">
        <v>-55.415069999999901</v>
      </c>
      <c r="M6048">
        <v>0.67424450000000002</v>
      </c>
      <c r="N6048">
        <v>0</v>
      </c>
      <c r="O6048">
        <v>0.73835499999999998</v>
      </c>
      <c r="P6048">
        <v>0.4208035</v>
      </c>
      <c r="Q6048">
        <v>1.478199E-2</v>
      </c>
      <c r="R6048">
        <v>0.90703140000000004</v>
      </c>
      <c r="S6048">
        <v>0.95513919999999997</v>
      </c>
      <c r="T6048">
        <v>-0.25940999999999997</v>
      </c>
      <c r="U6048">
        <v>2.870819</v>
      </c>
      <c r="V6048">
        <v>-0.30136570000000001</v>
      </c>
      <c r="W6048">
        <v>2.373455E-2</v>
      </c>
      <c r="X6048">
        <v>0.95321319999999998</v>
      </c>
      <c r="Y6048">
        <v>-0.40713359999999998</v>
      </c>
      <c r="Z6048">
        <v>-5.0862060000000001E-2</v>
      </c>
      <c r="AA6048">
        <v>0.91195139999999997</v>
      </c>
      <c r="AB6048">
        <v>27</v>
      </c>
      <c r="AC6048">
        <v>3.9750999999999901</v>
      </c>
      <c r="AD6048">
        <v>-1.1122065558849901</v>
      </c>
      <c r="AE6048">
        <v>12.169059999999901</v>
      </c>
      <c r="AF6048">
        <v>-5.2310000843340996</v>
      </c>
      <c r="AG6048">
        <v>-1.1122065558849901</v>
      </c>
      <c r="AH6048">
        <v>11.579197018173</v>
      </c>
      <c r="AI6048">
        <v>95.002595426580697</v>
      </c>
      <c r="AJ6048">
        <v>114.311475357438</v>
      </c>
      <c r="AK6048">
        <v>12.7545352283383</v>
      </c>
    </row>
    <row r="6049" spans="1:37" x14ac:dyDescent="0.2">
      <c r="A6049" t="str">
        <f>"20200111153547389"</f>
        <v>20200111153547389</v>
      </c>
      <c r="B6049" t="str">
        <f>"1578728147381263"</f>
        <v>1578728147381263</v>
      </c>
      <c r="C6049" t="s">
        <v>37</v>
      </c>
      <c r="D6049">
        <v>4.9435089999999997</v>
      </c>
      <c r="E6049">
        <v>0.4553527</v>
      </c>
      <c r="F6049" t="s">
        <v>65</v>
      </c>
      <c r="G6049">
        <v>-194.0001</v>
      </c>
      <c r="H6049" s="1">
        <v>-5.5841980000000002E-6</v>
      </c>
      <c r="I6049">
        <v>-43.168459999999897</v>
      </c>
      <c r="J6049">
        <v>-197.86609999999999</v>
      </c>
      <c r="K6049">
        <v>1.112052</v>
      </c>
      <c r="L6049">
        <v>-55.233829999999998</v>
      </c>
      <c r="M6049">
        <v>0.66792259999999903</v>
      </c>
      <c r="N6049">
        <v>0</v>
      </c>
      <c r="O6049">
        <v>0.74407939999999995</v>
      </c>
      <c r="P6049">
        <v>0.41558289999999998</v>
      </c>
      <c r="Q6049">
        <v>1.463161E-2</v>
      </c>
      <c r="R6049">
        <v>0.90943759999999996</v>
      </c>
      <c r="S6049">
        <v>0.94322199999999901</v>
      </c>
      <c r="T6049">
        <v>-0.2610227</v>
      </c>
      <c r="U6049">
        <v>2.8741460000000001</v>
      </c>
      <c r="V6049">
        <v>-0.298703</v>
      </c>
      <c r="W6049">
        <v>2.3717390000000001E-2</v>
      </c>
      <c r="X6049">
        <v>0.95405139999999999</v>
      </c>
      <c r="Y6049">
        <v>-0.40308480000000002</v>
      </c>
      <c r="Z6049">
        <v>-5.1926460000000001E-2</v>
      </c>
      <c r="AA6049">
        <v>0.91368819999999995</v>
      </c>
      <c r="AB6049">
        <v>27</v>
      </c>
      <c r="AC6049">
        <v>3.8659999999999801</v>
      </c>
      <c r="AD6049">
        <v>-1.112057584198</v>
      </c>
      <c r="AE6049">
        <v>12.06537</v>
      </c>
      <c r="AF6049">
        <v>-5.1430827053023496</v>
      </c>
      <c r="AG6049">
        <v>-1.112057584198</v>
      </c>
      <c r="AH6049">
        <v>11.472696165177201</v>
      </c>
      <c r="AI6049">
        <v>95.054647578962602</v>
      </c>
      <c r="AJ6049">
        <v>114.146165482434</v>
      </c>
      <c r="AK6049">
        <v>12.6218354086331</v>
      </c>
    </row>
    <row r="6050" spans="1:37" x14ac:dyDescent="0.2">
      <c r="A6050" t="str">
        <f>"20200111153547403"</f>
        <v>20200111153547403</v>
      </c>
      <c r="B6050" t="str">
        <f>"1578728147391999"</f>
        <v>1578728147391999</v>
      </c>
      <c r="C6050" t="s">
        <v>37</v>
      </c>
      <c r="D6050">
        <v>4.9323220000000001</v>
      </c>
      <c r="E6050">
        <v>0.45562009999999997</v>
      </c>
      <c r="F6050" t="s">
        <v>65</v>
      </c>
      <c r="G6050">
        <v>-193.92310000000001</v>
      </c>
      <c r="H6050" s="1">
        <v>-5.6354769999999899E-6</v>
      </c>
      <c r="I6050">
        <v>-43.028970000000001</v>
      </c>
      <c r="J6050">
        <v>-197.75380000000001</v>
      </c>
      <c r="K6050">
        <v>1.1119410000000001</v>
      </c>
      <c r="L6050">
        <v>-55.098849999999999</v>
      </c>
      <c r="M6050">
        <v>0.66327639999999999</v>
      </c>
      <c r="N6050">
        <v>0</v>
      </c>
      <c r="O6050">
        <v>0.74822460000000002</v>
      </c>
      <c r="P6050">
        <v>0.41094429999999998</v>
      </c>
      <c r="Q6050">
        <v>1.408798E-2</v>
      </c>
      <c r="R6050">
        <v>0.91155160000000002</v>
      </c>
      <c r="S6050">
        <v>0.92980959999999901</v>
      </c>
      <c r="T6050">
        <v>-0.26223669999999999</v>
      </c>
      <c r="U6050">
        <v>2.8780519999999998</v>
      </c>
      <c r="V6050">
        <v>-0.29761140000000003</v>
      </c>
      <c r="W6050">
        <v>2.3253079999999999E-2</v>
      </c>
      <c r="X6050">
        <v>0.95440389999999997</v>
      </c>
      <c r="Y6050">
        <v>-0.40161579999999902</v>
      </c>
      <c r="Z6050">
        <v>-5.2664290000000002E-2</v>
      </c>
      <c r="AA6050">
        <v>0.91429280000000002</v>
      </c>
      <c r="AB6050">
        <v>27</v>
      </c>
      <c r="AC6050">
        <v>3.8307000000000002</v>
      </c>
      <c r="AD6050">
        <v>-1.111946635477</v>
      </c>
      <c r="AE6050">
        <v>12.0698799999999</v>
      </c>
      <c r="AF6050">
        <v>-5.1006904121602803</v>
      </c>
      <c r="AG6050">
        <v>-1.111946635477</v>
      </c>
      <c r="AH6050">
        <v>11.484540978852699</v>
      </c>
      <c r="AI6050">
        <v>95.056729589524593</v>
      </c>
      <c r="AJ6050">
        <v>113.947697780193</v>
      </c>
      <c r="AK6050">
        <v>12.615393354778901</v>
      </c>
    </row>
    <row r="6051" spans="1:37" x14ac:dyDescent="0.2">
      <c r="A6051" t="str">
        <f>"20200111153547422"</f>
        <v>20200111153547422</v>
      </c>
      <c r="B6051" t="str">
        <f>"1578728147411518"</f>
        <v>1578728147411518</v>
      </c>
      <c r="C6051" t="s">
        <v>37</v>
      </c>
      <c r="D6051">
        <v>4.9375499999999999</v>
      </c>
      <c r="E6051">
        <v>0.45620309999999997</v>
      </c>
      <c r="F6051" t="s">
        <v>65</v>
      </c>
      <c r="G6051">
        <v>-193.89150000000001</v>
      </c>
      <c r="H6051" s="1">
        <v>-5.6608549999999997E-6</v>
      </c>
      <c r="I6051">
        <v>-42.962389999999999</v>
      </c>
      <c r="J6051">
        <v>-197.614</v>
      </c>
      <c r="K6051">
        <v>1.111807</v>
      </c>
      <c r="L6051">
        <v>-54.928709999999903</v>
      </c>
      <c r="M6051">
        <v>0.65750019999999998</v>
      </c>
      <c r="N6051">
        <v>0</v>
      </c>
      <c r="O6051">
        <v>0.75330600000000003</v>
      </c>
      <c r="P6051">
        <v>0.40606880000000001</v>
      </c>
      <c r="Q6051">
        <v>1.323876E-2</v>
      </c>
      <c r="R6051">
        <v>0.91374659999999996</v>
      </c>
      <c r="S6051">
        <v>0.91708369999999995</v>
      </c>
      <c r="T6051">
        <v>-0.264026599999999</v>
      </c>
      <c r="U6051">
        <v>2.8817439999999999</v>
      </c>
      <c r="V6051">
        <v>-0.2953519</v>
      </c>
      <c r="W6051">
        <v>2.2520849999999999E-2</v>
      </c>
      <c r="X6051">
        <v>0.9551231</v>
      </c>
      <c r="Y6051">
        <v>-0.39859</v>
      </c>
      <c r="Z6051">
        <v>-5.3673470000000001E-2</v>
      </c>
      <c r="AA6051">
        <v>0.91555730000000002</v>
      </c>
      <c r="AB6051">
        <v>27</v>
      </c>
      <c r="AC6051">
        <v>3.7224999999999899</v>
      </c>
      <c r="AD6051">
        <v>-1.1118126608550001</v>
      </c>
      <c r="AE6051">
        <v>11.9663199999999</v>
      </c>
      <c r="AF6051">
        <v>-5.0246933288191</v>
      </c>
      <c r="AG6051">
        <v>-1.1118126608550001</v>
      </c>
      <c r="AH6051">
        <v>11.3736057529176</v>
      </c>
      <c r="AI6051">
        <v>95.109601050459105</v>
      </c>
      <c r="AJ6051">
        <v>113.83514324158701</v>
      </c>
      <c r="AK6051">
        <v>12.483692493181501</v>
      </c>
    </row>
    <row r="6052" spans="1:37" x14ac:dyDescent="0.2">
      <c r="A6052" t="str">
        <f>"20200111153547436"</f>
        <v>20200111153547436</v>
      </c>
      <c r="B6052" t="str">
        <f>"1578728147432014"</f>
        <v>1578728147432014</v>
      </c>
      <c r="C6052" t="s">
        <v>37</v>
      </c>
      <c r="D6052">
        <v>4.9249349999999996</v>
      </c>
      <c r="E6052">
        <v>0.45661829999999998</v>
      </c>
      <c r="F6052" t="s">
        <v>65</v>
      </c>
      <c r="G6052">
        <v>-193.84289999999999</v>
      </c>
      <c r="H6052" s="1">
        <v>-5.6714490000000003E-6</v>
      </c>
      <c r="I6052">
        <v>-42.921079999999897</v>
      </c>
      <c r="J6052">
        <v>-197.5</v>
      </c>
      <c r="K6052">
        <v>1.111699</v>
      </c>
      <c r="L6052">
        <v>-54.788209999999999</v>
      </c>
      <c r="M6052">
        <v>0.65279809999999905</v>
      </c>
      <c r="N6052">
        <v>0</v>
      </c>
      <c r="O6052">
        <v>0.75738479999999997</v>
      </c>
      <c r="P6052">
        <v>0.40136939999999999</v>
      </c>
      <c r="Q6052">
        <v>1.2783950000000001E-2</v>
      </c>
      <c r="R6052">
        <v>0.91582699999999995</v>
      </c>
      <c r="S6052">
        <v>0.90588380000000002</v>
      </c>
      <c r="T6052">
        <v>-0.267078599999999</v>
      </c>
      <c r="U6052">
        <v>2.8844599999999998</v>
      </c>
      <c r="V6052">
        <v>-0.29430220000000001</v>
      </c>
      <c r="W6052">
        <v>2.2144239999999999E-2</v>
      </c>
      <c r="X6052">
        <v>0.95545579999999997</v>
      </c>
      <c r="Y6052">
        <v>-0.39638089999999998</v>
      </c>
      <c r="Z6052">
        <v>-5.4820830000000001E-2</v>
      </c>
      <c r="AA6052">
        <v>0.91644789999999998</v>
      </c>
      <c r="AB6052">
        <v>27</v>
      </c>
      <c r="AC6052">
        <v>3.65710000000001</v>
      </c>
      <c r="AD6052">
        <v>-1.111704671449</v>
      </c>
      <c r="AE6052">
        <v>11.86713</v>
      </c>
      <c r="AF6052">
        <v>-4.9379864302349796</v>
      </c>
      <c r="AG6052">
        <v>-1.111704671449</v>
      </c>
      <c r="AH6052">
        <v>11.286145116657901</v>
      </c>
      <c r="AI6052">
        <v>95.156529548513802</v>
      </c>
      <c r="AJ6052">
        <v>113.63064726427299</v>
      </c>
      <c r="AK6052">
        <v>12.369182222603399</v>
      </c>
    </row>
    <row r="6053" spans="1:37" x14ac:dyDescent="0.2">
      <c r="A6053" t="str">
        <f>"20200111153547456"</f>
        <v>20200111153547456</v>
      </c>
      <c r="B6053" t="str">
        <f>"1578728147451535"</f>
        <v>1578728147451535</v>
      </c>
      <c r="C6053" t="s">
        <v>37</v>
      </c>
      <c r="D6053">
        <v>4.9328940000000001</v>
      </c>
      <c r="E6053">
        <v>0.45706279999999999</v>
      </c>
      <c r="F6053" t="s">
        <v>65</v>
      </c>
      <c r="G6053">
        <v>-193.79820000000001</v>
      </c>
      <c r="H6053" s="1">
        <v>-5.70380999999999E-6</v>
      </c>
      <c r="I6053">
        <v>-42.834539999999997</v>
      </c>
      <c r="J6053">
        <v>-197.3612</v>
      </c>
      <c r="K6053">
        <v>1.1115679999999999</v>
      </c>
      <c r="L6053">
        <v>-54.614559999999997</v>
      </c>
      <c r="M6053">
        <v>0.64707789999999998</v>
      </c>
      <c r="N6053">
        <v>0</v>
      </c>
      <c r="O6053">
        <v>0.76227840000000002</v>
      </c>
      <c r="P6053">
        <v>0.3966768</v>
      </c>
      <c r="Q6053">
        <v>1.252938E-2</v>
      </c>
      <c r="R6053">
        <v>0.91787280000000004</v>
      </c>
      <c r="S6053">
        <v>0.89422610000000002</v>
      </c>
      <c r="T6053">
        <v>-0.2685478</v>
      </c>
      <c r="U6053">
        <v>2.8875730000000002</v>
      </c>
      <c r="V6053">
        <v>-0.29198869999999999</v>
      </c>
      <c r="W6053">
        <v>2.200409E-2</v>
      </c>
      <c r="X6053">
        <v>0.95616859999999904</v>
      </c>
      <c r="Y6053">
        <v>-0.39313870000000001</v>
      </c>
      <c r="Z6053">
        <v>-5.5772090000000003E-2</v>
      </c>
      <c r="AA6053">
        <v>0.917786199999999</v>
      </c>
      <c r="AB6053">
        <v>27</v>
      </c>
      <c r="AC6053">
        <v>3.5629999999999802</v>
      </c>
      <c r="AD6053">
        <v>-1.11157370381</v>
      </c>
      <c r="AE6053">
        <v>11.780019999999899</v>
      </c>
      <c r="AF6053">
        <v>-4.8674299568542603</v>
      </c>
      <c r="AG6053">
        <v>-1.11157370381</v>
      </c>
      <c r="AH6053">
        <v>11.195118886746</v>
      </c>
      <c r="AI6053">
        <v>95.202820968907901</v>
      </c>
      <c r="AJ6053">
        <v>113.498509559582</v>
      </c>
      <c r="AK6053">
        <v>12.257983413770001</v>
      </c>
    </row>
    <row r="6054" spans="1:37" x14ac:dyDescent="0.2">
      <c r="A6054" t="str">
        <f>"20200111153547472"</f>
        <v>20200111153547472</v>
      </c>
      <c r="B6054" t="str">
        <f>"1578728147461295"</f>
        <v>1578728147461295</v>
      </c>
      <c r="C6054" t="s">
        <v>37</v>
      </c>
      <c r="D6054">
        <v>4.9554199999999904</v>
      </c>
      <c r="E6054">
        <v>0.45730389999999999</v>
      </c>
      <c r="F6054" t="s">
        <v>65</v>
      </c>
      <c r="G6054">
        <v>-193.72380000000001</v>
      </c>
      <c r="H6054" s="1">
        <v>-5.7505530000000002E-6</v>
      </c>
      <c r="I6054">
        <v>-42.705750000000002</v>
      </c>
      <c r="J6054">
        <v>-197.24299999999999</v>
      </c>
      <c r="K6054">
        <v>1.1114469999999901</v>
      </c>
      <c r="L6054">
        <v>-54.464659999999903</v>
      </c>
      <c r="M6054">
        <v>0.64222969999999902</v>
      </c>
      <c r="N6054">
        <v>0</v>
      </c>
      <c r="O6054">
        <v>0.76636800000000005</v>
      </c>
      <c r="P6054">
        <v>0.3917892</v>
      </c>
      <c r="Q6054">
        <v>1.223896E-2</v>
      </c>
      <c r="R6054">
        <v>0.91997359999999995</v>
      </c>
      <c r="S6054">
        <v>0.88288880000000003</v>
      </c>
      <c r="T6054">
        <v>-0.26980379999999998</v>
      </c>
      <c r="U6054">
        <v>2.890533</v>
      </c>
      <c r="V6054">
        <v>-0.29100009999999998</v>
      </c>
      <c r="W6054">
        <v>2.17929E-2</v>
      </c>
      <c r="X6054">
        <v>0.95647479999999996</v>
      </c>
      <c r="Y6054">
        <v>-0.39087369999999999</v>
      </c>
      <c r="Z6054">
        <v>-5.6565329999999997E-2</v>
      </c>
      <c r="AA6054">
        <v>0.91870459999999998</v>
      </c>
      <c r="AB6054">
        <v>27</v>
      </c>
      <c r="AC6054">
        <v>3.5191999999999801</v>
      </c>
      <c r="AD6054">
        <v>-1.1114527505530001</v>
      </c>
      <c r="AE6054">
        <v>11.758909999999901</v>
      </c>
      <c r="AF6054">
        <v>-4.8159667056801396</v>
      </c>
      <c r="AG6054">
        <v>-1.1114527505530001</v>
      </c>
      <c r="AH6054">
        <v>11.1813506365249</v>
      </c>
      <c r="AI6054">
        <v>95.216313272351798</v>
      </c>
      <c r="AJ6054">
        <v>113.302231875657</v>
      </c>
      <c r="AK6054">
        <v>12.2250343387595</v>
      </c>
    </row>
    <row r="6055" spans="1:37" x14ac:dyDescent="0.2">
      <c r="A6055" t="str">
        <f>"20200111153547489"</f>
        <v>20200111153547489</v>
      </c>
      <c r="B6055" t="str">
        <f>"1578728147481790"</f>
        <v>1578728147481790</v>
      </c>
      <c r="C6055" t="s">
        <v>37</v>
      </c>
      <c r="D6055">
        <v>4.9280189999999999</v>
      </c>
      <c r="E6055">
        <v>0.45755089999999998</v>
      </c>
      <c r="F6055" t="s">
        <v>65</v>
      </c>
      <c r="G6055">
        <v>-193.66980000000001</v>
      </c>
      <c r="H6055" s="1">
        <v>-5.8058069999999902E-6</v>
      </c>
      <c r="I6055">
        <v>-42.566519999999997</v>
      </c>
      <c r="J6055">
        <v>-197.11189999999999</v>
      </c>
      <c r="K6055">
        <v>1.111302</v>
      </c>
      <c r="L6055">
        <v>-54.296480000000003</v>
      </c>
      <c r="M6055">
        <v>0.63688579999999995</v>
      </c>
      <c r="N6055">
        <v>0</v>
      </c>
      <c r="O6055">
        <v>0.77081529999999998</v>
      </c>
      <c r="P6055">
        <v>0.38726369999999999</v>
      </c>
      <c r="Q6055">
        <v>1.211302E-2</v>
      </c>
      <c r="R6055">
        <v>0.92188939999999997</v>
      </c>
      <c r="S6055">
        <v>0.86921689999999996</v>
      </c>
      <c r="T6055">
        <v>-0.27037549999999999</v>
      </c>
      <c r="U6055">
        <v>2.8943789999999998</v>
      </c>
      <c r="V6055">
        <v>-0.28903970000000001</v>
      </c>
      <c r="W6055">
        <v>2.1778120000000002E-2</v>
      </c>
      <c r="X6055">
        <v>0.95706930000000001</v>
      </c>
      <c r="Y6055">
        <v>-0.38880110000000001</v>
      </c>
      <c r="Z6055">
        <v>-5.7249010000000003E-2</v>
      </c>
      <c r="AA6055">
        <v>0.91954130000000001</v>
      </c>
      <c r="AB6055">
        <v>27</v>
      </c>
      <c r="AC6055">
        <v>3.44209999999998</v>
      </c>
      <c r="AD6055">
        <v>-1.1113078058070001</v>
      </c>
      <c r="AE6055">
        <v>11.729959999999901</v>
      </c>
      <c r="AF6055">
        <v>-4.7784619658376499</v>
      </c>
      <c r="AG6055">
        <v>-1.1113078058070001</v>
      </c>
      <c r="AH6055">
        <v>11.1430063399576</v>
      </c>
      <c r="AI6055">
        <v>95.2370423262484</v>
      </c>
      <c r="AJ6055">
        <v>113.211133984526</v>
      </c>
      <c r="AK6055">
        <v>12.175191747588199</v>
      </c>
    </row>
    <row r="6056" spans="1:37" x14ac:dyDescent="0.2">
      <c r="A6056" t="str">
        <f>"20200111153547503"</f>
        <v>20200111153547503</v>
      </c>
      <c r="B6056" t="str">
        <f>"1578728147491551"</f>
        <v>1578728147491551</v>
      </c>
      <c r="C6056" t="s">
        <v>37</v>
      </c>
      <c r="D6056">
        <v>4.9264349999999997</v>
      </c>
      <c r="E6056">
        <v>0.4648255</v>
      </c>
      <c r="F6056" t="s">
        <v>65</v>
      </c>
      <c r="G6056">
        <v>-193.59469999999999</v>
      </c>
      <c r="H6056" s="1">
        <v>-5.8685389999999998E-6</v>
      </c>
      <c r="I6056">
        <v>-42.403129999999997</v>
      </c>
      <c r="J6056">
        <v>-197.01410000000001</v>
      </c>
      <c r="K6056">
        <v>1.1111949999999999</v>
      </c>
      <c r="L6056">
        <v>-54.169649999999997</v>
      </c>
      <c r="M6056">
        <v>0.63291980000000003</v>
      </c>
      <c r="N6056">
        <v>0</v>
      </c>
      <c r="O6056">
        <v>0.77407539999999997</v>
      </c>
      <c r="P6056">
        <v>0.38296669999999999</v>
      </c>
      <c r="Q6056">
        <v>1.164486E-2</v>
      </c>
      <c r="R6056">
        <v>0.92368879999999998</v>
      </c>
      <c r="S6056">
        <v>0.85694889999999901</v>
      </c>
      <c r="T6056">
        <v>-0.27076289999999997</v>
      </c>
      <c r="U6056">
        <v>2.8977360000000001</v>
      </c>
      <c r="V6056">
        <v>-0.28857259999999901</v>
      </c>
      <c r="W6056">
        <v>2.1375760000000001E-2</v>
      </c>
      <c r="X6056">
        <v>0.95721939999999905</v>
      </c>
      <c r="Y6056">
        <v>-0.3879474</v>
      </c>
      <c r="Z6056">
        <v>-5.7725390000000001E-2</v>
      </c>
      <c r="AA6056">
        <v>0.91987199999999902</v>
      </c>
      <c r="AB6056">
        <v>27</v>
      </c>
      <c r="AC6056">
        <v>3.41940000000002</v>
      </c>
      <c r="AD6056">
        <v>-1.111200868539</v>
      </c>
      <c r="AE6056">
        <v>11.76652</v>
      </c>
      <c r="AF6056">
        <v>-4.7617573742171597</v>
      </c>
      <c r="AG6056">
        <v>-1.111200868539</v>
      </c>
      <c r="AH6056">
        <v>11.1816615269656</v>
      </c>
      <c r="AI6056">
        <v>95.224123140011002</v>
      </c>
      <c r="AJ6056">
        <v>113.066932968468</v>
      </c>
      <c r="AK6056">
        <v>12.204042574687101</v>
      </c>
    </row>
    <row r="6057" spans="1:37" x14ac:dyDescent="0.2">
      <c r="A6057" t="str">
        <f>"20200111153547523"</f>
        <v>20200111153547523</v>
      </c>
      <c r="B6057" t="str">
        <f>"1578728147512052"</f>
        <v>1578728147512052</v>
      </c>
      <c r="C6057" t="s">
        <v>37</v>
      </c>
      <c r="D6057">
        <v>4.9648399999999997</v>
      </c>
      <c r="E6057">
        <v>0.46463759999999998</v>
      </c>
      <c r="F6057" t="s">
        <v>65</v>
      </c>
      <c r="G6057">
        <v>-193.4333</v>
      </c>
      <c r="H6057" s="1">
        <v>-5.7113519999999996E-6</v>
      </c>
      <c r="I6057">
        <v>-42.678899999999999</v>
      </c>
      <c r="J6057">
        <v>-196.8683</v>
      </c>
      <c r="K6057">
        <v>1.111024</v>
      </c>
      <c r="L6057">
        <v>-53.978180000000002</v>
      </c>
      <c r="M6057">
        <v>0.62706019999999996</v>
      </c>
      <c r="N6057">
        <v>0</v>
      </c>
      <c r="O6057">
        <v>0.77883049999999998</v>
      </c>
      <c r="P6057">
        <v>0.3773415</v>
      </c>
      <c r="Q6057">
        <v>1.0937530000000001E-2</v>
      </c>
      <c r="R6057">
        <v>0.92600959999999999</v>
      </c>
      <c r="S6057">
        <v>0.89726260000000002</v>
      </c>
      <c r="T6057">
        <v>-0.278443</v>
      </c>
      <c r="U6057">
        <v>2.8793329999999999</v>
      </c>
      <c r="V6057">
        <v>-0.28715540000000001</v>
      </c>
      <c r="W6057">
        <v>2.0782700000000001E-2</v>
      </c>
      <c r="X6057">
        <v>0.95765849999999997</v>
      </c>
      <c r="Y6057">
        <v>-0.36758459999999898</v>
      </c>
      <c r="Z6057">
        <v>-6.0671070000000001E-2</v>
      </c>
      <c r="AA6057">
        <v>0.92800890000000003</v>
      </c>
      <c r="AB6057">
        <v>27</v>
      </c>
      <c r="AC6057">
        <v>3.4350000000000001</v>
      </c>
      <c r="AD6057">
        <v>-1.111029711352</v>
      </c>
      <c r="AE6057">
        <v>11.29928</v>
      </c>
      <c r="AF6057">
        <v>-4.3718356571248904</v>
      </c>
      <c r="AG6057">
        <v>-1.111029711352</v>
      </c>
      <c r="AH6057">
        <v>10.8592644449989</v>
      </c>
      <c r="AI6057">
        <v>95.4216455901513</v>
      </c>
      <c r="AJ6057">
        <v>111.929242675038</v>
      </c>
      <c r="AK6057">
        <v>11.7588672209033</v>
      </c>
    </row>
    <row r="6058" spans="1:37" x14ac:dyDescent="0.2">
      <c r="A6058" t="str">
        <f>"20200111153547546"</f>
        <v>20200111153547546</v>
      </c>
      <c r="B6058" t="str">
        <f>"1578728147541327"</f>
        <v>1578728147541327</v>
      </c>
      <c r="C6058" t="s">
        <v>37</v>
      </c>
      <c r="D6058">
        <v>4.9801080000000004</v>
      </c>
      <c r="E6058">
        <v>0.46506599999999998</v>
      </c>
      <c r="F6058" t="s">
        <v>65</v>
      </c>
      <c r="G6058">
        <v>-193.41579999999999</v>
      </c>
      <c r="H6058" s="1">
        <v>-5.7250030000000001E-6</v>
      </c>
      <c r="I6058">
        <v>-42.642899999999997</v>
      </c>
      <c r="J6058">
        <v>-196.7122</v>
      </c>
      <c r="K6058">
        <v>1.1108370000000001</v>
      </c>
      <c r="L6058">
        <v>-53.770109999999903</v>
      </c>
      <c r="M6058">
        <v>0.62085269999999904</v>
      </c>
      <c r="N6058">
        <v>0</v>
      </c>
      <c r="O6058">
        <v>0.7837885</v>
      </c>
      <c r="P6058">
        <v>0.37063629999999997</v>
      </c>
      <c r="Q6058">
        <v>1.009936E-2</v>
      </c>
      <c r="R6058">
        <v>0.92872319999999997</v>
      </c>
      <c r="S6058">
        <v>0.87870789999999999</v>
      </c>
      <c r="T6058">
        <v>-0.28277179999999902</v>
      </c>
      <c r="U6058">
        <v>2.884979</v>
      </c>
      <c r="V6058">
        <v>-0.28645409999999999</v>
      </c>
      <c r="W6058">
        <v>2.005235E-2</v>
      </c>
      <c r="X6058">
        <v>0.95788410000000002</v>
      </c>
      <c r="Y6058">
        <v>-0.36619119999999999</v>
      </c>
      <c r="Z6058">
        <v>-6.2226450000000003E-2</v>
      </c>
      <c r="AA6058">
        <v>0.92845669999999902</v>
      </c>
      <c r="AB6058">
        <v>27</v>
      </c>
      <c r="AC6058">
        <v>3.2964000000000002</v>
      </c>
      <c r="AD6058">
        <v>-1.110842725003</v>
      </c>
      <c r="AE6058">
        <v>11.1272099999999</v>
      </c>
      <c r="AF6058">
        <v>-4.2858803811348798</v>
      </c>
      <c r="AG6058">
        <v>-1.110842725003</v>
      </c>
      <c r="AH6058">
        <v>10.671356498886899</v>
      </c>
      <c r="AI6058">
        <v>95.5174393830778</v>
      </c>
      <c r="AJ6058">
        <v>111.881613299454</v>
      </c>
      <c r="AK6058">
        <v>11.5533800996689</v>
      </c>
    </row>
    <row r="6059" spans="1:37" x14ac:dyDescent="0.2">
      <c r="A6059" t="str">
        <f>"20200111153547567"</f>
        <v>20200111153547567</v>
      </c>
      <c r="B6059" t="str">
        <f>"1578728147561824"</f>
        <v>1578728147561824</v>
      </c>
      <c r="C6059" t="s">
        <v>37</v>
      </c>
      <c r="D6059">
        <v>4.9700059999999997</v>
      </c>
      <c r="E6059">
        <v>0.46523059999999899</v>
      </c>
      <c r="F6059" t="s">
        <v>65</v>
      </c>
      <c r="G6059">
        <v>-193.35169999999999</v>
      </c>
      <c r="H6059" s="1">
        <v>-5.7833540000000004E-6</v>
      </c>
      <c r="I6059">
        <v>-42.493130000000001</v>
      </c>
      <c r="J6059">
        <v>-196.5574</v>
      </c>
      <c r="K6059">
        <v>1.110665</v>
      </c>
      <c r="L6059">
        <v>-53.560759999999902</v>
      </c>
      <c r="M6059">
        <v>0.61476769999999903</v>
      </c>
      <c r="N6059">
        <v>0</v>
      </c>
      <c r="O6059">
        <v>0.78857100000000002</v>
      </c>
      <c r="P6059">
        <v>0.36394460000000001</v>
      </c>
      <c r="Q6059">
        <v>9.6546779999999999E-3</v>
      </c>
      <c r="R6059">
        <v>0.93137060000000005</v>
      </c>
      <c r="S6059">
        <v>0.8611145</v>
      </c>
      <c r="T6059">
        <v>-0.28464889999999998</v>
      </c>
      <c r="U6059">
        <v>2.8896790000000001</v>
      </c>
      <c r="V6059">
        <v>-0.28591889999999998</v>
      </c>
      <c r="W6059">
        <v>1.9708610000000001E-2</v>
      </c>
      <c r="X6059">
        <v>0.95805110000000004</v>
      </c>
      <c r="Y6059">
        <v>-0.3646103</v>
      </c>
      <c r="Z6059">
        <v>-6.3256489999999999E-2</v>
      </c>
      <c r="AA6059">
        <v>0.92900910000000003</v>
      </c>
      <c r="AB6059">
        <v>27</v>
      </c>
      <c r="AC6059">
        <v>3.2057000000000002</v>
      </c>
      <c r="AD6059">
        <v>-1.1106707833539999</v>
      </c>
      <c r="AE6059">
        <v>11.0676299999999</v>
      </c>
      <c r="AF6059">
        <v>-4.2371934201671904</v>
      </c>
      <c r="AG6059">
        <v>-1.1106707833539999</v>
      </c>
      <c r="AH6059">
        <v>10.601034041200201</v>
      </c>
      <c r="AI6059">
        <v>95.556632372632095</v>
      </c>
      <c r="AJ6059">
        <v>111.786404201458</v>
      </c>
      <c r="AK6059">
        <v>11.4703670565326</v>
      </c>
    </row>
    <row r="6060" spans="1:37" x14ac:dyDescent="0.2">
      <c r="A6060" t="str">
        <f>"20200111153547589"</f>
        <v>20200111153547589</v>
      </c>
      <c r="B6060" t="str">
        <f>"1578728147581343"</f>
        <v>1578728147581343</v>
      </c>
      <c r="C6060" t="s">
        <v>37</v>
      </c>
      <c r="D6060">
        <v>4.9533569999999996</v>
      </c>
      <c r="E6060">
        <v>0.46569120000000003</v>
      </c>
      <c r="F6060" t="s">
        <v>65</v>
      </c>
      <c r="G6060">
        <v>-193.30179999999999</v>
      </c>
      <c r="H6060" s="1">
        <v>-5.8369529999999999E-6</v>
      </c>
      <c r="I6060">
        <v>-42.359020000000001</v>
      </c>
      <c r="J6060">
        <v>-196.3999</v>
      </c>
      <c r="K6060">
        <v>1.110484</v>
      </c>
      <c r="L6060">
        <v>-53.344639999999998</v>
      </c>
      <c r="M6060">
        <v>0.60867109999999902</v>
      </c>
      <c r="N6060">
        <v>0</v>
      </c>
      <c r="O6060">
        <v>0.79328690000000002</v>
      </c>
      <c r="P6060">
        <v>0.35694920000000002</v>
      </c>
      <c r="Q6060">
        <v>9.5495249999999997E-3</v>
      </c>
      <c r="R6060">
        <v>0.93407499999999999</v>
      </c>
      <c r="S6060">
        <v>0.84144589999999997</v>
      </c>
      <c r="T6060">
        <v>-0.28706709999999902</v>
      </c>
      <c r="U6060">
        <v>2.8952330000000002</v>
      </c>
      <c r="V6060">
        <v>-0.2857093</v>
      </c>
      <c r="W6060">
        <v>1.9701940000000001E-2</v>
      </c>
      <c r="X6060">
        <v>0.95811380000000002</v>
      </c>
      <c r="Y6060">
        <v>-0.36374840000000003</v>
      </c>
      <c r="Z6060">
        <v>-6.4377589999999998E-2</v>
      </c>
      <c r="AA6060">
        <v>0.92926989999999998</v>
      </c>
      <c r="AB6060">
        <v>27</v>
      </c>
      <c r="AC6060">
        <v>3.0981000000000098</v>
      </c>
      <c r="AD6060">
        <v>-1.1104898369530001</v>
      </c>
      <c r="AE6060">
        <v>10.985620000000001</v>
      </c>
      <c r="AF6060">
        <v>-4.1897446508257303</v>
      </c>
      <c r="AG6060">
        <v>-1.1104898369530001</v>
      </c>
      <c r="AH6060">
        <v>10.5022053068058</v>
      </c>
      <c r="AI6060">
        <v>95.609134434231194</v>
      </c>
      <c r="AJ6060">
        <v>111.74900970393399</v>
      </c>
      <c r="AK6060">
        <v>11.3614904050217</v>
      </c>
    </row>
    <row r="6061" spans="1:37" x14ac:dyDescent="0.2">
      <c r="A6061" t="str">
        <f>"20200111153547603"</f>
        <v>20200111153547603</v>
      </c>
      <c r="B6061" t="str">
        <f>"1578728147591834"</f>
        <v>1578728147591834</v>
      </c>
      <c r="C6061" t="s">
        <v>37</v>
      </c>
      <c r="D6061">
        <v>5.0095359999999998</v>
      </c>
      <c r="E6061">
        <v>0.46606149999999902</v>
      </c>
      <c r="F6061" t="s">
        <v>65</v>
      </c>
      <c r="G6061">
        <v>-193.22120000000001</v>
      </c>
      <c r="H6061" s="1">
        <v>-5.9201310000000001E-6</v>
      </c>
      <c r="I6061">
        <v>-42.149650000000001</v>
      </c>
      <c r="J6061">
        <v>-196.3057</v>
      </c>
      <c r="K6061">
        <v>1.1103749999999999</v>
      </c>
      <c r="L6061">
        <v>-53.214109999999998</v>
      </c>
      <c r="M6061">
        <v>0.60508019999999996</v>
      </c>
      <c r="N6061">
        <v>0</v>
      </c>
      <c r="O6061">
        <v>0.796029599999999</v>
      </c>
      <c r="P6061">
        <v>0.35274060000000002</v>
      </c>
      <c r="Q6061">
        <v>9.7002549999999996E-3</v>
      </c>
      <c r="R6061">
        <v>0.93567089999999997</v>
      </c>
      <c r="S6061">
        <v>0.82340999999999998</v>
      </c>
      <c r="T6061">
        <v>-0.28766890000000001</v>
      </c>
      <c r="U6061">
        <v>2.9000240000000002</v>
      </c>
      <c r="V6061">
        <v>-0.28568749999999998</v>
      </c>
      <c r="W6061">
        <v>1.9911709999999999E-2</v>
      </c>
      <c r="X6061">
        <v>0.95811590000000002</v>
      </c>
      <c r="Y6061">
        <v>-0.36529429999999902</v>
      </c>
      <c r="Z6061">
        <v>-6.4794379999999999E-2</v>
      </c>
      <c r="AA6061">
        <v>0.92863430000000002</v>
      </c>
      <c r="AB6061">
        <v>27</v>
      </c>
      <c r="AC6061">
        <v>3.08449999999999</v>
      </c>
      <c r="AD6061">
        <v>-1.110380920131</v>
      </c>
      <c r="AE6061">
        <v>11.064459999999899</v>
      </c>
      <c r="AF6061">
        <v>-4.2007319859529897</v>
      </c>
      <c r="AG6061">
        <v>-1.110380920131</v>
      </c>
      <c r="AH6061">
        <v>10.5763185688758</v>
      </c>
      <c r="AI6061">
        <v>95.572875514842494</v>
      </c>
      <c r="AJ6061">
        <v>111.662125500035</v>
      </c>
      <c r="AK6061">
        <v>11.434054813404799</v>
      </c>
    </row>
    <row r="6062" spans="1:37" x14ac:dyDescent="0.2">
      <c r="A6062" t="str">
        <f>"20200111153547623"</f>
        <v>20200111153547623</v>
      </c>
      <c r="B6062" t="str">
        <f>"1578728147611357"</f>
        <v>1578728147611357</v>
      </c>
      <c r="C6062" t="s">
        <v>37</v>
      </c>
      <c r="D6062">
        <v>5.013541</v>
      </c>
      <c r="E6062">
        <v>0.46695019999999998</v>
      </c>
      <c r="F6062" t="s">
        <v>65</v>
      </c>
      <c r="G6062">
        <v>-193.1558</v>
      </c>
      <c r="H6062" s="1">
        <v>-5.9903850000000001E-6</v>
      </c>
      <c r="I6062">
        <v>-41.970370000000003</v>
      </c>
      <c r="J6062">
        <v>-196.17230000000001</v>
      </c>
      <c r="K6062">
        <v>1.1102080000000001</v>
      </c>
      <c r="L6062">
        <v>-53.027099999999997</v>
      </c>
      <c r="M6062">
        <v>0.60007480000000002</v>
      </c>
      <c r="N6062">
        <v>0</v>
      </c>
      <c r="O6062">
        <v>0.79981020000000003</v>
      </c>
      <c r="P6062">
        <v>0.34705959999999902</v>
      </c>
      <c r="Q6062">
        <v>9.9626760000000002E-3</v>
      </c>
      <c r="R6062">
        <v>0.93779020000000002</v>
      </c>
      <c r="S6062">
        <v>0.81318659999999998</v>
      </c>
      <c r="T6062">
        <v>-0.28665259999999998</v>
      </c>
      <c r="U6062">
        <v>2.9026489999999998</v>
      </c>
      <c r="V6062">
        <v>-0.28548079999999998</v>
      </c>
      <c r="W6062">
        <v>2.0265450000000001E-2</v>
      </c>
      <c r="X6062">
        <v>0.95817019999999997</v>
      </c>
      <c r="Y6062">
        <v>-0.36270920000000001</v>
      </c>
      <c r="Z6062">
        <v>-6.5101210000000007E-2</v>
      </c>
      <c r="AA6062">
        <v>0.9296257</v>
      </c>
      <c r="AB6062">
        <v>27</v>
      </c>
      <c r="AC6062">
        <v>3.0165000000000002</v>
      </c>
      <c r="AD6062">
        <v>-1.1102139903849999</v>
      </c>
      <c r="AE6062">
        <v>11.0567299999999</v>
      </c>
      <c r="AF6062">
        <v>-4.18343242830435</v>
      </c>
      <c r="AG6062">
        <v>-1.1102139903849999</v>
      </c>
      <c r="AH6062">
        <v>10.555499195945201</v>
      </c>
      <c r="AI6062">
        <v>95.584590956687194</v>
      </c>
      <c r="AJ6062">
        <v>111.61977439021599</v>
      </c>
      <c r="AK6062">
        <v>11.4084286938314</v>
      </c>
    </row>
    <row r="6063" spans="1:37" x14ac:dyDescent="0.2">
      <c r="A6063" t="str">
        <f>"20200111153547637"</f>
        <v>20200111153547637</v>
      </c>
      <c r="B6063" t="str">
        <f>"1578728147631849"</f>
        <v>1578728147631849</v>
      </c>
      <c r="C6063" t="s">
        <v>37</v>
      </c>
      <c r="D6063">
        <v>4.9942159999999998</v>
      </c>
      <c r="E6063">
        <v>0.47291650000000002</v>
      </c>
      <c r="F6063" t="s">
        <v>65</v>
      </c>
      <c r="G6063">
        <v>-193.06440000000001</v>
      </c>
      <c r="H6063" s="1">
        <v>-6.0458179999999999E-6</v>
      </c>
      <c r="I6063">
        <v>-41.774079999999998</v>
      </c>
      <c r="J6063">
        <v>-196.06540000000001</v>
      </c>
      <c r="K6063">
        <v>1.1100680000000001</v>
      </c>
      <c r="L6063">
        <v>-52.87585</v>
      </c>
      <c r="M6063">
        <v>0.59612589999999999</v>
      </c>
      <c r="N6063">
        <v>0</v>
      </c>
      <c r="O6063">
        <v>0.80275819999999998</v>
      </c>
      <c r="P6063">
        <v>0.34247909999999998</v>
      </c>
      <c r="Q6063">
        <v>1.018268E-2</v>
      </c>
      <c r="R6063">
        <v>0.93947019999999903</v>
      </c>
      <c r="S6063">
        <v>0.80235290000000004</v>
      </c>
      <c r="T6063">
        <v>-0.28661690000000001</v>
      </c>
      <c r="U6063">
        <v>2.9051209999999998</v>
      </c>
      <c r="V6063">
        <v>-0.28542790000000001</v>
      </c>
      <c r="W6063">
        <v>2.056055E-2</v>
      </c>
      <c r="X6063">
        <v>0.95817969999999897</v>
      </c>
      <c r="Y6063">
        <v>-0.36154579999999997</v>
      </c>
      <c r="Z6063">
        <v>-6.5489640000000002E-2</v>
      </c>
      <c r="AA6063">
        <v>0.93005139999999997</v>
      </c>
      <c r="AB6063">
        <v>27</v>
      </c>
      <c r="AC6063">
        <v>3.0009999999999999</v>
      </c>
      <c r="AD6063">
        <v>-1.1100740458180001</v>
      </c>
      <c r="AE6063">
        <v>11.10177</v>
      </c>
      <c r="AF6063">
        <v>-4.1705655126049503</v>
      </c>
      <c r="AG6063">
        <v>-1.1100740458180001</v>
      </c>
      <c r="AH6063">
        <v>10.6033567269266</v>
      </c>
      <c r="AI6063">
        <v>95.564514947059294</v>
      </c>
      <c r="AJ6063">
        <v>111.47095589673999</v>
      </c>
      <c r="AK6063">
        <v>11.4480153284571</v>
      </c>
    </row>
    <row r="6064" spans="1:37" x14ac:dyDescent="0.2">
      <c r="A6064" t="str">
        <f>"20200111153547656"</f>
        <v>20200111153547656</v>
      </c>
      <c r="B6064" t="str">
        <f>"1578728147651370"</f>
        <v>1578728147651370</v>
      </c>
      <c r="C6064" t="s">
        <v>37</v>
      </c>
      <c r="D6064">
        <v>5.0268569999999997</v>
      </c>
      <c r="E6064">
        <v>0.47342440000000002</v>
      </c>
      <c r="F6064" t="s">
        <v>65</v>
      </c>
      <c r="G6064">
        <v>-192.83330000000001</v>
      </c>
      <c r="H6064" s="1">
        <v>-6.0616499999999998E-6</v>
      </c>
      <c r="I6064">
        <v>-41.64911</v>
      </c>
      <c r="J6064">
        <v>-195.9494</v>
      </c>
      <c r="K6064">
        <v>1.1099129999999999</v>
      </c>
      <c r="L6064">
        <v>-52.70984</v>
      </c>
      <c r="M6064">
        <v>0.59192279999999997</v>
      </c>
      <c r="N6064">
        <v>0</v>
      </c>
      <c r="O6064">
        <v>0.805863</v>
      </c>
      <c r="P6064">
        <v>0.33756890000000001</v>
      </c>
      <c r="Q6064">
        <v>1.0387260000000001E-2</v>
      </c>
      <c r="R6064">
        <v>0.94124349999999901</v>
      </c>
      <c r="S6064">
        <v>0.83282469999999997</v>
      </c>
      <c r="T6064">
        <v>-0.28603249999999902</v>
      </c>
      <c r="U6064">
        <v>2.892792</v>
      </c>
      <c r="V6064">
        <v>-0.28541709999999998</v>
      </c>
      <c r="W6064">
        <v>2.0845160000000001E-2</v>
      </c>
      <c r="X6064">
        <v>0.95817669999999999</v>
      </c>
      <c r="Y6064">
        <v>-0.34656239999999999</v>
      </c>
      <c r="Z6064">
        <v>-6.6266309999999995E-2</v>
      </c>
      <c r="AA6064">
        <v>0.9356833</v>
      </c>
      <c r="AB6064">
        <v>27</v>
      </c>
      <c r="AC6064">
        <v>3.1160999999999799</v>
      </c>
      <c r="AD6064">
        <v>-1.1099190616500001</v>
      </c>
      <c r="AE6064">
        <v>11.06073</v>
      </c>
      <c r="AF6064">
        <v>-3.99906876340266</v>
      </c>
      <c r="AG6064">
        <v>-1.1099190616500001</v>
      </c>
      <c r="AH6064">
        <v>10.6596196139678</v>
      </c>
      <c r="AI6064">
        <v>95.568107874696196</v>
      </c>
      <c r="AJ6064">
        <v>110.564109557408</v>
      </c>
      <c r="AK6064">
        <v>11.4390542271782</v>
      </c>
    </row>
    <row r="6065" spans="1:37" x14ac:dyDescent="0.2">
      <c r="A6065" t="str">
        <f>"20200111153547669"</f>
        <v>20200111153547669</v>
      </c>
      <c r="B6065" t="str">
        <f>"1578728147662107"</f>
        <v>1578728147662107</v>
      </c>
      <c r="C6065" t="s">
        <v>37</v>
      </c>
      <c r="D6065">
        <v>4.9914500000000004</v>
      </c>
      <c r="E6065">
        <v>0.4737345</v>
      </c>
      <c r="F6065" t="s">
        <v>65</v>
      </c>
      <c r="G6065">
        <v>-192.78460000000001</v>
      </c>
      <c r="H6065" s="1">
        <v>-6.088191E-6</v>
      </c>
      <c r="I6065">
        <v>-41.553489999999996</v>
      </c>
      <c r="J6065">
        <v>-195.851</v>
      </c>
      <c r="K6065">
        <v>1.1097790000000001</v>
      </c>
      <c r="L6065">
        <v>-52.567779999999999</v>
      </c>
      <c r="M6065">
        <v>0.58842090000000002</v>
      </c>
      <c r="N6065">
        <v>0</v>
      </c>
      <c r="O6065">
        <v>0.80842389999999997</v>
      </c>
      <c r="P6065">
        <v>0.3335805</v>
      </c>
      <c r="Q6065">
        <v>1.036753E-2</v>
      </c>
      <c r="R6065">
        <v>0.94266459999999996</v>
      </c>
      <c r="S6065">
        <v>0.82147219999999999</v>
      </c>
      <c r="T6065">
        <v>-0.28810069999999999</v>
      </c>
      <c r="U6065">
        <v>2.8958439999999999</v>
      </c>
      <c r="V6065">
        <v>-0.28530990000000001</v>
      </c>
      <c r="W6065">
        <v>2.0897120000000002E-2</v>
      </c>
      <c r="X6065">
        <v>0.95820749999999999</v>
      </c>
      <c r="Y6065">
        <v>-0.34616019999999997</v>
      </c>
      <c r="Z6065">
        <v>-6.7061449999999995E-2</v>
      </c>
      <c r="AA6065">
        <v>0.93577559999999904</v>
      </c>
      <c r="AB6065">
        <v>27</v>
      </c>
      <c r="AC6065">
        <v>3.0663999999999798</v>
      </c>
      <c r="AD6065">
        <v>-1.1097850881910001</v>
      </c>
      <c r="AE6065">
        <v>11.014290000000001</v>
      </c>
      <c r="AF6065">
        <v>-3.9651511948424698</v>
      </c>
      <c r="AG6065">
        <v>-1.1097850881910001</v>
      </c>
      <c r="AH6065">
        <v>10.6097174413696</v>
      </c>
      <c r="AI6065">
        <v>95.596075329385798</v>
      </c>
      <c r="AJ6065">
        <v>110.49213638160199</v>
      </c>
      <c r="AK6065">
        <v>11.38069203193</v>
      </c>
    </row>
    <row r="6066" spans="1:37" x14ac:dyDescent="0.2">
      <c r="A6066" t="str">
        <f>"20200111153547683"</f>
        <v>20200111153547683</v>
      </c>
      <c r="B6066" t="str">
        <f>"1578728147671866"</f>
        <v>1578728147671866</v>
      </c>
      <c r="C6066" t="s">
        <v>37</v>
      </c>
      <c r="D6066">
        <v>4.9894600000000002</v>
      </c>
      <c r="E6066">
        <v>0.47422189999999997</v>
      </c>
      <c r="F6066" t="s">
        <v>65</v>
      </c>
      <c r="G6066">
        <v>-192.76920000000001</v>
      </c>
      <c r="H6066" s="1">
        <v>-6.083591E-6</v>
      </c>
      <c r="I6066">
        <v>-41.562049999999999</v>
      </c>
      <c r="J6066">
        <v>-195.76310000000001</v>
      </c>
      <c r="K6066">
        <v>1.109659</v>
      </c>
      <c r="L6066">
        <v>-52.440159999999999</v>
      </c>
      <c r="M6066">
        <v>0.58533269999999904</v>
      </c>
      <c r="N6066">
        <v>0</v>
      </c>
      <c r="O6066">
        <v>0.81066309999999997</v>
      </c>
      <c r="P6066">
        <v>0.33005820000000002</v>
      </c>
      <c r="Q6066">
        <v>1.013199E-2</v>
      </c>
      <c r="R6066">
        <v>0.94390620000000003</v>
      </c>
      <c r="S6066">
        <v>0.81161499999999998</v>
      </c>
      <c r="T6066">
        <v>-0.2922728</v>
      </c>
      <c r="U6066">
        <v>2.8984679999999998</v>
      </c>
      <c r="V6066">
        <v>-0.28522449999999999</v>
      </c>
      <c r="W6066">
        <v>2.072502E-2</v>
      </c>
      <c r="X6066">
        <v>0.95823659999999999</v>
      </c>
      <c r="Y6066">
        <v>-0.345775</v>
      </c>
      <c r="Z6066">
        <v>-6.8309499999999995E-2</v>
      </c>
      <c r="AA6066">
        <v>0.93582770000000004</v>
      </c>
      <c r="AB6066">
        <v>27</v>
      </c>
      <c r="AC6066">
        <v>2.9938999999999898</v>
      </c>
      <c r="AD6066">
        <v>-1.109665083591</v>
      </c>
      <c r="AE6066">
        <v>10.87811</v>
      </c>
      <c r="AF6066">
        <v>-3.9029314142698799</v>
      </c>
      <c r="AG6066">
        <v>-1.109665083591</v>
      </c>
      <c r="AH6066">
        <v>10.470740441268401</v>
      </c>
      <c r="AI6066">
        <v>95.671073354596601</v>
      </c>
      <c r="AJ6066">
        <v>110.442761713645</v>
      </c>
      <c r="AK6066">
        <v>11.229453931988401</v>
      </c>
    </row>
    <row r="6067" spans="1:37" x14ac:dyDescent="0.2">
      <c r="A6067" t="str">
        <f>"20200111153547701"</f>
        <v>20200111153547701</v>
      </c>
      <c r="B6067" t="str">
        <f>"1578728147691689"</f>
        <v>1578728147691689</v>
      </c>
      <c r="C6067" t="s">
        <v>37</v>
      </c>
      <c r="D6067">
        <v>5.0478959999999997</v>
      </c>
      <c r="E6067">
        <v>0.47461920000000002</v>
      </c>
      <c r="F6067" t="s">
        <v>65</v>
      </c>
      <c r="G6067">
        <v>-192.72059999999999</v>
      </c>
      <c r="H6067" s="1">
        <v>-6.1091999999999999E-6</v>
      </c>
      <c r="I6067">
        <v>-41.469189999999998</v>
      </c>
      <c r="J6067">
        <v>-195.64189999999999</v>
      </c>
      <c r="K6067">
        <v>1.109497</v>
      </c>
      <c r="L6067">
        <v>-52.262659999999997</v>
      </c>
      <c r="M6067">
        <v>0.5811518</v>
      </c>
      <c r="N6067">
        <v>0</v>
      </c>
      <c r="O6067">
        <v>0.813666</v>
      </c>
      <c r="P6067">
        <v>0.32547399999999999</v>
      </c>
      <c r="Q6067">
        <v>9.563172E-3</v>
      </c>
      <c r="R6067">
        <v>0.94550259999999997</v>
      </c>
      <c r="S6067">
        <v>0.80430599999999997</v>
      </c>
      <c r="T6067">
        <v>-0.2933402</v>
      </c>
      <c r="U6067">
        <v>2.9001769999999998</v>
      </c>
      <c r="V6067">
        <v>-0.28493029999999903</v>
      </c>
      <c r="W6067">
        <v>2.024399E-2</v>
      </c>
      <c r="X6067">
        <v>0.95833440000000003</v>
      </c>
      <c r="Y6067">
        <v>-0.34328829999999999</v>
      </c>
      <c r="Z6067">
        <v>-6.9004330000000003E-2</v>
      </c>
      <c r="AA6067">
        <v>0.93669179999999996</v>
      </c>
      <c r="AB6067">
        <v>27</v>
      </c>
      <c r="AC6067">
        <v>2.9213</v>
      </c>
      <c r="AD6067">
        <v>-1.1095031092000001</v>
      </c>
      <c r="AE6067">
        <v>10.7934699999999</v>
      </c>
      <c r="AF6067">
        <v>-3.8581070580055501</v>
      </c>
      <c r="AG6067">
        <v>-1.1095031092000001</v>
      </c>
      <c r="AH6067">
        <v>10.3789157129803</v>
      </c>
      <c r="AI6067">
        <v>95.721982835694206</v>
      </c>
      <c r="AJ6067">
        <v>110.39138120865501</v>
      </c>
      <c r="AK6067">
        <v>11.1282468788892</v>
      </c>
    </row>
    <row r="6068" spans="1:37" x14ac:dyDescent="0.2">
      <c r="A6068" t="str">
        <f>"20200111153547723"</f>
        <v>20200111153547723</v>
      </c>
      <c r="B6068" t="str">
        <f>"1578728147711209"</f>
        <v>1578728147711209</v>
      </c>
      <c r="C6068" t="s">
        <v>37</v>
      </c>
      <c r="D6068">
        <v>5.0320320000000001</v>
      </c>
      <c r="E6068">
        <v>0.475303799999999</v>
      </c>
      <c r="F6068" t="s">
        <v>65</v>
      </c>
      <c r="G6068">
        <v>-192.6737</v>
      </c>
      <c r="H6068" s="1">
        <v>-6.1284669999999996E-6</v>
      </c>
      <c r="I6068">
        <v>-41.395890000000001</v>
      </c>
      <c r="J6068">
        <v>-195.49340000000001</v>
      </c>
      <c r="K6068">
        <v>1.1093219999999999</v>
      </c>
      <c r="L6068">
        <v>-52.0426</v>
      </c>
      <c r="M6068">
        <v>0.57613300000000001</v>
      </c>
      <c r="N6068">
        <v>0</v>
      </c>
      <c r="O6068">
        <v>0.81722799999999995</v>
      </c>
      <c r="P6068">
        <v>0.32012699999999999</v>
      </c>
      <c r="Q6068">
        <v>8.923706E-3</v>
      </c>
      <c r="R6068">
        <v>0.94733259999999897</v>
      </c>
      <c r="S6068">
        <v>0.79293819999999904</v>
      </c>
      <c r="T6068">
        <v>-0.29639290000000001</v>
      </c>
      <c r="U6068">
        <v>2.9029539999999998</v>
      </c>
      <c r="V6068">
        <v>-0.2844334</v>
      </c>
      <c r="W6068">
        <v>1.9700990000000002E-2</v>
      </c>
      <c r="X6068">
        <v>0.95849340000000005</v>
      </c>
      <c r="Y6068">
        <v>-0.34117009999999998</v>
      </c>
      <c r="Z6068">
        <v>-7.0225549999999998E-2</v>
      </c>
      <c r="AA6068">
        <v>0.93737469999999901</v>
      </c>
      <c r="AB6068">
        <v>27</v>
      </c>
      <c r="AC6068">
        <v>2.8197000000000099</v>
      </c>
      <c r="AD6068">
        <v>-1.109328128467</v>
      </c>
      <c r="AE6068">
        <v>10.646710000000001</v>
      </c>
      <c r="AF6068">
        <v>-3.7915191429937898</v>
      </c>
      <c r="AG6068">
        <v>-1.109328128467</v>
      </c>
      <c r="AH6068">
        <v>10.2226835848563</v>
      </c>
      <c r="AI6068">
        <v>95.809495447743899</v>
      </c>
      <c r="AJ6068">
        <v>110.349451692195</v>
      </c>
      <c r="AK6068">
        <v>10.9594473393683</v>
      </c>
    </row>
    <row r="6069" spans="1:37" x14ac:dyDescent="0.2">
      <c r="A6069" t="str">
        <f>"20200111153547738"</f>
        <v>20200111153547738</v>
      </c>
      <c r="B6069" t="str">
        <f>"1578728147731703"</f>
        <v>1578728147731703</v>
      </c>
      <c r="C6069" t="s">
        <v>37</v>
      </c>
      <c r="D6069">
        <v>4.9985580000000001</v>
      </c>
      <c r="E6069">
        <v>0.47594629999999999</v>
      </c>
      <c r="F6069" t="s">
        <v>65</v>
      </c>
      <c r="G6069">
        <v>-192.59889999999999</v>
      </c>
      <c r="H6069" s="1">
        <v>-6.1593919999999996E-6</v>
      </c>
      <c r="I6069">
        <v>-41.278390000000002</v>
      </c>
      <c r="J6069">
        <v>-195.39879999999999</v>
      </c>
      <c r="K6069">
        <v>1.109224</v>
      </c>
      <c r="L6069">
        <v>-51.90137</v>
      </c>
      <c r="M6069">
        <v>0.57297480000000001</v>
      </c>
      <c r="N6069">
        <v>0</v>
      </c>
      <c r="O6069">
        <v>0.81944570000000005</v>
      </c>
      <c r="P6069">
        <v>0.31708769999999997</v>
      </c>
      <c r="Q6069">
        <v>8.8820140000000006E-3</v>
      </c>
      <c r="R6069">
        <v>0.948354699999999</v>
      </c>
      <c r="S6069">
        <v>0.78129579999999998</v>
      </c>
      <c r="T6069">
        <v>-0.2994404</v>
      </c>
      <c r="U6069">
        <v>2.9055789999999999</v>
      </c>
      <c r="V6069">
        <v>-0.28380259999999902</v>
      </c>
      <c r="W6069">
        <v>1.971767E-2</v>
      </c>
      <c r="X6069">
        <v>0.95867999999999998</v>
      </c>
      <c r="Y6069">
        <v>-0.34127449999999998</v>
      </c>
      <c r="Z6069">
        <v>-7.1224419999999997E-2</v>
      </c>
      <c r="AA6069">
        <v>0.93726129999999996</v>
      </c>
      <c r="AB6069">
        <v>27</v>
      </c>
      <c r="AC6069">
        <v>2.7999000000000001</v>
      </c>
      <c r="AD6069">
        <v>-1.109230159392</v>
      </c>
      <c r="AE6069">
        <v>10.622979999999901</v>
      </c>
      <c r="AF6069">
        <v>-3.7544532531210102</v>
      </c>
      <c r="AG6069">
        <v>-1.109230159392</v>
      </c>
      <c r="AH6069">
        <v>10.2062514069457</v>
      </c>
      <c r="AI6069">
        <v>95.823976341565398</v>
      </c>
      <c r="AJ6069">
        <v>110.196459236267</v>
      </c>
      <c r="AK6069">
        <v>10.931325562719101</v>
      </c>
    </row>
    <row r="6070" spans="1:37" x14ac:dyDescent="0.2">
      <c r="A6070" t="str">
        <f>"20200111153547758"</f>
        <v>20200111153547758</v>
      </c>
      <c r="B6070" t="str">
        <f>"1578728147751224"</f>
        <v>1578728147751224</v>
      </c>
      <c r="C6070" t="s">
        <v>37</v>
      </c>
      <c r="D6070">
        <v>5.1513070000000001</v>
      </c>
      <c r="E6070">
        <v>0.47672690000000001</v>
      </c>
      <c r="F6070" t="s">
        <v>65</v>
      </c>
      <c r="G6070">
        <v>-192.50739999999999</v>
      </c>
      <c r="H6070" s="1">
        <v>-6.2146959999999999E-6</v>
      </c>
      <c r="I6070">
        <v>-41.082419999999999</v>
      </c>
      <c r="J6070">
        <v>-195.27430000000001</v>
      </c>
      <c r="K6070">
        <v>1.1091150000000001</v>
      </c>
      <c r="L6070">
        <v>-51.713500000000003</v>
      </c>
      <c r="M6070">
        <v>0.56886899999999996</v>
      </c>
      <c r="N6070">
        <v>0</v>
      </c>
      <c r="O6070">
        <v>0.82230170000000002</v>
      </c>
      <c r="P6070">
        <v>0.3136795</v>
      </c>
      <c r="Q6070">
        <v>8.6825019999999999E-3</v>
      </c>
      <c r="R6070">
        <v>0.94948920000000003</v>
      </c>
      <c r="S6070">
        <v>0.77674869999999996</v>
      </c>
      <c r="T6070">
        <v>-0.2979869</v>
      </c>
      <c r="U6070">
        <v>2.9064329999999998</v>
      </c>
      <c r="V6070">
        <v>-0.28244340000000001</v>
      </c>
      <c r="W6070">
        <v>1.9590380000000001E-2</v>
      </c>
      <c r="X6070">
        <v>0.95908389999999999</v>
      </c>
      <c r="Y6070">
        <v>-0.33801039999999999</v>
      </c>
      <c r="Z6070">
        <v>-7.1342379999999997E-2</v>
      </c>
      <c r="AA6070">
        <v>0.93843449999999995</v>
      </c>
      <c r="AB6070">
        <v>27</v>
      </c>
      <c r="AC6070">
        <v>2.7669000000000201</v>
      </c>
      <c r="AD6070">
        <v>-1.1091212146959999</v>
      </c>
      <c r="AE6070">
        <v>10.631080000000001</v>
      </c>
      <c r="AF6070">
        <v>-3.7347857507906199</v>
      </c>
      <c r="AG6070">
        <v>-1.1091212146959999</v>
      </c>
      <c r="AH6070">
        <v>10.2129226113938</v>
      </c>
      <c r="AI6070">
        <v>95.823679058188702</v>
      </c>
      <c r="AJ6070">
        <v>110.08707000904199</v>
      </c>
      <c r="AK6070">
        <v>10.9308079637105</v>
      </c>
    </row>
    <row r="6071" spans="1:37" x14ac:dyDescent="0.2">
      <c r="A6071" t="str">
        <f>"20200111153547771"</f>
        <v>20200111153547771</v>
      </c>
      <c r="B6071" t="str">
        <f>"1578728147761960"</f>
        <v>1578728147761960</v>
      </c>
      <c r="C6071" t="s">
        <v>37</v>
      </c>
      <c r="D6071">
        <v>5.0140690000000001</v>
      </c>
      <c r="E6071">
        <v>0.47688039999999998</v>
      </c>
      <c r="F6071" t="s">
        <v>65</v>
      </c>
      <c r="G6071">
        <v>-192.40029999999999</v>
      </c>
      <c r="H6071" s="1">
        <v>-6.2692259999999902E-6</v>
      </c>
      <c r="I6071">
        <v>-40.883519999999997</v>
      </c>
      <c r="J6071">
        <v>-195.1815</v>
      </c>
      <c r="K6071">
        <v>1.109051</v>
      </c>
      <c r="L6071">
        <v>-51.572200000000002</v>
      </c>
      <c r="M6071">
        <v>0.5658396</v>
      </c>
      <c r="N6071">
        <v>0</v>
      </c>
      <c r="O6071">
        <v>0.8243895</v>
      </c>
      <c r="P6071">
        <v>0.31095400000000001</v>
      </c>
      <c r="Q6071">
        <v>8.7268509999999903E-3</v>
      </c>
      <c r="R6071">
        <v>0.95038489999999998</v>
      </c>
      <c r="S6071">
        <v>0.77154540000000005</v>
      </c>
      <c r="T6071">
        <v>-0.29775400000000002</v>
      </c>
      <c r="U6071">
        <v>2.90741</v>
      </c>
      <c r="V6071">
        <v>-0.2816631</v>
      </c>
      <c r="W6071">
        <v>1.967762E-2</v>
      </c>
      <c r="X6071">
        <v>0.95931149999999998</v>
      </c>
      <c r="Y6071">
        <v>-0.33619850000000001</v>
      </c>
      <c r="Z6071">
        <v>-7.1608889999999994E-2</v>
      </c>
      <c r="AA6071">
        <v>0.93906480000000003</v>
      </c>
      <c r="AB6071">
        <v>27</v>
      </c>
      <c r="AC6071">
        <v>2.7812000000000099</v>
      </c>
      <c r="AD6071">
        <v>-1.1090572692259999</v>
      </c>
      <c r="AE6071">
        <v>10.6886799999999</v>
      </c>
      <c r="AF6071">
        <v>-3.7181839171915798</v>
      </c>
      <c r="AG6071">
        <v>-1.1090572692259999</v>
      </c>
      <c r="AH6071">
        <v>10.2827408803591</v>
      </c>
      <c r="AI6071">
        <v>95.791640123807099</v>
      </c>
      <c r="AJ6071">
        <v>109.879718497059</v>
      </c>
      <c r="AK6071">
        <v>10.9904349177406</v>
      </c>
    </row>
    <row r="6072" spans="1:37" x14ac:dyDescent="0.2">
      <c r="A6072" t="str">
        <f>"20200111153547791"</f>
        <v>20200111153547791</v>
      </c>
      <c r="B6072" t="str">
        <f>"1578728147781478"</f>
        <v>1578728147781478</v>
      </c>
      <c r="C6072" t="s">
        <v>37</v>
      </c>
      <c r="D6072">
        <v>5.0376620000000001</v>
      </c>
      <c r="E6072">
        <v>0.47727439999999999</v>
      </c>
      <c r="F6072" t="s">
        <v>65</v>
      </c>
      <c r="G6072">
        <v>-192.33969999999999</v>
      </c>
      <c r="H6072" s="1">
        <v>-6.3059529999999899E-6</v>
      </c>
      <c r="I6072">
        <v>-40.753450000000001</v>
      </c>
      <c r="J6072">
        <v>-195.05959999999999</v>
      </c>
      <c r="K6072">
        <v>1.1089719999999901</v>
      </c>
      <c r="L6072">
        <v>-51.385190000000001</v>
      </c>
      <c r="M6072">
        <v>0.56187209999999999</v>
      </c>
      <c r="N6072">
        <v>0</v>
      </c>
      <c r="O6072">
        <v>0.82709909999999998</v>
      </c>
      <c r="P6072">
        <v>0.30785050000000003</v>
      </c>
      <c r="Q6072">
        <v>8.6085069999999996E-3</v>
      </c>
      <c r="R6072">
        <v>0.95139580000000001</v>
      </c>
      <c r="S6072">
        <v>0.764190699999999</v>
      </c>
      <c r="T6072">
        <v>-0.2982397</v>
      </c>
      <c r="U6072">
        <v>2.9093019999999998</v>
      </c>
      <c r="V6072">
        <v>-0.28017920000000002</v>
      </c>
      <c r="W6072">
        <v>1.9614220000000002E-2</v>
      </c>
      <c r="X6072">
        <v>0.95974729999999997</v>
      </c>
      <c r="Y6072">
        <v>-0.33405259999999998</v>
      </c>
      <c r="Z6072">
        <v>-7.2125499999999995E-2</v>
      </c>
      <c r="AA6072">
        <v>0.93979080000000004</v>
      </c>
      <c r="AB6072">
        <v>27</v>
      </c>
      <c r="AC6072">
        <v>2.7198999999999902</v>
      </c>
      <c r="AD6072">
        <v>-1.1089783059529901</v>
      </c>
      <c r="AE6072">
        <v>10.631740000000001</v>
      </c>
      <c r="AF6072">
        <v>-3.6867874275889001</v>
      </c>
      <c r="AG6072">
        <v>-1.1089783059529901</v>
      </c>
      <c r="AH6072">
        <v>10.218456550310799</v>
      </c>
      <c r="AI6072">
        <v>95.828888543040705</v>
      </c>
      <c r="AJ6072">
        <v>109.83928650159</v>
      </c>
      <c r="AK6072">
        <v>10.9196652279222</v>
      </c>
    </row>
    <row r="6073" spans="1:37" x14ac:dyDescent="0.2">
      <c r="A6073" t="str">
        <f>"20200111153547812"</f>
        <v>20200111153547812</v>
      </c>
      <c r="B6073" t="str">
        <f>"1578728147801978"</f>
        <v>1578728147801978</v>
      </c>
      <c r="C6073" t="s">
        <v>37</v>
      </c>
      <c r="D6073">
        <v>5.045509</v>
      </c>
      <c r="E6073">
        <v>0.47745850000000001</v>
      </c>
      <c r="F6073" t="s">
        <v>65</v>
      </c>
      <c r="G6073">
        <v>-192.24160000000001</v>
      </c>
      <c r="H6073" s="1">
        <v>-6.3613139999999902E-6</v>
      </c>
      <c r="I6073">
        <v>-40.55509</v>
      </c>
      <c r="J6073">
        <v>-194.92359999999999</v>
      </c>
      <c r="K6073">
        <v>1.1089069999999901</v>
      </c>
      <c r="L6073">
        <v>-51.174320000000002</v>
      </c>
      <c r="M6073">
        <v>0.55744510000000003</v>
      </c>
      <c r="N6073">
        <v>0</v>
      </c>
      <c r="O6073">
        <v>0.83008959999999998</v>
      </c>
      <c r="P6073">
        <v>0.30426559999999903</v>
      </c>
      <c r="Q6073">
        <v>8.5013880000000003E-3</v>
      </c>
      <c r="R6073">
        <v>0.95254930000000004</v>
      </c>
      <c r="S6073">
        <v>0.75743099999999997</v>
      </c>
      <c r="T6073">
        <v>-0.29806850000000001</v>
      </c>
      <c r="U6073">
        <v>2.9108890000000001</v>
      </c>
      <c r="V6073">
        <v>-0.27866069999999998</v>
      </c>
      <c r="W6073">
        <v>1.9553669999999999E-2</v>
      </c>
      <c r="X6073">
        <v>0.96019049999999995</v>
      </c>
      <c r="Y6073">
        <v>-0.33119130000000002</v>
      </c>
      <c r="Z6073">
        <v>-7.2543899999999994E-2</v>
      </c>
      <c r="AA6073">
        <v>0.94077080000000002</v>
      </c>
      <c r="AB6073">
        <v>27</v>
      </c>
      <c r="AC6073">
        <v>2.68199999999998</v>
      </c>
      <c r="AD6073">
        <v>-1.1089133613140001</v>
      </c>
      <c r="AE6073">
        <v>10.61923</v>
      </c>
      <c r="AF6073">
        <v>-3.6562391955698401</v>
      </c>
      <c r="AG6073">
        <v>-1.1089133613140001</v>
      </c>
      <c r="AH6073">
        <v>10.206420153367199</v>
      </c>
      <c r="AI6073">
        <v>95.840114639099895</v>
      </c>
      <c r="AJ6073">
        <v>109.709014175764</v>
      </c>
      <c r="AK6073">
        <v>10.8981092968084</v>
      </c>
    </row>
    <row r="6074" spans="1:37" x14ac:dyDescent="0.2">
      <c r="A6074" t="str">
        <f>"20200111153547828"</f>
        <v>20200111153547828</v>
      </c>
      <c r="B6074" t="str">
        <f>"1578728147821495"</f>
        <v>1578728147821495</v>
      </c>
      <c r="C6074" t="s">
        <v>37</v>
      </c>
      <c r="D6074">
        <v>5.0711699999999897</v>
      </c>
      <c r="E6074">
        <v>0.47768100000000002</v>
      </c>
      <c r="F6074" t="s">
        <v>39</v>
      </c>
      <c r="G6074">
        <v>-192.1481</v>
      </c>
      <c r="H6074" s="1">
        <v>-5.9656609999999999E-7</v>
      </c>
      <c r="I6074">
        <v>-40.352600000000002</v>
      </c>
      <c r="J6074">
        <v>-194.82259999999999</v>
      </c>
      <c r="K6074">
        <v>1.10887</v>
      </c>
      <c r="L6074">
        <v>-51.015990000000002</v>
      </c>
      <c r="M6074">
        <v>0.5541391</v>
      </c>
      <c r="N6074">
        <v>0</v>
      </c>
      <c r="O6074">
        <v>0.83230040000000005</v>
      </c>
      <c r="P6074">
        <v>0.30120200000000003</v>
      </c>
      <c r="Q6074">
        <v>8.55385E-3</v>
      </c>
      <c r="R6074">
        <v>0.95352199999999998</v>
      </c>
      <c r="S6074">
        <v>0.74722290000000002</v>
      </c>
      <c r="T6074">
        <v>-0.29853990000000002</v>
      </c>
      <c r="U6074">
        <v>2.9134220000000002</v>
      </c>
      <c r="V6074">
        <v>-0.27792630000000002</v>
      </c>
      <c r="W6074">
        <v>1.962757E-2</v>
      </c>
      <c r="X6074">
        <v>0.96040179999999997</v>
      </c>
      <c r="Y6074">
        <v>-0.33073409999999998</v>
      </c>
      <c r="Z6074">
        <v>-7.294726E-2</v>
      </c>
      <c r="AA6074">
        <v>0.94090039999999997</v>
      </c>
      <c r="AB6074">
        <v>26</v>
      </c>
      <c r="AC6074">
        <v>2.6744999999999899</v>
      </c>
      <c r="AD6074">
        <v>-1.1088705965661001</v>
      </c>
      <c r="AE6074">
        <v>10.66339</v>
      </c>
      <c r="AF6074">
        <v>-3.6462970521010498</v>
      </c>
      <c r="AG6074">
        <v>-1.1088705965661001</v>
      </c>
      <c r="AH6074">
        <v>10.253935439645799</v>
      </c>
      <c r="AI6074">
        <v>95.817823557061999</v>
      </c>
      <c r="AJ6074">
        <v>109.57537462606101</v>
      </c>
      <c r="AK6074">
        <v>10.9392992550946</v>
      </c>
    </row>
    <row r="6075" spans="1:37" x14ac:dyDescent="0.2">
      <c r="A6075" t="str">
        <f>"20200111153547846"</f>
        <v>20200111153547846</v>
      </c>
      <c r="B6075" t="str">
        <f>"1578728147841990"</f>
        <v>1578728147841990</v>
      </c>
      <c r="C6075" t="s">
        <v>37</v>
      </c>
      <c r="D6075">
        <v>5.071434</v>
      </c>
      <c r="E6075">
        <v>0.47784789999999999</v>
      </c>
      <c r="F6075" t="s">
        <v>39</v>
      </c>
      <c r="G6075">
        <v>-192.07060000000001</v>
      </c>
      <c r="H6075" s="1">
        <v>-6.5620440000000004E-7</v>
      </c>
      <c r="I6075">
        <v>-40.165489999999998</v>
      </c>
      <c r="J6075">
        <v>-194.71199999999999</v>
      </c>
      <c r="K6075">
        <v>1.108838</v>
      </c>
      <c r="L6075">
        <v>-50.841279999999998</v>
      </c>
      <c r="M6075">
        <v>0.5504983</v>
      </c>
      <c r="N6075">
        <v>0</v>
      </c>
      <c r="O6075">
        <v>0.83471319999999904</v>
      </c>
      <c r="P6075">
        <v>0.29782940000000002</v>
      </c>
      <c r="Q6075">
        <v>8.4013600000000001E-3</v>
      </c>
      <c r="R6075">
        <v>0.95458220000000005</v>
      </c>
      <c r="S6075">
        <v>0.73941040000000002</v>
      </c>
      <c r="T6075">
        <v>-0.29793439999999999</v>
      </c>
      <c r="U6075">
        <v>2.9153439999999899</v>
      </c>
      <c r="V6075">
        <v>-0.27712409999999998</v>
      </c>
      <c r="W6075">
        <v>1.949265E-2</v>
      </c>
      <c r="X6075">
        <v>0.96063639999999995</v>
      </c>
      <c r="Y6075">
        <v>-0.32913100000000001</v>
      </c>
      <c r="Z6075">
        <v>-7.3148069999999996E-2</v>
      </c>
      <c r="AA6075">
        <v>0.94144680000000003</v>
      </c>
      <c r="AB6075">
        <v>26</v>
      </c>
      <c r="AC6075">
        <v>2.6414</v>
      </c>
      <c r="AD6075">
        <v>-1.1088386562043999</v>
      </c>
      <c r="AE6075">
        <v>10.6757899999999</v>
      </c>
      <c r="AF6075">
        <v>-3.6356120177161402</v>
      </c>
      <c r="AG6075">
        <v>-1.1088386562043999</v>
      </c>
      <c r="AH6075">
        <v>10.2620543582466</v>
      </c>
      <c r="AI6075">
        <v>95.815493355956093</v>
      </c>
      <c r="AJ6075">
        <v>109.508076218239</v>
      </c>
      <c r="AK6075">
        <v>10.9433522085539</v>
      </c>
    </row>
    <row r="6076" spans="1:37" x14ac:dyDescent="0.2">
      <c r="A6076" t="str">
        <f>"20200111153547869"</f>
        <v>20200111153547869</v>
      </c>
      <c r="B6076" t="str">
        <f>"1578728147861511"</f>
        <v>1578728147861511</v>
      </c>
      <c r="C6076" t="s">
        <v>37</v>
      </c>
      <c r="D6076">
        <v>5.067736</v>
      </c>
      <c r="E6076">
        <v>0.47806949999999998</v>
      </c>
      <c r="F6076" t="s">
        <v>39</v>
      </c>
      <c r="G6076">
        <v>-192.01240000000001</v>
      </c>
      <c r="H6076" s="1">
        <v>-6.8867489999999997E-7</v>
      </c>
      <c r="I6076">
        <v>-40.053709999999903</v>
      </c>
      <c r="J6076">
        <v>-194.56989999999999</v>
      </c>
      <c r="K6076">
        <v>1.1088129999999901</v>
      </c>
      <c r="L6076">
        <v>-50.614139999999999</v>
      </c>
      <c r="M6076">
        <v>0.54576619999999998</v>
      </c>
      <c r="N6076">
        <v>0</v>
      </c>
      <c r="O6076">
        <v>0.83781519999999998</v>
      </c>
      <c r="P6076">
        <v>0.29303659999999998</v>
      </c>
      <c r="Q6076">
        <v>7.9327859999999903E-3</v>
      </c>
      <c r="R6076">
        <v>0.95606829999999998</v>
      </c>
      <c r="S6076">
        <v>0.73013309999999998</v>
      </c>
      <c r="T6076">
        <v>-0.29989309999999902</v>
      </c>
      <c r="U6076">
        <v>2.9175719999999998</v>
      </c>
      <c r="V6076">
        <v>-0.27650359999999902</v>
      </c>
      <c r="W6076">
        <v>1.9033060000000001E-2</v>
      </c>
      <c r="X6076">
        <v>0.96082440000000002</v>
      </c>
      <c r="Y6076">
        <v>-0.32678979999999902</v>
      </c>
      <c r="Z6076">
        <v>-7.4083090000000004E-2</v>
      </c>
      <c r="AA6076">
        <v>0.94218899999999906</v>
      </c>
      <c r="AB6076">
        <v>26</v>
      </c>
      <c r="AC6076">
        <v>2.5574999999999699</v>
      </c>
      <c r="AD6076">
        <v>-1.1088136886748901</v>
      </c>
      <c r="AE6076">
        <v>10.56043</v>
      </c>
      <c r="AF6076">
        <v>-3.5838634921304302</v>
      </c>
      <c r="AG6076">
        <v>-1.1088136886748901</v>
      </c>
      <c r="AH6076">
        <v>10.1389525136281</v>
      </c>
      <c r="AI6076">
        <v>95.886952811981601</v>
      </c>
      <c r="AJ6076">
        <v>109.467214333569</v>
      </c>
      <c r="AK6076">
        <v>10.8107309373614</v>
      </c>
    </row>
    <row r="6077" spans="1:37" x14ac:dyDescent="0.2">
      <c r="A6077" t="str">
        <f>"20200111153547892"</f>
        <v>20200111153547892</v>
      </c>
      <c r="B6077" t="str">
        <f>"1578728147882010"</f>
        <v>1578728147882010</v>
      </c>
      <c r="C6077" t="s">
        <v>37</v>
      </c>
      <c r="D6077">
        <v>5.0706559999999996</v>
      </c>
      <c r="E6077">
        <v>0.47819790000000001</v>
      </c>
      <c r="F6077" t="s">
        <v>39</v>
      </c>
      <c r="G6077">
        <v>-191.93950000000001</v>
      </c>
      <c r="H6077" s="1">
        <v>-7.3675399999999998E-7</v>
      </c>
      <c r="I6077">
        <v>-39.896389999999997</v>
      </c>
      <c r="J6077">
        <v>-194.4271</v>
      </c>
      <c r="K6077">
        <v>1.1088</v>
      </c>
      <c r="L6077">
        <v>-50.38306</v>
      </c>
      <c r="M6077">
        <v>0.54094409999999904</v>
      </c>
      <c r="N6077">
        <v>0</v>
      </c>
      <c r="O6077">
        <v>0.84093689999999999</v>
      </c>
      <c r="P6077">
        <v>0.28857379999999999</v>
      </c>
      <c r="Q6077">
        <v>7.4533100000000003E-3</v>
      </c>
      <c r="R6077">
        <v>0.95742870000000002</v>
      </c>
      <c r="S6077">
        <v>0.71681209999999995</v>
      </c>
      <c r="T6077">
        <v>-0.30215890000000001</v>
      </c>
      <c r="U6077">
        <v>2.9206539999999999</v>
      </c>
      <c r="V6077">
        <v>-0.27546219999999999</v>
      </c>
      <c r="W6077">
        <v>1.856346E-2</v>
      </c>
      <c r="X6077">
        <v>0.961132599999999</v>
      </c>
      <c r="Y6077">
        <v>-0.3256598</v>
      </c>
      <c r="Z6077">
        <v>-7.5068759999999998E-2</v>
      </c>
      <c r="AA6077">
        <v>0.94250219999999996</v>
      </c>
      <c r="AB6077">
        <v>26</v>
      </c>
      <c r="AC6077">
        <v>2.48759999999998</v>
      </c>
      <c r="AD6077">
        <v>-1.108800736754</v>
      </c>
      <c r="AE6077">
        <v>10.486669999999901</v>
      </c>
      <c r="AF6077">
        <v>-3.54364749196368</v>
      </c>
      <c r="AG6077">
        <v>-1.108800736754</v>
      </c>
      <c r="AH6077">
        <v>10.058855788847399</v>
      </c>
      <c r="AI6077">
        <v>95.935615673994306</v>
      </c>
      <c r="AJ6077">
        <v>109.406917965708</v>
      </c>
      <c r="AK6077">
        <v>10.7222878343176</v>
      </c>
    </row>
    <row r="6078" spans="1:37" x14ac:dyDescent="0.2">
      <c r="A6078" t="str">
        <f>"20200111153547906"</f>
        <v>20200111153547906</v>
      </c>
      <c r="B6078" t="str">
        <f>"1578728147901527"</f>
        <v>1578728147901527</v>
      </c>
      <c r="C6078" t="s">
        <v>37</v>
      </c>
      <c r="D6078">
        <v>5.0621089999999898</v>
      </c>
      <c r="E6078">
        <v>0.47840149999999998</v>
      </c>
      <c r="F6078" t="s">
        <v>39</v>
      </c>
      <c r="G6078">
        <v>-191.8639</v>
      </c>
      <c r="H6078" s="1">
        <v>-7.8624999999999999E-7</v>
      </c>
      <c r="I6078">
        <v>-39.73413</v>
      </c>
      <c r="J6078">
        <v>-194.34110000000001</v>
      </c>
      <c r="K6078">
        <v>1.1087899999999999</v>
      </c>
      <c r="L6078">
        <v>-50.242459999999902</v>
      </c>
      <c r="M6078">
        <v>0.53800199999999998</v>
      </c>
      <c r="N6078">
        <v>0</v>
      </c>
      <c r="O6078">
        <v>0.84282230000000002</v>
      </c>
      <c r="P6078">
        <v>0.285829099999999</v>
      </c>
      <c r="Q6078">
        <v>7.3382990000000004E-3</v>
      </c>
      <c r="R6078">
        <v>0.95825249999999995</v>
      </c>
      <c r="S6078">
        <v>0.70373540000000001</v>
      </c>
      <c r="T6078">
        <v>-0.30441940000000001</v>
      </c>
      <c r="U6078">
        <v>2.923645</v>
      </c>
      <c r="V6078">
        <v>-0.2748563</v>
      </c>
      <c r="W6078">
        <v>1.84519E-2</v>
      </c>
      <c r="X6078">
        <v>0.96130819999999995</v>
      </c>
      <c r="Y6078">
        <v>-0.32657170000000002</v>
      </c>
      <c r="Z6078">
        <v>-7.5842030000000005E-2</v>
      </c>
      <c r="AA6078">
        <v>0.94212469999999904</v>
      </c>
      <c r="AB6078">
        <v>26</v>
      </c>
      <c r="AC6078">
        <v>2.4772000000000101</v>
      </c>
      <c r="AD6078">
        <v>-1.1087907862499999</v>
      </c>
      <c r="AE6078">
        <v>10.5083299999999</v>
      </c>
      <c r="AF6078">
        <v>-3.5288080250817799</v>
      </c>
      <c r="AG6078">
        <v>-1.1087907862499999</v>
      </c>
      <c r="AH6078">
        <v>10.0840745989062</v>
      </c>
      <c r="AI6078">
        <v>95.925149039807593</v>
      </c>
      <c r="AJ6078">
        <v>109.286917573305</v>
      </c>
      <c r="AK6078">
        <v>10.741064360754001</v>
      </c>
    </row>
    <row r="6079" spans="1:37" x14ac:dyDescent="0.2">
      <c r="A6079" t="str">
        <f>"20200111153547924"</f>
        <v>20200111153547924</v>
      </c>
      <c r="B6079" t="str">
        <f>"1578728147922024"</f>
        <v>1578728147922024</v>
      </c>
      <c r="C6079" t="s">
        <v>37</v>
      </c>
      <c r="D6079">
        <v>5.0387620000000002</v>
      </c>
      <c r="E6079">
        <v>0.47861819999999999</v>
      </c>
      <c r="F6079" t="s">
        <v>39</v>
      </c>
      <c r="G6079">
        <v>-191.81540000000001</v>
      </c>
      <c r="H6079" s="1">
        <v>-8.1563180000000002E-7</v>
      </c>
      <c r="I6079">
        <v>-39.635599999999997</v>
      </c>
      <c r="J6079">
        <v>-194.23310000000001</v>
      </c>
      <c r="K6079">
        <v>1.1087879999999899</v>
      </c>
      <c r="L6079">
        <v>-50.06427</v>
      </c>
      <c r="M6079">
        <v>0.53426059999999997</v>
      </c>
      <c r="N6079">
        <v>0</v>
      </c>
      <c r="O6079">
        <v>0.84519909999999998</v>
      </c>
      <c r="P6079">
        <v>0.283114799999999</v>
      </c>
      <c r="Q6079">
        <v>7.2095450000000004E-3</v>
      </c>
      <c r="R6079">
        <v>0.95905890000000005</v>
      </c>
      <c r="S6079">
        <v>0.69656370000000001</v>
      </c>
      <c r="T6079">
        <v>-0.30579319999999999</v>
      </c>
      <c r="U6079">
        <v>2.925262</v>
      </c>
      <c r="V6079">
        <v>-0.27331549999999999</v>
      </c>
      <c r="W6079">
        <v>1.833653E-2</v>
      </c>
      <c r="X6079">
        <v>0.96174969999999904</v>
      </c>
      <c r="Y6079">
        <v>-0.3246966</v>
      </c>
      <c r="Z6079">
        <v>-7.6542250000000006E-2</v>
      </c>
      <c r="AA6079">
        <v>0.942716</v>
      </c>
      <c r="AB6079">
        <v>26</v>
      </c>
      <c r="AC6079">
        <v>2.4176999999999902</v>
      </c>
      <c r="AD6079">
        <v>-1.1087888156318</v>
      </c>
      <c r="AE6079">
        <v>10.42867</v>
      </c>
      <c r="AF6079">
        <v>-3.49109850338044</v>
      </c>
      <c r="AG6079">
        <v>-1.1087888156318</v>
      </c>
      <c r="AH6079">
        <v>9.9997422386286807</v>
      </c>
      <c r="AI6079">
        <v>95.976262894971001</v>
      </c>
      <c r="AJ6079">
        <v>109.245057281917</v>
      </c>
      <c r="AK6079">
        <v>10.6495082626847</v>
      </c>
    </row>
    <row r="6080" spans="1:37" x14ac:dyDescent="0.2">
      <c r="A6080" t="str">
        <f>"20200111153547947"</f>
        <v>20200111153547947</v>
      </c>
      <c r="B6080" t="str">
        <f>"1578728147941543"</f>
        <v>1578728147941543</v>
      </c>
      <c r="C6080" t="s">
        <v>37</v>
      </c>
      <c r="D6080">
        <v>5.0042359999999997</v>
      </c>
      <c r="E6080">
        <v>0.47871199999999903</v>
      </c>
      <c r="F6080" t="s">
        <v>39</v>
      </c>
      <c r="G6080">
        <v>-191.7398</v>
      </c>
      <c r="H6080" s="1">
        <v>-8.6188659999999899E-7</v>
      </c>
      <c r="I6080">
        <v>-39.48086</v>
      </c>
      <c r="J6080">
        <v>-194.0966</v>
      </c>
      <c r="K6080">
        <v>1.108787</v>
      </c>
      <c r="L6080">
        <v>-49.836359999999999</v>
      </c>
      <c r="M6080">
        <v>0.52944609999999903</v>
      </c>
      <c r="N6080">
        <v>0</v>
      </c>
      <c r="O6080">
        <v>0.84822339999999996</v>
      </c>
      <c r="P6080">
        <v>0.27936729999999999</v>
      </c>
      <c r="Q6080">
        <v>7.0539050000000001E-3</v>
      </c>
      <c r="R6080">
        <v>0.96015839999999997</v>
      </c>
      <c r="S6080">
        <v>0.68952939999999996</v>
      </c>
      <c r="T6080">
        <v>-0.30663319999999999</v>
      </c>
      <c r="U6080">
        <v>2.9268190000000001</v>
      </c>
      <c r="V6080">
        <v>-0.27160109999999998</v>
      </c>
      <c r="W6080">
        <v>1.818825E-2</v>
      </c>
      <c r="X6080">
        <v>0.96223809999999999</v>
      </c>
      <c r="Y6080">
        <v>-0.32158730000000002</v>
      </c>
      <c r="Z6080">
        <v>-7.7231679999999997E-2</v>
      </c>
      <c r="AA6080">
        <v>0.94372500000000004</v>
      </c>
      <c r="AB6080">
        <v>26</v>
      </c>
      <c r="AC6080">
        <v>2.35679999999999</v>
      </c>
      <c r="AD6080">
        <v>-1.1087878618866001</v>
      </c>
      <c r="AE6080">
        <v>10.355499999999999</v>
      </c>
      <c r="AF6080">
        <v>-3.44637617896813</v>
      </c>
      <c r="AG6080">
        <v>-1.1087878618866001</v>
      </c>
      <c r="AH6080">
        <v>9.9244234932011093</v>
      </c>
      <c r="AI6080">
        <v>96.024728344924696</v>
      </c>
      <c r="AJ6080">
        <v>109.150176615143</v>
      </c>
      <c r="AK6080">
        <v>10.564142225567901</v>
      </c>
    </row>
    <row r="6081" spans="1:37" x14ac:dyDescent="0.2">
      <c r="A6081" t="str">
        <f>"20200111153547962"</f>
        <v>20200111153547962</v>
      </c>
      <c r="B6081" t="str">
        <f>"1578728147951303"</f>
        <v>1578728147951303</v>
      </c>
      <c r="C6081" t="s">
        <v>37</v>
      </c>
      <c r="D6081">
        <v>5.048133</v>
      </c>
      <c r="E6081">
        <v>0.47876609999999997</v>
      </c>
      <c r="F6081" t="s">
        <v>39</v>
      </c>
      <c r="G6081">
        <v>-191.66319999999999</v>
      </c>
      <c r="H6081" s="1">
        <v>-9.0547760000000001E-7</v>
      </c>
      <c r="I6081">
        <v>-39.331759999999903</v>
      </c>
      <c r="J6081">
        <v>-194.0087</v>
      </c>
      <c r="K6081">
        <v>1.1087940000000001</v>
      </c>
      <c r="L6081">
        <v>-49.687959999999997</v>
      </c>
      <c r="M6081">
        <v>0.5262926</v>
      </c>
      <c r="N6081">
        <v>0</v>
      </c>
      <c r="O6081">
        <v>0.85018379999999905</v>
      </c>
      <c r="P6081">
        <v>0.2766112</v>
      </c>
      <c r="Q6081">
        <v>6.833329E-3</v>
      </c>
      <c r="R6081">
        <v>0.96095759999999897</v>
      </c>
      <c r="S6081">
        <v>0.67858890000000005</v>
      </c>
      <c r="T6081">
        <v>-0.30919750000000001</v>
      </c>
      <c r="U6081">
        <v>2.9293209999999998</v>
      </c>
      <c r="V6081">
        <v>-0.27078720000000001</v>
      </c>
      <c r="W6081">
        <v>1.796561E-2</v>
      </c>
      <c r="X6081">
        <v>0.96247159999999998</v>
      </c>
      <c r="Y6081">
        <v>-0.32160840000000002</v>
      </c>
      <c r="Z6081">
        <v>-7.8125570000000005E-2</v>
      </c>
      <c r="AA6081">
        <v>0.94364419999999904</v>
      </c>
      <c r="AB6081">
        <v>26</v>
      </c>
      <c r="AC6081">
        <v>2.3455000000000101</v>
      </c>
      <c r="AD6081">
        <v>-1.1087949054776001</v>
      </c>
      <c r="AE6081">
        <v>10.356199999999999</v>
      </c>
      <c r="AF6081">
        <v>-3.4193533445452799</v>
      </c>
      <c r="AG6081">
        <v>-1.1087949054776001</v>
      </c>
      <c r="AH6081">
        <v>9.9318205022405603</v>
      </c>
      <c r="AI6081">
        <v>96.025813853710403</v>
      </c>
      <c r="AJ6081">
        <v>108.997696117367</v>
      </c>
      <c r="AK6081">
        <v>10.5623132847872</v>
      </c>
    </row>
    <row r="6082" spans="1:37" x14ac:dyDescent="0.2">
      <c r="A6082" t="str">
        <f>"20200111153547981"</f>
        <v>20200111153547981</v>
      </c>
      <c r="B6082" t="str">
        <f>"1578728147971798"</f>
        <v>1578728147971798</v>
      </c>
      <c r="C6082" t="s">
        <v>37</v>
      </c>
      <c r="D6082">
        <v>5.0903109999999998</v>
      </c>
      <c r="E6082">
        <v>0.47886800000000002</v>
      </c>
      <c r="F6082" t="s">
        <v>39</v>
      </c>
      <c r="G6082">
        <v>-191.6139</v>
      </c>
      <c r="H6082" s="1">
        <v>-9.4151700000000005E-7</v>
      </c>
      <c r="I6082">
        <v>-39.217140000000001</v>
      </c>
      <c r="J6082">
        <v>-193.8964</v>
      </c>
      <c r="K6082">
        <v>1.108808</v>
      </c>
      <c r="L6082">
        <v>-49.496699999999997</v>
      </c>
      <c r="M6082">
        <v>0.52220370000000005</v>
      </c>
      <c r="N6082">
        <v>0</v>
      </c>
      <c r="O6082">
        <v>0.85270170000000001</v>
      </c>
      <c r="P6082">
        <v>0.27357789999999998</v>
      </c>
      <c r="Q6082">
        <v>6.4150969999999998E-3</v>
      </c>
      <c r="R6082">
        <v>0.96182849999999998</v>
      </c>
      <c r="S6082">
        <v>0.67037959999999996</v>
      </c>
      <c r="T6082">
        <v>-0.31038779999999999</v>
      </c>
      <c r="U6082">
        <v>2.9311219999999998</v>
      </c>
      <c r="V6082">
        <v>-0.26919910000000002</v>
      </c>
      <c r="W6082">
        <v>1.7545100000000001E-2</v>
      </c>
      <c r="X6082">
        <v>0.96292469999999997</v>
      </c>
      <c r="Y6082">
        <v>-0.31970949999999998</v>
      </c>
      <c r="Z6082">
        <v>-7.880827E-2</v>
      </c>
      <c r="AA6082">
        <v>0.94423250000000003</v>
      </c>
      <c r="AB6082">
        <v>26</v>
      </c>
      <c r="AC6082">
        <v>2.28249999999999</v>
      </c>
      <c r="AD6082">
        <v>-1.1088089415169999</v>
      </c>
      <c r="AE6082">
        <v>10.279559999999901</v>
      </c>
      <c r="AF6082">
        <v>-3.3845513818940298</v>
      </c>
      <c r="AG6082">
        <v>-1.1088089415169999</v>
      </c>
      <c r="AH6082">
        <v>9.84912984536453</v>
      </c>
      <c r="AI6082">
        <v>96.077297221547894</v>
      </c>
      <c r="AJ6082">
        <v>108.964752393266</v>
      </c>
      <c r="AK6082">
        <v>10.473299577321299</v>
      </c>
    </row>
    <row r="6083" spans="1:37" x14ac:dyDescent="0.2">
      <c r="A6083" t="str">
        <f>"20200111153547996"</f>
        <v>20200111153547996</v>
      </c>
      <c r="B6083" t="str">
        <f>"1578728147991319"</f>
        <v>1578728147991319</v>
      </c>
      <c r="C6083" t="s">
        <v>37</v>
      </c>
      <c r="D6083">
        <v>5.1114269999999999</v>
      </c>
      <c r="E6083">
        <v>0.47892049999999903</v>
      </c>
      <c r="F6083" t="s">
        <v>39</v>
      </c>
      <c r="G6083">
        <v>-191.55119999999999</v>
      </c>
      <c r="H6083" s="1">
        <v>-9.7556629999999997E-7</v>
      </c>
      <c r="I6083">
        <v>-39.098880000000001</v>
      </c>
      <c r="J6083">
        <v>-193.81049999999999</v>
      </c>
      <c r="K6083">
        <v>1.1088209999999901</v>
      </c>
      <c r="L6083">
        <v>-49.348820000000003</v>
      </c>
      <c r="M6083">
        <v>0.51902150000000002</v>
      </c>
      <c r="N6083">
        <v>0</v>
      </c>
      <c r="O6083">
        <v>0.85464259999999903</v>
      </c>
      <c r="P6083">
        <v>0.27080989999999999</v>
      </c>
      <c r="Q6083">
        <v>6.269564E-3</v>
      </c>
      <c r="R6083">
        <v>0.96261249999999998</v>
      </c>
      <c r="S6083">
        <v>0.66154480000000004</v>
      </c>
      <c r="T6083">
        <v>-0.31276920000000002</v>
      </c>
      <c r="U6083">
        <v>2.9329830000000001</v>
      </c>
      <c r="V6083">
        <v>-0.26837909999999998</v>
      </c>
      <c r="W6083">
        <v>1.73892E-2</v>
      </c>
      <c r="X6083">
        <v>0.96315640000000002</v>
      </c>
      <c r="Y6083">
        <v>-0.31902720000000001</v>
      </c>
      <c r="Z6083">
        <v>-7.9685080000000005E-2</v>
      </c>
      <c r="AA6083">
        <v>0.944389699999999</v>
      </c>
      <c r="AB6083">
        <v>26</v>
      </c>
      <c r="AC6083">
        <v>2.2592999999999899</v>
      </c>
      <c r="AD6083">
        <v>-1.10882197556629</v>
      </c>
      <c r="AE6083">
        <v>10.24994</v>
      </c>
      <c r="AF6083">
        <v>-3.3519795403277901</v>
      </c>
      <c r="AG6083">
        <v>-1.10882197556629</v>
      </c>
      <c r="AH6083">
        <v>9.8240280754463498</v>
      </c>
      <c r="AI6083">
        <v>96.097299027372898</v>
      </c>
      <c r="AJ6083">
        <v>108.83975166787999</v>
      </c>
      <c r="AK6083">
        <v>10.439194443990001</v>
      </c>
    </row>
    <row r="6084" spans="1:37" x14ac:dyDescent="0.2">
      <c r="A6084" t="str">
        <f>"20200111153548013"</f>
        <v>20200111153548013</v>
      </c>
      <c r="B6084" t="str">
        <f>"1578728148002057"</f>
        <v>1578728148002057</v>
      </c>
      <c r="C6084" t="s">
        <v>37</v>
      </c>
      <c r="D6084">
        <v>5.1009669999999998</v>
      </c>
      <c r="E6084">
        <v>0.47897679999999998</v>
      </c>
      <c r="F6084" t="s">
        <v>39</v>
      </c>
      <c r="G6084">
        <v>-191.50620000000001</v>
      </c>
      <c r="H6084" s="1">
        <v>-1.005917E-6</v>
      </c>
      <c r="I6084">
        <v>-39.00027</v>
      </c>
      <c r="J6084">
        <v>-193.70820000000001</v>
      </c>
      <c r="K6084">
        <v>1.108838</v>
      </c>
      <c r="L6084">
        <v>-49.170720000000003</v>
      </c>
      <c r="M6084">
        <v>0.51516379999999995</v>
      </c>
      <c r="N6084">
        <v>0</v>
      </c>
      <c r="O6084">
        <v>0.85697380000000001</v>
      </c>
      <c r="P6084">
        <v>0.26782519999999999</v>
      </c>
      <c r="Q6084">
        <v>6.4370080000000001E-3</v>
      </c>
      <c r="R6084">
        <v>0.96344599999999903</v>
      </c>
      <c r="S6084">
        <v>0.65347290000000002</v>
      </c>
      <c r="T6084">
        <v>-0.31444879999999997</v>
      </c>
      <c r="U6084">
        <v>2.934723</v>
      </c>
      <c r="V6084">
        <v>-0.26702379999999998</v>
      </c>
      <c r="W6084">
        <v>1.7540340000000001E-2</v>
      </c>
      <c r="X6084">
        <v>0.96353029999999995</v>
      </c>
      <c r="Y6084">
        <v>-0.31736140000000002</v>
      </c>
      <c r="Z6084">
        <v>-8.0466629999999997E-2</v>
      </c>
      <c r="AA6084">
        <v>0.94488459999999996</v>
      </c>
      <c r="AB6084">
        <v>26</v>
      </c>
      <c r="AC6084">
        <v>2.2019999999999902</v>
      </c>
      <c r="AD6084">
        <v>-1.1088390059169999</v>
      </c>
      <c r="AE6084">
        <v>10.170450000000001</v>
      </c>
      <c r="AF6084">
        <v>-3.3150896834104802</v>
      </c>
      <c r="AG6084">
        <v>-1.1088390059169999</v>
      </c>
      <c r="AH6084">
        <v>9.7405978143363203</v>
      </c>
      <c r="AI6084">
        <v>96.150830285157397</v>
      </c>
      <c r="AJ6084">
        <v>108.79535960006</v>
      </c>
      <c r="AK6084">
        <v>10.3488448307408</v>
      </c>
    </row>
    <row r="6085" spans="1:37" x14ac:dyDescent="0.2">
      <c r="A6085" t="str">
        <f>"20200111153548038"</f>
        <v>20200111153548038</v>
      </c>
      <c r="B6085" t="str">
        <f>"1578728148031337"</f>
        <v>1578728148031337</v>
      </c>
      <c r="C6085" t="s">
        <v>37</v>
      </c>
      <c r="D6085">
        <v>5.0787509999999996</v>
      </c>
      <c r="E6085">
        <v>0.479083799999999</v>
      </c>
      <c r="F6085" t="s">
        <v>39</v>
      </c>
      <c r="G6085">
        <v>-191.4374</v>
      </c>
      <c r="H6085" s="1">
        <v>-1.0624969999999999E-6</v>
      </c>
      <c r="I6085">
        <v>-38.825710000000001</v>
      </c>
      <c r="J6085">
        <v>-193.57679999999999</v>
      </c>
      <c r="K6085">
        <v>1.1088629999999999</v>
      </c>
      <c r="L6085">
        <v>-48.939419999999998</v>
      </c>
      <c r="M6085">
        <v>0.51011269999999997</v>
      </c>
      <c r="N6085">
        <v>0</v>
      </c>
      <c r="O6085">
        <v>0.859990699999999</v>
      </c>
      <c r="P6085">
        <v>0.26325329999999902</v>
      </c>
      <c r="Q6085">
        <v>7.2720529999999997E-3</v>
      </c>
      <c r="R6085">
        <v>0.96469930000000004</v>
      </c>
      <c r="S6085">
        <v>0.64462280000000005</v>
      </c>
      <c r="T6085">
        <v>-0.31477690000000003</v>
      </c>
      <c r="U6085">
        <v>2.9367369999999999</v>
      </c>
      <c r="V6085">
        <v>-0.26592909999999997</v>
      </c>
      <c r="W6085">
        <v>1.8332709999999999E-2</v>
      </c>
      <c r="X6085">
        <v>0.96381830000000002</v>
      </c>
      <c r="Y6085">
        <v>-0.31464169999999902</v>
      </c>
      <c r="Z6085">
        <v>-8.1025440000000004E-2</v>
      </c>
      <c r="AA6085">
        <v>0.94574599999999898</v>
      </c>
      <c r="AB6085">
        <v>26</v>
      </c>
      <c r="AC6085">
        <v>2.13939999999999</v>
      </c>
      <c r="AD6085">
        <v>-1.1088640624969901</v>
      </c>
      <c r="AE6085">
        <v>10.1137099999999</v>
      </c>
      <c r="AF6085">
        <v>-3.28184062447284</v>
      </c>
      <c r="AG6085">
        <v>-1.1088640624969901</v>
      </c>
      <c r="AH6085">
        <v>9.6786531177145907</v>
      </c>
      <c r="AI6085">
        <v>96.1923825642466</v>
      </c>
      <c r="AJ6085">
        <v>108.73078549735099</v>
      </c>
      <c r="AK6085">
        <v>10.279901923976899</v>
      </c>
    </row>
    <row r="6086" spans="1:37" x14ac:dyDescent="0.2">
      <c r="A6086" t="str">
        <f>"20200111153548060"</f>
        <v>20200111153548060</v>
      </c>
      <c r="B6086" t="str">
        <f>"1578728148051831"</f>
        <v>1578728148051831</v>
      </c>
      <c r="C6086" t="s">
        <v>37</v>
      </c>
      <c r="D6086">
        <v>5.0884229999999997</v>
      </c>
      <c r="E6086">
        <v>0.47911979999999998</v>
      </c>
      <c r="F6086" t="s">
        <v>39</v>
      </c>
      <c r="G6086">
        <v>-191.34469999999999</v>
      </c>
      <c r="H6086" s="1">
        <v>-1.1581219999999999E-6</v>
      </c>
      <c r="I6086">
        <v>-38.545279999999998</v>
      </c>
      <c r="J6086">
        <v>-193.44309999999999</v>
      </c>
      <c r="K6086">
        <v>1.1088830000000001</v>
      </c>
      <c r="L6086">
        <v>-48.700620000000001</v>
      </c>
      <c r="M6086">
        <v>0.50484600000000002</v>
      </c>
      <c r="N6086">
        <v>0</v>
      </c>
      <c r="O6086">
        <v>0.86309389999999997</v>
      </c>
      <c r="P6086">
        <v>0.25814189999999998</v>
      </c>
      <c r="Q6086">
        <v>7.8914569999999993E-3</v>
      </c>
      <c r="R6086">
        <v>0.96607480000000001</v>
      </c>
      <c r="S6086">
        <v>0.63131709999999996</v>
      </c>
      <c r="T6086">
        <v>-0.31362800000000002</v>
      </c>
      <c r="U6086">
        <v>2.9398499999999999</v>
      </c>
      <c r="V6086">
        <v>-0.26514460000000001</v>
      </c>
      <c r="W6086">
        <v>1.889099E-2</v>
      </c>
      <c r="X6086">
        <v>0.96402359999999898</v>
      </c>
      <c r="Y6086">
        <v>-0.31313679999999999</v>
      </c>
      <c r="Z6086">
        <v>-8.117858E-2</v>
      </c>
      <c r="AA6086">
        <v>0.94623219999999997</v>
      </c>
      <c r="AB6086">
        <v>26</v>
      </c>
      <c r="AC6086">
        <v>2.0983999999999901</v>
      </c>
      <c r="AD6086">
        <v>-1.1088841581219999</v>
      </c>
      <c r="AE6086">
        <v>10.155340000000001</v>
      </c>
      <c r="AF6086">
        <v>-3.2786072590652502</v>
      </c>
      <c r="AG6086">
        <v>-1.1088841581219999</v>
      </c>
      <c r="AH6086">
        <v>9.7142805477768306</v>
      </c>
      <c r="AI6086">
        <v>96.172888666601395</v>
      </c>
      <c r="AJ6086">
        <v>108.64973770795901</v>
      </c>
      <c r="AK6086">
        <v>10.312426300160601</v>
      </c>
    </row>
    <row r="6087" spans="1:37" x14ac:dyDescent="0.2">
      <c r="A6087" t="str">
        <f>"20200111153548083"</f>
        <v>20200111153548083</v>
      </c>
      <c r="B6087" t="str">
        <f>"1578728148071367"</f>
        <v>1578728148071367</v>
      </c>
      <c r="C6087" t="s">
        <v>37</v>
      </c>
      <c r="D6087">
        <v>5.1524619999999999</v>
      </c>
      <c r="E6087">
        <v>0.47908509999999999</v>
      </c>
      <c r="F6087" t="s">
        <v>39</v>
      </c>
      <c r="G6087">
        <v>-191.25919999999999</v>
      </c>
      <c r="H6087" s="1">
        <v>-1.257896E-6</v>
      </c>
      <c r="I6087">
        <v>-38.259689999999999</v>
      </c>
      <c r="J6087">
        <v>-193.32079999999999</v>
      </c>
      <c r="K6087">
        <v>1.1089</v>
      </c>
      <c r="L6087">
        <v>-48.478879999999997</v>
      </c>
      <c r="M6087">
        <v>0.49991289999999999</v>
      </c>
      <c r="N6087">
        <v>0</v>
      </c>
      <c r="O6087">
        <v>0.86596149999999905</v>
      </c>
      <c r="P6087">
        <v>0.25334620000000002</v>
      </c>
      <c r="Q6087">
        <v>7.6742019999999998E-3</v>
      </c>
      <c r="R6087">
        <v>0.96734519999999902</v>
      </c>
      <c r="S6087">
        <v>0.61566160000000003</v>
      </c>
      <c r="T6087">
        <v>-0.3126041</v>
      </c>
      <c r="U6087">
        <v>2.94339</v>
      </c>
      <c r="V6087">
        <v>-0.26442459999999901</v>
      </c>
      <c r="W6087">
        <v>1.8611610000000001E-2</v>
      </c>
      <c r="X6087">
        <v>0.96422680000000005</v>
      </c>
      <c r="Y6087">
        <v>-0.31276739999999997</v>
      </c>
      <c r="Z6087">
        <v>-8.1298220000000004E-2</v>
      </c>
      <c r="AA6087">
        <v>0.94634409999999902</v>
      </c>
      <c r="AB6087">
        <v>26</v>
      </c>
      <c r="AC6087">
        <v>2.0615999999999901</v>
      </c>
      <c r="AD6087">
        <v>-1.108901257896</v>
      </c>
      <c r="AE6087">
        <v>10.2191899999999</v>
      </c>
      <c r="AF6087">
        <v>-3.2865819731588202</v>
      </c>
      <c r="AG6087">
        <v>-1.108901257896</v>
      </c>
      <c r="AH6087">
        <v>9.7704765085527097</v>
      </c>
      <c r="AI6087">
        <v>96.139824045276896</v>
      </c>
      <c r="AJ6087">
        <v>108.59185249479199</v>
      </c>
      <c r="AK6087">
        <v>10.367906937768799</v>
      </c>
    </row>
    <row r="6088" spans="1:37" x14ac:dyDescent="0.2">
      <c r="A6088" t="str">
        <f>"20200111153548097"</f>
        <v>20200111153548097</v>
      </c>
      <c r="B6088" t="str">
        <f>"1578728148091846"</f>
        <v>1578728148091846</v>
      </c>
      <c r="C6088" t="s">
        <v>37</v>
      </c>
      <c r="D6088">
        <v>5.1018019999999904</v>
      </c>
      <c r="E6088">
        <v>0.47403339999999999</v>
      </c>
      <c r="F6088" t="s">
        <v>39</v>
      </c>
      <c r="G6088">
        <v>-191.1917</v>
      </c>
      <c r="H6088" s="1">
        <v>-1.3373539999999899E-6</v>
      </c>
      <c r="I6088">
        <v>-38.03257</v>
      </c>
      <c r="J6088">
        <v>-193.2353</v>
      </c>
      <c r="K6088">
        <v>1.1089039999999999</v>
      </c>
      <c r="L6088">
        <v>-48.32217</v>
      </c>
      <c r="M6088">
        <v>0.49640779999999901</v>
      </c>
      <c r="N6088">
        <v>0</v>
      </c>
      <c r="O6088">
        <v>0.86797619999999898</v>
      </c>
      <c r="P6088">
        <v>0.24974749999999901</v>
      </c>
      <c r="Q6088">
        <v>7.5228069999999899E-3</v>
      </c>
      <c r="R6088">
        <v>0.96828169999999902</v>
      </c>
      <c r="S6088">
        <v>0.60055539999999996</v>
      </c>
      <c r="T6088">
        <v>-0.31277519999999998</v>
      </c>
      <c r="U6088">
        <v>2.946472</v>
      </c>
      <c r="V6088">
        <v>-0.26411059999999997</v>
      </c>
      <c r="W6088">
        <v>1.8415190000000001E-2</v>
      </c>
      <c r="X6088">
        <v>0.96431650000000002</v>
      </c>
      <c r="Y6088">
        <v>-0.31378139999999999</v>
      </c>
      <c r="Z6088">
        <v>-8.1581059999999997E-2</v>
      </c>
      <c r="AA6088">
        <v>0.94598400000000005</v>
      </c>
      <c r="AB6088">
        <v>26</v>
      </c>
      <c r="AC6088">
        <v>2.0435999999999899</v>
      </c>
      <c r="AD6088">
        <v>-1.1089053373540001</v>
      </c>
      <c r="AE6088">
        <v>10.2896</v>
      </c>
      <c r="AF6088">
        <v>-3.2975243593599601</v>
      </c>
      <c r="AG6088">
        <v>-1.1089053373540001</v>
      </c>
      <c r="AH6088">
        <v>9.8366546038385891</v>
      </c>
      <c r="AI6088">
        <v>96.100953886534597</v>
      </c>
      <c r="AJ6088">
        <v>108.532606084934</v>
      </c>
      <c r="AK6088">
        <v>10.4337486908111</v>
      </c>
    </row>
    <row r="6089" spans="1:37" x14ac:dyDescent="0.2">
      <c r="A6089" t="str">
        <f>"20200111153548114"</f>
        <v>20200111153548114</v>
      </c>
      <c r="B6089" t="str">
        <f>"1578728148101607"</f>
        <v>1578728148101607</v>
      </c>
      <c r="C6089" t="s">
        <v>37</v>
      </c>
      <c r="D6089">
        <v>5.1080519999999998</v>
      </c>
      <c r="E6089">
        <v>0.47425839999999903</v>
      </c>
      <c r="F6089" t="s">
        <v>39</v>
      </c>
      <c r="G6089">
        <v>-190.8048</v>
      </c>
      <c r="H6089" s="1">
        <v>-2.42561E-6</v>
      </c>
      <c r="I6089">
        <v>-35.255899999999997</v>
      </c>
      <c r="J6089">
        <v>-193.14619999999999</v>
      </c>
      <c r="K6089">
        <v>1.1089059999999999</v>
      </c>
      <c r="L6089">
        <v>-48.156829999999999</v>
      </c>
      <c r="M6089">
        <v>0.49269429999999997</v>
      </c>
      <c r="N6089">
        <v>0</v>
      </c>
      <c r="O6089">
        <v>0.87009020000000004</v>
      </c>
      <c r="P6089">
        <v>0.246370899999999</v>
      </c>
      <c r="Q6089">
        <v>6.6740749999999998E-3</v>
      </c>
      <c r="R6089">
        <v>0.96915260000000003</v>
      </c>
      <c r="S6089">
        <v>0.55027769999999898</v>
      </c>
      <c r="T6089">
        <v>-0.25106309999999998</v>
      </c>
      <c r="U6089">
        <v>2.9582820000000001</v>
      </c>
      <c r="V6089">
        <v>-0.26334540000000001</v>
      </c>
      <c r="W6089">
        <v>1.7530319999999999E-2</v>
      </c>
      <c r="X6089">
        <v>0.96454229999999996</v>
      </c>
      <c r="Y6089">
        <v>-0.32569870000000001</v>
      </c>
      <c r="Z6089">
        <v>-6.5515210000000004E-2</v>
      </c>
      <c r="AA6089">
        <v>0.94320099999999996</v>
      </c>
      <c r="AB6089">
        <v>26</v>
      </c>
      <c r="AC6089">
        <v>2.3413999999999899</v>
      </c>
      <c r="AD6089">
        <v>-1.1089084256099999</v>
      </c>
      <c r="AE6089">
        <v>12.900930000000001</v>
      </c>
      <c r="AF6089">
        <v>-4.2887311069183802</v>
      </c>
      <c r="AG6089">
        <v>-1.1089084256099999</v>
      </c>
      <c r="AH6089">
        <v>12.291855675165801</v>
      </c>
      <c r="AI6089">
        <v>94.868646970129305</v>
      </c>
      <c r="AJ6089">
        <v>109.234306264582</v>
      </c>
      <c r="AK6089">
        <v>13.0657035150406</v>
      </c>
    </row>
    <row r="6090" spans="1:37" x14ac:dyDescent="0.2">
      <c r="A6090" t="str">
        <f>"20200111153548137"</f>
        <v>20200111153548137</v>
      </c>
      <c r="B6090" t="str">
        <f>"1578728148131863"</f>
        <v>1578728148131863</v>
      </c>
      <c r="C6090" t="s">
        <v>37</v>
      </c>
      <c r="D6090">
        <v>5.1210500000000003</v>
      </c>
      <c r="E6090">
        <v>0.47420230000000002</v>
      </c>
      <c r="F6090" t="s">
        <v>39</v>
      </c>
      <c r="G6090">
        <v>-190.8005</v>
      </c>
      <c r="H6090" s="1">
        <v>-2.3918889999999998E-6</v>
      </c>
      <c r="I6090">
        <v>-35.331850000000003</v>
      </c>
      <c r="J6090">
        <v>-193.02119999999999</v>
      </c>
      <c r="K6090">
        <v>1.108905</v>
      </c>
      <c r="L6090">
        <v>-47.922449999999998</v>
      </c>
      <c r="M6090">
        <v>0.48740420000000001</v>
      </c>
      <c r="N6090">
        <v>0</v>
      </c>
      <c r="O6090">
        <v>0.87306569999999994</v>
      </c>
      <c r="P6090">
        <v>0.2413747</v>
      </c>
      <c r="Q6090">
        <v>6.1967139999999999E-3</v>
      </c>
      <c r="R6090">
        <v>0.97041219999999995</v>
      </c>
      <c r="S6090">
        <v>0.54130549999999999</v>
      </c>
      <c r="T6090">
        <v>-0.25590570000000001</v>
      </c>
      <c r="U6090">
        <v>2.9596559999999998</v>
      </c>
      <c r="V6090">
        <v>-0.26245599999999902</v>
      </c>
      <c r="W6090">
        <v>1.6991099999999999E-2</v>
      </c>
      <c r="X6090">
        <v>0.96479439999999905</v>
      </c>
      <c r="Y6090">
        <v>-0.322822</v>
      </c>
      <c r="Z6090">
        <v>-6.7168179999999994E-2</v>
      </c>
      <c r="AA6090">
        <v>0.9440733</v>
      </c>
      <c r="AB6090">
        <v>26</v>
      </c>
      <c r="AC6090">
        <v>2.2206999999999901</v>
      </c>
      <c r="AD6090">
        <v>-1.108907391889</v>
      </c>
      <c r="AE6090">
        <v>12.590599999999901</v>
      </c>
      <c r="AF6090">
        <v>-4.1669522484980197</v>
      </c>
      <c r="AG6090">
        <v>-1.108907391889</v>
      </c>
      <c r="AH6090">
        <v>11.985797908161199</v>
      </c>
      <c r="AI6090">
        <v>94.994273122270499</v>
      </c>
      <c r="AJ6090">
        <v>109.170389516737</v>
      </c>
      <c r="AK6090">
        <v>12.737838048127699</v>
      </c>
    </row>
    <row r="6091" spans="1:37" x14ac:dyDescent="0.2">
      <c r="A6091" t="str">
        <f>"20200111153548161"</f>
        <v>20200111153548161</v>
      </c>
      <c r="B6091" t="str">
        <f>"1578728148151383"</f>
        <v>1578728148151383</v>
      </c>
      <c r="C6091" t="s">
        <v>37</v>
      </c>
      <c r="D6091">
        <v>5.1333729999999997</v>
      </c>
      <c r="E6091">
        <v>0.47451099999999902</v>
      </c>
      <c r="F6091" t="s">
        <v>39</v>
      </c>
      <c r="G6091">
        <v>-190.7396</v>
      </c>
      <c r="H6091" s="1">
        <v>-2.4913869999999998E-6</v>
      </c>
      <c r="I6091">
        <v>-35.06212</v>
      </c>
      <c r="J6091">
        <v>-192.89340000000001</v>
      </c>
      <c r="K6091">
        <v>1.1088990000000001</v>
      </c>
      <c r="L6091">
        <v>-47.678890000000003</v>
      </c>
      <c r="M6091">
        <v>0.48188350000000002</v>
      </c>
      <c r="N6091">
        <v>0</v>
      </c>
      <c r="O6091">
        <v>0.87612630000000002</v>
      </c>
      <c r="P6091">
        <v>0.23602139999999999</v>
      </c>
      <c r="Q6091">
        <v>5.988826E-3</v>
      </c>
      <c r="R6091">
        <v>0.97172939999999997</v>
      </c>
      <c r="S6091">
        <v>0.52555850000000004</v>
      </c>
      <c r="T6091">
        <v>-0.2554362</v>
      </c>
      <c r="U6091">
        <v>2.9623719999999998</v>
      </c>
      <c r="V6091">
        <v>-0.26168150000000001</v>
      </c>
      <c r="W6091">
        <v>1.670218E-2</v>
      </c>
      <c r="X6091">
        <v>0.96500969999999997</v>
      </c>
      <c r="Y6091">
        <v>-0.3218627</v>
      </c>
      <c r="Z6091">
        <v>-6.7405430000000002E-2</v>
      </c>
      <c r="AA6091">
        <v>0.94438389999999905</v>
      </c>
      <c r="AB6091">
        <v>26</v>
      </c>
      <c r="AC6091">
        <v>2.1538000000000102</v>
      </c>
      <c r="AD6091">
        <v>-1.1089014913869999</v>
      </c>
      <c r="AE6091">
        <v>12.616770000000001</v>
      </c>
      <c r="AF6091">
        <v>-4.1619727423552302</v>
      </c>
      <c r="AG6091">
        <v>-1.1089014913869999</v>
      </c>
      <c r="AH6091">
        <v>12.002825204724401</v>
      </c>
      <c r="AI6091">
        <v>94.988593879155403</v>
      </c>
      <c r="AJ6091">
        <v>109.123959231271</v>
      </c>
      <c r="AK6091">
        <v>12.752234804961599</v>
      </c>
    </row>
    <row r="6092" spans="1:37" x14ac:dyDescent="0.2">
      <c r="A6092" t="str">
        <f>"20200111153548182"</f>
        <v>20200111153548182</v>
      </c>
      <c r="B6092" t="str">
        <f>"1578728148171881"</f>
        <v>1578728148171881</v>
      </c>
      <c r="C6092" t="s">
        <v>37</v>
      </c>
      <c r="D6092">
        <v>5.0858989999999897</v>
      </c>
      <c r="E6092">
        <v>0.47531250000000003</v>
      </c>
      <c r="F6092" t="s">
        <v>39</v>
      </c>
      <c r="G6092">
        <v>-190.6952</v>
      </c>
      <c r="H6092" s="1">
        <v>-2.5300189999999998E-6</v>
      </c>
      <c r="I6092">
        <v>-34.944519999999997</v>
      </c>
      <c r="J6092">
        <v>-192.77930000000001</v>
      </c>
      <c r="K6092">
        <v>1.1088899999999999</v>
      </c>
      <c r="L6092">
        <v>-47.45825</v>
      </c>
      <c r="M6092">
        <v>0.47687550000000001</v>
      </c>
      <c r="N6092">
        <v>0</v>
      </c>
      <c r="O6092">
        <v>0.87886350000000002</v>
      </c>
      <c r="P6092">
        <v>0.2311096</v>
      </c>
      <c r="Q6092">
        <v>6.0950650000000002E-3</v>
      </c>
      <c r="R6092">
        <v>0.97290859999999901</v>
      </c>
      <c r="S6092">
        <v>0.51173400000000002</v>
      </c>
      <c r="T6092">
        <v>-0.25815279999999902</v>
      </c>
      <c r="U6092">
        <v>2.964569</v>
      </c>
      <c r="V6092">
        <v>-0.26104859999999902</v>
      </c>
      <c r="W6092">
        <v>1.6733640000000001E-2</v>
      </c>
      <c r="X6092">
        <v>0.96518060000000006</v>
      </c>
      <c r="Y6092">
        <v>-0.32086350000000002</v>
      </c>
      <c r="Z6092">
        <v>-6.8448869999999995E-2</v>
      </c>
      <c r="AA6092">
        <v>0.94464879999999996</v>
      </c>
      <c r="AB6092">
        <v>26</v>
      </c>
      <c r="AC6092">
        <v>2.0840999999999998</v>
      </c>
      <c r="AD6092">
        <v>-1.108892530019</v>
      </c>
      <c r="AE6092">
        <v>12.513729999999899</v>
      </c>
      <c r="AF6092">
        <v>-4.1048786832610196</v>
      </c>
      <c r="AG6092">
        <v>-1.108892530019</v>
      </c>
      <c r="AH6092">
        <v>11.9019115256625</v>
      </c>
      <c r="AI6092">
        <v>95.033506068628597</v>
      </c>
      <c r="AJ6092">
        <v>109.028924254462</v>
      </c>
      <c r="AK6092">
        <v>12.638637965070499</v>
      </c>
    </row>
    <row r="6093" spans="1:37" x14ac:dyDescent="0.2">
      <c r="A6093" t="str">
        <f>"20200111153548197"</f>
        <v>20200111153548197</v>
      </c>
      <c r="B6093" t="str">
        <f>"1578728148191400"</f>
        <v>1578728148191400</v>
      </c>
      <c r="C6093" t="s">
        <v>37</v>
      </c>
      <c r="D6093">
        <v>5.0971669999999998</v>
      </c>
      <c r="E6093">
        <v>0.47529929999999898</v>
      </c>
      <c r="F6093" t="s">
        <v>39</v>
      </c>
      <c r="G6093">
        <v>-190.60409999999999</v>
      </c>
      <c r="H6093" s="1">
        <v>-2.6393009999999899E-6</v>
      </c>
      <c r="I6093">
        <v>-34.633279999999999</v>
      </c>
      <c r="J6093">
        <v>-192.70079999999999</v>
      </c>
      <c r="K6093">
        <v>1.1088819999999999</v>
      </c>
      <c r="L6093">
        <v>-47.304749999999999</v>
      </c>
      <c r="M6093">
        <v>0.47339019999999998</v>
      </c>
      <c r="N6093">
        <v>0</v>
      </c>
      <c r="O6093">
        <v>0.88074649999999999</v>
      </c>
      <c r="P6093">
        <v>0.22785929999999999</v>
      </c>
      <c r="Q6093">
        <v>6.2324149999999998E-3</v>
      </c>
      <c r="R6093">
        <v>0.97367409999999999</v>
      </c>
      <c r="S6093">
        <v>0.50299070000000001</v>
      </c>
      <c r="T6093">
        <v>-0.25642209999999999</v>
      </c>
      <c r="U6093">
        <v>2.965668</v>
      </c>
      <c r="V6093">
        <v>-0.26044839999999903</v>
      </c>
      <c r="W6093">
        <v>1.682614E-2</v>
      </c>
      <c r="X6093">
        <v>0.96534120000000001</v>
      </c>
      <c r="Y6093">
        <v>-0.3198724</v>
      </c>
      <c r="Z6093">
        <v>-6.823179E-2</v>
      </c>
      <c r="AA6093">
        <v>0.94500059999999997</v>
      </c>
      <c r="AB6093">
        <v>26</v>
      </c>
      <c r="AC6093">
        <v>2.09669999999999</v>
      </c>
      <c r="AD6093">
        <v>-1.1088846393009999</v>
      </c>
      <c r="AE6093">
        <v>12.671469999999999</v>
      </c>
      <c r="AF6093">
        <v>-4.1215554762017499</v>
      </c>
      <c r="AG6093">
        <v>-1.1088846393009999</v>
      </c>
      <c r="AH6093">
        <v>12.0641228050424</v>
      </c>
      <c r="AI6093">
        <v>94.971073833966003</v>
      </c>
      <c r="AJ6093">
        <v>108.862085666008</v>
      </c>
      <c r="AK6093">
        <v>12.7968708574335</v>
      </c>
    </row>
    <row r="6094" spans="1:37" x14ac:dyDescent="0.2">
      <c r="A6094" t="str">
        <f>"20200111153548226"</f>
        <v>20200111153548226</v>
      </c>
      <c r="B6094" t="str">
        <f>"1578728148221655"</f>
        <v>1578728148221655</v>
      </c>
      <c r="C6094" t="s">
        <v>37</v>
      </c>
      <c r="D6094">
        <v>5.0842890000000001</v>
      </c>
      <c r="E6094">
        <v>0.47542839999999997</v>
      </c>
      <c r="F6094" t="s">
        <v>39</v>
      </c>
      <c r="G6094">
        <v>-190.5729</v>
      </c>
      <c r="H6094" s="1">
        <v>-2.6907749999999899E-6</v>
      </c>
      <c r="I6094">
        <v>-34.493969999999997</v>
      </c>
      <c r="J6094">
        <v>-192.5513</v>
      </c>
      <c r="K6094">
        <v>1.1088709999999999</v>
      </c>
      <c r="L6094">
        <v>-47.007930000000002</v>
      </c>
      <c r="M6094">
        <v>0.46664470000000002</v>
      </c>
      <c r="N6094">
        <v>0</v>
      </c>
      <c r="O6094">
        <v>0.88434059999999903</v>
      </c>
      <c r="P6094">
        <v>0.22079189999999899</v>
      </c>
      <c r="Q6094">
        <v>5.6981610000000002E-3</v>
      </c>
      <c r="R6094">
        <v>0.97530430000000001</v>
      </c>
      <c r="S6094">
        <v>0.49287409999999998</v>
      </c>
      <c r="T6094">
        <v>-0.2568551</v>
      </c>
      <c r="U6094">
        <v>2.9674070000000001</v>
      </c>
      <c r="V6094">
        <v>-0.2600654</v>
      </c>
      <c r="W6094">
        <v>1.619632E-2</v>
      </c>
      <c r="X6094">
        <v>0.96545519999999996</v>
      </c>
      <c r="Y6094">
        <v>-0.3158588</v>
      </c>
      <c r="Z6094">
        <v>-6.8831039999999996E-2</v>
      </c>
      <c r="AA6094">
        <v>0.94630619999999999</v>
      </c>
      <c r="AB6094">
        <v>26</v>
      </c>
      <c r="AC6094">
        <v>1.9783999999999899</v>
      </c>
      <c r="AD6094">
        <v>-1.1088736907750001</v>
      </c>
      <c r="AE6094">
        <v>12.5139599999999</v>
      </c>
      <c r="AF6094">
        <v>-4.0592750730019302</v>
      </c>
      <c r="AG6094">
        <v>-1.1088736907750001</v>
      </c>
      <c r="AH6094">
        <v>11.8997612385628</v>
      </c>
      <c r="AI6094">
        <v>95.040123966570107</v>
      </c>
      <c r="AJ6094">
        <v>108.835658336691</v>
      </c>
      <c r="AK6094">
        <v>12.621871197060701</v>
      </c>
    </row>
    <row r="6095" spans="1:37" x14ac:dyDescent="0.2">
      <c r="A6095" t="str">
        <f>"20200111153548248"</f>
        <v>20200111153548248</v>
      </c>
      <c r="B6095" t="str">
        <f>"1578728148242152"</f>
        <v>1578728148242152</v>
      </c>
      <c r="C6095" t="s">
        <v>37</v>
      </c>
      <c r="D6095">
        <v>5.0922679999999998</v>
      </c>
      <c r="E6095">
        <v>0.47575099999999998</v>
      </c>
      <c r="F6095" t="s">
        <v>39</v>
      </c>
      <c r="G6095">
        <v>-190.5428</v>
      </c>
      <c r="H6095" s="1">
        <v>-2.7317079999999998E-6</v>
      </c>
      <c r="I6095">
        <v>-34.379840000000002</v>
      </c>
      <c r="J6095">
        <v>-192.4393</v>
      </c>
      <c r="K6095">
        <v>1.108854</v>
      </c>
      <c r="L6095">
        <v>-46.781859999999902</v>
      </c>
      <c r="M6095">
        <v>0.4615032</v>
      </c>
      <c r="N6095">
        <v>0</v>
      </c>
      <c r="O6095">
        <v>0.88703600000000005</v>
      </c>
      <c r="P6095">
        <v>0.21474969999999999</v>
      </c>
      <c r="Q6095">
        <v>5.4677419999999899E-3</v>
      </c>
      <c r="R6095">
        <v>0.97665380000000002</v>
      </c>
      <c r="S6095">
        <v>0.47247309999999998</v>
      </c>
      <c r="T6095">
        <v>-0.26084160000000001</v>
      </c>
      <c r="U6095">
        <v>2.97052</v>
      </c>
      <c r="V6095">
        <v>-0.2604342</v>
      </c>
      <c r="W6095">
        <v>1.5875449999999999E-2</v>
      </c>
      <c r="X6095">
        <v>0.96536109999999897</v>
      </c>
      <c r="Y6095">
        <v>-0.31685570000000002</v>
      </c>
      <c r="Z6095">
        <v>-7.0179480000000002E-2</v>
      </c>
      <c r="AA6095">
        <v>0.94587389999999905</v>
      </c>
      <c r="AB6095">
        <v>26</v>
      </c>
      <c r="AC6095">
        <v>1.8965000000000001</v>
      </c>
      <c r="AD6095">
        <v>-1.108856731708</v>
      </c>
      <c r="AE6095">
        <v>12.402019999999901</v>
      </c>
      <c r="AF6095">
        <v>-4.0103494786445104</v>
      </c>
      <c r="AG6095">
        <v>-1.108856731708</v>
      </c>
      <c r="AH6095">
        <v>11.785300141269101</v>
      </c>
      <c r="AI6095">
        <v>95.0900370645858</v>
      </c>
      <c r="AJ6095">
        <v>108.792619600333</v>
      </c>
      <c r="AK6095">
        <v>12.4982304992393</v>
      </c>
    </row>
    <row r="6096" spans="1:37" x14ac:dyDescent="0.2">
      <c r="A6096" t="str">
        <f>"20200111153548271"</f>
        <v>20200111153548271</v>
      </c>
      <c r="B6096" t="str">
        <f>"1578728148261673"</f>
        <v>1578728148261673</v>
      </c>
      <c r="C6096" t="s">
        <v>37</v>
      </c>
      <c r="D6096">
        <v>5.0637749999999997</v>
      </c>
      <c r="E6096">
        <v>0.47601300000000002</v>
      </c>
      <c r="F6096" t="s">
        <v>39</v>
      </c>
      <c r="G6096">
        <v>-190.50749999999999</v>
      </c>
      <c r="H6096" s="1">
        <v>-2.799544E-6</v>
      </c>
      <c r="I6096">
        <v>-34.199860000000001</v>
      </c>
      <c r="J6096">
        <v>-192.32130000000001</v>
      </c>
      <c r="K6096">
        <v>1.108838</v>
      </c>
      <c r="L6096">
        <v>-46.53989</v>
      </c>
      <c r="M6096">
        <v>0.45600029999999903</v>
      </c>
      <c r="N6096">
        <v>0</v>
      </c>
      <c r="O6096">
        <v>0.88987890000000003</v>
      </c>
      <c r="P6096">
        <v>0.20871039999999999</v>
      </c>
      <c r="Q6096">
        <v>4.685916E-3</v>
      </c>
      <c r="R6096">
        <v>0.97796620000000001</v>
      </c>
      <c r="S6096">
        <v>0.45643620000000001</v>
      </c>
      <c r="T6096">
        <v>-0.26199479999999897</v>
      </c>
      <c r="U6096">
        <v>2.9728089999999998</v>
      </c>
      <c r="V6096">
        <v>-0.2604127</v>
      </c>
      <c r="W6096">
        <v>1.500056E-2</v>
      </c>
      <c r="X6096">
        <v>0.96538080000000004</v>
      </c>
      <c r="Y6096">
        <v>-0.31608039999999998</v>
      </c>
      <c r="Z6096">
        <v>-7.0832980000000004E-2</v>
      </c>
      <c r="AA6096">
        <v>0.946084499999999</v>
      </c>
      <c r="AB6096">
        <v>26</v>
      </c>
      <c r="AC6096">
        <v>1.8138000000000101</v>
      </c>
      <c r="AD6096">
        <v>-1.1088407995439999</v>
      </c>
      <c r="AE6096">
        <v>12.34003</v>
      </c>
      <c r="AF6096">
        <v>-3.9818837025279601</v>
      </c>
      <c r="AG6096">
        <v>-1.1088407995439999</v>
      </c>
      <c r="AH6096">
        <v>11.7166806707638</v>
      </c>
      <c r="AI6096">
        <v>95.120293824004094</v>
      </c>
      <c r="AJ6096">
        <v>108.77019657031499</v>
      </c>
      <c r="AK6096">
        <v>12.4243926080851</v>
      </c>
    </row>
    <row r="6097" spans="1:37" x14ac:dyDescent="0.2">
      <c r="A6097" t="str">
        <f>"20200111153548293"</f>
        <v>20200111153548293</v>
      </c>
      <c r="B6097" t="str">
        <f>"1578728148282166"</f>
        <v>1578728148282166</v>
      </c>
      <c r="C6097" t="s">
        <v>37</v>
      </c>
      <c r="D6097">
        <v>5.0891080000000004</v>
      </c>
      <c r="E6097">
        <v>0.47621829999999998</v>
      </c>
      <c r="F6097" t="s">
        <v>39</v>
      </c>
      <c r="G6097">
        <v>-190.4753</v>
      </c>
      <c r="H6097" s="1">
        <v>-2.8555699999999998E-6</v>
      </c>
      <c r="I6097">
        <v>-34.049289999999999</v>
      </c>
      <c r="J6097">
        <v>-192.21279999999999</v>
      </c>
      <c r="K6097">
        <v>1.108827</v>
      </c>
      <c r="L6097">
        <v>-46.31418</v>
      </c>
      <c r="M6097">
        <v>0.4508665</v>
      </c>
      <c r="N6097">
        <v>0</v>
      </c>
      <c r="O6097">
        <v>0.89249239999999996</v>
      </c>
      <c r="P6097">
        <v>0.20332039999999901</v>
      </c>
      <c r="Q6097">
        <v>4.552515E-3</v>
      </c>
      <c r="R6097">
        <v>0.97910169999999996</v>
      </c>
      <c r="S6097">
        <v>0.43966670000000002</v>
      </c>
      <c r="T6097">
        <v>-0.26410609999999901</v>
      </c>
      <c r="U6097">
        <v>2.9750369999999999</v>
      </c>
      <c r="V6097">
        <v>-0.26016689999999998</v>
      </c>
      <c r="W6097">
        <v>1.478172E-2</v>
      </c>
      <c r="X6097">
        <v>0.96545049999999899</v>
      </c>
      <c r="Y6097">
        <v>-0.31594349999999999</v>
      </c>
      <c r="Z6097">
        <v>-7.1710570000000001E-2</v>
      </c>
      <c r="AA6097">
        <v>0.94606409999999996</v>
      </c>
      <c r="AB6097">
        <v>26</v>
      </c>
      <c r="AC6097">
        <v>1.7374999999999801</v>
      </c>
      <c r="AD6097">
        <v>-1.10882985557</v>
      </c>
      <c r="AE6097">
        <v>12.264889999999999</v>
      </c>
      <c r="AF6097">
        <v>-3.9478416700837902</v>
      </c>
      <c r="AG6097">
        <v>-1.10882985557</v>
      </c>
      <c r="AH6097">
        <v>11.6374917286147</v>
      </c>
      <c r="AI6097">
        <v>95.155854290275101</v>
      </c>
      <c r="AJ6097">
        <v>108.738722127473</v>
      </c>
      <c r="AK6097">
        <v>12.3388075288591</v>
      </c>
    </row>
    <row r="6098" spans="1:37" x14ac:dyDescent="0.2">
      <c r="A6098" t="str">
        <f>"20200111153548316"</f>
        <v>20200111153548316</v>
      </c>
      <c r="B6098" t="str">
        <f>"1578728148311446"</f>
        <v>1578728148311446</v>
      </c>
      <c r="C6098" t="s">
        <v>37</v>
      </c>
      <c r="D6098">
        <v>5.06874</v>
      </c>
      <c r="E6098">
        <v>0.47672639999999999</v>
      </c>
      <c r="F6098" t="s">
        <v>39</v>
      </c>
      <c r="G6098">
        <v>-190.42699999999999</v>
      </c>
      <c r="H6098" s="1">
        <v>-2.9478669999999999E-6</v>
      </c>
      <c r="I6098">
        <v>-33.804169999999999</v>
      </c>
      <c r="J6098">
        <v>-192.10499999999999</v>
      </c>
      <c r="K6098">
        <v>1.1088100000000001</v>
      </c>
      <c r="L6098">
        <v>-46.0867</v>
      </c>
      <c r="M6098">
        <v>0.44568869999999999</v>
      </c>
      <c r="N6098">
        <v>0</v>
      </c>
      <c r="O6098">
        <v>0.89509069999999902</v>
      </c>
      <c r="P6098">
        <v>0.19798160000000001</v>
      </c>
      <c r="Q6098">
        <v>4.984629E-3</v>
      </c>
      <c r="R6098">
        <v>0.98019310000000004</v>
      </c>
      <c r="S6098">
        <v>0.42495729999999998</v>
      </c>
      <c r="T6098">
        <v>-0.26386929999999997</v>
      </c>
      <c r="U6098">
        <v>2.97702</v>
      </c>
      <c r="V6098">
        <v>-0.25983669999999998</v>
      </c>
      <c r="W6098">
        <v>1.512643E-2</v>
      </c>
      <c r="X6098">
        <v>0.96553409999999995</v>
      </c>
      <c r="Y6098">
        <v>-0.31511739999999999</v>
      </c>
      <c r="Z6098">
        <v>-7.1967649999999994E-2</v>
      </c>
      <c r="AA6098">
        <v>0.946320099999999</v>
      </c>
      <c r="AB6098">
        <v>26</v>
      </c>
      <c r="AC6098">
        <v>1.67799999999996</v>
      </c>
      <c r="AD6098">
        <v>-1.1088129478669999</v>
      </c>
      <c r="AE6098">
        <v>12.28253</v>
      </c>
      <c r="AF6098">
        <v>-3.9410389459536299</v>
      </c>
      <c r="AG6098">
        <v>-1.1088129478669999</v>
      </c>
      <c r="AH6098">
        <v>11.6496653946027</v>
      </c>
      <c r="AI6098">
        <v>95.151878514201599</v>
      </c>
      <c r="AJ6098">
        <v>108.69048908460699</v>
      </c>
      <c r="AK6098">
        <v>12.3481155620234</v>
      </c>
    </row>
    <row r="6099" spans="1:37" x14ac:dyDescent="0.2">
      <c r="A6099" t="str">
        <f>"20200111153548339"</f>
        <v>20200111153548339</v>
      </c>
      <c r="B6099" t="str">
        <f>"1578728148331942"</f>
        <v>1578728148331942</v>
      </c>
      <c r="C6099" t="s">
        <v>37</v>
      </c>
      <c r="D6099">
        <v>5.1274309999999996</v>
      </c>
      <c r="E6099">
        <v>0.47686109999999998</v>
      </c>
      <c r="F6099" t="s">
        <v>39</v>
      </c>
      <c r="G6099">
        <v>-190.3629</v>
      </c>
      <c r="H6099" s="1">
        <v>-3.0579450000000002E-6</v>
      </c>
      <c r="I6099">
        <v>-33.507829999999998</v>
      </c>
      <c r="J6099">
        <v>-191.99029999999999</v>
      </c>
      <c r="K6099">
        <v>1.1088009999999999</v>
      </c>
      <c r="L6099">
        <v>-45.840759999999896</v>
      </c>
      <c r="M6099">
        <v>0.44008209999999998</v>
      </c>
      <c r="N6099">
        <v>0</v>
      </c>
      <c r="O6099">
        <v>0.897862099999999</v>
      </c>
      <c r="P6099">
        <v>0.19291889999999901</v>
      </c>
      <c r="Q6099">
        <v>5.8308759999999996E-3</v>
      </c>
      <c r="R6099">
        <v>0.9811974</v>
      </c>
      <c r="S6099">
        <v>0.41252139999999998</v>
      </c>
      <c r="T6099">
        <v>-0.26256350000000001</v>
      </c>
      <c r="U6099">
        <v>2.9786380000000001</v>
      </c>
      <c r="V6099">
        <v>-0.25878760000000001</v>
      </c>
      <c r="W6099">
        <v>1.588117E-2</v>
      </c>
      <c r="X6099">
        <v>0.96580370000000004</v>
      </c>
      <c r="Y6099">
        <v>-0.31312679999999998</v>
      </c>
      <c r="Z6099">
        <v>-7.1977600000000003E-2</v>
      </c>
      <c r="AA6099">
        <v>0.94697980000000004</v>
      </c>
      <c r="AB6099">
        <v>26</v>
      </c>
      <c r="AC6099">
        <v>1.62739999999999</v>
      </c>
      <c r="AD6099">
        <v>-1.108804057945</v>
      </c>
      <c r="AE6099">
        <v>12.3329299999999</v>
      </c>
      <c r="AF6099">
        <v>-3.9353951779040002</v>
      </c>
      <c r="AG6099">
        <v>-1.108804057945</v>
      </c>
      <c r="AH6099">
        <v>11.6975365198396</v>
      </c>
      <c r="AI6099">
        <v>95.133753436116606</v>
      </c>
      <c r="AJ6099">
        <v>108.594452592167</v>
      </c>
      <c r="AK6099">
        <v>12.391494755604199</v>
      </c>
    </row>
    <row r="6100" spans="1:37" x14ac:dyDescent="0.2">
      <c r="A6100" t="str">
        <f>"20200111153548361"</f>
        <v>20200111153548361</v>
      </c>
      <c r="B6100" t="str">
        <f>"1578728148351462"</f>
        <v>1578728148351462</v>
      </c>
      <c r="C6100" t="s">
        <v>37</v>
      </c>
      <c r="D6100">
        <v>5.0654839999999997</v>
      </c>
      <c r="E6100">
        <v>0.48480990000000002</v>
      </c>
      <c r="F6100" t="s">
        <v>39</v>
      </c>
      <c r="G6100">
        <v>-190.2961</v>
      </c>
      <c r="H6100" s="1">
        <v>-3.189556E-6</v>
      </c>
      <c r="I6100">
        <v>-33.159579999999998</v>
      </c>
      <c r="J6100">
        <v>-191.88220000000001</v>
      </c>
      <c r="K6100">
        <v>1.1087940000000001</v>
      </c>
      <c r="L6100">
        <v>-45.605040000000002</v>
      </c>
      <c r="M6100">
        <v>0.43469940000000001</v>
      </c>
      <c r="N6100">
        <v>0</v>
      </c>
      <c r="O6100">
        <v>0.900482</v>
      </c>
      <c r="P6100">
        <v>0.18834719999999999</v>
      </c>
      <c r="Q6100">
        <v>6.3974019999999999E-3</v>
      </c>
      <c r="R6100">
        <v>0.98208169999999995</v>
      </c>
      <c r="S6100">
        <v>0.39822390000000002</v>
      </c>
      <c r="T6100">
        <v>-0.2606272</v>
      </c>
      <c r="U6100">
        <v>2.9807429999999999</v>
      </c>
      <c r="V6100">
        <v>-0.25750610000000002</v>
      </c>
      <c r="W6100">
        <v>1.6355089999999999E-2</v>
      </c>
      <c r="X6100">
        <v>0.96613819999999995</v>
      </c>
      <c r="Y6100">
        <v>-0.31198909999999902</v>
      </c>
      <c r="Z6100">
        <v>-7.1770059999999997E-2</v>
      </c>
      <c r="AA6100">
        <v>0.94737099999999996</v>
      </c>
      <c r="AB6100">
        <v>26</v>
      </c>
      <c r="AC6100">
        <v>1.5861000000000101</v>
      </c>
      <c r="AD6100">
        <v>-1.108797189556</v>
      </c>
      <c r="AE6100">
        <v>12.445460000000001</v>
      </c>
      <c r="AF6100">
        <v>-3.9512534827514201</v>
      </c>
      <c r="AG6100">
        <v>-1.108797189556</v>
      </c>
      <c r="AH6100">
        <v>11.8051866589642</v>
      </c>
      <c r="AI6100">
        <v>95.089787498334999</v>
      </c>
      <c r="AJ6100">
        <v>108.50564470771199</v>
      </c>
      <c r="AK6100">
        <v>12.498170559946301</v>
      </c>
    </row>
    <row r="6101" spans="1:37" x14ac:dyDescent="0.2">
      <c r="A6101" t="str">
        <f>"20200111153548383"</f>
        <v>20200111153548383</v>
      </c>
      <c r="B6101" t="str">
        <f>"1578728148381718"</f>
        <v>1578728148381718</v>
      </c>
      <c r="C6101" t="s">
        <v>37</v>
      </c>
      <c r="D6101">
        <v>5.0167060000000001</v>
      </c>
      <c r="E6101">
        <v>0.48431009999999902</v>
      </c>
      <c r="F6101" t="s">
        <v>39</v>
      </c>
      <c r="G6101">
        <v>-189.85299999999901</v>
      </c>
      <c r="H6101" s="1">
        <v>-3.5669979999999998E-6</v>
      </c>
      <c r="I6101">
        <v>-32.113230000000001</v>
      </c>
      <c r="J6101">
        <v>-191.779</v>
      </c>
      <c r="K6101">
        <v>1.108787</v>
      </c>
      <c r="L6101">
        <v>-45.376459999999902</v>
      </c>
      <c r="M6101">
        <v>0.4294731</v>
      </c>
      <c r="N6101">
        <v>0</v>
      </c>
      <c r="O6101">
        <v>0.90298780000000001</v>
      </c>
      <c r="P6101">
        <v>0.1837493</v>
      </c>
      <c r="Q6101">
        <v>6.2438449999999996E-3</v>
      </c>
      <c r="R6101">
        <v>0.98295330000000003</v>
      </c>
      <c r="S6101">
        <v>0.44679259999999899</v>
      </c>
      <c r="T6101">
        <v>-0.244136299999999</v>
      </c>
      <c r="U6101">
        <v>2.9706419999999998</v>
      </c>
      <c r="V6101">
        <v>-0.25642520000000002</v>
      </c>
      <c r="W6101">
        <v>1.610812E-2</v>
      </c>
      <c r="X6101">
        <v>0.96642980000000001</v>
      </c>
      <c r="Y6101">
        <v>-0.29076760000000001</v>
      </c>
      <c r="Z6101">
        <v>-6.7995219999999995E-2</v>
      </c>
      <c r="AA6101">
        <v>0.95437459999999996</v>
      </c>
      <c r="AB6101">
        <v>26</v>
      </c>
      <c r="AC6101">
        <v>1.9260000000000399</v>
      </c>
      <c r="AD6101">
        <v>-1.108790566998</v>
      </c>
      <c r="AE6101">
        <v>13.263229999999901</v>
      </c>
      <c r="AF6101">
        <v>-3.93047238859819</v>
      </c>
      <c r="AG6101">
        <v>-1.108790566998</v>
      </c>
      <c r="AH6101">
        <v>12.7177165939344</v>
      </c>
      <c r="AI6101">
        <v>94.761594716756804</v>
      </c>
      <c r="AJ6101">
        <v>107.174019354539</v>
      </c>
      <c r="AK6101">
        <v>13.357333007851199</v>
      </c>
    </row>
    <row r="6102" spans="1:37" x14ac:dyDescent="0.2">
      <c r="A6102" t="str">
        <f>"20200111153548405"</f>
        <v>20200111153548405</v>
      </c>
      <c r="B6102" t="str">
        <f>"1578728148402215"</f>
        <v>1578728148402215</v>
      </c>
      <c r="C6102" t="s">
        <v>37</v>
      </c>
      <c r="D6102">
        <v>5.0714800000000002</v>
      </c>
      <c r="E6102">
        <v>0.48451840000000002</v>
      </c>
      <c r="F6102" t="s">
        <v>39</v>
      </c>
      <c r="G6102">
        <v>-189.75980000000001</v>
      </c>
      <c r="H6102" s="1">
        <v>-3.8985789999999901E-6</v>
      </c>
      <c r="I6102">
        <v>-31.3788599999999</v>
      </c>
      <c r="J6102">
        <v>-191.67959999999999</v>
      </c>
      <c r="K6102">
        <v>1.108786</v>
      </c>
      <c r="L6102">
        <v>-45.152799999999999</v>
      </c>
      <c r="M6102">
        <v>0.42435259999999903</v>
      </c>
      <c r="N6102">
        <v>0</v>
      </c>
      <c r="O6102">
        <v>0.90540699999999996</v>
      </c>
      <c r="P6102">
        <v>0.17906739999999999</v>
      </c>
      <c r="Q6102">
        <v>6.7250410000000002E-3</v>
      </c>
      <c r="R6102">
        <v>0.98381379999999996</v>
      </c>
      <c r="S6102">
        <v>0.42892459999999999</v>
      </c>
      <c r="T6102">
        <v>-0.23552579999999901</v>
      </c>
      <c r="U6102">
        <v>2.973328</v>
      </c>
      <c r="V6102">
        <v>-0.25555479999999903</v>
      </c>
      <c r="W6102">
        <v>1.6499070000000001E-2</v>
      </c>
      <c r="X6102">
        <v>0.96665380000000001</v>
      </c>
      <c r="Y6102">
        <v>-0.29106720000000003</v>
      </c>
      <c r="Z6102">
        <v>-6.5852670000000002E-2</v>
      </c>
      <c r="AA6102">
        <v>0.95443349999999905</v>
      </c>
      <c r="AB6102">
        <v>26</v>
      </c>
      <c r="AC6102">
        <v>1.91979999999998</v>
      </c>
      <c r="AD6102">
        <v>-1.1087898985789999</v>
      </c>
      <c r="AE6102">
        <v>13.77394</v>
      </c>
      <c r="AF6102">
        <v>-4.0811990814149803</v>
      </c>
      <c r="AG6102">
        <v>-1.1087898985789999</v>
      </c>
      <c r="AH6102">
        <v>13.2028514637743</v>
      </c>
      <c r="AI6102">
        <v>94.587312042408797</v>
      </c>
      <c r="AJ6102">
        <v>107.17716216210501</v>
      </c>
      <c r="AK6102">
        <v>13.863653477919099</v>
      </c>
    </row>
    <row r="6103" spans="1:37" x14ac:dyDescent="0.2">
      <c r="A6103" t="str">
        <f>"20200111153548427"</f>
        <v>20200111153548427</v>
      </c>
      <c r="B6103" t="str">
        <f>"1578728148421735"</f>
        <v>1578728148421735</v>
      </c>
      <c r="C6103" t="s">
        <v>37</v>
      </c>
      <c r="D6103">
        <v>4.9899209999999998</v>
      </c>
      <c r="E6103">
        <v>0.48471389999999998</v>
      </c>
      <c r="F6103" t="s">
        <v>39</v>
      </c>
      <c r="G6103">
        <v>-189.67779999999999</v>
      </c>
      <c r="H6103" s="1">
        <v>-4.1380729999999997E-6</v>
      </c>
      <c r="I6103">
        <v>-30.854469999999999</v>
      </c>
      <c r="J6103">
        <v>-191.57550000000001</v>
      </c>
      <c r="K6103">
        <v>1.1087830000000001</v>
      </c>
      <c r="L6103">
        <v>-44.914920000000002</v>
      </c>
      <c r="M6103">
        <v>0.41890159999999999</v>
      </c>
      <c r="N6103">
        <v>0</v>
      </c>
      <c r="O6103">
        <v>0.90794319999999895</v>
      </c>
      <c r="P6103">
        <v>0.1748661</v>
      </c>
      <c r="Q6103">
        <v>7.1407379999999998E-3</v>
      </c>
      <c r="R6103">
        <v>0.98456630000000001</v>
      </c>
      <c r="S6103">
        <v>0.41651919999999998</v>
      </c>
      <c r="T6103">
        <v>-0.23071179999999999</v>
      </c>
      <c r="U6103">
        <v>2.97512799999999</v>
      </c>
      <c r="V6103">
        <v>-0.25387100000000001</v>
      </c>
      <c r="W6103">
        <v>1.6836150000000001E-2</v>
      </c>
      <c r="X6103">
        <v>0.96709159999999905</v>
      </c>
      <c r="Y6103">
        <v>-0.28928690000000001</v>
      </c>
      <c r="Z6103">
        <v>-6.4799739999999995E-2</v>
      </c>
      <c r="AA6103">
        <v>0.95504669999999903</v>
      </c>
      <c r="AB6103">
        <v>26</v>
      </c>
      <c r="AC6103">
        <v>1.8977000000000099</v>
      </c>
      <c r="AD6103">
        <v>-1.1087871380729999</v>
      </c>
      <c r="AE6103">
        <v>14.060449999999999</v>
      </c>
      <c r="AF6103">
        <v>-4.1419790124125999</v>
      </c>
      <c r="AG6103">
        <v>-1.1087871380729999</v>
      </c>
      <c r="AH6103">
        <v>13.479801743165799</v>
      </c>
      <c r="AI6103">
        <v>94.495762589548093</v>
      </c>
      <c r="AJ6103">
        <v>107.08077920013901</v>
      </c>
      <c r="AK6103">
        <v>14.1453332973062</v>
      </c>
    </row>
    <row r="6104" spans="1:37" x14ac:dyDescent="0.2">
      <c r="A6104" t="str">
        <f>"20200111153548450"</f>
        <v>20200111153548450</v>
      </c>
      <c r="B6104" t="str">
        <f>"1578728148442230"</f>
        <v>1578728148442230</v>
      </c>
      <c r="C6104" t="s">
        <v>37</v>
      </c>
      <c r="D6104">
        <v>5.0010649999999996</v>
      </c>
      <c r="E6104">
        <v>0.485126</v>
      </c>
      <c r="F6104" t="s">
        <v>39</v>
      </c>
      <c r="G6104">
        <v>-189.6155</v>
      </c>
      <c r="H6104" s="1">
        <v>-4.2930799999999999E-6</v>
      </c>
      <c r="I6104">
        <v>-30.518909999999899</v>
      </c>
      <c r="J6104">
        <v>-191.4735</v>
      </c>
      <c r="K6104">
        <v>1.1087830000000001</v>
      </c>
      <c r="L6104">
        <v>-44.67801</v>
      </c>
      <c r="M6104">
        <v>0.41346699999999997</v>
      </c>
      <c r="N6104">
        <v>0</v>
      </c>
      <c r="O6104">
        <v>0.91043229999999997</v>
      </c>
      <c r="P6104">
        <v>0.17052879999999901</v>
      </c>
      <c r="Q6104">
        <v>7.2683590000000003E-3</v>
      </c>
      <c r="R6104">
        <v>0.98532589999999998</v>
      </c>
      <c r="S6104">
        <v>0.40527340000000001</v>
      </c>
      <c r="T6104">
        <v>-0.2292681</v>
      </c>
      <c r="U6104">
        <v>2.976715</v>
      </c>
      <c r="V6104">
        <v>-0.25234780000000001</v>
      </c>
      <c r="W6104">
        <v>1.6892879999999999E-2</v>
      </c>
      <c r="X6104">
        <v>0.96748909999999999</v>
      </c>
      <c r="Y6104">
        <v>-0.28717290000000001</v>
      </c>
      <c r="Z6104">
        <v>-6.4681370000000002E-2</v>
      </c>
      <c r="AA6104">
        <v>0.95569249999999994</v>
      </c>
      <c r="AB6104">
        <v>26</v>
      </c>
      <c r="AC6104">
        <v>1.8580000000000001</v>
      </c>
      <c r="AD6104">
        <v>-1.10878729308</v>
      </c>
      <c r="AE6104">
        <v>14.1591</v>
      </c>
      <c r="AF6104">
        <v>-4.13811969484959</v>
      </c>
      <c r="AG6104">
        <v>-1.10878729308</v>
      </c>
      <c r="AH6104">
        <v>13.578346027365599</v>
      </c>
      <c r="AI6104">
        <v>94.466396098509193</v>
      </c>
      <c r="AJ6104">
        <v>106.949058580105</v>
      </c>
      <c r="AK6104">
        <v>14.2381503261159</v>
      </c>
    </row>
    <row r="6105" spans="1:37" x14ac:dyDescent="0.2">
      <c r="A6105" t="str">
        <f>"20200111153548474"</f>
        <v>20200111153548474</v>
      </c>
      <c r="B6105" t="str">
        <f>"1578728148461750"</f>
        <v>1578728148461750</v>
      </c>
      <c r="C6105" t="s">
        <v>37</v>
      </c>
      <c r="D6105">
        <v>6.4680650000000002</v>
      </c>
      <c r="E6105">
        <v>0.48522569999999998</v>
      </c>
      <c r="F6105" t="s">
        <v>39</v>
      </c>
      <c r="G6105">
        <v>-189.56979999999999</v>
      </c>
      <c r="H6105" s="1">
        <v>-1.191837E-7</v>
      </c>
      <c r="I6105">
        <v>-30.338059999999999</v>
      </c>
      <c r="J6105">
        <v>-191.36599999999899</v>
      </c>
      <c r="K6105">
        <v>1.108779</v>
      </c>
      <c r="L6105">
        <v>-44.424289999999999</v>
      </c>
      <c r="M6105">
        <v>0.4076437</v>
      </c>
      <c r="N6105">
        <v>0</v>
      </c>
      <c r="O6105">
        <v>0.91305569999999903</v>
      </c>
      <c r="P6105">
        <v>0.1658126</v>
      </c>
      <c r="Q6105">
        <v>7.0431510000000001E-3</v>
      </c>
      <c r="R6105">
        <v>0.98613209999999996</v>
      </c>
      <c r="S6105">
        <v>0.39534000000000002</v>
      </c>
      <c r="T6105">
        <v>-0.2302601</v>
      </c>
      <c r="U6105">
        <v>2.9779659999999999</v>
      </c>
      <c r="V6105">
        <v>-0.25079439999999997</v>
      </c>
      <c r="W6105">
        <v>1.6600150000000001E-2</v>
      </c>
      <c r="X6105">
        <v>0.96789799999999904</v>
      </c>
      <c r="Y6105">
        <v>-0.28424299999999902</v>
      </c>
      <c r="Z6105">
        <v>-6.5275529999999998E-2</v>
      </c>
      <c r="AA6105">
        <v>0.95652760000000003</v>
      </c>
      <c r="AB6105">
        <v>26</v>
      </c>
      <c r="AC6105">
        <v>1.79619999999999</v>
      </c>
      <c r="AD6105">
        <v>-1.1087791191837</v>
      </c>
      <c r="AE6105">
        <v>14.08623</v>
      </c>
      <c r="AF6105">
        <v>-4.0775921651778599</v>
      </c>
      <c r="AG6105">
        <v>-1.1087791191837</v>
      </c>
      <c r="AH6105">
        <v>13.5124007580806</v>
      </c>
      <c r="AI6105">
        <v>94.491787592850201</v>
      </c>
      <c r="AJ6105">
        <v>106.792063855032</v>
      </c>
      <c r="AK6105">
        <v>14.157723095456999</v>
      </c>
    </row>
    <row r="6106" spans="1:37" x14ac:dyDescent="0.2">
      <c r="A6106" t="str">
        <f>"20200111153548495"</f>
        <v>20200111153548495</v>
      </c>
      <c r="B6106" t="str">
        <f>"1578728148492007"</f>
        <v>1578728148492007</v>
      </c>
      <c r="C6106" t="s">
        <v>37</v>
      </c>
      <c r="D6106">
        <v>5.0726129999999996</v>
      </c>
      <c r="E6106">
        <v>0.48570950000000002</v>
      </c>
      <c r="F6106" t="s">
        <v>39</v>
      </c>
      <c r="G6106">
        <v>-189.5367</v>
      </c>
      <c r="H6106" s="1">
        <v>-1.8849399999999999E-7</v>
      </c>
      <c r="I6106">
        <v>-30.160259999999901</v>
      </c>
      <c r="J6106">
        <v>-191.2697</v>
      </c>
      <c r="K6106">
        <v>1.1087739999999999</v>
      </c>
      <c r="L6106">
        <v>-44.192839999999997</v>
      </c>
      <c r="M6106">
        <v>0.40233079999999999</v>
      </c>
      <c r="N6106">
        <v>0</v>
      </c>
      <c r="O6106">
        <v>0.91541019999999895</v>
      </c>
      <c r="P6106">
        <v>0.16130749999999999</v>
      </c>
      <c r="Q6106">
        <v>6.5335180000000003E-3</v>
      </c>
      <c r="R6106">
        <v>0.98688259999999906</v>
      </c>
      <c r="S6106">
        <v>0.38212590000000002</v>
      </c>
      <c r="T6106">
        <v>-0.2316107</v>
      </c>
      <c r="U6106">
        <v>2.979584</v>
      </c>
      <c r="V6106">
        <v>-0.24958459999999999</v>
      </c>
      <c r="W6106">
        <v>1.6030880000000001E-2</v>
      </c>
      <c r="X6106">
        <v>0.96822030000000003</v>
      </c>
      <c r="Y6106">
        <v>-0.28291459999999902</v>
      </c>
      <c r="Z6106">
        <v>-6.5920380000000001E-2</v>
      </c>
      <c r="AA6106">
        <v>0.95687710000000004</v>
      </c>
      <c r="AB6106">
        <v>26</v>
      </c>
      <c r="AC6106">
        <v>1.7330000000000001</v>
      </c>
      <c r="AD6106">
        <v>-1.1087741884939999</v>
      </c>
      <c r="AE6106">
        <v>14.032579999999999</v>
      </c>
      <c r="AF6106">
        <v>-4.0348339817745202</v>
      </c>
      <c r="AG6106">
        <v>-1.1087741884939999</v>
      </c>
      <c r="AH6106">
        <v>13.4610712926573</v>
      </c>
      <c r="AI6106">
        <v>94.511334559683405</v>
      </c>
      <c r="AJ6106">
        <v>106.685625084612</v>
      </c>
      <c r="AK6106">
        <v>14.0964430196967</v>
      </c>
    </row>
    <row r="6107" spans="1:37" x14ac:dyDescent="0.2">
      <c r="A6107" t="str">
        <f>"20200111153548519"</f>
        <v>20200111153548519</v>
      </c>
      <c r="B6107" t="str">
        <f>"1578728148511528"</f>
        <v>1578728148511528</v>
      </c>
      <c r="C6107" t="s">
        <v>37</v>
      </c>
      <c r="D6107">
        <v>5.0475190000000003</v>
      </c>
      <c r="E6107">
        <v>0.486062299999999</v>
      </c>
      <c r="F6107" t="s">
        <v>39</v>
      </c>
      <c r="G6107">
        <v>-189.5162</v>
      </c>
      <c r="H6107" s="1">
        <v>-1.978039E-7</v>
      </c>
      <c r="I6107">
        <v>-30.14893</v>
      </c>
      <c r="J6107">
        <v>-191.16919999999999</v>
      </c>
      <c r="K6107">
        <v>1.10877</v>
      </c>
      <c r="L6107">
        <v>-43.947299999999998</v>
      </c>
      <c r="M6107">
        <v>0.39669179999999998</v>
      </c>
      <c r="N6107">
        <v>0</v>
      </c>
      <c r="O6107">
        <v>0.91786900000000005</v>
      </c>
      <c r="P6107">
        <v>0.15623919999999999</v>
      </c>
      <c r="Q6107">
        <v>6.6272049999999997E-3</v>
      </c>
      <c r="R6107">
        <v>0.98769699999999905</v>
      </c>
      <c r="S6107">
        <v>0.37216189999999999</v>
      </c>
      <c r="T6107">
        <v>-0.23532159999999999</v>
      </c>
      <c r="U6107">
        <v>2.98062099999999</v>
      </c>
      <c r="V6107">
        <v>-0.24859870000000001</v>
      </c>
      <c r="W6107">
        <v>1.6055199999999999E-2</v>
      </c>
      <c r="X6107">
        <v>0.96847349999999999</v>
      </c>
      <c r="Y6107">
        <v>-0.28021399999999902</v>
      </c>
      <c r="Z6107">
        <v>-6.727524E-2</v>
      </c>
      <c r="AA6107">
        <v>0.95757719999999902</v>
      </c>
      <c r="AB6107">
        <v>26</v>
      </c>
      <c r="AC6107">
        <v>1.65299999999999</v>
      </c>
      <c r="AD6107">
        <v>-1.1087701978039</v>
      </c>
      <c r="AE6107">
        <v>13.798369999999901</v>
      </c>
      <c r="AF6107">
        <v>-3.9317358814886898</v>
      </c>
      <c r="AG6107">
        <v>-1.1087701978039</v>
      </c>
      <c r="AH6107">
        <v>13.237575808008801</v>
      </c>
      <c r="AI6107">
        <v>94.590577228992302</v>
      </c>
      <c r="AJ6107">
        <v>106.542119005937</v>
      </c>
      <c r="AK6107">
        <v>13.853567470731299</v>
      </c>
    </row>
    <row r="6108" spans="1:37" x14ac:dyDescent="0.2">
      <c r="A6108" t="str">
        <f>"20200111153548541"</f>
        <v>20200111153548541</v>
      </c>
      <c r="B6108" t="str">
        <f>"1578728148532024"</f>
        <v>1578728148532024</v>
      </c>
      <c r="C6108" t="s">
        <v>37</v>
      </c>
      <c r="D6108">
        <v>5.0947779999999998</v>
      </c>
      <c r="E6108">
        <v>0.48637979999999997</v>
      </c>
      <c r="F6108" t="s">
        <v>39</v>
      </c>
      <c r="G6108">
        <v>-189.4751</v>
      </c>
      <c r="H6108" s="1">
        <v>-2.94945E-7</v>
      </c>
      <c r="I6108">
        <v>-29.896719999999998</v>
      </c>
      <c r="J6108">
        <v>-191.071</v>
      </c>
      <c r="K6108">
        <v>1.108765</v>
      </c>
      <c r="L6108">
        <v>-43.703000000000003</v>
      </c>
      <c r="M6108">
        <v>0.39108209999999999</v>
      </c>
      <c r="N6108">
        <v>0</v>
      </c>
      <c r="O6108">
        <v>0.92027440000000005</v>
      </c>
      <c r="P6108">
        <v>0.15173249999999999</v>
      </c>
      <c r="Q6108">
        <v>7.1725130000000002E-3</v>
      </c>
      <c r="R6108">
        <v>0.98839560000000004</v>
      </c>
      <c r="S6108">
        <v>0.3595428</v>
      </c>
      <c r="T6108">
        <v>-0.2353247</v>
      </c>
      <c r="U6108">
        <v>2.9820859999999998</v>
      </c>
      <c r="V6108">
        <v>-0.2471071</v>
      </c>
      <c r="W6108">
        <v>1.6534360000000001E-2</v>
      </c>
      <c r="X6108">
        <v>0.96884709999999996</v>
      </c>
      <c r="Y6108">
        <v>-0.27840569999999998</v>
      </c>
      <c r="Z6108">
        <v>-6.7557409999999998E-2</v>
      </c>
      <c r="AA6108">
        <v>0.95808470000000001</v>
      </c>
      <c r="AB6108">
        <v>26</v>
      </c>
      <c r="AC6108">
        <v>1.5959000000000001</v>
      </c>
      <c r="AD6108">
        <v>-1.108765294945</v>
      </c>
      <c r="AE6108">
        <v>13.806279999999999</v>
      </c>
      <c r="AF6108">
        <v>-3.9061569699185998</v>
      </c>
      <c r="AG6108">
        <v>-1.108765294945</v>
      </c>
      <c r="AH6108">
        <v>13.2463865277458</v>
      </c>
      <c r="AI6108">
        <v>94.590163259888399</v>
      </c>
      <c r="AJ6108">
        <v>106.42998271544</v>
      </c>
      <c r="AK6108">
        <v>13.8547529315886</v>
      </c>
    </row>
    <row r="6109" spans="1:37" x14ac:dyDescent="0.2">
      <c r="A6109" t="str">
        <f>"20200111153548564"</f>
        <v>20200111153548564</v>
      </c>
      <c r="B6109" t="str">
        <f>"1578728148551542"</f>
        <v>1578728148551542</v>
      </c>
      <c r="C6109" t="s">
        <v>37</v>
      </c>
      <c r="D6109">
        <v>5.0271470000000003</v>
      </c>
      <c r="E6109">
        <v>0.4866839</v>
      </c>
      <c r="F6109" t="s">
        <v>39</v>
      </c>
      <c r="G6109">
        <v>-189.42060000000001</v>
      </c>
      <c r="H6109" s="1">
        <v>-4.40240999999999E-7</v>
      </c>
      <c r="I6109">
        <v>-29.580590000000001</v>
      </c>
      <c r="J6109">
        <v>-190.97579999999999</v>
      </c>
      <c r="K6109">
        <v>1.1087610000000001</v>
      </c>
      <c r="L6109">
        <v>-43.4617</v>
      </c>
      <c r="M6109">
        <v>0.3855402</v>
      </c>
      <c r="N6109">
        <v>0</v>
      </c>
      <c r="O6109">
        <v>0.92261090000000001</v>
      </c>
      <c r="P6109">
        <v>0.14706669999999999</v>
      </c>
      <c r="Q6109">
        <v>7.5066359999999997E-3</v>
      </c>
      <c r="R6109">
        <v>0.98909809999999998</v>
      </c>
      <c r="S6109">
        <v>0.34866329999999901</v>
      </c>
      <c r="T6109">
        <v>-0.23422989999999999</v>
      </c>
      <c r="U6109">
        <v>2.98339799999999</v>
      </c>
      <c r="V6109">
        <v>-0.2458534</v>
      </c>
      <c r="W6109">
        <v>1.6798489999999999E-2</v>
      </c>
      <c r="X6109">
        <v>0.96916150000000001</v>
      </c>
      <c r="Y6109">
        <v>-0.2761229</v>
      </c>
      <c r="Z6109">
        <v>-6.7523230000000004E-2</v>
      </c>
      <c r="AA6109">
        <v>0.95874749999999997</v>
      </c>
      <c r="AB6109">
        <v>26</v>
      </c>
      <c r="AC6109">
        <v>1.5551999999999799</v>
      </c>
      <c r="AD6109">
        <v>-1.108761440241</v>
      </c>
      <c r="AE6109">
        <v>13.88111</v>
      </c>
      <c r="AF6109">
        <v>-3.8926435064277101</v>
      </c>
      <c r="AG6109">
        <v>-1.108761440241</v>
      </c>
      <c r="AH6109">
        <v>13.3234953867037</v>
      </c>
      <c r="AI6109">
        <v>94.567037428875096</v>
      </c>
      <c r="AJ6109">
        <v>106.28645356569901</v>
      </c>
      <c r="AK6109">
        <v>13.9247102202888</v>
      </c>
    </row>
    <row r="6110" spans="1:37" x14ac:dyDescent="0.2">
      <c r="A6110" t="str">
        <f>"20200111153548584"</f>
        <v>20200111153548584</v>
      </c>
      <c r="B6110" t="str">
        <f>"1578728148581799"</f>
        <v>1578728148581799</v>
      </c>
      <c r="C6110" t="s">
        <v>37</v>
      </c>
      <c r="D6110">
        <v>4.9932600000000003</v>
      </c>
      <c r="E6110">
        <v>0.48495079999999902</v>
      </c>
      <c r="F6110" t="s">
        <v>39</v>
      </c>
      <c r="G6110">
        <v>-189.38</v>
      </c>
      <c r="H6110" s="1">
        <v>-5.5725869999999899E-7</v>
      </c>
      <c r="I6110">
        <v>-29.3246</v>
      </c>
      <c r="J6110">
        <v>-190.8886</v>
      </c>
      <c r="K6110">
        <v>1.108752</v>
      </c>
      <c r="L6110">
        <v>-43.237270000000002</v>
      </c>
      <c r="M6110">
        <v>0.38038649999999902</v>
      </c>
      <c r="N6110">
        <v>0</v>
      </c>
      <c r="O6110">
        <v>0.92474869999999898</v>
      </c>
      <c r="P6110">
        <v>0.14218359999999999</v>
      </c>
      <c r="Q6110">
        <v>7.7669879999999998E-3</v>
      </c>
      <c r="R6110">
        <v>0.98980979999999996</v>
      </c>
      <c r="S6110">
        <v>0.33691409999999899</v>
      </c>
      <c r="T6110">
        <v>-0.23409089999999999</v>
      </c>
      <c r="U6110">
        <v>2.9847410000000001</v>
      </c>
      <c r="V6110">
        <v>-0.24522959999999999</v>
      </c>
      <c r="W6110">
        <v>1.6990620000000001E-2</v>
      </c>
      <c r="X6110">
        <v>0.96931610000000001</v>
      </c>
      <c r="Y6110">
        <v>-0.27453539999999998</v>
      </c>
      <c r="Z6110">
        <v>-6.7730579999999999E-2</v>
      </c>
      <c r="AA6110">
        <v>0.95918869999999901</v>
      </c>
      <c r="AB6110">
        <v>26</v>
      </c>
      <c r="AC6110">
        <v>1.5085999999999999</v>
      </c>
      <c r="AD6110">
        <v>-1.1087525572587</v>
      </c>
      <c r="AE6110">
        <v>13.91267</v>
      </c>
      <c r="AF6110">
        <v>-3.8730879161914999</v>
      </c>
      <c r="AG6110">
        <v>-1.1087525572587</v>
      </c>
      <c r="AH6110">
        <v>13.3567115848554</v>
      </c>
      <c r="AI6110">
        <v>94.558358881935703</v>
      </c>
      <c r="AJ6110">
        <v>106.170740685205</v>
      </c>
      <c r="AK6110">
        <v>13.951053243421599</v>
      </c>
    </row>
    <row r="6111" spans="1:37" x14ac:dyDescent="0.2">
      <c r="A6111" t="str">
        <f>"20200111153548606"</f>
        <v>20200111153548606</v>
      </c>
      <c r="B6111" t="str">
        <f>"1578728148601318"</f>
        <v>1578728148601318</v>
      </c>
      <c r="C6111" t="s">
        <v>37</v>
      </c>
      <c r="D6111">
        <v>5.0495109999999999</v>
      </c>
      <c r="E6111">
        <v>0.48308259999999997</v>
      </c>
      <c r="F6111" t="s">
        <v>39</v>
      </c>
      <c r="G6111">
        <v>-189.44669999999999</v>
      </c>
      <c r="H6111" s="1">
        <v>-5.8361270000000002E-7</v>
      </c>
      <c r="I6111">
        <v>-29.235579999999999</v>
      </c>
      <c r="J6111">
        <v>-190.8004</v>
      </c>
      <c r="K6111">
        <v>1.1087499999999999</v>
      </c>
      <c r="L6111">
        <v>-43.00629</v>
      </c>
      <c r="M6111">
        <v>0.375081</v>
      </c>
      <c r="N6111">
        <v>0</v>
      </c>
      <c r="O6111">
        <v>0.92691420000000002</v>
      </c>
      <c r="P6111">
        <v>0.1356175</v>
      </c>
      <c r="Q6111">
        <v>8.0539979999999997E-3</v>
      </c>
      <c r="R6111">
        <v>0.99072859999999996</v>
      </c>
      <c r="S6111">
        <v>0.30776979999999998</v>
      </c>
      <c r="T6111">
        <v>-0.23665239999999901</v>
      </c>
      <c r="U6111">
        <v>2.9885250000000001</v>
      </c>
      <c r="V6111">
        <v>-0.24610309999999999</v>
      </c>
      <c r="W6111">
        <v>1.7193730000000001E-2</v>
      </c>
      <c r="X6111">
        <v>0.96909109999999998</v>
      </c>
      <c r="Y6111">
        <v>-0.27840920000000002</v>
      </c>
      <c r="Z6111">
        <v>-6.8620379999999995E-2</v>
      </c>
      <c r="AA6111">
        <v>0.95800810000000003</v>
      </c>
      <c r="AB6111">
        <v>26</v>
      </c>
      <c r="AC6111">
        <v>1.3536999999999999</v>
      </c>
      <c r="AD6111">
        <v>-1.1087505836126901</v>
      </c>
      <c r="AE6111">
        <v>13.770709999999999</v>
      </c>
      <c r="AF6111">
        <v>-3.8857014108769299</v>
      </c>
      <c r="AG6111">
        <v>-1.1087505836126901</v>
      </c>
      <c r="AH6111">
        <v>13.1882942243054</v>
      </c>
      <c r="AI6111">
        <v>94.610548181531598</v>
      </c>
      <c r="AJ6111">
        <v>106.416692058552</v>
      </c>
      <c r="AK6111">
        <v>13.793444379776901</v>
      </c>
    </row>
    <row r="6112" spans="1:37" x14ac:dyDescent="0.2">
      <c r="A6112" t="str">
        <f>"20200111153548629"</f>
        <v>20200111153548629</v>
      </c>
      <c r="B6112" t="str">
        <f>"1578728148621815"</f>
        <v>1578728148621815</v>
      </c>
      <c r="C6112" t="s">
        <v>37</v>
      </c>
      <c r="D6112">
        <v>4.9906470000000001</v>
      </c>
      <c r="E6112">
        <v>0.48166639999999999</v>
      </c>
      <c r="F6112" t="s">
        <v>39</v>
      </c>
      <c r="G6112">
        <v>-189.50239999999999</v>
      </c>
      <c r="H6112" s="1">
        <v>-8.0045079999999898E-7</v>
      </c>
      <c r="I6112">
        <v>-28.707109999999901</v>
      </c>
      <c r="J6112">
        <v>-190.70509999999999</v>
      </c>
      <c r="K6112">
        <v>1.108749</v>
      </c>
      <c r="L6112">
        <v>-42.752079999999999</v>
      </c>
      <c r="M6112">
        <v>0.36924079999999998</v>
      </c>
      <c r="N6112">
        <v>0</v>
      </c>
      <c r="O6112">
        <v>0.92925720000000001</v>
      </c>
      <c r="P6112">
        <v>0.12787009999999999</v>
      </c>
      <c r="Q6112">
        <v>8.9478330000000005E-3</v>
      </c>
      <c r="R6112">
        <v>0.99175049999999898</v>
      </c>
      <c r="S6112">
        <v>0.2716827</v>
      </c>
      <c r="T6112">
        <v>-0.2320576</v>
      </c>
      <c r="U6112">
        <v>2.99276699999999</v>
      </c>
      <c r="V6112">
        <v>-0.24758359999999999</v>
      </c>
      <c r="W6112">
        <v>1.79904E-2</v>
      </c>
      <c r="X6112">
        <v>0.96869950000000005</v>
      </c>
      <c r="Y6112">
        <v>-0.28393439999999998</v>
      </c>
      <c r="Z6112">
        <v>-6.7439319999999997E-2</v>
      </c>
      <c r="AA6112">
        <v>0.95646909999999896</v>
      </c>
      <c r="AB6112">
        <v>26</v>
      </c>
      <c r="AC6112">
        <v>1.2026999999999901</v>
      </c>
      <c r="AD6112">
        <v>-1.1087498004508001</v>
      </c>
      <c r="AE6112">
        <v>14.044969999999999</v>
      </c>
      <c r="AF6112">
        <v>-4.0436314385132102</v>
      </c>
      <c r="AG6112">
        <v>-1.1087498004508001</v>
      </c>
      <c r="AH6112">
        <v>13.4134518842032</v>
      </c>
      <c r="AI6112">
        <v>94.525047441937105</v>
      </c>
      <c r="AJ6112">
        <v>106.77600606970201</v>
      </c>
      <c r="AK6112">
        <v>14.0535039324848</v>
      </c>
    </row>
    <row r="6113" spans="1:37" x14ac:dyDescent="0.2">
      <c r="A6113" t="str">
        <f>"20200111153548653"</f>
        <v>20200111153548653</v>
      </c>
      <c r="B6113" t="str">
        <f>"1578728148641334"</f>
        <v>1578728148641334</v>
      </c>
      <c r="C6113" t="s">
        <v>37</v>
      </c>
      <c r="D6113">
        <v>4.9777889999999996</v>
      </c>
      <c r="E6113">
        <v>0.48062349999999998</v>
      </c>
      <c r="F6113" t="s">
        <v>39</v>
      </c>
      <c r="G6113">
        <v>-189.5446</v>
      </c>
      <c r="H6113" s="1">
        <v>-1.058235E-6</v>
      </c>
      <c r="I6113">
        <v>-28.088750000000001</v>
      </c>
      <c r="J6113">
        <v>-190.61519999999999</v>
      </c>
      <c r="K6113">
        <v>1.1087499999999999</v>
      </c>
      <c r="L6113">
        <v>-42.507779999999997</v>
      </c>
      <c r="M6113">
        <v>0.36362949999999999</v>
      </c>
      <c r="N6113">
        <v>0</v>
      </c>
      <c r="O6113">
        <v>0.93146819999999897</v>
      </c>
      <c r="P6113">
        <v>0.1225233</v>
      </c>
      <c r="Q6113">
        <v>9.8787079999999999E-3</v>
      </c>
      <c r="R6113">
        <v>0.99241639999999998</v>
      </c>
      <c r="S6113">
        <v>0.2371521</v>
      </c>
      <c r="T6113">
        <v>-0.2265692</v>
      </c>
      <c r="U6113">
        <v>2.9963989999999998</v>
      </c>
      <c r="V6113">
        <v>-0.24696709999999999</v>
      </c>
      <c r="W6113">
        <v>1.8855710000000001E-2</v>
      </c>
      <c r="X6113">
        <v>0.96884040000000005</v>
      </c>
      <c r="Y6113">
        <v>-0.289186</v>
      </c>
      <c r="Z6113">
        <v>-6.5988210000000005E-2</v>
      </c>
      <c r="AA6113">
        <v>0.95499579999999995</v>
      </c>
      <c r="AB6113">
        <v>26</v>
      </c>
      <c r="AC6113">
        <v>1.07059999999998</v>
      </c>
      <c r="AD6113">
        <v>-1.108751058235</v>
      </c>
      <c r="AE6113">
        <v>14.4190299999999</v>
      </c>
      <c r="AF6113">
        <v>-4.2214295137579896</v>
      </c>
      <c r="AG6113">
        <v>-1.108751058235</v>
      </c>
      <c r="AH6113">
        <v>13.740342195790699</v>
      </c>
      <c r="AI6113">
        <v>94.410766350356894</v>
      </c>
      <c r="AJ6113">
        <v>107.078468149871</v>
      </c>
      <c r="AK6113">
        <v>14.4168928589412</v>
      </c>
    </row>
    <row r="6114" spans="1:37" x14ac:dyDescent="0.2">
      <c r="A6114" t="str">
        <f>"20200111153548674"</f>
        <v>20200111153548674</v>
      </c>
      <c r="B6114" t="str">
        <f>"1578728148661830"</f>
        <v>1578728148661830</v>
      </c>
      <c r="C6114" t="s">
        <v>37</v>
      </c>
      <c r="D6114">
        <v>4.97281</v>
      </c>
      <c r="E6114">
        <v>0.47984099999999902</v>
      </c>
      <c r="F6114" t="s">
        <v>39</v>
      </c>
      <c r="G6114">
        <v>-189.55109999999999</v>
      </c>
      <c r="H6114" s="1">
        <v>-1.28536E-6</v>
      </c>
      <c r="I6114">
        <v>-27.556640000000002</v>
      </c>
      <c r="J6114">
        <v>-190.53059999999999</v>
      </c>
      <c r="K6114">
        <v>1.1087469999999999</v>
      </c>
      <c r="L6114">
        <v>-42.273739999999997</v>
      </c>
      <c r="M6114">
        <v>0.35825479999999998</v>
      </c>
      <c r="N6114">
        <v>0</v>
      </c>
      <c r="O6114">
        <v>0.93354950000000003</v>
      </c>
      <c r="P6114">
        <v>0.11890389999999899</v>
      </c>
      <c r="Q6114">
        <v>1.0275070000000001E-2</v>
      </c>
      <c r="R6114">
        <v>0.99285259999999997</v>
      </c>
      <c r="S6114">
        <v>0.21343989999999999</v>
      </c>
      <c r="T6114">
        <v>-0.22238649999999999</v>
      </c>
      <c r="U6114">
        <v>2.99880999999999</v>
      </c>
      <c r="V6114">
        <v>-0.244917</v>
      </c>
      <c r="W6114">
        <v>1.920612E-2</v>
      </c>
      <c r="X6114">
        <v>0.96935380000000004</v>
      </c>
      <c r="Y6114">
        <v>-0.29123179999999999</v>
      </c>
      <c r="Z6114">
        <v>-6.4945879999999998E-2</v>
      </c>
      <c r="AA6114">
        <v>0.9544454</v>
      </c>
      <c r="AB6114">
        <v>26</v>
      </c>
      <c r="AC6114">
        <v>0.97950000000000104</v>
      </c>
      <c r="AD6114">
        <v>-1.1087482853599999</v>
      </c>
      <c r="AE6114">
        <v>14.7171</v>
      </c>
      <c r="AF6114">
        <v>-4.3338731273272098</v>
      </c>
      <c r="AG6114">
        <v>-1.1087482853599999</v>
      </c>
      <c r="AH6114">
        <v>14.011853358271001</v>
      </c>
      <c r="AI6114">
        <v>94.323102262202298</v>
      </c>
      <c r="AJ6114">
        <v>107.186863959511</v>
      </c>
      <c r="AK6114">
        <v>14.7086305813202</v>
      </c>
    </row>
    <row r="6115" spans="1:37" x14ac:dyDescent="0.2">
      <c r="A6115" t="str">
        <f>"20200111153548696"</f>
        <v>20200111153548696</v>
      </c>
      <c r="B6115" t="str">
        <f>"1578728148692088"</f>
        <v>1578728148692088</v>
      </c>
      <c r="C6115" t="s">
        <v>37</v>
      </c>
      <c r="D6115">
        <v>4.9625250000000003</v>
      </c>
      <c r="E6115">
        <v>0.478913599999999</v>
      </c>
      <c r="F6115" t="s">
        <v>39</v>
      </c>
      <c r="G6115">
        <v>-189.53700000000001</v>
      </c>
      <c r="H6115" s="1">
        <v>-1.4827819999999999E-6</v>
      </c>
      <c r="I6115">
        <v>-27.102270000000001</v>
      </c>
      <c r="J6115">
        <v>-190.4436</v>
      </c>
      <c r="K6115">
        <v>1.1087340000000001</v>
      </c>
      <c r="L6115">
        <v>-42.028559999999999</v>
      </c>
      <c r="M6115">
        <v>0.35262579999999999</v>
      </c>
      <c r="N6115">
        <v>0</v>
      </c>
      <c r="O6115">
        <v>0.93569119999999995</v>
      </c>
      <c r="P6115">
        <v>0.1158801</v>
      </c>
      <c r="Q6115">
        <v>9.9184819999999993E-3</v>
      </c>
      <c r="R6115">
        <v>0.99321369999999898</v>
      </c>
      <c r="S6115">
        <v>0.1965027</v>
      </c>
      <c r="T6115">
        <v>-0.21926799999999999</v>
      </c>
      <c r="U6115">
        <v>3.0003359999999999</v>
      </c>
      <c r="V6115">
        <v>-0.24202609999999999</v>
      </c>
      <c r="W6115">
        <v>1.880708E-2</v>
      </c>
      <c r="X6115">
        <v>0.97008749999999999</v>
      </c>
      <c r="Y6115">
        <v>-0.29086430000000002</v>
      </c>
      <c r="Z6115">
        <v>-6.4253400000000002E-2</v>
      </c>
      <c r="AA6115">
        <v>0.95460429999999996</v>
      </c>
      <c r="AB6115">
        <v>26</v>
      </c>
      <c r="AC6115">
        <v>0.90659999999999696</v>
      </c>
      <c r="AD6115">
        <v>-1.108735482782</v>
      </c>
      <c r="AE6115">
        <v>14.9262899999999</v>
      </c>
      <c r="AF6115">
        <v>-4.39125956323163</v>
      </c>
      <c r="AG6115">
        <v>-1.108735482782</v>
      </c>
      <c r="AH6115">
        <v>14.2089560983959</v>
      </c>
      <c r="AI6115">
        <v>94.263608796137603</v>
      </c>
      <c r="AJ6115">
        <v>107.173696647357</v>
      </c>
      <c r="AK6115">
        <v>14.9133124532612</v>
      </c>
    </row>
    <row r="6116" spans="1:37" x14ac:dyDescent="0.2">
      <c r="A6116" t="str">
        <f>"20200111153548720"</f>
        <v>20200111153548720</v>
      </c>
      <c r="B6116" t="str">
        <f>"1578728148711607"</f>
        <v>1578728148711607</v>
      </c>
      <c r="C6116" t="s">
        <v>37</v>
      </c>
      <c r="D6116">
        <v>4.9808279999999998</v>
      </c>
      <c r="E6116">
        <v>0.47853950000000001</v>
      </c>
      <c r="F6116" t="s">
        <v>39</v>
      </c>
      <c r="G6116">
        <v>-189.5284</v>
      </c>
      <c r="H6116" s="1">
        <v>-1.6156E-6</v>
      </c>
      <c r="I6116">
        <v>-26.796189999999999</v>
      </c>
      <c r="J6116">
        <v>-190.35480000000001</v>
      </c>
      <c r="K6116">
        <v>1.108724</v>
      </c>
      <c r="L6116">
        <v>-41.773650000000004</v>
      </c>
      <c r="M6116">
        <v>0.34677520000000001</v>
      </c>
      <c r="N6116">
        <v>0</v>
      </c>
      <c r="O6116">
        <v>0.9378763</v>
      </c>
      <c r="P6116">
        <v>0.11155180000000001</v>
      </c>
      <c r="Q6116">
        <v>1.03655E-2</v>
      </c>
      <c r="R6116">
        <v>0.99370460000000005</v>
      </c>
      <c r="S6116">
        <v>0.1803284</v>
      </c>
      <c r="T6116">
        <v>-0.21848419999999999</v>
      </c>
      <c r="U6116">
        <v>3.0016479999999999</v>
      </c>
      <c r="V6116">
        <v>-0.24019489999999999</v>
      </c>
      <c r="W6116">
        <v>1.9190869999999999E-2</v>
      </c>
      <c r="X6116">
        <v>0.97053500000000004</v>
      </c>
      <c r="Y6116">
        <v>-0.29003950000000001</v>
      </c>
      <c r="Z6116">
        <v>-6.4250730000000006E-2</v>
      </c>
      <c r="AA6116">
        <v>0.95485540000000002</v>
      </c>
      <c r="AB6116">
        <v>26</v>
      </c>
      <c r="AC6116">
        <v>0.82640000000000602</v>
      </c>
      <c r="AD6116">
        <v>-1.1087256156</v>
      </c>
      <c r="AE6116">
        <v>14.977460000000001</v>
      </c>
      <c r="AF6116">
        <v>-4.3950378003762296</v>
      </c>
      <c r="AG6116">
        <v>-1.1087256156</v>
      </c>
      <c r="AH6116">
        <v>14.256659654138099</v>
      </c>
      <c r="AI6116">
        <v>94.250274915810195</v>
      </c>
      <c r="AJ6116">
        <v>107.133464753445</v>
      </c>
      <c r="AK6116">
        <v>14.959878818070401</v>
      </c>
    </row>
    <row r="6117" spans="1:37" x14ac:dyDescent="0.2">
      <c r="A6117" t="str">
        <f>"20200111153548740"</f>
        <v>20200111153548740</v>
      </c>
      <c r="B6117" t="str">
        <f>"1578728148732103"</f>
        <v>1578728148732103</v>
      </c>
      <c r="C6117" t="s">
        <v>37</v>
      </c>
      <c r="D6117">
        <v>4.9769940000000004</v>
      </c>
      <c r="E6117">
        <v>0.47823279999999901</v>
      </c>
      <c r="F6117" t="s">
        <v>39</v>
      </c>
      <c r="G6117">
        <v>-189.50720000000001</v>
      </c>
      <c r="H6117" s="1">
        <v>-1.8321579999999999E-6</v>
      </c>
      <c r="I6117">
        <v>-26.300159999999899</v>
      </c>
      <c r="J6117">
        <v>-190.2739</v>
      </c>
      <c r="K6117">
        <v>1.1087209999999901</v>
      </c>
      <c r="L6117">
        <v>-41.536439999999999</v>
      </c>
      <c r="M6117">
        <v>0.34134109999999901</v>
      </c>
      <c r="N6117">
        <v>0</v>
      </c>
      <c r="O6117">
        <v>0.9398687</v>
      </c>
      <c r="P6117">
        <v>0.1084354</v>
      </c>
      <c r="Q6117">
        <v>1.071794E-2</v>
      </c>
      <c r="R6117">
        <v>0.99404570000000003</v>
      </c>
      <c r="S6117">
        <v>0.1644745</v>
      </c>
      <c r="T6117">
        <v>-0.21515879999999901</v>
      </c>
      <c r="U6117">
        <v>3.002777</v>
      </c>
      <c r="V6117">
        <v>-0.23762049999999901</v>
      </c>
      <c r="W6117">
        <v>1.949408E-2</v>
      </c>
      <c r="X6117">
        <v>0.97116239999999998</v>
      </c>
      <c r="Y6117">
        <v>-0.28954400000000002</v>
      </c>
      <c r="Z6117">
        <v>-6.347891E-2</v>
      </c>
      <c r="AA6117">
        <v>0.95505739999999995</v>
      </c>
      <c r="AB6117">
        <v>26</v>
      </c>
      <c r="AC6117">
        <v>0.76669999999998595</v>
      </c>
      <c r="AD6117">
        <v>-1.1087228321579901</v>
      </c>
      <c r="AE6117">
        <v>15.236280000000001</v>
      </c>
      <c r="AF6117">
        <v>-4.4569283554789898</v>
      </c>
      <c r="AG6117">
        <v>-1.1087228321579901</v>
      </c>
      <c r="AH6117">
        <v>14.506159257861</v>
      </c>
      <c r="AI6117">
        <v>94.1786349335582</v>
      </c>
      <c r="AJ6117">
        <v>107.07925401754601</v>
      </c>
      <c r="AK6117">
        <v>15.2158513760765</v>
      </c>
    </row>
    <row r="6118" spans="1:37" x14ac:dyDescent="0.2">
      <c r="A6118" t="str">
        <f>"20200111153548755"</f>
        <v>20200111153548755</v>
      </c>
      <c r="B6118" t="str">
        <f>"1578728148751622"</f>
        <v>1578728148751622</v>
      </c>
      <c r="C6118" t="s">
        <v>37</v>
      </c>
      <c r="D6118">
        <v>4.982361</v>
      </c>
      <c r="E6118">
        <v>0.477906099999999</v>
      </c>
      <c r="F6118" t="s">
        <v>39</v>
      </c>
      <c r="G6118">
        <v>-189.4802</v>
      </c>
      <c r="H6118" s="1">
        <v>-2.0119959999999999E-6</v>
      </c>
      <c r="I6118">
        <v>-25.892150000000001</v>
      </c>
      <c r="J6118">
        <v>-190.22110000000001</v>
      </c>
      <c r="K6118">
        <v>1.1087100000000001</v>
      </c>
      <c r="L6118">
        <v>-41.379150000000003</v>
      </c>
      <c r="M6118">
        <v>0.3377425</v>
      </c>
      <c r="N6118">
        <v>0</v>
      </c>
      <c r="O6118">
        <v>0.94116849999999996</v>
      </c>
      <c r="P6118">
        <v>0.10613589999999901</v>
      </c>
      <c r="Q6118">
        <v>1.0858420000000001E-2</v>
      </c>
      <c r="R6118">
        <v>0.99429230000000002</v>
      </c>
      <c r="S6118">
        <v>0.15238950000000001</v>
      </c>
      <c r="T6118">
        <v>-0.212871799999999</v>
      </c>
      <c r="U6118">
        <v>3.0036619999999998</v>
      </c>
      <c r="V6118">
        <v>-0.23615079999999999</v>
      </c>
      <c r="W6118">
        <v>1.9600869999999999E-2</v>
      </c>
      <c r="X6118">
        <v>0.97151869999999996</v>
      </c>
      <c r="Y6118">
        <v>-0.28972720000000002</v>
      </c>
      <c r="Z6118">
        <v>-6.2929099999999905E-2</v>
      </c>
      <c r="AA6118">
        <v>0.95503819999999995</v>
      </c>
      <c r="AB6118">
        <v>26</v>
      </c>
      <c r="AC6118">
        <v>0.74090000000001</v>
      </c>
      <c r="AD6118">
        <v>-1.1087120119959999</v>
      </c>
      <c r="AE6118">
        <v>15.487</v>
      </c>
      <c r="AF6118">
        <v>-4.5105410450094396</v>
      </c>
      <c r="AG6118">
        <v>-1.1087120119959999</v>
      </c>
      <c r="AH6118">
        <v>14.751656372432899</v>
      </c>
      <c r="AI6118">
        <v>94.110991486203702</v>
      </c>
      <c r="AJ6118">
        <v>107.001801171324</v>
      </c>
      <c r="AK6118">
        <v>15.4656260324179</v>
      </c>
    </row>
    <row r="6119" spans="1:37" x14ac:dyDescent="0.2">
      <c r="A6119" t="str">
        <f>"20200111153548774"</f>
        <v>20200111153548774</v>
      </c>
      <c r="B6119" t="str">
        <f>"1578728148761391"</f>
        <v>1578728148761391</v>
      </c>
      <c r="C6119" t="s">
        <v>37</v>
      </c>
      <c r="D6119">
        <v>4.9703489999999997</v>
      </c>
      <c r="E6119">
        <v>0.47774929999999899</v>
      </c>
      <c r="F6119" t="s">
        <v>39</v>
      </c>
      <c r="G6119">
        <v>-189.47139999999999</v>
      </c>
      <c r="H6119" s="1">
        <v>-2.1379680000000001E-6</v>
      </c>
      <c r="I6119">
        <v>-25.602119999999999</v>
      </c>
      <c r="J6119">
        <v>-190.1542</v>
      </c>
      <c r="K6119">
        <v>1.108692</v>
      </c>
      <c r="L6119">
        <v>-41.177279999999897</v>
      </c>
      <c r="M6119">
        <v>0.33313189999999998</v>
      </c>
      <c r="N6119">
        <v>0</v>
      </c>
      <c r="O6119">
        <v>0.94281130000000002</v>
      </c>
      <c r="P6119">
        <v>0.1040976</v>
      </c>
      <c r="Q6119">
        <v>1.005253E-2</v>
      </c>
      <c r="R6119">
        <v>0.99451630000000002</v>
      </c>
      <c r="S6119">
        <v>0.14274600000000001</v>
      </c>
      <c r="T6119">
        <v>-0.211123799999999</v>
      </c>
      <c r="U6119">
        <v>3.00430299999999</v>
      </c>
      <c r="V6119">
        <v>-0.23337959999999999</v>
      </c>
      <c r="W6119">
        <v>1.8764179999999998E-2</v>
      </c>
      <c r="X6119">
        <v>0.97220459999999997</v>
      </c>
      <c r="Y6119">
        <v>-0.28810979999999897</v>
      </c>
      <c r="Z6119">
        <v>-6.2594109999999994E-2</v>
      </c>
      <c r="AA6119">
        <v>0.95554939999999999</v>
      </c>
      <c r="AB6119">
        <v>26</v>
      </c>
      <c r="AC6119">
        <v>0.68280000000001395</v>
      </c>
      <c r="AD6119">
        <v>-1.108694137968</v>
      </c>
      <c r="AE6119">
        <v>15.575159999999901</v>
      </c>
      <c r="AF6119">
        <v>-4.5222557926958897</v>
      </c>
      <c r="AG6119">
        <v>-1.108694137968</v>
      </c>
      <c r="AH6119">
        <v>14.8378282324131</v>
      </c>
      <c r="AI6119">
        <v>94.088254011485404</v>
      </c>
      <c r="AJ6119">
        <v>106.950111079788</v>
      </c>
      <c r="AK6119">
        <v>15.551242612753899</v>
      </c>
    </row>
    <row r="6120" spans="1:37" x14ac:dyDescent="0.2">
      <c r="A6120" t="str">
        <f>"20200111153548795"</f>
        <v>20200111153548795</v>
      </c>
      <c r="B6120" t="str">
        <f>"1578728148791638"</f>
        <v>1578728148791638</v>
      </c>
      <c r="C6120" t="s">
        <v>37</v>
      </c>
      <c r="D6120">
        <v>4.9718080000000002</v>
      </c>
      <c r="E6120">
        <v>0.477315499999999</v>
      </c>
      <c r="F6120" t="s">
        <v>39</v>
      </c>
      <c r="G6120">
        <v>-189.45189999999999</v>
      </c>
      <c r="H6120" s="1">
        <v>-2.1610839999999999E-6</v>
      </c>
      <c r="I6120">
        <v>-25.55631</v>
      </c>
      <c r="J6120">
        <v>-190.07570000000001</v>
      </c>
      <c r="K6120">
        <v>1.108663</v>
      </c>
      <c r="L6120">
        <v>-40.936129999999999</v>
      </c>
      <c r="M6120">
        <v>0.32763940000000003</v>
      </c>
      <c r="N6120">
        <v>0</v>
      </c>
      <c r="O6120">
        <v>0.94473510000000005</v>
      </c>
      <c r="P6120">
        <v>0.1008183</v>
      </c>
      <c r="Q6120">
        <v>8.4006510000000003E-3</v>
      </c>
      <c r="R6120">
        <v>0.99486939999999902</v>
      </c>
      <c r="S6120">
        <v>0.13508609999999999</v>
      </c>
      <c r="T6120">
        <v>-0.21324699999999999</v>
      </c>
      <c r="U6120">
        <v>3.0045470000000001</v>
      </c>
      <c r="V6120">
        <v>-0.2309127</v>
      </c>
      <c r="W6120">
        <v>1.706119E-2</v>
      </c>
      <c r="X6120">
        <v>0.97282489999999999</v>
      </c>
      <c r="Y6120">
        <v>-0.28497230000000001</v>
      </c>
      <c r="Z6120">
        <v>-6.3454609999999995E-2</v>
      </c>
      <c r="AA6120">
        <v>0.95643310000000004</v>
      </c>
      <c r="AB6120">
        <v>26</v>
      </c>
      <c r="AC6120">
        <v>0.62380000000001701</v>
      </c>
      <c r="AD6120">
        <v>-1.1086651610839999</v>
      </c>
      <c r="AE6120">
        <v>15.37982</v>
      </c>
      <c r="AF6120">
        <v>-4.4270274853056204</v>
      </c>
      <c r="AG6120">
        <v>-1.1086651610839999</v>
      </c>
      <c r="AH6120">
        <v>14.659131577135399</v>
      </c>
      <c r="AI6120">
        <v>94.140997380689896</v>
      </c>
      <c r="AJ6120">
        <v>106.80420779422801</v>
      </c>
      <c r="AK6120">
        <v>15.353105529202301</v>
      </c>
    </row>
    <row r="6121" spans="1:37" x14ac:dyDescent="0.2">
      <c r="A6121" t="str">
        <f>"20200111153548819"</f>
        <v>20200111153548819</v>
      </c>
      <c r="B6121" t="str">
        <f>"1578728148812134"</f>
        <v>1578728148812134</v>
      </c>
      <c r="C6121" t="s">
        <v>37</v>
      </c>
      <c r="D6121">
        <v>4.9342689999999996</v>
      </c>
      <c r="E6121">
        <v>0.47704619999999998</v>
      </c>
      <c r="F6121" t="s">
        <v>39</v>
      </c>
      <c r="G6121">
        <v>-189.45679999999999</v>
      </c>
      <c r="H6121" s="1">
        <v>-2.1324990000000001E-6</v>
      </c>
      <c r="I6121">
        <v>-25.620899999999999</v>
      </c>
      <c r="J6121">
        <v>-189.99039999999999</v>
      </c>
      <c r="K6121">
        <v>1.1086240000000001</v>
      </c>
      <c r="L6121">
        <v>-40.668909999999997</v>
      </c>
      <c r="M6121">
        <v>0.32157709999999901</v>
      </c>
      <c r="N6121">
        <v>0</v>
      </c>
      <c r="O6121">
        <v>0.94681709999999997</v>
      </c>
      <c r="P6121">
        <v>9.6914849999999997E-2</v>
      </c>
      <c r="Q6121">
        <v>7.0122619999999896E-3</v>
      </c>
      <c r="R6121">
        <v>0.99526800000000004</v>
      </c>
      <c r="S6121">
        <v>0.12142939999999899</v>
      </c>
      <c r="T6121">
        <v>-0.21753159999999999</v>
      </c>
      <c r="U6121">
        <v>3.0050050000000001</v>
      </c>
      <c r="V6121">
        <v>-0.228479299999999</v>
      </c>
      <c r="W6121">
        <v>1.559845E-2</v>
      </c>
      <c r="X6121">
        <v>0.97342379999999995</v>
      </c>
      <c r="Y6121">
        <v>-0.28317619999999999</v>
      </c>
      <c r="Z6121">
        <v>-6.496159E-2</v>
      </c>
      <c r="AA6121">
        <v>0.95686530000000003</v>
      </c>
      <c r="AB6121">
        <v>26</v>
      </c>
      <c r="AC6121">
        <v>0.53360000000000696</v>
      </c>
      <c r="AD6121">
        <v>-1.1086261324990001</v>
      </c>
      <c r="AE6121">
        <v>15.0480099999999</v>
      </c>
      <c r="AF6121">
        <v>-4.3107778682092599</v>
      </c>
      <c r="AG6121">
        <v>-1.1086261324990001</v>
      </c>
      <c r="AH6121">
        <v>14.342463814316799</v>
      </c>
      <c r="AI6121">
        <v>94.233624002619607</v>
      </c>
      <c r="AJ6121">
        <v>106.728701501375</v>
      </c>
      <c r="AK6121">
        <v>15.0172609351935</v>
      </c>
    </row>
    <row r="6122" spans="1:37" x14ac:dyDescent="0.2">
      <c r="A6122" t="str">
        <f>"20200111153548842"</f>
        <v>20200111153548842</v>
      </c>
      <c r="B6122" t="str">
        <f>"1578728148831654"</f>
        <v>1578728148831654</v>
      </c>
      <c r="C6122" t="s">
        <v>37</v>
      </c>
      <c r="D6122">
        <v>4.9467850000000002</v>
      </c>
      <c r="E6122">
        <v>0.47683490000000001</v>
      </c>
      <c r="F6122" t="s">
        <v>39</v>
      </c>
      <c r="G6122">
        <v>-189.4538</v>
      </c>
      <c r="H6122" s="1">
        <v>-2.1289699999999999E-6</v>
      </c>
      <c r="I6122">
        <v>-25.63036</v>
      </c>
      <c r="J6122">
        <v>-189.9135</v>
      </c>
      <c r="K6122">
        <v>1.108587</v>
      </c>
      <c r="L6122">
        <v>-40.4223</v>
      </c>
      <c r="M6122">
        <v>0.31600780000000001</v>
      </c>
      <c r="N6122">
        <v>0</v>
      </c>
      <c r="O6122">
        <v>0.94869190000000003</v>
      </c>
      <c r="P6122">
        <v>9.236134E-2</v>
      </c>
      <c r="Q6122">
        <v>5.5750180000000002E-3</v>
      </c>
      <c r="R6122">
        <v>0.99570999999999998</v>
      </c>
      <c r="S6122">
        <v>0.1072388</v>
      </c>
      <c r="T6122">
        <v>-0.221555</v>
      </c>
      <c r="U6122">
        <v>3.0054020000000001</v>
      </c>
      <c r="V6122">
        <v>-0.22719800000000001</v>
      </c>
      <c r="W6122">
        <v>1.4060339999999999E-2</v>
      </c>
      <c r="X6122">
        <v>0.97374709999999998</v>
      </c>
      <c r="Y6122">
        <v>-0.28205940000000002</v>
      </c>
      <c r="Z6122">
        <v>-6.6370380000000007E-2</v>
      </c>
      <c r="AA6122">
        <v>0.95709849999999996</v>
      </c>
      <c r="AB6122">
        <v>26</v>
      </c>
      <c r="AC6122">
        <v>0.459699999999998</v>
      </c>
      <c r="AD6122">
        <v>-1.1085891289700001</v>
      </c>
      <c r="AE6122">
        <v>14.79194</v>
      </c>
      <c r="AF6122">
        <v>-4.2148635842251903</v>
      </c>
      <c r="AG6122">
        <v>-1.1085891289700001</v>
      </c>
      <c r="AH6122">
        <v>14.100011820608801</v>
      </c>
      <c r="AI6122">
        <v>94.307935709872694</v>
      </c>
      <c r="AJ6122">
        <v>106.642785690951</v>
      </c>
      <c r="AK6122">
        <v>14.758196984449301</v>
      </c>
    </row>
    <row r="6123" spans="1:37" x14ac:dyDescent="0.2">
      <c r="A6123" t="str">
        <f>"20200111153548863"</f>
        <v>20200111153548863</v>
      </c>
      <c r="B6123" t="str">
        <f>"1578728148852153"</f>
        <v>1578728148852153</v>
      </c>
      <c r="C6123" t="s">
        <v>37</v>
      </c>
      <c r="D6123">
        <v>4.9631069999999999</v>
      </c>
      <c r="E6123">
        <v>0.47665370000000001</v>
      </c>
      <c r="F6123" t="s">
        <v>39</v>
      </c>
      <c r="G6123">
        <v>-189.46449999999999</v>
      </c>
      <c r="H6123" s="1">
        <v>-2.1235850000000001E-6</v>
      </c>
      <c r="I6123">
        <v>-25.63852</v>
      </c>
      <c r="J6123">
        <v>-189.8391</v>
      </c>
      <c r="K6123">
        <v>1.108555</v>
      </c>
      <c r="L6123">
        <v>-40.178890000000003</v>
      </c>
      <c r="M6123">
        <v>0.31052970000000002</v>
      </c>
      <c r="N6123">
        <v>0</v>
      </c>
      <c r="O6123">
        <v>0.95050069999999998</v>
      </c>
      <c r="P6123">
        <v>8.704539E-2</v>
      </c>
      <c r="Q6123">
        <v>4.7258120000000002E-3</v>
      </c>
      <c r="R6123">
        <v>0.99619310000000005</v>
      </c>
      <c r="S6123">
        <v>9.1293330000000006E-2</v>
      </c>
      <c r="T6123">
        <v>-0.22538849999999999</v>
      </c>
      <c r="U6123">
        <v>3.0057070000000001</v>
      </c>
      <c r="V6123">
        <v>-0.22676830000000001</v>
      </c>
      <c r="W6123">
        <v>1.3092919999999999E-2</v>
      </c>
      <c r="X6123">
        <v>0.97386070000000002</v>
      </c>
      <c r="Y6123">
        <v>-0.28160209999999902</v>
      </c>
      <c r="Z6123">
        <v>-6.7716970000000001E-2</v>
      </c>
      <c r="AA6123">
        <v>0.95713879999999996</v>
      </c>
      <c r="AB6123">
        <v>26</v>
      </c>
      <c r="AC6123">
        <v>0.37460000000001498</v>
      </c>
      <c r="AD6123">
        <v>-1.108557123585</v>
      </c>
      <c r="AE6123">
        <v>14.540369999999999</v>
      </c>
      <c r="AF6123">
        <v>-4.1353870514815601</v>
      </c>
      <c r="AG6123">
        <v>-1.108557123585</v>
      </c>
      <c r="AH6123">
        <v>13.8572981205673</v>
      </c>
      <c r="AI6123">
        <v>94.383570755280999</v>
      </c>
      <c r="AJ6123">
        <v>106.616505404104</v>
      </c>
      <c r="AK6123">
        <v>14.503621484446199</v>
      </c>
    </row>
    <row r="6124" spans="1:37" x14ac:dyDescent="0.2">
      <c r="A6124" t="str">
        <f>"20200111153548887"</f>
        <v>20200111153548887</v>
      </c>
      <c r="B6124" t="str">
        <f>"1578728148881431"</f>
        <v>1578728148881431</v>
      </c>
      <c r="C6124" t="s">
        <v>37</v>
      </c>
      <c r="D6124">
        <v>4.9597670000000003</v>
      </c>
      <c r="E6124">
        <v>0.47645290000000001</v>
      </c>
      <c r="F6124" t="s">
        <v>39</v>
      </c>
      <c r="G6124">
        <v>-189.48140000000001</v>
      </c>
      <c r="H6124" s="1">
        <v>-2.1722609999999999E-6</v>
      </c>
      <c r="I6124">
        <v>-25.518049999999999</v>
      </c>
      <c r="J6124">
        <v>-189.76310000000001</v>
      </c>
      <c r="K6124">
        <v>1.1085309999999999</v>
      </c>
      <c r="L6124">
        <v>-39.925199999999997</v>
      </c>
      <c r="M6124">
        <v>0.30483329999999997</v>
      </c>
      <c r="N6124">
        <v>0</v>
      </c>
      <c r="O6124">
        <v>0.95234459999999999</v>
      </c>
      <c r="P6124">
        <v>8.1000760000000005E-2</v>
      </c>
      <c r="Q6124">
        <v>4.8528169999999997E-3</v>
      </c>
      <c r="R6124">
        <v>0.99670230000000004</v>
      </c>
      <c r="S6124">
        <v>7.3333739999999994E-2</v>
      </c>
      <c r="T6124">
        <v>-0.22730429999999899</v>
      </c>
      <c r="U6124">
        <v>3.0061339999999999</v>
      </c>
      <c r="V6124">
        <v>-0.22684399999999999</v>
      </c>
      <c r="W6124">
        <v>1.3069559999999999E-2</v>
      </c>
      <c r="X6124">
        <v>0.97384340000000003</v>
      </c>
      <c r="Y6124">
        <v>-0.28157589999999999</v>
      </c>
      <c r="Z6124">
        <v>-6.849152E-2</v>
      </c>
      <c r="AA6124">
        <v>0.95709140000000004</v>
      </c>
      <c r="AB6124">
        <v>26</v>
      </c>
      <c r="AC6124">
        <v>0.28170000000000001</v>
      </c>
      <c r="AD6124">
        <v>-1.1085331722609999</v>
      </c>
      <c r="AE6124">
        <v>14.4071499999999</v>
      </c>
      <c r="AF6124">
        <v>-4.0994829039075604</v>
      </c>
      <c r="AG6124">
        <v>-1.1085331722609999</v>
      </c>
      <c r="AH6124">
        <v>13.726016188277899</v>
      </c>
      <c r="AI6124">
        <v>94.424948083677407</v>
      </c>
      <c r="AJ6124">
        <v>106.62905302095</v>
      </c>
      <c r="AK6124">
        <v>14.3679548396528</v>
      </c>
    </row>
    <row r="6125" spans="1:37" x14ac:dyDescent="0.2">
      <c r="A6125" t="str">
        <f>"20200111153548908"</f>
        <v>20200111153548908</v>
      </c>
      <c r="B6125" t="str">
        <f>"1578728148901926"</f>
        <v>1578728148901926</v>
      </c>
      <c r="C6125" t="s">
        <v>37</v>
      </c>
      <c r="D6125">
        <v>4.9469690000000002</v>
      </c>
      <c r="E6125">
        <v>0.47637799999999902</v>
      </c>
      <c r="F6125" t="s">
        <v>39</v>
      </c>
      <c r="G6125">
        <v>-189.5009</v>
      </c>
      <c r="H6125" s="1">
        <v>-2.295129E-6</v>
      </c>
      <c r="I6125">
        <v>-25.223589999999898</v>
      </c>
      <c r="J6125">
        <v>-189.68940000000001</v>
      </c>
      <c r="K6125">
        <v>1.108503</v>
      </c>
      <c r="L6125">
        <v>-39.674039999999998</v>
      </c>
      <c r="M6125">
        <v>0.29920049999999998</v>
      </c>
      <c r="N6125">
        <v>0</v>
      </c>
      <c r="O6125">
        <v>0.95413130000000002</v>
      </c>
      <c r="P6125">
        <v>7.5613890000000003E-2</v>
      </c>
      <c r="Q6125">
        <v>6.09861E-3</v>
      </c>
      <c r="R6125">
        <v>0.99711849999999902</v>
      </c>
      <c r="S6125">
        <v>5.3619380000000001E-2</v>
      </c>
      <c r="T6125">
        <v>-0.22671050000000001</v>
      </c>
      <c r="U6125">
        <v>3.0066830000000002</v>
      </c>
      <c r="V6125">
        <v>-0.2263606</v>
      </c>
      <c r="W6125">
        <v>1.413996E-2</v>
      </c>
      <c r="X6125">
        <v>0.97394099999999995</v>
      </c>
      <c r="Y6125">
        <v>-0.2821823</v>
      </c>
      <c r="Z6125">
        <v>-6.8498080000000003E-2</v>
      </c>
      <c r="AA6125">
        <v>0.95691229999999905</v>
      </c>
      <c r="AB6125">
        <v>26</v>
      </c>
      <c r="AC6125">
        <v>0.188500000000004</v>
      </c>
      <c r="AD6125">
        <v>-1.108505295129</v>
      </c>
      <c r="AE6125">
        <v>14.45045</v>
      </c>
      <c r="AF6125">
        <v>-4.1197227032528803</v>
      </c>
      <c r="AG6125">
        <v>-1.108505295129</v>
      </c>
      <c r="AH6125">
        <v>13.763824840175801</v>
      </c>
      <c r="AI6125">
        <v>94.411946339977504</v>
      </c>
      <c r="AJ6125">
        <v>106.663243730071</v>
      </c>
      <c r="AK6125">
        <v>14.4098498733354</v>
      </c>
    </row>
    <row r="6126" spans="1:37" x14ac:dyDescent="0.2">
      <c r="A6126" t="str">
        <f>"20200111153548931"</f>
        <v>20200111153548931</v>
      </c>
      <c r="B6126" t="str">
        <f>"1578728148921446"</f>
        <v>1578728148921446</v>
      </c>
      <c r="C6126" t="s">
        <v>37</v>
      </c>
      <c r="D6126">
        <v>4.9936239999999996</v>
      </c>
      <c r="E6126">
        <v>0.47633959999999997</v>
      </c>
      <c r="F6126" t="s">
        <v>39</v>
      </c>
      <c r="G6126">
        <v>-189.5069</v>
      </c>
      <c r="H6126" s="1">
        <v>-2.538012E-6</v>
      </c>
      <c r="I6126">
        <v>-24.654949999999999</v>
      </c>
      <c r="J6126">
        <v>-189.61449999999999</v>
      </c>
      <c r="K6126">
        <v>1.1084769999999999</v>
      </c>
      <c r="L6126">
        <v>-39.413209999999999</v>
      </c>
      <c r="M6126">
        <v>0.29335559999999899</v>
      </c>
      <c r="N6126">
        <v>0</v>
      </c>
      <c r="O6126">
        <v>0.95594699999999899</v>
      </c>
      <c r="P6126">
        <v>7.0769470000000001E-2</v>
      </c>
      <c r="Q6126">
        <v>6.76838099999999E-3</v>
      </c>
      <c r="R6126">
        <v>0.99746970000000001</v>
      </c>
      <c r="S6126">
        <v>3.6544800000000002E-2</v>
      </c>
      <c r="T6126">
        <v>-0.2219554</v>
      </c>
      <c r="U6126">
        <v>3.007263</v>
      </c>
      <c r="V6126">
        <v>-0.22513330000000001</v>
      </c>
      <c r="W6126">
        <v>1.4597199999999999E-2</v>
      </c>
      <c r="X6126">
        <v>0.97421859999999905</v>
      </c>
      <c r="Y6126">
        <v>-0.28174529999999998</v>
      </c>
      <c r="Z6126">
        <v>-6.7262080000000002E-2</v>
      </c>
      <c r="AA6126">
        <v>0.95712870000000005</v>
      </c>
      <c r="AB6126">
        <v>26</v>
      </c>
      <c r="AC6126">
        <v>0.10759999999999</v>
      </c>
      <c r="AD6126">
        <v>-1.1084795380119901</v>
      </c>
      <c r="AE6126">
        <v>14.75826</v>
      </c>
      <c r="AF6126">
        <v>-4.2030763294784803</v>
      </c>
      <c r="AG6126">
        <v>-1.1084795380119901</v>
      </c>
      <c r="AH6126">
        <v>14.061121943290701</v>
      </c>
      <c r="AI6126">
        <v>94.319393629377601</v>
      </c>
      <c r="AJ6126">
        <v>106.642179537978</v>
      </c>
      <c r="AK6126">
        <v>14.7176672003991</v>
      </c>
    </row>
    <row r="6127" spans="1:37" x14ac:dyDescent="0.2">
      <c r="A6127" t="str">
        <f>"20200111153548952"</f>
        <v>20200111153548952</v>
      </c>
      <c r="B6127" t="str">
        <f>"1578728148941942"</f>
        <v>1578728148941942</v>
      </c>
      <c r="C6127" t="s">
        <v>37</v>
      </c>
      <c r="D6127">
        <v>5.0045400000000004</v>
      </c>
      <c r="E6127">
        <v>0.47628749999999997</v>
      </c>
      <c r="F6127" t="s">
        <v>39</v>
      </c>
      <c r="G6127">
        <v>-189.50620000000001</v>
      </c>
      <c r="H6127" s="1">
        <v>-2.7154939999999999E-6</v>
      </c>
      <c r="I6127">
        <v>-24.241499999999998</v>
      </c>
      <c r="J6127">
        <v>-189.54689999999999</v>
      </c>
      <c r="K6127">
        <v>1.1084479999999901</v>
      </c>
      <c r="L6127">
        <v>-39.172490000000003</v>
      </c>
      <c r="M6127">
        <v>0.28796319999999997</v>
      </c>
      <c r="N6127">
        <v>0</v>
      </c>
      <c r="O6127">
        <v>0.95758779999999999</v>
      </c>
      <c r="P6127">
        <v>6.6175890000000001E-2</v>
      </c>
      <c r="Q6127">
        <v>6.7762419999999896E-3</v>
      </c>
      <c r="R6127">
        <v>0.99778500000000003</v>
      </c>
      <c r="S6127">
        <v>2.1469120000000001E-2</v>
      </c>
      <c r="T6127">
        <v>-0.21973979999999901</v>
      </c>
      <c r="U6127">
        <v>3.007568</v>
      </c>
      <c r="V6127">
        <v>-0.2241254</v>
      </c>
      <c r="W6127">
        <v>1.437168E-2</v>
      </c>
      <c r="X6127">
        <v>0.9744543</v>
      </c>
      <c r="Y6127">
        <v>-0.28113569999999999</v>
      </c>
      <c r="Z6127">
        <v>-6.6773109999999997E-2</v>
      </c>
      <c r="AA6127">
        <v>0.95734219999999903</v>
      </c>
      <c r="AB6127">
        <v>27</v>
      </c>
      <c r="AC6127">
        <v>4.0699999999986802E-2</v>
      </c>
      <c r="AD6127">
        <v>-1.108450715494</v>
      </c>
      <c r="AE6127">
        <v>14.93099</v>
      </c>
      <c r="AF6127">
        <v>-4.2374669897361699</v>
      </c>
      <c r="AG6127">
        <v>-1.108450715494</v>
      </c>
      <c r="AH6127">
        <v>14.2317543773641</v>
      </c>
      <c r="AI6127">
        <v>94.269047942066393</v>
      </c>
      <c r="AJ6127">
        <v>106.580759942863</v>
      </c>
      <c r="AK6127">
        <v>14.890521217721201</v>
      </c>
    </row>
    <row r="6128" spans="1:37" x14ac:dyDescent="0.2">
      <c r="A6128" t="str">
        <f>"20200111153548974"</f>
        <v>20200111153548974</v>
      </c>
      <c r="B6128" t="str">
        <f>"1578728148961462"</f>
        <v>1578728148961462</v>
      </c>
      <c r="C6128" t="s">
        <v>37</v>
      </c>
      <c r="D6128">
        <v>5.0225780000000002</v>
      </c>
      <c r="E6128">
        <v>0.47626669999999999</v>
      </c>
      <c r="F6128" t="s">
        <v>39</v>
      </c>
      <c r="G6128">
        <v>-189.5104</v>
      </c>
      <c r="H6128" s="1">
        <v>-2.8163020000000001E-6</v>
      </c>
      <c r="I6128">
        <v>-24.004809999999999</v>
      </c>
      <c r="J6128">
        <v>-189.48</v>
      </c>
      <c r="K6128">
        <v>1.108414</v>
      </c>
      <c r="L6128">
        <v>-38.929200000000002</v>
      </c>
      <c r="M6128">
        <v>0.28251470000000001</v>
      </c>
      <c r="N6128">
        <v>0</v>
      </c>
      <c r="O6128">
        <v>0.95921219999999996</v>
      </c>
      <c r="P6128">
        <v>6.1350830000000002E-2</v>
      </c>
      <c r="Q6128">
        <v>7.0625180000000003E-3</v>
      </c>
      <c r="R6128">
        <v>0.99809130000000001</v>
      </c>
      <c r="S6128">
        <v>7.2479249999999997E-3</v>
      </c>
      <c r="T6128">
        <v>-0.2197991</v>
      </c>
      <c r="U6128">
        <v>3.00766</v>
      </c>
      <c r="V6128">
        <v>-0.223296299999999</v>
      </c>
      <c r="W6128">
        <v>1.439552E-2</v>
      </c>
      <c r="X6128">
        <v>0.97464430000000002</v>
      </c>
      <c r="Y6128">
        <v>-0.28020630000000002</v>
      </c>
      <c r="Z6128">
        <v>-6.6975679999999996E-2</v>
      </c>
      <c r="AA6128">
        <v>0.95760049999999997</v>
      </c>
      <c r="AB6128">
        <v>27</v>
      </c>
      <c r="AC6128">
        <v>-3.0400000000014402E-2</v>
      </c>
      <c r="AD6128">
        <v>-1.1084168163020001</v>
      </c>
      <c r="AE6128">
        <v>14.924390000000001</v>
      </c>
      <c r="AF6128">
        <v>-4.2224361264889998</v>
      </c>
      <c r="AG6128">
        <v>-1.1084168163020001</v>
      </c>
      <c r="AH6128">
        <v>14.229278972668601</v>
      </c>
      <c r="AI6128">
        <v>94.270824984600296</v>
      </c>
      <c r="AJ6128">
        <v>106.527876766041</v>
      </c>
      <c r="AK6128">
        <v>14.8838817101914</v>
      </c>
    </row>
    <row r="6129" spans="1:37" x14ac:dyDescent="0.2">
      <c r="A6129" t="str">
        <f>"20200111153548988"</f>
        <v>20200111153548988</v>
      </c>
      <c r="B6129" t="str">
        <f>"1578728148981959"</f>
        <v>1578728148981959</v>
      </c>
      <c r="C6129" t="s">
        <v>37</v>
      </c>
      <c r="D6129">
        <v>4.9893330000000002</v>
      </c>
      <c r="E6129">
        <v>0.47628339999999902</v>
      </c>
      <c r="F6129" t="s">
        <v>39</v>
      </c>
      <c r="G6129">
        <v>-189.51769999999999</v>
      </c>
      <c r="H6129" s="1">
        <v>-2.9583519999999999E-6</v>
      </c>
      <c r="I6129">
        <v>-23.670629999999999</v>
      </c>
      <c r="J6129">
        <v>-189.43440000000001</v>
      </c>
      <c r="K6129">
        <v>1.1083959999999999</v>
      </c>
      <c r="L6129">
        <v>-38.760069999999999</v>
      </c>
      <c r="M6129">
        <v>0.27872950000000002</v>
      </c>
      <c r="N6129">
        <v>0</v>
      </c>
      <c r="O6129">
        <v>0.96032090000000003</v>
      </c>
      <c r="P6129">
        <v>5.7835079999999997E-2</v>
      </c>
      <c r="Q6129">
        <v>7.0327810000000001E-3</v>
      </c>
      <c r="R6129">
        <v>0.99830140000000001</v>
      </c>
      <c r="S6129">
        <v>-7.4310299999999999E-3</v>
      </c>
      <c r="T6129">
        <v>-0.21848989999999999</v>
      </c>
      <c r="U6129">
        <v>3.0077509999999998</v>
      </c>
      <c r="V6129">
        <v>-0.22288330000000001</v>
      </c>
      <c r="W6129">
        <v>1.417858E-2</v>
      </c>
      <c r="X6129">
        <v>0.974742</v>
      </c>
      <c r="Y6129">
        <v>-0.2810937</v>
      </c>
      <c r="Z6129">
        <v>-6.6686510000000004E-2</v>
      </c>
      <c r="AA6129">
        <v>0.95736060000000001</v>
      </c>
      <c r="AB6129">
        <v>27</v>
      </c>
      <c r="AC6129">
        <v>-8.3299999999979904E-2</v>
      </c>
      <c r="AD6129">
        <v>-1.108398958352</v>
      </c>
      <c r="AE6129">
        <v>15.08944</v>
      </c>
      <c r="AF6129">
        <v>-4.2630660368541502</v>
      </c>
      <c r="AG6129">
        <v>-1.108398958352</v>
      </c>
      <c r="AH6129">
        <v>14.390519577486501</v>
      </c>
      <c r="AI6129">
        <v>94.223653398214196</v>
      </c>
      <c r="AJ6129">
        <v>106.501463895238</v>
      </c>
      <c r="AK6129">
        <v>15.0495625848553</v>
      </c>
    </row>
    <row r="6130" spans="1:37" x14ac:dyDescent="0.2">
      <c r="A6130" t="str">
        <f>"20200111153549009"</f>
        <v>20200111153549009</v>
      </c>
      <c r="B6130" t="str">
        <f>"1578728149001984"</f>
        <v>1578728149001984</v>
      </c>
      <c r="C6130" t="s">
        <v>37</v>
      </c>
      <c r="D6130">
        <v>5.0403079999999996</v>
      </c>
      <c r="E6130">
        <v>0.47642079999999998</v>
      </c>
      <c r="F6130" t="s">
        <v>39</v>
      </c>
      <c r="G6130">
        <v>-189.5265</v>
      </c>
      <c r="H6130" s="1">
        <v>-3.0394999999999999E-6</v>
      </c>
      <c r="I6130">
        <v>-23.477829999999901</v>
      </c>
      <c r="J6130">
        <v>-189.3708</v>
      </c>
      <c r="K6130">
        <v>1.108379</v>
      </c>
      <c r="L6130">
        <v>-38.519840000000002</v>
      </c>
      <c r="M6130">
        <v>0.27335609999999999</v>
      </c>
      <c r="N6130">
        <v>0</v>
      </c>
      <c r="O6130">
        <v>0.96186689999999997</v>
      </c>
      <c r="P6130">
        <v>5.3767490000000001E-2</v>
      </c>
      <c r="Q6130">
        <v>7.3620919999999998E-3</v>
      </c>
      <c r="R6130">
        <v>0.99852629999999998</v>
      </c>
      <c r="S6130">
        <v>-1.8127440000000002E-2</v>
      </c>
      <c r="T6130">
        <v>-0.21814349999999999</v>
      </c>
      <c r="U6130">
        <v>3.0076900000000002</v>
      </c>
      <c r="V6130">
        <v>-0.221404299999999</v>
      </c>
      <c r="W6130">
        <v>1.426059E-2</v>
      </c>
      <c r="X6130">
        <v>0.97507779999999999</v>
      </c>
      <c r="Y6130">
        <v>-0.27913199999999999</v>
      </c>
      <c r="Z6130">
        <v>-6.6769529999999994E-2</v>
      </c>
      <c r="AA6130">
        <v>0.95792849999999996</v>
      </c>
      <c r="AB6130">
        <v>27</v>
      </c>
      <c r="AC6130">
        <v>-0.15569999999999501</v>
      </c>
      <c r="AD6130">
        <v>-1.1083820394999999</v>
      </c>
      <c r="AE6130">
        <v>15.042009999999999</v>
      </c>
      <c r="AF6130">
        <v>-4.2387641782803103</v>
      </c>
      <c r="AG6130">
        <v>-1.1083820394999999</v>
      </c>
      <c r="AH6130">
        <v>14.348589791775799</v>
      </c>
      <c r="AI6130">
        <v>94.236837263639401</v>
      </c>
      <c r="AJ6130">
        <v>106.45784102321799</v>
      </c>
      <c r="AK6130">
        <v>15.002588493897001</v>
      </c>
    </row>
    <row r="6131" spans="1:37" x14ac:dyDescent="0.2">
      <c r="A6131" t="str">
        <f>"20200111153549032"</f>
        <v>20200111153549032</v>
      </c>
      <c r="B6131" t="str">
        <f>"1578728149021504"</f>
        <v>1578728149021504</v>
      </c>
      <c r="C6131" t="s">
        <v>37</v>
      </c>
      <c r="D6131">
        <v>5.1463979999999996</v>
      </c>
      <c r="E6131">
        <v>0.47657060000000001</v>
      </c>
      <c r="F6131" t="s">
        <v>39</v>
      </c>
      <c r="G6131">
        <v>-189.52180000000001</v>
      </c>
      <c r="H6131" s="1">
        <v>-3.199691E-6</v>
      </c>
      <c r="I6131">
        <v>-23.106379999999898</v>
      </c>
      <c r="J6131">
        <v>-189.3038</v>
      </c>
      <c r="K6131">
        <v>1.1083639999999999</v>
      </c>
      <c r="L6131">
        <v>-38.260930000000002</v>
      </c>
      <c r="M6131">
        <v>0.26756950000000002</v>
      </c>
      <c r="N6131">
        <v>0</v>
      </c>
      <c r="O6131">
        <v>0.96349509999999905</v>
      </c>
      <c r="P6131">
        <v>5.0268960000000001E-2</v>
      </c>
      <c r="Q6131">
        <v>7.6786559999999998E-3</v>
      </c>
      <c r="R6131">
        <v>0.99870619999999999</v>
      </c>
      <c r="S6131">
        <v>-2.946472E-2</v>
      </c>
      <c r="T6131">
        <v>-0.21627649999999901</v>
      </c>
      <c r="U6131">
        <v>3.0075989999999999</v>
      </c>
      <c r="V6131">
        <v>-0.21895870000000001</v>
      </c>
      <c r="W6131">
        <v>1.433973E-2</v>
      </c>
      <c r="X6131">
        <v>0.97562870000000002</v>
      </c>
      <c r="Y6131">
        <v>-0.27697080000000002</v>
      </c>
      <c r="Z6131">
        <v>-6.6398570000000004E-2</v>
      </c>
      <c r="AA6131">
        <v>0.95858140000000003</v>
      </c>
      <c r="AB6131">
        <v>27</v>
      </c>
      <c r="AC6131">
        <v>-0.21800000000001701</v>
      </c>
      <c r="AD6131">
        <v>-1.1083671996909901</v>
      </c>
      <c r="AE6131">
        <v>15.15455</v>
      </c>
      <c r="AF6131">
        <v>-4.2424274131908604</v>
      </c>
      <c r="AG6131">
        <v>-1.1083671996909901</v>
      </c>
      <c r="AH6131">
        <v>14.466248087726401</v>
      </c>
      <c r="AI6131">
        <v>94.204884415149294</v>
      </c>
      <c r="AJ6131">
        <v>106.34450507396301</v>
      </c>
      <c r="AK6131">
        <v>15.1161834449438</v>
      </c>
    </row>
    <row r="6132" spans="1:37" x14ac:dyDescent="0.2">
      <c r="A6132" t="str">
        <f>"20200111153549054"</f>
        <v>20200111153549054</v>
      </c>
      <c r="B6132" t="str">
        <f>"1578728149042002"</f>
        <v>1578728149042002</v>
      </c>
      <c r="C6132" t="s">
        <v>37</v>
      </c>
      <c r="D6132">
        <v>5.026376</v>
      </c>
      <c r="E6132">
        <v>0.47667730000000003</v>
      </c>
      <c r="F6132" t="s">
        <v>39</v>
      </c>
      <c r="G6132">
        <v>-189.50550000000001</v>
      </c>
      <c r="H6132" s="1">
        <v>-3.3553899999999998E-6</v>
      </c>
      <c r="I6132">
        <v>-22.75019</v>
      </c>
      <c r="J6132">
        <v>-189.23679999999999</v>
      </c>
      <c r="K6132">
        <v>1.1083590000000001</v>
      </c>
      <c r="L6132">
        <v>-37.99579</v>
      </c>
      <c r="M6132">
        <v>0.26164809999999999</v>
      </c>
      <c r="N6132">
        <v>0</v>
      </c>
      <c r="O6132">
        <v>0.96512229999999999</v>
      </c>
      <c r="P6132">
        <v>4.6542960000000001E-2</v>
      </c>
      <c r="Q6132">
        <v>6.2047480000000004E-3</v>
      </c>
      <c r="R6132">
        <v>0.99889699999999904</v>
      </c>
      <c r="S6132">
        <v>-3.9108280000000002E-2</v>
      </c>
      <c r="T6132">
        <v>-0.21491060000000001</v>
      </c>
      <c r="U6132">
        <v>3.0075069999999999</v>
      </c>
      <c r="V6132">
        <v>-0.216591799999999</v>
      </c>
      <c r="W6132">
        <v>1.2641869999999999E-2</v>
      </c>
      <c r="X6132">
        <v>0.97618039999999995</v>
      </c>
      <c r="Y6132">
        <v>-0.27414319999999998</v>
      </c>
      <c r="Z6132">
        <v>-6.6184140000000002E-2</v>
      </c>
      <c r="AA6132">
        <v>0.95940879999999995</v>
      </c>
      <c r="AB6132">
        <v>27</v>
      </c>
      <c r="AC6132">
        <v>-0.26870000000002298</v>
      </c>
      <c r="AD6132">
        <v>-1.1083623553899999</v>
      </c>
      <c r="AE6132">
        <v>15.2456</v>
      </c>
      <c r="AF6132">
        <v>-4.2261491372433602</v>
      </c>
      <c r="AG6132">
        <v>-1.1083623553899999</v>
      </c>
      <c r="AH6132">
        <v>14.567174902325901</v>
      </c>
      <c r="AI6132">
        <v>94.179360813425404</v>
      </c>
      <c r="AJ6132">
        <v>106.178211990778</v>
      </c>
      <c r="AK6132">
        <v>15.2082671029944</v>
      </c>
    </row>
    <row r="6133" spans="1:37" x14ac:dyDescent="0.2">
      <c r="A6133" t="str">
        <f>"20200111153549070"</f>
        <v>20200111153549070</v>
      </c>
      <c r="B6133" t="str">
        <f>"1578728149061520"</f>
        <v>1578728149061520</v>
      </c>
      <c r="C6133" t="s">
        <v>37</v>
      </c>
      <c r="D6133">
        <v>5.0033529999999997</v>
      </c>
      <c r="E6133">
        <v>0.47681809999999902</v>
      </c>
      <c r="F6133" t="s">
        <v>39</v>
      </c>
      <c r="G6133">
        <v>-189.4881</v>
      </c>
      <c r="H6133" s="1">
        <v>-3.3411460000000001E-6</v>
      </c>
      <c r="I6133">
        <v>-22.790559999999999</v>
      </c>
      <c r="J6133">
        <v>-189.19370000000001</v>
      </c>
      <c r="K6133">
        <v>1.1083609999999999</v>
      </c>
      <c r="L6133">
        <v>-37.820950000000003</v>
      </c>
      <c r="M6133">
        <v>0.25774659999999999</v>
      </c>
      <c r="N6133">
        <v>0</v>
      </c>
      <c r="O6133">
        <v>0.966172899999999</v>
      </c>
      <c r="P6133">
        <v>4.3613810000000003E-2</v>
      </c>
      <c r="Q6133">
        <v>5.438633E-3</v>
      </c>
      <c r="R6133">
        <v>0.99903369999999903</v>
      </c>
      <c r="S6133">
        <v>-4.969788E-2</v>
      </c>
      <c r="T6133">
        <v>-0.21919</v>
      </c>
      <c r="U6133">
        <v>3.0069889999999999</v>
      </c>
      <c r="V6133">
        <v>-0.215502</v>
      </c>
      <c r="W6133">
        <v>1.173547E-2</v>
      </c>
      <c r="X6133">
        <v>0.97643289999999905</v>
      </c>
      <c r="Y6133">
        <v>-0.27363579999999998</v>
      </c>
      <c r="Z6133">
        <v>-6.7624199999999995E-2</v>
      </c>
      <c r="AA6133">
        <v>0.95945319999999901</v>
      </c>
      <c r="AB6133">
        <v>27</v>
      </c>
      <c r="AC6133">
        <v>-0.294399999999996</v>
      </c>
      <c r="AD6133">
        <v>-1.108364341146</v>
      </c>
      <c r="AE6133">
        <v>15.030390000000001</v>
      </c>
      <c r="AF6133">
        <v>-4.1361495371764097</v>
      </c>
      <c r="AG6133">
        <v>-1.108364341146</v>
      </c>
      <c r="AH6133">
        <v>14.3685248931739</v>
      </c>
      <c r="AI6133">
        <v>94.239477724022095</v>
      </c>
      <c r="AJ6133">
        <v>106.059088821408</v>
      </c>
      <c r="AK6133">
        <v>14.993022114049101</v>
      </c>
    </row>
    <row r="6134" spans="1:37" x14ac:dyDescent="0.2">
      <c r="A6134" t="str">
        <f>"20200111153549087"</f>
        <v>20200111153549087</v>
      </c>
      <c r="B6134" t="str">
        <f>"1578728149082016"</f>
        <v>1578728149082016</v>
      </c>
      <c r="C6134" t="s">
        <v>37</v>
      </c>
      <c r="D6134">
        <v>5.0425680000000002</v>
      </c>
      <c r="E6134">
        <v>0.47696229999999901</v>
      </c>
      <c r="F6134" t="s">
        <v>39</v>
      </c>
      <c r="G6134">
        <v>-189.4813</v>
      </c>
      <c r="H6134" s="1">
        <v>-3.3490850000000001E-6</v>
      </c>
      <c r="I6134">
        <v>-22.774899999999999</v>
      </c>
      <c r="J6134">
        <v>-189.1431</v>
      </c>
      <c r="K6134">
        <v>1.108366</v>
      </c>
      <c r="L6134">
        <v>-37.612209999999997</v>
      </c>
      <c r="M6134">
        <v>0.25308950000000002</v>
      </c>
      <c r="N6134">
        <v>0</v>
      </c>
      <c r="O6134">
        <v>0.96740469999999901</v>
      </c>
      <c r="P6134">
        <v>4.0759400000000001E-2</v>
      </c>
      <c r="Q6134">
        <v>4.1307959999999999E-3</v>
      </c>
      <c r="R6134">
        <v>0.99916050000000001</v>
      </c>
      <c r="S6134">
        <v>-5.7464599999999998E-2</v>
      </c>
      <c r="T6134">
        <v>-0.22148219999999999</v>
      </c>
      <c r="U6134">
        <v>3.0066220000000001</v>
      </c>
      <c r="V6134">
        <v>-0.21357419999999999</v>
      </c>
      <c r="W6134">
        <v>1.0280249999999999E-2</v>
      </c>
      <c r="X6134">
        <v>0.97687269999999904</v>
      </c>
      <c r="Y6134">
        <v>-0.27148030000000001</v>
      </c>
      <c r="Z6134">
        <v>-6.8491969999999999E-2</v>
      </c>
      <c r="AA6134">
        <v>0.96000379999999996</v>
      </c>
      <c r="AB6134">
        <v>27</v>
      </c>
      <c r="AC6134">
        <v>-0.3382</v>
      </c>
      <c r="AD6134">
        <v>-1.108369349085</v>
      </c>
      <c r="AE6134">
        <v>14.83731</v>
      </c>
      <c r="AF6134">
        <v>-4.0598509104596996</v>
      </c>
      <c r="AG6134">
        <v>-1.108369349085</v>
      </c>
      <c r="AH6134">
        <v>14.189474835570399</v>
      </c>
      <c r="AI6134">
        <v>94.294773170634301</v>
      </c>
      <c r="AJ6134">
        <v>105.966729543196</v>
      </c>
      <c r="AK6134">
        <v>14.800407701764099</v>
      </c>
    </row>
    <row r="6135" spans="1:37" x14ac:dyDescent="0.2">
      <c r="A6135" t="str">
        <f>"20200111153549110"</f>
        <v>20200111153549110</v>
      </c>
      <c r="B6135" t="str">
        <f>"1578728149101536"</f>
        <v>1578728149101536</v>
      </c>
      <c r="C6135" t="s">
        <v>37</v>
      </c>
      <c r="D6135">
        <v>5.0274039999999998</v>
      </c>
      <c r="E6135">
        <v>0.47712739999999998</v>
      </c>
      <c r="F6135" t="s">
        <v>39</v>
      </c>
      <c r="G6135">
        <v>-189.46170000000001</v>
      </c>
      <c r="H6135" s="1">
        <v>-3.3292140000000002E-6</v>
      </c>
      <c r="I6135">
        <v>-22.82931</v>
      </c>
      <c r="J6135">
        <v>-189.07919999999999</v>
      </c>
      <c r="K6135">
        <v>1.108384</v>
      </c>
      <c r="L6135">
        <v>-37.342350000000003</v>
      </c>
      <c r="M6135">
        <v>0.24707179999999901</v>
      </c>
      <c r="N6135">
        <v>0</v>
      </c>
      <c r="O6135">
        <v>0.96896070000000001</v>
      </c>
      <c r="P6135">
        <v>3.6208329999999997E-2</v>
      </c>
      <c r="Q6135">
        <v>3.8063989999999998E-3</v>
      </c>
      <c r="R6135">
        <v>0.99933700000000003</v>
      </c>
      <c r="S6135">
        <v>-6.4788819999999997E-2</v>
      </c>
      <c r="T6135">
        <v>-0.225386999999999</v>
      </c>
      <c r="U6135">
        <v>3.0061040000000001</v>
      </c>
      <c r="V6135">
        <v>-0.21194689999999999</v>
      </c>
      <c r="W6135">
        <v>9.7762609999999996E-3</v>
      </c>
      <c r="X6135">
        <v>0.97723230000000005</v>
      </c>
      <c r="Y6135">
        <v>-0.2678353</v>
      </c>
      <c r="Z6135">
        <v>-6.9915320000000003E-2</v>
      </c>
      <c r="AA6135">
        <v>0.96092459999999902</v>
      </c>
      <c r="AB6135">
        <v>27</v>
      </c>
      <c r="AC6135">
        <v>-0.38250000000002099</v>
      </c>
      <c r="AD6135">
        <v>-1.1083873292140001</v>
      </c>
      <c r="AE6135">
        <v>14.51304</v>
      </c>
      <c r="AF6135">
        <v>-3.93360280120022</v>
      </c>
      <c r="AG6135">
        <v>-1.1083873292140001</v>
      </c>
      <c r="AH6135">
        <v>13.8876087335876</v>
      </c>
      <c r="AI6135">
        <v>94.391142441843698</v>
      </c>
      <c r="AJ6135">
        <v>105.81453579992601</v>
      </c>
      <c r="AK6135">
        <v>14.476443962741399</v>
      </c>
    </row>
    <row r="6136" spans="1:37" x14ac:dyDescent="0.2">
      <c r="A6136" t="str">
        <f>"20200111153549132"</f>
        <v>20200111153549132</v>
      </c>
      <c r="B6136" t="str">
        <f>"1578728149122032"</f>
        <v>1578728149122032</v>
      </c>
      <c r="C6136" t="s">
        <v>37</v>
      </c>
      <c r="D6136">
        <v>4.9706859999999997</v>
      </c>
      <c r="E6136">
        <v>0.47726259999999998</v>
      </c>
      <c r="F6136" t="s">
        <v>39</v>
      </c>
      <c r="G6136">
        <v>-189.45670000000001</v>
      </c>
      <c r="H6136" s="1">
        <v>-3.423548E-6</v>
      </c>
      <c r="I6136">
        <v>-22.611499999999999</v>
      </c>
      <c r="J6136">
        <v>-189.01900000000001</v>
      </c>
      <c r="K6136">
        <v>1.1084039999999999</v>
      </c>
      <c r="L6136">
        <v>-37.0809</v>
      </c>
      <c r="M6136">
        <v>0.24124329999999999</v>
      </c>
      <c r="N6136">
        <v>0</v>
      </c>
      <c r="O6136">
        <v>0.9704296</v>
      </c>
      <c r="P6136">
        <v>3.1993679999999997E-2</v>
      </c>
      <c r="Q6136">
        <v>4.4843749999999996E-3</v>
      </c>
      <c r="R6136">
        <v>0.99947799999999998</v>
      </c>
      <c r="S6136">
        <v>-7.7011109999999994E-2</v>
      </c>
      <c r="T6136">
        <v>-0.22615250000000001</v>
      </c>
      <c r="U6136">
        <v>3.005646</v>
      </c>
      <c r="V6136">
        <v>-0.210198999999999</v>
      </c>
      <c r="W6136">
        <v>1.030505E-2</v>
      </c>
      <c r="X6136">
        <v>0.97760429999999998</v>
      </c>
      <c r="Y6136">
        <v>-0.26595180000000002</v>
      </c>
      <c r="Z6136">
        <v>-7.0342940000000007E-2</v>
      </c>
      <c r="AA6136">
        <v>0.96141639999999995</v>
      </c>
      <c r="AB6136">
        <v>27</v>
      </c>
      <c r="AC6136">
        <v>-0.43770000000000597</v>
      </c>
      <c r="AD6136">
        <v>-1.1084074235479999</v>
      </c>
      <c r="AE6136">
        <v>14.4694</v>
      </c>
      <c r="AF6136">
        <v>-3.89271412418283</v>
      </c>
      <c r="AG6136">
        <v>-1.1084074235479999</v>
      </c>
      <c r="AH6136">
        <v>13.855186790004</v>
      </c>
      <c r="AI6136">
        <v>94.404079429915697</v>
      </c>
      <c r="AJ6136">
        <v>105.693088800816</v>
      </c>
      <c r="AK6136">
        <v>14.434264486113999</v>
      </c>
    </row>
    <row r="6137" spans="1:37" x14ac:dyDescent="0.2">
      <c r="A6137" t="str">
        <f>"20200111153549155"</f>
        <v>20200111153549155</v>
      </c>
      <c r="B6137" t="str">
        <f>"1578728149151312"</f>
        <v>1578728149151312</v>
      </c>
      <c r="C6137" t="s">
        <v>37</v>
      </c>
      <c r="D6137">
        <v>5.0124879999999896</v>
      </c>
      <c r="E6137">
        <v>0.47750119999999902</v>
      </c>
      <c r="F6137" t="s">
        <v>39</v>
      </c>
      <c r="G6137">
        <v>-189.45519999999999</v>
      </c>
      <c r="H6137" s="1">
        <v>-3.58426999999999E-6</v>
      </c>
      <c r="I6137">
        <v>-22.237459999999999</v>
      </c>
      <c r="J6137">
        <v>-188.9599</v>
      </c>
      <c r="K6137">
        <v>1.108433</v>
      </c>
      <c r="L6137">
        <v>-36.817230000000002</v>
      </c>
      <c r="M6137">
        <v>0.2353663</v>
      </c>
      <c r="N6137">
        <v>0</v>
      </c>
      <c r="O6137">
        <v>0.97187289999999904</v>
      </c>
      <c r="P6137">
        <v>2.8725839999999999E-2</v>
      </c>
      <c r="Q6137">
        <v>5.3722519999999897E-3</v>
      </c>
      <c r="R6137">
        <v>0.99957289999999999</v>
      </c>
      <c r="S6137">
        <v>-8.8317870000000007E-2</v>
      </c>
      <c r="T6137">
        <v>-0.22442289999999901</v>
      </c>
      <c r="U6137">
        <v>3.0054020000000001</v>
      </c>
      <c r="V6137">
        <v>-0.20748629999999901</v>
      </c>
      <c r="W6137">
        <v>1.107462E-2</v>
      </c>
      <c r="X6137">
        <v>0.97817520000000002</v>
      </c>
      <c r="Y6137">
        <v>-0.263735099999999</v>
      </c>
      <c r="Z6137">
        <v>-6.9993269999999996E-2</v>
      </c>
      <c r="AA6137">
        <v>0.96205229999999997</v>
      </c>
      <c r="AB6137">
        <v>27</v>
      </c>
      <c r="AC6137">
        <v>-0.49529999999998597</v>
      </c>
      <c r="AD6137">
        <v>-1.1084365842699999</v>
      </c>
      <c r="AE6137">
        <v>14.57977</v>
      </c>
      <c r="AF6137">
        <v>-3.8906223655284098</v>
      </c>
      <c r="AG6137">
        <v>-1.1084365842699999</v>
      </c>
      <c r="AH6137">
        <v>13.9728997186778</v>
      </c>
      <c r="AI6137">
        <v>94.370077289991997</v>
      </c>
      <c r="AJ6137">
        <v>105.559360651928</v>
      </c>
      <c r="AK6137">
        <v>14.546735049512799</v>
      </c>
    </row>
    <row r="6138" spans="1:37" x14ac:dyDescent="0.2">
      <c r="A6138" t="str">
        <f>"20200111153549176"</f>
        <v>20200111153549176</v>
      </c>
      <c r="B6138" t="str">
        <f>"1578728149171808"</f>
        <v>1578728149171808</v>
      </c>
      <c r="C6138" t="s">
        <v>37</v>
      </c>
      <c r="D6138">
        <v>5.1392309999999997</v>
      </c>
      <c r="E6138">
        <v>0.47772239999999999</v>
      </c>
      <c r="F6138" t="s">
        <v>39</v>
      </c>
      <c r="G6138">
        <v>-189.44220000000001</v>
      </c>
      <c r="H6138" s="1">
        <v>-3.7815589999999999E-6</v>
      </c>
      <c r="I6138">
        <v>-21.78294</v>
      </c>
      <c r="J6138">
        <v>-188.90190000000001</v>
      </c>
      <c r="K6138">
        <v>1.1084559999999899</v>
      </c>
      <c r="L6138">
        <v>-36.550779999999897</v>
      </c>
      <c r="M6138">
        <v>0.2294282</v>
      </c>
      <c r="N6138">
        <v>0</v>
      </c>
      <c r="O6138">
        <v>0.97329279999999996</v>
      </c>
      <c r="P6138">
        <v>2.577434E-2</v>
      </c>
      <c r="Q6138">
        <v>6.0797450000000001E-3</v>
      </c>
      <c r="R6138">
        <v>0.99964929999999996</v>
      </c>
      <c r="S6138">
        <v>-9.6405030000000003E-2</v>
      </c>
      <c r="T6138">
        <v>-0.22156869999999901</v>
      </c>
      <c r="U6138">
        <v>3.0052490000000001</v>
      </c>
      <c r="V6138">
        <v>-0.20440729999999999</v>
      </c>
      <c r="W6138">
        <v>1.168636E-2</v>
      </c>
      <c r="X6138">
        <v>0.97881620000000003</v>
      </c>
      <c r="Y6138">
        <v>-0.26043460000000002</v>
      </c>
      <c r="Z6138">
        <v>-6.9297750000000005E-2</v>
      </c>
      <c r="AA6138">
        <v>0.96300140000000001</v>
      </c>
      <c r="AB6138">
        <v>27</v>
      </c>
      <c r="AC6138">
        <v>-0.540300000000002</v>
      </c>
      <c r="AD6138">
        <v>-1.1084597815589901</v>
      </c>
      <c r="AE6138">
        <v>14.7678399999999</v>
      </c>
      <c r="AF6138">
        <v>-3.8922548648819202</v>
      </c>
      <c r="AG6138">
        <v>-1.1084597815589901</v>
      </c>
      <c r="AH6138">
        <v>14.1702008692614</v>
      </c>
      <c r="AI6138">
        <v>94.313701587837002</v>
      </c>
      <c r="AJ6138">
        <v>105.35914446012001</v>
      </c>
      <c r="AK6138">
        <v>14.736788106495499</v>
      </c>
    </row>
    <row r="6139" spans="1:37" x14ac:dyDescent="0.2">
      <c r="A6139" t="str">
        <f>"20200111153549199"</f>
        <v>20200111153549199</v>
      </c>
      <c r="B6139" t="str">
        <f>"1578728149191329"</f>
        <v>1578728149191329</v>
      </c>
      <c r="C6139" t="s">
        <v>37</v>
      </c>
      <c r="D6139">
        <v>5.0764839999999998</v>
      </c>
      <c r="E6139">
        <v>0.47796420000000001</v>
      </c>
      <c r="F6139" t="s">
        <v>39</v>
      </c>
      <c r="G6139">
        <v>-189.42519999999999</v>
      </c>
      <c r="H6139" s="1">
        <v>-3.9702659999999901E-6</v>
      </c>
      <c r="I6139">
        <v>-21.35012</v>
      </c>
      <c r="J6139">
        <v>-188.84599999999901</v>
      </c>
      <c r="K6139">
        <v>1.1084889999999901</v>
      </c>
      <c r="L6139">
        <v>-36.286589999999997</v>
      </c>
      <c r="M6139">
        <v>0.2235412</v>
      </c>
      <c r="N6139">
        <v>0</v>
      </c>
      <c r="O6139">
        <v>0.97466249999999999</v>
      </c>
      <c r="P6139">
        <v>2.4800260000000001E-2</v>
      </c>
      <c r="Q6139">
        <v>6.3569940000000004E-3</v>
      </c>
      <c r="R6139">
        <v>0.99967220000000001</v>
      </c>
      <c r="S6139">
        <v>-0.1034393</v>
      </c>
      <c r="T6139">
        <v>-0.21913479999999999</v>
      </c>
      <c r="U6139">
        <v>3.0050659999999998</v>
      </c>
      <c r="V6139">
        <v>-0.19944410000000001</v>
      </c>
      <c r="W6139">
        <v>1.190951E-2</v>
      </c>
      <c r="X6139">
        <v>0.97983679999999995</v>
      </c>
      <c r="Y6139">
        <v>-0.256853</v>
      </c>
      <c r="Z6139">
        <v>-6.8726090000000004E-2</v>
      </c>
      <c r="AA6139">
        <v>0.96400370000000002</v>
      </c>
      <c r="AB6139">
        <v>28</v>
      </c>
      <c r="AC6139">
        <v>-0.57920000000001404</v>
      </c>
      <c r="AD6139">
        <v>-1.10849297026599</v>
      </c>
      <c r="AE6139">
        <v>14.93647</v>
      </c>
      <c r="AF6139">
        <v>-3.8822126867842202</v>
      </c>
      <c r="AG6139">
        <v>-1.10849297026599</v>
      </c>
      <c r="AH6139">
        <v>14.350074730188799</v>
      </c>
      <c r="AI6139">
        <v>94.264422062825304</v>
      </c>
      <c r="AJ6139">
        <v>105.13819835322801</v>
      </c>
      <c r="AK6139">
        <v>14.9072122401393</v>
      </c>
    </row>
    <row r="6140" spans="1:37" x14ac:dyDescent="0.2">
      <c r="A6140" t="str">
        <f>"20200111153549233"</f>
        <v>20200111153549233</v>
      </c>
      <c r="B6140" t="str">
        <f>"1578728149221543"</f>
        <v>1578728149221543</v>
      </c>
      <c r="C6140" t="s">
        <v>37</v>
      </c>
      <c r="D6140">
        <v>5.0318909999999999</v>
      </c>
      <c r="E6140">
        <v>0.47829129999999997</v>
      </c>
      <c r="F6140" t="s">
        <v>39</v>
      </c>
      <c r="G6140">
        <v>-189.37899999999999</v>
      </c>
      <c r="H6140" s="1">
        <v>-4.1407269999999997E-6</v>
      </c>
      <c r="I6140">
        <v>-20.97184</v>
      </c>
      <c r="J6140">
        <v>-188.7628</v>
      </c>
      <c r="K6140">
        <v>1.1085259999999999</v>
      </c>
      <c r="L6140">
        <v>-35.876399999999997</v>
      </c>
      <c r="M6140">
        <v>0.214410399999999</v>
      </c>
      <c r="N6140">
        <v>0</v>
      </c>
      <c r="O6140">
        <v>0.97671280000000005</v>
      </c>
      <c r="P6140">
        <v>2.332642E-2</v>
      </c>
      <c r="Q6140">
        <v>6.1359259999999999E-3</v>
      </c>
      <c r="R6140">
        <v>0.99970910000000002</v>
      </c>
      <c r="S6140">
        <v>-0.1045837</v>
      </c>
      <c r="T6140">
        <v>-0.2175</v>
      </c>
      <c r="U6140">
        <v>3.0049440000000001</v>
      </c>
      <c r="V6140">
        <v>-0.1917112</v>
      </c>
      <c r="W6140">
        <v>1.1636769999999999E-2</v>
      </c>
      <c r="X6140">
        <v>0.98138239999999999</v>
      </c>
      <c r="Y6140">
        <v>-0.24816839999999901</v>
      </c>
      <c r="Z6140">
        <v>-6.8522159999999999E-2</v>
      </c>
      <c r="AA6140">
        <v>0.96629039999999999</v>
      </c>
      <c r="AB6140">
        <v>28</v>
      </c>
      <c r="AC6140">
        <v>-0.61620000000001995</v>
      </c>
      <c r="AD6140">
        <v>-1.1085301407269901</v>
      </c>
      <c r="AE6140">
        <v>14.904559999999901</v>
      </c>
      <c r="AF6140">
        <v>-3.7768011849059402</v>
      </c>
      <c r="AG6140">
        <v>-1.1085301407269901</v>
      </c>
      <c r="AH6140">
        <v>14.3465645661734</v>
      </c>
      <c r="AI6140">
        <v>94.273320694837693</v>
      </c>
      <c r="AJ6140">
        <v>104.748752382398</v>
      </c>
      <c r="AK6140">
        <v>14.876726155797501</v>
      </c>
    </row>
    <row r="6141" spans="1:37" x14ac:dyDescent="0.2">
      <c r="A6141" t="str">
        <f>"20200111153549253"</f>
        <v>20200111153549253</v>
      </c>
      <c r="B6141" t="str">
        <f>"1578728149242042"</f>
        <v>1578728149242042</v>
      </c>
      <c r="C6141" t="s">
        <v>37</v>
      </c>
      <c r="D6141">
        <v>5.0261239999999896</v>
      </c>
      <c r="E6141">
        <v>0.4785027</v>
      </c>
      <c r="F6141" t="s">
        <v>39</v>
      </c>
      <c r="G6141">
        <v>-189.3066</v>
      </c>
      <c r="H6141" s="1">
        <v>-4.3393320000000001E-6</v>
      </c>
      <c r="I6141">
        <v>-20.53885</v>
      </c>
      <c r="J6141">
        <v>-188.71279999999999</v>
      </c>
      <c r="K6141">
        <v>1.108544</v>
      </c>
      <c r="L6141">
        <v>-35.621400000000001</v>
      </c>
      <c r="M6141">
        <v>0.20873949999999999</v>
      </c>
      <c r="N6141">
        <v>0</v>
      </c>
      <c r="O6141">
        <v>0.97794099999999995</v>
      </c>
      <c r="P6141">
        <v>2.5120469999999999E-2</v>
      </c>
      <c r="Q6141">
        <v>5.6080089999999997E-3</v>
      </c>
      <c r="R6141">
        <v>0.99966869999999997</v>
      </c>
      <c r="S6141">
        <v>-0.106536899999999</v>
      </c>
      <c r="T6141">
        <v>-0.21716630000000001</v>
      </c>
      <c r="U6141">
        <v>3.0047000000000001</v>
      </c>
      <c r="V6141">
        <v>-0.1842443</v>
      </c>
      <c r="W6141">
        <v>1.1125639999999999E-2</v>
      </c>
      <c r="X6141">
        <v>0.98281749999999901</v>
      </c>
      <c r="Y6141">
        <v>-0.243174899999999</v>
      </c>
      <c r="Z6141">
        <v>-6.8600739999999993E-2</v>
      </c>
      <c r="AA6141">
        <v>0.96755360000000001</v>
      </c>
      <c r="AB6141">
        <v>28</v>
      </c>
      <c r="AC6141">
        <v>-0.59380000000001498</v>
      </c>
      <c r="AD6141">
        <v>-1.1085483393319999</v>
      </c>
      <c r="AE6141">
        <v>15.082549999999999</v>
      </c>
      <c r="AF6141">
        <v>-3.70912978866899</v>
      </c>
      <c r="AG6141">
        <v>-1.1085483393319999</v>
      </c>
      <c r="AH6141">
        <v>14.5478607672124</v>
      </c>
      <c r="AI6141">
        <v>94.222940211481301</v>
      </c>
      <c r="AJ6141">
        <v>104.303426575866</v>
      </c>
      <c r="AK6141">
        <v>15.054128208303</v>
      </c>
    </row>
    <row r="6142" spans="1:37" x14ac:dyDescent="0.2">
      <c r="A6142" t="str">
        <f>"20200111153549277"</f>
        <v>20200111153549277</v>
      </c>
      <c r="B6142" t="str">
        <f>"1578728149271320"</f>
        <v>1578728149271320</v>
      </c>
      <c r="C6142" t="s">
        <v>37</v>
      </c>
      <c r="D6142">
        <v>5.0172980000000003</v>
      </c>
      <c r="E6142">
        <v>0.47876839999999998</v>
      </c>
      <c r="F6142" t="s">
        <v>39</v>
      </c>
      <c r="G6142">
        <v>-189.21889999999999</v>
      </c>
      <c r="H6142" s="1">
        <v>-2.070702E-7</v>
      </c>
      <c r="I6142">
        <v>-20.354179999999999</v>
      </c>
      <c r="J6142">
        <v>-188.66050000000001</v>
      </c>
      <c r="K6142">
        <v>1.108554</v>
      </c>
      <c r="L6142">
        <v>-35.34543</v>
      </c>
      <c r="M6142">
        <v>0.20261379999999901</v>
      </c>
      <c r="N6142">
        <v>0</v>
      </c>
      <c r="O6142">
        <v>0.97922900000000002</v>
      </c>
      <c r="P6142">
        <v>2.6868139999999999E-2</v>
      </c>
      <c r="Q6142">
        <v>4.7204459999999997E-3</v>
      </c>
      <c r="R6142">
        <v>0.99962779999999996</v>
      </c>
      <c r="S6142">
        <v>-9.9594119999999994E-2</v>
      </c>
      <c r="T6142">
        <v>-0.218171799999999</v>
      </c>
      <c r="U6142">
        <v>3.0047299999999999</v>
      </c>
      <c r="V6142">
        <v>-0.17635880000000001</v>
      </c>
      <c r="W6142">
        <v>1.026547E-2</v>
      </c>
      <c r="X6142">
        <v>0.98427240000000005</v>
      </c>
      <c r="Y6142">
        <v>-0.2348605</v>
      </c>
      <c r="Z6142">
        <v>-6.9133E-2</v>
      </c>
      <c r="AA6142">
        <v>0.96956749999999903</v>
      </c>
      <c r="AB6142">
        <v>28</v>
      </c>
      <c r="AC6142">
        <v>-0.55839999999997703</v>
      </c>
      <c r="AD6142">
        <v>-1.1085542070701999</v>
      </c>
      <c r="AE6142">
        <v>14.991250000000001</v>
      </c>
      <c r="AF6142">
        <v>-3.5648737773977799</v>
      </c>
      <c r="AG6142">
        <v>-1.1085542070701999</v>
      </c>
      <c r="AH6142">
        <v>14.4880386148926</v>
      </c>
      <c r="AI6142">
        <v>94.249212366796002</v>
      </c>
      <c r="AJ6142">
        <v>103.823383412423</v>
      </c>
      <c r="AK6142">
        <v>14.961299421688301</v>
      </c>
    </row>
    <row r="6143" spans="1:37" x14ac:dyDescent="0.2">
      <c r="A6143" t="str">
        <f>"20200111153549300"</f>
        <v>20200111153549300</v>
      </c>
      <c r="B6143" t="str">
        <f>"1578728149291816"</f>
        <v>1578728149291816</v>
      </c>
      <c r="C6143" t="s">
        <v>37</v>
      </c>
      <c r="D6143">
        <v>4.9867220000000003</v>
      </c>
      <c r="E6143">
        <v>0.47890509999999997</v>
      </c>
      <c r="F6143" t="s">
        <v>39</v>
      </c>
      <c r="G6143">
        <v>-189.1233</v>
      </c>
      <c r="H6143" s="1">
        <v>-2.6842299999999999E-7</v>
      </c>
      <c r="I6143">
        <v>-20.248639999999899</v>
      </c>
      <c r="J6143">
        <v>-188.60900000000001</v>
      </c>
      <c r="K6143">
        <v>1.108554</v>
      </c>
      <c r="L6143">
        <v>-35.064239999999998</v>
      </c>
      <c r="M6143">
        <v>0.19639409999999999</v>
      </c>
      <c r="N6143">
        <v>0</v>
      </c>
      <c r="O6143">
        <v>0.98049580000000003</v>
      </c>
      <c r="P6143">
        <v>2.658286E-2</v>
      </c>
      <c r="Q6143">
        <v>3.5804330000000001E-3</v>
      </c>
      <c r="R6143">
        <v>0.99964019999999998</v>
      </c>
      <c r="S6143">
        <v>-9.2102050000000005E-2</v>
      </c>
      <c r="T6143">
        <v>-0.22062989999999999</v>
      </c>
      <c r="U6143">
        <v>3.0046390000000001</v>
      </c>
      <c r="V6143">
        <v>-0.17037720000000001</v>
      </c>
      <c r="W6143">
        <v>9.1392369999999997E-3</v>
      </c>
      <c r="X6143">
        <v>0.98533649999999995</v>
      </c>
      <c r="Y6143">
        <v>-0.22626589999999999</v>
      </c>
      <c r="Z6143">
        <v>-7.0126620000000001E-2</v>
      </c>
      <c r="AA6143">
        <v>0.97153789999999995</v>
      </c>
      <c r="AB6143">
        <v>28</v>
      </c>
      <c r="AC6143">
        <v>-0.51429999999999099</v>
      </c>
      <c r="AD6143">
        <v>-1.1085542684230001</v>
      </c>
      <c r="AE6143">
        <v>14.8156</v>
      </c>
      <c r="AF6143">
        <v>-3.3950786717404799</v>
      </c>
      <c r="AG6143">
        <v>-1.1085542684230001</v>
      </c>
      <c r="AH6143">
        <v>14.3458226009335</v>
      </c>
      <c r="AI6143">
        <v>94.300351824519396</v>
      </c>
      <c r="AJ6143">
        <v>103.314637174984</v>
      </c>
      <c r="AK6143">
        <v>14.7837098811766</v>
      </c>
    </row>
    <row r="6144" spans="1:37" x14ac:dyDescent="0.2">
      <c r="A6144" t="str">
        <f>"20200111153549322"</f>
        <v>20200111153549322</v>
      </c>
      <c r="B6144" t="str">
        <f>"1578728149312036"</f>
        <v>1578728149312036</v>
      </c>
      <c r="C6144" t="s">
        <v>37</v>
      </c>
      <c r="D6144">
        <v>5.0347169999999997</v>
      </c>
      <c r="E6144">
        <v>0.47901559999999999</v>
      </c>
      <c r="F6144" t="s">
        <v>39</v>
      </c>
      <c r="G6144">
        <v>-189.06099999999901</v>
      </c>
      <c r="H6144" s="1">
        <v>-2.9470639999999999E-7</v>
      </c>
      <c r="I6144">
        <v>-20.22006</v>
      </c>
      <c r="J6144">
        <v>-188.55930000000001</v>
      </c>
      <c r="K6144">
        <v>1.10854599999999</v>
      </c>
      <c r="L6144">
        <v>-34.782679999999999</v>
      </c>
      <c r="M6144">
        <v>0.190199799999999</v>
      </c>
      <c r="N6144">
        <v>0</v>
      </c>
      <c r="O6144">
        <v>0.98171649999999999</v>
      </c>
      <c r="P6144">
        <v>2.4880490000000002E-2</v>
      </c>
      <c r="Q6144">
        <v>2.2661890000000001E-3</v>
      </c>
      <c r="R6144">
        <v>0.99968789999999996</v>
      </c>
      <c r="S6144">
        <v>-9.1491699999999995E-2</v>
      </c>
      <c r="T6144">
        <v>-0.22435949999999999</v>
      </c>
      <c r="U6144">
        <v>3.00430299999999</v>
      </c>
      <c r="V6144">
        <v>-0.16581779999999999</v>
      </c>
      <c r="W6144">
        <v>7.8337029999999992E-3</v>
      </c>
      <c r="X6144">
        <v>0.98612529999999998</v>
      </c>
      <c r="Y6144">
        <v>-0.2199149</v>
      </c>
      <c r="Z6144">
        <v>-7.150426E-2</v>
      </c>
      <c r="AA6144">
        <v>0.97289499999999995</v>
      </c>
      <c r="AB6144">
        <v>28</v>
      </c>
      <c r="AC6144">
        <v>-0.50169999999997095</v>
      </c>
      <c r="AD6144">
        <v>-1.10854629470639</v>
      </c>
      <c r="AE6144">
        <v>14.562620000000001</v>
      </c>
      <c r="AF6144">
        <v>-3.2436535352228599</v>
      </c>
      <c r="AG6144">
        <v>-1.10854629470639</v>
      </c>
      <c r="AH6144">
        <v>14.1196225193179</v>
      </c>
      <c r="AI6144">
        <v>94.375626894382407</v>
      </c>
      <c r="AJ6144">
        <v>102.937888532279</v>
      </c>
      <c r="AK6144">
        <v>14.5297592282908</v>
      </c>
    </row>
    <row r="6145" spans="1:37" x14ac:dyDescent="0.2">
      <c r="A6145" t="str">
        <f>"20200111153549344"</f>
        <v>20200111153549344</v>
      </c>
      <c r="B6145" t="str">
        <f>"1578728149341315"</f>
        <v>1578728149341315</v>
      </c>
      <c r="C6145" t="s">
        <v>37</v>
      </c>
      <c r="D6145">
        <v>5.0358299999999998</v>
      </c>
      <c r="E6145">
        <v>0.47911399999999998</v>
      </c>
      <c r="F6145" t="s">
        <v>39</v>
      </c>
      <c r="G6145">
        <v>-189.02500000000001</v>
      </c>
      <c r="H6145" s="1">
        <v>-3.081069E-7</v>
      </c>
      <c r="I6145">
        <v>-20.208870000000001</v>
      </c>
      <c r="J6145">
        <v>-188.51249999999999</v>
      </c>
      <c r="K6145">
        <v>1.1085389999999999</v>
      </c>
      <c r="L6145">
        <v>-34.50723</v>
      </c>
      <c r="M6145">
        <v>0.18417039999999901</v>
      </c>
      <c r="N6145">
        <v>0</v>
      </c>
      <c r="O6145">
        <v>0.98286580000000001</v>
      </c>
      <c r="P6145">
        <v>2.3078990000000001E-2</v>
      </c>
      <c r="Q6145">
        <v>1.1775259999999999E-3</v>
      </c>
      <c r="R6145">
        <v>0.99973299999999998</v>
      </c>
      <c r="S6145">
        <v>-9.5977779999999999E-2</v>
      </c>
      <c r="T6145">
        <v>-0.2284852</v>
      </c>
      <c r="U6145">
        <v>3.0038450000000001</v>
      </c>
      <c r="V6145">
        <v>-0.1615287</v>
      </c>
      <c r="W6145">
        <v>6.7603709999999899E-3</v>
      </c>
      <c r="X6145">
        <v>0.98684479999999997</v>
      </c>
      <c r="Y6145">
        <v>-0.21537770000000001</v>
      </c>
      <c r="Z6145">
        <v>-7.2990070000000004E-2</v>
      </c>
      <c r="AA6145">
        <v>0.97379919999999998</v>
      </c>
      <c r="AB6145">
        <v>28</v>
      </c>
      <c r="AC6145">
        <v>-0.51250000000001705</v>
      </c>
      <c r="AD6145">
        <v>-1.1085393081068999</v>
      </c>
      <c r="AE6145">
        <v>14.298360000000001</v>
      </c>
      <c r="AF6145">
        <v>-3.1184213273544201</v>
      </c>
      <c r="AG6145">
        <v>-1.1085393081068999</v>
      </c>
      <c r="AH6145">
        <v>13.8760743539302</v>
      </c>
      <c r="AI6145">
        <v>94.456878689208907</v>
      </c>
      <c r="AJ6145">
        <v>102.665859206676</v>
      </c>
      <c r="AK6145">
        <v>14.265302325864599</v>
      </c>
    </row>
    <row r="6146" spans="1:37" x14ac:dyDescent="0.2">
      <c r="A6146" t="str">
        <f>"20200111153549366"</f>
        <v>20200111153549366</v>
      </c>
      <c r="B6146" t="str">
        <f>"1578728149361812"</f>
        <v>1578728149361812</v>
      </c>
      <c r="C6146" t="s">
        <v>37</v>
      </c>
      <c r="D6146">
        <v>5.1460900000000001</v>
      </c>
      <c r="E6146">
        <v>0.47919259999999902</v>
      </c>
      <c r="F6146" t="s">
        <v>39</v>
      </c>
      <c r="G6146">
        <v>-188.9932</v>
      </c>
      <c r="H6146" s="1">
        <v>-3.3313280000000001E-7</v>
      </c>
      <c r="I6146">
        <v>-20.160209999999999</v>
      </c>
      <c r="J6146">
        <v>-188.46709999999999</v>
      </c>
      <c r="K6146">
        <v>1.10853</v>
      </c>
      <c r="L6146">
        <v>-34.230959999999897</v>
      </c>
      <c r="M6146">
        <v>0.1781645</v>
      </c>
      <c r="N6146">
        <v>0</v>
      </c>
      <c r="O6146">
        <v>0.98397239999999997</v>
      </c>
      <c r="P6146">
        <v>2.0878560000000001E-2</v>
      </c>
      <c r="Q6146">
        <v>6.6950739999999999E-4</v>
      </c>
      <c r="R6146">
        <v>0.99978180000000005</v>
      </c>
      <c r="S6146">
        <v>-0.1006317</v>
      </c>
      <c r="T6146">
        <v>-0.23206019999999999</v>
      </c>
      <c r="U6146">
        <v>3.003387</v>
      </c>
      <c r="V6146">
        <v>-0.15766649999999999</v>
      </c>
      <c r="W6146">
        <v>6.2697150000000004E-3</v>
      </c>
      <c r="X6146">
        <v>0.98747249999999998</v>
      </c>
      <c r="Y6146">
        <v>-0.210921</v>
      </c>
      <c r="Z6146">
        <v>-7.430001E-2</v>
      </c>
      <c r="AA6146">
        <v>0.97467519999999996</v>
      </c>
      <c r="AB6146">
        <v>28</v>
      </c>
      <c r="AC6146">
        <v>-0.526100000000013</v>
      </c>
      <c r="AD6146">
        <v>-1.1085303331328</v>
      </c>
      <c r="AE6146">
        <v>14.070749999999901</v>
      </c>
      <c r="AF6146">
        <v>-3.0060288278054901</v>
      </c>
      <c r="AG6146">
        <v>-1.1085303331328</v>
      </c>
      <c r="AH6146">
        <v>13.6671708942504</v>
      </c>
      <c r="AI6146">
        <v>94.529258640689093</v>
      </c>
      <c r="AJ6146">
        <v>102.404424403261</v>
      </c>
      <c r="AK6146">
        <v>14.0376853172351</v>
      </c>
    </row>
    <row r="6147" spans="1:37" x14ac:dyDescent="0.2">
      <c r="A6147" t="str">
        <f>"20200111153549390"</f>
        <v>20200111153549390</v>
      </c>
      <c r="B6147" t="str">
        <f>"1578728149381332"</f>
        <v>1578728149381332</v>
      </c>
      <c r="C6147" t="s">
        <v>37</v>
      </c>
      <c r="D6147">
        <v>5.0671290000000004</v>
      </c>
      <c r="E6147">
        <v>0.50515790000000005</v>
      </c>
      <c r="F6147" t="s">
        <v>39</v>
      </c>
      <c r="G6147">
        <v>-188.9751</v>
      </c>
      <c r="H6147" s="1">
        <v>-4.059981E-7</v>
      </c>
      <c r="I6147">
        <v>-19.960190000000001</v>
      </c>
      <c r="J6147">
        <v>-188.422</v>
      </c>
      <c r="K6147">
        <v>1.1085119999999999</v>
      </c>
      <c r="L6147">
        <v>-33.945159999999902</v>
      </c>
      <c r="M6147">
        <v>0.17200889999999999</v>
      </c>
      <c r="N6147">
        <v>0</v>
      </c>
      <c r="O6147">
        <v>0.98506729999999998</v>
      </c>
      <c r="P6147">
        <v>1.8147170000000001E-2</v>
      </c>
      <c r="Q6147">
        <v>8.4382619999999995E-4</v>
      </c>
      <c r="R6147">
        <v>0.99983500000000003</v>
      </c>
      <c r="S6147">
        <v>-0.1069031</v>
      </c>
      <c r="T6147">
        <v>-0.23327229999999999</v>
      </c>
      <c r="U6147">
        <v>3.0030519999999998</v>
      </c>
      <c r="V6147">
        <v>-0.15419089999999999</v>
      </c>
      <c r="W6147">
        <v>6.462832E-3</v>
      </c>
      <c r="X6147">
        <v>0.98801989999999995</v>
      </c>
      <c r="Y6147">
        <v>-0.2068432</v>
      </c>
      <c r="Z6147">
        <v>-7.4852230000000006E-2</v>
      </c>
      <c r="AA6147">
        <v>0.97550650000000005</v>
      </c>
      <c r="AB6147">
        <v>28</v>
      </c>
      <c r="AC6147">
        <v>-0.55310000000000004</v>
      </c>
      <c r="AD6147">
        <v>-1.1085124059981</v>
      </c>
      <c r="AE6147">
        <v>13.984969999999899</v>
      </c>
      <c r="AF6147">
        <v>-2.9320686543341701</v>
      </c>
      <c r="AG6147">
        <v>-1.1085124059981</v>
      </c>
      <c r="AH6147">
        <v>13.5960881318394</v>
      </c>
      <c r="AI6147">
        <v>94.556811672127793</v>
      </c>
      <c r="AJ6147">
        <v>102.16976314233899</v>
      </c>
      <c r="AK6147">
        <v>13.9527573918822</v>
      </c>
    </row>
    <row r="6148" spans="1:37" x14ac:dyDescent="0.2">
      <c r="A6148" t="str">
        <f>"20200111153549411"</f>
        <v>20200111153549411</v>
      </c>
      <c r="B6148" t="str">
        <f>"1578728149401832"</f>
        <v>1578728149401832</v>
      </c>
      <c r="C6148" t="s">
        <v>37</v>
      </c>
      <c r="D6148">
        <v>5.0060989999999999</v>
      </c>
      <c r="E6148">
        <v>0.50538490000000003</v>
      </c>
      <c r="F6148" t="s">
        <v>39</v>
      </c>
      <c r="G6148">
        <v>-187.90190000000001</v>
      </c>
      <c r="H6148" s="1">
        <v>-1.796798E-6</v>
      </c>
      <c r="I6148">
        <v>-17.04635</v>
      </c>
      <c r="J6148">
        <v>-188.38030000000001</v>
      </c>
      <c r="K6148">
        <v>1.1084849999999999</v>
      </c>
      <c r="L6148">
        <v>-33.671329999999998</v>
      </c>
      <c r="M6148">
        <v>0.16617589999999999</v>
      </c>
      <c r="N6148">
        <v>0</v>
      </c>
      <c r="O6148">
        <v>0.98606819999999895</v>
      </c>
      <c r="P6148">
        <v>1.591737E-2</v>
      </c>
      <c r="Q6148">
        <v>8.7517089999999997E-4</v>
      </c>
      <c r="R6148">
        <v>0.99987289999999995</v>
      </c>
      <c r="S6148">
        <v>9.2285160000000005E-2</v>
      </c>
      <c r="T6148">
        <v>-0.1967255</v>
      </c>
      <c r="U6148">
        <v>2.998993</v>
      </c>
      <c r="V6148">
        <v>-0.1505456</v>
      </c>
      <c r="W6148">
        <v>6.5229119999999996E-3</v>
      </c>
      <c r="X6148">
        <v>0.9885815</v>
      </c>
      <c r="Y6148">
        <v>-0.1358338</v>
      </c>
      <c r="Z6148">
        <v>-6.3775230000000002E-2</v>
      </c>
      <c r="AA6148">
        <v>0.98867680000000002</v>
      </c>
      <c r="AB6148">
        <v>28</v>
      </c>
      <c r="AC6148">
        <v>0.478399999999993</v>
      </c>
      <c r="AD6148">
        <v>-1.1084867967980001</v>
      </c>
      <c r="AE6148">
        <v>16.624979999999901</v>
      </c>
      <c r="AF6148">
        <v>-2.2808674456654101</v>
      </c>
      <c r="AG6148">
        <v>-1.1084867967980001</v>
      </c>
      <c r="AH6148">
        <v>16.400465301695998</v>
      </c>
      <c r="AI6148">
        <v>93.829919463466894</v>
      </c>
      <c r="AJ6148">
        <v>97.917530565468695</v>
      </c>
      <c r="AK6148">
        <v>16.595371685970399</v>
      </c>
    </row>
    <row r="6149" spans="1:37" x14ac:dyDescent="0.2">
      <c r="A6149" t="str">
        <f>"20200111153549434"</f>
        <v>20200111153549434</v>
      </c>
      <c r="B6149" t="str">
        <f>"1578728149421354"</f>
        <v>1578728149421354</v>
      </c>
      <c r="C6149" t="s">
        <v>37</v>
      </c>
      <c r="D6149">
        <v>5.0840819999999898</v>
      </c>
      <c r="E6149">
        <v>0.50487720000000003</v>
      </c>
      <c r="F6149" t="s">
        <v>39</v>
      </c>
      <c r="G6149">
        <v>-187.86709999999999</v>
      </c>
      <c r="H6149" s="1">
        <v>-2.2478720000000002E-6</v>
      </c>
      <c r="I6149">
        <v>-16.00929</v>
      </c>
      <c r="J6149">
        <v>-188.33920000000001</v>
      </c>
      <c r="K6149">
        <v>1.1084590000000001</v>
      </c>
      <c r="L6149">
        <v>-33.390659999999997</v>
      </c>
      <c r="M6149">
        <v>0.1602787</v>
      </c>
      <c r="N6149">
        <v>0</v>
      </c>
      <c r="O6149">
        <v>0.98704409999999898</v>
      </c>
      <c r="P6149">
        <v>1.248294E-2</v>
      </c>
      <c r="Q6149">
        <v>6.328045E-4</v>
      </c>
      <c r="R6149">
        <v>0.99992190000000003</v>
      </c>
      <c r="S6149">
        <v>8.7142940000000002E-2</v>
      </c>
      <c r="T6149">
        <v>-0.18822939999999999</v>
      </c>
      <c r="U6149">
        <v>2.9991460000000001</v>
      </c>
      <c r="V6149">
        <v>-0.1480281</v>
      </c>
      <c r="W6149">
        <v>6.3021400000000003E-3</v>
      </c>
      <c r="X6149">
        <v>0.98896309999999998</v>
      </c>
      <c r="Y6149">
        <v>-0.131601</v>
      </c>
      <c r="Z6149">
        <v>-6.113967E-2</v>
      </c>
      <c r="AA6149">
        <v>0.9894155</v>
      </c>
      <c r="AB6149">
        <v>29</v>
      </c>
      <c r="AC6149">
        <v>0.47210000000001101</v>
      </c>
      <c r="AD6149">
        <v>-1.108461247872</v>
      </c>
      <c r="AE6149">
        <v>17.381369999999901</v>
      </c>
      <c r="AF6149">
        <v>-2.3105532320958599</v>
      </c>
      <c r="AG6149">
        <v>-1.108461247872</v>
      </c>
      <c r="AH6149">
        <v>17.162568919648301</v>
      </c>
      <c r="AI6149">
        <v>93.662421565345596</v>
      </c>
      <c r="AJ6149">
        <v>97.667484376812695</v>
      </c>
      <c r="AK6149">
        <v>17.352841683656901</v>
      </c>
    </row>
    <row r="6150" spans="1:37" x14ac:dyDescent="0.2">
      <c r="A6150" t="str">
        <f>"20200111153549455"</f>
        <v>20200111153549455</v>
      </c>
      <c r="B6150" t="str">
        <f>"1578728149451607"</f>
        <v>1578728149451607</v>
      </c>
      <c r="C6150" t="s">
        <v>37</v>
      </c>
      <c r="D6150">
        <v>5.0409189999999997</v>
      </c>
      <c r="E6150">
        <v>0.50438099999999997</v>
      </c>
      <c r="F6150" t="s">
        <v>39</v>
      </c>
      <c r="G6150">
        <v>-187.91130000000001</v>
      </c>
      <c r="H6150" s="1">
        <v>-2.3653719999999999E-6</v>
      </c>
      <c r="I6150">
        <v>-15.71712</v>
      </c>
      <c r="J6150">
        <v>-188.30090000000001</v>
      </c>
      <c r="K6150">
        <v>1.1084099999999999</v>
      </c>
      <c r="L6150">
        <v>-33.1188</v>
      </c>
      <c r="M6150">
        <v>0.15466469999999999</v>
      </c>
      <c r="N6150">
        <v>0</v>
      </c>
      <c r="O6150">
        <v>0.98793949999999997</v>
      </c>
      <c r="P6150">
        <v>8.9761919999999992E-3</v>
      </c>
      <c r="Q6150">
        <v>5.583672E-4</v>
      </c>
      <c r="R6150">
        <v>0.999959499999999</v>
      </c>
      <c r="S6150">
        <v>7.261658E-2</v>
      </c>
      <c r="T6150">
        <v>-0.1881217</v>
      </c>
      <c r="U6150">
        <v>2.9994509999999899</v>
      </c>
      <c r="V6150">
        <v>-0.14587220000000001</v>
      </c>
      <c r="W6150">
        <v>6.2520730000000004E-3</v>
      </c>
      <c r="X6150">
        <v>0.98928369999999999</v>
      </c>
      <c r="Y6150">
        <v>-0.1307566</v>
      </c>
      <c r="Z6150">
        <v>-6.1189760000000003E-2</v>
      </c>
      <c r="AA6150">
        <v>0.98952439999999997</v>
      </c>
      <c r="AB6150">
        <v>29</v>
      </c>
      <c r="AC6150">
        <v>0.389600000000001</v>
      </c>
      <c r="AD6150">
        <v>-1.1084123653719999</v>
      </c>
      <c r="AE6150">
        <v>17.401679999999999</v>
      </c>
      <c r="AF6150">
        <v>-2.29727140834571</v>
      </c>
      <c r="AG6150">
        <v>-1.1084123653719999</v>
      </c>
      <c r="AH6150">
        <v>17.182855082088999</v>
      </c>
      <c r="AI6150">
        <v>93.658396619937093</v>
      </c>
      <c r="AJ6150">
        <v>97.615033863588806</v>
      </c>
      <c r="AK6150">
        <v>17.371141087084201</v>
      </c>
    </row>
    <row r="6151" spans="1:37" x14ac:dyDescent="0.2">
      <c r="A6151" t="str">
        <f>"20200111153549477"</f>
        <v>20200111153549477</v>
      </c>
      <c r="B6151" t="str">
        <f>"1578728149472103"</f>
        <v>1578728149472103</v>
      </c>
      <c r="C6151" t="s">
        <v>37</v>
      </c>
      <c r="D6151">
        <v>5.0679439999999998</v>
      </c>
      <c r="E6151">
        <v>0.50429109999999999</v>
      </c>
      <c r="F6151" t="s">
        <v>39</v>
      </c>
      <c r="G6151">
        <v>-187.95820000000001</v>
      </c>
      <c r="H6151" s="1">
        <v>-2.4948210000000002E-6</v>
      </c>
      <c r="I6151">
        <v>-15.3959999999999</v>
      </c>
      <c r="J6151">
        <v>-188.26259999999999</v>
      </c>
      <c r="K6151">
        <v>1.1083529999999999</v>
      </c>
      <c r="L6151">
        <v>-32.83578</v>
      </c>
      <c r="M6151">
        <v>0.14893770000000001</v>
      </c>
      <c r="N6151">
        <v>0</v>
      </c>
      <c r="O6151">
        <v>0.98881919999999901</v>
      </c>
      <c r="P6151">
        <v>5.4703629999999998E-3</v>
      </c>
      <c r="Q6151">
        <v>3.0024939999999899E-4</v>
      </c>
      <c r="R6151">
        <v>0.99998500000000001</v>
      </c>
      <c r="S6151">
        <v>5.8013919999999997E-2</v>
      </c>
      <c r="T6151">
        <v>-0.18760569999999999</v>
      </c>
      <c r="U6151">
        <v>2.999695</v>
      </c>
      <c r="V6151">
        <v>-0.14360439999999999</v>
      </c>
      <c r="W6151">
        <v>6.0255809999999899E-3</v>
      </c>
      <c r="X6151">
        <v>0.98961679999999996</v>
      </c>
      <c r="Y6151">
        <v>-0.12982859999999999</v>
      </c>
      <c r="Z6151">
        <v>-6.1106729999999998E-2</v>
      </c>
      <c r="AA6151">
        <v>0.98965170000000002</v>
      </c>
      <c r="AB6151">
        <v>29</v>
      </c>
      <c r="AC6151">
        <v>0.30439999999998602</v>
      </c>
      <c r="AD6151">
        <v>-1.1083554948209999</v>
      </c>
      <c r="AE6151">
        <v>17.439779999999999</v>
      </c>
      <c r="AF6151">
        <v>-2.2872708152808601</v>
      </c>
      <c r="AG6151">
        <v>-1.1083554948209999</v>
      </c>
      <c r="AH6151">
        <v>17.221059061686798</v>
      </c>
      <c r="AI6151">
        <v>93.650534024462601</v>
      </c>
      <c r="AJ6151">
        <v>97.565644440807404</v>
      </c>
      <c r="AK6151">
        <v>17.407611406836999</v>
      </c>
    </row>
    <row r="6152" spans="1:37" x14ac:dyDescent="0.2">
      <c r="A6152" t="str">
        <f>"20200111153549501"</f>
        <v>20200111153549501</v>
      </c>
      <c r="B6152" t="str">
        <f>"1578728149491624"</f>
        <v>1578728149491624</v>
      </c>
      <c r="C6152" t="s">
        <v>37</v>
      </c>
      <c r="D6152">
        <v>5.057423</v>
      </c>
      <c r="E6152">
        <v>0.50420929999999997</v>
      </c>
      <c r="F6152" t="s">
        <v>39</v>
      </c>
      <c r="G6152">
        <v>-187.98750000000001</v>
      </c>
      <c r="H6152" s="1">
        <v>-2.5984239999999998E-6</v>
      </c>
      <c r="I6152">
        <v>-15.1423399999999</v>
      </c>
      <c r="J6152">
        <v>-188.22450000000001</v>
      </c>
      <c r="K6152">
        <v>1.108271</v>
      </c>
      <c r="L6152">
        <v>-32.54233</v>
      </c>
      <c r="M6152">
        <v>0.14314279999999999</v>
      </c>
      <c r="N6152">
        <v>0</v>
      </c>
      <c r="O6152">
        <v>0.98967469999999902</v>
      </c>
      <c r="P6152">
        <v>1.564069E-3</v>
      </c>
      <c r="Q6152">
        <v>5.814835E-4</v>
      </c>
      <c r="R6152">
        <v>0.99999859999999896</v>
      </c>
      <c r="S6152">
        <v>4.6630860000000003E-2</v>
      </c>
      <c r="T6152">
        <v>-0.1879169</v>
      </c>
      <c r="U6152">
        <v>2.9998469999999999</v>
      </c>
      <c r="V6152">
        <v>-0.14167479999999999</v>
      </c>
      <c r="W6152">
        <v>6.3402869999999896E-3</v>
      </c>
      <c r="X6152">
        <v>0.98989300000000002</v>
      </c>
      <c r="Y6152">
        <v>-0.12777529999999901</v>
      </c>
      <c r="Z6152">
        <v>-6.1294969999999997E-2</v>
      </c>
      <c r="AA6152">
        <v>0.98990730000000005</v>
      </c>
      <c r="AB6152">
        <v>29</v>
      </c>
      <c r="AC6152">
        <v>0.23699999999999399</v>
      </c>
      <c r="AD6152">
        <v>-1.108273598424</v>
      </c>
      <c r="AE6152">
        <v>17.399989999999999</v>
      </c>
      <c r="AF6152">
        <v>-2.2470769353020001</v>
      </c>
      <c r="AG6152">
        <v>-1.108273598424</v>
      </c>
      <c r="AH6152">
        <v>17.185016475975299</v>
      </c>
      <c r="AI6152">
        <v>93.658873787175907</v>
      </c>
      <c r="AJ6152">
        <v>97.449611660829603</v>
      </c>
      <c r="AK6152">
        <v>17.366704246968499</v>
      </c>
    </row>
    <row r="6153" spans="1:37" x14ac:dyDescent="0.2">
      <c r="A6153" t="str">
        <f>"20200111153549524"</f>
        <v>20200111153549524</v>
      </c>
      <c r="B6153" t="str">
        <f>"1578728149512119"</f>
        <v>1578728149512119</v>
      </c>
      <c r="C6153" t="s">
        <v>37</v>
      </c>
      <c r="D6153">
        <v>5.1026480000000003</v>
      </c>
      <c r="E6153">
        <v>0.50413999999999903</v>
      </c>
      <c r="F6153" t="s">
        <v>39</v>
      </c>
      <c r="G6153">
        <v>-188.0188</v>
      </c>
      <c r="H6153" s="1">
        <v>-2.867804E-6</v>
      </c>
      <c r="I6153">
        <v>-14.501489999999899</v>
      </c>
      <c r="J6153">
        <v>-188.1865</v>
      </c>
      <c r="K6153">
        <v>1.108185</v>
      </c>
      <c r="L6153">
        <v>-32.236049999999999</v>
      </c>
      <c r="M6153">
        <v>0.13725509999999999</v>
      </c>
      <c r="N6153">
        <v>0</v>
      </c>
      <c r="O6153">
        <v>0.99050859999999996</v>
      </c>
      <c r="P6153">
        <v>-2.6980649999999999E-3</v>
      </c>
      <c r="Q6153">
        <v>6.34316E-4</v>
      </c>
      <c r="R6153">
        <v>0.9999962</v>
      </c>
      <c r="S6153">
        <v>3.4210209999999998E-2</v>
      </c>
      <c r="T6153">
        <v>-0.18429799999999999</v>
      </c>
      <c r="U6153">
        <v>3.0000610000000001</v>
      </c>
      <c r="V6153">
        <v>-0.140006399999999</v>
      </c>
      <c r="W6153">
        <v>6.4270689999999997E-3</v>
      </c>
      <c r="X6153">
        <v>0.990129699999999</v>
      </c>
      <c r="Y6153">
        <v>-0.12597519999999901</v>
      </c>
      <c r="Z6153">
        <v>-6.019994E-2</v>
      </c>
      <c r="AA6153">
        <v>0.99020509999999995</v>
      </c>
      <c r="AB6153">
        <v>29</v>
      </c>
      <c r="AC6153">
        <v>0.16769999999999599</v>
      </c>
      <c r="AD6153">
        <v>-1.108187867804</v>
      </c>
      <c r="AE6153">
        <v>17.734559999999998</v>
      </c>
      <c r="AF6153">
        <v>-2.25929044373428</v>
      </c>
      <c r="AG6153">
        <v>-1.108187867804</v>
      </c>
      <c r="AH6153">
        <v>17.521315523314001</v>
      </c>
      <c r="AI6153">
        <v>93.589383448288103</v>
      </c>
      <c r="AJ6153">
        <v>97.347475858687901</v>
      </c>
      <c r="AK6153">
        <v>17.7011008507104</v>
      </c>
    </row>
    <row r="6154" spans="1:37" x14ac:dyDescent="0.2">
      <c r="A6154" t="str">
        <f>"20200111153549547"</f>
        <v>20200111153549547</v>
      </c>
      <c r="B6154" t="str">
        <f>"1578728149541400"</f>
        <v>1578728149541400</v>
      </c>
      <c r="C6154" t="s">
        <v>37</v>
      </c>
      <c r="D6154">
        <v>5.0975999999999999</v>
      </c>
      <c r="E6154">
        <v>0.50414999999999999</v>
      </c>
      <c r="F6154" t="s">
        <v>39</v>
      </c>
      <c r="G6154">
        <v>-188.06020000000001</v>
      </c>
      <c r="H6154" s="1">
        <v>-3.1121010000000001E-6</v>
      </c>
      <c r="I6154">
        <v>-13.91492</v>
      </c>
      <c r="J6154">
        <v>-188.1523</v>
      </c>
      <c r="K6154">
        <v>1.1081110000000001</v>
      </c>
      <c r="L6154">
        <v>-31.94849</v>
      </c>
      <c r="M6154">
        <v>0.1318472</v>
      </c>
      <c r="N6154">
        <v>0</v>
      </c>
      <c r="O6154">
        <v>0.99124299999999999</v>
      </c>
      <c r="P6154">
        <v>-6.4574050000000003E-3</v>
      </c>
      <c r="Q6154">
        <v>1.23838E-4</v>
      </c>
      <c r="R6154">
        <v>0.99997909999999901</v>
      </c>
      <c r="S6154">
        <v>2.0690920000000002E-2</v>
      </c>
      <c r="T6154">
        <v>-0.18147179999999999</v>
      </c>
      <c r="U6154">
        <v>3.0001829999999998</v>
      </c>
      <c r="V6154">
        <v>-0.13831779999999999</v>
      </c>
      <c r="W6154">
        <v>5.9492879999999996E-3</v>
      </c>
      <c r="X6154">
        <v>0.99036999999999997</v>
      </c>
      <c r="Y6154">
        <v>-0.12502269999999999</v>
      </c>
      <c r="Z6154">
        <v>-5.9348940000000003E-2</v>
      </c>
      <c r="AA6154">
        <v>0.99037719999999996</v>
      </c>
      <c r="AB6154">
        <v>29</v>
      </c>
      <c r="AC6154">
        <v>9.2099999999987803E-2</v>
      </c>
      <c r="AD6154">
        <v>-1.1081141121010001</v>
      </c>
      <c r="AE6154">
        <v>18.033570000000001</v>
      </c>
      <c r="AF6154">
        <v>-2.2778431550037599</v>
      </c>
      <c r="AG6154">
        <v>-1.1081141121010001</v>
      </c>
      <c r="AH6154">
        <v>17.820986647434399</v>
      </c>
      <c r="AI6154">
        <v>93.529446442307403</v>
      </c>
      <c r="AJ6154">
        <v>97.283937234596607</v>
      </c>
      <c r="AK6154">
        <v>18.0001125388779</v>
      </c>
    </row>
    <row r="6155" spans="1:37" x14ac:dyDescent="0.2">
      <c r="A6155" t="str">
        <f>"20200111153549569"</f>
        <v>20200111153549569</v>
      </c>
      <c r="B6155" t="str">
        <f>"1578728149561895"</f>
        <v>1578728149561895</v>
      </c>
      <c r="C6155" t="s">
        <v>37</v>
      </c>
      <c r="D6155">
        <v>5.1212689999999998</v>
      </c>
      <c r="E6155">
        <v>0.50389280000000003</v>
      </c>
      <c r="F6155" t="s">
        <v>39</v>
      </c>
      <c r="G6155">
        <v>-188.0975</v>
      </c>
      <c r="H6155" s="1">
        <v>-3.1119810000000001E-6</v>
      </c>
      <c r="I6155">
        <v>-13.899749999999999</v>
      </c>
      <c r="J6155">
        <v>-188.11850000000001</v>
      </c>
      <c r="K6155">
        <v>1.1080299999999901</v>
      </c>
      <c r="L6155">
        <v>-31.65118</v>
      </c>
      <c r="M6155">
        <v>0.126383</v>
      </c>
      <c r="N6155">
        <v>0</v>
      </c>
      <c r="O6155">
        <v>0.99195449999999996</v>
      </c>
      <c r="P6155">
        <v>-1.053167E-2</v>
      </c>
      <c r="Q6155">
        <v>-7.9193389999999996E-4</v>
      </c>
      <c r="R6155">
        <v>0.99994419999999995</v>
      </c>
      <c r="S6155">
        <v>9.1094969999999994E-3</v>
      </c>
      <c r="T6155">
        <v>-0.18419630000000001</v>
      </c>
      <c r="U6155">
        <v>3.0001530000000001</v>
      </c>
      <c r="V6155">
        <v>-0.13688510000000001</v>
      </c>
      <c r="W6155">
        <v>5.0638139999999998E-3</v>
      </c>
      <c r="X6155">
        <v>0.99057399999999995</v>
      </c>
      <c r="Y6155">
        <v>-0.1233785</v>
      </c>
      <c r="Z6155">
        <v>-6.0309429999999997E-2</v>
      </c>
      <c r="AA6155">
        <v>0.9905254</v>
      </c>
      <c r="AB6155">
        <v>29</v>
      </c>
      <c r="AC6155">
        <v>2.1000000000015E-2</v>
      </c>
      <c r="AD6155">
        <v>-1.1080331119810001</v>
      </c>
      <c r="AE6155">
        <v>17.751429999999999</v>
      </c>
      <c r="AF6155">
        <v>-2.21408106872852</v>
      </c>
      <c r="AG6155">
        <v>-1.1080331119810001</v>
      </c>
      <c r="AH6155">
        <v>17.543384922923501</v>
      </c>
      <c r="AI6155">
        <v>93.585610030172006</v>
      </c>
      <c r="AJ6155">
        <v>97.193043901840099</v>
      </c>
      <c r="AK6155">
        <v>17.717230226816199</v>
      </c>
    </row>
    <row r="6156" spans="1:37" x14ac:dyDescent="0.2">
      <c r="A6156" t="str">
        <f>"20200111153549590"</f>
        <v>20200111153549590</v>
      </c>
      <c r="B6156" t="str">
        <f>"1578728149581416"</f>
        <v>1578728149581416</v>
      </c>
      <c r="C6156" t="s">
        <v>37</v>
      </c>
      <c r="D6156">
        <v>5.0945199999999904</v>
      </c>
      <c r="E6156">
        <v>0.50392680000000001</v>
      </c>
      <c r="F6156" t="s">
        <v>39</v>
      </c>
      <c r="G6156">
        <v>-188.15209999999999</v>
      </c>
      <c r="H6156" s="1">
        <v>-3.111202E-6</v>
      </c>
      <c r="I6156">
        <v>-13.879020000000001</v>
      </c>
      <c r="J6156">
        <v>-188.08920000000001</v>
      </c>
      <c r="K6156">
        <v>1.1079639999999999</v>
      </c>
      <c r="L6156">
        <v>-31.38214</v>
      </c>
      <c r="M6156">
        <v>0.12155489999999999</v>
      </c>
      <c r="N6156">
        <v>0</v>
      </c>
      <c r="O6156">
        <v>0.99255780000000005</v>
      </c>
      <c r="P6156">
        <v>-1.396176E-2</v>
      </c>
      <c r="Q6156">
        <v>-1.824895E-3</v>
      </c>
      <c r="R6156">
        <v>0.99990089999999998</v>
      </c>
      <c r="S6156">
        <v>-5.6610109999999996E-3</v>
      </c>
      <c r="T6156">
        <v>-0.1870377</v>
      </c>
      <c r="U6156">
        <v>2.9999689999999899</v>
      </c>
      <c r="V6156">
        <v>-0.13545199999999999</v>
      </c>
      <c r="W6156">
        <v>4.0596059999999899E-3</v>
      </c>
      <c r="X6156">
        <v>0.99077559999999998</v>
      </c>
      <c r="Y6156">
        <v>-0.12342649999999999</v>
      </c>
      <c r="Z6156">
        <v>-6.1296009999999998E-2</v>
      </c>
      <c r="AA6156">
        <v>0.99045879999999997</v>
      </c>
      <c r="AB6156">
        <v>29</v>
      </c>
      <c r="AC6156">
        <v>-6.2899999999984801E-2</v>
      </c>
      <c r="AD6156">
        <v>-1.107967111202</v>
      </c>
      <c r="AE6156">
        <v>17.503119999999999</v>
      </c>
      <c r="AF6156">
        <v>-2.1813397994416701</v>
      </c>
      <c r="AG6156">
        <v>-1.107967111202</v>
      </c>
      <c r="AH6156">
        <v>17.296370108700899</v>
      </c>
      <c r="AI6156">
        <v>93.636505528729401</v>
      </c>
      <c r="AJ6156">
        <v>97.187936000971106</v>
      </c>
      <c r="AK6156">
        <v>17.4685504085856</v>
      </c>
    </row>
    <row r="6157" spans="1:37" x14ac:dyDescent="0.2">
      <c r="A6157" t="str">
        <f>"20200111153549614"</f>
        <v>20200111153549614</v>
      </c>
      <c r="B6157" t="str">
        <f>"1578728149601914"</f>
        <v>1578728149601914</v>
      </c>
      <c r="C6157" t="s">
        <v>37</v>
      </c>
      <c r="D6157">
        <v>5.0685019999999996</v>
      </c>
      <c r="E6157">
        <v>0.50399179999999999</v>
      </c>
      <c r="F6157" t="s">
        <v>39</v>
      </c>
      <c r="G6157">
        <v>-188.18170000000001</v>
      </c>
      <c r="H6157" s="1">
        <v>-3.1050829999999999E-6</v>
      </c>
      <c r="I6157">
        <v>-13.881019999999999</v>
      </c>
      <c r="J6157">
        <v>-188.05770000000001</v>
      </c>
      <c r="K6157">
        <v>1.1078870000000001</v>
      </c>
      <c r="L6157">
        <v>-31.07968</v>
      </c>
      <c r="M6157">
        <v>0.11625530000000001</v>
      </c>
      <c r="N6157">
        <v>0</v>
      </c>
      <c r="O6157">
        <v>0.99319249999999903</v>
      </c>
      <c r="P6157">
        <v>-1.768633E-2</v>
      </c>
      <c r="Q6157">
        <v>-1.798018E-3</v>
      </c>
      <c r="R6157">
        <v>0.99984200000000001</v>
      </c>
      <c r="S6157">
        <v>-1.5853880000000001E-2</v>
      </c>
      <c r="T6157">
        <v>-0.18990770000000001</v>
      </c>
      <c r="U6157">
        <v>2.9997250000000002</v>
      </c>
      <c r="V6157">
        <v>-0.133854</v>
      </c>
      <c r="W6157">
        <v>4.1211169999999997E-3</v>
      </c>
      <c r="X6157">
        <v>0.99099249999999905</v>
      </c>
      <c r="Y6157">
        <v>-0.1214948</v>
      </c>
      <c r="Z6157">
        <v>-6.2305099999999898E-2</v>
      </c>
      <c r="AA6157">
        <v>0.99063469999999998</v>
      </c>
      <c r="AB6157">
        <v>29</v>
      </c>
      <c r="AC6157">
        <v>-0.123999999999995</v>
      </c>
      <c r="AD6157">
        <v>-1.1078901050829999</v>
      </c>
      <c r="AE6157">
        <v>17.198659999999901</v>
      </c>
      <c r="AF6157">
        <v>-2.1138766399128399</v>
      </c>
      <c r="AG6157">
        <v>-1.1078901050829999</v>
      </c>
      <c r="AH6157">
        <v>16.9970927315963</v>
      </c>
      <c r="AI6157">
        <v>93.700898319239997</v>
      </c>
      <c r="AJ6157">
        <v>97.089300686957699</v>
      </c>
      <c r="AK6157">
        <v>17.163829883222299</v>
      </c>
    </row>
    <row r="6158" spans="1:37" x14ac:dyDescent="0.2">
      <c r="A6158" t="str">
        <f>"20200111153549635"</f>
        <v>20200111153549635</v>
      </c>
      <c r="B6158" t="str">
        <f>"1578728149621431"</f>
        <v>1578728149621431</v>
      </c>
      <c r="C6158" t="s">
        <v>37</v>
      </c>
      <c r="D6158">
        <v>5.1096190000000004</v>
      </c>
      <c r="E6158">
        <v>0.50408149999999996</v>
      </c>
      <c r="F6158" t="s">
        <v>39</v>
      </c>
      <c r="G6158">
        <v>-188.2133</v>
      </c>
      <c r="H6158" s="1">
        <v>-3.2250430000000002E-6</v>
      </c>
      <c r="I6158">
        <v>-13.58832</v>
      </c>
      <c r="J6158">
        <v>-188.03039999999999</v>
      </c>
      <c r="K6158">
        <v>1.1078159999999999</v>
      </c>
      <c r="L6158">
        <v>-30.804690000000001</v>
      </c>
      <c r="M6158">
        <v>0.1115497</v>
      </c>
      <c r="N6158">
        <v>0</v>
      </c>
      <c r="O6158">
        <v>0.99373199999999995</v>
      </c>
      <c r="P6158">
        <v>-2.00444E-2</v>
      </c>
      <c r="Q6158">
        <v>-2.5210429999999902E-3</v>
      </c>
      <c r="R6158">
        <v>0.99979589999999996</v>
      </c>
      <c r="S6158">
        <v>-2.6687619999999999E-2</v>
      </c>
      <c r="T6158">
        <v>-0.18999669999999999</v>
      </c>
      <c r="U6158">
        <v>2.9996640000000001</v>
      </c>
      <c r="V6158">
        <v>-0.13148940000000001</v>
      </c>
      <c r="W6158">
        <v>3.4401990000000001E-3</v>
      </c>
      <c r="X6158">
        <v>0.99131159999999996</v>
      </c>
      <c r="Y6158">
        <v>-0.12037100000000001</v>
      </c>
      <c r="Z6158">
        <v>-6.2390040000000001E-2</v>
      </c>
      <c r="AA6158">
        <v>0.99076649999999999</v>
      </c>
      <c r="AB6158">
        <v>29</v>
      </c>
      <c r="AC6158">
        <v>-0.18290000000001699</v>
      </c>
      <c r="AD6158">
        <v>-1.1078192250429999</v>
      </c>
      <c r="AE6158">
        <v>17.216369999999898</v>
      </c>
      <c r="AF6158">
        <v>-2.0936228948081701</v>
      </c>
      <c r="AG6158">
        <v>-1.1078192250429999</v>
      </c>
      <c r="AH6158">
        <v>17.0180558166679</v>
      </c>
      <c r="AI6158">
        <v>93.696719594622095</v>
      </c>
      <c r="AJ6158">
        <v>97.013493464563894</v>
      </c>
      <c r="AK6158">
        <v>17.1821053436494</v>
      </c>
    </row>
    <row r="6159" spans="1:37" x14ac:dyDescent="0.2">
      <c r="A6159" t="str">
        <f>"20200111153549657"</f>
        <v>20200111153549657</v>
      </c>
      <c r="B6159" t="str">
        <f>"1578728149651688"</f>
        <v>1578728149651688</v>
      </c>
      <c r="C6159" t="s">
        <v>37</v>
      </c>
      <c r="D6159">
        <v>5.0816569999999999</v>
      </c>
      <c r="E6159">
        <v>0.50415589999999999</v>
      </c>
      <c r="F6159" t="s">
        <v>39</v>
      </c>
      <c r="G6159">
        <v>-188.22210000000001</v>
      </c>
      <c r="H6159" s="1">
        <v>-3.276504E-6</v>
      </c>
      <c r="I6159">
        <v>-13.46472</v>
      </c>
      <c r="J6159">
        <v>-188.0033</v>
      </c>
      <c r="K6159">
        <v>1.107742</v>
      </c>
      <c r="L6159">
        <v>-30.519779999999901</v>
      </c>
      <c r="M6159">
        <v>0.10678029999999999</v>
      </c>
      <c r="N6159">
        <v>0</v>
      </c>
      <c r="O6159">
        <v>0.99425580000000002</v>
      </c>
      <c r="P6159">
        <v>-2.2146720000000002E-2</v>
      </c>
      <c r="Q6159">
        <v>-3.4977440000000001E-3</v>
      </c>
      <c r="R6159">
        <v>0.99974859999999899</v>
      </c>
      <c r="S6159">
        <v>-3.3172609999999998E-2</v>
      </c>
      <c r="T6159">
        <v>-0.19162960000000001</v>
      </c>
      <c r="U6159">
        <v>2.9994509999999899</v>
      </c>
      <c r="V6159">
        <v>-0.12880619999999901</v>
      </c>
      <c r="W6159">
        <v>2.509893E-3</v>
      </c>
      <c r="X6159">
        <v>0.99166659999999995</v>
      </c>
      <c r="Y6159">
        <v>-0.117749399999999</v>
      </c>
      <c r="Z6159">
        <v>-6.2987950000000001E-2</v>
      </c>
      <c r="AA6159">
        <v>0.99104369999999997</v>
      </c>
      <c r="AB6159">
        <v>29</v>
      </c>
      <c r="AC6159">
        <v>-0.21880000000001501</v>
      </c>
      <c r="AD6159">
        <v>-1.1077452765039999</v>
      </c>
      <c r="AE6159">
        <v>17.055059999999902</v>
      </c>
      <c r="AF6159">
        <v>-2.0301787978789401</v>
      </c>
      <c r="AG6159">
        <v>-1.1077452765039999</v>
      </c>
      <c r="AH6159">
        <v>16.863053121486299</v>
      </c>
      <c r="AI6159">
        <v>93.731529609076702</v>
      </c>
      <c r="AJ6159">
        <v>96.864920553321397</v>
      </c>
      <c r="AK6159">
        <v>17.020907323848601</v>
      </c>
    </row>
    <row r="6160" spans="1:37" x14ac:dyDescent="0.2">
      <c r="A6160" t="str">
        <f>"20200111153549680"</f>
        <v>20200111153549680</v>
      </c>
      <c r="B6160" t="str">
        <f>"1578728149672183"</f>
        <v>1578728149672183</v>
      </c>
      <c r="C6160" t="s">
        <v>37</v>
      </c>
      <c r="D6160">
        <v>4.9920330000000002</v>
      </c>
      <c r="E6160">
        <v>0.50430909999999995</v>
      </c>
      <c r="F6160" t="s">
        <v>39</v>
      </c>
      <c r="G6160">
        <v>-188.22389999999999</v>
      </c>
      <c r="H6160" s="1">
        <v>-3.282166E-6</v>
      </c>
      <c r="I6160">
        <v>-13.45079</v>
      </c>
      <c r="J6160">
        <v>-187.97489999999999</v>
      </c>
      <c r="K6160">
        <v>1.1076649999999999</v>
      </c>
      <c r="L6160">
        <v>-30.206849999999999</v>
      </c>
      <c r="M6160">
        <v>0.1016696</v>
      </c>
      <c r="N6160">
        <v>0</v>
      </c>
      <c r="O6160">
        <v>0.99479139999999999</v>
      </c>
      <c r="P6160">
        <v>-2.4871219999999999E-2</v>
      </c>
      <c r="Q6160">
        <v>-3.4568309999999901E-3</v>
      </c>
      <c r="R6160">
        <v>0.99968469999999998</v>
      </c>
      <c r="S6160">
        <v>-3.8772580000000001E-2</v>
      </c>
      <c r="T6160">
        <v>-0.19464289999999901</v>
      </c>
      <c r="U6160">
        <v>2.9992070000000002</v>
      </c>
      <c r="V6160">
        <v>-0.12641269999999999</v>
      </c>
      <c r="W6160">
        <v>2.5962009999999998E-3</v>
      </c>
      <c r="X6160">
        <v>0.99197440000000003</v>
      </c>
      <c r="Y6160">
        <v>-0.114496</v>
      </c>
      <c r="Z6160">
        <v>-6.4043080000000002E-2</v>
      </c>
      <c r="AA6160">
        <v>0.99135720000000005</v>
      </c>
      <c r="AB6160">
        <v>30</v>
      </c>
      <c r="AC6160">
        <v>-0.248999999999995</v>
      </c>
      <c r="AD6160">
        <v>-1.107668282166</v>
      </c>
      <c r="AE6160">
        <v>16.756059999999898</v>
      </c>
      <c r="AF6160">
        <v>-1.9428487804668699</v>
      </c>
      <c r="AG6160">
        <v>-1.107668282166</v>
      </c>
      <c r="AH6160">
        <v>16.571512194031701</v>
      </c>
      <c r="AI6160">
        <v>93.798122699480004</v>
      </c>
      <c r="AJ6160">
        <v>96.686847367677203</v>
      </c>
      <c r="AK6160">
        <v>16.721740543496601</v>
      </c>
    </row>
    <row r="6161" spans="1:37" x14ac:dyDescent="0.2">
      <c r="A6161" t="str">
        <f>"20200111153549703"</f>
        <v>20200111153549703</v>
      </c>
      <c r="B6161" t="str">
        <f>"1578728149691703"</f>
        <v>1578728149691703</v>
      </c>
      <c r="C6161" t="s">
        <v>37</v>
      </c>
      <c r="D6161">
        <v>5.0669570000000004</v>
      </c>
      <c r="E6161">
        <v>0.50448729999999997</v>
      </c>
      <c r="F6161" t="s">
        <v>39</v>
      </c>
      <c r="G6161">
        <v>-188.2345</v>
      </c>
      <c r="H6161" s="1">
        <v>-3.4227490000000002E-6</v>
      </c>
      <c r="I6161">
        <v>-13.118729999999999</v>
      </c>
      <c r="J6161">
        <v>-187.9494</v>
      </c>
      <c r="K6161">
        <v>1.1075950000000001</v>
      </c>
      <c r="L6161">
        <v>-29.908390000000001</v>
      </c>
      <c r="M6161">
        <v>9.6928739999999999E-2</v>
      </c>
      <c r="N6161">
        <v>0</v>
      </c>
      <c r="O6161">
        <v>0.99526460000000005</v>
      </c>
      <c r="P6161">
        <v>-2.6988249999999998E-2</v>
      </c>
      <c r="Q6161">
        <v>-3.7979450000000001E-3</v>
      </c>
      <c r="R6161">
        <v>0.99962850000000003</v>
      </c>
      <c r="S6161">
        <v>-4.5547490000000003E-2</v>
      </c>
      <c r="T6161">
        <v>-0.19440750000000001</v>
      </c>
      <c r="U6161">
        <v>2.9991460000000001</v>
      </c>
      <c r="V6161">
        <v>-0.1237833</v>
      </c>
      <c r="W6161">
        <v>2.301516E-3</v>
      </c>
      <c r="X6161">
        <v>0.99230659999999904</v>
      </c>
      <c r="Y6161">
        <v>-0.1120018</v>
      </c>
      <c r="Z6161">
        <v>-6.4021300000000003E-2</v>
      </c>
      <c r="AA6161">
        <v>0.99164349999999901</v>
      </c>
      <c r="AB6161">
        <v>30</v>
      </c>
      <c r="AC6161">
        <v>-0.28509999999999902</v>
      </c>
      <c r="AD6161">
        <v>-1.1075984227489999</v>
      </c>
      <c r="AE6161">
        <v>16.789660000000001</v>
      </c>
      <c r="AF6161">
        <v>-1.90292238262793</v>
      </c>
      <c r="AG6161">
        <v>-1.1075984227489999</v>
      </c>
      <c r="AH6161">
        <v>16.610696020045999</v>
      </c>
      <c r="AI6161">
        <v>93.790109142772494</v>
      </c>
      <c r="AJ6161">
        <v>96.535317632167207</v>
      </c>
      <c r="AK6161">
        <v>16.755987292032501</v>
      </c>
    </row>
    <row r="6162" spans="1:37" x14ac:dyDescent="0.2">
      <c r="A6162" t="str">
        <f>"20200111153549725"</f>
        <v>20200111153549725</v>
      </c>
      <c r="B6162" t="str">
        <f>"1578728149711418"</f>
        <v>1578728149711418</v>
      </c>
      <c r="C6162" t="s">
        <v>37</v>
      </c>
      <c r="D6162">
        <v>5.1157260000000004</v>
      </c>
      <c r="E6162">
        <v>0.50466129999999998</v>
      </c>
      <c r="F6162" t="s">
        <v>39</v>
      </c>
      <c r="G6162">
        <v>-188.23490000000001</v>
      </c>
      <c r="H6162" s="1">
        <v>-3.5208619999999998E-6</v>
      </c>
      <c r="I6162">
        <v>-12.88982</v>
      </c>
      <c r="J6162">
        <v>-187.92609999999999</v>
      </c>
      <c r="K6162">
        <v>1.1075379999999999</v>
      </c>
      <c r="L6162">
        <v>-29.62238</v>
      </c>
      <c r="M6162">
        <v>9.2485849999999994E-2</v>
      </c>
      <c r="N6162">
        <v>0</v>
      </c>
      <c r="O6162">
        <v>0.99568729999999905</v>
      </c>
      <c r="P6162">
        <v>-2.9566539999999999E-2</v>
      </c>
      <c r="Q6162">
        <v>-3.7289889999999998E-3</v>
      </c>
      <c r="R6162">
        <v>0.99955590000000005</v>
      </c>
      <c r="S6162">
        <v>-5.0323489999999999E-2</v>
      </c>
      <c r="T6162">
        <v>-0.19518179999999999</v>
      </c>
      <c r="U6162">
        <v>2.99902299999999</v>
      </c>
      <c r="V6162">
        <v>-0.12191399999999999</v>
      </c>
      <c r="W6162">
        <v>2.4068969999999999E-3</v>
      </c>
      <c r="X6162">
        <v>0.99253769999999997</v>
      </c>
      <c r="Y6162">
        <v>-0.10914549999999899</v>
      </c>
      <c r="Z6162">
        <v>-6.4328479999999993E-2</v>
      </c>
      <c r="AA6162">
        <v>0.99194210000000005</v>
      </c>
      <c r="AB6162">
        <v>30</v>
      </c>
      <c r="AC6162">
        <v>-0.308800000000019</v>
      </c>
      <c r="AD6162">
        <v>-1.1075415208620001</v>
      </c>
      <c r="AE6162">
        <v>16.732559999999999</v>
      </c>
      <c r="AF6162">
        <v>-1.8469534300131101</v>
      </c>
      <c r="AG6162">
        <v>-1.1075415208620001</v>
      </c>
      <c r="AH6162">
        <v>16.559752768054601</v>
      </c>
      <c r="AI6162">
        <v>93.802820939750802</v>
      </c>
      <c r="AJ6162">
        <v>96.364049593649298</v>
      </c>
      <c r="AK6162">
        <v>16.6992004878126</v>
      </c>
    </row>
    <row r="6163" spans="1:37" x14ac:dyDescent="0.2">
      <c r="A6163" t="str">
        <f>"20200111153549747"</f>
        <v>20200111153549747</v>
      </c>
      <c r="B6163" t="str">
        <f>"1578728149741675"</f>
        <v>1578728149741675</v>
      </c>
      <c r="C6163" t="s">
        <v>37</v>
      </c>
      <c r="D6163">
        <v>5.118735</v>
      </c>
      <c r="E6163">
        <v>0.50488350000000004</v>
      </c>
      <c r="F6163" t="s">
        <v>39</v>
      </c>
      <c r="G6163">
        <v>-188.2482</v>
      </c>
      <c r="H6163" s="1">
        <v>-3.639206E-6</v>
      </c>
      <c r="I6163">
        <v>-12.60848</v>
      </c>
      <c r="J6163">
        <v>-187.90350000000001</v>
      </c>
      <c r="K6163">
        <v>1.1074709999999901</v>
      </c>
      <c r="L6163">
        <v>-29.329859999999901</v>
      </c>
      <c r="M6163">
        <v>8.806274E-2</v>
      </c>
      <c r="N6163">
        <v>0</v>
      </c>
      <c r="O6163">
        <v>0.99608819999999998</v>
      </c>
      <c r="P6163">
        <v>-3.1341130000000002E-2</v>
      </c>
      <c r="Q6163">
        <v>-2.6826689999999999E-3</v>
      </c>
      <c r="R6163">
        <v>0.99950519999999998</v>
      </c>
      <c r="S6163">
        <v>-5.6777950000000001E-2</v>
      </c>
      <c r="T6163">
        <v>-0.19521929999999901</v>
      </c>
      <c r="U6163">
        <v>2.9989319999999999</v>
      </c>
      <c r="V6163">
        <v>-0.1192766</v>
      </c>
      <c r="W6163">
        <v>3.4988490000000001E-3</v>
      </c>
      <c r="X6163">
        <v>0.99285489999999998</v>
      </c>
      <c r="Y6163">
        <v>-0.1068651</v>
      </c>
      <c r="Z6163">
        <v>-6.4388599999999893E-2</v>
      </c>
      <c r="AA6163">
        <v>0.99218639999999902</v>
      </c>
      <c r="AB6163">
        <v>30</v>
      </c>
      <c r="AC6163">
        <v>-0.34469999999998802</v>
      </c>
      <c r="AD6163">
        <v>-1.107474639206</v>
      </c>
      <c r="AE6163">
        <v>16.7213799999999</v>
      </c>
      <c r="AF6163">
        <v>-1.80800296182804</v>
      </c>
      <c r="AG6163">
        <v>-1.107474639206</v>
      </c>
      <c r="AH6163">
        <v>16.553474921929698</v>
      </c>
      <c r="AI6163">
        <v>93.804985700193797</v>
      </c>
      <c r="AJ6163">
        <v>96.233249267440698</v>
      </c>
      <c r="AK6163">
        <v>16.688705964736101</v>
      </c>
    </row>
    <row r="6164" spans="1:37" x14ac:dyDescent="0.2">
      <c r="A6164" t="str">
        <f>"20200111153549769"</f>
        <v>20200111153549769</v>
      </c>
      <c r="B6164" t="str">
        <f>"1578728149762169"</f>
        <v>1578728149762169</v>
      </c>
      <c r="C6164" t="s">
        <v>37</v>
      </c>
      <c r="D6164">
        <v>5.124949</v>
      </c>
      <c r="E6164">
        <v>0.50506640000000003</v>
      </c>
      <c r="F6164" t="s">
        <v>39</v>
      </c>
      <c r="G6164">
        <v>-188.25139999999999</v>
      </c>
      <c r="H6164" s="1">
        <v>-3.9060359999999997E-6</v>
      </c>
      <c r="I6164">
        <v>-11.985150000000001</v>
      </c>
      <c r="J6164">
        <v>-187.8817</v>
      </c>
      <c r="K6164">
        <v>1.10738799999999</v>
      </c>
      <c r="L6164">
        <v>-29.033329999999999</v>
      </c>
      <c r="M6164">
        <v>8.3731589999999995E-2</v>
      </c>
      <c r="N6164">
        <v>0</v>
      </c>
      <c r="O6164">
        <v>0.99646170000000001</v>
      </c>
      <c r="P6164">
        <v>-3.2863080000000003E-2</v>
      </c>
      <c r="Q6164">
        <v>-1.2588180000000001E-3</v>
      </c>
      <c r="R6164">
        <v>0.99945910000000004</v>
      </c>
      <c r="S6164">
        <v>-6.0165410000000002E-2</v>
      </c>
      <c r="T6164">
        <v>-0.1914942</v>
      </c>
      <c r="U6164">
        <v>2.9990839999999999</v>
      </c>
      <c r="V6164">
        <v>-0.11648399999999901</v>
      </c>
      <c r="W6164">
        <v>4.9736939999999999E-3</v>
      </c>
      <c r="X6164">
        <v>0.99318009999999901</v>
      </c>
      <c r="Y6164">
        <v>-0.10366300000000001</v>
      </c>
      <c r="Z6164">
        <v>-6.3207540000000006E-2</v>
      </c>
      <c r="AA6164">
        <v>0.99260210000000004</v>
      </c>
      <c r="AB6164">
        <v>30</v>
      </c>
      <c r="AC6164">
        <v>-0.36969999999999398</v>
      </c>
      <c r="AD6164">
        <v>-1.10739190603599</v>
      </c>
      <c r="AE6164">
        <v>17.048179999999999</v>
      </c>
      <c r="AF6164">
        <v>-1.7883685666368401</v>
      </c>
      <c r="AG6164">
        <v>-1.10739190603599</v>
      </c>
      <c r="AH6164">
        <v>16.886137875157502</v>
      </c>
      <c r="AI6164">
        <v>93.731273107312106</v>
      </c>
      <c r="AJ6164">
        <v>96.045516735074202</v>
      </c>
      <c r="AK6164">
        <v>17.016645712434499</v>
      </c>
    </row>
    <row r="6165" spans="1:37" x14ac:dyDescent="0.2">
      <c r="A6165" t="str">
        <f>"20200111153549791"</f>
        <v>20200111153549791</v>
      </c>
      <c r="B6165" t="str">
        <f>"1578728149781690"</f>
        <v>1578728149781690</v>
      </c>
      <c r="C6165" t="s">
        <v>37</v>
      </c>
      <c r="D6165">
        <v>5.1344079999999996</v>
      </c>
      <c r="E6165">
        <v>0.50520710000000002</v>
      </c>
      <c r="F6165" t="s">
        <v>39</v>
      </c>
      <c r="G6165">
        <v>-188.25810000000001</v>
      </c>
      <c r="H6165" s="1">
        <v>-4.2209269999999901E-6</v>
      </c>
      <c r="I6165">
        <v>-11.24837</v>
      </c>
      <c r="J6165">
        <v>-187.86089999999999</v>
      </c>
      <c r="K6165">
        <v>1.1072759999999999</v>
      </c>
      <c r="L6165">
        <v>-28.733799999999999</v>
      </c>
      <c r="M6165">
        <v>7.9540710000000001E-2</v>
      </c>
      <c r="N6165">
        <v>0</v>
      </c>
      <c r="O6165">
        <v>0.99680499999999905</v>
      </c>
      <c r="P6165">
        <v>-3.4558510000000001E-2</v>
      </c>
      <c r="Q6165">
        <v>-7.7783649999999904E-4</v>
      </c>
      <c r="R6165">
        <v>0.99940229999999997</v>
      </c>
      <c r="S6165">
        <v>-6.3476560000000001E-2</v>
      </c>
      <c r="T6165">
        <v>-0.18675329999999901</v>
      </c>
      <c r="U6165">
        <v>2.999298</v>
      </c>
      <c r="V6165">
        <v>-0.11399469999999901</v>
      </c>
      <c r="W6165">
        <v>5.5058379999999999E-3</v>
      </c>
      <c r="X6165">
        <v>0.99346610000000002</v>
      </c>
      <c r="Y6165">
        <v>-0.10057619999999901</v>
      </c>
      <c r="Z6165">
        <v>-6.168556E-2</v>
      </c>
      <c r="AA6165">
        <v>0.99301530000000005</v>
      </c>
      <c r="AB6165">
        <v>30</v>
      </c>
      <c r="AC6165">
        <v>-0.39720000000002598</v>
      </c>
      <c r="AD6165">
        <v>-1.1072802209269901</v>
      </c>
      <c r="AE6165">
        <v>17.485429999999901</v>
      </c>
      <c r="AF6165">
        <v>-1.77964886519386</v>
      </c>
      <c r="AG6165">
        <v>-1.1072802209269901</v>
      </c>
      <c r="AH6165">
        <v>17.328975887079299</v>
      </c>
      <c r="AI6165">
        <v>93.637015733212806</v>
      </c>
      <c r="AJ6165">
        <v>95.863597851274207</v>
      </c>
      <c r="AK6165">
        <v>17.455274986834699</v>
      </c>
    </row>
    <row r="6166" spans="1:37" x14ac:dyDescent="0.2">
      <c r="A6166" t="str">
        <f>"20200111153549813"</f>
        <v>20200111153549813</v>
      </c>
      <c r="B6166" t="str">
        <f>"1578728149802199"</f>
        <v>1578728149802199</v>
      </c>
      <c r="C6166" t="s">
        <v>37</v>
      </c>
      <c r="D6166">
        <v>5.1612039999999997</v>
      </c>
      <c r="E6166">
        <v>0.50549120000000003</v>
      </c>
      <c r="F6166" t="s">
        <v>39</v>
      </c>
      <c r="G6166">
        <v>-188.2647</v>
      </c>
      <c r="H6166" s="1">
        <v>-4.4165199999999997E-6</v>
      </c>
      <c r="I6166">
        <v>-10.7897</v>
      </c>
      <c r="J6166">
        <v>-187.84139999999999</v>
      </c>
      <c r="K6166">
        <v>1.1071309999999901</v>
      </c>
      <c r="L6166">
        <v>-28.440159999999999</v>
      </c>
      <c r="M6166">
        <v>7.5641410000000006E-2</v>
      </c>
      <c r="N6166">
        <v>0</v>
      </c>
      <c r="O6166">
        <v>0.99710849999999995</v>
      </c>
      <c r="P6166">
        <v>-3.6390279999999997E-2</v>
      </c>
      <c r="Q6166">
        <v>-1.3519109999999999E-3</v>
      </c>
      <c r="R6166">
        <v>0.99933669999999997</v>
      </c>
      <c r="S6166">
        <v>-6.7504880000000003E-2</v>
      </c>
      <c r="T6166">
        <v>-0.1850783</v>
      </c>
      <c r="U6166">
        <v>2.999298</v>
      </c>
      <c r="V6166">
        <v>-0.1119232</v>
      </c>
      <c r="W6166">
        <v>4.9765540000000002E-3</v>
      </c>
      <c r="X6166">
        <v>0.99370439999999904</v>
      </c>
      <c r="Y6166">
        <v>-9.8018389999999997E-2</v>
      </c>
      <c r="Z6166">
        <v>-6.1169420000000002E-2</v>
      </c>
      <c r="AA6166">
        <v>0.99330289999999999</v>
      </c>
      <c r="AB6166">
        <v>30</v>
      </c>
      <c r="AC6166">
        <v>-0.423300000000011</v>
      </c>
      <c r="AD6166">
        <v>-1.10713541651999</v>
      </c>
      <c r="AE6166">
        <v>17.650459999999999</v>
      </c>
      <c r="AF6166">
        <v>-1.7503455172081499</v>
      </c>
      <c r="AG6166">
        <v>-1.10713541651999</v>
      </c>
      <c r="AH6166">
        <v>17.499059928324201</v>
      </c>
      <c r="AI6166">
        <v>93.602252391248598</v>
      </c>
      <c r="AJ6166">
        <v>95.712017985134395</v>
      </c>
      <c r="AK6166">
        <v>17.621196231675199</v>
      </c>
    </row>
    <row r="6167" spans="1:37" x14ac:dyDescent="0.2">
      <c r="A6167" t="str">
        <f>"20200111153549836"</f>
        <v>20200111153549836</v>
      </c>
      <c r="B6167" t="str">
        <f>"1578728149831465"</f>
        <v>1578728149831465</v>
      </c>
      <c r="C6167" t="s">
        <v>37</v>
      </c>
      <c r="D6167">
        <v>5.1677029999999897</v>
      </c>
      <c r="E6167">
        <v>0.50582490000000002</v>
      </c>
      <c r="F6167" t="s">
        <v>39</v>
      </c>
      <c r="G6167">
        <v>-188.26259999999999</v>
      </c>
      <c r="H6167" s="1">
        <v>-4.497059E-6</v>
      </c>
      <c r="I6167">
        <v>-10.602839999999899</v>
      </c>
      <c r="J6167">
        <v>-187.82220000000001</v>
      </c>
      <c r="K6167">
        <v>1.1069579999999899</v>
      </c>
      <c r="L6167">
        <v>-28.134519999999998</v>
      </c>
      <c r="M6167">
        <v>7.1833880000000003E-2</v>
      </c>
      <c r="N6167">
        <v>0</v>
      </c>
      <c r="O6167">
        <v>0.9973902</v>
      </c>
      <c r="P6167">
        <v>-3.8601860000000002E-2</v>
      </c>
      <c r="Q6167">
        <v>-8.0367380000000003E-4</v>
      </c>
      <c r="R6167">
        <v>0.99925429999999904</v>
      </c>
      <c r="S6167">
        <v>-7.0816039999999997E-2</v>
      </c>
      <c r="T6167">
        <v>-0.1861526</v>
      </c>
      <c r="U6167">
        <v>2.9991460000000001</v>
      </c>
      <c r="V6167">
        <v>-0.1103301</v>
      </c>
      <c r="W6167">
        <v>5.5659169999999897E-3</v>
      </c>
      <c r="X6167">
        <v>0.99387939999999997</v>
      </c>
      <c r="Y6167">
        <v>-9.5315070000000002E-2</v>
      </c>
      <c r="Z6167">
        <v>-6.1559719999999998E-2</v>
      </c>
      <c r="AA6167">
        <v>0.99354179999999903</v>
      </c>
      <c r="AB6167">
        <v>30</v>
      </c>
      <c r="AC6167">
        <v>-0.44039999999998197</v>
      </c>
      <c r="AD6167">
        <v>-1.106962497059</v>
      </c>
      <c r="AE6167">
        <v>17.531679999999898</v>
      </c>
      <c r="AF6167">
        <v>-1.6919229708874399</v>
      </c>
      <c r="AG6167">
        <v>-1.106962497059</v>
      </c>
      <c r="AH6167">
        <v>17.385482147895601</v>
      </c>
      <c r="AI6167">
        <v>93.626114742458796</v>
      </c>
      <c r="AJ6167">
        <v>95.558415811680803</v>
      </c>
      <c r="AK6167">
        <v>17.502655764886299</v>
      </c>
    </row>
    <row r="6168" spans="1:37" x14ac:dyDescent="0.2">
      <c r="A6168" t="str">
        <f>"20200111153549857"</f>
        <v>20200111153549857</v>
      </c>
      <c r="B6168" t="str">
        <f>"1578728149851963"</f>
        <v>1578728149851963</v>
      </c>
      <c r="C6168" t="s">
        <v>37</v>
      </c>
      <c r="D6168">
        <v>5.4603199999999896</v>
      </c>
      <c r="E6168">
        <v>0.50599209999999994</v>
      </c>
      <c r="F6168" t="s">
        <v>39</v>
      </c>
      <c r="G6168">
        <v>-188.27289999999999</v>
      </c>
      <c r="H6168" s="1">
        <v>-5.6698599999999997E-7</v>
      </c>
      <c r="I6168">
        <v>-10.036199999999999</v>
      </c>
      <c r="J6168">
        <v>-187.80449999999999</v>
      </c>
      <c r="K6168">
        <v>1.10677</v>
      </c>
      <c r="L6168">
        <v>-27.84085</v>
      </c>
      <c r="M6168">
        <v>6.8441169999999996E-2</v>
      </c>
      <c r="N6168">
        <v>0</v>
      </c>
      <c r="O6168">
        <v>0.99762890000000004</v>
      </c>
      <c r="P6168">
        <v>-4.0992180000000003E-2</v>
      </c>
      <c r="Q6168">
        <v>2.5158919999999999E-4</v>
      </c>
      <c r="R6168">
        <v>0.99915949999999998</v>
      </c>
      <c r="S6168">
        <v>-7.4691770000000005E-2</v>
      </c>
      <c r="T6168">
        <v>-0.1834422</v>
      </c>
      <c r="U6168">
        <v>2.9992070000000002</v>
      </c>
      <c r="V6168">
        <v>-0.10933219999999901</v>
      </c>
      <c r="W6168">
        <v>6.6554689999999998E-3</v>
      </c>
      <c r="X6168">
        <v>0.99398299999999995</v>
      </c>
      <c r="Y6168">
        <v>-9.3213190000000001E-2</v>
      </c>
      <c r="Z6168">
        <v>-6.0692490000000002E-2</v>
      </c>
      <c r="AA6168">
        <v>0.99379459999999997</v>
      </c>
      <c r="AB6168">
        <v>30</v>
      </c>
      <c r="AC6168">
        <v>-0.46840000000000198</v>
      </c>
      <c r="AD6168">
        <v>-1.106770566986</v>
      </c>
      <c r="AE6168">
        <v>17.804649999999999</v>
      </c>
      <c r="AF6168">
        <v>-1.6794196553773599</v>
      </c>
      <c r="AG6168">
        <v>-1.106770566986</v>
      </c>
      <c r="AH6168">
        <v>17.662636977040201</v>
      </c>
      <c r="AI6168">
        <v>93.569504618624194</v>
      </c>
      <c r="AJ6168">
        <v>95.431535582909603</v>
      </c>
      <c r="AK6168">
        <v>17.776786448892398</v>
      </c>
    </row>
    <row r="6169" spans="1:37" x14ac:dyDescent="0.2">
      <c r="A6169" t="str">
        <f>"20200111153549882"</f>
        <v>20200111153549882</v>
      </c>
      <c r="B6169" t="str">
        <f>"1578728149871482"</f>
        <v>1578728149871482</v>
      </c>
      <c r="C6169" t="s">
        <v>37</v>
      </c>
      <c r="D6169">
        <v>5.4042240000000001</v>
      </c>
      <c r="E6169">
        <v>0.50615129999999997</v>
      </c>
      <c r="F6169" t="s">
        <v>39</v>
      </c>
      <c r="G6169">
        <v>-188.30189999999999</v>
      </c>
      <c r="H6169" s="1">
        <v>-8.0565460000000003E-7</v>
      </c>
      <c r="I6169">
        <v>-9.3121700000000001</v>
      </c>
      <c r="J6169">
        <v>-187.78540000000001</v>
      </c>
      <c r="K6169">
        <v>1.106549</v>
      </c>
      <c r="L6169">
        <v>-27.509550000000001</v>
      </c>
      <c r="M6169">
        <v>6.4959699999999995E-2</v>
      </c>
      <c r="N6169">
        <v>0</v>
      </c>
      <c r="O6169">
        <v>0.99786200000000003</v>
      </c>
      <c r="P6169">
        <v>-4.473767E-2</v>
      </c>
      <c r="Q6169">
        <v>7.7000179999999895E-4</v>
      </c>
      <c r="R6169">
        <v>0.99899850000000001</v>
      </c>
      <c r="S6169">
        <v>-8.0520629999999996E-2</v>
      </c>
      <c r="T6169">
        <v>-0.179154799999999</v>
      </c>
      <c r="U6169">
        <v>2.9992679999999998</v>
      </c>
      <c r="V6169">
        <v>-0.1095896</v>
      </c>
      <c r="W6169">
        <v>7.1947599999999997E-3</v>
      </c>
      <c r="X6169">
        <v>0.99395089999999997</v>
      </c>
      <c r="Y6169">
        <v>-9.1670810000000005E-2</v>
      </c>
      <c r="Z6169">
        <v>-5.9301479999999997E-2</v>
      </c>
      <c r="AA6169">
        <v>0.99402199999999996</v>
      </c>
      <c r="AB6169">
        <v>30</v>
      </c>
      <c r="AC6169">
        <v>-0.51649999999997898</v>
      </c>
      <c r="AD6169">
        <v>-1.1065498056545999</v>
      </c>
      <c r="AE6169">
        <v>18.197379999999999</v>
      </c>
      <c r="AF6169">
        <v>-1.6912871908074001</v>
      </c>
      <c r="AG6169">
        <v>-1.1065498056545999</v>
      </c>
      <c r="AH6169">
        <v>18.0586699140385</v>
      </c>
      <c r="AI6169">
        <v>93.491190394078501</v>
      </c>
      <c r="AJ6169">
        <v>95.350437056259494</v>
      </c>
      <c r="AK6169">
        <v>18.1714188741106</v>
      </c>
    </row>
    <row r="6170" spans="1:37" x14ac:dyDescent="0.2">
      <c r="A6170" t="str">
        <f>"20200111153549906"</f>
        <v>20200111153549906</v>
      </c>
      <c r="B6170" t="str">
        <f>"1578728149902246"</f>
        <v>1578728149902246</v>
      </c>
      <c r="C6170" t="s">
        <v>37</v>
      </c>
      <c r="D6170">
        <v>5.2232979999999998</v>
      </c>
      <c r="E6170">
        <v>0.50635010000000003</v>
      </c>
      <c r="F6170" t="s">
        <v>39</v>
      </c>
      <c r="G6170">
        <v>-188.3501</v>
      </c>
      <c r="H6170" s="1">
        <v>-9.7587929999999992E-7</v>
      </c>
      <c r="I6170">
        <v>-8.7746370000000002</v>
      </c>
      <c r="J6170">
        <v>-187.7679</v>
      </c>
      <c r="K6170">
        <v>1.106344</v>
      </c>
      <c r="L6170">
        <v>-27.191859999999998</v>
      </c>
      <c r="M6170">
        <v>6.1938029999999998E-2</v>
      </c>
      <c r="N6170">
        <v>0</v>
      </c>
      <c r="O6170">
        <v>0.99805429999999995</v>
      </c>
      <c r="P6170">
        <v>-4.8365650000000003E-2</v>
      </c>
      <c r="Q6170">
        <v>2.2905569999999999E-3</v>
      </c>
      <c r="R6170">
        <v>0.99882709999999997</v>
      </c>
      <c r="S6170">
        <v>-9.0393070000000006E-2</v>
      </c>
      <c r="T6170">
        <v>-0.177138299999999</v>
      </c>
      <c r="U6170">
        <v>2.9991150000000002</v>
      </c>
      <c r="V6170">
        <v>-0.1101954</v>
      </c>
      <c r="W6170">
        <v>8.7296490000000008E-3</v>
      </c>
      <c r="X6170">
        <v>0.99387159999999997</v>
      </c>
      <c r="Y6170">
        <v>-9.1927709999999996E-2</v>
      </c>
      <c r="Z6170">
        <v>-5.8652860000000001E-2</v>
      </c>
      <c r="AA6170">
        <v>0.99403680000000005</v>
      </c>
      <c r="AB6170">
        <v>31</v>
      </c>
      <c r="AC6170">
        <v>-0.58220000000000005</v>
      </c>
      <c r="AD6170">
        <v>-1.1063449758793</v>
      </c>
      <c r="AE6170">
        <v>18.417223</v>
      </c>
      <c r="AF6170">
        <v>-1.7156530443651199</v>
      </c>
      <c r="AG6170">
        <v>-1.1063449758793</v>
      </c>
      <c r="AH6170">
        <v>18.279900713980801</v>
      </c>
      <c r="AI6170">
        <v>93.448340531390699</v>
      </c>
      <c r="AJ6170">
        <v>95.361766762320798</v>
      </c>
      <c r="AK6170">
        <v>18.393537851302298</v>
      </c>
    </row>
    <row r="6171" spans="1:37" x14ac:dyDescent="0.2">
      <c r="A6171" t="str">
        <f>"20200111153549925"</f>
        <v>20200111153549925</v>
      </c>
      <c r="B6171" t="str">
        <f>"1578728149921766"</f>
        <v>1578728149921766</v>
      </c>
      <c r="C6171" t="s">
        <v>37</v>
      </c>
      <c r="D6171">
        <v>5.1830439999999998</v>
      </c>
      <c r="E6171">
        <v>0.50644509999999998</v>
      </c>
      <c r="F6171" t="s">
        <v>39</v>
      </c>
      <c r="G6171">
        <v>-188.40899999999999</v>
      </c>
      <c r="H6171" s="1">
        <v>-1.3610209999999999E-6</v>
      </c>
      <c r="I6171">
        <v>-7.8524820000000002</v>
      </c>
      <c r="J6171">
        <v>-187.7533</v>
      </c>
      <c r="K6171">
        <v>1.1061889999999901</v>
      </c>
      <c r="L6171">
        <v>-26.916440000000001</v>
      </c>
      <c r="M6171">
        <v>5.9518519999999998E-2</v>
      </c>
      <c r="N6171">
        <v>0</v>
      </c>
      <c r="O6171">
        <v>0.99820180000000003</v>
      </c>
      <c r="P6171">
        <v>-5.1181079999999997E-2</v>
      </c>
      <c r="Q6171">
        <v>3.5931579999999999E-3</v>
      </c>
      <c r="R6171">
        <v>0.99868289999999904</v>
      </c>
      <c r="S6171">
        <v>-9.9426269999999997E-2</v>
      </c>
      <c r="T6171">
        <v>-0.17157</v>
      </c>
      <c r="U6171">
        <v>2.9991150000000002</v>
      </c>
      <c r="V6171">
        <v>-0.110591699999999</v>
      </c>
      <c r="W6171">
        <v>1.004232E-2</v>
      </c>
      <c r="X6171">
        <v>0.99381520000000001</v>
      </c>
      <c r="Y6171">
        <v>-9.2508430000000003E-2</v>
      </c>
      <c r="Z6171">
        <v>-5.682359E-2</v>
      </c>
      <c r="AA6171">
        <v>0.99408920000000001</v>
      </c>
      <c r="AB6171">
        <v>31</v>
      </c>
      <c r="AC6171">
        <v>-0.65570000000002404</v>
      </c>
      <c r="AD6171">
        <v>-1.10619036102099</v>
      </c>
      <c r="AE6171">
        <v>19.063958</v>
      </c>
      <c r="AF6171">
        <v>-1.78322795160111</v>
      </c>
      <c r="AG6171">
        <v>-1.10619036102099</v>
      </c>
      <c r="AH6171">
        <v>18.9274803162015</v>
      </c>
      <c r="AI6171">
        <v>93.330054621478794</v>
      </c>
      <c r="AJ6171">
        <v>95.382160483247702</v>
      </c>
      <c r="AK6171">
        <v>19.043452159794501</v>
      </c>
    </row>
    <row r="6172" spans="1:37" x14ac:dyDescent="0.2">
      <c r="A6172" t="str">
        <f>"20200111153549948"</f>
        <v>20200111153549948</v>
      </c>
      <c r="B6172" t="str">
        <f>"1578728149941286"</f>
        <v>1578728149941286</v>
      </c>
      <c r="C6172" t="s">
        <v>37</v>
      </c>
      <c r="D6172">
        <v>5.2364750000000004</v>
      </c>
      <c r="E6172">
        <v>0.51311620000000002</v>
      </c>
      <c r="F6172" t="s">
        <v>39</v>
      </c>
      <c r="G6172">
        <v>-188.46119999999999</v>
      </c>
      <c r="H6172" s="1">
        <v>-1.6863709999999999E-6</v>
      </c>
      <c r="I6172">
        <v>-7.0725149999999903</v>
      </c>
      <c r="J6172">
        <v>-187.73769999999999</v>
      </c>
      <c r="K6172">
        <v>1.1060289999999999</v>
      </c>
      <c r="L6172">
        <v>-26.614350000000002</v>
      </c>
      <c r="M6172">
        <v>5.7083349999999998E-2</v>
      </c>
      <c r="N6172">
        <v>0</v>
      </c>
      <c r="O6172">
        <v>0.99834419999999902</v>
      </c>
      <c r="P6172">
        <v>-5.3582449999999997E-2</v>
      </c>
      <c r="Q6172">
        <v>4.3459140000000002E-3</v>
      </c>
      <c r="R6172">
        <v>0.99855400000000005</v>
      </c>
      <c r="S6172">
        <v>-0.1069946</v>
      </c>
      <c r="T6172">
        <v>-0.16718269999999999</v>
      </c>
      <c r="U6172">
        <v>2.9990839999999999</v>
      </c>
      <c r="V6172">
        <v>-0.1105566</v>
      </c>
      <c r="W6172">
        <v>1.080713E-2</v>
      </c>
      <c r="X6172">
        <v>0.99381109999999995</v>
      </c>
      <c r="Y6172">
        <v>-9.2588450000000003E-2</v>
      </c>
      <c r="Z6172">
        <v>-5.5384900000000001E-2</v>
      </c>
      <c r="AA6172">
        <v>0.99416289999999996</v>
      </c>
      <c r="AB6172">
        <v>31</v>
      </c>
      <c r="AC6172">
        <v>-0.72350000000000103</v>
      </c>
      <c r="AD6172">
        <v>-1.1060306863710001</v>
      </c>
      <c r="AE6172">
        <v>19.541834999999999</v>
      </c>
      <c r="AF6172">
        <v>-1.83200120569457</v>
      </c>
      <c r="AG6172">
        <v>-1.1060306863710001</v>
      </c>
      <c r="AH6172">
        <v>19.406587058689698</v>
      </c>
      <c r="AI6172">
        <v>93.247496426410606</v>
      </c>
      <c r="AJ6172">
        <v>95.392797325196895</v>
      </c>
      <c r="AK6172">
        <v>19.5242196659268</v>
      </c>
    </row>
    <row r="6173" spans="1:37" x14ac:dyDescent="0.2">
      <c r="A6173" t="str">
        <f>"20200111153549970"</f>
        <v>20200111153549970</v>
      </c>
      <c r="B6173" t="str">
        <f>"1578728149961782"</f>
        <v>1578728149961782</v>
      </c>
      <c r="C6173" t="s">
        <v>37</v>
      </c>
      <c r="D6173">
        <v>5.204364</v>
      </c>
      <c r="E6173">
        <v>0.51316549999999905</v>
      </c>
      <c r="F6173" t="s">
        <v>39</v>
      </c>
      <c r="G6173">
        <v>-188.16050000000001</v>
      </c>
      <c r="H6173" s="1">
        <v>-2.2930369999999999E-6</v>
      </c>
      <c r="I6173">
        <v>-5.7827060000000001</v>
      </c>
      <c r="J6173">
        <v>-187.72190000000001</v>
      </c>
      <c r="K6173">
        <v>1.1058699999999999</v>
      </c>
      <c r="L6173">
        <v>-26.294589999999999</v>
      </c>
      <c r="M6173">
        <v>5.4739049999999997E-2</v>
      </c>
      <c r="N6173">
        <v>0</v>
      </c>
      <c r="O6173">
        <v>0.99847569999999997</v>
      </c>
      <c r="P6173">
        <v>-5.5655780000000002E-2</v>
      </c>
      <c r="Q6173">
        <v>5.0191799999999998E-3</v>
      </c>
      <c r="R6173">
        <v>0.99843740000000003</v>
      </c>
      <c r="S6173">
        <v>-6.0913090000000003E-2</v>
      </c>
      <c r="T6173">
        <v>-0.1593754</v>
      </c>
      <c r="U6173">
        <v>3.00177</v>
      </c>
      <c r="V6173">
        <v>-0.110285199999999</v>
      </c>
      <c r="W6173">
        <v>1.149564E-2</v>
      </c>
      <c r="X6173">
        <v>0.99383349999999904</v>
      </c>
      <c r="Y6173">
        <v>-7.4958469999999999E-2</v>
      </c>
      <c r="Z6173">
        <v>-5.281988E-2</v>
      </c>
      <c r="AA6173">
        <v>0.99578679999999997</v>
      </c>
      <c r="AB6173">
        <v>31</v>
      </c>
      <c r="AC6173">
        <v>-0.43860000000000798</v>
      </c>
      <c r="AD6173">
        <v>-1.105872293037</v>
      </c>
      <c r="AE6173">
        <v>20.511883999999998</v>
      </c>
      <c r="AF6173">
        <v>-1.5562499673963299</v>
      </c>
      <c r="AG6173">
        <v>-1.105872293037</v>
      </c>
      <c r="AH6173">
        <v>20.397856563825499</v>
      </c>
      <c r="AI6173">
        <v>93.094284505764705</v>
      </c>
      <c r="AJ6173">
        <v>94.362916603157402</v>
      </c>
      <c r="AK6173">
        <v>20.4870061230998</v>
      </c>
    </row>
    <row r="6174" spans="1:37" x14ac:dyDescent="0.2">
      <c r="A6174" t="str">
        <f>"20200111153549993"</f>
        <v>20200111153549993</v>
      </c>
      <c r="B6174" t="str">
        <f>"1578728149982277"</f>
        <v>1578728149982277</v>
      </c>
      <c r="C6174" t="s">
        <v>37</v>
      </c>
      <c r="D6174">
        <v>5.1794190000000002</v>
      </c>
      <c r="E6174">
        <v>0.51329539999999996</v>
      </c>
      <c r="F6174" t="s">
        <v>39</v>
      </c>
      <c r="G6174">
        <v>-188.1756</v>
      </c>
      <c r="H6174" s="1">
        <v>-2.2239220000000002E-6</v>
      </c>
      <c r="I6174">
        <v>-5.9375739999999997</v>
      </c>
      <c r="J6174">
        <v>-187.70699999999999</v>
      </c>
      <c r="K6174">
        <v>1.105721</v>
      </c>
      <c r="L6174">
        <v>-25.983000000000001</v>
      </c>
      <c r="M6174">
        <v>5.2655189999999998E-2</v>
      </c>
      <c r="N6174">
        <v>0</v>
      </c>
      <c r="O6174">
        <v>0.99858799999999903</v>
      </c>
      <c r="P6174">
        <v>-5.7077650000000001E-2</v>
      </c>
      <c r="Q6174">
        <v>5.499309E-3</v>
      </c>
      <c r="R6174">
        <v>0.99835459999999998</v>
      </c>
      <c r="S6174">
        <v>-6.6894529999999994E-2</v>
      </c>
      <c r="T6174">
        <v>-0.16306779999999901</v>
      </c>
      <c r="U6174">
        <v>3.00177</v>
      </c>
      <c r="V6174">
        <v>-0.1096244</v>
      </c>
      <c r="W6174">
        <v>1.1993419999999999E-2</v>
      </c>
      <c r="X6174">
        <v>0.99390069999999997</v>
      </c>
      <c r="Y6174">
        <v>-7.4859309999999998E-2</v>
      </c>
      <c r="Z6174">
        <v>-5.4048260000000001E-2</v>
      </c>
      <c r="AA6174">
        <v>0.99572830000000001</v>
      </c>
      <c r="AB6174">
        <v>31</v>
      </c>
      <c r="AC6174">
        <v>-0.46860000000000901</v>
      </c>
      <c r="AD6174">
        <v>-1.1057232239219901</v>
      </c>
      <c r="AE6174">
        <v>20.045425999999999</v>
      </c>
      <c r="AF6174">
        <v>-1.5188527873058399</v>
      </c>
      <c r="AG6174">
        <v>-1.1057232239219901</v>
      </c>
      <c r="AH6174">
        <v>19.932326436168399</v>
      </c>
      <c r="AI6174">
        <v>93.166004420277702</v>
      </c>
      <c r="AJ6174">
        <v>94.357544717225494</v>
      </c>
      <c r="AK6174">
        <v>20.0206686900165</v>
      </c>
    </row>
    <row r="6175" spans="1:37" x14ac:dyDescent="0.2">
      <c r="A6175" t="str">
        <f>"20200111153550016"</f>
        <v>20200111153550016</v>
      </c>
      <c r="B6175" t="str">
        <f>"1578728150011558"</f>
        <v>1578728150011558</v>
      </c>
      <c r="C6175" t="s">
        <v>37</v>
      </c>
      <c r="D6175">
        <v>5.2429790000000001</v>
      </c>
      <c r="E6175">
        <v>0.51382939999999999</v>
      </c>
      <c r="F6175" t="s">
        <v>39</v>
      </c>
      <c r="G6175">
        <v>-188.1755</v>
      </c>
      <c r="H6175" s="1">
        <v>-2.21982599999999E-6</v>
      </c>
      <c r="I6175">
        <v>-5.9471470000000002</v>
      </c>
      <c r="J6175">
        <v>-187.6927</v>
      </c>
      <c r="K6175">
        <v>1.105577</v>
      </c>
      <c r="L6175">
        <v>-25.67484</v>
      </c>
      <c r="M6175">
        <v>5.0756679999999998E-2</v>
      </c>
      <c r="N6175">
        <v>0</v>
      </c>
      <c r="O6175">
        <v>0.99868639999999997</v>
      </c>
      <c r="P6175">
        <v>-5.731311E-2</v>
      </c>
      <c r="Q6175">
        <v>5.3780410000000001E-3</v>
      </c>
      <c r="R6175">
        <v>0.9983417</v>
      </c>
      <c r="S6175">
        <v>-7.0190429999999998E-2</v>
      </c>
      <c r="T6175">
        <v>-0.1656628</v>
      </c>
      <c r="U6175">
        <v>3.0018310000000001</v>
      </c>
      <c r="V6175">
        <v>-0.1079647</v>
      </c>
      <c r="W6175">
        <v>1.189568E-2</v>
      </c>
      <c r="X6175">
        <v>0.99408359999999996</v>
      </c>
      <c r="Y6175">
        <v>-7.4054659999999994E-2</v>
      </c>
      <c r="Z6175">
        <v>-5.4913719999999999E-2</v>
      </c>
      <c r="AA6175">
        <v>0.99574110000000005</v>
      </c>
      <c r="AB6175">
        <v>31</v>
      </c>
      <c r="AC6175">
        <v>-0.48279999999999701</v>
      </c>
      <c r="AD6175">
        <v>-1.1055792198259999</v>
      </c>
      <c r="AE6175">
        <v>19.727692999999999</v>
      </c>
      <c r="AF6175">
        <v>-1.47887259252373</v>
      </c>
      <c r="AG6175">
        <v>-1.1055792198259999</v>
      </c>
      <c r="AH6175">
        <v>19.616186015671701</v>
      </c>
      <c r="AI6175">
        <v>93.216700270467896</v>
      </c>
      <c r="AJ6175">
        <v>94.311397235502696</v>
      </c>
      <c r="AK6175">
        <v>19.702896319010101</v>
      </c>
    </row>
    <row r="6176" spans="1:37" x14ac:dyDescent="0.2">
      <c r="A6176" t="str">
        <f>"20200111153550036"</f>
        <v>20200111153550036</v>
      </c>
      <c r="B6176" t="str">
        <f>"1578728150032053"</f>
        <v>1578728150032053</v>
      </c>
      <c r="C6176" t="s">
        <v>37</v>
      </c>
      <c r="D6176">
        <v>5.2198849999999997</v>
      </c>
      <c r="E6176">
        <v>0.51371659999999997</v>
      </c>
      <c r="F6176" t="s">
        <v>39</v>
      </c>
      <c r="G6176">
        <v>-188.12870000000001</v>
      </c>
      <c r="H6176" s="1">
        <v>-2.1738939999999999E-6</v>
      </c>
      <c r="I6176">
        <v>-6.0735580000000002</v>
      </c>
      <c r="J6176">
        <v>-187.6797</v>
      </c>
      <c r="K6176">
        <v>1.1054600000000001</v>
      </c>
      <c r="L6176">
        <v>-25.384029999999999</v>
      </c>
      <c r="M6176">
        <v>4.908817E-2</v>
      </c>
      <c r="N6176">
        <v>0</v>
      </c>
      <c r="O6176">
        <v>0.99876989999999999</v>
      </c>
      <c r="P6176">
        <v>-5.7514699999999898E-2</v>
      </c>
      <c r="Q6176">
        <v>4.6308290000000004E-3</v>
      </c>
      <c r="R6176">
        <v>0.9983339</v>
      </c>
      <c r="S6176">
        <v>-6.6772460000000006E-2</v>
      </c>
      <c r="T6176">
        <v>-0.16932729999999999</v>
      </c>
      <c r="U6176">
        <v>3.002075</v>
      </c>
      <c r="V6176">
        <v>-0.10649790000000001</v>
      </c>
      <c r="W6176">
        <v>1.116807E-2</v>
      </c>
      <c r="X6176">
        <v>0.99425019999999997</v>
      </c>
      <c r="Y6176">
        <v>-7.1251839999999997E-2</v>
      </c>
      <c r="Z6176">
        <v>-5.613361E-2</v>
      </c>
      <c r="AA6176">
        <v>0.99587760000000003</v>
      </c>
      <c r="AB6176">
        <v>31</v>
      </c>
      <c r="AC6176">
        <v>-0.449000000000012</v>
      </c>
      <c r="AD6176">
        <v>-1.105462173894</v>
      </c>
      <c r="AE6176">
        <v>19.310472000000001</v>
      </c>
      <c r="AF6176">
        <v>-1.3918387969831201</v>
      </c>
      <c r="AG6176">
        <v>-1.105462173894</v>
      </c>
      <c r="AH6176">
        <v>19.202254485263499</v>
      </c>
      <c r="AI6176">
        <v>93.286244255320398</v>
      </c>
      <c r="AJ6176">
        <v>94.1457251881274</v>
      </c>
      <c r="AK6176">
        <v>19.284341813282602</v>
      </c>
    </row>
    <row r="6177" spans="1:37" x14ac:dyDescent="0.2">
      <c r="A6177" t="str">
        <f>"20200111153550059"</f>
        <v>20200111153550059</v>
      </c>
      <c r="B6177" t="str">
        <f>"1578728150051573"</f>
        <v>1578728150051573</v>
      </c>
      <c r="C6177" t="s">
        <v>37</v>
      </c>
      <c r="D6177">
        <v>5.1866490000000001</v>
      </c>
      <c r="E6177">
        <v>0.50775789999999998</v>
      </c>
      <c r="F6177" t="s">
        <v>39</v>
      </c>
      <c r="G6177">
        <v>-188.1165</v>
      </c>
      <c r="H6177" s="1">
        <v>-2.1669189999999998E-6</v>
      </c>
      <c r="I6177">
        <v>-6.0948690000000001</v>
      </c>
      <c r="J6177">
        <v>-187.66589999999999</v>
      </c>
      <c r="K6177">
        <v>1.105351</v>
      </c>
      <c r="L6177">
        <v>-25.067499999999999</v>
      </c>
      <c r="M6177">
        <v>4.737504E-2</v>
      </c>
      <c r="N6177">
        <v>0</v>
      </c>
      <c r="O6177">
        <v>0.99885270000000004</v>
      </c>
      <c r="P6177">
        <v>-5.7526760000000003E-2</v>
      </c>
      <c r="Q6177">
        <v>3.9044599999999998E-3</v>
      </c>
      <c r="R6177">
        <v>0.99833629999999995</v>
      </c>
      <c r="S6177">
        <v>-6.7977910000000002E-2</v>
      </c>
      <c r="T6177">
        <v>-0.17203840000000001</v>
      </c>
      <c r="U6177">
        <v>3.0018919999999998</v>
      </c>
      <c r="V6177">
        <v>-0.104799399999999</v>
      </c>
      <c r="W6177">
        <v>1.046001E-2</v>
      </c>
      <c r="X6177">
        <v>0.99443839999999994</v>
      </c>
      <c r="Y6177">
        <v>-6.9940849999999999E-2</v>
      </c>
      <c r="Z6177">
        <v>-5.7042420000000003E-2</v>
      </c>
      <c r="AA6177">
        <v>0.99591890000000005</v>
      </c>
      <c r="AB6177">
        <v>31</v>
      </c>
      <c r="AC6177">
        <v>-0.45060000000000799</v>
      </c>
      <c r="AD6177">
        <v>-1.105353166919</v>
      </c>
      <c r="AE6177">
        <v>18.972631</v>
      </c>
      <c r="AF6177">
        <v>-1.3443845160424901</v>
      </c>
      <c r="AG6177">
        <v>-1.105353166919</v>
      </c>
      <c r="AH6177">
        <v>18.865979032668101</v>
      </c>
      <c r="AI6177">
        <v>93.344650713747299</v>
      </c>
      <c r="AJ6177">
        <v>94.075991700165204</v>
      </c>
      <c r="AK6177">
        <v>18.9460903674522</v>
      </c>
    </row>
    <row r="6178" spans="1:37" x14ac:dyDescent="0.2">
      <c r="A6178" t="str">
        <f>"20200111153550082"</f>
        <v>20200111153550082</v>
      </c>
      <c r="B6178" t="str">
        <f>"1578728150072070"</f>
        <v>1578728150072070</v>
      </c>
      <c r="C6178" t="s">
        <v>37</v>
      </c>
      <c r="D6178">
        <v>5.2085889999999999</v>
      </c>
      <c r="E6178">
        <v>0.50822339999999999</v>
      </c>
      <c r="F6178" t="s">
        <v>39</v>
      </c>
      <c r="G6178">
        <v>-188.3948</v>
      </c>
      <c r="H6178" s="1">
        <v>-2.11755699999999E-6</v>
      </c>
      <c r="I6178">
        <v>-6.0948729999999998</v>
      </c>
      <c r="J6178">
        <v>-187.65219999999999</v>
      </c>
      <c r="K6178">
        <v>1.10527</v>
      </c>
      <c r="L6178">
        <v>-24.742920000000002</v>
      </c>
      <c r="M6178">
        <v>4.5708779999999997E-2</v>
      </c>
      <c r="N6178">
        <v>0</v>
      </c>
      <c r="O6178">
        <v>0.99893050000000005</v>
      </c>
      <c r="P6178">
        <v>-5.7429910000000001E-2</v>
      </c>
      <c r="Q6178">
        <v>3.9006929999999898E-3</v>
      </c>
      <c r="R6178">
        <v>0.9983419</v>
      </c>
      <c r="S6178">
        <v>-0.1152191</v>
      </c>
      <c r="T6178">
        <v>-0.1747261</v>
      </c>
      <c r="U6178">
        <v>2.9990540000000001</v>
      </c>
      <c r="V6178">
        <v>-0.10304189999999901</v>
      </c>
      <c r="W6178">
        <v>1.047098E-2</v>
      </c>
      <c r="X6178">
        <v>0.99462189999999995</v>
      </c>
      <c r="Y6178">
        <v>-8.3961519999999998E-2</v>
      </c>
      <c r="Z6178">
        <v>-5.7946600000000001E-2</v>
      </c>
      <c r="AA6178">
        <v>0.99478269999999902</v>
      </c>
      <c r="AB6178">
        <v>31</v>
      </c>
      <c r="AC6178">
        <v>-0.74260000000001003</v>
      </c>
      <c r="AD6178">
        <v>-1.1052721175569999</v>
      </c>
      <c r="AE6178">
        <v>18.648046999999998</v>
      </c>
      <c r="AF6178">
        <v>-1.5886519624489399</v>
      </c>
      <c r="AG6178">
        <v>-1.1052721175569999</v>
      </c>
      <c r="AH6178">
        <v>18.529620557508299</v>
      </c>
      <c r="AI6178">
        <v>93.401139589145302</v>
      </c>
      <c r="AJ6178">
        <v>94.900316508089503</v>
      </c>
      <c r="AK6178">
        <v>18.630412757555199</v>
      </c>
    </row>
    <row r="6179" spans="1:37" x14ac:dyDescent="0.2">
      <c r="A6179" t="str">
        <f>"20200111153550105"</f>
        <v>20200111153550105</v>
      </c>
      <c r="B6179" t="str">
        <f>"1578728150101350"</f>
        <v>1578728150101350</v>
      </c>
      <c r="C6179" t="s">
        <v>37</v>
      </c>
      <c r="D6179">
        <v>5.1908070000000004</v>
      </c>
      <c r="E6179">
        <v>0.51614570000000004</v>
      </c>
      <c r="F6179" t="s">
        <v>39</v>
      </c>
      <c r="G6179">
        <v>-188.38900000000001</v>
      </c>
      <c r="H6179" s="1">
        <v>-2.6699620000000001E-6</v>
      </c>
      <c r="I6179">
        <v>-4.8095970000000001</v>
      </c>
      <c r="J6179">
        <v>-187.63939999999999</v>
      </c>
      <c r="K6179">
        <v>1.1052200000000001</v>
      </c>
      <c r="L6179">
        <v>-24.426909999999999</v>
      </c>
      <c r="M6179">
        <v>4.4133989999999998E-2</v>
      </c>
      <c r="N6179">
        <v>0</v>
      </c>
      <c r="O6179">
        <v>0.99900129999999998</v>
      </c>
      <c r="P6179">
        <v>-5.6061199999999999E-2</v>
      </c>
      <c r="Q6179">
        <v>3.4331879999999898E-3</v>
      </c>
      <c r="R6179">
        <v>0.99842140000000001</v>
      </c>
      <c r="S6179">
        <v>-0.1108551</v>
      </c>
      <c r="T6179">
        <v>-0.166304799999999</v>
      </c>
      <c r="U6179">
        <v>2.9992679999999998</v>
      </c>
      <c r="V6179">
        <v>-0.1001066</v>
      </c>
      <c r="W6179">
        <v>1.001991E-2</v>
      </c>
      <c r="X6179">
        <v>0.99492630000000004</v>
      </c>
      <c r="Y6179">
        <v>-8.0948049999999994E-2</v>
      </c>
      <c r="Z6179">
        <v>-5.5172890000000002E-2</v>
      </c>
      <c r="AA6179">
        <v>0.99519009999999997</v>
      </c>
      <c r="AB6179">
        <v>31</v>
      </c>
      <c r="AC6179">
        <v>-0.74960000000001503</v>
      </c>
      <c r="AD6179">
        <v>-1.105222669962</v>
      </c>
      <c r="AE6179">
        <v>19.617312999999999</v>
      </c>
      <c r="AF6179">
        <v>-1.60957938592643</v>
      </c>
      <c r="AG6179">
        <v>-1.105222669962</v>
      </c>
      <c r="AH6179">
        <v>19.503298572358801</v>
      </c>
      <c r="AI6179">
        <v>93.2324310878045</v>
      </c>
      <c r="AJ6179">
        <v>94.717847234593094</v>
      </c>
      <c r="AK6179">
        <v>19.6007887125077</v>
      </c>
    </row>
    <row r="6180" spans="1:37" x14ac:dyDescent="0.2">
      <c r="A6180" t="str">
        <f>"20200111153550127"</f>
        <v>20200111153550127</v>
      </c>
      <c r="B6180" t="str">
        <f>"1578728150121845"</f>
        <v>1578728150121845</v>
      </c>
      <c r="C6180" t="s">
        <v>37</v>
      </c>
      <c r="D6180">
        <v>5.2162249999999997</v>
      </c>
      <c r="E6180">
        <v>0.516509</v>
      </c>
      <c r="F6180" t="s">
        <v>39</v>
      </c>
      <c r="G6180">
        <v>-188.0265</v>
      </c>
      <c r="H6180" s="1">
        <v>-1.733852E-6</v>
      </c>
      <c r="I6180">
        <v>2.858419</v>
      </c>
      <c r="J6180">
        <v>-187.62690000000001</v>
      </c>
      <c r="K6180">
        <v>1.1051839999999999</v>
      </c>
      <c r="L6180">
        <v>-24.108000000000001</v>
      </c>
      <c r="M6180">
        <v>4.2571209999999998E-2</v>
      </c>
      <c r="N6180">
        <v>0</v>
      </c>
      <c r="O6180">
        <v>0.99906919999999899</v>
      </c>
      <c r="P6180">
        <v>-5.5267539999999997E-2</v>
      </c>
      <c r="Q6180">
        <v>2.8199290000000001E-3</v>
      </c>
      <c r="R6180">
        <v>0.99846759999999901</v>
      </c>
      <c r="S6180">
        <v>-4.2602540000000001E-2</v>
      </c>
      <c r="T6180">
        <v>-0.12163069999999999</v>
      </c>
      <c r="U6180">
        <v>3.002777</v>
      </c>
      <c r="V6180">
        <v>-9.7756659999999995E-2</v>
      </c>
      <c r="W6180">
        <v>9.4172219999999994E-3</v>
      </c>
      <c r="X6180">
        <v>0.99516579999999999</v>
      </c>
      <c r="Y6180">
        <v>-5.672978E-2</v>
      </c>
      <c r="Z6180">
        <v>-4.0383240000000001E-2</v>
      </c>
      <c r="AA6180">
        <v>0.99757249999999997</v>
      </c>
      <c r="AB6180">
        <v>32</v>
      </c>
      <c r="AC6180">
        <v>-0.39959999999999202</v>
      </c>
      <c r="AD6180">
        <v>-1.1051857338519999</v>
      </c>
      <c r="AE6180">
        <v>26.966418999999998</v>
      </c>
      <c r="AF6180">
        <v>-1.54466464512494</v>
      </c>
      <c r="AG6180">
        <v>-1.1051857338519999</v>
      </c>
      <c r="AH6180">
        <v>26.879819822510498</v>
      </c>
      <c r="AI6180">
        <v>92.350563043811306</v>
      </c>
      <c r="AJ6180">
        <v>93.2889185037495</v>
      </c>
      <c r="AK6180">
        <v>26.946839110790702</v>
      </c>
    </row>
    <row r="6181" spans="1:37" x14ac:dyDescent="0.2">
      <c r="A6181" t="str">
        <f>"20200111153550149"</f>
        <v>20200111153550149</v>
      </c>
      <c r="B6181" t="str">
        <f>"1578728150141366"</f>
        <v>1578728150141366</v>
      </c>
      <c r="C6181" t="s">
        <v>37</v>
      </c>
      <c r="D6181">
        <v>5.1498589999999904</v>
      </c>
      <c r="E6181">
        <v>0.51677600000000001</v>
      </c>
      <c r="F6181" t="s">
        <v>39</v>
      </c>
      <c r="G6181">
        <v>-187.95820000000001</v>
      </c>
      <c r="H6181" s="1">
        <v>-1.6515559999999901E-6</v>
      </c>
      <c r="I6181">
        <v>2.6383649999999998</v>
      </c>
      <c r="J6181">
        <v>-187.61519999999999</v>
      </c>
      <c r="K6181">
        <v>1.1051679999999999</v>
      </c>
      <c r="L6181">
        <v>-23.79785</v>
      </c>
      <c r="M6181">
        <v>4.1062120000000001E-2</v>
      </c>
      <c r="N6181">
        <v>0</v>
      </c>
      <c r="O6181">
        <v>0.99913240000000003</v>
      </c>
      <c r="P6181">
        <v>-5.4900240000000003E-2</v>
      </c>
      <c r="Q6181">
        <v>2.4526159999999999E-3</v>
      </c>
      <c r="R6181">
        <v>0.99848879999999995</v>
      </c>
      <c r="S6181">
        <v>-3.720093E-2</v>
      </c>
      <c r="T6181">
        <v>-0.1240827</v>
      </c>
      <c r="U6181">
        <v>3.0028990000000002</v>
      </c>
      <c r="V6181">
        <v>-9.588526E-2</v>
      </c>
      <c r="W6181">
        <v>9.0562719999999902E-3</v>
      </c>
      <c r="X6181">
        <v>0.99535119999999899</v>
      </c>
      <c r="Y6181">
        <v>-5.3426359999999999E-2</v>
      </c>
      <c r="Z6181">
        <v>-4.1202469999999998E-2</v>
      </c>
      <c r="AA6181">
        <v>0.99772139999999998</v>
      </c>
      <c r="AB6181">
        <v>32</v>
      </c>
      <c r="AC6181">
        <v>-0.34300000000001701</v>
      </c>
      <c r="AD6181">
        <v>-1.1051696515559899</v>
      </c>
      <c r="AE6181">
        <v>26.436215000000001</v>
      </c>
      <c r="AF6181">
        <v>-1.4257726141056699</v>
      </c>
      <c r="AG6181">
        <v>-1.1051696515559899</v>
      </c>
      <c r="AH6181">
        <v>26.353782895630399</v>
      </c>
      <c r="AI6181">
        <v>92.397840651224897</v>
      </c>
      <c r="AJ6181">
        <v>93.096754339891106</v>
      </c>
      <c r="AK6181">
        <v>26.4154519252629</v>
      </c>
    </row>
    <row r="6182" spans="1:37" x14ac:dyDescent="0.2">
      <c r="A6182" t="str">
        <f>"20200111153550171"</f>
        <v>20200111153550171</v>
      </c>
      <c r="B6182" t="str">
        <f>"1578728150161862"</f>
        <v>1578728150161862</v>
      </c>
      <c r="C6182" t="s">
        <v>37</v>
      </c>
      <c r="D6182">
        <v>5.1959910000000002</v>
      </c>
      <c r="E6182">
        <v>0.51698940000000004</v>
      </c>
      <c r="F6182" t="s">
        <v>39</v>
      </c>
      <c r="G6182">
        <v>-187.91759999999999</v>
      </c>
      <c r="H6182" s="1">
        <v>-1.878136E-6</v>
      </c>
      <c r="I6182">
        <v>3.149705</v>
      </c>
      <c r="J6182">
        <v>-187.6037</v>
      </c>
      <c r="K6182">
        <v>1.1051599999999999</v>
      </c>
      <c r="L6182">
        <v>-23.479220000000002</v>
      </c>
      <c r="M6182">
        <v>3.9513260000000001E-2</v>
      </c>
      <c r="N6182">
        <v>0</v>
      </c>
      <c r="O6182">
        <v>0.9991949</v>
      </c>
      <c r="P6182">
        <v>-5.5238330000000002E-2</v>
      </c>
      <c r="Q6182">
        <v>3.379689E-3</v>
      </c>
      <c r="R6182">
        <v>0.99846749999999995</v>
      </c>
      <c r="S6182">
        <v>-3.3691409999999998E-2</v>
      </c>
      <c r="T6182">
        <v>-0.1231583</v>
      </c>
      <c r="U6182">
        <v>3.0029910000000002</v>
      </c>
      <c r="V6182">
        <v>-9.4682130000000003E-2</v>
      </c>
      <c r="W6182">
        <v>9.9831999999999994E-3</v>
      </c>
      <c r="X6182">
        <v>0.9954575</v>
      </c>
      <c r="Y6182">
        <v>-5.0712130000000001E-2</v>
      </c>
      <c r="Z6182">
        <v>-4.0901779999999999E-2</v>
      </c>
      <c r="AA6182">
        <v>0.99787539999999997</v>
      </c>
      <c r="AB6182">
        <v>32</v>
      </c>
      <c r="AC6182">
        <v>-0.31389999999998902</v>
      </c>
      <c r="AD6182">
        <v>-1.105161878136</v>
      </c>
      <c r="AE6182">
        <v>26.628924999999999</v>
      </c>
      <c r="AF6182">
        <v>-1.36352760065965</v>
      </c>
      <c r="AG6182">
        <v>-1.105161878136</v>
      </c>
      <c r="AH6182">
        <v>26.5500000515955</v>
      </c>
      <c r="AI6182">
        <v>92.380466285990593</v>
      </c>
      <c r="AJ6182">
        <v>92.939954793068395</v>
      </c>
      <c r="AK6182">
        <v>26.607951688064301</v>
      </c>
    </row>
    <row r="6183" spans="1:37" x14ac:dyDescent="0.2">
      <c r="A6183" t="str">
        <f>"20200111153550194"</f>
        <v>20200111153550194</v>
      </c>
      <c r="B6183" t="str">
        <f>"1578728150181384"</f>
        <v>1578728150181384</v>
      </c>
      <c r="C6183" t="s">
        <v>37</v>
      </c>
      <c r="D6183">
        <v>5.1761010000000001</v>
      </c>
      <c r="E6183">
        <v>0.51709349999999998</v>
      </c>
      <c r="F6183" t="s">
        <v>39</v>
      </c>
      <c r="G6183">
        <v>-187.90539999999999</v>
      </c>
      <c r="H6183" s="1">
        <v>-2.28889E-6</v>
      </c>
      <c r="I6183">
        <v>4.1021580000000002</v>
      </c>
      <c r="J6183">
        <v>-187.5926</v>
      </c>
      <c r="K6183">
        <v>1.105162</v>
      </c>
      <c r="L6183">
        <v>-23.160339999999898</v>
      </c>
      <c r="M6183">
        <v>3.796041E-2</v>
      </c>
      <c r="N6183">
        <v>0</v>
      </c>
      <c r="O6183">
        <v>0.99925520000000001</v>
      </c>
      <c r="P6183">
        <v>-5.6314099999999999E-2</v>
      </c>
      <c r="Q6183">
        <v>4.9776759999999899E-3</v>
      </c>
      <c r="R6183">
        <v>0.99840069999999903</v>
      </c>
      <c r="S6183">
        <v>-3.285217E-2</v>
      </c>
      <c r="T6183">
        <v>-0.12033579999999899</v>
      </c>
      <c r="U6183">
        <v>3.0032040000000002</v>
      </c>
      <c r="V6183">
        <v>-9.4212489999999996E-2</v>
      </c>
      <c r="W6183">
        <v>1.157241E-2</v>
      </c>
      <c r="X6183">
        <v>0.99548479999999995</v>
      </c>
      <c r="Y6183">
        <v>-4.888079E-2</v>
      </c>
      <c r="Z6183">
        <v>-3.9968610000000002E-2</v>
      </c>
      <c r="AA6183">
        <v>0.99800460000000002</v>
      </c>
      <c r="AB6183">
        <v>32</v>
      </c>
      <c r="AC6183">
        <v>-0.31279999999998098</v>
      </c>
      <c r="AD6183">
        <v>-1.10516428889</v>
      </c>
      <c r="AE6183">
        <v>27.262497999999901</v>
      </c>
      <c r="AF6183">
        <v>-1.34528456062122</v>
      </c>
      <c r="AG6183">
        <v>-1.10516428889</v>
      </c>
      <c r="AH6183">
        <v>27.1863032007398</v>
      </c>
      <c r="AI6183">
        <v>92.325036496101404</v>
      </c>
      <c r="AJ6183">
        <v>92.832908388252093</v>
      </c>
      <c r="AK6183">
        <v>27.2419944272999</v>
      </c>
    </row>
    <row r="6184" spans="1:37" x14ac:dyDescent="0.2">
      <c r="A6184" t="str">
        <f>"20200111153550214"</f>
        <v>20200111153550214</v>
      </c>
      <c r="B6184" t="str">
        <f>"1578728150211637"</f>
        <v>1578728150211637</v>
      </c>
      <c r="C6184" t="s">
        <v>37</v>
      </c>
      <c r="D6184">
        <v>5.1928349999999996</v>
      </c>
      <c r="E6184">
        <v>0.51654880000000003</v>
      </c>
      <c r="F6184" t="s">
        <v>39</v>
      </c>
      <c r="G6184">
        <v>-187.92490000000001</v>
      </c>
      <c r="H6184" s="1">
        <v>-2.7651699999999998E-6</v>
      </c>
      <c r="I6184">
        <v>5.2204199999999998</v>
      </c>
      <c r="J6184">
        <v>-187.5829</v>
      </c>
      <c r="K6184">
        <v>1.1051580000000001</v>
      </c>
      <c r="L6184">
        <v>-22.867429999999999</v>
      </c>
      <c r="M6184">
        <v>3.6530140000000003E-2</v>
      </c>
      <c r="N6184">
        <v>0</v>
      </c>
      <c r="O6184">
        <v>0.99930859999999899</v>
      </c>
      <c r="P6184">
        <v>-5.7853920000000003E-2</v>
      </c>
      <c r="Q6184">
        <v>6.4398229999999999E-3</v>
      </c>
      <c r="R6184">
        <v>0.99830429999999903</v>
      </c>
      <c r="S6184">
        <v>-3.515625E-2</v>
      </c>
      <c r="T6184">
        <v>-0.116954999999999</v>
      </c>
      <c r="U6184">
        <v>3.0034179999999999</v>
      </c>
      <c r="V6184">
        <v>-9.432712E-2</v>
      </c>
      <c r="W6184">
        <v>1.301568E-2</v>
      </c>
      <c r="X6184">
        <v>0.99545620000000001</v>
      </c>
      <c r="Y6184">
        <v>-4.8216450000000001E-2</v>
      </c>
      <c r="Z6184">
        <v>-3.8848229999999997E-2</v>
      </c>
      <c r="AA6184">
        <v>0.99808109999999906</v>
      </c>
      <c r="AB6184">
        <v>32</v>
      </c>
      <c r="AC6184">
        <v>-0.34200000000001202</v>
      </c>
      <c r="AD6184">
        <v>-1.1051607651699999</v>
      </c>
      <c r="AE6184">
        <v>28.08785</v>
      </c>
      <c r="AF6184">
        <v>-1.3657353204148299</v>
      </c>
      <c r="AG6184">
        <v>-1.1051607651699999</v>
      </c>
      <c r="AH6184">
        <v>28.013245940989901</v>
      </c>
      <c r="AI6184">
        <v>92.256547653488695</v>
      </c>
      <c r="AJ6184">
        <v>92.791142473423406</v>
      </c>
      <c r="AK6184">
        <v>28.068283906086702</v>
      </c>
    </row>
    <row r="6185" spans="1:37" x14ac:dyDescent="0.2">
      <c r="A6185" t="str">
        <f>"20200111153550237"</f>
        <v>20200111153550237</v>
      </c>
      <c r="B6185" t="str">
        <f>"1578728150232133"</f>
        <v>1578728150232133</v>
      </c>
      <c r="C6185" t="s">
        <v>37</v>
      </c>
      <c r="D6185">
        <v>5.1808500000000004</v>
      </c>
      <c r="E6185">
        <v>0.51637549999999999</v>
      </c>
      <c r="F6185" t="s">
        <v>39</v>
      </c>
      <c r="G6185">
        <v>-188.00630000000001</v>
      </c>
      <c r="H6185" s="1">
        <v>-3.1296940000000001E-6</v>
      </c>
      <c r="I6185">
        <v>6.1037980000000003</v>
      </c>
      <c r="J6185">
        <v>-187.57259999999999</v>
      </c>
      <c r="K6185">
        <v>1.1051439999999999</v>
      </c>
      <c r="L6185">
        <v>-22.543610000000001</v>
      </c>
      <c r="M6185">
        <v>3.494684E-2</v>
      </c>
      <c r="N6185">
        <v>0</v>
      </c>
      <c r="O6185">
        <v>0.99936550000000002</v>
      </c>
      <c r="P6185">
        <v>-5.9446730000000003E-2</v>
      </c>
      <c r="Q6185">
        <v>6.8274019999999998E-3</v>
      </c>
      <c r="R6185">
        <v>0.99820810000000004</v>
      </c>
      <c r="S6185">
        <v>-4.3884279999999998E-2</v>
      </c>
      <c r="T6185">
        <v>-0.1145663</v>
      </c>
      <c r="U6185">
        <v>3.00329599999999</v>
      </c>
      <c r="V6185">
        <v>-9.4339480000000003E-2</v>
      </c>
      <c r="W6185">
        <v>1.33709E-2</v>
      </c>
      <c r="X6185">
        <v>0.99545030000000001</v>
      </c>
      <c r="Y6185">
        <v>-4.9534889999999998E-2</v>
      </c>
      <c r="Z6185">
        <v>-3.8058799999999997E-2</v>
      </c>
      <c r="AA6185">
        <v>0.99804699999999902</v>
      </c>
      <c r="AB6185">
        <v>32</v>
      </c>
      <c r="AC6185">
        <v>-0.43370000000001602</v>
      </c>
      <c r="AD6185">
        <v>-1.1051471296940001</v>
      </c>
      <c r="AE6185">
        <v>28.647407999999999</v>
      </c>
      <c r="AF6185">
        <v>-1.4324637964999301</v>
      </c>
      <c r="AG6185">
        <v>-1.1051471296940001</v>
      </c>
      <c r="AH6185">
        <v>28.572239478596099</v>
      </c>
      <c r="AI6185">
        <v>92.212266488835695</v>
      </c>
      <c r="AJ6185">
        <v>92.870109954273801</v>
      </c>
      <c r="AK6185">
        <v>28.629463346853001</v>
      </c>
    </row>
    <row r="6186" spans="1:37" x14ac:dyDescent="0.2">
      <c r="A6186" t="str">
        <f>"20200111153550272"</f>
        <v>20200111153550272</v>
      </c>
      <c r="B6186" t="str">
        <f>"1578728150261416"</f>
        <v>1578728150261416</v>
      </c>
      <c r="C6186" t="s">
        <v>37</v>
      </c>
      <c r="D6186">
        <v>5.1644040000000002</v>
      </c>
      <c r="E6186">
        <v>0.51633839999999998</v>
      </c>
      <c r="F6186" t="s">
        <v>39</v>
      </c>
      <c r="G6186">
        <v>-188.05670000000001</v>
      </c>
      <c r="H6186" s="1">
        <v>-3.26954E-6</v>
      </c>
      <c r="I6186">
        <v>6.450647</v>
      </c>
      <c r="J6186">
        <v>-187.55779999999999</v>
      </c>
      <c r="K6186">
        <v>1.105105</v>
      </c>
      <c r="L6186">
        <v>-22.045470000000002</v>
      </c>
      <c r="M6186">
        <v>3.2529589999999997E-2</v>
      </c>
      <c r="N6186">
        <v>0</v>
      </c>
      <c r="O6186">
        <v>0.99944750000000004</v>
      </c>
      <c r="P6186">
        <v>-6.2278069999999998E-2</v>
      </c>
      <c r="Q6186">
        <v>4.3885449999999998E-3</v>
      </c>
      <c r="R6186">
        <v>0.99804919999999997</v>
      </c>
      <c r="S6186">
        <v>-5.0140379999999998E-2</v>
      </c>
      <c r="T6186">
        <v>-0.11446919999999999</v>
      </c>
      <c r="U6186">
        <v>3.003174</v>
      </c>
      <c r="V6186">
        <v>-9.4747250000000005E-2</v>
      </c>
      <c r="W6186">
        <v>1.087102E-2</v>
      </c>
      <c r="X6186">
        <v>0.99544200000000005</v>
      </c>
      <c r="Y6186">
        <v>-4.9198350000000002E-2</v>
      </c>
      <c r="Z6186">
        <v>-3.803248E-2</v>
      </c>
      <c r="AA6186">
        <v>0.99806459999999997</v>
      </c>
      <c r="AB6186">
        <v>32</v>
      </c>
      <c r="AC6186">
        <v>-0.49890000000001999</v>
      </c>
      <c r="AD6186">
        <v>-1.1051082695400001</v>
      </c>
      <c r="AE6186">
        <v>28.496117000000002</v>
      </c>
      <c r="AF6186">
        <v>-1.4234843038291201</v>
      </c>
      <c r="AG6186">
        <v>-1.1051082695400001</v>
      </c>
      <c r="AH6186">
        <v>28.422073229487701</v>
      </c>
      <c r="AI6186">
        <v>92.2238707022196</v>
      </c>
      <c r="AJ6186">
        <v>92.867192351882593</v>
      </c>
      <c r="AK6186">
        <v>28.479147081909201</v>
      </c>
    </row>
    <row r="6187" spans="1:37" x14ac:dyDescent="0.2">
      <c r="A6187" t="str">
        <f>"20200111153550294"</f>
        <v>20200111153550294</v>
      </c>
      <c r="B6187" t="str">
        <f>"1578728150291670"</f>
        <v>1578728150291670</v>
      </c>
      <c r="C6187" t="s">
        <v>37</v>
      </c>
      <c r="D6187">
        <v>5.1609699999999998</v>
      </c>
      <c r="E6187">
        <v>0.51633629999999997</v>
      </c>
      <c r="F6187" t="s">
        <v>39</v>
      </c>
      <c r="G6187">
        <v>-188.08410000000001</v>
      </c>
      <c r="H6187" s="1">
        <v>-2.5259249999999999E-6</v>
      </c>
      <c r="I6187">
        <v>4.7285779999999997</v>
      </c>
      <c r="J6187">
        <v>-187.5487</v>
      </c>
      <c r="K6187">
        <v>1.1050819999999999</v>
      </c>
      <c r="L6187">
        <v>-21.720279999999999</v>
      </c>
      <c r="M6187">
        <v>3.097807E-2</v>
      </c>
      <c r="N6187">
        <v>0</v>
      </c>
      <c r="O6187">
        <v>0.99949709999999903</v>
      </c>
      <c r="P6187">
        <v>-6.3243969999999997E-2</v>
      </c>
      <c r="Q6187">
        <v>3.7797359999999901E-3</v>
      </c>
      <c r="R6187">
        <v>0.99799099999999996</v>
      </c>
      <c r="S6187">
        <v>-5.9020999999999997E-2</v>
      </c>
      <c r="T6187">
        <v>-0.1239381</v>
      </c>
      <c r="U6187">
        <v>3.0027159999999999</v>
      </c>
      <c r="V6187">
        <v>-9.4163079999999996E-2</v>
      </c>
      <c r="W6187">
        <v>1.022351E-2</v>
      </c>
      <c r="X6187">
        <v>0.99550430000000001</v>
      </c>
      <c r="Y6187">
        <v>-5.0598740000000003E-2</v>
      </c>
      <c r="Z6187">
        <v>-4.1180139999999997E-2</v>
      </c>
      <c r="AA6187">
        <v>0.99786969999999997</v>
      </c>
      <c r="AB6187">
        <v>32</v>
      </c>
      <c r="AC6187">
        <v>-0.53540000000000898</v>
      </c>
      <c r="AD6187">
        <v>-1.1050845259249999</v>
      </c>
      <c r="AE6187">
        <v>26.448858000000001</v>
      </c>
      <c r="AF6187">
        <v>-1.3521369126841301</v>
      </c>
      <c r="AG6187">
        <v>-1.1050845259249999</v>
      </c>
      <c r="AH6187">
        <v>26.3735553741218</v>
      </c>
      <c r="AI6187">
        <v>92.396216891737495</v>
      </c>
      <c r="AJ6187">
        <v>92.934908344426702</v>
      </c>
      <c r="AK6187">
        <v>26.431305474984601</v>
      </c>
    </row>
    <row r="6188" spans="1:37" x14ac:dyDescent="0.2">
      <c r="A6188" t="str">
        <f>"20200111153550317"</f>
        <v>20200111153550317</v>
      </c>
      <c r="B6188" t="str">
        <f>"1578728150312168"</f>
        <v>1578728150312168</v>
      </c>
      <c r="C6188" t="s">
        <v>37</v>
      </c>
      <c r="D6188">
        <v>5.126582</v>
      </c>
      <c r="E6188">
        <v>0.51634279999999999</v>
      </c>
      <c r="F6188" t="s">
        <v>39</v>
      </c>
      <c r="G6188">
        <v>-188.0821</v>
      </c>
      <c r="H6188" s="1">
        <v>-2.2374369999999999E-6</v>
      </c>
      <c r="I6188">
        <v>4.0552869999999999</v>
      </c>
      <c r="J6188">
        <v>-187.5402</v>
      </c>
      <c r="K6188">
        <v>1.105059</v>
      </c>
      <c r="L6188">
        <v>-21.400359999999999</v>
      </c>
      <c r="M6188">
        <v>2.9494969999999999E-2</v>
      </c>
      <c r="N6188">
        <v>0</v>
      </c>
      <c r="O6188">
        <v>0.99954229999999999</v>
      </c>
      <c r="P6188">
        <v>-6.4767480000000002E-2</v>
      </c>
      <c r="Q6188">
        <v>3.800009E-3</v>
      </c>
      <c r="R6188">
        <v>0.99789319999999904</v>
      </c>
      <c r="S6188">
        <v>-6.2133790000000001E-2</v>
      </c>
      <c r="T6188">
        <v>-0.12873129999999999</v>
      </c>
      <c r="U6188">
        <v>3.00259399999999</v>
      </c>
      <c r="V6188">
        <v>-9.4205810000000001E-2</v>
      </c>
      <c r="W6188">
        <v>1.020158E-2</v>
      </c>
      <c r="X6188">
        <v>0.99550039999999995</v>
      </c>
      <c r="Y6188">
        <v>-5.0150300000000002E-2</v>
      </c>
      <c r="Z6188">
        <v>-4.2774529999999998E-2</v>
      </c>
      <c r="AA6188">
        <v>0.99782530000000003</v>
      </c>
      <c r="AB6188">
        <v>32</v>
      </c>
      <c r="AC6188">
        <v>-0.54189999999999805</v>
      </c>
      <c r="AD6188">
        <v>-1.1050612374369999</v>
      </c>
      <c r="AE6188">
        <v>25.455646999999999</v>
      </c>
      <c r="AF6188">
        <v>-1.2900646798331601</v>
      </c>
      <c r="AG6188">
        <v>-1.1050612374369999</v>
      </c>
      <c r="AH6188">
        <v>25.380778470849499</v>
      </c>
      <c r="AI6188">
        <v>92.4898332454989</v>
      </c>
      <c r="AJ6188">
        <v>92.909749438540402</v>
      </c>
      <c r="AK6188">
        <v>25.437557724808698</v>
      </c>
    </row>
    <row r="6189" spans="1:37" x14ac:dyDescent="0.2">
      <c r="A6189" t="str">
        <f>"20200111153550338"</f>
        <v>20200111153550338</v>
      </c>
      <c r="B6189" t="str">
        <f>"1578728150331685"</f>
        <v>1578728150331685</v>
      </c>
      <c r="C6189" t="s">
        <v>37</v>
      </c>
      <c r="D6189">
        <v>5.1332329999999997</v>
      </c>
      <c r="E6189">
        <v>0.51637149999999998</v>
      </c>
      <c r="F6189" t="s">
        <v>39</v>
      </c>
      <c r="G6189">
        <v>-188.1054</v>
      </c>
      <c r="H6189" s="1">
        <v>-2.2343080000000002E-6</v>
      </c>
      <c r="I6189">
        <v>4.0576089999999896</v>
      </c>
      <c r="J6189">
        <v>-187.53210000000001</v>
      </c>
      <c r="K6189">
        <v>1.1050149999999901</v>
      </c>
      <c r="L6189">
        <v>-21.079650000000001</v>
      </c>
      <c r="M6189">
        <v>2.80770999999999E-2</v>
      </c>
      <c r="N6189">
        <v>0</v>
      </c>
      <c r="O6189">
        <v>0.99958349999999996</v>
      </c>
      <c r="P6189">
        <v>-6.7130460000000003E-2</v>
      </c>
      <c r="Q6189">
        <v>5.9794219999999999E-3</v>
      </c>
      <c r="R6189">
        <v>0.99772629999999995</v>
      </c>
      <c r="S6189">
        <v>-6.6650390000000004E-2</v>
      </c>
      <c r="T6189">
        <v>-0.13033039999999901</v>
      </c>
      <c r="U6189">
        <v>3.0025019999999998</v>
      </c>
      <c r="V6189">
        <v>-9.515622E-2</v>
      </c>
      <c r="W6189">
        <v>1.2326230000000001E-2</v>
      </c>
      <c r="X6189">
        <v>0.99538609999999905</v>
      </c>
      <c r="Y6189">
        <v>-5.0234019999999997E-2</v>
      </c>
      <c r="Z6189">
        <v>-4.330809E-2</v>
      </c>
      <c r="AA6189">
        <v>0.99779799999999996</v>
      </c>
      <c r="AB6189">
        <v>32</v>
      </c>
      <c r="AC6189">
        <v>-0.57329999999998904</v>
      </c>
      <c r="AD6189">
        <v>-1.10501723430799</v>
      </c>
      <c r="AE6189">
        <v>25.137259</v>
      </c>
      <c r="AF6189">
        <v>-1.27640573845617</v>
      </c>
      <c r="AG6189">
        <v>-1.10501723430799</v>
      </c>
      <c r="AH6189">
        <v>25.062844653262601</v>
      </c>
      <c r="AI6189">
        <v>92.521264406775302</v>
      </c>
      <c r="AJ6189">
        <v>92.915452469784498</v>
      </c>
      <c r="AK6189">
        <v>25.1196428479956</v>
      </c>
    </row>
    <row r="6190" spans="1:37" x14ac:dyDescent="0.2">
      <c r="A6190" t="str">
        <f>"20200111153550361"</f>
        <v>20200111153550361</v>
      </c>
      <c r="B6190" t="str">
        <f>"1578728150352181"</f>
        <v>1578728150352181</v>
      </c>
      <c r="C6190" t="s">
        <v>37</v>
      </c>
      <c r="D6190">
        <v>5.0716510000000001</v>
      </c>
      <c r="E6190">
        <v>0.51629879999999995</v>
      </c>
      <c r="F6190" t="s">
        <v>39</v>
      </c>
      <c r="G6190">
        <v>-188.18129999999999</v>
      </c>
      <c r="H6190" s="1">
        <v>-2.8545209999999999E-6</v>
      </c>
      <c r="I6190">
        <v>5.5347499999999998</v>
      </c>
      <c r="J6190">
        <v>-187.524</v>
      </c>
      <c r="K6190">
        <v>1.1049370000000001</v>
      </c>
      <c r="L6190">
        <v>-20.741209999999999</v>
      </c>
      <c r="M6190">
        <v>2.6684349999999999E-2</v>
      </c>
      <c r="N6190">
        <v>0</v>
      </c>
      <c r="O6190">
        <v>0.99962220000000002</v>
      </c>
      <c r="P6190">
        <v>-6.9406609999999994E-2</v>
      </c>
      <c r="Q6190">
        <v>7.34358699999999E-3</v>
      </c>
      <c r="R6190">
        <v>0.99756139999999904</v>
      </c>
      <c r="S6190">
        <v>-7.3242189999999999E-2</v>
      </c>
      <c r="T6190">
        <v>-0.1246688</v>
      </c>
      <c r="U6190">
        <v>3.0026549999999999</v>
      </c>
      <c r="V6190">
        <v>-9.6041650000000006E-2</v>
      </c>
      <c r="W6190">
        <v>1.3622159999999999E-2</v>
      </c>
      <c r="X6190">
        <v>0.9952841</v>
      </c>
      <c r="Y6190">
        <v>-5.1032580000000001E-2</v>
      </c>
      <c r="Z6190">
        <v>-4.142846E-2</v>
      </c>
      <c r="AA6190">
        <v>0.99783739999999999</v>
      </c>
      <c r="AB6190">
        <v>33</v>
      </c>
      <c r="AC6190">
        <v>-0.657299999999992</v>
      </c>
      <c r="AD6190">
        <v>-1.1049398545210001</v>
      </c>
      <c r="AE6190">
        <v>26.275959999999898</v>
      </c>
      <c r="AF6190">
        <v>-1.35584200229136</v>
      </c>
      <c r="AG6190">
        <v>-1.1049398545210001</v>
      </c>
      <c r="AH6190">
        <v>26.202757164392398</v>
      </c>
      <c r="AI6190">
        <v>92.411443624943104</v>
      </c>
      <c r="AJ6190">
        <v>92.962085361963702</v>
      </c>
      <c r="AK6190">
        <v>26.261067812132101</v>
      </c>
    </row>
    <row r="6191" spans="1:37" x14ac:dyDescent="0.2">
      <c r="A6191" t="str">
        <f>"20200111153550383"</f>
        <v>20200111153550383</v>
      </c>
      <c r="B6191" t="str">
        <f>"1578728150371701"</f>
        <v>1578728150371701</v>
      </c>
      <c r="C6191" t="s">
        <v>37</v>
      </c>
      <c r="D6191">
        <v>5.1133009999999999</v>
      </c>
      <c r="E6191">
        <v>0.51627140000000005</v>
      </c>
      <c r="F6191" t="s">
        <v>39</v>
      </c>
      <c r="G6191">
        <v>-188.25829999999999</v>
      </c>
      <c r="H6191" s="1">
        <v>-3.3068009999999899E-6</v>
      </c>
      <c r="I6191">
        <v>6.6208660000000004</v>
      </c>
      <c r="J6191">
        <v>-187.51660000000001</v>
      </c>
      <c r="K6191">
        <v>1.1048420000000001</v>
      </c>
      <c r="L6191">
        <v>-20.420649999999998</v>
      </c>
      <c r="M6191">
        <v>2.546781E-2</v>
      </c>
      <c r="N6191">
        <v>0</v>
      </c>
      <c r="O6191">
        <v>0.9996545</v>
      </c>
      <c r="P6191">
        <v>-7.0770490000000005E-2</v>
      </c>
      <c r="Q6191">
        <v>6.6052159999999997E-3</v>
      </c>
      <c r="R6191">
        <v>0.99747070000000004</v>
      </c>
      <c r="S6191">
        <v>-8.0581669999999994E-2</v>
      </c>
      <c r="T6191">
        <v>-0.1212525</v>
      </c>
      <c r="U6191">
        <v>3.0026250000000001</v>
      </c>
      <c r="V6191">
        <v>-9.6186960000000002E-2</v>
      </c>
      <c r="W6191">
        <v>1.28159E-2</v>
      </c>
      <c r="X6191">
        <v>0.99528079999999997</v>
      </c>
      <c r="Y6191">
        <v>-5.2256080000000003E-2</v>
      </c>
      <c r="Z6191">
        <v>-4.029485E-2</v>
      </c>
      <c r="AA6191">
        <v>0.99782039999999905</v>
      </c>
      <c r="AB6191">
        <v>33</v>
      </c>
      <c r="AC6191">
        <v>-0.74169999999998004</v>
      </c>
      <c r="AD6191">
        <v>-1.104845306801</v>
      </c>
      <c r="AE6191">
        <v>27.041515999999898</v>
      </c>
      <c r="AF6191">
        <v>-1.4277805240589001</v>
      </c>
      <c r="AG6191">
        <v>-1.104845306801</v>
      </c>
      <c r="AH6191">
        <v>26.9688686810678</v>
      </c>
      <c r="AI6191">
        <v>92.342672038735799</v>
      </c>
      <c r="AJ6191">
        <v>93.030512624403201</v>
      </c>
      <c r="AK6191">
        <v>27.029227112766701</v>
      </c>
    </row>
    <row r="6192" spans="1:37" x14ac:dyDescent="0.2">
      <c r="A6192" t="str">
        <f>"20200111153550406"</f>
        <v>20200111153550406</v>
      </c>
      <c r="B6192" t="str">
        <f>"1578728150401957"</f>
        <v>1578728150401957</v>
      </c>
      <c r="C6192" t="s">
        <v>37</v>
      </c>
      <c r="D6192">
        <v>5.1024339999999997</v>
      </c>
      <c r="E6192">
        <v>0.5163354</v>
      </c>
      <c r="F6192" t="s">
        <v>39</v>
      </c>
      <c r="G6192">
        <v>-188.27269999999999</v>
      </c>
      <c r="H6192" s="1">
        <v>-3.1728989999999999E-6</v>
      </c>
      <c r="I6192">
        <v>6.3146959999999996</v>
      </c>
      <c r="J6192">
        <v>-187.50919999999999</v>
      </c>
      <c r="K6192">
        <v>1.104741</v>
      </c>
      <c r="L6192">
        <v>-20.0824</v>
      </c>
      <c r="M6192">
        <v>2.428317E-2</v>
      </c>
      <c r="N6192">
        <v>0</v>
      </c>
      <c r="O6192">
        <v>0.99968459999999904</v>
      </c>
      <c r="P6192">
        <v>-7.1930270000000004E-2</v>
      </c>
      <c r="Q6192">
        <v>5.255175E-3</v>
      </c>
      <c r="R6192">
        <v>0.99739580000000005</v>
      </c>
      <c r="S6192">
        <v>-8.4915160000000003E-2</v>
      </c>
      <c r="T6192">
        <v>-0.124075399999999</v>
      </c>
      <c r="U6192">
        <v>3.0024109999999999</v>
      </c>
      <c r="V6192">
        <v>-9.6158709999999994E-2</v>
      </c>
      <c r="W6192">
        <v>1.1391699999999999E-2</v>
      </c>
      <c r="X6192">
        <v>0.99530079999999999</v>
      </c>
      <c r="Y6192">
        <v>-5.2512589999999998E-2</v>
      </c>
      <c r="Z6192">
        <v>-4.1235040000000001E-2</v>
      </c>
      <c r="AA6192">
        <v>0.99776860000000001</v>
      </c>
      <c r="AB6192">
        <v>33</v>
      </c>
      <c r="AC6192">
        <v>-0.76349999999999296</v>
      </c>
      <c r="AD6192">
        <v>-1.104744172899</v>
      </c>
      <c r="AE6192">
        <v>26.397096000000001</v>
      </c>
      <c r="AF6192">
        <v>-1.40183989402594</v>
      </c>
      <c r="AG6192">
        <v>-1.104744172899</v>
      </c>
      <c r="AH6192">
        <v>26.3247018532144</v>
      </c>
      <c r="AI6192">
        <v>92.399672340170099</v>
      </c>
      <c r="AJ6192">
        <v>93.0482288644926</v>
      </c>
      <c r="AK6192">
        <v>26.3851386662392</v>
      </c>
    </row>
    <row r="6193" spans="1:37" x14ac:dyDescent="0.2">
      <c r="A6193" t="str">
        <f>"20200111153550427"</f>
        <v>20200111153550427</v>
      </c>
      <c r="B6193" t="str">
        <f>"1578728150421478"</f>
        <v>1578728150421478</v>
      </c>
      <c r="C6193" t="s">
        <v>37</v>
      </c>
      <c r="D6193">
        <v>5.1558409999999997</v>
      </c>
      <c r="E6193">
        <v>0.51646409999999998</v>
      </c>
      <c r="F6193" t="s">
        <v>39</v>
      </c>
      <c r="G6193">
        <v>-188.25460000000001</v>
      </c>
      <c r="H6193" s="1">
        <v>-2.7792029999999999E-6</v>
      </c>
      <c r="I6193">
        <v>5.3894820000000001</v>
      </c>
      <c r="J6193">
        <v>-187.5027</v>
      </c>
      <c r="K6193">
        <v>1.104651</v>
      </c>
      <c r="L6193">
        <v>-19.779170000000001</v>
      </c>
      <c r="M6193">
        <v>2.3311700000000001E-2</v>
      </c>
      <c r="N6193">
        <v>0</v>
      </c>
      <c r="O6193">
        <v>0.99970820000000005</v>
      </c>
      <c r="P6193">
        <v>-7.2970430000000003E-2</v>
      </c>
      <c r="Q6193">
        <v>4.6416109999999899E-3</v>
      </c>
      <c r="R6193">
        <v>0.99732330000000002</v>
      </c>
      <c r="S6193">
        <v>-8.7860110000000005E-2</v>
      </c>
      <c r="T6193">
        <v>-0.1302073</v>
      </c>
      <c r="U6193">
        <v>3.002167</v>
      </c>
      <c r="V6193">
        <v>-9.6226350000000002E-2</v>
      </c>
      <c r="W6193">
        <v>1.0702710000000001E-2</v>
      </c>
      <c r="X6193">
        <v>0.99530200000000002</v>
      </c>
      <c r="Y6193">
        <v>-5.2519860000000002E-2</v>
      </c>
      <c r="Z6193">
        <v>-4.3273560000000003E-2</v>
      </c>
      <c r="AA6193">
        <v>0.99768189999999901</v>
      </c>
      <c r="AB6193">
        <v>33</v>
      </c>
      <c r="AC6193">
        <v>-0.75190000000000601</v>
      </c>
      <c r="AD6193">
        <v>-1.104653779203</v>
      </c>
      <c r="AE6193">
        <v>25.168652000000002</v>
      </c>
      <c r="AF6193">
        <v>-1.3358604585665601</v>
      </c>
      <c r="AG6193">
        <v>-1.104653779203</v>
      </c>
      <c r="AH6193">
        <v>25.095983375283399</v>
      </c>
      <c r="AI6193">
        <v>92.516811773658802</v>
      </c>
      <c r="AJ6193">
        <v>93.046981587938106</v>
      </c>
      <c r="AK6193">
        <v>25.155777958734902</v>
      </c>
    </row>
    <row r="6194" spans="1:37" x14ac:dyDescent="0.2">
      <c r="A6194" t="str">
        <f>"20200111153550450"</f>
        <v>20200111153550450</v>
      </c>
      <c r="B6194" t="str">
        <f>"1578728150441973"</f>
        <v>1578728150441973</v>
      </c>
      <c r="C6194" t="s">
        <v>37</v>
      </c>
      <c r="D6194">
        <v>5.1263050000000003</v>
      </c>
      <c r="E6194">
        <v>0.516592099999999</v>
      </c>
      <c r="F6194" t="s">
        <v>39</v>
      </c>
      <c r="G6194">
        <v>-188.25239999999999</v>
      </c>
      <c r="H6194" s="1">
        <v>-2.7044529999999999E-6</v>
      </c>
      <c r="I6194">
        <v>5.21434</v>
      </c>
      <c r="J6194">
        <v>-187.49539999999999</v>
      </c>
      <c r="K6194">
        <v>1.104552</v>
      </c>
      <c r="L6194">
        <v>-19.42456</v>
      </c>
      <c r="M6194">
        <v>2.2288209999999999E-2</v>
      </c>
      <c r="N6194">
        <v>0</v>
      </c>
      <c r="O6194">
        <v>0.99973239999999997</v>
      </c>
      <c r="P6194">
        <v>-7.3831480000000005E-2</v>
      </c>
      <c r="Q6194">
        <v>4.656851E-3</v>
      </c>
      <c r="R6194">
        <v>0.99725989999999998</v>
      </c>
      <c r="S6194">
        <v>-9.0057369999999998E-2</v>
      </c>
      <c r="T6194">
        <v>-0.13268450000000001</v>
      </c>
      <c r="U6194">
        <v>3.002075</v>
      </c>
      <c r="V6194">
        <v>-9.60646E-2</v>
      </c>
      <c r="W6194">
        <v>1.06144999999999E-2</v>
      </c>
      <c r="X6194">
        <v>0.99531849999999999</v>
      </c>
      <c r="Y6194">
        <v>-5.222686E-2</v>
      </c>
      <c r="Z6194">
        <v>-4.409801E-2</v>
      </c>
      <c r="AA6194">
        <v>0.99766109999999897</v>
      </c>
      <c r="AB6194">
        <v>33</v>
      </c>
      <c r="AC6194">
        <v>-0.757000000000005</v>
      </c>
      <c r="AD6194">
        <v>-1.104554704453</v>
      </c>
      <c r="AE6194">
        <v>24.6389</v>
      </c>
      <c r="AF6194">
        <v>-1.30336255466004</v>
      </c>
      <c r="AG6194">
        <v>-1.104554704453</v>
      </c>
      <c r="AH6194">
        <v>24.566581676531602</v>
      </c>
      <c r="AI6194">
        <v>92.570769860001306</v>
      </c>
      <c r="AJ6194">
        <v>93.036939635462602</v>
      </c>
      <c r="AK6194">
        <v>24.6259158269031</v>
      </c>
    </row>
    <row r="6195" spans="1:37" x14ac:dyDescent="0.2">
      <c r="A6195" t="str">
        <f>"20200111153550473"</f>
        <v>20200111153550473</v>
      </c>
      <c r="B6195" t="str">
        <f>"1578728150461493"</f>
        <v>1578728150461493</v>
      </c>
      <c r="C6195" t="s">
        <v>37</v>
      </c>
      <c r="D6195">
        <v>5.1284839999999896</v>
      </c>
      <c r="E6195">
        <v>0.51679549999999996</v>
      </c>
      <c r="F6195" t="s">
        <v>39</v>
      </c>
      <c r="G6195">
        <v>-188.2559</v>
      </c>
      <c r="H6195" s="1">
        <v>-2.81596099999999E-6</v>
      </c>
      <c r="I6195">
        <v>5.4757030000000002</v>
      </c>
      <c r="J6195">
        <v>-187.48869999999999</v>
      </c>
      <c r="K6195">
        <v>1.104463</v>
      </c>
      <c r="L6195">
        <v>-19.089200000000002</v>
      </c>
      <c r="M6195">
        <v>2.1424780000000001E-2</v>
      </c>
      <c r="N6195">
        <v>0</v>
      </c>
      <c r="O6195">
        <v>0.99975199999999997</v>
      </c>
      <c r="P6195">
        <v>-7.415687E-2</v>
      </c>
      <c r="Q6195">
        <v>4.8071499999999996E-3</v>
      </c>
      <c r="R6195">
        <v>0.99723499999999998</v>
      </c>
      <c r="S6195">
        <v>-9.1690060000000004E-2</v>
      </c>
      <c r="T6195">
        <v>-0.1331695</v>
      </c>
      <c r="U6195">
        <v>3.002075</v>
      </c>
      <c r="V6195">
        <v>-9.5527790000000001E-2</v>
      </c>
      <c r="W6195">
        <v>1.065026E-2</v>
      </c>
      <c r="X6195">
        <v>0.99536979999999997</v>
      </c>
      <c r="Y6195">
        <v>-5.1906239999999999E-2</v>
      </c>
      <c r="Z6195">
        <v>-4.4260149999999998E-2</v>
      </c>
      <c r="AA6195">
        <v>0.99767070000000002</v>
      </c>
      <c r="AB6195">
        <v>33</v>
      </c>
      <c r="AC6195">
        <v>-0.76720000000000199</v>
      </c>
      <c r="AD6195">
        <v>-1.1044658159609999</v>
      </c>
      <c r="AE6195">
        <v>24.564903000000001</v>
      </c>
      <c r="AF6195">
        <v>-1.2907245888379</v>
      </c>
      <c r="AG6195">
        <v>-1.1044658159609999</v>
      </c>
      <c r="AH6195">
        <v>24.493361682280799</v>
      </c>
      <c r="AI6195">
        <v>92.578285814361706</v>
      </c>
      <c r="AJ6195">
        <v>93.016520607481695</v>
      </c>
      <c r="AK6195">
        <v>24.5522011477969</v>
      </c>
    </row>
    <row r="6196" spans="1:37" x14ac:dyDescent="0.2">
      <c r="A6196" t="str">
        <f>"20200111153550494"</f>
        <v>20200111153550494</v>
      </c>
      <c r="B6196" t="str">
        <f>"1578728150491750"</f>
        <v>1578728150491750</v>
      </c>
      <c r="C6196" t="s">
        <v>37</v>
      </c>
      <c r="D6196">
        <v>5.1651069999999999</v>
      </c>
      <c r="E6196">
        <v>0.51707309999999995</v>
      </c>
      <c r="F6196" t="s">
        <v>39</v>
      </c>
      <c r="G6196">
        <v>-188.2415</v>
      </c>
      <c r="H6196" s="1">
        <v>-2.919832E-6</v>
      </c>
      <c r="I6196">
        <v>5.7118769999999897</v>
      </c>
      <c r="J6196">
        <v>-187.48249999999999</v>
      </c>
      <c r="K6196">
        <v>1.1043689999999999</v>
      </c>
      <c r="L6196">
        <v>-18.767789999999898</v>
      </c>
      <c r="M6196">
        <v>2.068859E-2</v>
      </c>
      <c r="N6196">
        <v>0</v>
      </c>
      <c r="O6196">
        <v>0.9997684</v>
      </c>
      <c r="P6196">
        <v>-7.4155079999999998E-2</v>
      </c>
      <c r="Q6196">
        <v>5.374485E-3</v>
      </c>
      <c r="R6196">
        <v>0.99723229999999996</v>
      </c>
      <c r="S6196">
        <v>-9.1125490000000003E-2</v>
      </c>
      <c r="T6196">
        <v>-0.13369679999999901</v>
      </c>
      <c r="U6196">
        <v>3.0021969999999998</v>
      </c>
      <c r="V6196">
        <v>-9.4791630000000002E-2</v>
      </c>
      <c r="W6196">
        <v>1.1090350000000001E-2</v>
      </c>
      <c r="X6196">
        <v>0.99543539999999997</v>
      </c>
      <c r="Y6196">
        <v>-5.0981909999999998E-2</v>
      </c>
      <c r="Z6196">
        <v>-4.4435460000000003E-2</v>
      </c>
      <c r="AA6196">
        <v>0.99771049999999994</v>
      </c>
      <c r="AB6196">
        <v>33</v>
      </c>
      <c r="AC6196">
        <v>-0.759000000000014</v>
      </c>
      <c r="AD6196">
        <v>-1.1043719198319999</v>
      </c>
      <c r="AE6196">
        <v>24.479666999999999</v>
      </c>
      <c r="AF6196">
        <v>-1.2627287218780801</v>
      </c>
      <c r="AG6196">
        <v>-1.1043719198319999</v>
      </c>
      <c r="AH6196">
        <v>24.409093356671601</v>
      </c>
      <c r="AI6196">
        <v>92.587085016102705</v>
      </c>
      <c r="AJ6196">
        <v>92.961379552969404</v>
      </c>
      <c r="AK6196">
        <v>24.4666703835458</v>
      </c>
    </row>
    <row r="6197" spans="1:37" x14ac:dyDescent="0.2">
      <c r="A6197" t="str">
        <f>"20200111153550517"</f>
        <v>20200111153550517</v>
      </c>
      <c r="B6197" t="str">
        <f>"1578728150511269"</f>
        <v>1578728150511269</v>
      </c>
      <c r="C6197" t="s">
        <v>37</v>
      </c>
      <c r="D6197">
        <v>5.1737330000000004</v>
      </c>
      <c r="E6197">
        <v>0.51726609999999995</v>
      </c>
      <c r="F6197" t="s">
        <v>39</v>
      </c>
      <c r="G6197">
        <v>-188.2234</v>
      </c>
      <c r="H6197" s="1">
        <v>-3.1296029999999999E-6</v>
      </c>
      <c r="I6197">
        <v>6.1933669999999896</v>
      </c>
      <c r="J6197">
        <v>-187.47640000000001</v>
      </c>
      <c r="K6197">
        <v>1.1042719999999999</v>
      </c>
      <c r="L6197">
        <v>-18.43985</v>
      </c>
      <c r="M6197">
        <v>2.002352E-2</v>
      </c>
      <c r="N6197">
        <v>0</v>
      </c>
      <c r="O6197">
        <v>0.99978299999999998</v>
      </c>
      <c r="P6197">
        <v>-7.3524560000000003E-2</v>
      </c>
      <c r="Q6197">
        <v>5.8545569999999998E-3</v>
      </c>
      <c r="R6197">
        <v>0.99727619999999895</v>
      </c>
      <c r="S6197">
        <v>-8.9111330000000002E-2</v>
      </c>
      <c r="T6197">
        <v>-0.1328375</v>
      </c>
      <c r="U6197">
        <v>3.0024109999999999</v>
      </c>
      <c r="V6197">
        <v>-9.3498709999999999E-2</v>
      </c>
      <c r="W6197">
        <v>1.1422689999999999E-2</v>
      </c>
      <c r="X6197">
        <v>0.99555389999999999</v>
      </c>
      <c r="Y6197">
        <v>-4.9646999999999997E-2</v>
      </c>
      <c r="Z6197">
        <v>-4.4150139999999997E-2</v>
      </c>
      <c r="AA6197">
        <v>0.99779050000000002</v>
      </c>
      <c r="AB6197">
        <v>33</v>
      </c>
      <c r="AC6197">
        <v>-0.74699999999998501</v>
      </c>
      <c r="AD6197">
        <v>-1.104275129603</v>
      </c>
      <c r="AE6197">
        <v>24.633216999999998</v>
      </c>
      <c r="AF6197">
        <v>-1.2376172373147201</v>
      </c>
      <c r="AG6197">
        <v>-1.104275129603</v>
      </c>
      <c r="AH6197">
        <v>24.564001517624799</v>
      </c>
      <c r="AI6197">
        <v>92.570743308248097</v>
      </c>
      <c r="AJ6197">
        <v>92.884315652325697</v>
      </c>
      <c r="AK6197">
        <v>24.619936850971701</v>
      </c>
    </row>
    <row r="6198" spans="1:37" x14ac:dyDescent="0.2">
      <c r="A6198" t="str">
        <f>"20200111153550541"</f>
        <v>20200111153550541</v>
      </c>
      <c r="B6198" t="str">
        <f>"1578728150531766"</f>
        <v>1578728150531766</v>
      </c>
      <c r="C6198" t="s">
        <v>37</v>
      </c>
      <c r="D6198">
        <v>5.1580560000000002</v>
      </c>
      <c r="E6198">
        <v>0.5174339</v>
      </c>
      <c r="F6198" t="s">
        <v>39</v>
      </c>
      <c r="G6198">
        <v>-188.1977</v>
      </c>
      <c r="H6198" s="1">
        <v>-3.3958990000000001E-6</v>
      </c>
      <c r="I6198">
        <v>6.8034879999999998</v>
      </c>
      <c r="J6198">
        <v>-187.46960000000001</v>
      </c>
      <c r="K6198">
        <v>1.1041559999999999</v>
      </c>
      <c r="L6198">
        <v>-18.06775</v>
      </c>
      <c r="M6198">
        <v>1.9375449999999999E-2</v>
      </c>
      <c r="N6198">
        <v>0</v>
      </c>
      <c r="O6198">
        <v>0.99979689999999999</v>
      </c>
      <c r="P6198">
        <v>-7.2528720000000005E-2</v>
      </c>
      <c r="Q6198">
        <v>6.4529779999999998E-3</v>
      </c>
      <c r="R6198">
        <v>0.99734539999999905</v>
      </c>
      <c r="S6198">
        <v>-8.5800169999999995E-2</v>
      </c>
      <c r="T6198">
        <v>-0.13135179999999999</v>
      </c>
      <c r="U6198">
        <v>3.0026549999999999</v>
      </c>
      <c r="V6198">
        <v>-9.1857519999999998E-2</v>
      </c>
      <c r="W6198">
        <v>1.1830830000000001E-2</v>
      </c>
      <c r="X6198">
        <v>0.99570179999999997</v>
      </c>
      <c r="Y6198">
        <v>-4.7898349999999999E-2</v>
      </c>
      <c r="Z6198">
        <v>-4.3657149999999999E-2</v>
      </c>
      <c r="AA6198">
        <v>0.997897699999999</v>
      </c>
      <c r="AB6198">
        <v>34</v>
      </c>
      <c r="AC6198">
        <v>-0.72809999999998298</v>
      </c>
      <c r="AD6198">
        <v>-1.1041593958989999</v>
      </c>
      <c r="AE6198">
        <v>24.871238000000002</v>
      </c>
      <c r="AF6198">
        <v>-1.2074843375907001</v>
      </c>
      <c r="AG6198">
        <v>-1.1041593958989999</v>
      </c>
      <c r="AH6198">
        <v>24.803617447865602</v>
      </c>
      <c r="AI6198">
        <v>92.545888703771297</v>
      </c>
      <c r="AJ6198">
        <v>92.787060430541601</v>
      </c>
      <c r="AK6198">
        <v>24.857526524116199</v>
      </c>
    </row>
    <row r="6199" spans="1:37" x14ac:dyDescent="0.2">
      <c r="A6199" t="str">
        <f>"20200111153550563"</f>
        <v>20200111153550563</v>
      </c>
      <c r="B6199" t="str">
        <f>"1578728150551285"</f>
        <v>1578728150551285</v>
      </c>
      <c r="C6199" t="s">
        <v>37</v>
      </c>
      <c r="D6199">
        <v>5.1563840000000001</v>
      </c>
      <c r="E6199">
        <v>0.51760130000000004</v>
      </c>
      <c r="F6199" t="s">
        <v>39</v>
      </c>
      <c r="G6199">
        <v>-188.15989999999999</v>
      </c>
      <c r="H6199" s="1">
        <v>-3.667029E-6</v>
      </c>
      <c r="I6199">
        <v>7.419848</v>
      </c>
      <c r="J6199">
        <v>-187.46350000000001</v>
      </c>
      <c r="K6199">
        <v>1.104047</v>
      </c>
      <c r="L6199">
        <v>-17.728449999999999</v>
      </c>
      <c r="M6199">
        <v>1.8881099999999901E-2</v>
      </c>
      <c r="N6199">
        <v>0</v>
      </c>
      <c r="O6199">
        <v>0.99980749999999996</v>
      </c>
      <c r="P6199">
        <v>-7.144673E-2</v>
      </c>
      <c r="Q6199">
        <v>6.1177219999999999E-3</v>
      </c>
      <c r="R6199">
        <v>0.99742569999999997</v>
      </c>
      <c r="S6199">
        <v>-8.1329349999999995E-2</v>
      </c>
      <c r="T6199">
        <v>-0.13009000000000001</v>
      </c>
      <c r="U6199">
        <v>3.0028990000000002</v>
      </c>
      <c r="V6199">
        <v>-9.0281650000000005E-2</v>
      </c>
      <c r="W6199">
        <v>1.1305870000000001E-2</v>
      </c>
      <c r="X6199">
        <v>0.99585210000000002</v>
      </c>
      <c r="Y6199">
        <v>-4.5917979999999997E-2</v>
      </c>
      <c r="Z6199">
        <v>-4.3238569999999997E-2</v>
      </c>
      <c r="AA6199">
        <v>0.99800900000000003</v>
      </c>
      <c r="AB6199">
        <v>34</v>
      </c>
      <c r="AC6199">
        <v>-0.69639999999998203</v>
      </c>
      <c r="AD6199">
        <v>-1.104050667029</v>
      </c>
      <c r="AE6199">
        <v>25.148298</v>
      </c>
      <c r="AF6199">
        <v>-1.1688590659965099</v>
      </c>
      <c r="AG6199">
        <v>-1.104050667029</v>
      </c>
      <c r="AH6199">
        <v>25.082360384431901</v>
      </c>
      <c r="AI6199">
        <v>92.517633680342698</v>
      </c>
      <c r="AJ6199">
        <v>92.668101194007903</v>
      </c>
      <c r="AK6199">
        <v>25.133840968822199</v>
      </c>
    </row>
    <row r="6200" spans="1:37" x14ac:dyDescent="0.2">
      <c r="A6200" t="str">
        <f>"20200111153550587"</f>
        <v>20200111153550587</v>
      </c>
      <c r="B6200" t="str">
        <f>"1578728150581542"</f>
        <v>1578728150581542</v>
      </c>
      <c r="C6200" t="s">
        <v>37</v>
      </c>
      <c r="D6200">
        <v>5.1317009999999996</v>
      </c>
      <c r="E6200">
        <v>0.51778440000000003</v>
      </c>
      <c r="F6200" t="s">
        <v>39</v>
      </c>
      <c r="G6200">
        <v>-188.10659999999999</v>
      </c>
      <c r="H6200" s="1">
        <v>-3.6784949999999899E-6</v>
      </c>
      <c r="I6200">
        <v>7.4245479999999997</v>
      </c>
      <c r="J6200">
        <v>-187.4572</v>
      </c>
      <c r="K6200">
        <v>1.1039399999999999</v>
      </c>
      <c r="L6200">
        <v>-17.374110000000002</v>
      </c>
      <c r="M6200">
        <v>1.844606E-2</v>
      </c>
      <c r="N6200">
        <v>0</v>
      </c>
      <c r="O6200">
        <v>0.99981679999999995</v>
      </c>
      <c r="P6200">
        <v>-7.1004510000000007E-2</v>
      </c>
      <c r="Q6200">
        <v>6.1452349999999998E-3</v>
      </c>
      <c r="R6200">
        <v>0.99745709999999999</v>
      </c>
      <c r="S6200">
        <v>-7.6782230000000007E-2</v>
      </c>
      <c r="T6200">
        <v>-0.13181409999999999</v>
      </c>
      <c r="U6200">
        <v>3.0030519999999998</v>
      </c>
      <c r="V6200">
        <v>-8.9404730000000002E-2</v>
      </c>
      <c r="W6200">
        <v>1.1130879999999999E-2</v>
      </c>
      <c r="X6200">
        <v>0.99593319999999996</v>
      </c>
      <c r="Y6200">
        <v>-4.3971080000000003E-2</v>
      </c>
      <c r="Z6200">
        <v>-4.3811620000000003E-2</v>
      </c>
      <c r="AA6200">
        <v>0.99807169999999901</v>
      </c>
      <c r="AB6200">
        <v>34</v>
      </c>
      <c r="AC6200">
        <v>-0.64939999999998499</v>
      </c>
      <c r="AD6200">
        <v>-1.1039436784950001</v>
      </c>
      <c r="AE6200">
        <v>24.798658</v>
      </c>
      <c r="AF6200">
        <v>-1.10454563552142</v>
      </c>
      <c r="AG6200">
        <v>-1.1039436784950001</v>
      </c>
      <c r="AH6200">
        <v>24.733478845695402</v>
      </c>
      <c r="AI6200">
        <v>92.553078329448596</v>
      </c>
      <c r="AJ6200">
        <v>92.557011205129001</v>
      </c>
      <c r="AK6200">
        <v>24.782729642166199</v>
      </c>
    </row>
    <row r="6201" spans="1:37" x14ac:dyDescent="0.2">
      <c r="A6201" t="str">
        <f>"20200111153550606"</f>
        <v>20200111153550606</v>
      </c>
      <c r="B6201" t="str">
        <f>"1578728150602038"</f>
        <v>1578728150602038</v>
      </c>
      <c r="C6201" t="s">
        <v>37</v>
      </c>
      <c r="D6201">
        <v>5.2132940000000003</v>
      </c>
      <c r="E6201">
        <v>0.51782410000000001</v>
      </c>
      <c r="F6201" t="s">
        <v>39</v>
      </c>
      <c r="G6201">
        <v>-188.0745</v>
      </c>
      <c r="H6201" s="1">
        <v>-3.8102369999999999E-6</v>
      </c>
      <c r="I6201">
        <v>7.7183729999999997</v>
      </c>
      <c r="J6201">
        <v>-187.45179999999999</v>
      </c>
      <c r="K6201">
        <v>1.103839</v>
      </c>
      <c r="L6201">
        <v>-17.06345</v>
      </c>
      <c r="M6201">
        <v>1.8136820000000001E-2</v>
      </c>
      <c r="N6201">
        <v>0</v>
      </c>
      <c r="O6201">
        <v>0.99982349999999998</v>
      </c>
      <c r="P6201">
        <v>-7.1473640000000005E-2</v>
      </c>
      <c r="Q6201">
        <v>5.5540160000000002E-3</v>
      </c>
      <c r="R6201">
        <v>0.99742699999999995</v>
      </c>
      <c r="S6201">
        <v>-7.388306E-2</v>
      </c>
      <c r="T6201">
        <v>-0.13212589999999999</v>
      </c>
      <c r="U6201">
        <v>3.0032040000000002</v>
      </c>
      <c r="V6201">
        <v>-8.9562660000000002E-2</v>
      </c>
      <c r="W6201">
        <v>1.035845E-2</v>
      </c>
      <c r="X6201">
        <v>0.99592729999999996</v>
      </c>
      <c r="Y6201">
        <v>-4.2697730000000003E-2</v>
      </c>
      <c r="Z6201">
        <v>-4.3914950000000001E-2</v>
      </c>
      <c r="AA6201">
        <v>0.99812250000000002</v>
      </c>
      <c r="AB6201">
        <v>34</v>
      </c>
      <c r="AC6201">
        <v>-0.62270000000000802</v>
      </c>
      <c r="AD6201">
        <v>-1.1038428102369999</v>
      </c>
      <c r="AE6201">
        <v>24.781822999999999</v>
      </c>
      <c r="AF6201">
        <v>-1.06994497238319</v>
      </c>
      <c r="AG6201">
        <v>-1.1038428102369999</v>
      </c>
      <c r="AH6201">
        <v>24.7174435387717</v>
      </c>
      <c r="AI6201">
        <v>92.5546528037043</v>
      </c>
      <c r="AJ6201">
        <v>92.478617366667194</v>
      </c>
      <c r="AK6201">
        <v>24.765202730565498</v>
      </c>
    </row>
    <row r="6202" spans="1:37" x14ac:dyDescent="0.2">
      <c r="A6202" t="str">
        <f>"20200111153550630"</f>
        <v>20200111153550630</v>
      </c>
      <c r="B6202" t="str">
        <f>"1578728150621557"</f>
        <v>1578728150621557</v>
      </c>
      <c r="C6202" t="s">
        <v>37</v>
      </c>
      <c r="D6202">
        <v>5.1590910000000001</v>
      </c>
      <c r="E6202">
        <v>0.51791719999999997</v>
      </c>
      <c r="F6202" t="s">
        <v>39</v>
      </c>
      <c r="G6202">
        <v>-188.06739999999999</v>
      </c>
      <c r="H6202" s="1">
        <v>-3.7960739999999899E-6</v>
      </c>
      <c r="I6202">
        <v>7.6824139999999996</v>
      </c>
      <c r="J6202">
        <v>-187.44569999999999</v>
      </c>
      <c r="K6202">
        <v>1.1037299999999901</v>
      </c>
      <c r="L6202">
        <v>-16.709869999999999</v>
      </c>
      <c r="M6202">
        <v>1.7875700000000001E-2</v>
      </c>
      <c r="N6202">
        <v>0</v>
      </c>
      <c r="O6202">
        <v>0.99982919999999997</v>
      </c>
      <c r="P6202">
        <v>-7.2771199999999994E-2</v>
      </c>
      <c r="Q6202">
        <v>4.6063090000000003E-3</v>
      </c>
      <c r="R6202">
        <v>0.99733799999999995</v>
      </c>
      <c r="S6202">
        <v>-7.4707029999999994E-2</v>
      </c>
      <c r="T6202">
        <v>-0.13396169999999999</v>
      </c>
      <c r="U6202">
        <v>3.0031430000000001</v>
      </c>
      <c r="V6202">
        <v>-9.0595590000000004E-2</v>
      </c>
      <c r="W6202">
        <v>9.1983599999999992E-3</v>
      </c>
      <c r="X6202">
        <v>0.99584530000000004</v>
      </c>
      <c r="Y6202">
        <v>-4.2710310000000001E-2</v>
      </c>
      <c r="Z6202">
        <v>-4.4524969999999997E-2</v>
      </c>
      <c r="AA6202">
        <v>0.99809490000000001</v>
      </c>
      <c r="AB6202">
        <v>34</v>
      </c>
      <c r="AC6202">
        <v>-0.62170000000000403</v>
      </c>
      <c r="AD6202">
        <v>-1.1037337960739999</v>
      </c>
      <c r="AE6202">
        <v>24.392284</v>
      </c>
      <c r="AF6202">
        <v>-1.0554749335985301</v>
      </c>
      <c r="AG6202">
        <v>-1.1037337960739999</v>
      </c>
      <c r="AH6202">
        <v>24.327494804493199</v>
      </c>
      <c r="AI6202">
        <v>92.595279036517297</v>
      </c>
      <c r="AJ6202">
        <v>92.484281991466403</v>
      </c>
      <c r="AK6202">
        <v>24.375382234760799</v>
      </c>
    </row>
    <row r="6203" spans="1:37" x14ac:dyDescent="0.2">
      <c r="A6203" t="str">
        <f>"20200111153550651"</f>
        <v>20200111153550651</v>
      </c>
      <c r="B6203" t="str">
        <f>"1578728150642054"</f>
        <v>1578728150642054</v>
      </c>
      <c r="C6203" t="s">
        <v>37</v>
      </c>
      <c r="D6203">
        <v>5.2044610000000002</v>
      </c>
      <c r="E6203">
        <v>0.51797780000000004</v>
      </c>
      <c r="F6203" t="s">
        <v>39</v>
      </c>
      <c r="G6203">
        <v>-188.0753</v>
      </c>
      <c r="H6203" s="1">
        <v>-3.7719919999999998E-6</v>
      </c>
      <c r="I6203">
        <v>7.629556</v>
      </c>
      <c r="J6203">
        <v>-187.43979999999999</v>
      </c>
      <c r="K6203">
        <v>1.1036269999999999</v>
      </c>
      <c r="L6203">
        <v>-16.370090000000001</v>
      </c>
      <c r="M6203">
        <v>1.770832E-2</v>
      </c>
      <c r="N6203">
        <v>0</v>
      </c>
      <c r="O6203">
        <v>0.99983319999999998</v>
      </c>
      <c r="P6203">
        <v>-7.4284139999999999E-2</v>
      </c>
      <c r="Q6203">
        <v>5.1545509999999899E-3</v>
      </c>
      <c r="R6203">
        <v>0.99722379999999999</v>
      </c>
      <c r="S6203">
        <v>-7.7682500000000002E-2</v>
      </c>
      <c r="T6203">
        <v>-0.13617689999999999</v>
      </c>
      <c r="U6203">
        <v>3.0029599999999999</v>
      </c>
      <c r="V6203">
        <v>-9.1937630000000006E-2</v>
      </c>
      <c r="W6203">
        <v>9.5369010000000004E-3</v>
      </c>
      <c r="X6203">
        <v>0.99571909999999897</v>
      </c>
      <c r="Y6203">
        <v>-4.3532000000000001E-2</v>
      </c>
      <c r="Z6203">
        <v>-4.5261330000000002E-2</v>
      </c>
      <c r="AA6203">
        <v>0.99802630000000003</v>
      </c>
      <c r="AB6203">
        <v>34</v>
      </c>
      <c r="AC6203">
        <v>-0.63550000000000695</v>
      </c>
      <c r="AD6203">
        <v>-1.103630771992</v>
      </c>
      <c r="AE6203">
        <v>23.999645999999998</v>
      </c>
      <c r="AF6203">
        <v>-1.0581619359404599</v>
      </c>
      <c r="AG6203">
        <v>-1.103630771992</v>
      </c>
      <c r="AH6203">
        <v>23.934052305135399</v>
      </c>
      <c r="AI6203">
        <v>92.637541115228998</v>
      </c>
      <c r="AJ6203">
        <v>92.5314876016771</v>
      </c>
      <c r="AK6203">
        <v>23.982839016857799</v>
      </c>
    </row>
    <row r="6204" spans="1:37" x14ac:dyDescent="0.2">
      <c r="A6204" t="str">
        <f>"20200111153550674"</f>
        <v>20200111153550674</v>
      </c>
      <c r="B6204" t="str">
        <f>"1578728150661573"</f>
        <v>1578728150661573</v>
      </c>
      <c r="C6204" t="s">
        <v>37</v>
      </c>
      <c r="D6204">
        <v>5.1940609999999996</v>
      </c>
      <c r="E6204">
        <v>0.51810999999999996</v>
      </c>
      <c r="F6204" t="s">
        <v>39</v>
      </c>
      <c r="G6204">
        <v>-188.10679999999999</v>
      </c>
      <c r="H6204" s="1">
        <v>-4.008324E-6</v>
      </c>
      <c r="I6204">
        <v>8.1934690000000003</v>
      </c>
      <c r="J6204">
        <v>-187.43379999999999</v>
      </c>
      <c r="K6204">
        <v>1.103515</v>
      </c>
      <c r="L6204">
        <v>-16.027829999999899</v>
      </c>
      <c r="M6204">
        <v>1.7623150000000001E-2</v>
      </c>
      <c r="N6204">
        <v>0</v>
      </c>
      <c r="O6204">
        <v>0.99983580000000005</v>
      </c>
      <c r="P6204">
        <v>-7.5799190000000002E-2</v>
      </c>
      <c r="Q6204">
        <v>5.1009810000000001E-3</v>
      </c>
      <c r="R6204">
        <v>0.9971101</v>
      </c>
      <c r="S6204">
        <v>-8.1542970000000006E-2</v>
      </c>
      <c r="T6204">
        <v>-0.13492179999999901</v>
      </c>
      <c r="U6204">
        <v>3.0029599999999999</v>
      </c>
      <c r="V6204">
        <v>-9.3364050000000004E-2</v>
      </c>
      <c r="W6204">
        <v>9.266547E-3</v>
      </c>
      <c r="X6204">
        <v>0.9955889</v>
      </c>
      <c r="Y6204">
        <v>-4.472947E-2</v>
      </c>
      <c r="Z6204">
        <v>-4.4843170000000002E-2</v>
      </c>
      <c r="AA6204">
        <v>0.997992199999999</v>
      </c>
      <c r="AB6204">
        <v>35</v>
      </c>
      <c r="AC6204">
        <v>-0.67300000000000104</v>
      </c>
      <c r="AD6204">
        <v>-1.1035190083240001</v>
      </c>
      <c r="AE6204">
        <v>24.221298999999998</v>
      </c>
      <c r="AF6204">
        <v>-1.09747858549218</v>
      </c>
      <c r="AG6204">
        <v>-1.1035190083240001</v>
      </c>
      <c r="AH6204">
        <v>24.155575814469302</v>
      </c>
      <c r="AI6204">
        <v>92.612979758321202</v>
      </c>
      <c r="AJ6204">
        <v>92.601373622728104</v>
      </c>
      <c r="AK6204">
        <v>24.205661659535799</v>
      </c>
    </row>
    <row r="6205" spans="1:37" x14ac:dyDescent="0.2">
      <c r="A6205" t="str">
        <f>"20200111153550695"</f>
        <v>20200111153550695</v>
      </c>
      <c r="B6205" t="str">
        <f>"1578728150691829"</f>
        <v>1578728150691829</v>
      </c>
      <c r="C6205" t="s">
        <v>37</v>
      </c>
      <c r="D6205">
        <v>5.2226839999999903</v>
      </c>
      <c r="E6205">
        <v>0.51828859999999999</v>
      </c>
      <c r="F6205" t="s">
        <v>39</v>
      </c>
      <c r="G6205">
        <v>-188.1285</v>
      </c>
      <c r="H6205" s="1">
        <v>-4.1142770000000001E-6</v>
      </c>
      <c r="I6205">
        <v>8.4494139999999902</v>
      </c>
      <c r="J6205">
        <v>-187.42789999999999</v>
      </c>
      <c r="K6205">
        <v>1.103405</v>
      </c>
      <c r="L6205">
        <v>-15.693149999999999</v>
      </c>
      <c r="M6205">
        <v>1.763172E-2</v>
      </c>
      <c r="N6205">
        <v>0</v>
      </c>
      <c r="O6205">
        <v>0.99983659999999996</v>
      </c>
      <c r="P6205">
        <v>-7.7128429999999998E-2</v>
      </c>
      <c r="Q6205">
        <v>4.8458700000000004E-3</v>
      </c>
      <c r="R6205">
        <v>0.99700940000000005</v>
      </c>
      <c r="S6205">
        <v>-8.5220340000000006E-2</v>
      </c>
      <c r="T6205">
        <v>-0.135381</v>
      </c>
      <c r="U6205">
        <v>3.0028990000000002</v>
      </c>
      <c r="V6205">
        <v>-9.4697909999999996E-2</v>
      </c>
      <c r="W6205">
        <v>8.79688E-3</v>
      </c>
      <c r="X6205">
        <v>0.995467199999999</v>
      </c>
      <c r="Y6205">
        <v>-4.5959550000000002E-2</v>
      </c>
      <c r="Z6205">
        <v>-4.4994350000000002E-2</v>
      </c>
      <c r="AA6205">
        <v>0.99792950000000002</v>
      </c>
      <c r="AB6205">
        <v>35</v>
      </c>
      <c r="AC6205">
        <v>-0.70060000000000799</v>
      </c>
      <c r="AD6205">
        <v>-1.1034091142769999</v>
      </c>
      <c r="AE6205">
        <v>24.142564</v>
      </c>
      <c r="AF6205">
        <v>-1.1238238817531401</v>
      </c>
      <c r="AG6205">
        <v>-1.1034091142769999</v>
      </c>
      <c r="AH6205">
        <v>24.076208908253101</v>
      </c>
      <c r="AI6205">
        <v>92.621171052977701</v>
      </c>
      <c r="AJ6205">
        <v>92.672499716762402</v>
      </c>
      <c r="AK6205">
        <v>24.1276672553422</v>
      </c>
    </row>
    <row r="6206" spans="1:37" x14ac:dyDescent="0.2">
      <c r="A6206" t="str">
        <f>"20200111153550718"</f>
        <v>20200111153550718</v>
      </c>
      <c r="B6206" t="str">
        <f>"1578728150711350"</f>
        <v>1578728150711350</v>
      </c>
      <c r="C6206" t="s">
        <v>37</v>
      </c>
      <c r="D6206">
        <v>5.245241</v>
      </c>
      <c r="E6206">
        <v>0.51836510000000002</v>
      </c>
      <c r="F6206" t="s">
        <v>39</v>
      </c>
      <c r="G6206">
        <v>-188.14060000000001</v>
      </c>
      <c r="H6206" s="1">
        <v>-4.2223159999999998E-6</v>
      </c>
      <c r="I6206">
        <v>8.7062690000000007</v>
      </c>
      <c r="J6206">
        <v>-187.42140000000001</v>
      </c>
      <c r="K6206">
        <v>1.1032819999999901</v>
      </c>
      <c r="L6206">
        <v>-15.326229999999899</v>
      </c>
      <c r="M6206">
        <v>1.7747720000000002E-2</v>
      </c>
      <c r="N6206">
        <v>0</v>
      </c>
      <c r="O6206">
        <v>0.99983549999999999</v>
      </c>
      <c r="P6206">
        <v>-7.7860970000000002E-2</v>
      </c>
      <c r="Q6206">
        <v>4.7652129999999999E-3</v>
      </c>
      <c r="R6206">
        <v>0.99695279999999997</v>
      </c>
      <c r="S6206">
        <v>-8.7707519999999997E-2</v>
      </c>
      <c r="T6206">
        <v>-0.135798</v>
      </c>
      <c r="U6206">
        <v>3.002869</v>
      </c>
      <c r="V6206">
        <v>-9.5542580000000002E-2</v>
      </c>
      <c r="W6206">
        <v>8.4836100000000008E-3</v>
      </c>
      <c r="X6206">
        <v>0.99538919999999997</v>
      </c>
      <c r="Y6206">
        <v>-4.6901379999999999E-2</v>
      </c>
      <c r="Z6206">
        <v>-4.5131440000000002E-2</v>
      </c>
      <c r="AA6206">
        <v>0.99787939999999997</v>
      </c>
      <c r="AB6206">
        <v>35</v>
      </c>
      <c r="AC6206">
        <v>-0.71919999999999995</v>
      </c>
      <c r="AD6206">
        <v>-1.1032862223159901</v>
      </c>
      <c r="AE6206">
        <v>24.032499000000001</v>
      </c>
      <c r="AF6206">
        <v>-1.14320456064932</v>
      </c>
      <c r="AG6206">
        <v>-1.1032862223159901</v>
      </c>
      <c r="AH6206">
        <v>23.965486161558001</v>
      </c>
      <c r="AI6206">
        <v>92.632844420554306</v>
      </c>
      <c r="AJ6206">
        <v>92.731060055882097</v>
      </c>
      <c r="AK6206">
        <v>24.018090767495799</v>
      </c>
    </row>
    <row r="6207" spans="1:37" x14ac:dyDescent="0.2">
      <c r="A6207" t="str">
        <f>"20200111153550741"</f>
        <v>20200111153550741</v>
      </c>
      <c r="B6207" t="str">
        <f>"1578728150731846"</f>
        <v>1578728150731846</v>
      </c>
      <c r="C6207" t="s">
        <v>37</v>
      </c>
      <c r="D6207">
        <v>5.2683260000000001</v>
      </c>
      <c r="E6207">
        <v>0.51848669999999997</v>
      </c>
      <c r="F6207" t="s">
        <v>39</v>
      </c>
      <c r="G6207">
        <v>-188.14359999999999</v>
      </c>
      <c r="H6207" s="1">
        <v>-4.3622530000000003E-6</v>
      </c>
      <c r="I6207">
        <v>9.0336990000000004</v>
      </c>
      <c r="J6207">
        <v>-187.41489999999999</v>
      </c>
      <c r="K6207">
        <v>1.1031569999999999</v>
      </c>
      <c r="L6207">
        <v>-14.96439</v>
      </c>
      <c r="M6207">
        <v>1.797911E-2</v>
      </c>
      <c r="N6207">
        <v>0</v>
      </c>
      <c r="O6207">
        <v>0.99983219999999995</v>
      </c>
      <c r="P6207">
        <v>-7.7561649999999996E-2</v>
      </c>
      <c r="Q6207">
        <v>5.4807529999999997E-3</v>
      </c>
      <c r="R6207">
        <v>0.99697250000000004</v>
      </c>
      <c r="S6207">
        <v>-8.9019780000000007E-2</v>
      </c>
      <c r="T6207">
        <v>-0.13600299999999901</v>
      </c>
      <c r="U6207">
        <v>3.002869</v>
      </c>
      <c r="V6207">
        <v>-9.5472399999999999E-2</v>
      </c>
      <c r="W6207">
        <v>8.9804569999999903E-3</v>
      </c>
      <c r="X6207">
        <v>0.99539149999999998</v>
      </c>
      <c r="Y6207">
        <v>-4.756813E-2</v>
      </c>
      <c r="Z6207">
        <v>-4.5198139999999998E-2</v>
      </c>
      <c r="AA6207">
        <v>0.99784490000000003</v>
      </c>
      <c r="AB6207">
        <v>35</v>
      </c>
      <c r="AC6207">
        <v>-0.72870000000000301</v>
      </c>
      <c r="AD6207">
        <v>-1.1031613622530001</v>
      </c>
      <c r="AE6207">
        <v>23.998089</v>
      </c>
      <c r="AF6207">
        <v>-1.15760524513368</v>
      </c>
      <c r="AG6207">
        <v>-1.1031613622530001</v>
      </c>
      <c r="AH6207">
        <v>23.9305868189645</v>
      </c>
      <c r="AI6207">
        <v>92.636295953663094</v>
      </c>
      <c r="AJ6207">
        <v>92.769436198674001</v>
      </c>
      <c r="AK6207">
        <v>23.983952976828601</v>
      </c>
    </row>
    <row r="6208" spans="1:37" x14ac:dyDescent="0.2">
      <c r="A6208" t="str">
        <f>"20200111153550764"</f>
        <v>20200111153550764</v>
      </c>
      <c r="B6208" t="str">
        <f>"1578728150751365"</f>
        <v>1578728150751365</v>
      </c>
      <c r="C6208" t="s">
        <v>37</v>
      </c>
      <c r="D6208">
        <v>5.2256239999999998</v>
      </c>
      <c r="E6208">
        <v>0.51861359999999901</v>
      </c>
      <c r="F6208" t="s">
        <v>39</v>
      </c>
      <c r="G6208">
        <v>-188.13499999999999</v>
      </c>
      <c r="H6208" s="1">
        <v>-5.4224759999999995E-7</v>
      </c>
      <c r="I6208">
        <v>9.7832919999999994</v>
      </c>
      <c r="J6208">
        <v>-187.40809999999999</v>
      </c>
      <c r="K6208">
        <v>1.10304</v>
      </c>
      <c r="L6208">
        <v>-14.600589999999899</v>
      </c>
      <c r="M6208">
        <v>1.8311819999999999E-2</v>
      </c>
      <c r="N6208">
        <v>0</v>
      </c>
      <c r="O6208">
        <v>0.99982700000000002</v>
      </c>
      <c r="P6208">
        <v>-7.6335910000000007E-2</v>
      </c>
      <c r="Q6208">
        <v>6.305415E-3</v>
      </c>
      <c r="R6208">
        <v>0.99706219999999901</v>
      </c>
      <c r="S6208">
        <v>-8.7387080000000006E-2</v>
      </c>
      <c r="T6208">
        <v>-0.1338646</v>
      </c>
      <c r="U6208">
        <v>3.0030519999999998</v>
      </c>
      <c r="V6208">
        <v>-9.4577590000000003E-2</v>
      </c>
      <c r="W6208">
        <v>9.6017480000000002E-3</v>
      </c>
      <c r="X6208">
        <v>0.9954712</v>
      </c>
      <c r="Y6208">
        <v>-4.7357589999999998E-2</v>
      </c>
      <c r="Z6208">
        <v>-4.4486400000000002E-2</v>
      </c>
      <c r="AA6208">
        <v>0.99788690000000002</v>
      </c>
      <c r="AB6208">
        <v>35</v>
      </c>
      <c r="AC6208">
        <v>-0.72689999999999999</v>
      </c>
      <c r="AD6208">
        <v>-1.1030405422476</v>
      </c>
      <c r="AE6208">
        <v>24.383882</v>
      </c>
      <c r="AF6208">
        <v>-1.17089982187907</v>
      </c>
      <c r="AG6208">
        <v>-1.1030405422476</v>
      </c>
      <c r="AH6208">
        <v>24.3167663173903</v>
      </c>
      <c r="AI6208">
        <v>92.594229939451196</v>
      </c>
      <c r="AJ6208">
        <v>92.756774446934699</v>
      </c>
      <c r="AK6208">
        <v>24.369916474319002</v>
      </c>
    </row>
    <row r="6209" spans="1:37" x14ac:dyDescent="0.2">
      <c r="A6209" t="str">
        <f>"20200111153550786"</f>
        <v>20200111153550786</v>
      </c>
      <c r="B6209" t="str">
        <f>"1578728150781621"</f>
        <v>1578728150781621</v>
      </c>
      <c r="C6209" t="s">
        <v>37</v>
      </c>
      <c r="D6209">
        <v>5.2284280000000001</v>
      </c>
      <c r="E6209">
        <v>0.51875879999999996</v>
      </c>
      <c r="F6209" t="s">
        <v>39</v>
      </c>
      <c r="G6209">
        <v>-188.1018</v>
      </c>
      <c r="H6209" s="1">
        <v>-8.3892790000000001E-7</v>
      </c>
      <c r="I6209">
        <v>10.629110000000001</v>
      </c>
      <c r="J6209">
        <v>-187.4015</v>
      </c>
      <c r="K6209">
        <v>1.1029439999999999</v>
      </c>
      <c r="L6209">
        <v>-14.25925</v>
      </c>
      <c r="M6209">
        <v>1.8695059999999999E-2</v>
      </c>
      <c r="N6209">
        <v>0</v>
      </c>
      <c r="O6209">
        <v>0.9998205</v>
      </c>
      <c r="P6209">
        <v>-7.4625699999999906E-2</v>
      </c>
      <c r="Q6209">
        <v>6.3222299999999999E-3</v>
      </c>
      <c r="R6209">
        <v>0.99719150000000001</v>
      </c>
      <c r="S6209">
        <v>-8.2580570000000006E-2</v>
      </c>
      <c r="T6209">
        <v>-0.13130649999999999</v>
      </c>
      <c r="U6209">
        <v>3.0033569999999998</v>
      </c>
      <c r="V6209">
        <v>-9.3249960000000007E-2</v>
      </c>
      <c r="W6209">
        <v>9.443445E-3</v>
      </c>
      <c r="X6209">
        <v>0.99559799999999998</v>
      </c>
      <c r="Y6209">
        <v>-4.6142799999999998E-2</v>
      </c>
      <c r="Z6209">
        <v>-4.3635260000000002E-2</v>
      </c>
      <c r="AA6209">
        <v>0.99798140000000002</v>
      </c>
      <c r="AB6209">
        <v>36</v>
      </c>
      <c r="AC6209">
        <v>-0.70029999999999804</v>
      </c>
      <c r="AD6209">
        <v>-1.1029448389279</v>
      </c>
      <c r="AE6209">
        <v>24.888359999999999</v>
      </c>
      <c r="AF6209">
        <v>-1.1631866415635601</v>
      </c>
      <c r="AG6209">
        <v>-1.1029448389279</v>
      </c>
      <c r="AH6209">
        <v>24.822208776138201</v>
      </c>
      <c r="AI6209">
        <v>92.541410006960305</v>
      </c>
      <c r="AJ6209">
        <v>92.682958921773107</v>
      </c>
      <c r="AK6209">
        <v>24.8739128206042</v>
      </c>
    </row>
    <row r="6210" spans="1:37" x14ac:dyDescent="0.2">
      <c r="A6210" t="str">
        <f>"20200111153550806"</f>
        <v>20200111153550806</v>
      </c>
      <c r="B6210" t="str">
        <f>"1578728150802117"</f>
        <v>1578728150802117</v>
      </c>
      <c r="C6210" t="s">
        <v>37</v>
      </c>
      <c r="D6210">
        <v>5.2612519999999998</v>
      </c>
      <c r="E6210">
        <v>0.51882709999999999</v>
      </c>
      <c r="F6210" t="s">
        <v>39</v>
      </c>
      <c r="G6210">
        <v>-188.04150000000001</v>
      </c>
      <c r="H6210" s="1">
        <v>-9.3928949999999998E-7</v>
      </c>
      <c r="I6210">
        <v>10.876939999999999</v>
      </c>
      <c r="J6210">
        <v>-187.3946</v>
      </c>
      <c r="K6210">
        <v>1.1028480000000001</v>
      </c>
      <c r="L6210">
        <v>-13.907959999999999</v>
      </c>
      <c r="M6210">
        <v>1.915126E-2</v>
      </c>
      <c r="N6210">
        <v>0</v>
      </c>
      <c r="O6210">
        <v>0.99981239999999905</v>
      </c>
      <c r="P6210">
        <v>-7.326705E-2</v>
      </c>
      <c r="Q6210">
        <v>6.2431400000000003E-3</v>
      </c>
      <c r="R6210">
        <v>0.99729279999999998</v>
      </c>
      <c r="S6210">
        <v>-7.6477050000000005E-2</v>
      </c>
      <c r="T6210">
        <v>-0.13179299999999999</v>
      </c>
      <c r="U6210">
        <v>3.003571</v>
      </c>
      <c r="V6210">
        <v>-9.2346239999999996E-2</v>
      </c>
      <c r="W6210">
        <v>9.2026529999999999E-3</v>
      </c>
      <c r="X6210">
        <v>0.99568440000000002</v>
      </c>
      <c r="Y6210">
        <v>-4.4569829999999998E-2</v>
      </c>
      <c r="Z6210">
        <v>-4.379566E-2</v>
      </c>
      <c r="AA6210">
        <v>0.99804579999999998</v>
      </c>
      <c r="AB6210">
        <v>36</v>
      </c>
      <c r="AC6210">
        <v>-0.64690000000001602</v>
      </c>
      <c r="AD6210">
        <v>-1.1028489392895</v>
      </c>
      <c r="AE6210">
        <v>24.7849</v>
      </c>
      <c r="AF6210">
        <v>-1.11923088188649</v>
      </c>
      <c r="AG6210">
        <v>-1.1028489392895</v>
      </c>
      <c r="AH6210">
        <v>24.7190557854309</v>
      </c>
      <c r="AI6210">
        <v>92.551965180575195</v>
      </c>
      <c r="AJ6210">
        <v>92.592471078276901</v>
      </c>
      <c r="AK6210">
        <v>24.768945727929299</v>
      </c>
    </row>
    <row r="6211" spans="1:37" x14ac:dyDescent="0.2">
      <c r="A6211" t="str">
        <f>"20200111153550830"</f>
        <v>20200111153550830</v>
      </c>
      <c r="B6211" t="str">
        <f>"1578728150821637"</f>
        <v>1578728150821637</v>
      </c>
      <c r="C6211" t="s">
        <v>37</v>
      </c>
      <c r="D6211">
        <v>5.2310030000000003</v>
      </c>
      <c r="E6211">
        <v>0.51892470000000002</v>
      </c>
      <c r="F6211" t="s">
        <v>39</v>
      </c>
      <c r="G6211">
        <v>-187.9932</v>
      </c>
      <c r="H6211" s="1">
        <v>-1.0527239999999999E-6</v>
      </c>
      <c r="I6211">
        <v>11.172470000000001</v>
      </c>
      <c r="J6211">
        <v>-187.3871</v>
      </c>
      <c r="K6211">
        <v>1.1027579999999999</v>
      </c>
      <c r="L6211">
        <v>-13.536160000000001</v>
      </c>
      <c r="M6211">
        <v>1.968673E-2</v>
      </c>
      <c r="N6211">
        <v>0</v>
      </c>
      <c r="O6211">
        <v>0.99980249999999904</v>
      </c>
      <c r="P6211">
        <v>-7.2365540000000006E-2</v>
      </c>
      <c r="Q6211">
        <v>5.5215809999999898E-3</v>
      </c>
      <c r="R6211">
        <v>0.99736290000000005</v>
      </c>
      <c r="S6211">
        <v>-7.1685789999999999E-2</v>
      </c>
      <c r="T6211">
        <v>-0.132079799999999</v>
      </c>
      <c r="U6211">
        <v>3.0036930000000002</v>
      </c>
      <c r="V6211">
        <v>-9.1978969999999993E-2</v>
      </c>
      <c r="W6211">
        <v>8.3310269999999995E-3</v>
      </c>
      <c r="X6211">
        <v>0.99572609999999995</v>
      </c>
      <c r="Y6211">
        <v>-4.3512660000000002E-2</v>
      </c>
      <c r="Z6211">
        <v>-4.3890199999999997E-2</v>
      </c>
      <c r="AA6211">
        <v>0.99808829999999904</v>
      </c>
      <c r="AB6211">
        <v>36</v>
      </c>
      <c r="AC6211">
        <v>-0.60609999999999697</v>
      </c>
      <c r="AD6211">
        <v>-1.1027590527240001</v>
      </c>
      <c r="AE6211">
        <v>24.708629999999999</v>
      </c>
      <c r="AF6211">
        <v>-1.0902461238882799</v>
      </c>
      <c r="AG6211">
        <v>-1.1027590527240001</v>
      </c>
      <c r="AH6211">
        <v>24.642853026287899</v>
      </c>
      <c r="AI6211">
        <v>92.559756068884099</v>
      </c>
      <c r="AJ6211">
        <v>92.533221016210106</v>
      </c>
      <c r="AK6211">
        <v>24.691596129336101</v>
      </c>
    </row>
    <row r="6212" spans="1:37" x14ac:dyDescent="0.2">
      <c r="A6212" t="str">
        <f>"20200111153550852"</f>
        <v>20200111153550852</v>
      </c>
      <c r="B6212" t="str">
        <f>"1578728150842136"</f>
        <v>1578728150842136</v>
      </c>
      <c r="C6212" t="s">
        <v>37</v>
      </c>
      <c r="D6212">
        <v>5.2977949999999998</v>
      </c>
      <c r="E6212">
        <v>0.51903270000000001</v>
      </c>
      <c r="F6212" t="s">
        <v>39</v>
      </c>
      <c r="G6212">
        <v>-187.94820000000001</v>
      </c>
      <c r="H6212" s="1">
        <v>-1.052688E-6</v>
      </c>
      <c r="I6212">
        <v>11.137230000000001</v>
      </c>
      <c r="J6212">
        <v>-187.37950000000001</v>
      </c>
      <c r="K6212">
        <v>1.1026830000000001</v>
      </c>
      <c r="L6212">
        <v>-13.171720000000001</v>
      </c>
      <c r="M6212">
        <v>2.0248579999999999E-2</v>
      </c>
      <c r="N6212">
        <v>0</v>
      </c>
      <c r="O6212">
        <v>0.999791599999999</v>
      </c>
      <c r="P6212">
        <v>-7.149925E-2</v>
      </c>
      <c r="Q6212">
        <v>5.1102389999999999E-3</v>
      </c>
      <c r="R6212">
        <v>0.99742759999999997</v>
      </c>
      <c r="S6212">
        <v>-6.8313600000000002E-2</v>
      </c>
      <c r="T6212">
        <v>-0.13424920000000001</v>
      </c>
      <c r="U6212">
        <v>3.0037229999999999</v>
      </c>
      <c r="V6212">
        <v>-9.1673610000000003E-2</v>
      </c>
      <c r="W6212">
        <v>7.7917430000000003E-3</v>
      </c>
      <c r="X6212">
        <v>0.9957587</v>
      </c>
      <c r="Y6212">
        <v>-4.2953199999999997E-2</v>
      </c>
      <c r="Z6212">
        <v>-4.4609599999999999E-2</v>
      </c>
      <c r="AA6212">
        <v>0.99808069999999904</v>
      </c>
      <c r="AB6212">
        <v>36</v>
      </c>
      <c r="AC6212">
        <v>-0.56870000000000598</v>
      </c>
      <c r="AD6212">
        <v>-1.102684052688</v>
      </c>
      <c r="AE6212">
        <v>24.308949999999999</v>
      </c>
      <c r="AF6212">
        <v>-1.05862969354797</v>
      </c>
      <c r="AG6212">
        <v>-1.102684052688</v>
      </c>
      <c r="AH6212">
        <v>24.242595360991299</v>
      </c>
      <c r="AI6212">
        <v>92.601850016195002</v>
      </c>
      <c r="AJ6212">
        <v>92.500413100619994</v>
      </c>
      <c r="AK6212">
        <v>24.2907397743435</v>
      </c>
    </row>
    <row r="6213" spans="1:37" x14ac:dyDescent="0.2">
      <c r="A6213" t="str">
        <f>"20200111153550874"</f>
        <v>20200111153550874</v>
      </c>
      <c r="B6213" t="str">
        <f>"1578728150861653"</f>
        <v>1578728150861653</v>
      </c>
      <c r="C6213" t="s">
        <v>37</v>
      </c>
      <c r="D6213">
        <v>5.2500929999999997</v>
      </c>
      <c r="E6213">
        <v>0.51910449999999997</v>
      </c>
      <c r="F6213" t="s">
        <v>39</v>
      </c>
      <c r="G6213">
        <v>-187.90620000000001</v>
      </c>
      <c r="H6213" s="1">
        <v>-1.0993790000000001E-6</v>
      </c>
      <c r="I6213">
        <v>11.24155</v>
      </c>
      <c r="J6213">
        <v>-187.3717</v>
      </c>
      <c r="K6213">
        <v>1.102627</v>
      </c>
      <c r="L6213">
        <v>-12.809839999999999</v>
      </c>
      <c r="M6213">
        <v>2.08294999999999E-2</v>
      </c>
      <c r="N6213">
        <v>0</v>
      </c>
      <c r="O6213">
        <v>0.99977990000000005</v>
      </c>
      <c r="P6213">
        <v>-7.0861060000000003E-2</v>
      </c>
      <c r="Q6213">
        <v>3.856567E-3</v>
      </c>
      <c r="R6213">
        <v>0.99747870000000005</v>
      </c>
      <c r="S6213">
        <v>-6.480408E-2</v>
      </c>
      <c r="T6213">
        <v>-0.13567309999999999</v>
      </c>
      <c r="U6213">
        <v>3.003784</v>
      </c>
      <c r="V6213">
        <v>-9.1615589999999997E-2</v>
      </c>
      <c r="W6213">
        <v>6.430407E-3</v>
      </c>
      <c r="X6213">
        <v>0.99577369999999898</v>
      </c>
      <c r="Y6213">
        <v>-4.2367219999999997E-2</v>
      </c>
      <c r="Z6213">
        <v>-4.5081209999999997E-2</v>
      </c>
      <c r="AA6213">
        <v>0.99808449999999904</v>
      </c>
      <c r="AB6213">
        <v>36</v>
      </c>
      <c r="AC6213">
        <v>-0.53450000000000797</v>
      </c>
      <c r="AD6213">
        <v>-1.1026280993790001</v>
      </c>
      <c r="AE6213">
        <v>24.051389999999898</v>
      </c>
      <c r="AF6213">
        <v>-1.0331936111778</v>
      </c>
      <c r="AG6213">
        <v>-1.1026280993790001</v>
      </c>
      <c r="AH6213">
        <v>23.9846539540967</v>
      </c>
      <c r="AI6213">
        <v>92.629726288309996</v>
      </c>
      <c r="AJ6213">
        <v>92.466621258527397</v>
      </c>
      <c r="AK6213">
        <v>24.032205538848999</v>
      </c>
    </row>
    <row r="6214" spans="1:37" x14ac:dyDescent="0.2">
      <c r="A6214" t="str">
        <f>"20200111153550896"</f>
        <v>20200111153550896</v>
      </c>
      <c r="B6214" t="str">
        <f>"1578728150891910"</f>
        <v>1578728150891910</v>
      </c>
      <c r="C6214" t="s">
        <v>37</v>
      </c>
      <c r="D6214">
        <v>5.3681890000000001</v>
      </c>
      <c r="E6214">
        <v>0.55164239999999998</v>
      </c>
      <c r="F6214" t="s">
        <v>39</v>
      </c>
      <c r="G6214">
        <v>-187.86369999999999</v>
      </c>
      <c r="H6214" s="1">
        <v>-1.0005739999999999E-6</v>
      </c>
      <c r="I6214">
        <v>10.917949999999999</v>
      </c>
      <c r="J6214">
        <v>-187.3638</v>
      </c>
      <c r="K6214">
        <v>1.102573</v>
      </c>
      <c r="L6214">
        <v>-12.450439999999899</v>
      </c>
      <c r="M6214">
        <v>2.1419819999999999E-2</v>
      </c>
      <c r="N6214">
        <v>0</v>
      </c>
      <c r="O6214">
        <v>0.99976769999999904</v>
      </c>
      <c r="P6214">
        <v>-7.1022760000000004E-2</v>
      </c>
      <c r="Q6214">
        <v>2.8912709999999999E-3</v>
      </c>
      <c r="R6214">
        <v>0.99747050000000004</v>
      </c>
      <c r="S6214">
        <v>-6.2271119999999999E-2</v>
      </c>
      <c r="T6214">
        <v>-0.13958119999999999</v>
      </c>
      <c r="U6214">
        <v>3.0036930000000002</v>
      </c>
      <c r="V6214">
        <v>-9.2365909999999996E-2</v>
      </c>
      <c r="W6214">
        <v>5.3751859999999997E-3</v>
      </c>
      <c r="X6214">
        <v>0.9957106</v>
      </c>
      <c r="Y6214">
        <v>-4.2115279999999998E-2</v>
      </c>
      <c r="Z6214">
        <v>-4.6378240000000001E-2</v>
      </c>
      <c r="AA6214">
        <v>0.99803569999999997</v>
      </c>
      <c r="AB6214">
        <v>37</v>
      </c>
      <c r="AC6214">
        <v>-0.49989999999999601</v>
      </c>
      <c r="AD6214">
        <v>-1.1025740005739999</v>
      </c>
      <c r="AE6214">
        <v>23.368389999999899</v>
      </c>
      <c r="AF6214">
        <v>-0.99811250073339797</v>
      </c>
      <c r="AG6214">
        <v>-1.1025740005739999</v>
      </c>
      <c r="AH6214">
        <v>23.300473705779702</v>
      </c>
      <c r="AI6214">
        <v>92.706725968799603</v>
      </c>
      <c r="AJ6214">
        <v>92.4528554103549</v>
      </c>
      <c r="AK6214">
        <v>23.347890116766202</v>
      </c>
    </row>
    <row r="6215" spans="1:37" x14ac:dyDescent="0.2">
      <c r="A6215" t="str">
        <f>"20200111153550920"</f>
        <v>20200111153550920</v>
      </c>
      <c r="B6215" t="str">
        <f>"1578728150911429"</f>
        <v>1578728150911429</v>
      </c>
      <c r="C6215" t="s">
        <v>37</v>
      </c>
      <c r="D6215">
        <v>5.3119730000000001</v>
      </c>
      <c r="E6215">
        <v>0.56753209999999998</v>
      </c>
      <c r="F6215" t="s">
        <v>40</v>
      </c>
      <c r="G6215">
        <v>-187.31569999999999</v>
      </c>
      <c r="H6215">
        <v>1.009771</v>
      </c>
      <c r="I6215">
        <v>-11.70238</v>
      </c>
      <c r="J6215">
        <v>-187.35499999999999</v>
      </c>
      <c r="K6215">
        <v>1.102527</v>
      </c>
      <c r="L6215">
        <v>-12.059839999999999</v>
      </c>
      <c r="M6215">
        <v>2.2067739999999999E-2</v>
      </c>
      <c r="N6215">
        <v>0</v>
      </c>
      <c r="O6215">
        <v>0.99975380000000003</v>
      </c>
      <c r="P6215">
        <v>-7.079937E-2</v>
      </c>
      <c r="Q6215">
        <v>1.920576E-3</v>
      </c>
      <c r="R6215">
        <v>0.99748869999999901</v>
      </c>
      <c r="S6215">
        <v>0.1938782</v>
      </c>
      <c r="T6215">
        <v>-0.37491269999999999</v>
      </c>
      <c r="U6215">
        <v>3.022491</v>
      </c>
      <c r="V6215">
        <v>-9.2788930000000006E-2</v>
      </c>
      <c r="W6215">
        <v>4.3237709999999997E-3</v>
      </c>
      <c r="X6215">
        <v>0.99567640000000002</v>
      </c>
      <c r="Y6215">
        <v>4.1490340000000001E-2</v>
      </c>
      <c r="Z6215">
        <v>-0.1228757</v>
      </c>
      <c r="AA6215">
        <v>0.99155439999999995</v>
      </c>
      <c r="AB6215">
        <v>37</v>
      </c>
      <c r="AC6215">
        <v>3.9299999999997198E-2</v>
      </c>
      <c r="AD6215">
        <v>-9.2756000000000005E-2</v>
      </c>
      <c r="AE6215">
        <v>0.357459999999999</v>
      </c>
      <c r="AF6215">
        <v>2.9443243863428701E-2</v>
      </c>
      <c r="AG6215">
        <v>-9.2756000000000005E-2</v>
      </c>
      <c r="AH6215">
        <v>0.33589354566886398</v>
      </c>
      <c r="AI6215">
        <v>105.381161343332</v>
      </c>
      <c r="AJ6215">
        <v>84.990458340820297</v>
      </c>
      <c r="AK6215">
        <v>0.34970709767919</v>
      </c>
    </row>
    <row r="6216" spans="1:37" x14ac:dyDescent="0.2">
      <c r="A6216" t="str">
        <f>"20200111153550942"</f>
        <v>20200111153550942</v>
      </c>
      <c r="B6216" t="str">
        <f>"1578728150931925"</f>
        <v>1578728150931925</v>
      </c>
      <c r="C6216" t="s">
        <v>37</v>
      </c>
      <c r="D6216">
        <v>5.2527689999999998</v>
      </c>
      <c r="E6216">
        <v>0.57546589999999997</v>
      </c>
      <c r="F6216" t="s">
        <v>40</v>
      </c>
      <c r="G6216">
        <v>-187.25049999999999</v>
      </c>
      <c r="H6216">
        <v>0.94474460000000005</v>
      </c>
      <c r="I6216">
        <v>-11.070779999999999</v>
      </c>
      <c r="J6216">
        <v>-187.34620000000001</v>
      </c>
      <c r="K6216">
        <v>1.1024879999999999</v>
      </c>
      <c r="L6216">
        <v>-11.683009999999999</v>
      </c>
      <c r="M6216">
        <v>2.269005E-2</v>
      </c>
      <c r="N6216">
        <v>0</v>
      </c>
      <c r="O6216">
        <v>0.99974010000000002</v>
      </c>
      <c r="P6216">
        <v>-7.0593390000000006E-2</v>
      </c>
      <c r="Q6216">
        <v>1.6158050000000001E-3</v>
      </c>
      <c r="R6216">
        <v>0.9975039</v>
      </c>
      <c r="S6216">
        <v>0.31997680000000001</v>
      </c>
      <c r="T6216">
        <v>-0.48353559999999901</v>
      </c>
      <c r="U6216">
        <v>3.0311889999999999</v>
      </c>
      <c r="V6216">
        <v>-9.3203549999999996E-2</v>
      </c>
      <c r="W6216">
        <v>3.9580409999999998E-3</v>
      </c>
      <c r="X6216">
        <v>0.99563919999999995</v>
      </c>
      <c r="Y6216">
        <v>8.1088289999999993E-2</v>
      </c>
      <c r="Z6216">
        <v>-0.1567848</v>
      </c>
      <c r="AA6216">
        <v>0.98429829999999996</v>
      </c>
      <c r="AB6216">
        <v>37</v>
      </c>
      <c r="AC6216">
        <v>9.5700000000022101E-2</v>
      </c>
      <c r="AD6216">
        <v>-0.15774339999999901</v>
      </c>
      <c r="AE6216">
        <v>0.61223000000000005</v>
      </c>
      <c r="AF6216">
        <v>7.6806570034681401E-2</v>
      </c>
      <c r="AG6216">
        <v>-0.15774339999999901</v>
      </c>
      <c r="AH6216">
        <v>0.57686194680971203</v>
      </c>
      <c r="AI6216">
        <v>105.166102585472</v>
      </c>
      <c r="AJ6216">
        <v>82.415931190091001</v>
      </c>
      <c r="AK6216">
        <v>0.60295268066502805</v>
      </c>
    </row>
    <row r="6217" spans="1:37" x14ac:dyDescent="0.2">
      <c r="A6217" t="str">
        <f>"20200111153550966"</f>
        <v>20200111153550966</v>
      </c>
      <c r="B6217" t="str">
        <f>"1578728150962182"</f>
        <v>1578728150962182</v>
      </c>
      <c r="C6217" t="s">
        <v>37</v>
      </c>
      <c r="D6217">
        <v>5.2309169999999998</v>
      </c>
      <c r="E6217">
        <v>0.58209750000000005</v>
      </c>
      <c r="F6217" t="s">
        <v>40</v>
      </c>
      <c r="G6217">
        <v>-187.22739999999999</v>
      </c>
      <c r="H6217">
        <v>0.93147080000000004</v>
      </c>
      <c r="I6217">
        <v>-10.74254</v>
      </c>
      <c r="J6217">
        <v>-187.3372</v>
      </c>
      <c r="K6217">
        <v>1.102465</v>
      </c>
      <c r="L6217">
        <v>-11.308869999999899</v>
      </c>
      <c r="M6217">
        <v>2.330134E-2</v>
      </c>
      <c r="N6217">
        <v>0</v>
      </c>
      <c r="O6217">
        <v>0.99972609999999995</v>
      </c>
      <c r="P6217">
        <v>-7.0155560000000006E-2</v>
      </c>
      <c r="Q6217">
        <v>1.5483999999999999E-3</v>
      </c>
      <c r="R6217">
        <v>0.9975349</v>
      </c>
      <c r="S6217">
        <v>0.38334659999999998</v>
      </c>
      <c r="T6217">
        <v>-0.55198549999999902</v>
      </c>
      <c r="U6217">
        <v>3.0355219999999998</v>
      </c>
      <c r="V6217">
        <v>-9.3375440000000004E-2</v>
      </c>
      <c r="W6217">
        <v>3.8416929999999902E-3</v>
      </c>
      <c r="X6217">
        <v>0.99562349999999999</v>
      </c>
      <c r="Y6217">
        <v>0.1001462</v>
      </c>
      <c r="Z6217">
        <v>-0.1777049</v>
      </c>
      <c r="AA6217">
        <v>0.97897479999999903</v>
      </c>
      <c r="AB6217">
        <v>37</v>
      </c>
      <c r="AC6217">
        <v>0.109800000000007</v>
      </c>
      <c r="AD6217">
        <v>-0.17099420000000001</v>
      </c>
      <c r="AE6217">
        <v>0.566329999999998</v>
      </c>
      <c r="AF6217">
        <v>8.8774092768391905E-2</v>
      </c>
      <c r="AG6217">
        <v>-0.17099420000000001</v>
      </c>
      <c r="AH6217">
        <v>0.52280072572300296</v>
      </c>
      <c r="AI6217">
        <v>107.872310612324</v>
      </c>
      <c r="AJ6217">
        <v>80.362822886916405</v>
      </c>
      <c r="AK6217">
        <v>0.55717183596893105</v>
      </c>
    </row>
    <row r="6218" spans="1:37" x14ac:dyDescent="0.2">
      <c r="A6218" t="str">
        <f>"20200111153550986"</f>
        <v>20200111153550986</v>
      </c>
      <c r="B6218" t="str">
        <f>"1578728150981701"</f>
        <v>1578728150981701</v>
      </c>
      <c r="C6218" t="s">
        <v>37</v>
      </c>
      <c r="D6218">
        <v>5.2088049999999999</v>
      </c>
      <c r="E6218">
        <v>0.58438069999999998</v>
      </c>
      <c r="F6218" t="s">
        <v>40</v>
      </c>
      <c r="G6218">
        <v>-187.20779999999999</v>
      </c>
      <c r="H6218">
        <v>0.92684719999999998</v>
      </c>
      <c r="I6218">
        <v>-10.408609999999999</v>
      </c>
      <c r="J6218">
        <v>-187.32849999999999</v>
      </c>
      <c r="K6218">
        <v>1.1024510000000001</v>
      </c>
      <c r="L6218">
        <v>-10.95065</v>
      </c>
      <c r="M6218">
        <v>2.3873519999999999E-2</v>
      </c>
      <c r="N6218">
        <v>0</v>
      </c>
      <c r="O6218">
        <v>0.99971270000000001</v>
      </c>
      <c r="P6218">
        <v>-6.9080649999999993E-2</v>
      </c>
      <c r="Q6218">
        <v>1.528319E-3</v>
      </c>
      <c r="R6218">
        <v>0.99760990000000005</v>
      </c>
      <c r="S6218">
        <v>0.43692019999999998</v>
      </c>
      <c r="T6218">
        <v>-0.59283189999999997</v>
      </c>
      <c r="U6218">
        <v>3.0390630000000001</v>
      </c>
      <c r="V6218">
        <v>-9.2872709999999997E-2</v>
      </c>
      <c r="W6218">
        <v>3.78495E-3</v>
      </c>
      <c r="X6218">
        <v>0.99567079999999997</v>
      </c>
      <c r="Y6218">
        <v>0.116048</v>
      </c>
      <c r="Z6218">
        <v>-0.18979660000000001</v>
      </c>
      <c r="AA6218">
        <v>0.9749411</v>
      </c>
      <c r="AB6218">
        <v>37</v>
      </c>
      <c r="AC6218">
        <v>0.120699999999999</v>
      </c>
      <c r="AD6218">
        <v>-0.1756038</v>
      </c>
      <c r="AE6218">
        <v>0.54203999999999797</v>
      </c>
      <c r="AF6218">
        <v>9.7932226566596697E-2</v>
      </c>
      <c r="AG6218">
        <v>-0.1756038</v>
      </c>
      <c r="AH6218">
        <v>0.49524407409648202</v>
      </c>
      <c r="AI6218">
        <v>109.17995458745401</v>
      </c>
      <c r="AJ6218">
        <v>78.814333068930495</v>
      </c>
      <c r="AK6218">
        <v>0.53450360943815201</v>
      </c>
    </row>
    <row r="6219" spans="1:37" x14ac:dyDescent="0.2">
      <c r="A6219" t="str">
        <f>"20200111153551010"</f>
        <v>20200111153551010</v>
      </c>
      <c r="B6219" t="str">
        <f>"1578728151002197"</f>
        <v>1578728151002197</v>
      </c>
      <c r="C6219" t="s">
        <v>37</v>
      </c>
      <c r="D6219">
        <v>5.2384370000000002</v>
      </c>
      <c r="E6219">
        <v>0.58609029999999995</v>
      </c>
      <c r="F6219" t="s">
        <v>40</v>
      </c>
      <c r="G6219">
        <v>-187.19579999999999</v>
      </c>
      <c r="H6219">
        <v>0.92671909999999902</v>
      </c>
      <c r="I6219">
        <v>-10.07119</v>
      </c>
      <c r="J6219">
        <v>-187.31819999999999</v>
      </c>
      <c r="K6219">
        <v>1.102447</v>
      </c>
      <c r="L6219">
        <v>-10.54111</v>
      </c>
      <c r="M6219">
        <v>2.4500029999999999E-2</v>
      </c>
      <c r="N6219">
        <v>0</v>
      </c>
      <c r="O6219">
        <v>0.99969759999999996</v>
      </c>
      <c r="P6219">
        <v>-6.7842360000000004E-2</v>
      </c>
      <c r="Q6219">
        <v>1.5034569999999999E-3</v>
      </c>
      <c r="R6219">
        <v>0.99769490000000005</v>
      </c>
      <c r="S6219">
        <v>0.45845029999999998</v>
      </c>
      <c r="T6219">
        <v>-0.60741400000000001</v>
      </c>
      <c r="U6219">
        <v>3.0398559999999999</v>
      </c>
      <c r="V6219">
        <v>-9.2260709999999996E-2</v>
      </c>
      <c r="W6219">
        <v>3.7267759999999998E-3</v>
      </c>
      <c r="X6219">
        <v>0.9957279</v>
      </c>
      <c r="Y6219">
        <v>0.12202159999999999</v>
      </c>
      <c r="Z6219">
        <v>-0.19407170000000001</v>
      </c>
      <c r="AA6219">
        <v>0.97336889999999998</v>
      </c>
      <c r="AB6219">
        <v>38</v>
      </c>
      <c r="AC6219">
        <v>0.122399999999998</v>
      </c>
      <c r="AD6219">
        <v>-0.17572789999999999</v>
      </c>
      <c r="AE6219">
        <v>0.46992</v>
      </c>
      <c r="AF6219">
        <v>9.8014577902950401E-2</v>
      </c>
      <c r="AG6219">
        <v>-0.17572789999999999</v>
      </c>
      <c r="AH6219">
        <v>0.41803371264126898</v>
      </c>
      <c r="AI6219">
        <v>112.257747788491</v>
      </c>
      <c r="AJ6219">
        <v>76.804461851152993</v>
      </c>
      <c r="AK6219">
        <v>0.46393893695673699</v>
      </c>
    </row>
    <row r="6220" spans="1:37" x14ac:dyDescent="0.2">
      <c r="A6220" t="str">
        <f>"20200111153551031"</f>
        <v>20200111153551031</v>
      </c>
      <c r="B6220" t="str">
        <f>"1578728151021718"</f>
        <v>1578728151021718</v>
      </c>
      <c r="C6220" t="s">
        <v>37</v>
      </c>
      <c r="D6220">
        <v>5.1881279999999999</v>
      </c>
      <c r="E6220">
        <v>0.58750429999999998</v>
      </c>
      <c r="F6220" t="s">
        <v>40</v>
      </c>
      <c r="G6220">
        <v>-187.19069999999999</v>
      </c>
      <c r="H6220">
        <v>0.93782469999999996</v>
      </c>
      <c r="I6220">
        <v>-9.727214</v>
      </c>
      <c r="J6220">
        <v>-187.309</v>
      </c>
      <c r="K6220">
        <v>1.102454</v>
      </c>
      <c r="L6220">
        <v>-10.18018</v>
      </c>
      <c r="M6220">
        <v>2.5017899999999999E-2</v>
      </c>
      <c r="N6220">
        <v>0</v>
      </c>
      <c r="O6220">
        <v>0.99968480000000004</v>
      </c>
      <c r="P6220">
        <v>-6.6506179999999998E-2</v>
      </c>
      <c r="Q6220">
        <v>1.7185709999999999E-3</v>
      </c>
      <c r="R6220">
        <v>0.99778459999999902</v>
      </c>
      <c r="S6220">
        <v>0.47563169999999999</v>
      </c>
      <c r="T6220">
        <v>-0.61488520000000002</v>
      </c>
      <c r="U6220">
        <v>3.0401919999999998</v>
      </c>
      <c r="V6220">
        <v>-9.1442529999999994E-2</v>
      </c>
      <c r="W6220">
        <v>3.9184620000000002E-3</v>
      </c>
      <c r="X6220">
        <v>0.99580259999999998</v>
      </c>
      <c r="Y6220">
        <v>0.12679889999999999</v>
      </c>
      <c r="Z6220">
        <v>-0.19620279999999901</v>
      </c>
      <c r="AA6220">
        <v>0.97233049999999999</v>
      </c>
      <c r="AB6220">
        <v>38</v>
      </c>
      <c r="AC6220">
        <v>0.118300000000033</v>
      </c>
      <c r="AD6220">
        <v>-0.16462930000000001</v>
      </c>
      <c r="AE6220">
        <v>0.45296599999999998</v>
      </c>
      <c r="AF6220">
        <v>9.5162904258890998E-2</v>
      </c>
      <c r="AG6220">
        <v>-0.16462930000000001</v>
      </c>
      <c r="AH6220">
        <v>0.40562456719214601</v>
      </c>
      <c r="AI6220">
        <v>111.56083222153499</v>
      </c>
      <c r="AJ6220">
        <v>76.796716992327603</v>
      </c>
      <c r="AK6220">
        <v>0.44798445762692801</v>
      </c>
    </row>
    <row r="6221" spans="1:37" x14ac:dyDescent="0.2">
      <c r="A6221" t="str">
        <f>"20200111153551053"</f>
        <v>20200111153551053</v>
      </c>
      <c r="B6221" t="str">
        <f>"1578728151042216"</f>
        <v>1578728151042216</v>
      </c>
      <c r="C6221" t="s">
        <v>37</v>
      </c>
      <c r="D6221">
        <v>5.246715</v>
      </c>
      <c r="E6221">
        <v>0.5881786</v>
      </c>
      <c r="F6221" t="s">
        <v>40</v>
      </c>
      <c r="G6221">
        <v>-187.1807</v>
      </c>
      <c r="H6221">
        <v>0.94069780000000003</v>
      </c>
      <c r="I6221">
        <v>-9.3854240000000004</v>
      </c>
      <c r="J6221">
        <v>-187.29900000000001</v>
      </c>
      <c r="K6221">
        <v>1.1024659999999999</v>
      </c>
      <c r="L6221">
        <v>-9.7964479999999998</v>
      </c>
      <c r="M6221">
        <v>2.5522389999999999E-2</v>
      </c>
      <c r="N6221">
        <v>0</v>
      </c>
      <c r="O6221">
        <v>0.99967209999999995</v>
      </c>
      <c r="P6221">
        <v>-6.4927310000000002E-2</v>
      </c>
      <c r="Q6221">
        <v>2.0025780000000001E-3</v>
      </c>
      <c r="R6221">
        <v>0.997887999999999</v>
      </c>
      <c r="S6221">
        <v>0.490447999999999</v>
      </c>
      <c r="T6221">
        <v>-0.61880179999999996</v>
      </c>
      <c r="U6221">
        <v>3.0404049999999998</v>
      </c>
      <c r="V6221">
        <v>-9.0369260000000007E-2</v>
      </c>
      <c r="W6221">
        <v>4.1807210000000001E-3</v>
      </c>
      <c r="X6221">
        <v>0.995899599999999</v>
      </c>
      <c r="Y6221">
        <v>0.13087489999999999</v>
      </c>
      <c r="Z6221">
        <v>-0.1972624</v>
      </c>
      <c r="AA6221">
        <v>0.97157569999999904</v>
      </c>
      <c r="AB6221">
        <v>38</v>
      </c>
      <c r="AC6221">
        <v>0.118300000000004</v>
      </c>
      <c r="AD6221">
        <v>-0.161768199999999</v>
      </c>
      <c r="AE6221">
        <v>0.411023999999999</v>
      </c>
      <c r="AF6221">
        <v>9.4283820489260595E-2</v>
      </c>
      <c r="AG6221">
        <v>-0.161768199999999</v>
      </c>
      <c r="AH6221">
        <v>0.36210961332930502</v>
      </c>
      <c r="AI6221">
        <v>113.379983040583</v>
      </c>
      <c r="AJ6221">
        <v>75.405729860363493</v>
      </c>
      <c r="AK6221">
        <v>0.40765397263217001</v>
      </c>
    </row>
    <row r="6222" spans="1:37" x14ac:dyDescent="0.2">
      <c r="A6222" t="str">
        <f>"20200111153551075"</f>
        <v>20200111153551075</v>
      </c>
      <c r="B6222" t="str">
        <f>"1578728151071493"</f>
        <v>1578728151071493</v>
      </c>
      <c r="C6222" t="s">
        <v>37</v>
      </c>
      <c r="D6222">
        <v>5.1716280000000001</v>
      </c>
      <c r="E6222">
        <v>0.60852969999999995</v>
      </c>
      <c r="F6222" t="s">
        <v>40</v>
      </c>
      <c r="G6222">
        <v>-187.17439999999999</v>
      </c>
      <c r="H6222">
        <v>0.94819709999999902</v>
      </c>
      <c r="I6222">
        <v>-9.0399919999999998</v>
      </c>
      <c r="J6222">
        <v>-187.2894</v>
      </c>
      <c r="K6222">
        <v>1.1024830000000001</v>
      </c>
      <c r="L6222">
        <v>-9.4335629999999995</v>
      </c>
      <c r="M6222">
        <v>2.594484E-2</v>
      </c>
      <c r="N6222">
        <v>0</v>
      </c>
      <c r="O6222">
        <v>0.99966129999999997</v>
      </c>
      <c r="P6222">
        <v>-6.3452629999999996E-2</v>
      </c>
      <c r="Q6222">
        <v>1.755703E-3</v>
      </c>
      <c r="R6222">
        <v>0.99798330000000002</v>
      </c>
      <c r="S6222">
        <v>0.50056460000000003</v>
      </c>
      <c r="T6222">
        <v>-0.61998030000000004</v>
      </c>
      <c r="U6222">
        <v>3.0401609999999999</v>
      </c>
      <c r="V6222">
        <v>-8.9319339999999997E-2</v>
      </c>
      <c r="W6222">
        <v>3.9156019999999998E-3</v>
      </c>
      <c r="X6222">
        <v>0.99599530000000003</v>
      </c>
      <c r="Y6222">
        <v>0.133608</v>
      </c>
      <c r="Z6222">
        <v>-0.19754859999999999</v>
      </c>
      <c r="AA6222">
        <v>0.97114549999999999</v>
      </c>
      <c r="AB6222">
        <v>38</v>
      </c>
      <c r="AC6222">
        <v>0.115000000000009</v>
      </c>
      <c r="AD6222">
        <v>-0.1542859</v>
      </c>
      <c r="AE6222">
        <v>0.393571000000001</v>
      </c>
      <c r="AF6222">
        <v>9.1758299336600402E-2</v>
      </c>
      <c r="AG6222">
        <v>-0.1542859</v>
      </c>
      <c r="AH6222">
        <v>0.34725517448468801</v>
      </c>
      <c r="AI6222">
        <v>113.24632402434899</v>
      </c>
      <c r="AJ6222">
        <v>75.198531025490595</v>
      </c>
      <c r="AK6222">
        <v>0.39090904395056703</v>
      </c>
    </row>
    <row r="6223" spans="1:37" x14ac:dyDescent="0.2">
      <c r="A6223" t="str">
        <f>"20200111153551097"</f>
        <v>20200111153551097</v>
      </c>
      <c r="B6223" t="str">
        <f>"1578728151091991"</f>
        <v>1578728151091991</v>
      </c>
      <c r="C6223" t="s">
        <v>37</v>
      </c>
      <c r="D6223">
        <v>5.1810409999999996</v>
      </c>
      <c r="E6223">
        <v>0.60799239999999999</v>
      </c>
      <c r="F6223" t="s">
        <v>40</v>
      </c>
      <c r="G6223">
        <v>-187.12960000000001</v>
      </c>
      <c r="H6223">
        <v>0.93362119999999904</v>
      </c>
      <c r="I6223">
        <v>-8.7028379999999999</v>
      </c>
      <c r="J6223">
        <v>-187.279</v>
      </c>
      <c r="K6223">
        <v>1.1025180000000001</v>
      </c>
      <c r="L6223">
        <v>-9.0434269999999994</v>
      </c>
      <c r="M6223">
        <v>2.6332069999999999E-2</v>
      </c>
      <c r="N6223">
        <v>0</v>
      </c>
      <c r="O6223">
        <v>0.99965110000000001</v>
      </c>
      <c r="P6223">
        <v>-6.1903140000000002E-2</v>
      </c>
      <c r="Q6223">
        <v>1.1652570000000001E-3</v>
      </c>
      <c r="R6223">
        <v>0.99808149999999995</v>
      </c>
      <c r="S6223">
        <v>0.66690059999999995</v>
      </c>
      <c r="T6223">
        <v>-0.70474209999999904</v>
      </c>
      <c r="U6223">
        <v>3.0497130000000001</v>
      </c>
      <c r="V6223">
        <v>-8.8159710000000002E-2</v>
      </c>
      <c r="W6223">
        <v>3.3090699999999999E-3</v>
      </c>
      <c r="X6223">
        <v>0.99610080000000001</v>
      </c>
      <c r="Y6223">
        <v>0.18256749999999999</v>
      </c>
      <c r="Z6223">
        <v>-0.22067489999999901</v>
      </c>
      <c r="AA6223">
        <v>0.95810839999999997</v>
      </c>
      <c r="AB6223">
        <v>38</v>
      </c>
      <c r="AC6223">
        <v>0.14940000000001399</v>
      </c>
      <c r="AD6223">
        <v>-0.16889680000000001</v>
      </c>
      <c r="AE6223">
        <v>0.34058900000000097</v>
      </c>
      <c r="AF6223">
        <v>0.11637883568091401</v>
      </c>
      <c r="AG6223">
        <v>-0.16889680000000001</v>
      </c>
      <c r="AH6223">
        <v>0.285521522679762</v>
      </c>
      <c r="AI6223">
        <v>118.713120355922</v>
      </c>
      <c r="AJ6223">
        <v>67.824145636488495</v>
      </c>
      <c r="AK6223">
        <v>0.351557537763103</v>
      </c>
    </row>
    <row r="6224" spans="1:37" x14ac:dyDescent="0.2">
      <c r="A6224" t="str">
        <f>"20200111153551123"</f>
        <v>20200111153551123</v>
      </c>
      <c r="B6224" t="str">
        <f>"1578728151111510"</f>
        <v>1578728151111510</v>
      </c>
      <c r="C6224" t="s">
        <v>37</v>
      </c>
      <c r="D6224">
        <v>5.1648870000000002</v>
      </c>
      <c r="E6224">
        <v>0.60756809999999895</v>
      </c>
      <c r="F6224" t="s">
        <v>40</v>
      </c>
      <c r="G6224">
        <v>-187.1277</v>
      </c>
      <c r="H6224">
        <v>0.9430366</v>
      </c>
      <c r="I6224">
        <v>-8.3536559999999902</v>
      </c>
      <c r="J6224">
        <v>-187.26750000000001</v>
      </c>
      <c r="K6224">
        <v>1.1025639999999901</v>
      </c>
      <c r="L6224">
        <v>-8.6169740000000008</v>
      </c>
      <c r="M6224">
        <v>2.665679E-2</v>
      </c>
      <c r="N6224">
        <v>0</v>
      </c>
      <c r="O6224">
        <v>0.99964259999999905</v>
      </c>
      <c r="P6224">
        <v>-6.0424070000000003E-2</v>
      </c>
      <c r="Q6224">
        <v>9.8636839999999997E-4</v>
      </c>
      <c r="R6224">
        <v>0.99817230000000001</v>
      </c>
      <c r="S6224">
        <v>0.66810609999999904</v>
      </c>
      <c r="T6224">
        <v>-0.70471099999999998</v>
      </c>
      <c r="U6224">
        <v>3.048035</v>
      </c>
      <c r="V6224">
        <v>-8.7007890000000004E-2</v>
      </c>
      <c r="W6224">
        <v>3.1178579999999998E-3</v>
      </c>
      <c r="X6224">
        <v>0.99620280000000005</v>
      </c>
      <c r="Y6224">
        <v>0.18271579999999901</v>
      </c>
      <c r="Z6224">
        <v>-0.22076379999999901</v>
      </c>
      <c r="AA6224">
        <v>0.95805969999999996</v>
      </c>
      <c r="AB6224">
        <v>38</v>
      </c>
      <c r="AC6224">
        <v>0.139800000000008</v>
      </c>
      <c r="AD6224">
        <v>-0.15952739999999899</v>
      </c>
      <c r="AE6224">
        <v>0.263318000000001</v>
      </c>
      <c r="AF6224">
        <v>0.103186003790238</v>
      </c>
      <c r="AG6224">
        <v>-0.15952739999999899</v>
      </c>
      <c r="AH6224">
        <v>0.20752946212474499</v>
      </c>
      <c r="AI6224">
        <v>124.54002936578399</v>
      </c>
      <c r="AJ6224">
        <v>63.562913703060097</v>
      </c>
      <c r="AK6224">
        <v>0.28136243597670402</v>
      </c>
    </row>
    <row r="6225" spans="1:37" x14ac:dyDescent="0.2">
      <c r="A6225" t="str">
        <f>"20200111153551144"</f>
        <v>20200111153551144</v>
      </c>
      <c r="B6225" t="str">
        <f>"1578728151132005"</f>
        <v>1578728151132005</v>
      </c>
      <c r="C6225" t="s">
        <v>37</v>
      </c>
      <c r="D6225">
        <v>5.1655680000000004</v>
      </c>
      <c r="E6225">
        <v>0.60737569999999996</v>
      </c>
      <c r="F6225" t="s">
        <v>40</v>
      </c>
      <c r="G6225">
        <v>-187.06190000000001</v>
      </c>
      <c r="H6225">
        <v>0.88655729999999999</v>
      </c>
      <c r="I6225">
        <v>-7.6820589999999997</v>
      </c>
      <c r="J6225">
        <v>-187.25729999999999</v>
      </c>
      <c r="K6225">
        <v>1.1026100000000001</v>
      </c>
      <c r="L6225">
        <v>-8.2411189999999994</v>
      </c>
      <c r="M6225">
        <v>2.6861880000000001E-2</v>
      </c>
      <c r="N6225">
        <v>0</v>
      </c>
      <c r="O6225">
        <v>0.999637</v>
      </c>
      <c r="P6225">
        <v>-5.8197199999999998E-2</v>
      </c>
      <c r="Q6225">
        <v>8.8976039999999902E-4</v>
      </c>
      <c r="R6225">
        <v>0.99830469999999905</v>
      </c>
      <c r="S6225">
        <v>0.66922000000000004</v>
      </c>
      <c r="T6225">
        <v>-0.70390200000000003</v>
      </c>
      <c r="U6225">
        <v>3.04669199999999</v>
      </c>
      <c r="V6225">
        <v>-8.4990289999999996E-2</v>
      </c>
      <c r="W6225">
        <v>3.014386E-3</v>
      </c>
      <c r="X6225">
        <v>0.99637719999999896</v>
      </c>
      <c r="Y6225">
        <v>0.18294479999999999</v>
      </c>
      <c r="Z6225">
        <v>-0.2205985</v>
      </c>
      <c r="AA6225">
        <v>0.95805399999999996</v>
      </c>
      <c r="AB6225">
        <v>39</v>
      </c>
      <c r="AC6225">
        <v>0.19539999999997801</v>
      </c>
      <c r="AD6225">
        <v>-0.21605269999999999</v>
      </c>
      <c r="AE6225">
        <v>0.559059999999999</v>
      </c>
      <c r="AF6225">
        <v>0.15913295357308299</v>
      </c>
      <c r="AG6225">
        <v>-0.21605269999999999</v>
      </c>
      <c r="AH6225">
        <v>0.49784817056277397</v>
      </c>
      <c r="AI6225">
        <v>112.458705079865</v>
      </c>
      <c r="AJ6225">
        <v>72.273961042204405</v>
      </c>
      <c r="AK6225">
        <v>0.56555712976045402</v>
      </c>
    </row>
    <row r="6226" spans="1:37" x14ac:dyDescent="0.2">
      <c r="A6226" t="str">
        <f>"20200111153551166"</f>
        <v>20200111153551166</v>
      </c>
      <c r="B6226" t="str">
        <f>"1578728151162262"</f>
        <v>1578728151162262</v>
      </c>
      <c r="C6226" t="s">
        <v>37</v>
      </c>
      <c r="D6226">
        <v>5.1568300000000002</v>
      </c>
      <c r="E6226">
        <v>0.60710500000000001</v>
      </c>
      <c r="F6226" t="s">
        <v>40</v>
      </c>
      <c r="G6226">
        <v>-187.05590000000001</v>
      </c>
      <c r="H6226">
        <v>0.89253869999999902</v>
      </c>
      <c r="I6226">
        <v>-7.3301850000000002</v>
      </c>
      <c r="J6226">
        <v>-187.24690000000001</v>
      </c>
      <c r="K6226">
        <v>1.1026530000000001</v>
      </c>
      <c r="L6226">
        <v>-7.8557429999999897</v>
      </c>
      <c r="M6226">
        <v>2.700555E-2</v>
      </c>
      <c r="N6226">
        <v>0</v>
      </c>
      <c r="O6226">
        <v>0.99963310000000005</v>
      </c>
      <c r="P6226">
        <v>-5.6594770000000003E-2</v>
      </c>
      <c r="Q6226">
        <v>1.1423750000000001E-4</v>
      </c>
      <c r="R6226">
        <v>0.99839719999999998</v>
      </c>
      <c r="S6226">
        <v>0.67324830000000002</v>
      </c>
      <c r="T6226">
        <v>-0.7021946</v>
      </c>
      <c r="U6226">
        <v>3.0449519999999999</v>
      </c>
      <c r="V6226">
        <v>-8.3534639999999993E-2</v>
      </c>
      <c r="W6226">
        <v>2.236666E-3</v>
      </c>
      <c r="X6226">
        <v>0.99650229999999995</v>
      </c>
      <c r="Y6226">
        <v>0.184148799999999</v>
      </c>
      <c r="Z6226">
        <v>-0.22015090000000001</v>
      </c>
      <c r="AA6226">
        <v>0.95792630000000001</v>
      </c>
      <c r="AB6226">
        <v>39</v>
      </c>
      <c r="AC6226">
        <v>0.191000000000002</v>
      </c>
      <c r="AD6226">
        <v>-0.2101143</v>
      </c>
      <c r="AE6226">
        <v>0.52555799999999897</v>
      </c>
      <c r="AF6226">
        <v>0.154871509109577</v>
      </c>
      <c r="AG6226">
        <v>-0.2101143</v>
      </c>
      <c r="AH6226">
        <v>0.46488829121811098</v>
      </c>
      <c r="AI6226">
        <v>113.209608187174</v>
      </c>
      <c r="AJ6226">
        <v>71.575173892140199</v>
      </c>
      <c r="AK6226">
        <v>0.533155068165035</v>
      </c>
    </row>
    <row r="6227" spans="1:37" x14ac:dyDescent="0.2">
      <c r="A6227" t="str">
        <f>"20200111153551187"</f>
        <v>20200111153551187</v>
      </c>
      <c r="B6227" t="str">
        <f>"1578728151181781"</f>
        <v>1578728151181781</v>
      </c>
      <c r="C6227" t="s">
        <v>37</v>
      </c>
      <c r="D6227">
        <v>5.0755049999999997</v>
      </c>
      <c r="E6227">
        <v>0.60684130000000003</v>
      </c>
      <c r="F6227" t="s">
        <v>40</v>
      </c>
      <c r="G6227">
        <v>-187.05170000000001</v>
      </c>
      <c r="H6227">
        <v>0.90015219999999996</v>
      </c>
      <c r="I6227">
        <v>-6.9761860000000002</v>
      </c>
      <c r="J6227">
        <v>-187.23699999999999</v>
      </c>
      <c r="K6227">
        <v>1.1026860000000001</v>
      </c>
      <c r="L6227">
        <v>-7.4934389999999897</v>
      </c>
      <c r="M6227">
        <v>2.7087030000000002E-2</v>
      </c>
      <c r="N6227">
        <v>0</v>
      </c>
      <c r="O6227">
        <v>0.99963089999999999</v>
      </c>
      <c r="P6227">
        <v>-5.6160740000000001E-2</v>
      </c>
      <c r="Q6227">
        <v>-1.4741310000000001E-3</v>
      </c>
      <c r="R6227">
        <v>0.99842070000000005</v>
      </c>
      <c r="S6227">
        <v>0.67463680000000004</v>
      </c>
      <c r="T6227">
        <v>-0.70060690000000003</v>
      </c>
      <c r="U6227">
        <v>3.04312099999999</v>
      </c>
      <c r="V6227">
        <v>-8.3184140000000004E-2</v>
      </c>
      <c r="W6227">
        <v>6.5213830000000002E-4</v>
      </c>
      <c r="X6227">
        <v>0.99653400000000003</v>
      </c>
      <c r="Y6227">
        <v>0.18462509999999999</v>
      </c>
      <c r="Z6227">
        <v>-0.21977959999999999</v>
      </c>
      <c r="AA6227">
        <v>0.95791990000000005</v>
      </c>
      <c r="AB6227">
        <v>39</v>
      </c>
      <c r="AC6227">
        <v>0.18529999999998301</v>
      </c>
      <c r="AD6227">
        <v>-0.20253380000000001</v>
      </c>
      <c r="AE6227">
        <v>0.51725299999999896</v>
      </c>
      <c r="AF6227">
        <v>0.150738939896473</v>
      </c>
      <c r="AG6227">
        <v>-0.20253380000000001</v>
      </c>
      <c r="AH6227">
        <v>0.459628749474777</v>
      </c>
      <c r="AI6227">
        <v>112.719268704114</v>
      </c>
      <c r="AJ6227">
        <v>71.842680608334504</v>
      </c>
      <c r="AK6227">
        <v>0.52440514441345798</v>
      </c>
    </row>
    <row r="6228" spans="1:37" x14ac:dyDescent="0.2">
      <c r="A6228" t="str">
        <f>"20200111153551210"</f>
        <v>20200111153551210</v>
      </c>
      <c r="B6228" t="str">
        <f>"1578728151202277"</f>
        <v>1578728151202277</v>
      </c>
      <c r="C6228" t="s">
        <v>37</v>
      </c>
      <c r="D6228">
        <v>5.0906359999999999</v>
      </c>
      <c r="E6228">
        <v>0.60663509999999998</v>
      </c>
      <c r="F6228" t="s">
        <v>40</v>
      </c>
      <c r="G6228">
        <v>-187.04419999999999</v>
      </c>
      <c r="H6228">
        <v>0.90152759999999998</v>
      </c>
      <c r="I6228">
        <v>-6.6232530000000001</v>
      </c>
      <c r="J6228">
        <v>-187.22559999999999</v>
      </c>
      <c r="K6228">
        <v>1.1027420000000001</v>
      </c>
      <c r="L6228">
        <v>-7.0729369999999996</v>
      </c>
      <c r="M6228">
        <v>2.710922E-2</v>
      </c>
      <c r="N6228">
        <v>0</v>
      </c>
      <c r="O6228">
        <v>0.99963029999999997</v>
      </c>
      <c r="P6228">
        <v>-5.6644170000000001E-2</v>
      </c>
      <c r="Q6228">
        <v>-2.0400710000000001E-3</v>
      </c>
      <c r="R6228">
        <v>0.99839230000000001</v>
      </c>
      <c r="S6228">
        <v>0.67395019999999894</v>
      </c>
      <c r="T6228">
        <v>-0.7031212</v>
      </c>
      <c r="U6228">
        <v>3.0416259999999999</v>
      </c>
      <c r="V6228">
        <v>-8.3688789999999999E-2</v>
      </c>
      <c r="W6228" s="1">
        <v>9.4573249999999994E-5</v>
      </c>
      <c r="X6228">
        <v>0.99649189999999999</v>
      </c>
      <c r="Y6228">
        <v>0.184454799999999</v>
      </c>
      <c r="Z6228">
        <v>-0.22063840000000001</v>
      </c>
      <c r="AA6228">
        <v>0.95775529999999998</v>
      </c>
      <c r="AB6228">
        <v>39</v>
      </c>
      <c r="AC6228">
        <v>0.18139999999999601</v>
      </c>
      <c r="AD6228">
        <v>-0.20121439999999999</v>
      </c>
      <c r="AE6228">
        <v>0.44968399999999897</v>
      </c>
      <c r="AF6228">
        <v>0.144295479399981</v>
      </c>
      <c r="AG6228">
        <v>-0.20121439999999999</v>
      </c>
      <c r="AH6228">
        <v>0.38767917808769897</v>
      </c>
      <c r="AI6228">
        <v>115.939313919127</v>
      </c>
      <c r="AJ6228">
        <v>69.584566091974395</v>
      </c>
      <c r="AK6228">
        <v>0.46000387527213799</v>
      </c>
    </row>
    <row r="6229" spans="1:37" x14ac:dyDescent="0.2">
      <c r="A6229" t="str">
        <f>"20200111153551232"</f>
        <v>20200111153551232</v>
      </c>
      <c r="B6229" t="str">
        <f>"1578728151221800"</f>
        <v>1578728151221800</v>
      </c>
      <c r="C6229" t="s">
        <v>37</v>
      </c>
      <c r="D6229">
        <v>5.0427580000000001</v>
      </c>
      <c r="E6229">
        <v>0.60648849999999999</v>
      </c>
      <c r="F6229" t="s">
        <v>40</v>
      </c>
      <c r="G6229">
        <v>-187.047</v>
      </c>
      <c r="H6229">
        <v>0.91606659999999995</v>
      </c>
      <c r="I6229">
        <v>-6.26356</v>
      </c>
      <c r="J6229">
        <v>-187.21510000000001</v>
      </c>
      <c r="K6229">
        <v>1.1027959999999899</v>
      </c>
      <c r="L6229">
        <v>-6.6837160000000004</v>
      </c>
      <c r="M6229">
        <v>2.705606E-2</v>
      </c>
      <c r="N6229">
        <v>0</v>
      </c>
      <c r="O6229">
        <v>0.99963159999999895</v>
      </c>
      <c r="P6229">
        <v>-5.6831300000000001E-2</v>
      </c>
      <c r="Q6229">
        <v>-1.892452E-3</v>
      </c>
      <c r="R6229">
        <v>0.99838199999999999</v>
      </c>
      <c r="S6229">
        <v>0.67070010000000002</v>
      </c>
      <c r="T6229">
        <v>-0.70147700000000002</v>
      </c>
      <c r="U6229">
        <v>3.0414430000000001</v>
      </c>
      <c r="V6229">
        <v>-8.3822789999999994E-2</v>
      </c>
      <c r="W6229">
        <v>2.5254889999999999E-4</v>
      </c>
      <c r="X6229">
        <v>0.99648060000000005</v>
      </c>
      <c r="Y6229">
        <v>0.18356439999999999</v>
      </c>
      <c r="Z6229">
        <v>-0.22020300000000001</v>
      </c>
      <c r="AA6229">
        <v>0.958026499999999</v>
      </c>
      <c r="AB6229">
        <v>39</v>
      </c>
      <c r="AC6229">
        <v>0.16810000000000899</v>
      </c>
      <c r="AD6229">
        <v>-0.18672939999999999</v>
      </c>
      <c r="AE6229">
        <v>0.42015599999999997</v>
      </c>
      <c r="AF6229">
        <v>0.13387649755531</v>
      </c>
      <c r="AG6229">
        <v>-0.18672939999999999</v>
      </c>
      <c r="AH6229">
        <v>0.36278207329482698</v>
      </c>
      <c r="AI6229">
        <v>115.775167471055</v>
      </c>
      <c r="AJ6229">
        <v>69.744561285726206</v>
      </c>
      <c r="AK6229">
        <v>0.42942009515872698</v>
      </c>
    </row>
    <row r="6230" spans="1:37" x14ac:dyDescent="0.2">
      <c r="A6230" t="str">
        <f>"20200111153551254"</f>
        <v>20200111153551254</v>
      </c>
      <c r="B6230" t="str">
        <f>"1578728151242297"</f>
        <v>1578728151242297</v>
      </c>
      <c r="C6230" t="s">
        <v>37</v>
      </c>
      <c r="D6230">
        <v>5.0452839999999997</v>
      </c>
      <c r="E6230">
        <v>0.60628870000000001</v>
      </c>
      <c r="F6230" t="s">
        <v>40</v>
      </c>
      <c r="G6230">
        <v>-187.04390000000001</v>
      </c>
      <c r="H6230">
        <v>0.92382339999999996</v>
      </c>
      <c r="I6230">
        <v>-5.9051070000000001</v>
      </c>
      <c r="J6230">
        <v>-187.20439999999999</v>
      </c>
      <c r="K6230">
        <v>1.10286</v>
      </c>
      <c r="L6230">
        <v>-6.2880859999999998</v>
      </c>
      <c r="M6230">
        <v>2.6928399999999901E-2</v>
      </c>
      <c r="N6230">
        <v>0</v>
      </c>
      <c r="O6230">
        <v>0.99963500000000005</v>
      </c>
      <c r="P6230">
        <v>-5.7328240000000003E-2</v>
      </c>
      <c r="Q6230">
        <v>-1.2475769999999999E-3</v>
      </c>
      <c r="R6230">
        <v>0.99835459999999998</v>
      </c>
      <c r="S6230">
        <v>0.66876219999999997</v>
      </c>
      <c r="T6230">
        <v>-0.69914860000000001</v>
      </c>
      <c r="U6230">
        <v>3.041595</v>
      </c>
      <c r="V6230">
        <v>-8.4191479999999999E-2</v>
      </c>
      <c r="W6230">
        <v>9.0915349999999995E-4</v>
      </c>
      <c r="X6230">
        <v>0.99644920000000003</v>
      </c>
      <c r="Y6230">
        <v>0.1831304</v>
      </c>
      <c r="Z6230">
        <v>-0.21952189999999999</v>
      </c>
      <c r="AA6230">
        <v>0.95826579999999995</v>
      </c>
      <c r="AB6230">
        <v>40</v>
      </c>
      <c r="AC6230">
        <v>0.16049999999998399</v>
      </c>
      <c r="AD6230">
        <v>-0.17903659999999899</v>
      </c>
      <c r="AE6230">
        <v>0.38297899999999901</v>
      </c>
      <c r="AF6230">
        <v>0.126595545344383</v>
      </c>
      <c r="AG6230">
        <v>-0.17903659999999899</v>
      </c>
      <c r="AH6230">
        <v>0.32647309902215899</v>
      </c>
      <c r="AI6230">
        <v>117.080719604872</v>
      </c>
      <c r="AJ6230">
        <v>68.80534311385</v>
      </c>
      <c r="AK6230">
        <v>0.39327499364405799</v>
      </c>
    </row>
    <row r="6231" spans="1:37" x14ac:dyDescent="0.2">
      <c r="A6231" t="str">
        <f>"20200111153551277"</f>
        <v>20200111153551277</v>
      </c>
      <c r="B6231" t="str">
        <f>"1578728151271573"</f>
        <v>1578728151271573</v>
      </c>
      <c r="C6231" t="s">
        <v>37</v>
      </c>
      <c r="D6231">
        <v>5.0193620000000001</v>
      </c>
      <c r="E6231">
        <v>0.6060873</v>
      </c>
      <c r="F6231" t="s">
        <v>40</v>
      </c>
      <c r="G6231">
        <v>-187.04150000000001</v>
      </c>
      <c r="H6231">
        <v>0.93333980000000005</v>
      </c>
      <c r="I6231">
        <v>-5.5444709999999997</v>
      </c>
      <c r="J6231">
        <v>-187.19380000000001</v>
      </c>
      <c r="K6231">
        <v>1.102927</v>
      </c>
      <c r="L6231">
        <v>-5.8899839999999903</v>
      </c>
      <c r="M6231">
        <v>2.6728789999999999E-2</v>
      </c>
      <c r="N6231">
        <v>0</v>
      </c>
      <c r="O6231">
        <v>0.99964030000000004</v>
      </c>
      <c r="P6231">
        <v>-5.7899239999999998E-2</v>
      </c>
      <c r="Q6231">
        <v>-7.275863E-4</v>
      </c>
      <c r="R6231">
        <v>0.99832219999999905</v>
      </c>
      <c r="S6231">
        <v>0.6659851</v>
      </c>
      <c r="T6231">
        <v>-0.69354749999999998</v>
      </c>
      <c r="U6231">
        <v>3.0423279999999999</v>
      </c>
      <c r="V6231">
        <v>-8.4562970000000001E-2</v>
      </c>
      <c r="W6231">
        <v>1.4441650000000001E-3</v>
      </c>
      <c r="X6231">
        <v>0.99641709999999994</v>
      </c>
      <c r="Y6231">
        <v>0.1825243</v>
      </c>
      <c r="Z6231">
        <v>-0.21783369999999999</v>
      </c>
      <c r="AA6231">
        <v>0.95876659999999903</v>
      </c>
      <c r="AB6231">
        <v>40</v>
      </c>
      <c r="AC6231">
        <v>0.15229999999999599</v>
      </c>
      <c r="AD6231">
        <v>-0.16958719999999899</v>
      </c>
      <c r="AE6231">
        <v>0.34551299999999902</v>
      </c>
      <c r="AF6231">
        <v>0.11900499447591301</v>
      </c>
      <c r="AG6231">
        <v>-0.16958719999999899</v>
      </c>
      <c r="AH6231">
        <v>0.29080068658949199</v>
      </c>
      <c r="AI6231">
        <v>118.356959562974</v>
      </c>
      <c r="AJ6231">
        <v>67.744043620257798</v>
      </c>
      <c r="AK6231">
        <v>0.357053282347288</v>
      </c>
    </row>
    <row r="6232" spans="1:37" x14ac:dyDescent="0.2">
      <c r="A6232" t="str">
        <f>"20200111153551310"</f>
        <v>20200111153551310</v>
      </c>
      <c r="B6232" t="str">
        <f>"1578728151301829"</f>
        <v>1578728151301829</v>
      </c>
      <c r="C6232" t="s">
        <v>37</v>
      </c>
      <c r="D6232">
        <v>5.002605</v>
      </c>
      <c r="E6232">
        <v>0.60601340000000004</v>
      </c>
      <c r="F6232" t="s">
        <v>40</v>
      </c>
      <c r="G6232">
        <v>-187.0394</v>
      </c>
      <c r="H6232">
        <v>0.94304759999999999</v>
      </c>
      <c r="I6232">
        <v>-5.182016</v>
      </c>
      <c r="J6232">
        <v>-187.178</v>
      </c>
      <c r="K6232">
        <v>1.1030359999999999</v>
      </c>
      <c r="L6232">
        <v>-5.286346</v>
      </c>
      <c r="M6232">
        <v>2.629952E-2</v>
      </c>
      <c r="N6232">
        <v>0</v>
      </c>
      <c r="O6232">
        <v>0.99965159999999997</v>
      </c>
      <c r="P6232">
        <v>-5.8730839999999999E-2</v>
      </c>
      <c r="Q6232">
        <v>-6.8947170000000001E-4</v>
      </c>
      <c r="R6232">
        <v>0.99827359999999898</v>
      </c>
      <c r="S6232">
        <v>0.66339110000000001</v>
      </c>
      <c r="T6232">
        <v>-0.68720150000000002</v>
      </c>
      <c r="U6232">
        <v>3.0430299999999999</v>
      </c>
      <c r="V6232">
        <v>-8.4964919999999999E-2</v>
      </c>
      <c r="W6232">
        <v>1.5090150000000001E-3</v>
      </c>
      <c r="X6232">
        <v>0.99638280000000001</v>
      </c>
      <c r="Y6232">
        <v>0.18221039999999999</v>
      </c>
      <c r="Z6232">
        <v>-0.21591750000000001</v>
      </c>
      <c r="AA6232">
        <v>0.95925959999999999</v>
      </c>
      <c r="AB6232">
        <v>40</v>
      </c>
      <c r="AC6232">
        <v>0.138599999999996</v>
      </c>
      <c r="AD6232">
        <v>-0.1599884</v>
      </c>
      <c r="AE6232">
        <v>0.10433000000000001</v>
      </c>
      <c r="AF6232">
        <v>7.3389042468210597E-2</v>
      </c>
      <c r="AG6232">
        <v>-0.1599884</v>
      </c>
      <c r="AH6232">
        <v>5.8328886627578402E-2</v>
      </c>
      <c r="AI6232">
        <v>149.63176234226299</v>
      </c>
      <c r="AJ6232">
        <v>38.477330764939701</v>
      </c>
      <c r="AK6232">
        <v>0.185430576508227</v>
      </c>
    </row>
    <row r="6233" spans="1:37" x14ac:dyDescent="0.2">
      <c r="A6233" t="str">
        <f>"20200111153551332"</f>
        <v>20200111153551332</v>
      </c>
      <c r="B6233" t="str">
        <f>"1578728151321934"</f>
        <v>1578728151321934</v>
      </c>
      <c r="C6233" t="s">
        <v>37</v>
      </c>
      <c r="D6233">
        <v>5.012829</v>
      </c>
      <c r="E6233">
        <v>0.6058751</v>
      </c>
      <c r="F6233" t="s">
        <v>40</v>
      </c>
      <c r="G6233">
        <v>-187.0008</v>
      </c>
      <c r="H6233">
        <v>0.91984179999999904</v>
      </c>
      <c r="I6233">
        <v>-4.4705919999999999</v>
      </c>
      <c r="J6233">
        <v>-187.1678</v>
      </c>
      <c r="K6233">
        <v>1.103094</v>
      </c>
      <c r="L6233">
        <v>-4.8905640000000004</v>
      </c>
      <c r="M6233">
        <v>2.5957999999999998E-2</v>
      </c>
      <c r="N6233">
        <v>0</v>
      </c>
      <c r="O6233">
        <v>0.99966039999999901</v>
      </c>
      <c r="P6233">
        <v>-5.8590690000000001E-2</v>
      </c>
      <c r="Q6233">
        <v>-1.2164949999999999E-4</v>
      </c>
      <c r="R6233">
        <v>0.99828209999999995</v>
      </c>
      <c r="S6233">
        <v>0.66087340000000006</v>
      </c>
      <c r="T6233">
        <v>-0.68350219999999995</v>
      </c>
      <c r="U6233">
        <v>3.0436099999999899</v>
      </c>
      <c r="V6233">
        <v>-8.4485439999999995E-2</v>
      </c>
      <c r="W6233">
        <v>2.098384E-3</v>
      </c>
      <c r="X6233">
        <v>0.99642249999999999</v>
      </c>
      <c r="Y6233">
        <v>0.181802399999999</v>
      </c>
      <c r="Z6233">
        <v>-0.21480050000000001</v>
      </c>
      <c r="AA6233">
        <v>0.95958779999999999</v>
      </c>
      <c r="AB6233">
        <v>40</v>
      </c>
      <c r="AC6233">
        <v>0.16700000000000101</v>
      </c>
      <c r="AD6233">
        <v>-0.1832522</v>
      </c>
      <c r="AE6233">
        <v>0.41997200000000001</v>
      </c>
      <c r="AF6233">
        <v>0.13401063496858101</v>
      </c>
      <c r="AG6233">
        <v>-0.1832522</v>
      </c>
      <c r="AH6233">
        <v>0.36427796274081098</v>
      </c>
      <c r="AI6233">
        <v>115.27302123480101</v>
      </c>
      <c r="AJ6233">
        <v>69.802432468559203</v>
      </c>
      <c r="AK6233">
        <v>0.42923030325003603</v>
      </c>
    </row>
    <row r="6234" spans="1:37" x14ac:dyDescent="0.2">
      <c r="A6234" t="str">
        <f>"20200111153551356"</f>
        <v>20200111153551356</v>
      </c>
      <c r="B6234" t="str">
        <f>"1578728151352188"</f>
        <v>1578728151352188</v>
      </c>
      <c r="C6234" t="s">
        <v>37</v>
      </c>
      <c r="D6234">
        <v>4.9619780000000002</v>
      </c>
      <c r="E6234">
        <v>0.60562759999999904</v>
      </c>
      <c r="F6234" t="s">
        <v>40</v>
      </c>
      <c r="G6234">
        <v>-186.9975</v>
      </c>
      <c r="H6234">
        <v>0.92707379999999995</v>
      </c>
      <c r="I6234">
        <v>-4.1050529999999998</v>
      </c>
      <c r="J6234">
        <v>-187.15719999999999</v>
      </c>
      <c r="K6234">
        <v>1.103143</v>
      </c>
      <c r="L6234">
        <v>-4.4707030000000003</v>
      </c>
      <c r="M6234">
        <v>2.5555850000000001E-2</v>
      </c>
      <c r="N6234">
        <v>0</v>
      </c>
      <c r="O6234">
        <v>0.99967070000000002</v>
      </c>
      <c r="P6234">
        <v>-5.8907510000000003E-2</v>
      </c>
      <c r="Q6234">
        <v>-4.9664879999999998E-4</v>
      </c>
      <c r="R6234">
        <v>0.99826329999999996</v>
      </c>
      <c r="S6234">
        <v>0.65937809999999997</v>
      </c>
      <c r="T6234">
        <v>-0.68206140000000004</v>
      </c>
      <c r="U6234">
        <v>3.043793</v>
      </c>
      <c r="V6234">
        <v>-8.4400909999999996E-2</v>
      </c>
      <c r="W6234">
        <v>1.7502939999999999E-3</v>
      </c>
      <c r="X6234">
        <v>0.99643029999999999</v>
      </c>
      <c r="Y6234">
        <v>0.18175529999999901</v>
      </c>
      <c r="Z6234">
        <v>-0.21437149999999999</v>
      </c>
      <c r="AA6234">
        <v>0.95969259999999901</v>
      </c>
      <c r="AB6234">
        <v>40</v>
      </c>
      <c r="AC6234">
        <v>0.15969999999998599</v>
      </c>
      <c r="AD6234">
        <v>-0.17606919999999901</v>
      </c>
      <c r="AE6234">
        <v>0.36564999999999998</v>
      </c>
      <c r="AF6234">
        <v>0.125806209452173</v>
      </c>
      <c r="AG6234">
        <v>-0.17606919999999901</v>
      </c>
      <c r="AH6234">
        <v>0.30937085679889598</v>
      </c>
      <c r="AI6234">
        <v>117.798060990691</v>
      </c>
      <c r="AJ6234">
        <v>67.870795197843805</v>
      </c>
      <c r="AK6234">
        <v>0.37754190835170398</v>
      </c>
    </row>
    <row r="6235" spans="1:37" x14ac:dyDescent="0.2">
      <c r="A6235" t="str">
        <f>"20200111153551376"</f>
        <v>20200111153551376</v>
      </c>
      <c r="B6235" t="str">
        <f>"1578728151371708"</f>
        <v>1578728151371708</v>
      </c>
      <c r="C6235" t="s">
        <v>37</v>
      </c>
      <c r="D6235">
        <v>5.0097889999999996</v>
      </c>
      <c r="E6235">
        <v>0.6055315</v>
      </c>
      <c r="F6235" t="s">
        <v>40</v>
      </c>
      <c r="G6235">
        <v>-186.999</v>
      </c>
      <c r="H6235">
        <v>0.93814679999999995</v>
      </c>
      <c r="I6235">
        <v>-3.7366089999999899</v>
      </c>
      <c r="J6235">
        <v>-187.14760000000001</v>
      </c>
      <c r="K6235">
        <v>1.1031799999999901</v>
      </c>
      <c r="L6235">
        <v>-4.0864560000000001</v>
      </c>
      <c r="M6235">
        <v>2.5160459999999999E-2</v>
      </c>
      <c r="N6235">
        <v>0</v>
      </c>
      <c r="O6235">
        <v>0.99968069999999898</v>
      </c>
      <c r="P6235">
        <v>-5.9922669999999997E-2</v>
      </c>
      <c r="Q6235">
        <v>-1.250548E-3</v>
      </c>
      <c r="R6235">
        <v>0.99820229999999999</v>
      </c>
      <c r="S6235">
        <v>0.65579219999999905</v>
      </c>
      <c r="T6235">
        <v>-0.68407379999999995</v>
      </c>
      <c r="U6235">
        <v>3.0435789999999998</v>
      </c>
      <c r="V6235">
        <v>-8.5020090000000006E-2</v>
      </c>
      <c r="W6235">
        <v>1.0231179999999999E-3</v>
      </c>
      <c r="X6235">
        <v>0.99637869999999995</v>
      </c>
      <c r="Y6235">
        <v>0.18104700000000001</v>
      </c>
      <c r="Z6235">
        <v>-0.215030899999999</v>
      </c>
      <c r="AA6235">
        <v>0.9596789</v>
      </c>
      <c r="AB6235">
        <v>41</v>
      </c>
      <c r="AC6235">
        <v>0.14859999999998699</v>
      </c>
      <c r="AD6235">
        <v>-0.16503319999999899</v>
      </c>
      <c r="AE6235">
        <v>0.34984700000000002</v>
      </c>
      <c r="AF6235">
        <v>0.11758404224607</v>
      </c>
      <c r="AG6235">
        <v>-0.16503319999999899</v>
      </c>
      <c r="AH6235">
        <v>0.29740856137646998</v>
      </c>
      <c r="AI6235">
        <v>117.295390137781</v>
      </c>
      <c r="AJ6235">
        <v>68.428040815837406</v>
      </c>
      <c r="AK6235">
        <v>0.35988028075067802</v>
      </c>
    </row>
    <row r="6236" spans="1:37" x14ac:dyDescent="0.2">
      <c r="A6236" t="str">
        <f>"20200111153551400"</f>
        <v>20200111153551400</v>
      </c>
      <c r="B6236" t="str">
        <f>"1578728151392204"</f>
        <v>1578728151392204</v>
      </c>
      <c r="C6236" t="s">
        <v>37</v>
      </c>
      <c r="D6236">
        <v>4.9929690000000004</v>
      </c>
      <c r="E6236">
        <v>0.60543269999999905</v>
      </c>
      <c r="F6236" t="s">
        <v>40</v>
      </c>
      <c r="G6236">
        <v>-186.9939</v>
      </c>
      <c r="H6236">
        <v>0.9414593</v>
      </c>
      <c r="I6236">
        <v>-3.36960999999999</v>
      </c>
      <c r="J6236">
        <v>-187.13740000000001</v>
      </c>
      <c r="K6236">
        <v>1.1032109999999999</v>
      </c>
      <c r="L6236">
        <v>-3.670258</v>
      </c>
      <c r="M6236">
        <v>2.4712870000000001E-2</v>
      </c>
      <c r="N6236">
        <v>0</v>
      </c>
      <c r="O6236">
        <v>0.99969169999999996</v>
      </c>
      <c r="P6236">
        <v>-6.0816250000000002E-2</v>
      </c>
      <c r="Q6236">
        <v>-1.14185E-3</v>
      </c>
      <c r="R6236">
        <v>0.99814829999999999</v>
      </c>
      <c r="S6236">
        <v>0.6516113</v>
      </c>
      <c r="T6236">
        <v>-0.68665100000000001</v>
      </c>
      <c r="U6236">
        <v>3.0436709999999998</v>
      </c>
      <c r="V6236">
        <v>-8.5465719999999995E-2</v>
      </c>
      <c r="W6236">
        <v>1.163784E-3</v>
      </c>
      <c r="X6236">
        <v>0.99634049999999996</v>
      </c>
      <c r="Y6236">
        <v>0.18018299999999901</v>
      </c>
      <c r="Z6236">
        <v>-0.2158467</v>
      </c>
      <c r="AA6236">
        <v>0.95965840000000002</v>
      </c>
      <c r="AB6236">
        <v>41</v>
      </c>
      <c r="AC6236">
        <v>0.143500000000017</v>
      </c>
      <c r="AD6236">
        <v>-0.1617517</v>
      </c>
      <c r="AE6236">
        <v>0.30064800000000003</v>
      </c>
      <c r="AF6236">
        <v>0.110076102723979</v>
      </c>
      <c r="AG6236">
        <v>-0.1617517</v>
      </c>
      <c r="AH6236">
        <v>0.246087867625739</v>
      </c>
      <c r="AI6236">
        <v>120.963880748085</v>
      </c>
      <c r="AJ6236">
        <v>65.900838150666203</v>
      </c>
      <c r="AK6236">
        <v>0.31438765789447498</v>
      </c>
    </row>
    <row r="6237" spans="1:37" x14ac:dyDescent="0.2">
      <c r="A6237" t="str">
        <f>"20200111153551422"</f>
        <v>20200111153551422</v>
      </c>
      <c r="B6237" t="str">
        <f>"1578728151411912"</f>
        <v>1578728151411912</v>
      </c>
      <c r="C6237" t="s">
        <v>37</v>
      </c>
      <c r="D6237">
        <v>4.9916429999999998</v>
      </c>
      <c r="E6237">
        <v>0.60531000000000001</v>
      </c>
      <c r="F6237" t="s">
        <v>40</v>
      </c>
      <c r="G6237">
        <v>-186.92240000000001</v>
      </c>
      <c r="H6237">
        <v>0.87536759999999902</v>
      </c>
      <c r="I6237">
        <v>-2.6606869999999998</v>
      </c>
      <c r="J6237">
        <v>-187.12710000000001</v>
      </c>
      <c r="K6237">
        <v>1.1032420000000001</v>
      </c>
      <c r="L6237">
        <v>-3.2446290000000002</v>
      </c>
      <c r="M6237">
        <v>2.424173E-2</v>
      </c>
      <c r="N6237">
        <v>0</v>
      </c>
      <c r="O6237">
        <v>0.99970319999999901</v>
      </c>
      <c r="P6237">
        <v>-6.174636E-2</v>
      </c>
      <c r="Q6237">
        <v>-1.1559109999999999E-3</v>
      </c>
      <c r="R6237">
        <v>0.99809119999999996</v>
      </c>
      <c r="S6237">
        <v>0.64755249999999998</v>
      </c>
      <c r="T6237">
        <v>-0.6870271</v>
      </c>
      <c r="U6237">
        <v>3.0442200000000001</v>
      </c>
      <c r="V6237">
        <v>-8.5924639999999997E-2</v>
      </c>
      <c r="W6237">
        <v>1.184765E-3</v>
      </c>
      <c r="X6237">
        <v>0.99630090000000004</v>
      </c>
      <c r="Y6237">
        <v>0.17938109999999999</v>
      </c>
      <c r="Z6237">
        <v>-0.21597079999999999</v>
      </c>
      <c r="AA6237">
        <v>0.95978069999999904</v>
      </c>
      <c r="AB6237">
        <v>41</v>
      </c>
      <c r="AC6237">
        <v>0.20470000000000199</v>
      </c>
      <c r="AD6237">
        <v>-0.2278744</v>
      </c>
      <c r="AE6237">
        <v>0.58394199999999996</v>
      </c>
      <c r="AF6237">
        <v>0.16773604639176301</v>
      </c>
      <c r="AG6237">
        <v>-0.2278744</v>
      </c>
      <c r="AH6237">
        <v>0.51842503403073303</v>
      </c>
      <c r="AI6237">
        <v>112.69498620705799</v>
      </c>
      <c r="AJ6237">
        <v>72.071049752220603</v>
      </c>
      <c r="AK6237">
        <v>0.590615475029453</v>
      </c>
    </row>
    <row r="6238" spans="1:37" x14ac:dyDescent="0.2">
      <c r="A6238" t="str">
        <f>"20200111153551446"</f>
        <v>20200111153551446</v>
      </c>
      <c r="B6238" t="str">
        <f>"1578728151442169"</f>
        <v>1578728151442169</v>
      </c>
      <c r="C6238" t="s">
        <v>37</v>
      </c>
      <c r="D6238">
        <v>5.0064539999999997</v>
      </c>
      <c r="E6238">
        <v>0.6052535</v>
      </c>
      <c r="F6238" t="s">
        <v>40</v>
      </c>
      <c r="G6238">
        <v>-186.92439999999999</v>
      </c>
      <c r="H6238">
        <v>0.88703099999999901</v>
      </c>
      <c r="I6238">
        <v>-2.2862629999999999</v>
      </c>
      <c r="J6238">
        <v>-187.1172</v>
      </c>
      <c r="K6238">
        <v>1.1032690000000001</v>
      </c>
      <c r="L6238">
        <v>-2.8234560000000002</v>
      </c>
      <c r="M6238">
        <v>2.376876E-2</v>
      </c>
      <c r="N6238">
        <v>0</v>
      </c>
      <c r="O6238">
        <v>0.9997144</v>
      </c>
      <c r="P6238">
        <v>-6.278019E-2</v>
      </c>
      <c r="Q6238">
        <v>-9.6139369999999997E-4</v>
      </c>
      <c r="R6238">
        <v>0.99802690000000005</v>
      </c>
      <c r="S6238">
        <v>0.64384459999999999</v>
      </c>
      <c r="T6238">
        <v>-0.68691359999999901</v>
      </c>
      <c r="U6238">
        <v>3.0447690000000001</v>
      </c>
      <c r="V6238">
        <v>-8.6486149999999998E-2</v>
      </c>
      <c r="W6238">
        <v>1.415077E-3</v>
      </c>
      <c r="X6238">
        <v>0.99625209999999997</v>
      </c>
      <c r="Y6238">
        <v>0.17869350000000001</v>
      </c>
      <c r="Z6238">
        <v>-0.21594339999999901</v>
      </c>
      <c r="AA6238">
        <v>0.95991519999999997</v>
      </c>
      <c r="AB6238">
        <v>41</v>
      </c>
      <c r="AC6238">
        <v>0.192800000000005</v>
      </c>
      <c r="AD6238">
        <v>-0.21623800000000001</v>
      </c>
      <c r="AE6238">
        <v>0.53719300000000003</v>
      </c>
      <c r="AF6238">
        <v>0.157385491695717</v>
      </c>
      <c r="AG6238">
        <v>-0.21623800000000001</v>
      </c>
      <c r="AH6238">
        <v>0.473636633957709</v>
      </c>
      <c r="AI6238">
        <v>113.42491178832999</v>
      </c>
      <c r="AJ6238">
        <v>71.618784357681903</v>
      </c>
      <c r="AK6238">
        <v>0.54393081055138903</v>
      </c>
    </row>
    <row r="6239" spans="1:37" x14ac:dyDescent="0.2">
      <c r="A6239" t="str">
        <f>"20200111153551466"</f>
        <v>20200111153551466</v>
      </c>
      <c r="B6239" t="str">
        <f>"1578728151461689"</f>
        <v>1578728151461689</v>
      </c>
      <c r="C6239" t="s">
        <v>37</v>
      </c>
      <c r="D6239">
        <v>4.9643110000000004</v>
      </c>
      <c r="E6239">
        <v>0.60516309999999995</v>
      </c>
      <c r="F6239" t="s">
        <v>40</v>
      </c>
      <c r="G6239">
        <v>-186.9255</v>
      </c>
      <c r="H6239">
        <v>0.89749259999999997</v>
      </c>
      <c r="I6239">
        <v>-1.9109</v>
      </c>
      <c r="J6239">
        <v>-187.108</v>
      </c>
      <c r="K6239">
        <v>1.103283</v>
      </c>
      <c r="L6239">
        <v>-2.4258120000000001</v>
      </c>
      <c r="M6239">
        <v>2.3319429999999999E-2</v>
      </c>
      <c r="N6239">
        <v>0</v>
      </c>
      <c r="O6239">
        <v>0.99972490000000003</v>
      </c>
      <c r="P6239">
        <v>-6.3774159999999996E-2</v>
      </c>
      <c r="Q6239">
        <v>-1.8374489999999999E-3</v>
      </c>
      <c r="R6239">
        <v>0.99796269999999998</v>
      </c>
      <c r="S6239">
        <v>0.63969419999999899</v>
      </c>
      <c r="T6239">
        <v>-0.68674369999999996</v>
      </c>
      <c r="U6239">
        <v>3.0455019999999999</v>
      </c>
      <c r="V6239">
        <v>-8.7029659999999995E-2</v>
      </c>
      <c r="W6239">
        <v>5.7489080000000005E-4</v>
      </c>
      <c r="X6239">
        <v>0.99620560000000002</v>
      </c>
      <c r="Y6239">
        <v>0.1778381</v>
      </c>
      <c r="Z6239">
        <v>-0.2158929</v>
      </c>
      <c r="AA6239">
        <v>0.96008530000000003</v>
      </c>
      <c r="AB6239">
        <v>41</v>
      </c>
      <c r="AC6239">
        <v>0.18250000000000399</v>
      </c>
      <c r="AD6239">
        <v>-0.20579040000000001</v>
      </c>
      <c r="AE6239">
        <v>0.51491200000000004</v>
      </c>
      <c r="AF6239">
        <v>0.14926210400443199</v>
      </c>
      <c r="AG6239">
        <v>-0.20579040000000001</v>
      </c>
      <c r="AH6239">
        <v>0.45452869445778099</v>
      </c>
      <c r="AI6239">
        <v>113.275222086959</v>
      </c>
      <c r="AJ6239">
        <v>71.820402311103393</v>
      </c>
      <c r="AK6239">
        <v>0.52079285566286804</v>
      </c>
    </row>
    <row r="6240" spans="1:37" x14ac:dyDescent="0.2">
      <c r="A6240" t="str">
        <f>"20200111153551489"</f>
        <v>20200111153551489</v>
      </c>
      <c r="B6240" t="str">
        <f>"1578728151482184"</f>
        <v>1578728151482184</v>
      </c>
      <c r="C6240" t="s">
        <v>37</v>
      </c>
      <c r="D6240">
        <v>4.9983120000000003</v>
      </c>
      <c r="E6240">
        <v>0.60514760000000001</v>
      </c>
      <c r="F6240" t="s">
        <v>40</v>
      </c>
      <c r="G6240">
        <v>-186.92250000000001</v>
      </c>
      <c r="H6240">
        <v>0.90169330000000003</v>
      </c>
      <c r="I6240">
        <v>-1.5366379999999999</v>
      </c>
      <c r="J6240">
        <v>-187.09819999999999</v>
      </c>
      <c r="K6240">
        <v>1.103299</v>
      </c>
      <c r="L6240">
        <v>-1.9903869999999999</v>
      </c>
      <c r="M6240">
        <v>2.282576E-2</v>
      </c>
      <c r="N6240">
        <v>0</v>
      </c>
      <c r="O6240">
        <v>0.99973619999999996</v>
      </c>
      <c r="P6240">
        <v>-6.4985669999999995E-2</v>
      </c>
      <c r="Q6240">
        <v>-1.7739779999999901E-3</v>
      </c>
      <c r="R6240">
        <v>0.99788459999999901</v>
      </c>
      <c r="S6240">
        <v>0.63558959999999998</v>
      </c>
      <c r="T6240">
        <v>-0.69045669999999904</v>
      </c>
      <c r="U6240">
        <v>3.045471</v>
      </c>
      <c r="V6240">
        <v>-8.7746930000000001E-2</v>
      </c>
      <c r="W6240">
        <v>6.7884140000000004E-4</v>
      </c>
      <c r="X6240">
        <v>0.99614259999999999</v>
      </c>
      <c r="Y6240">
        <v>0.1770332</v>
      </c>
      <c r="Z6240">
        <v>-0.2170541</v>
      </c>
      <c r="AA6240">
        <v>0.9599723</v>
      </c>
      <c r="AB6240">
        <v>42</v>
      </c>
      <c r="AC6240">
        <v>0.17569999999997701</v>
      </c>
      <c r="AD6240">
        <v>-0.201605699999999</v>
      </c>
      <c r="AE6240">
        <v>0.45374899999999901</v>
      </c>
      <c r="AF6240">
        <v>0.141077883780314</v>
      </c>
      <c r="AG6240">
        <v>-0.201605699999999</v>
      </c>
      <c r="AH6240">
        <v>0.39058817772025201</v>
      </c>
      <c r="AI6240">
        <v>115.894849447338</v>
      </c>
      <c r="AJ6240">
        <v>70.140613286350202</v>
      </c>
      <c r="AK6240">
        <v>0.461635085472551</v>
      </c>
    </row>
    <row r="6241" spans="1:37" x14ac:dyDescent="0.2">
      <c r="A6241" t="str">
        <f>"20200111153551512"</f>
        <v>20200111153551512</v>
      </c>
      <c r="B6241" t="str">
        <f>"1578728151501704"</f>
        <v>1578728151501704</v>
      </c>
      <c r="C6241" t="s">
        <v>37</v>
      </c>
      <c r="D6241">
        <v>4.9827089999999998</v>
      </c>
      <c r="E6241">
        <v>0.60509199999999996</v>
      </c>
      <c r="F6241" t="s">
        <v>40</v>
      </c>
      <c r="G6241">
        <v>-186.9255</v>
      </c>
      <c r="H6241">
        <v>0.91448799999999997</v>
      </c>
      <c r="I6241">
        <v>-1.1575420000000001</v>
      </c>
      <c r="J6241">
        <v>-187.0889</v>
      </c>
      <c r="K6241">
        <v>1.103324</v>
      </c>
      <c r="L6241">
        <v>-1.574066</v>
      </c>
      <c r="M6241">
        <v>2.2351869999999999E-2</v>
      </c>
      <c r="N6241">
        <v>0</v>
      </c>
      <c r="O6241">
        <v>0.99974680000000005</v>
      </c>
      <c r="P6241">
        <v>-6.5871379999999993E-2</v>
      </c>
      <c r="Q6241">
        <v>-1.7529749999999999E-3</v>
      </c>
      <c r="R6241">
        <v>0.99782660000000001</v>
      </c>
      <c r="S6241">
        <v>0.63124080000000005</v>
      </c>
      <c r="T6241">
        <v>-0.69059869999999901</v>
      </c>
      <c r="U6241">
        <v>3.0462340000000001</v>
      </c>
      <c r="V6241">
        <v>-8.8159219999999996E-2</v>
      </c>
      <c r="W6241">
        <v>7.3987649999999897E-4</v>
      </c>
      <c r="X6241">
        <v>0.99610609999999999</v>
      </c>
      <c r="Y6241">
        <v>0.1761355</v>
      </c>
      <c r="Z6241">
        <v>-0.2170966</v>
      </c>
      <c r="AA6241">
        <v>0.96012779999999998</v>
      </c>
      <c r="AB6241">
        <v>42</v>
      </c>
      <c r="AC6241">
        <v>0.16339999999999499</v>
      </c>
      <c r="AD6241">
        <v>-0.188836</v>
      </c>
      <c r="AE6241">
        <v>0.41652399999999901</v>
      </c>
      <c r="AF6241">
        <v>0.130757890759509</v>
      </c>
      <c r="AG6241">
        <v>-0.188836</v>
      </c>
      <c r="AH6241">
        <v>0.35656019235266001</v>
      </c>
      <c r="AI6241">
        <v>116.437704133458</v>
      </c>
      <c r="AJ6241">
        <v>69.860983579268904</v>
      </c>
      <c r="AK6241">
        <v>0.42413657194639798</v>
      </c>
    </row>
    <row r="6242" spans="1:37" x14ac:dyDescent="0.2">
      <c r="A6242" t="str">
        <f>"20200111153551535"</f>
        <v>20200111153551535</v>
      </c>
      <c r="B6242" t="str">
        <f>"1578728151531960"</f>
        <v>1578728151531960</v>
      </c>
      <c r="C6242" t="s">
        <v>37</v>
      </c>
      <c r="D6242">
        <v>5.0052899999999996</v>
      </c>
      <c r="E6242">
        <v>0.60497749999999995</v>
      </c>
      <c r="F6242" t="s">
        <v>40</v>
      </c>
      <c r="G6242">
        <v>-186.92509999999999</v>
      </c>
      <c r="H6242">
        <v>0.92286919999999995</v>
      </c>
      <c r="I6242">
        <v>-0.77879699999999996</v>
      </c>
      <c r="J6242">
        <v>-187.0795</v>
      </c>
      <c r="K6242">
        <v>1.1033469999999901</v>
      </c>
      <c r="L6242">
        <v>-1.1417539999999999</v>
      </c>
      <c r="M6242">
        <v>2.1854060000000002E-2</v>
      </c>
      <c r="N6242">
        <v>0</v>
      </c>
      <c r="O6242">
        <v>0.99975759999999902</v>
      </c>
      <c r="P6242">
        <v>-6.6209550000000006E-2</v>
      </c>
      <c r="Q6242">
        <v>-1.037325E-3</v>
      </c>
      <c r="R6242">
        <v>0.99780519999999995</v>
      </c>
      <c r="S6242">
        <v>0.62770079999999995</v>
      </c>
      <c r="T6242">
        <v>-0.69134309999999999</v>
      </c>
      <c r="U6242">
        <v>3.0467529999999998</v>
      </c>
      <c r="V6242">
        <v>-8.8001910000000003E-2</v>
      </c>
      <c r="W6242">
        <v>1.498524E-3</v>
      </c>
      <c r="X6242">
        <v>0.99611919999999898</v>
      </c>
      <c r="Y6242">
        <v>0.17551249999999999</v>
      </c>
      <c r="Z6242">
        <v>-0.21732460000000001</v>
      </c>
      <c r="AA6242">
        <v>0.96019030000000005</v>
      </c>
      <c r="AB6242">
        <v>42</v>
      </c>
      <c r="AC6242">
        <v>0.154400000000009</v>
      </c>
      <c r="AD6242">
        <v>-0.18047779999999899</v>
      </c>
      <c r="AE6242">
        <v>0.36295699999999997</v>
      </c>
      <c r="AF6242">
        <v>0.121081018911649</v>
      </c>
      <c r="AG6242">
        <v>-0.18047779999999899</v>
      </c>
      <c r="AH6242">
        <v>0.30284068868007102</v>
      </c>
      <c r="AI6242">
        <v>118.958394375499</v>
      </c>
      <c r="AJ6242">
        <v>68.207603352114504</v>
      </c>
      <c r="AK6242">
        <v>0.37275371514411898</v>
      </c>
    </row>
    <row r="6243" spans="1:37" x14ac:dyDescent="0.2">
      <c r="A6243" t="str">
        <f>"20200111153551557"</f>
        <v>20200111153551557</v>
      </c>
      <c r="B6243" t="str">
        <f>"1578728151551482"</f>
        <v>1578728151551482</v>
      </c>
      <c r="C6243" t="s">
        <v>37</v>
      </c>
      <c r="D6243">
        <v>5.2093739999999897</v>
      </c>
      <c r="E6243">
        <v>0.58445119999999995</v>
      </c>
      <c r="F6243" t="s">
        <v>40</v>
      </c>
      <c r="G6243">
        <v>-186.92689999999999</v>
      </c>
      <c r="H6243">
        <v>0.9344943</v>
      </c>
      <c r="I6243">
        <v>-0.39734330000000001</v>
      </c>
      <c r="J6243">
        <v>-187.07079999999999</v>
      </c>
      <c r="K6243">
        <v>1.1033729999999999</v>
      </c>
      <c r="L6243">
        <v>-0.72586059999999997</v>
      </c>
      <c r="M6243">
        <v>2.1362550000000001E-2</v>
      </c>
      <c r="N6243">
        <v>0</v>
      </c>
      <c r="O6243">
        <v>0.99976810000000005</v>
      </c>
      <c r="P6243">
        <v>-6.6179290000000002E-2</v>
      </c>
      <c r="Q6243">
        <v>-4.3550030000000001E-4</v>
      </c>
      <c r="R6243">
        <v>0.99780769999999996</v>
      </c>
      <c r="S6243">
        <v>0.62423709999999999</v>
      </c>
      <c r="T6243">
        <v>-0.69121509999999997</v>
      </c>
      <c r="U6243">
        <v>3.0473020000000002</v>
      </c>
      <c r="V6243">
        <v>-8.7482630000000006E-2</v>
      </c>
      <c r="W6243">
        <v>2.1422529999999898E-3</v>
      </c>
      <c r="X6243">
        <v>0.99616369999999899</v>
      </c>
      <c r="Y6243">
        <v>0.17491609999999999</v>
      </c>
      <c r="Z6243">
        <v>-0.21728800000000001</v>
      </c>
      <c r="AA6243">
        <v>0.96030740000000003</v>
      </c>
      <c r="AB6243">
        <v>42</v>
      </c>
      <c r="AC6243">
        <v>0.143900000000002</v>
      </c>
      <c r="AD6243">
        <v>-0.16887869999999899</v>
      </c>
      <c r="AE6243">
        <v>0.32851729999999901</v>
      </c>
      <c r="AF6243">
        <v>0.11201353654737201</v>
      </c>
      <c r="AG6243">
        <v>-0.16887869999999899</v>
      </c>
      <c r="AH6243">
        <v>0.271352221987464</v>
      </c>
      <c r="AI6243">
        <v>119.91065608116099</v>
      </c>
      <c r="AJ6243">
        <v>67.569284003536893</v>
      </c>
      <c r="AK6243">
        <v>0.33867252038078499</v>
      </c>
    </row>
    <row r="6244" spans="1:37" x14ac:dyDescent="0.2">
      <c r="A6244" t="str">
        <f>"20200111153551579"</f>
        <v>20200111153551579</v>
      </c>
      <c r="B6244" t="str">
        <f>"1578728151571976"</f>
        <v>1578728151571976</v>
      </c>
      <c r="C6244" t="s">
        <v>37</v>
      </c>
      <c r="D6244">
        <v>5.0547069999999996</v>
      </c>
      <c r="E6244">
        <v>0.5292675</v>
      </c>
      <c r="F6244" t="s">
        <v>40</v>
      </c>
      <c r="G6244">
        <v>-186.9633</v>
      </c>
      <c r="H6244">
        <v>0.93887710000000002</v>
      </c>
      <c r="I6244">
        <v>-1.7774939999999999E-2</v>
      </c>
      <c r="J6244">
        <v>-187.06190000000001</v>
      </c>
      <c r="K6244">
        <v>1.1033979999999901</v>
      </c>
      <c r="L6244">
        <v>-0.29443359999999902</v>
      </c>
      <c r="M6244">
        <v>2.08294999999999E-2</v>
      </c>
      <c r="N6244">
        <v>0</v>
      </c>
      <c r="O6244">
        <v>0.99977929999999904</v>
      </c>
      <c r="P6244">
        <v>-6.6547220000000004E-2</v>
      </c>
      <c r="Q6244">
        <v>1.596259E-4</v>
      </c>
      <c r="R6244">
        <v>0.99778319999999998</v>
      </c>
      <c r="S6244">
        <v>0.46038820000000003</v>
      </c>
      <c r="T6244">
        <v>-0.70548440000000001</v>
      </c>
      <c r="U6244">
        <v>3.0368040000000001</v>
      </c>
      <c r="V6244">
        <v>-8.7320049999999996E-2</v>
      </c>
      <c r="W6244">
        <v>2.7797820000000002E-3</v>
      </c>
      <c r="X6244">
        <v>0.99617639999999996</v>
      </c>
      <c r="Y6244">
        <v>0.12545219999999899</v>
      </c>
      <c r="Z6244">
        <v>-0.2241081</v>
      </c>
      <c r="AA6244">
        <v>0.96645609999999904</v>
      </c>
      <c r="AB6244">
        <v>42</v>
      </c>
      <c r="AC6244">
        <v>9.8600000000004601E-2</v>
      </c>
      <c r="AD6244">
        <v>-0.164520899999999</v>
      </c>
      <c r="AE6244">
        <v>0.276658659999999</v>
      </c>
      <c r="AF6244">
        <v>7.0648093464109399E-2</v>
      </c>
      <c r="AG6244">
        <v>-0.164520899999999</v>
      </c>
      <c r="AH6244">
        <v>0.21210005907375601</v>
      </c>
      <c r="AI6244">
        <v>126.350272890056</v>
      </c>
      <c r="AJ6244">
        <v>71.577676515040594</v>
      </c>
      <c r="AK6244">
        <v>0.27756929712418499</v>
      </c>
    </row>
    <row r="6245" spans="1:37" x14ac:dyDescent="0.2">
      <c r="A6245" t="str">
        <f>"20200111153551601"</f>
        <v>20200111153551601</v>
      </c>
      <c r="B6245" t="str">
        <f>"1578728151591497"</f>
        <v>1578728151591497</v>
      </c>
      <c r="C6245" t="s">
        <v>37</v>
      </c>
      <c r="D6245">
        <v>5.0401339999999903</v>
      </c>
      <c r="E6245">
        <v>0.51639250000000003</v>
      </c>
      <c r="F6245" t="s">
        <v>40</v>
      </c>
      <c r="G6245">
        <v>-187.053</v>
      </c>
      <c r="H6245">
        <v>0.95402070000000005</v>
      </c>
      <c r="I6245">
        <v>0.75389490000000003</v>
      </c>
      <c r="J6245">
        <v>-187.05369999999999</v>
      </c>
      <c r="K6245">
        <v>1.103429</v>
      </c>
      <c r="L6245">
        <v>0.1117249</v>
      </c>
      <c r="M6245">
        <v>2.0294489999999998E-2</v>
      </c>
      <c r="N6245">
        <v>0</v>
      </c>
      <c r="O6245">
        <v>0.99979019999999996</v>
      </c>
      <c r="P6245">
        <v>-6.6417859999999995E-2</v>
      </c>
      <c r="Q6245" s="1">
        <v>1.114007E-5</v>
      </c>
      <c r="R6245">
        <v>0.99779189999999995</v>
      </c>
      <c r="S6245">
        <v>2.5100709999999998E-2</v>
      </c>
      <c r="T6245">
        <v>-0.42867489999999903</v>
      </c>
      <c r="U6245">
        <v>3.00839199999999</v>
      </c>
      <c r="V6245">
        <v>-8.6657890000000001E-2</v>
      </c>
      <c r="W6245">
        <v>2.6710639999999999E-3</v>
      </c>
      <c r="X6245">
        <v>0.99623449999999902</v>
      </c>
      <c r="Y6245">
        <v>-1.203569E-2</v>
      </c>
      <c r="Z6245">
        <v>-0.14101720000000001</v>
      </c>
      <c r="AA6245">
        <v>0.98993399999999998</v>
      </c>
      <c r="AB6245">
        <v>42</v>
      </c>
      <c r="AC6245">
        <v>6.9999999999481501E-4</v>
      </c>
      <c r="AD6245">
        <v>-0.14940829999999899</v>
      </c>
      <c r="AE6245">
        <v>0.64217000000000002</v>
      </c>
      <c r="AF6245">
        <v>-1.16994024036758E-2</v>
      </c>
      <c r="AG6245">
        <v>-0.14940829999999899</v>
      </c>
      <c r="AH6245">
        <v>0.60908153788233999</v>
      </c>
      <c r="AI6245">
        <v>103.780123107553</v>
      </c>
      <c r="AJ6245">
        <v>91.100417458811506</v>
      </c>
      <c r="AK6245">
        <v>0.62724798597891895</v>
      </c>
    </row>
    <row r="6246" spans="1:37" x14ac:dyDescent="0.2">
      <c r="A6246" t="str">
        <f>"20200111153551624"</f>
        <v>20200111153551624</v>
      </c>
      <c r="B6246" t="str">
        <f>"1578728151622139"</f>
        <v>1578728151622139</v>
      </c>
      <c r="C6246" t="s">
        <v>37</v>
      </c>
      <c r="D6246">
        <v>4.9700899999999999</v>
      </c>
      <c r="E6246">
        <v>0.5129513</v>
      </c>
      <c r="F6246" t="s">
        <v>40</v>
      </c>
      <c r="G6246">
        <v>-187.0797</v>
      </c>
      <c r="H6246">
        <v>1.0041020000000001</v>
      </c>
      <c r="I6246">
        <v>1.1611469999999999</v>
      </c>
      <c r="J6246">
        <v>-187.04509999999999</v>
      </c>
      <c r="K6246">
        <v>1.103456</v>
      </c>
      <c r="L6246">
        <v>0.55487059999999999</v>
      </c>
      <c r="M6246">
        <v>1.9673400000000001E-2</v>
      </c>
      <c r="N6246">
        <v>0</v>
      </c>
      <c r="O6246">
        <v>0.99980239999999998</v>
      </c>
      <c r="P6246">
        <v>-6.6034560000000006E-2</v>
      </c>
      <c r="Q6246">
        <v>-2.3334399999999999E-4</v>
      </c>
      <c r="R6246">
        <v>0.99781730000000002</v>
      </c>
      <c r="S6246">
        <v>-7.455444E-2</v>
      </c>
      <c r="T6246">
        <v>-0.284112799999999</v>
      </c>
      <c r="U6246">
        <v>3.0016780000000001</v>
      </c>
      <c r="V6246">
        <v>-8.5656019999999999E-2</v>
      </c>
      <c r="W6246">
        <v>2.4698390000000001E-3</v>
      </c>
      <c r="X6246">
        <v>0.99632169999999898</v>
      </c>
      <c r="Y6246">
        <v>-4.4382199999999997E-2</v>
      </c>
      <c r="Z6246">
        <v>-9.4141989999999995E-2</v>
      </c>
      <c r="AA6246">
        <v>0.99456900000000004</v>
      </c>
      <c r="AB6246">
        <v>43</v>
      </c>
      <c r="AC6246">
        <v>-3.4600000000011698E-2</v>
      </c>
      <c r="AD6246">
        <v>-9.9353999999999901E-2</v>
      </c>
      <c r="AE6246">
        <v>0.60627639999999905</v>
      </c>
      <c r="AF6246">
        <v>-4.5308060252473199E-2</v>
      </c>
      <c r="AG6246">
        <v>-9.9353999999999901E-2</v>
      </c>
      <c r="AH6246">
        <v>0.58969339821534195</v>
      </c>
      <c r="AI6246">
        <v>99.536025369706394</v>
      </c>
      <c r="AJ6246">
        <v>94.393588887538499</v>
      </c>
      <c r="AK6246">
        <v>0.59971855193798995</v>
      </c>
    </row>
    <row r="6247" spans="1:37" x14ac:dyDescent="0.2">
      <c r="A6247" t="str">
        <f>"20200111153551645"</f>
        <v>20200111153551645</v>
      </c>
      <c r="B6247" t="str">
        <f>"1578728151641659"</f>
        <v>1578728151641659</v>
      </c>
      <c r="C6247" t="s">
        <v>37</v>
      </c>
      <c r="D6247">
        <v>4.9568940000000001</v>
      </c>
      <c r="E6247">
        <v>0.51289569999999995</v>
      </c>
      <c r="F6247" t="s">
        <v>39</v>
      </c>
      <c r="G6247">
        <v>-187.636</v>
      </c>
      <c r="H6247" s="1">
        <v>-4.2092989999999901E-6</v>
      </c>
      <c r="I6247">
        <v>18.46725</v>
      </c>
      <c r="J6247">
        <v>-187.03749999999999</v>
      </c>
      <c r="K6247">
        <v>1.1034949999999999</v>
      </c>
      <c r="L6247">
        <v>0.95855709999999905</v>
      </c>
      <c r="M6247">
        <v>1.9067529999999999E-2</v>
      </c>
      <c r="N6247">
        <v>0</v>
      </c>
      <c r="O6247">
        <v>0.99981399999999998</v>
      </c>
      <c r="P6247">
        <v>-6.5635139999999995E-2</v>
      </c>
      <c r="Q6247">
        <v>-9.971794999999999E-4</v>
      </c>
      <c r="R6247">
        <v>0.99784319999999904</v>
      </c>
      <c r="S6247">
        <v>-9.8953250000000006E-2</v>
      </c>
      <c r="T6247">
        <v>-0.18480779999999999</v>
      </c>
      <c r="U6247">
        <v>2.9999689999999899</v>
      </c>
      <c r="V6247">
        <v>-8.4652740000000004E-2</v>
      </c>
      <c r="W6247">
        <v>1.7455249999999999E-3</v>
      </c>
      <c r="X6247">
        <v>0.99640899999999999</v>
      </c>
      <c r="Y6247">
        <v>-5.195582E-2</v>
      </c>
      <c r="Z6247">
        <v>-6.1411729999999998E-2</v>
      </c>
      <c r="AA6247">
        <v>0.99675939999999996</v>
      </c>
      <c r="AB6247">
        <v>43</v>
      </c>
      <c r="AC6247">
        <v>-0.59850000000000103</v>
      </c>
      <c r="AD6247">
        <v>-1.1034992092989999</v>
      </c>
      <c r="AE6247">
        <v>17.5086928999999</v>
      </c>
      <c r="AF6247">
        <v>-0.92855596725214096</v>
      </c>
      <c r="AG6247">
        <v>-1.1034992092989999</v>
      </c>
      <c r="AH6247">
        <v>17.424962267982799</v>
      </c>
      <c r="AI6247">
        <v>93.618504493192503</v>
      </c>
      <c r="AJ6247">
        <v>93.050340265657994</v>
      </c>
      <c r="AK6247">
        <v>17.484542794418999</v>
      </c>
    </row>
    <row r="6248" spans="1:37" x14ac:dyDescent="0.2">
      <c r="A6248" t="str">
        <f>"20200111153551667"</f>
        <v>20200111153551667</v>
      </c>
      <c r="B6248" t="str">
        <f>"1578728151662155"</f>
        <v>1578728151662155</v>
      </c>
      <c r="C6248" t="s">
        <v>37</v>
      </c>
      <c r="D6248">
        <v>4.8944190000000001</v>
      </c>
      <c r="E6248">
        <v>0.51255079999999997</v>
      </c>
      <c r="F6248" t="s">
        <v>39</v>
      </c>
      <c r="G6248">
        <v>-187.68940000000001</v>
      </c>
      <c r="H6248" s="1">
        <v>-1.083174E-6</v>
      </c>
      <c r="I6248">
        <v>21.024439999999998</v>
      </c>
      <c r="J6248">
        <v>-187.0299</v>
      </c>
      <c r="K6248">
        <v>1.1035330000000001</v>
      </c>
      <c r="L6248">
        <v>1.3819269999999999</v>
      </c>
      <c r="M6248">
        <v>1.8382659999999999E-2</v>
      </c>
      <c r="N6248">
        <v>0</v>
      </c>
      <c r="O6248">
        <v>0.99982669999999996</v>
      </c>
      <c r="P6248">
        <v>-6.5808370000000005E-2</v>
      </c>
      <c r="Q6248">
        <v>-1.198544E-3</v>
      </c>
      <c r="R6248">
        <v>0.99783159999999904</v>
      </c>
      <c r="S6248">
        <v>-9.7457890000000005E-2</v>
      </c>
      <c r="T6248">
        <v>-0.16497590000000001</v>
      </c>
      <c r="U6248">
        <v>2.999908</v>
      </c>
      <c r="V6248">
        <v>-8.4142930000000005E-2</v>
      </c>
      <c r="W6248">
        <v>1.5834009999999999E-3</v>
      </c>
      <c r="X6248">
        <v>0.99645249999999996</v>
      </c>
      <c r="Y6248">
        <v>-5.0788489999999999E-2</v>
      </c>
      <c r="Z6248">
        <v>-5.4846899999999997E-2</v>
      </c>
      <c r="AA6248">
        <v>0.99720229999999999</v>
      </c>
      <c r="AB6248">
        <v>43</v>
      </c>
      <c r="AC6248">
        <v>-0.65950000000000797</v>
      </c>
      <c r="AD6248">
        <v>-1.1035340831739999</v>
      </c>
      <c r="AE6248">
        <v>19.642513000000001</v>
      </c>
      <c r="AF6248">
        <v>-1.01726458872337</v>
      </c>
      <c r="AG6248">
        <v>-1.1035340831739999</v>
      </c>
      <c r="AH6248">
        <v>19.565385886525799</v>
      </c>
      <c r="AI6248">
        <v>93.223851953856297</v>
      </c>
      <c r="AJ6248">
        <v>92.976303802415202</v>
      </c>
      <c r="AK6248">
        <v>19.622867772190201</v>
      </c>
    </row>
    <row r="6249" spans="1:37" x14ac:dyDescent="0.2">
      <c r="A6249" t="str">
        <f>"20200111153551690"</f>
        <v>20200111153551690</v>
      </c>
      <c r="B6249" t="str">
        <f>"1578728151681675"</f>
        <v>1578728151681675</v>
      </c>
      <c r="C6249" t="s">
        <v>37</v>
      </c>
      <c r="D6249">
        <v>4.9462510000000002</v>
      </c>
      <c r="E6249">
        <v>0.51284059999999998</v>
      </c>
      <c r="F6249" t="s">
        <v>39</v>
      </c>
      <c r="G6249">
        <v>-187.73939999999999</v>
      </c>
      <c r="H6249" s="1">
        <v>-1.665707E-6</v>
      </c>
      <c r="I6249">
        <v>22.580870000000001</v>
      </c>
      <c r="J6249">
        <v>-187.0223</v>
      </c>
      <c r="K6249">
        <v>1.103586</v>
      </c>
      <c r="L6249">
        <v>1.8234859999999999</v>
      </c>
      <c r="M6249">
        <v>1.7608459999999999E-2</v>
      </c>
      <c r="N6249">
        <v>0</v>
      </c>
      <c r="O6249">
        <v>0.99984050000000002</v>
      </c>
      <c r="P6249">
        <v>-6.5829230000000002E-2</v>
      </c>
      <c r="Q6249">
        <v>-5.0792549999999995E-4</v>
      </c>
      <c r="R6249">
        <v>0.99783069999999896</v>
      </c>
      <c r="S6249">
        <v>-0.1004028</v>
      </c>
      <c r="T6249">
        <v>-0.15615399999999999</v>
      </c>
      <c r="U6249">
        <v>2.9997250000000002</v>
      </c>
      <c r="V6249">
        <v>-8.3393499999999995E-2</v>
      </c>
      <c r="W6249">
        <v>2.3148679999999999E-3</v>
      </c>
      <c r="X6249">
        <v>0.99651399999999901</v>
      </c>
      <c r="Y6249">
        <v>-5.1000299999999998E-2</v>
      </c>
      <c r="Z6249">
        <v>-5.1925310000000002E-2</v>
      </c>
      <c r="AA6249">
        <v>0.99734780000000001</v>
      </c>
      <c r="AB6249">
        <v>43</v>
      </c>
      <c r="AC6249">
        <v>-0.71709999999998697</v>
      </c>
      <c r="AD6249">
        <v>-1.1035876657070001</v>
      </c>
      <c r="AE6249">
        <v>20.757383999999998</v>
      </c>
      <c r="AF6249">
        <v>-1.0794484540890199</v>
      </c>
      <c r="AG6249">
        <v>-1.1035876657070001</v>
      </c>
      <c r="AH6249">
        <v>20.683144808889899</v>
      </c>
      <c r="AI6249">
        <v>93.050083492163694</v>
      </c>
      <c r="AJ6249">
        <v>92.987542738511493</v>
      </c>
      <c r="AK6249">
        <v>20.740674865742498</v>
      </c>
    </row>
    <row r="6250" spans="1:37" x14ac:dyDescent="0.2">
      <c r="A6250" t="str">
        <f>"20200111153551712"</f>
        <v>20200111153551712</v>
      </c>
      <c r="B6250" t="str">
        <f>"1578728151702174"</f>
        <v>1578728151702174</v>
      </c>
      <c r="C6250" t="s">
        <v>37</v>
      </c>
      <c r="D6250">
        <v>4.9550599999999996</v>
      </c>
      <c r="E6250">
        <v>0.51288100000000003</v>
      </c>
      <c r="F6250" t="s">
        <v>39</v>
      </c>
      <c r="G6250">
        <v>-187.75970000000001</v>
      </c>
      <c r="H6250" s="1">
        <v>-2.4364769999999999E-6</v>
      </c>
      <c r="I6250">
        <v>24.385939999999898</v>
      </c>
      <c r="J6250">
        <v>-187.01509999999999</v>
      </c>
      <c r="K6250">
        <v>1.103645</v>
      </c>
      <c r="L6250">
        <v>2.2610169999999998</v>
      </c>
      <c r="M6250">
        <v>1.6781020000000001E-2</v>
      </c>
      <c r="N6250">
        <v>0</v>
      </c>
      <c r="O6250">
        <v>0.99985460000000004</v>
      </c>
      <c r="P6250">
        <v>-6.6193680000000005E-2</v>
      </c>
      <c r="Q6250">
        <v>-6.1766369999999998E-4</v>
      </c>
      <c r="R6250">
        <v>0.99780659999999899</v>
      </c>
      <c r="S6250">
        <v>-9.8052979999999998E-2</v>
      </c>
      <c r="T6250">
        <v>-0.14673629999999999</v>
      </c>
      <c r="U6250">
        <v>2.9999689999999899</v>
      </c>
      <c r="V6250">
        <v>-8.2933519999999997E-2</v>
      </c>
      <c r="W6250">
        <v>2.2447729999999998E-3</v>
      </c>
      <c r="X6250">
        <v>0.99655249999999995</v>
      </c>
      <c r="Y6250">
        <v>-4.9395809999999998E-2</v>
      </c>
      <c r="Z6250">
        <v>-4.880106E-2</v>
      </c>
      <c r="AA6250">
        <v>0.99758639999999998</v>
      </c>
      <c r="AB6250">
        <v>43</v>
      </c>
      <c r="AC6250">
        <v>-0.74460000000001902</v>
      </c>
      <c r="AD6250">
        <v>-1.1036474364769999</v>
      </c>
      <c r="AE6250">
        <v>22.124922999999999</v>
      </c>
      <c r="AF6250">
        <v>-1.1130092974358099</v>
      </c>
      <c r="AG6250">
        <v>-1.1036474364769999</v>
      </c>
      <c r="AH6250">
        <v>22.0544969113725</v>
      </c>
      <c r="AI6250">
        <v>92.861160965288803</v>
      </c>
      <c r="AJ6250">
        <v>92.889056140466593</v>
      </c>
      <c r="AK6250">
        <v>22.110125765674901</v>
      </c>
    </row>
    <row r="6251" spans="1:37" x14ac:dyDescent="0.2">
      <c r="A6251" t="str">
        <f>"20200111153551734"</f>
        <v>20200111153551734</v>
      </c>
      <c r="B6251" t="str">
        <f>"1578728151722378"</f>
        <v>1578728151722378</v>
      </c>
      <c r="C6251" t="s">
        <v>37</v>
      </c>
      <c r="D6251">
        <v>4.8998879999999998</v>
      </c>
      <c r="E6251">
        <v>0.51302239999999999</v>
      </c>
      <c r="F6251" t="s">
        <v>39</v>
      </c>
      <c r="G6251">
        <v>-187.78290000000001</v>
      </c>
      <c r="H6251" s="1">
        <v>-2.9632080000000001E-6</v>
      </c>
      <c r="I6251">
        <v>25.623329999999999</v>
      </c>
      <c r="J6251">
        <v>-187.0086</v>
      </c>
      <c r="K6251">
        <v>1.1037079999999999</v>
      </c>
      <c r="L6251">
        <v>2.6816709999999899</v>
      </c>
      <c r="M6251">
        <v>1.593284E-2</v>
      </c>
      <c r="N6251">
        <v>0</v>
      </c>
      <c r="O6251">
        <v>0.99986830000000004</v>
      </c>
      <c r="P6251">
        <v>-6.7157880000000003E-2</v>
      </c>
      <c r="Q6251">
        <v>2.2543659999999999E-4</v>
      </c>
      <c r="R6251">
        <v>0.99774240000000003</v>
      </c>
      <c r="S6251">
        <v>-9.8587040000000001E-2</v>
      </c>
      <c r="T6251">
        <v>-0.14172009999999999</v>
      </c>
      <c r="U6251">
        <v>2.9999689999999899</v>
      </c>
      <c r="V6251">
        <v>-8.3053070000000007E-2</v>
      </c>
      <c r="W6251">
        <v>3.124534E-3</v>
      </c>
      <c r="X6251">
        <v>0.99654019999999999</v>
      </c>
      <c r="Y6251">
        <v>-4.8728569999999999E-2</v>
      </c>
      <c r="Z6251">
        <v>-4.7138180000000002E-2</v>
      </c>
      <c r="AA6251">
        <v>0.99769909999999995</v>
      </c>
      <c r="AB6251">
        <v>43</v>
      </c>
      <c r="AC6251">
        <v>-0.77430000000000998</v>
      </c>
      <c r="AD6251">
        <v>-1.103710963208</v>
      </c>
      <c r="AE6251">
        <v>22.941659000000001</v>
      </c>
      <c r="AF6251">
        <v>-1.13710038829855</v>
      </c>
      <c r="AG6251">
        <v>-1.103710963208</v>
      </c>
      <c r="AH6251">
        <v>22.8735289797946</v>
      </c>
      <c r="AI6251">
        <v>92.759134951620794</v>
      </c>
      <c r="AJ6251">
        <v>92.845973730105797</v>
      </c>
      <c r="AK6251">
        <v>22.928355875921</v>
      </c>
    </row>
    <row r="6252" spans="1:37" x14ac:dyDescent="0.2">
      <c r="A6252" t="str">
        <f>"20200111153551756"</f>
        <v>20200111153551756</v>
      </c>
      <c r="B6252" t="str">
        <f>"1578728151751658"</f>
        <v>1578728151751658</v>
      </c>
      <c r="C6252" t="s">
        <v>37</v>
      </c>
      <c r="D6252">
        <v>4.8877470000000001</v>
      </c>
      <c r="E6252">
        <v>0.51329859999999905</v>
      </c>
      <c r="F6252" t="s">
        <v>39</v>
      </c>
      <c r="G6252">
        <v>-187.81729999999999</v>
      </c>
      <c r="H6252" s="1">
        <v>-3.5269909999999998E-6</v>
      </c>
      <c r="I6252">
        <v>26.951779999999999</v>
      </c>
      <c r="J6252">
        <v>-187.00219999999999</v>
      </c>
      <c r="K6252">
        <v>1.103772</v>
      </c>
      <c r="L6252">
        <v>3.113953</v>
      </c>
      <c r="M6252">
        <v>1.501779E-2</v>
      </c>
      <c r="N6252">
        <v>0</v>
      </c>
      <c r="O6252">
        <v>0.9998823</v>
      </c>
      <c r="P6252">
        <v>-6.830994E-2</v>
      </c>
      <c r="Q6252">
        <v>1.424051E-3</v>
      </c>
      <c r="R6252">
        <v>0.99766309999999903</v>
      </c>
      <c r="S6252">
        <v>-9.9975590000000003E-2</v>
      </c>
      <c r="T6252">
        <v>-0.13643259999999999</v>
      </c>
      <c r="U6252">
        <v>3.000092</v>
      </c>
      <c r="V6252">
        <v>-8.3294569999999998E-2</v>
      </c>
      <c r="W6252">
        <v>4.360488E-3</v>
      </c>
      <c r="X6252">
        <v>0.9965155</v>
      </c>
      <c r="Y6252">
        <v>-4.8277140000000003E-2</v>
      </c>
      <c r="Z6252">
        <v>-4.5382470000000001E-2</v>
      </c>
      <c r="AA6252">
        <v>0.99780239999999998</v>
      </c>
      <c r="AB6252">
        <v>44</v>
      </c>
      <c r="AC6252">
        <v>-0.81510000000000105</v>
      </c>
      <c r="AD6252">
        <v>-1.1037755269909999</v>
      </c>
      <c r="AE6252">
        <v>23.837827000000001</v>
      </c>
      <c r="AF6252">
        <v>-1.1704946913762799</v>
      </c>
      <c r="AG6252">
        <v>-1.1037755269909999</v>
      </c>
      <c r="AH6252">
        <v>23.771989615907898</v>
      </c>
      <c r="AI6252">
        <v>92.655222912320397</v>
      </c>
      <c r="AJ6252">
        <v>92.818875833172299</v>
      </c>
      <c r="AK6252">
        <v>23.826369184904301</v>
      </c>
    </row>
    <row r="6253" spans="1:37" x14ac:dyDescent="0.2">
      <c r="A6253" t="str">
        <f>"20200111153551779"</f>
        <v>20200111153551779</v>
      </c>
      <c r="B6253" t="str">
        <f>"1578728151772155"</f>
        <v>1578728151772155</v>
      </c>
      <c r="C6253" t="s">
        <v>37</v>
      </c>
      <c r="D6253">
        <v>4.8956109999999997</v>
      </c>
      <c r="E6253">
        <v>0.51343739999999904</v>
      </c>
      <c r="F6253" t="s">
        <v>39</v>
      </c>
      <c r="G6253">
        <v>-187.85910000000001</v>
      </c>
      <c r="H6253" s="1">
        <v>-4.1704360000000001E-6</v>
      </c>
      <c r="I6253">
        <v>28.46893</v>
      </c>
      <c r="J6253">
        <v>-186.99590000000001</v>
      </c>
      <c r="K6253">
        <v>1.1038349999999999</v>
      </c>
      <c r="L6253">
        <v>3.5740970000000001</v>
      </c>
      <c r="M6253">
        <v>1.400702E-2</v>
      </c>
      <c r="N6253">
        <v>0</v>
      </c>
      <c r="O6253">
        <v>0.99989680000000003</v>
      </c>
      <c r="P6253">
        <v>-6.9584119999999999E-2</v>
      </c>
      <c r="Q6253">
        <v>2.4145350000000002E-3</v>
      </c>
      <c r="R6253">
        <v>0.99757309999999999</v>
      </c>
      <c r="S6253">
        <v>-0.1013947</v>
      </c>
      <c r="T6253">
        <v>-0.1306107</v>
      </c>
      <c r="U6253">
        <v>3.0002749999999998</v>
      </c>
      <c r="V6253">
        <v>-8.3563559999999995E-2</v>
      </c>
      <c r="W6253">
        <v>5.3923510000000001E-3</v>
      </c>
      <c r="X6253">
        <v>0.99648789999999998</v>
      </c>
      <c r="Y6253">
        <v>-4.7739730000000001E-2</v>
      </c>
      <c r="Z6253">
        <v>-4.3448149999999998E-2</v>
      </c>
      <c r="AA6253">
        <v>0.99791439999999998</v>
      </c>
      <c r="AB6253">
        <v>44</v>
      </c>
      <c r="AC6253">
        <v>-0.86320000000000596</v>
      </c>
      <c r="AD6253">
        <v>-1.103839170436</v>
      </c>
      <c r="AE6253">
        <v>24.894832999999998</v>
      </c>
      <c r="AF6253">
        <v>-1.2094445519024599</v>
      </c>
      <c r="AG6253">
        <v>-1.103839170436</v>
      </c>
      <c r="AH6253">
        <v>24.831538527644501</v>
      </c>
      <c r="AI6253">
        <v>92.542290275450995</v>
      </c>
      <c r="AJ6253">
        <v>92.788443807770804</v>
      </c>
      <c r="AK6253">
        <v>24.885468102653999</v>
      </c>
    </row>
    <row r="6254" spans="1:37" x14ac:dyDescent="0.2">
      <c r="A6254" t="str">
        <f>"20200111153551802"</f>
        <v>20200111153551802</v>
      </c>
      <c r="B6254" t="str">
        <f>"1578728151791674"</f>
        <v>1578728151791674</v>
      </c>
      <c r="C6254" t="s">
        <v>37</v>
      </c>
      <c r="D6254">
        <v>4.8748769999999997</v>
      </c>
      <c r="E6254">
        <v>0.51362050000000004</v>
      </c>
      <c r="F6254" t="s">
        <v>39</v>
      </c>
      <c r="G6254">
        <v>-187.90530000000001</v>
      </c>
      <c r="H6254" s="1">
        <v>-6.0026659999999996E-7</v>
      </c>
      <c r="I6254">
        <v>29.7742</v>
      </c>
      <c r="J6254">
        <v>-186.99039999999999</v>
      </c>
      <c r="K6254">
        <v>1.10388</v>
      </c>
      <c r="L6254">
        <v>4.0113529999999997</v>
      </c>
      <c r="M6254">
        <v>1.30203E-2</v>
      </c>
      <c r="N6254">
        <v>0</v>
      </c>
      <c r="O6254">
        <v>0.99990999999999997</v>
      </c>
      <c r="P6254">
        <v>-7.1303489999999997E-2</v>
      </c>
      <c r="Q6254">
        <v>2.2804119999999999E-3</v>
      </c>
      <c r="R6254">
        <v>0.99745209999999995</v>
      </c>
      <c r="S6254">
        <v>-0.1041412</v>
      </c>
      <c r="T6254">
        <v>-0.12640699999999999</v>
      </c>
      <c r="U6254">
        <v>3.0003359999999999</v>
      </c>
      <c r="V6254">
        <v>-8.4298189999999995E-2</v>
      </c>
      <c r="W6254">
        <v>5.2974619999999898E-3</v>
      </c>
      <c r="X6254">
        <v>0.99642649999999999</v>
      </c>
      <c r="Y6254">
        <v>-4.7667870000000001E-2</v>
      </c>
      <c r="Z6254">
        <v>-4.2051699999999997E-2</v>
      </c>
      <c r="AA6254">
        <v>0.99797769999999997</v>
      </c>
      <c r="AB6254">
        <v>44</v>
      </c>
      <c r="AC6254">
        <v>-0.91490000000001703</v>
      </c>
      <c r="AD6254">
        <v>-1.1038806002666</v>
      </c>
      <c r="AE6254">
        <v>25.762847000000001</v>
      </c>
      <c r="AF6254">
        <v>-1.2479758845120199</v>
      </c>
      <c r="AG6254">
        <v>-1.1038806002666</v>
      </c>
      <c r="AH6254">
        <v>25.701623795401598</v>
      </c>
      <c r="AI6254">
        <v>92.4564424665312</v>
      </c>
      <c r="AJ6254">
        <v>92.779887990631195</v>
      </c>
      <c r="AK6254">
        <v>25.755571473145899</v>
      </c>
    </row>
    <row r="6255" spans="1:37" x14ac:dyDescent="0.2">
      <c r="A6255" t="str">
        <f>"20200111153551824"</f>
        <v>20200111153551824</v>
      </c>
      <c r="B6255" t="str">
        <f>"1578728151811699"</f>
        <v>1578728151811699</v>
      </c>
      <c r="C6255" t="s">
        <v>37</v>
      </c>
      <c r="D6255">
        <v>4.8894549999999999</v>
      </c>
      <c r="E6255">
        <v>0.51381829999999995</v>
      </c>
      <c r="F6255" t="s">
        <v>39</v>
      </c>
      <c r="G6255">
        <v>-187.9359</v>
      </c>
      <c r="H6255" s="1">
        <v>-7.9286579999999999E-7</v>
      </c>
      <c r="I6255">
        <v>30.364109999999901</v>
      </c>
      <c r="J6255">
        <v>-186.9853</v>
      </c>
      <c r="K6255">
        <v>1.103918</v>
      </c>
      <c r="L6255">
        <v>4.4530940000000001</v>
      </c>
      <c r="M6255">
        <v>1.200826E-2</v>
      </c>
      <c r="N6255">
        <v>0</v>
      </c>
      <c r="O6255">
        <v>0.99992250000000005</v>
      </c>
      <c r="P6255">
        <v>-7.2432389999999999E-2</v>
      </c>
      <c r="Q6255">
        <v>1.95407E-3</v>
      </c>
      <c r="R6255">
        <v>0.99737140000000002</v>
      </c>
      <c r="S6255">
        <v>-0.1076508</v>
      </c>
      <c r="T6255">
        <v>-0.12567619999999999</v>
      </c>
      <c r="U6255">
        <v>3.0002439999999999</v>
      </c>
      <c r="V6255">
        <v>-8.4417080000000005E-2</v>
      </c>
      <c r="W6255">
        <v>5.0132700000000002E-3</v>
      </c>
      <c r="X6255">
        <v>0.99641789999999997</v>
      </c>
      <c r="Y6255">
        <v>-4.782426E-2</v>
      </c>
      <c r="Z6255">
        <v>-4.1810050000000001E-2</v>
      </c>
      <c r="AA6255">
        <v>0.99798039999999999</v>
      </c>
      <c r="AB6255">
        <v>44</v>
      </c>
      <c r="AC6255">
        <v>-0.95060000000000799</v>
      </c>
      <c r="AD6255">
        <v>-1.1039187928658001</v>
      </c>
      <c r="AE6255">
        <v>25.911016</v>
      </c>
      <c r="AF6255">
        <v>-1.2593964726242499</v>
      </c>
      <c r="AG6255">
        <v>-1.1039187928658001</v>
      </c>
      <c r="AH6255">
        <v>25.8508732666863</v>
      </c>
      <c r="AI6255">
        <v>92.442342757245598</v>
      </c>
      <c r="AJ6255">
        <v>92.789116478935995</v>
      </c>
      <c r="AK6255">
        <v>25.905064462895702</v>
      </c>
    </row>
    <row r="6256" spans="1:37" x14ac:dyDescent="0.2">
      <c r="A6256" t="str">
        <f>"20200111153551844"</f>
        <v>20200111153551844</v>
      </c>
      <c r="B6256" t="str">
        <f>"1578728151832198"</f>
        <v>1578728151832198</v>
      </c>
      <c r="C6256" t="s">
        <v>37</v>
      </c>
      <c r="D6256">
        <v>4.8991879999999997</v>
      </c>
      <c r="E6256">
        <v>0.51392870000000002</v>
      </c>
      <c r="F6256" t="s">
        <v>39</v>
      </c>
      <c r="G6256">
        <v>-187.947</v>
      </c>
      <c r="H6256" s="1">
        <v>-9.3067819999999995E-7</v>
      </c>
      <c r="I6256">
        <v>30.77769</v>
      </c>
      <c r="J6256">
        <v>-186.98079999999999</v>
      </c>
      <c r="K6256">
        <v>1.103944</v>
      </c>
      <c r="L6256">
        <v>4.873138</v>
      </c>
      <c r="M6256">
        <v>1.103733E-2</v>
      </c>
      <c r="N6256">
        <v>0</v>
      </c>
      <c r="O6256">
        <v>0.99993349999999903</v>
      </c>
      <c r="P6256">
        <v>-7.3741080000000001E-2</v>
      </c>
      <c r="Q6256">
        <v>1.506781E-3</v>
      </c>
      <c r="R6256">
        <v>0.9972763</v>
      </c>
      <c r="S6256">
        <v>-0.1096039</v>
      </c>
      <c r="T6256">
        <v>-0.12581229999999999</v>
      </c>
      <c r="U6256">
        <v>3.0001829999999998</v>
      </c>
      <c r="V6256">
        <v>-8.4756490000000004E-2</v>
      </c>
      <c r="W6256">
        <v>4.6055790000000003E-3</v>
      </c>
      <c r="X6256">
        <v>0.99639109999999997</v>
      </c>
      <c r="Y6256">
        <v>-4.7503860000000002E-2</v>
      </c>
      <c r="Z6256">
        <v>-4.1856640000000001E-2</v>
      </c>
      <c r="AA6256">
        <v>0.99799369999999998</v>
      </c>
      <c r="AB6256">
        <v>44</v>
      </c>
      <c r="AC6256">
        <v>-0.96620000000001405</v>
      </c>
      <c r="AD6256">
        <v>-1.1039449306782001</v>
      </c>
      <c r="AE6256">
        <v>25.904551999999999</v>
      </c>
      <c r="AF6256">
        <v>-1.2497932199196</v>
      </c>
      <c r="AG6256">
        <v>-1.1039449306782001</v>
      </c>
      <c r="AH6256">
        <v>25.8454367245625</v>
      </c>
      <c r="AI6256">
        <v>92.442956337550399</v>
      </c>
      <c r="AJ6256">
        <v>92.768463193976004</v>
      </c>
      <c r="AK6256">
        <v>25.899175218255301</v>
      </c>
    </row>
    <row r="6257" spans="1:37" x14ac:dyDescent="0.2">
      <c r="A6257" t="str">
        <f>"20200111153551869"</f>
        <v>20200111153551869</v>
      </c>
      <c r="B6257" t="str">
        <f>"1578728151861475"</f>
        <v>1578728151861475</v>
      </c>
      <c r="C6257" t="s">
        <v>37</v>
      </c>
      <c r="D6257">
        <v>4.839442</v>
      </c>
      <c r="E6257">
        <v>0.51422939999999995</v>
      </c>
      <c r="F6257" t="s">
        <v>39</v>
      </c>
      <c r="G6257">
        <v>-187.97059999999999</v>
      </c>
      <c r="H6257" s="1">
        <v>-1.073464E-6</v>
      </c>
      <c r="I6257">
        <v>31.215779999999999</v>
      </c>
      <c r="J6257">
        <v>-186.97620000000001</v>
      </c>
      <c r="K6257">
        <v>1.1039729999999901</v>
      </c>
      <c r="L6257">
        <v>5.338165</v>
      </c>
      <c r="M6257">
        <v>9.9570890000000006E-3</v>
      </c>
      <c r="N6257">
        <v>0</v>
      </c>
      <c r="O6257">
        <v>0.99994470000000002</v>
      </c>
      <c r="P6257">
        <v>-7.4684349999999997E-2</v>
      </c>
      <c r="Q6257">
        <v>6.8418549999999998E-4</v>
      </c>
      <c r="R6257">
        <v>0.99720699999999995</v>
      </c>
      <c r="S6257">
        <v>-0.1127319</v>
      </c>
      <c r="T6257">
        <v>-0.12572410000000001</v>
      </c>
      <c r="U6257">
        <v>3.0000610000000001</v>
      </c>
      <c r="V6257">
        <v>-8.4620879999999996E-2</v>
      </c>
      <c r="W6257">
        <v>3.829772E-3</v>
      </c>
      <c r="X6257">
        <v>0.99640580000000001</v>
      </c>
      <c r="Y6257">
        <v>-4.7465449999999999E-2</v>
      </c>
      <c r="Z6257">
        <v>-4.1828980000000002E-2</v>
      </c>
      <c r="AA6257">
        <v>0.99799669999999896</v>
      </c>
      <c r="AB6257">
        <v>44</v>
      </c>
      <c r="AC6257">
        <v>-0.99439999999998396</v>
      </c>
      <c r="AD6257">
        <v>-1.10397407346399</v>
      </c>
      <c r="AE6257">
        <v>25.877614999999999</v>
      </c>
      <c r="AF6257">
        <v>-1.2497467210885</v>
      </c>
      <c r="AG6257">
        <v>-1.10397407346399</v>
      </c>
      <c r="AH6257">
        <v>25.819508778949199</v>
      </c>
      <c r="AI6257">
        <v>92.445465542080996</v>
      </c>
      <c r="AJ6257">
        <v>92.771136008717704</v>
      </c>
      <c r="AK6257">
        <v>25.873300122094701</v>
      </c>
    </row>
    <row r="6258" spans="1:37" x14ac:dyDescent="0.2">
      <c r="A6258" t="str">
        <f>"20200111153551890"</f>
        <v>20200111153551890</v>
      </c>
      <c r="B6258" t="str">
        <f>"1578728151881972"</f>
        <v>1578728151881972</v>
      </c>
      <c r="C6258" t="s">
        <v>37</v>
      </c>
      <c r="D6258">
        <v>4.8255679999999996</v>
      </c>
      <c r="E6258">
        <v>0.51433090000000004</v>
      </c>
      <c r="F6258" t="s">
        <v>39</v>
      </c>
      <c r="G6258">
        <v>-187.97319999999999</v>
      </c>
      <c r="H6258" s="1">
        <v>-1.3038779999999999E-6</v>
      </c>
      <c r="I6258">
        <v>31.834099999999999</v>
      </c>
      <c r="J6258">
        <v>-186.97239999999999</v>
      </c>
      <c r="K6258">
        <v>1.1039950000000001</v>
      </c>
      <c r="L6258">
        <v>5.7870790000000003</v>
      </c>
      <c r="M6258">
        <v>8.9122679999999992E-3</v>
      </c>
      <c r="N6258">
        <v>0</v>
      </c>
      <c r="O6258">
        <v>0.99995440000000002</v>
      </c>
      <c r="P6258">
        <v>-7.6116349999999999E-2</v>
      </c>
      <c r="Q6258" s="1">
        <v>-1.0958410000000001E-5</v>
      </c>
      <c r="R6258">
        <v>0.99709890000000001</v>
      </c>
      <c r="S6258">
        <v>-0.1128845</v>
      </c>
      <c r="T6258">
        <v>-0.1249986</v>
      </c>
      <c r="U6258">
        <v>3.0000309999999999</v>
      </c>
      <c r="V6258">
        <v>-8.5008790000000001E-2</v>
      </c>
      <c r="W6258">
        <v>3.1784159999999999E-3</v>
      </c>
      <c r="X6258">
        <v>0.99637509999999996</v>
      </c>
      <c r="Y6258">
        <v>-4.6473159999999999E-2</v>
      </c>
      <c r="Z6258">
        <v>-4.1590009999999997E-2</v>
      </c>
      <c r="AA6258">
        <v>0.99805339999999998</v>
      </c>
      <c r="AB6258">
        <v>45</v>
      </c>
      <c r="AC6258">
        <v>-1.0007999999999899</v>
      </c>
      <c r="AD6258">
        <v>-1.1039963038780001</v>
      </c>
      <c r="AE6258">
        <v>26.047021000000001</v>
      </c>
      <c r="AF6258">
        <v>-1.2306920127545</v>
      </c>
      <c r="AG6258">
        <v>-1.1039963038780001</v>
      </c>
      <c r="AH6258">
        <v>25.990444944500201</v>
      </c>
      <c r="AI6258">
        <v>92.429572073619795</v>
      </c>
      <c r="AJ6258">
        <v>92.711028139576996</v>
      </c>
      <c r="AK6258">
        <v>26.0429767707598</v>
      </c>
    </row>
    <row r="6259" spans="1:37" x14ac:dyDescent="0.2">
      <c r="A6259" t="str">
        <f>"20200111153551913"</f>
        <v>20200111153551913</v>
      </c>
      <c r="B6259" t="str">
        <f>"1578728151901491"</f>
        <v>1578728151901491</v>
      </c>
      <c r="C6259" t="s">
        <v>37</v>
      </c>
      <c r="D6259">
        <v>4.8230870000000001</v>
      </c>
      <c r="E6259">
        <v>0.51451899999999995</v>
      </c>
      <c r="F6259" t="s">
        <v>39</v>
      </c>
      <c r="G6259">
        <v>-187.9913</v>
      </c>
      <c r="H6259" s="1">
        <v>-1.3985620000000001E-6</v>
      </c>
      <c r="I6259">
        <v>32.062280000000001</v>
      </c>
      <c r="J6259">
        <v>-186.96889999999999</v>
      </c>
      <c r="K6259">
        <v>1.104004</v>
      </c>
      <c r="L6259">
        <v>6.2316279999999997</v>
      </c>
      <c r="M6259">
        <v>7.8768799999999993E-3</v>
      </c>
      <c r="N6259">
        <v>0</v>
      </c>
      <c r="O6259">
        <v>0.99996289999999999</v>
      </c>
      <c r="P6259">
        <v>-7.7630190000000002E-2</v>
      </c>
      <c r="Q6259">
        <v>-7.8858339999999996E-4</v>
      </c>
      <c r="R6259">
        <v>0.99698189999999998</v>
      </c>
      <c r="S6259">
        <v>-0.11633299999999901</v>
      </c>
      <c r="T6259">
        <v>-0.12604360000000001</v>
      </c>
      <c r="U6259">
        <v>2.9998469999999999</v>
      </c>
      <c r="V6259">
        <v>-8.5488330000000001E-2</v>
      </c>
      <c r="W6259">
        <v>2.4440899999999999E-3</v>
      </c>
      <c r="X6259">
        <v>0.99633619999999901</v>
      </c>
      <c r="Y6259">
        <v>-4.6586229999999999E-2</v>
      </c>
      <c r="Z6259">
        <v>-4.193914E-2</v>
      </c>
      <c r="AA6259">
        <v>0.99803349999999902</v>
      </c>
      <c r="AB6259">
        <v>45</v>
      </c>
      <c r="AC6259">
        <v>-1.0224</v>
      </c>
      <c r="AD6259">
        <v>-1.104005398562</v>
      </c>
      <c r="AE6259">
        <v>25.830652000000001</v>
      </c>
      <c r="AF6259">
        <v>-1.22360278238909</v>
      </c>
      <c r="AG6259">
        <v>-1.104005398562</v>
      </c>
      <c r="AH6259">
        <v>25.774787635097901</v>
      </c>
      <c r="AI6259">
        <v>92.449881740129499</v>
      </c>
      <c r="AJ6259">
        <v>92.717953724977406</v>
      </c>
      <c r="AK6259">
        <v>25.827421654580998</v>
      </c>
    </row>
    <row r="6260" spans="1:37" x14ac:dyDescent="0.2">
      <c r="A6260" t="str">
        <f>"20200111153551935"</f>
        <v>20200111153551935</v>
      </c>
      <c r="B6260" t="str">
        <f>"1578728151932040"</f>
        <v>1578728151932040</v>
      </c>
      <c r="C6260" t="s">
        <v>37</v>
      </c>
      <c r="D6260">
        <v>4.8312330000000001</v>
      </c>
      <c r="E6260">
        <v>0.51473619999999998</v>
      </c>
      <c r="F6260" t="s">
        <v>39</v>
      </c>
      <c r="G6260">
        <v>-188.00540000000001</v>
      </c>
      <c r="H6260" s="1">
        <v>-1.501624E-6</v>
      </c>
      <c r="I6260">
        <v>32.30838</v>
      </c>
      <c r="J6260">
        <v>-186.96599999999901</v>
      </c>
      <c r="K6260">
        <v>1.1040239999999999</v>
      </c>
      <c r="L6260">
        <v>6.6759949999999897</v>
      </c>
      <c r="M6260">
        <v>6.841705E-3</v>
      </c>
      <c r="N6260">
        <v>0</v>
      </c>
      <c r="O6260">
        <v>0.99997039999999904</v>
      </c>
      <c r="P6260">
        <v>-7.9154199999999994E-2</v>
      </c>
      <c r="Q6260">
        <v>-1.372535E-3</v>
      </c>
      <c r="R6260">
        <v>0.99686149999999996</v>
      </c>
      <c r="S6260">
        <v>-0.119232199999999</v>
      </c>
      <c r="T6260">
        <v>-0.12699739999999901</v>
      </c>
      <c r="U6260">
        <v>2.999695</v>
      </c>
      <c r="V6260">
        <v>-8.597871E-2</v>
      </c>
      <c r="W6260">
        <v>1.904312E-3</v>
      </c>
      <c r="X6260">
        <v>0.99629519999999905</v>
      </c>
      <c r="Y6260">
        <v>-4.6516679999999998E-2</v>
      </c>
      <c r="Z6260">
        <v>-4.225785E-2</v>
      </c>
      <c r="AA6260">
        <v>0.99802329999999995</v>
      </c>
      <c r="AB6260">
        <v>45</v>
      </c>
      <c r="AC6260">
        <v>-1.0394000000000201</v>
      </c>
      <c r="AD6260">
        <v>-1.1040255016239999</v>
      </c>
      <c r="AE6260">
        <v>25.632384999999999</v>
      </c>
      <c r="AF6260">
        <v>-1.2125002926555</v>
      </c>
      <c r="AG6260">
        <v>-1.1040255016239999</v>
      </c>
      <c r="AH6260">
        <v>25.577301799464902</v>
      </c>
      <c r="AI6260">
        <v>92.468827077072703</v>
      </c>
      <c r="AJ6260">
        <v>92.714093144195203</v>
      </c>
      <c r="AK6260">
        <v>25.629814603481599</v>
      </c>
    </row>
    <row r="6261" spans="1:37" x14ac:dyDescent="0.2">
      <c r="A6261" t="str">
        <f>"20200111153551957"</f>
        <v>20200111153551957</v>
      </c>
      <c r="B6261" t="str">
        <f>"1578728151951559"</f>
        <v>1578728151951559</v>
      </c>
      <c r="C6261" t="s">
        <v>37</v>
      </c>
      <c r="D6261">
        <v>4.8606129999999999</v>
      </c>
      <c r="E6261">
        <v>0.5148644</v>
      </c>
      <c r="F6261" t="s">
        <v>39</v>
      </c>
      <c r="G6261">
        <v>-188.01990000000001</v>
      </c>
      <c r="H6261" s="1">
        <v>-1.608349E-6</v>
      </c>
      <c r="I6261">
        <v>32.563130000000001</v>
      </c>
      <c r="J6261">
        <v>-186.96350000000001</v>
      </c>
      <c r="K6261">
        <v>1.1040449999999999</v>
      </c>
      <c r="L6261">
        <v>7.1218570000000003</v>
      </c>
      <c r="M6261">
        <v>5.8031630000000001E-3</v>
      </c>
      <c r="N6261">
        <v>0</v>
      </c>
      <c r="O6261">
        <v>0.9999768</v>
      </c>
      <c r="P6261">
        <v>-8.0117140000000003E-2</v>
      </c>
      <c r="Q6261">
        <v>-1.4769079999999899E-3</v>
      </c>
      <c r="R6261">
        <v>0.99678440000000001</v>
      </c>
      <c r="S6261">
        <v>-0.12211610000000001</v>
      </c>
      <c r="T6261">
        <v>-0.12792480000000001</v>
      </c>
      <c r="U6261">
        <v>2.9995729999999998</v>
      </c>
      <c r="V6261">
        <v>-8.5906040000000003E-2</v>
      </c>
      <c r="W6261">
        <v>1.846138E-3</v>
      </c>
      <c r="X6261">
        <v>0.99630149999999995</v>
      </c>
      <c r="Y6261">
        <v>-4.6438309999999997E-2</v>
      </c>
      <c r="Z6261">
        <v>-4.2567290000000001E-2</v>
      </c>
      <c r="AA6261">
        <v>0.99801379999999995</v>
      </c>
      <c r="AB6261">
        <v>45</v>
      </c>
      <c r="AC6261">
        <v>-1.05639999999999</v>
      </c>
      <c r="AD6261">
        <v>-1.1040466083489999</v>
      </c>
      <c r="AE6261">
        <v>25.441272999999999</v>
      </c>
      <c r="AF6261">
        <v>-1.20176373521351</v>
      </c>
      <c r="AG6261">
        <v>-1.1040466083489999</v>
      </c>
      <c r="AH6261">
        <v>25.3869875386853</v>
      </c>
      <c r="AI6261">
        <v>92.487366973607806</v>
      </c>
      <c r="AJ6261">
        <v>92.710232027001794</v>
      </c>
      <c r="AK6261">
        <v>25.4393846481798</v>
      </c>
    </row>
    <row r="6262" spans="1:37" x14ac:dyDescent="0.2">
      <c r="A6262" t="str">
        <f>"20200111153551980"</f>
        <v>20200111153551980</v>
      </c>
      <c r="B6262" t="str">
        <f>"1578728151972055"</f>
        <v>1578728151972055</v>
      </c>
      <c r="C6262" t="s">
        <v>37</v>
      </c>
      <c r="D6262">
        <v>4.8541819999999998</v>
      </c>
      <c r="E6262">
        <v>0.51511070000000003</v>
      </c>
      <c r="F6262" t="s">
        <v>39</v>
      </c>
      <c r="G6262">
        <v>-188.0326</v>
      </c>
      <c r="H6262" s="1">
        <v>-1.7732919999999901E-6</v>
      </c>
      <c r="I6262">
        <v>32.952860000000001</v>
      </c>
      <c r="J6262">
        <v>-186.96129999999999</v>
      </c>
      <c r="K6262">
        <v>1.1040639999999999</v>
      </c>
      <c r="L6262">
        <v>7.6036989999999998</v>
      </c>
      <c r="M6262">
        <v>4.6831140000000004E-3</v>
      </c>
      <c r="N6262">
        <v>0</v>
      </c>
      <c r="O6262">
        <v>0.99998240000000005</v>
      </c>
      <c r="P6262">
        <v>-8.0920880000000001E-2</v>
      </c>
      <c r="Q6262">
        <v>-1.4659409999999999E-3</v>
      </c>
      <c r="R6262">
        <v>0.99671939999999903</v>
      </c>
      <c r="S6262">
        <v>-0.12414549999999901</v>
      </c>
      <c r="T6262">
        <v>-0.1282026</v>
      </c>
      <c r="U6262">
        <v>2.99951199999999</v>
      </c>
      <c r="V6262">
        <v>-8.5593890000000006E-2</v>
      </c>
      <c r="W6262">
        <v>1.9081269999999999E-3</v>
      </c>
      <c r="X6262">
        <v>0.99632829999999994</v>
      </c>
      <c r="Y6262">
        <v>-4.5994210000000001E-2</v>
      </c>
      <c r="Z6262">
        <v>-4.2660650000000001E-2</v>
      </c>
      <c r="AA6262">
        <v>0.99803039999999998</v>
      </c>
      <c r="AB6262">
        <v>45</v>
      </c>
      <c r="AC6262">
        <v>-1.0712999999999999</v>
      </c>
      <c r="AD6262">
        <v>-1.1040657732919901</v>
      </c>
      <c r="AE6262">
        <v>25.349160999999999</v>
      </c>
      <c r="AF6262">
        <v>-1.18775292418775</v>
      </c>
      <c r="AG6262">
        <v>-1.1040657732919901</v>
      </c>
      <c r="AH6262">
        <v>25.295965584380902</v>
      </c>
      <c r="AI6262">
        <v>92.4963941747326</v>
      </c>
      <c r="AJ6262">
        <v>92.688305498610305</v>
      </c>
      <c r="AK6262">
        <v>25.347891294678799</v>
      </c>
    </row>
    <row r="6263" spans="1:37" x14ac:dyDescent="0.2">
      <c r="A6263" t="str">
        <f>"20200111153552003"</f>
        <v>20200111153552003</v>
      </c>
      <c r="B6263" t="str">
        <f>"1578728151991575"</f>
        <v>1578728151991575</v>
      </c>
      <c r="C6263" t="s">
        <v>37</v>
      </c>
      <c r="D6263">
        <v>4.8291089999999999</v>
      </c>
      <c r="E6263">
        <v>0.51527630000000002</v>
      </c>
      <c r="F6263" t="s">
        <v>39</v>
      </c>
      <c r="G6263">
        <v>-188.0361</v>
      </c>
      <c r="H6263" s="1">
        <v>-2.0112010000000001E-6</v>
      </c>
      <c r="I6263">
        <v>33.508879999999998</v>
      </c>
      <c r="J6263">
        <v>-186.9598</v>
      </c>
      <c r="K6263">
        <v>1.1040749999999999</v>
      </c>
      <c r="L6263">
        <v>8.0471800000000009</v>
      </c>
      <c r="M6263">
        <v>3.6562700000000001E-3</v>
      </c>
      <c r="N6263">
        <v>0</v>
      </c>
      <c r="O6263">
        <v>0.9999865</v>
      </c>
      <c r="P6263">
        <v>-8.1745449999999997E-2</v>
      </c>
      <c r="Q6263">
        <v>-1.4164829999999901E-3</v>
      </c>
      <c r="R6263">
        <v>0.99665219999999899</v>
      </c>
      <c r="S6263">
        <v>-0.1244507</v>
      </c>
      <c r="T6263">
        <v>-0.12784029999999999</v>
      </c>
      <c r="U6263">
        <v>2.9995729999999998</v>
      </c>
      <c r="V6263">
        <v>-8.5395299999999993E-2</v>
      </c>
      <c r="W6263">
        <v>2.0049239999999999E-3</v>
      </c>
      <c r="X6263">
        <v>0.99634519999999904</v>
      </c>
      <c r="Y6263">
        <v>-4.5069150000000002E-2</v>
      </c>
      <c r="Z6263">
        <v>-4.2540509999999997E-2</v>
      </c>
      <c r="AA6263">
        <v>0.99807769999999996</v>
      </c>
      <c r="AB6263">
        <v>45</v>
      </c>
      <c r="AC6263">
        <v>-1.0763</v>
      </c>
      <c r="AD6263">
        <v>-1.1040770112010001</v>
      </c>
      <c r="AE6263">
        <v>25.4617</v>
      </c>
      <c r="AF6263">
        <v>-1.16719753934008</v>
      </c>
      <c r="AG6263">
        <v>-1.1040770112010001</v>
      </c>
      <c r="AH6263">
        <v>25.4099018714465</v>
      </c>
      <c r="AI6263">
        <v>92.485357119858605</v>
      </c>
      <c r="AJ6263">
        <v>92.630018677867099</v>
      </c>
      <c r="AK6263">
        <v>25.460645106890901</v>
      </c>
    </row>
    <row r="6264" spans="1:37" x14ac:dyDescent="0.2">
      <c r="A6264" t="str">
        <f>"20200111153552024"</f>
        <v>20200111153552024</v>
      </c>
      <c r="B6264" t="str">
        <f>"1578728152021831"</f>
        <v>1578728152021831</v>
      </c>
      <c r="C6264" t="s">
        <v>37</v>
      </c>
      <c r="D6264">
        <v>4.8001199999999997</v>
      </c>
      <c r="E6264">
        <v>0.51548809999999901</v>
      </c>
      <c r="F6264" t="s">
        <v>39</v>
      </c>
      <c r="G6264">
        <v>-188.04769999999999</v>
      </c>
      <c r="H6264" s="1">
        <v>-2.2178679999999999E-6</v>
      </c>
      <c r="I6264">
        <v>33.995420000000003</v>
      </c>
      <c r="J6264">
        <v>-186.95869999999999</v>
      </c>
      <c r="K6264">
        <v>1.1040829999999999</v>
      </c>
      <c r="L6264">
        <v>8.4993289999999995</v>
      </c>
      <c r="M6264">
        <v>2.615016E-3</v>
      </c>
      <c r="N6264">
        <v>0</v>
      </c>
      <c r="O6264">
        <v>0.99998960000000003</v>
      </c>
      <c r="P6264">
        <v>-8.2229709999999998E-2</v>
      </c>
      <c r="Q6264">
        <v>-1.090361E-3</v>
      </c>
      <c r="R6264">
        <v>0.99661279999999997</v>
      </c>
      <c r="S6264">
        <v>-0.12576289999999901</v>
      </c>
      <c r="T6264">
        <v>-0.12762950000000001</v>
      </c>
      <c r="U6264">
        <v>2.9995729999999998</v>
      </c>
      <c r="V6264">
        <v>-8.4843139999999997E-2</v>
      </c>
      <c r="W6264">
        <v>2.381148E-3</v>
      </c>
      <c r="X6264">
        <v>0.99639149999999999</v>
      </c>
      <c r="Y6264">
        <v>-4.4464950000000003E-2</v>
      </c>
      <c r="Z6264">
        <v>-4.2470910000000001E-2</v>
      </c>
      <c r="AA6264">
        <v>0.99810769999999904</v>
      </c>
      <c r="AB6264">
        <v>46</v>
      </c>
      <c r="AC6264">
        <v>-1.08899999999999</v>
      </c>
      <c r="AD6264">
        <v>-1.1040852178679901</v>
      </c>
      <c r="AE6264">
        <v>25.496091</v>
      </c>
      <c r="AF6264">
        <v>-1.1535102527112999</v>
      </c>
      <c r="AG6264">
        <v>-1.1040852178679901</v>
      </c>
      <c r="AH6264">
        <v>25.4455263514403</v>
      </c>
      <c r="AI6264">
        <v>92.481968306129701</v>
      </c>
      <c r="AJ6264">
        <v>92.595585980770807</v>
      </c>
      <c r="AK6264">
        <v>25.495576113774501</v>
      </c>
    </row>
    <row r="6265" spans="1:37" x14ac:dyDescent="0.2">
      <c r="A6265" t="str">
        <f>"20200111153552047"</f>
        <v>20200111153552047</v>
      </c>
      <c r="B6265" t="str">
        <f>"1578728152042327"</f>
        <v>1578728152042327</v>
      </c>
      <c r="C6265" t="s">
        <v>37</v>
      </c>
      <c r="D6265">
        <v>4.8479219999999996</v>
      </c>
      <c r="E6265">
        <v>0.51564809999999905</v>
      </c>
      <c r="F6265" t="s">
        <v>39</v>
      </c>
      <c r="G6265">
        <v>-188.0556</v>
      </c>
      <c r="H6265" s="1">
        <v>-2.5328460000000001E-6</v>
      </c>
      <c r="I6265">
        <v>34.73292</v>
      </c>
      <c r="J6265">
        <v>-186.9581</v>
      </c>
      <c r="K6265">
        <v>1.104095</v>
      </c>
      <c r="L6265">
        <v>8.9452509999999901</v>
      </c>
      <c r="M6265">
        <v>1.596676E-3</v>
      </c>
      <c r="N6265">
        <v>0</v>
      </c>
      <c r="O6265">
        <v>0.99999150000000003</v>
      </c>
      <c r="P6265">
        <v>-8.2757709999999998E-2</v>
      </c>
      <c r="Q6265">
        <v>-7.0177089999999998E-4</v>
      </c>
      <c r="R6265">
        <v>0.9965695</v>
      </c>
      <c r="S6265">
        <v>-0.12542719999999999</v>
      </c>
      <c r="T6265">
        <v>-0.12624730000000001</v>
      </c>
      <c r="U6265">
        <v>2.999695</v>
      </c>
      <c r="V6265">
        <v>-8.4357950000000001E-2</v>
      </c>
      <c r="W6265">
        <v>2.819837E-3</v>
      </c>
      <c r="X6265">
        <v>0.99643150000000003</v>
      </c>
      <c r="Y6265">
        <v>-4.3335190000000003E-2</v>
      </c>
      <c r="Z6265">
        <v>-4.2011340000000001E-2</v>
      </c>
      <c r="AA6265">
        <v>0.99817690000000003</v>
      </c>
      <c r="AB6265">
        <v>46</v>
      </c>
      <c r="AC6265">
        <v>-1.0974999999999899</v>
      </c>
      <c r="AD6265">
        <v>-1.1040975328460001</v>
      </c>
      <c r="AE6265">
        <v>25.787669000000001</v>
      </c>
      <c r="AF6265">
        <v>-1.1365937059556099</v>
      </c>
      <c r="AG6265">
        <v>-1.1040975328460001</v>
      </c>
      <c r="AH6265">
        <v>25.738786805264699</v>
      </c>
      <c r="AI6265">
        <v>92.453880018904201</v>
      </c>
      <c r="AJ6265">
        <v>92.528469699533105</v>
      </c>
      <c r="AK6265">
        <v>25.787516802152901</v>
      </c>
    </row>
    <row r="6266" spans="1:37" x14ac:dyDescent="0.2">
      <c r="A6266" t="str">
        <f>"20200111153552070"</f>
        <v>20200111153552070</v>
      </c>
      <c r="B6266" t="str">
        <f>"1578728152061847"</f>
        <v>1578728152061847</v>
      </c>
      <c r="C6266" t="s">
        <v>37</v>
      </c>
      <c r="D6266">
        <v>4.8717550000000003</v>
      </c>
      <c r="E6266">
        <v>0.51582070000000002</v>
      </c>
      <c r="F6266" t="s">
        <v>39</v>
      </c>
      <c r="G6266">
        <v>-188.06950000000001</v>
      </c>
      <c r="H6266" s="1">
        <v>-2.8445850000000001E-6</v>
      </c>
      <c r="I6266">
        <v>35.465319999999998</v>
      </c>
      <c r="J6266">
        <v>-186.95779999999999</v>
      </c>
      <c r="K6266">
        <v>1.104096</v>
      </c>
      <c r="L6266">
        <v>9.4293519999999997</v>
      </c>
      <c r="M6266">
        <v>5.0769260000000001E-4</v>
      </c>
      <c r="N6266">
        <v>0</v>
      </c>
      <c r="O6266">
        <v>0.99999249999999995</v>
      </c>
      <c r="P6266">
        <v>-8.3840499999999998E-2</v>
      </c>
      <c r="Q6266" s="1">
        <v>-6.3996990000000003E-5</v>
      </c>
      <c r="R6266">
        <v>0.99647919999999901</v>
      </c>
      <c r="S6266">
        <v>-0.1257172</v>
      </c>
      <c r="T6266">
        <v>-0.12488869999999901</v>
      </c>
      <c r="U6266">
        <v>2.9997859999999998</v>
      </c>
      <c r="V6266">
        <v>-8.4357760000000004E-2</v>
      </c>
      <c r="W6266">
        <v>3.5107699999999999E-3</v>
      </c>
      <c r="X6266">
        <v>0.99642929999999996</v>
      </c>
      <c r="Y6266">
        <v>-4.2343029999999997E-2</v>
      </c>
      <c r="Z6266">
        <v>-4.1559640000000002E-2</v>
      </c>
      <c r="AA6266">
        <v>0.99823839999999997</v>
      </c>
      <c r="AB6266">
        <v>46</v>
      </c>
      <c r="AC6266">
        <v>-1.1117000000000099</v>
      </c>
      <c r="AD6266">
        <v>-1.104098844585</v>
      </c>
      <c r="AE6266">
        <v>26.035968</v>
      </c>
      <c r="AF6266">
        <v>-1.1229025523707099</v>
      </c>
      <c r="AG6266">
        <v>-1.104098844585</v>
      </c>
      <c r="AH6266">
        <v>25.988749045418899</v>
      </c>
      <c r="AI6266">
        <v>92.430410396227003</v>
      </c>
      <c r="AJ6266">
        <v>92.474054644252206</v>
      </c>
      <c r="AK6266">
        <v>26.036417214096399</v>
      </c>
    </row>
    <row r="6267" spans="1:37" x14ac:dyDescent="0.2">
      <c r="A6267" t="str">
        <f>"20200111153552093"</f>
        <v>20200111153552093</v>
      </c>
      <c r="B6267" t="str">
        <f>"1578728152082343"</f>
        <v>1578728152082343</v>
      </c>
      <c r="C6267" t="s">
        <v>37</v>
      </c>
      <c r="D6267">
        <v>4.82768</v>
      </c>
      <c r="E6267">
        <v>0.51593080000000002</v>
      </c>
      <c r="F6267" t="s">
        <v>39</v>
      </c>
      <c r="G6267">
        <v>-188.10470000000001</v>
      </c>
      <c r="H6267" s="1">
        <v>-3.239236E-6</v>
      </c>
      <c r="I6267">
        <v>36.399839999999998</v>
      </c>
      <c r="J6267">
        <v>-186.9581</v>
      </c>
      <c r="K6267">
        <v>1.104096</v>
      </c>
      <c r="L6267">
        <v>9.8962399999999899</v>
      </c>
      <c r="M6267">
        <v>-5.1697289999999996E-4</v>
      </c>
      <c r="N6267">
        <v>0</v>
      </c>
      <c r="O6267">
        <v>0.99999229999999995</v>
      </c>
      <c r="P6267">
        <v>-8.5273160000000001E-2</v>
      </c>
      <c r="Q6267">
        <v>4.2401529999999899E-4</v>
      </c>
      <c r="R6267">
        <v>0.99635750000000001</v>
      </c>
      <c r="S6267">
        <v>-0.1275635</v>
      </c>
      <c r="T6267">
        <v>-0.1228057</v>
      </c>
      <c r="U6267">
        <v>2.9998469999999999</v>
      </c>
      <c r="V6267">
        <v>-8.4770960000000006E-2</v>
      </c>
      <c r="W6267">
        <v>4.0495920000000003E-3</v>
      </c>
      <c r="X6267">
        <v>0.99639230000000001</v>
      </c>
      <c r="Y6267">
        <v>-4.193293E-2</v>
      </c>
      <c r="Z6267">
        <v>-4.0866640000000003E-2</v>
      </c>
      <c r="AA6267">
        <v>0.99828430000000001</v>
      </c>
      <c r="AB6267">
        <v>46</v>
      </c>
      <c r="AC6267">
        <v>-1.1466000000000001</v>
      </c>
      <c r="AD6267">
        <v>-1.1040992392360001</v>
      </c>
      <c r="AE6267">
        <v>26.503599999999999</v>
      </c>
      <c r="AF6267">
        <v>-1.1309391037554199</v>
      </c>
      <c r="AG6267">
        <v>-1.1040992392360001</v>
      </c>
      <c r="AH6267">
        <v>26.4583584371656</v>
      </c>
      <c r="AI6267">
        <v>92.387371630716203</v>
      </c>
      <c r="AJ6267">
        <v>92.447567471113302</v>
      </c>
      <c r="AK6267">
        <v>26.505523755927101</v>
      </c>
    </row>
    <row r="6268" spans="1:37" x14ac:dyDescent="0.2">
      <c r="A6268" t="str">
        <f>"20200111153552114"</f>
        <v>20200111153552114</v>
      </c>
      <c r="B6268" t="str">
        <f>"1578728152101866"</f>
        <v>1578728152101866</v>
      </c>
      <c r="C6268" t="s">
        <v>37</v>
      </c>
      <c r="D6268">
        <v>4.838749</v>
      </c>
      <c r="E6268">
        <v>0.5159996</v>
      </c>
      <c r="F6268" t="s">
        <v>39</v>
      </c>
      <c r="G6268">
        <v>-188.1627</v>
      </c>
      <c r="H6268" s="1">
        <v>-3.6944099999999898E-6</v>
      </c>
      <c r="I6268">
        <v>37.484850000000002</v>
      </c>
      <c r="J6268">
        <v>-186.9588</v>
      </c>
      <c r="K6268">
        <v>1.1040889999999901</v>
      </c>
      <c r="L6268">
        <v>10.3428</v>
      </c>
      <c r="M6268">
        <v>-1.4623959999999999E-3</v>
      </c>
      <c r="N6268">
        <v>0</v>
      </c>
      <c r="O6268">
        <v>0.99999119999999997</v>
      </c>
      <c r="P6268">
        <v>-8.657434E-2</v>
      </c>
      <c r="Q6268">
        <v>1.0905589999999901E-3</v>
      </c>
      <c r="R6268">
        <v>0.99624480000000004</v>
      </c>
      <c r="S6268">
        <v>-0.1309814</v>
      </c>
      <c r="T6268">
        <v>-0.1200531</v>
      </c>
      <c r="U6268">
        <v>2.99981699999999</v>
      </c>
      <c r="V6268">
        <v>-8.5131769999999996E-2</v>
      </c>
      <c r="W6268">
        <v>4.7667489999999998E-3</v>
      </c>
      <c r="X6268">
        <v>0.99635830000000003</v>
      </c>
      <c r="Y6268">
        <v>-4.212569E-2</v>
      </c>
      <c r="Z6268">
        <v>-3.9951300000000002E-2</v>
      </c>
      <c r="AA6268">
        <v>0.99831320000000001</v>
      </c>
      <c r="AB6268">
        <v>46</v>
      </c>
      <c r="AC6268">
        <v>-1.2039</v>
      </c>
      <c r="AD6268">
        <v>-1.10409269440999</v>
      </c>
      <c r="AE6268">
        <v>27.142050000000001</v>
      </c>
      <c r="AF6268">
        <v>-1.16228649256678</v>
      </c>
      <c r="AG6268">
        <v>-1.10409269440999</v>
      </c>
      <c r="AH6268">
        <v>27.099028182640001</v>
      </c>
      <c r="AI6268">
        <v>92.330964531186694</v>
      </c>
      <c r="AJ6268">
        <v>92.455930156726396</v>
      </c>
      <c r="AK6268">
        <v>27.146404163575099</v>
      </c>
    </row>
    <row r="6269" spans="1:37" x14ac:dyDescent="0.2">
      <c r="A6269" t="str">
        <f>"20200111153552136"</f>
        <v>20200111153552136</v>
      </c>
      <c r="B6269" t="str">
        <f>"1578728152122359"</f>
        <v>1578728152122359</v>
      </c>
      <c r="C6269" t="s">
        <v>37</v>
      </c>
      <c r="D6269">
        <v>4.8343559999999997</v>
      </c>
      <c r="E6269">
        <v>0.51894549999999995</v>
      </c>
      <c r="F6269" t="s">
        <v>39</v>
      </c>
      <c r="G6269">
        <v>-188.23060000000001</v>
      </c>
      <c r="H6269" s="1">
        <v>-4.2157110000000002E-6</v>
      </c>
      <c r="I6269">
        <v>38.728070000000002</v>
      </c>
      <c r="J6269">
        <v>-186.9599</v>
      </c>
      <c r="K6269">
        <v>1.1040639999999999</v>
      </c>
      <c r="L6269">
        <v>10.78824</v>
      </c>
      <c r="M6269">
        <v>-2.3617569999999999E-3</v>
      </c>
      <c r="N6269">
        <v>0</v>
      </c>
      <c r="O6269">
        <v>0.99998929999999997</v>
      </c>
      <c r="P6269">
        <v>-8.8261610000000004E-2</v>
      </c>
      <c r="Q6269">
        <v>1.599699E-3</v>
      </c>
      <c r="R6269">
        <v>0.99609599999999898</v>
      </c>
      <c r="S6269">
        <v>-0.1343994</v>
      </c>
      <c r="T6269">
        <v>-0.1166806</v>
      </c>
      <c r="U6269">
        <v>2.9997560000000001</v>
      </c>
      <c r="V6269">
        <v>-8.5924429999999996E-2</v>
      </c>
      <c r="W6269">
        <v>5.3265480000000004E-3</v>
      </c>
      <c r="X6269">
        <v>0.99628739999999905</v>
      </c>
      <c r="Y6269">
        <v>-4.2365260000000002E-2</v>
      </c>
      <c r="Z6269">
        <v>-3.8830259999999998E-2</v>
      </c>
      <c r="AA6269">
        <v>0.99834730000000005</v>
      </c>
      <c r="AB6269">
        <v>46</v>
      </c>
      <c r="AC6269">
        <v>-1.2706999999999999</v>
      </c>
      <c r="AD6269">
        <v>-1.104068215711</v>
      </c>
      <c r="AE6269">
        <v>27.939830000000001</v>
      </c>
      <c r="AF6269">
        <v>-1.20283448584191</v>
      </c>
      <c r="AG6269">
        <v>-1.104068215711</v>
      </c>
      <c r="AH6269">
        <v>27.899278154541701</v>
      </c>
      <c r="AI6269">
        <v>92.264103027559102</v>
      </c>
      <c r="AJ6269">
        <v>92.468690629185204</v>
      </c>
      <c r="AK6269">
        <v>27.947012344251799</v>
      </c>
    </row>
    <row r="6270" spans="1:37" x14ac:dyDescent="0.2">
      <c r="A6270" t="str">
        <f>"20200111153552159"</f>
        <v>20200111153552159</v>
      </c>
      <c r="B6270" t="str">
        <f>"1578728152151639"</f>
        <v>1578728152151639</v>
      </c>
      <c r="C6270" t="s">
        <v>37</v>
      </c>
      <c r="D6270">
        <v>4.790387</v>
      </c>
      <c r="E6270">
        <v>0.51965360000000005</v>
      </c>
      <c r="F6270" t="s">
        <v>39</v>
      </c>
      <c r="G6270">
        <v>-189.35990000000001</v>
      </c>
      <c r="H6270" s="1">
        <v>-1.6917729999999999E-6</v>
      </c>
      <c r="I6270">
        <v>73.31165</v>
      </c>
      <c r="J6270">
        <v>-186.9615</v>
      </c>
      <c r="K6270">
        <v>1.1040299999999901</v>
      </c>
      <c r="L6270">
        <v>11.27164</v>
      </c>
      <c r="M6270">
        <v>-3.279793E-3</v>
      </c>
      <c r="N6270">
        <v>0</v>
      </c>
      <c r="O6270">
        <v>0.9999865</v>
      </c>
      <c r="P6270">
        <v>-8.9948070000000005E-2</v>
      </c>
      <c r="Q6270">
        <v>1.9785060000000001E-3</v>
      </c>
      <c r="R6270">
        <v>0.99594450000000001</v>
      </c>
      <c r="S6270">
        <v>-0.1152191</v>
      </c>
      <c r="T6270">
        <v>-5.3004379999999997E-2</v>
      </c>
      <c r="U6270">
        <v>3.0016479999999999</v>
      </c>
      <c r="V6270">
        <v>-8.6697620000000003E-2</v>
      </c>
      <c r="W6270">
        <v>5.7623700000000002E-3</v>
      </c>
      <c r="X6270">
        <v>0.99621800000000005</v>
      </c>
      <c r="Y6270">
        <v>-3.5073460000000001E-2</v>
      </c>
      <c r="Z6270">
        <v>-1.7643610000000001E-2</v>
      </c>
      <c r="AA6270">
        <v>0.99922900000000003</v>
      </c>
      <c r="AB6270">
        <v>46</v>
      </c>
      <c r="AC6270">
        <v>-2.3984000000000001</v>
      </c>
      <c r="AD6270">
        <v>-1.10403169177299</v>
      </c>
      <c r="AE6270">
        <v>62.040010000000002</v>
      </c>
      <c r="AF6270">
        <v>-2.19421323236732</v>
      </c>
      <c r="AG6270">
        <v>-1.10403169177299</v>
      </c>
      <c r="AH6270">
        <v>62.027928995492097</v>
      </c>
      <c r="AI6270">
        <v>91.019059479599903</v>
      </c>
      <c r="AJ6270">
        <v>92.025970540435296</v>
      </c>
      <c r="AK6270">
        <v>62.076544951820203</v>
      </c>
    </row>
    <row r="6271" spans="1:37" x14ac:dyDescent="0.2">
      <c r="A6271" t="str">
        <f>"20200111153552181"</f>
        <v>20200111153552181</v>
      </c>
      <c r="B6271" t="str">
        <f>"1578728152172136"</f>
        <v>1578728152172136</v>
      </c>
      <c r="C6271" t="s">
        <v>37</v>
      </c>
      <c r="D6271">
        <v>4.7911269999999897</v>
      </c>
      <c r="E6271">
        <v>0.52020140000000004</v>
      </c>
      <c r="F6271" t="s">
        <v>39</v>
      </c>
      <c r="G6271">
        <v>-189.68430000000001</v>
      </c>
      <c r="H6271" s="1">
        <v>-1.3130730000000001E-6</v>
      </c>
      <c r="I6271">
        <v>82.563040000000001</v>
      </c>
      <c r="J6271">
        <v>-186.96350000000001</v>
      </c>
      <c r="K6271">
        <v>1.10399</v>
      </c>
      <c r="L6271">
        <v>11.75562</v>
      </c>
      <c r="M6271">
        <v>-4.1218369999999997E-3</v>
      </c>
      <c r="N6271">
        <v>0</v>
      </c>
      <c r="O6271">
        <v>0.99998310000000001</v>
      </c>
      <c r="P6271">
        <v>-9.1213539999999996E-2</v>
      </c>
      <c r="Q6271">
        <v>2.6166219999999999E-3</v>
      </c>
      <c r="R6271">
        <v>0.99582789999999999</v>
      </c>
      <c r="S6271">
        <v>-0.11465450000000001</v>
      </c>
      <c r="T6271">
        <v>-4.6488759999999997E-2</v>
      </c>
      <c r="U6271">
        <v>3.0019529999999999</v>
      </c>
      <c r="V6271">
        <v>-8.7125720000000004E-2</v>
      </c>
      <c r="W6271">
        <v>6.4614009999999899E-3</v>
      </c>
      <c r="X6271">
        <v>0.99617639999999996</v>
      </c>
      <c r="Y6271">
        <v>-3.4041729999999999E-2</v>
      </c>
      <c r="Z6271">
        <v>-1.547399E-2</v>
      </c>
      <c r="AA6271">
        <v>0.99930059999999998</v>
      </c>
      <c r="AB6271">
        <v>47</v>
      </c>
      <c r="AC6271">
        <v>-2.7207999999999899</v>
      </c>
      <c r="AD6271">
        <v>-1.1039913130729999</v>
      </c>
      <c r="AE6271">
        <v>70.807419999999993</v>
      </c>
      <c r="AF6271">
        <v>-2.4283283490999001</v>
      </c>
      <c r="AG6271">
        <v>-1.1039913130729999</v>
      </c>
      <c r="AH6271">
        <v>70.800847415371294</v>
      </c>
      <c r="AI6271">
        <v>90.892810703092394</v>
      </c>
      <c r="AJ6271">
        <v>91.9643613417404</v>
      </c>
      <c r="AK6271">
        <v>70.851080232591102</v>
      </c>
    </row>
    <row r="6272" spans="1:37" x14ac:dyDescent="0.2">
      <c r="A6272" t="str">
        <f>"20200111153552203"</f>
        <v>20200111153552203</v>
      </c>
      <c r="B6272" t="str">
        <f>"1578728152191655"</f>
        <v>1578728152191655</v>
      </c>
      <c r="C6272" t="s">
        <v>37</v>
      </c>
      <c r="D6272">
        <v>4.8212339999999996</v>
      </c>
      <c r="E6272">
        <v>0.52068479999999995</v>
      </c>
      <c r="F6272" t="s">
        <v>39</v>
      </c>
      <c r="G6272">
        <v>-189.7919</v>
      </c>
      <c r="H6272" s="1">
        <v>-2.822227E-6</v>
      </c>
      <c r="I6272">
        <v>86.125399999999999</v>
      </c>
      <c r="J6272">
        <v>-186.96559999999999</v>
      </c>
      <c r="K6272">
        <v>1.103953</v>
      </c>
      <c r="L6272">
        <v>12.199249999999999</v>
      </c>
      <c r="M6272">
        <v>-4.8398460000000001E-3</v>
      </c>
      <c r="N6272">
        <v>0</v>
      </c>
      <c r="O6272">
        <v>0.99997969999999903</v>
      </c>
      <c r="P6272">
        <v>-9.2341720000000002E-2</v>
      </c>
      <c r="Q6272">
        <v>3.0098690000000001E-3</v>
      </c>
      <c r="R6272">
        <v>0.99572280000000002</v>
      </c>
      <c r="S6272">
        <v>-0.11418150000000001</v>
      </c>
      <c r="T6272">
        <v>-4.4566990000000001E-2</v>
      </c>
      <c r="U6272">
        <v>3.0022279999999899</v>
      </c>
      <c r="V6272">
        <v>-8.7540129999999994E-2</v>
      </c>
      <c r="W6272">
        <v>6.9105709999999999E-3</v>
      </c>
      <c r="X6272">
        <v>0.99613700000000005</v>
      </c>
      <c r="Y6272">
        <v>-3.3163770000000002E-2</v>
      </c>
      <c r="Z6272">
        <v>-1.4833300000000001E-2</v>
      </c>
      <c r="AA6272">
        <v>0.99933989999999995</v>
      </c>
      <c r="AB6272">
        <v>47</v>
      </c>
      <c r="AC6272">
        <v>-2.8262999999999998</v>
      </c>
      <c r="AD6272">
        <v>-1.1039558222270001</v>
      </c>
      <c r="AE6272">
        <v>73.926150000000007</v>
      </c>
      <c r="AF6272">
        <v>-2.4679230968417998</v>
      </c>
      <c r="AG6272">
        <v>-1.1039558222270001</v>
      </c>
      <c r="AH6272">
        <v>73.922502379729707</v>
      </c>
      <c r="AI6272">
        <v>90.855113036452806</v>
      </c>
      <c r="AJ6272">
        <v>91.912125183383495</v>
      </c>
      <c r="AK6272">
        <v>73.971925221333095</v>
      </c>
    </row>
    <row r="6273" spans="1:37" x14ac:dyDescent="0.2">
      <c r="A6273" t="str">
        <f>"20200111153552226"</f>
        <v>20200111153552226</v>
      </c>
      <c r="B6273" t="str">
        <f>"1578728152221911"</f>
        <v>1578728152221911</v>
      </c>
      <c r="C6273" t="s">
        <v>37</v>
      </c>
      <c r="D6273">
        <v>4.7738639999999997</v>
      </c>
      <c r="E6273">
        <v>0.52093599999999995</v>
      </c>
      <c r="F6273" t="s">
        <v>39</v>
      </c>
      <c r="G6273">
        <v>-189.6086</v>
      </c>
      <c r="H6273" s="1">
        <v>-1.0880650000000001E-6</v>
      </c>
      <c r="I6273">
        <v>82.007239999999996</v>
      </c>
      <c r="J6273">
        <v>-186.9683</v>
      </c>
      <c r="K6273">
        <v>1.1039129999999999</v>
      </c>
      <c r="L6273">
        <v>12.6889</v>
      </c>
      <c r="M6273">
        <v>-5.5664169999999997E-3</v>
      </c>
      <c r="N6273">
        <v>0</v>
      </c>
      <c r="O6273">
        <v>0.99997559999999996</v>
      </c>
      <c r="P6273">
        <v>-9.3174729999999997E-2</v>
      </c>
      <c r="Q6273">
        <v>3.5931279999999901E-3</v>
      </c>
      <c r="R6273">
        <v>0.99564330000000001</v>
      </c>
      <c r="S6273">
        <v>-0.113678</v>
      </c>
      <c r="T6273">
        <v>-4.7482009999999998E-2</v>
      </c>
      <c r="U6273">
        <v>3.0025019999999998</v>
      </c>
      <c r="V6273">
        <v>-8.7649899999999906E-2</v>
      </c>
      <c r="W6273">
        <v>7.5757419999999999E-3</v>
      </c>
      <c r="X6273">
        <v>0.99612250000000002</v>
      </c>
      <c r="Y6273">
        <v>-3.2266179999999998E-2</v>
      </c>
      <c r="Z6273">
        <v>-1.5802030000000002E-2</v>
      </c>
      <c r="AA6273">
        <v>0.99935439999999998</v>
      </c>
      <c r="AB6273">
        <v>47</v>
      </c>
      <c r="AC6273">
        <v>-2.6402999999999901</v>
      </c>
      <c r="AD6273">
        <v>-1.103914088065</v>
      </c>
      <c r="AE6273">
        <v>69.318339999999907</v>
      </c>
      <c r="AF6273">
        <v>-2.2538300948672698</v>
      </c>
      <c r="AG6273">
        <v>-1.103914088065</v>
      </c>
      <c r="AH6273">
        <v>69.314409521036296</v>
      </c>
      <c r="AI6273">
        <v>90.911944141207698</v>
      </c>
      <c r="AJ6273">
        <v>91.862375669985298</v>
      </c>
      <c r="AK6273">
        <v>69.359828025019496</v>
      </c>
    </row>
    <row r="6274" spans="1:37" x14ac:dyDescent="0.2">
      <c r="A6274" t="str">
        <f>"20200111153552248"</f>
        <v>20200111153552248</v>
      </c>
      <c r="B6274" t="str">
        <f>"1578728152241432"</f>
        <v>1578728152241432</v>
      </c>
      <c r="C6274" t="s">
        <v>37</v>
      </c>
      <c r="D6274">
        <v>4.8025909999999996</v>
      </c>
      <c r="E6274">
        <v>0.52096409999999904</v>
      </c>
      <c r="F6274" t="s">
        <v>39</v>
      </c>
      <c r="G6274">
        <v>-189.62549999999999</v>
      </c>
      <c r="H6274" s="1">
        <v>-1.2606489999999999E-6</v>
      </c>
      <c r="I6274">
        <v>82.416529999999995</v>
      </c>
      <c r="J6274">
        <v>-186.97110000000001</v>
      </c>
      <c r="K6274">
        <v>1.1038889999999999</v>
      </c>
      <c r="L6274">
        <v>13.15024</v>
      </c>
      <c r="M6274">
        <v>-6.1839260000000002E-3</v>
      </c>
      <c r="N6274">
        <v>0</v>
      </c>
      <c r="O6274">
        <v>0.99997130000000001</v>
      </c>
      <c r="P6274">
        <v>-9.3753729999999993E-2</v>
      </c>
      <c r="Q6274">
        <v>3.7845659999999901E-3</v>
      </c>
      <c r="R6274">
        <v>0.99558819999999904</v>
      </c>
      <c r="S6274">
        <v>-0.11442570000000001</v>
      </c>
      <c r="T6274">
        <v>-4.7536490000000001E-2</v>
      </c>
      <c r="U6274">
        <v>3.00259399999999</v>
      </c>
      <c r="V6274">
        <v>-8.7614040000000004E-2</v>
      </c>
      <c r="W6274">
        <v>7.9328829999999999E-3</v>
      </c>
      <c r="X6274">
        <v>0.99612289999999903</v>
      </c>
      <c r="Y6274">
        <v>-3.1896299999999898E-2</v>
      </c>
      <c r="Z6274">
        <v>-1.5819610000000001E-2</v>
      </c>
      <c r="AA6274">
        <v>0.99936599999999998</v>
      </c>
      <c r="AB6274">
        <v>47</v>
      </c>
      <c r="AC6274">
        <v>-2.6543999999999799</v>
      </c>
      <c r="AD6274">
        <v>-1.103890260649</v>
      </c>
      <c r="AE6274">
        <v>69.266289999999998</v>
      </c>
      <c r="AF6274">
        <v>-2.2254431301872599</v>
      </c>
      <c r="AG6274">
        <v>-1.103890260649</v>
      </c>
      <c r="AH6274">
        <v>69.263814160111096</v>
      </c>
      <c r="AI6274">
        <v>90.912601859363903</v>
      </c>
      <c r="AJ6274">
        <v>91.840277647041404</v>
      </c>
      <c r="AK6274">
        <v>69.308348146811696</v>
      </c>
    </row>
    <row r="6275" spans="1:37" x14ac:dyDescent="0.2">
      <c r="A6275" t="str">
        <f>"20200111153552270"</f>
        <v>20200111153552270</v>
      </c>
      <c r="B6275" t="str">
        <f>"1578728152261927"</f>
        <v>1578728152261927</v>
      </c>
      <c r="C6275" t="s">
        <v>37</v>
      </c>
      <c r="D6275">
        <v>4.7838789999999998</v>
      </c>
      <c r="E6275">
        <v>0.52120710000000003</v>
      </c>
      <c r="F6275" t="s">
        <v>39</v>
      </c>
      <c r="G6275">
        <v>-189.52430000000001</v>
      </c>
      <c r="H6275" s="1">
        <v>-4.2277150000000004E-6</v>
      </c>
      <c r="I6275">
        <v>79.290989999999994</v>
      </c>
      <c r="J6275">
        <v>-186.9743</v>
      </c>
      <c r="K6275">
        <v>1.1039079999999999</v>
      </c>
      <c r="L6275">
        <v>13.620479999999899</v>
      </c>
      <c r="M6275">
        <v>-6.7447669999999996E-3</v>
      </c>
      <c r="N6275">
        <v>0</v>
      </c>
      <c r="O6275">
        <v>0.99996629999999997</v>
      </c>
      <c r="P6275">
        <v>-9.3880599999999995E-2</v>
      </c>
      <c r="Q6275">
        <v>4.0842020000000003E-3</v>
      </c>
      <c r="R6275">
        <v>0.99557510000000005</v>
      </c>
      <c r="S6275">
        <v>-0.1159058</v>
      </c>
      <c r="T6275">
        <v>-5.0112959999999998E-2</v>
      </c>
      <c r="U6275">
        <v>3.0025629999999999</v>
      </c>
      <c r="V6275">
        <v>-8.7182750000000003E-2</v>
      </c>
      <c r="W6275">
        <v>8.5675309999999998E-3</v>
      </c>
      <c r="X6275">
        <v>0.99615549999999997</v>
      </c>
      <c r="Y6275">
        <v>-3.182749E-2</v>
      </c>
      <c r="Z6275">
        <v>-1.6676739999999999E-2</v>
      </c>
      <c r="AA6275">
        <v>0.99935419999999997</v>
      </c>
      <c r="AB6275">
        <v>47</v>
      </c>
      <c r="AC6275">
        <v>-2.55000000000001</v>
      </c>
      <c r="AD6275">
        <v>-1.103912227715</v>
      </c>
      <c r="AE6275">
        <v>65.670509999999993</v>
      </c>
      <c r="AF6275">
        <v>-2.1064105400435098</v>
      </c>
      <c r="AG6275">
        <v>-1.103912227715</v>
      </c>
      <c r="AH6275">
        <v>65.667687678068305</v>
      </c>
      <c r="AI6275">
        <v>90.962589847216705</v>
      </c>
      <c r="AJ6275">
        <v>91.837236404381699</v>
      </c>
      <c r="AK6275">
        <v>65.710735748080197</v>
      </c>
    </row>
    <row r="6276" spans="1:37" x14ac:dyDescent="0.2">
      <c r="A6276" t="str">
        <f>"20200111153552293"</f>
        <v>20200111153552293</v>
      </c>
      <c r="B6276" t="str">
        <f>"1578728152281447"</f>
        <v>1578728152281447</v>
      </c>
      <c r="C6276" t="s">
        <v>37</v>
      </c>
      <c r="D6276">
        <v>4.7914789999999998</v>
      </c>
      <c r="E6276">
        <v>0.52139939999999996</v>
      </c>
      <c r="F6276" t="s">
        <v>39</v>
      </c>
      <c r="G6276">
        <v>-189.45140000000001</v>
      </c>
      <c r="H6276" s="1">
        <v>-3.9893029999999999E-6</v>
      </c>
      <c r="I6276">
        <v>78.705109999999905</v>
      </c>
      <c r="J6276">
        <v>-186.9777</v>
      </c>
      <c r="K6276">
        <v>1.1039509999999999</v>
      </c>
      <c r="L6276">
        <v>14.09521</v>
      </c>
      <c r="M6276">
        <v>-7.2482229999999998E-3</v>
      </c>
      <c r="N6276">
        <v>0</v>
      </c>
      <c r="O6276">
        <v>0.99996010000000002</v>
      </c>
      <c r="P6276">
        <v>-9.3892229999999993E-2</v>
      </c>
      <c r="Q6276">
        <v>4.3506949999999999E-3</v>
      </c>
      <c r="R6276">
        <v>0.99557289999999998</v>
      </c>
      <c r="S6276">
        <v>-0.1142883</v>
      </c>
      <c r="T6276">
        <v>-5.0930620000000003E-2</v>
      </c>
      <c r="U6276">
        <v>3.002777</v>
      </c>
      <c r="V6276">
        <v>-8.6692379999999999E-2</v>
      </c>
      <c r="W6276">
        <v>9.3895639999999995E-3</v>
      </c>
      <c r="X6276">
        <v>0.99619089999999999</v>
      </c>
      <c r="Y6276">
        <v>-3.0783810000000002E-2</v>
      </c>
      <c r="Z6276">
        <v>-1.6947920000000002E-2</v>
      </c>
      <c r="AA6276">
        <v>0.9993824</v>
      </c>
      <c r="AB6276">
        <v>47</v>
      </c>
      <c r="AC6276">
        <v>-2.4737</v>
      </c>
      <c r="AD6276">
        <v>-1.1039549893030001</v>
      </c>
      <c r="AE6276">
        <v>64.609899999999996</v>
      </c>
      <c r="AF6276">
        <v>-2.0047372494395201</v>
      </c>
      <c r="AG6276">
        <v>-1.1039549893030001</v>
      </c>
      <c r="AH6276">
        <v>64.607298584995604</v>
      </c>
      <c r="AI6276">
        <v>90.978455816403297</v>
      </c>
      <c r="AJ6276">
        <v>91.777293626757199</v>
      </c>
      <c r="AK6276">
        <v>64.647820678724102</v>
      </c>
    </row>
    <row r="6277" spans="1:37" x14ac:dyDescent="0.2">
      <c r="A6277" t="str">
        <f>"20200111153552314"</f>
        <v>20200111153552314</v>
      </c>
      <c r="B6277" t="str">
        <f>"1578728152311703"</f>
        <v>1578728152311703</v>
      </c>
      <c r="C6277" t="s">
        <v>37</v>
      </c>
      <c r="D6277">
        <v>4.7320359999999999</v>
      </c>
      <c r="E6277">
        <v>0.52172099999999999</v>
      </c>
      <c r="F6277" t="s">
        <v>39</v>
      </c>
      <c r="G6277">
        <v>-189.434</v>
      </c>
      <c r="H6277" s="1">
        <v>-4.305579E-6</v>
      </c>
      <c r="I6277">
        <v>79.435130000000001</v>
      </c>
      <c r="J6277">
        <v>-186.9812</v>
      </c>
      <c r="K6277">
        <v>1.104012</v>
      </c>
      <c r="L6277">
        <v>14.54477</v>
      </c>
      <c r="M6277">
        <v>-7.6739599999999996E-3</v>
      </c>
      <c r="N6277">
        <v>0</v>
      </c>
      <c r="O6277">
        <v>0.99995279999999998</v>
      </c>
      <c r="P6277">
        <v>-9.3049820000000005E-2</v>
      </c>
      <c r="Q6277">
        <v>4.6481120000000003E-3</v>
      </c>
      <c r="R6277">
        <v>0.99565059999999905</v>
      </c>
      <c r="S6277">
        <v>-0.1128845</v>
      </c>
      <c r="T6277">
        <v>-5.073619E-2</v>
      </c>
      <c r="U6277">
        <v>3.0029300000000001</v>
      </c>
      <c r="V6277">
        <v>-8.5425490000000007E-2</v>
      </c>
      <c r="W6277">
        <v>1.043665E-2</v>
      </c>
      <c r="X6277">
        <v>0.99628989999999995</v>
      </c>
      <c r="Y6277">
        <v>-2.9889789999999999E-2</v>
      </c>
      <c r="Z6277">
        <v>-1.6882669999999999E-2</v>
      </c>
      <c r="AA6277">
        <v>0.99941059999999904</v>
      </c>
      <c r="AB6277">
        <v>47</v>
      </c>
      <c r="AC6277">
        <v>-2.4528000000000199</v>
      </c>
      <c r="AD6277">
        <v>-1.104016305579</v>
      </c>
      <c r="AE6277">
        <v>64.890360000000001</v>
      </c>
      <c r="AF6277">
        <v>-1.9541880510198899</v>
      </c>
      <c r="AG6277">
        <v>-1.104016305579</v>
      </c>
      <c r="AH6277">
        <v>64.888516320989197</v>
      </c>
      <c r="AI6277">
        <v>90.974297424148503</v>
      </c>
      <c r="AJ6277">
        <v>91.725003158957307</v>
      </c>
      <c r="AK6277">
        <v>64.927322856260005</v>
      </c>
    </row>
    <row r="6278" spans="1:37" x14ac:dyDescent="0.2">
      <c r="A6278" t="str">
        <f>"20200111153552348"</f>
        <v>20200111153552348</v>
      </c>
      <c r="B6278" t="str">
        <f>"1578728152341959"</f>
        <v>1578728152341959</v>
      </c>
      <c r="C6278" t="s">
        <v>37</v>
      </c>
      <c r="D6278">
        <v>4.7781289999999998</v>
      </c>
      <c r="E6278">
        <v>0.52212139999999996</v>
      </c>
      <c r="F6278" t="s">
        <v>39</v>
      </c>
      <c r="G6278">
        <v>-189.25229999999999</v>
      </c>
      <c r="H6278" s="1">
        <v>-3.5774059999999898E-6</v>
      </c>
      <c r="I6278">
        <v>77.662639999999996</v>
      </c>
      <c r="J6278">
        <v>-186.9872</v>
      </c>
      <c r="K6278">
        <v>1.104087</v>
      </c>
      <c r="L6278">
        <v>15.25259</v>
      </c>
      <c r="M6278">
        <v>-8.2674310000000004E-3</v>
      </c>
      <c r="N6278">
        <v>0</v>
      </c>
      <c r="O6278">
        <v>0.99993969999999899</v>
      </c>
      <c r="P6278">
        <v>-9.1944319999999996E-2</v>
      </c>
      <c r="Q6278">
        <v>3.3517709999999999E-3</v>
      </c>
      <c r="R6278">
        <v>0.99575849999999899</v>
      </c>
      <c r="S6278">
        <v>-0.1080627</v>
      </c>
      <c r="T6278">
        <v>-5.2531120000000001E-2</v>
      </c>
      <c r="U6278">
        <v>3.0032649999999999</v>
      </c>
      <c r="V6278">
        <v>-8.3724160000000006E-2</v>
      </c>
      <c r="W6278">
        <v>1.0429020000000001E-2</v>
      </c>
      <c r="X6278">
        <v>0.99643440000000005</v>
      </c>
      <c r="Y6278">
        <v>-2.7689459999999999E-2</v>
      </c>
      <c r="Z6278">
        <v>-1.7478759999999999E-2</v>
      </c>
      <c r="AA6278">
        <v>0.99946369999999896</v>
      </c>
      <c r="AB6278">
        <v>47</v>
      </c>
      <c r="AC6278">
        <v>-2.2650999999999799</v>
      </c>
      <c r="AD6278">
        <v>-1.1040905774059999</v>
      </c>
      <c r="AE6278">
        <v>62.410049999999998</v>
      </c>
      <c r="AF6278">
        <v>-1.74849182043833</v>
      </c>
      <c r="AG6278">
        <v>-1.1040905774059999</v>
      </c>
      <c r="AH6278">
        <v>62.407138260926502</v>
      </c>
      <c r="AI6278">
        <v>91.013158539134395</v>
      </c>
      <c r="AJ6278">
        <v>91.604864500060401</v>
      </c>
      <c r="AK6278">
        <v>62.441389683187303</v>
      </c>
    </row>
    <row r="6279" spans="1:37" x14ac:dyDescent="0.2">
      <c r="A6279" t="str">
        <f>"20200111153552371"</f>
        <v>20200111153552371</v>
      </c>
      <c r="B6279" t="str">
        <f>"1578728152361479"</f>
        <v>1578728152361479</v>
      </c>
      <c r="C6279" t="s">
        <v>37</v>
      </c>
      <c r="D6279">
        <v>4.7374339999999897</v>
      </c>
      <c r="E6279">
        <v>0.52226689999999998</v>
      </c>
      <c r="F6279" t="s">
        <v>39</v>
      </c>
      <c r="G6279">
        <v>-188.92910000000001</v>
      </c>
      <c r="H6279" s="1">
        <v>-1.506259E-6</v>
      </c>
      <c r="I6279">
        <v>72.70111</v>
      </c>
      <c r="J6279">
        <v>-186.9915</v>
      </c>
      <c r="K6279">
        <v>1.1041030000000001</v>
      </c>
      <c r="L6279">
        <v>15.742100000000001</v>
      </c>
      <c r="M6279">
        <v>-8.6294059999999992E-3</v>
      </c>
      <c r="N6279">
        <v>0</v>
      </c>
      <c r="O6279">
        <v>0.99993080000000001</v>
      </c>
      <c r="P6279">
        <v>-9.1193940000000001E-2</v>
      </c>
      <c r="Q6279">
        <v>2.9340149999999999E-3</v>
      </c>
      <c r="R6279">
        <v>0.99582879999999996</v>
      </c>
      <c r="S6279">
        <v>-0.101532</v>
      </c>
      <c r="T6279">
        <v>-5.7725430000000001E-2</v>
      </c>
      <c r="U6279">
        <v>3.00360099999999</v>
      </c>
      <c r="V6279">
        <v>-8.2610080000000002E-2</v>
      </c>
      <c r="W6279">
        <v>1.079664E-2</v>
      </c>
      <c r="X6279">
        <v>0.99652339999999995</v>
      </c>
      <c r="Y6279">
        <v>-2.5151880000000001E-2</v>
      </c>
      <c r="Z6279">
        <v>-1.92056E-2</v>
      </c>
      <c r="AA6279">
        <v>0.99949909999999997</v>
      </c>
      <c r="AB6279">
        <v>47</v>
      </c>
      <c r="AC6279">
        <v>-1.9376</v>
      </c>
      <c r="AD6279">
        <v>-1.104104506259</v>
      </c>
      <c r="AE6279">
        <v>56.959009999999999</v>
      </c>
      <c r="AF6279">
        <v>-1.44544722153064</v>
      </c>
      <c r="AG6279">
        <v>-1.104104506259</v>
      </c>
      <c r="AH6279">
        <v>56.952235027546898</v>
      </c>
      <c r="AI6279">
        <v>91.110268068429903</v>
      </c>
      <c r="AJ6279">
        <v>91.453854267328495</v>
      </c>
      <c r="AK6279">
        <v>56.981272704844997</v>
      </c>
    </row>
    <row r="6280" spans="1:37" x14ac:dyDescent="0.2">
      <c r="A6280" t="str">
        <f>"20200111153552394"</f>
        <v>20200111153552394</v>
      </c>
      <c r="B6280" t="str">
        <f>"1578728152381974"</f>
        <v>1578728152381974</v>
      </c>
      <c r="C6280" t="s">
        <v>37</v>
      </c>
      <c r="D6280">
        <v>4.7592860000000003</v>
      </c>
      <c r="E6280">
        <v>0.52236759999999904</v>
      </c>
      <c r="F6280" t="s">
        <v>39</v>
      </c>
      <c r="G6280">
        <v>-188.7998</v>
      </c>
      <c r="H6280" s="1">
        <v>-8.6178519999999899E-7</v>
      </c>
      <c r="I6280">
        <v>71.145340000000004</v>
      </c>
      <c r="J6280">
        <v>-186.99590000000001</v>
      </c>
      <c r="K6280">
        <v>1.1040969999999899</v>
      </c>
      <c r="L6280">
        <v>16.22137</v>
      </c>
      <c r="M6280">
        <v>-8.9475200000000005E-3</v>
      </c>
      <c r="N6280">
        <v>0</v>
      </c>
      <c r="O6280">
        <v>0.99992259999999999</v>
      </c>
      <c r="P6280">
        <v>-9.072028E-2</v>
      </c>
      <c r="Q6280">
        <v>3.0951859999999898E-3</v>
      </c>
      <c r="R6280">
        <v>0.99587159999999997</v>
      </c>
      <c r="S6280">
        <v>-9.8037719999999995E-2</v>
      </c>
      <c r="T6280">
        <v>-5.986035E-2</v>
      </c>
      <c r="U6280">
        <v>3.0037539999999998</v>
      </c>
      <c r="V6280">
        <v>-8.1818100000000005E-2</v>
      </c>
      <c r="W6280">
        <v>1.162438E-2</v>
      </c>
      <c r="X6280">
        <v>0.99657949999999995</v>
      </c>
      <c r="Y6280">
        <v>-2.3670170000000001E-2</v>
      </c>
      <c r="Z6280">
        <v>-1.9915269999999999E-2</v>
      </c>
      <c r="AA6280">
        <v>0.9995214</v>
      </c>
      <c r="AB6280">
        <v>47</v>
      </c>
      <c r="AC6280">
        <v>-1.8038999999999901</v>
      </c>
      <c r="AD6280">
        <v>-1.1040978617852</v>
      </c>
      <c r="AE6280">
        <v>54.923969999999997</v>
      </c>
      <c r="AF6280">
        <v>-1.3118465508528601</v>
      </c>
      <c r="AG6280">
        <v>-1.1040978617852</v>
      </c>
      <c r="AH6280">
        <v>54.915744606400899</v>
      </c>
      <c r="AI6280">
        <v>91.151465606646099</v>
      </c>
      <c r="AJ6280">
        <v>91.368441396460199</v>
      </c>
      <c r="AK6280">
        <v>54.942506123554601</v>
      </c>
    </row>
    <row r="6281" spans="1:37" x14ac:dyDescent="0.2">
      <c r="A6281" t="str">
        <f>"20200111153552416"</f>
        <v>20200111153552416</v>
      </c>
      <c r="B6281" t="str">
        <f>"1578728152412233"</f>
        <v>1578728152412233</v>
      </c>
      <c r="C6281" t="s">
        <v>37</v>
      </c>
      <c r="D6281">
        <v>4.7265480000000002</v>
      </c>
      <c r="E6281">
        <v>0.52250810000000003</v>
      </c>
      <c r="F6281" t="s">
        <v>39</v>
      </c>
      <c r="G6281">
        <v>-188.73009999999999</v>
      </c>
      <c r="H6281" s="1">
        <v>-6.5973439999999997E-7</v>
      </c>
      <c r="I6281">
        <v>70.593859999999907</v>
      </c>
      <c r="J6281">
        <v>-187.00030000000001</v>
      </c>
      <c r="K6281">
        <v>1.104074</v>
      </c>
      <c r="L6281">
        <v>16.681639999999899</v>
      </c>
      <c r="M6281">
        <v>-9.2240429999999995E-3</v>
      </c>
      <c r="N6281">
        <v>0</v>
      </c>
      <c r="O6281">
        <v>0.99991509999999995</v>
      </c>
      <c r="P6281">
        <v>-9.0787629999999994E-2</v>
      </c>
      <c r="Q6281">
        <v>3.0813780000000001E-3</v>
      </c>
      <c r="R6281">
        <v>0.99586549999999996</v>
      </c>
      <c r="S6281">
        <v>-9.5809939999999996E-2</v>
      </c>
      <c r="T6281">
        <v>-6.0997839999999998E-2</v>
      </c>
      <c r="U6281">
        <v>3.0039060000000002</v>
      </c>
      <c r="V6281">
        <v>-8.1608940000000005E-2</v>
      </c>
      <c r="W6281">
        <v>1.2173649999999999E-2</v>
      </c>
      <c r="X6281">
        <v>0.99659010000000003</v>
      </c>
      <c r="Y6281">
        <v>-2.265124E-2</v>
      </c>
      <c r="Z6281">
        <v>-2.0292930000000001E-2</v>
      </c>
      <c r="AA6281">
        <v>0.99953749999999997</v>
      </c>
      <c r="AB6281">
        <v>47</v>
      </c>
      <c r="AC6281">
        <v>-1.72979999999998</v>
      </c>
      <c r="AD6281">
        <v>-1.1040746597344</v>
      </c>
      <c r="AE6281">
        <v>53.912219999999898</v>
      </c>
      <c r="AF6281">
        <v>-1.2319005838161801</v>
      </c>
      <c r="AG6281">
        <v>-1.1040746597344</v>
      </c>
      <c r="AH6281">
        <v>53.903299192900597</v>
      </c>
      <c r="AI6281">
        <v>91.173090856831706</v>
      </c>
      <c r="AJ6281">
        <v>91.309204087184398</v>
      </c>
      <c r="AK6281">
        <v>53.928677192955803</v>
      </c>
    </row>
    <row r="6282" spans="1:37" x14ac:dyDescent="0.2">
      <c r="A6282" t="str">
        <f>"20200111153552438"</f>
        <v>20200111153552438</v>
      </c>
      <c r="B6282" t="str">
        <f>"1578728152431751"</f>
        <v>1578728152431751</v>
      </c>
      <c r="C6282" t="s">
        <v>37</v>
      </c>
      <c r="D6282">
        <v>4.70113</v>
      </c>
      <c r="E6282">
        <v>0.52253070000000001</v>
      </c>
      <c r="F6282" t="s">
        <v>39</v>
      </c>
      <c r="G6282">
        <v>-188.6902</v>
      </c>
      <c r="H6282" s="1">
        <v>-5.3965990000000001E-7</v>
      </c>
      <c r="I6282">
        <v>70.20975</v>
      </c>
      <c r="J6282">
        <v>-187.005</v>
      </c>
      <c r="K6282">
        <v>1.104053</v>
      </c>
      <c r="L6282">
        <v>17.149049999999999</v>
      </c>
      <c r="M6282">
        <v>-9.4847850000000008E-3</v>
      </c>
      <c r="N6282">
        <v>0</v>
      </c>
      <c r="O6282">
        <v>0.99990800000000002</v>
      </c>
      <c r="P6282">
        <v>-9.0982240000000006E-2</v>
      </c>
      <c r="Q6282">
        <v>3.1513459999999902E-3</v>
      </c>
      <c r="R6282">
        <v>0.9958475</v>
      </c>
      <c r="S6282">
        <v>-9.483337E-2</v>
      </c>
      <c r="T6282">
        <v>-6.19607E-2</v>
      </c>
      <c r="U6282">
        <v>3.0039980000000002</v>
      </c>
      <c r="V6282">
        <v>-8.1542310000000007E-2</v>
      </c>
      <c r="W6282">
        <v>1.2752970000000001E-2</v>
      </c>
      <c r="X6282">
        <v>0.99658829999999998</v>
      </c>
      <c r="Y6282">
        <v>-2.2064710000000001E-2</v>
      </c>
      <c r="Z6282">
        <v>-2.0612660000000001E-2</v>
      </c>
      <c r="AA6282">
        <v>0.99954399999999999</v>
      </c>
      <c r="AB6282">
        <v>47</v>
      </c>
      <c r="AC6282">
        <v>-1.6852</v>
      </c>
      <c r="AD6282">
        <v>-1.1040535396599001</v>
      </c>
      <c r="AE6282">
        <v>53.060699999999997</v>
      </c>
      <c r="AF6282">
        <v>-1.1813202622790699</v>
      </c>
      <c r="AG6282">
        <v>-1.1040535396599001</v>
      </c>
      <c r="AH6282">
        <v>53.051352275171503</v>
      </c>
      <c r="AI6282">
        <v>91.191916988458004</v>
      </c>
      <c r="AJ6282">
        <v>91.275622180467394</v>
      </c>
      <c r="AK6282">
        <v>53.075987320113498</v>
      </c>
    </row>
    <row r="6283" spans="1:37" x14ac:dyDescent="0.2">
      <c r="A6283" t="str">
        <f>"20200111153552461"</f>
        <v>20200111153552461</v>
      </c>
      <c r="B6283" t="str">
        <f>"1578728152452247"</f>
        <v>1578728152452247</v>
      </c>
      <c r="C6283" t="s">
        <v>37</v>
      </c>
      <c r="D6283">
        <v>4.6841489999999997</v>
      </c>
      <c r="E6283">
        <v>0.52249449999999997</v>
      </c>
      <c r="F6283" t="s">
        <v>39</v>
      </c>
      <c r="G6283">
        <v>-188.70060000000001</v>
      </c>
      <c r="H6283" s="1">
        <v>-6.4136740000000002E-7</v>
      </c>
      <c r="I6283">
        <v>70.516769999999994</v>
      </c>
      <c r="J6283">
        <v>-187.00970000000001</v>
      </c>
      <c r="K6283">
        <v>1.1040190000000001</v>
      </c>
      <c r="L6283">
        <v>17.61816</v>
      </c>
      <c r="M6283">
        <v>-9.7368690000000004E-3</v>
      </c>
      <c r="N6283">
        <v>0</v>
      </c>
      <c r="O6283">
        <v>0.99990119999999905</v>
      </c>
      <c r="P6283">
        <v>-9.1119329999999998E-2</v>
      </c>
      <c r="Q6283">
        <v>3.0394469999999998E-3</v>
      </c>
      <c r="R6283">
        <v>0.99583539999999904</v>
      </c>
      <c r="S6283">
        <v>-9.5443730000000004E-2</v>
      </c>
      <c r="T6283">
        <v>-6.214571E-2</v>
      </c>
      <c r="U6283">
        <v>3.0039980000000002</v>
      </c>
      <c r="V6283">
        <v>-8.1426949999999998E-2</v>
      </c>
      <c r="W6283">
        <v>1.309388E-2</v>
      </c>
      <c r="X6283">
        <v>0.99659330000000002</v>
      </c>
      <c r="Y6283">
        <v>-2.2015460000000001E-2</v>
      </c>
      <c r="Z6283">
        <v>-2.0674049999999999E-2</v>
      </c>
      <c r="AA6283">
        <v>0.99954379999999998</v>
      </c>
      <c r="AB6283">
        <v>47</v>
      </c>
      <c r="AC6283">
        <v>-1.6908999999999901</v>
      </c>
      <c r="AD6283">
        <v>-1.1040196413673999</v>
      </c>
      <c r="AE6283">
        <v>52.898609999999898</v>
      </c>
      <c r="AF6283">
        <v>-1.1752151531399</v>
      </c>
      <c r="AG6283">
        <v>-1.1040196413673999</v>
      </c>
      <c r="AH6283">
        <v>52.889553066010897</v>
      </c>
      <c r="AI6283">
        <v>91.195526792538303</v>
      </c>
      <c r="AJ6283">
        <v>91.2729128114416</v>
      </c>
      <c r="AK6283">
        <v>52.9141267862097</v>
      </c>
    </row>
    <row r="6284" spans="1:37" x14ac:dyDescent="0.2">
      <c r="A6284" t="str">
        <f>"20200111153552482"</f>
        <v>20200111153552482</v>
      </c>
      <c r="B6284" t="str">
        <f>"1578728152471767"</f>
        <v>1578728152471767</v>
      </c>
      <c r="C6284" t="s">
        <v>37</v>
      </c>
      <c r="D6284">
        <v>4.703246</v>
      </c>
      <c r="E6284">
        <v>0.52245549999999996</v>
      </c>
      <c r="F6284" t="s">
        <v>39</v>
      </c>
      <c r="G6284">
        <v>-188.67740000000001</v>
      </c>
      <c r="H6284" s="1">
        <v>-3.6622219999999999E-7</v>
      </c>
      <c r="I6284">
        <v>69.690129999999996</v>
      </c>
      <c r="J6284">
        <v>-187.0146</v>
      </c>
      <c r="K6284">
        <v>1.1039809999999901</v>
      </c>
      <c r="L6284">
        <v>18.087309999999999</v>
      </c>
      <c r="M6284">
        <v>-9.9866529999999998E-3</v>
      </c>
      <c r="N6284">
        <v>0</v>
      </c>
      <c r="O6284">
        <v>0.99989470000000003</v>
      </c>
      <c r="P6284">
        <v>-9.1620720000000003E-2</v>
      </c>
      <c r="Q6284">
        <v>3.1970850000000001E-3</v>
      </c>
      <c r="R6284">
        <v>0.99578889999999998</v>
      </c>
      <c r="S6284">
        <v>-9.6206669999999994E-2</v>
      </c>
      <c r="T6284">
        <v>-6.3688869999999995E-2</v>
      </c>
      <c r="U6284">
        <v>3.0039370000000001</v>
      </c>
      <c r="V6284">
        <v>-8.1678669999999995E-2</v>
      </c>
      <c r="W6284">
        <v>1.3648860000000001E-2</v>
      </c>
      <c r="X6284">
        <v>0.99656529999999999</v>
      </c>
      <c r="Y6284">
        <v>-2.201958E-2</v>
      </c>
      <c r="Z6284">
        <v>-2.1187460000000002E-2</v>
      </c>
      <c r="AA6284">
        <v>0.999533</v>
      </c>
      <c r="AB6284">
        <v>47</v>
      </c>
      <c r="AC6284">
        <v>-1.6628000000000001</v>
      </c>
      <c r="AD6284">
        <v>-1.10398136622219</v>
      </c>
      <c r="AE6284">
        <v>51.602820000000001</v>
      </c>
      <c r="AF6284">
        <v>-1.14682469481583</v>
      </c>
      <c r="AG6284">
        <v>-1.10398136622219</v>
      </c>
      <c r="AH6284">
        <v>51.593263609958299</v>
      </c>
      <c r="AI6284">
        <v>91.225512862155497</v>
      </c>
      <c r="AJ6284">
        <v>91.273371589440998</v>
      </c>
      <c r="AK6284">
        <v>51.617815060928798</v>
      </c>
    </row>
    <row r="6285" spans="1:37" x14ac:dyDescent="0.2">
      <c r="A6285" t="str">
        <f>"20200111153552503"</f>
        <v>20200111153552503</v>
      </c>
      <c r="B6285" t="str">
        <f>"1578728152492267"</f>
        <v>1578728152492267</v>
      </c>
      <c r="C6285" t="s">
        <v>37</v>
      </c>
      <c r="D6285">
        <v>4.6730599999999898</v>
      </c>
      <c r="E6285">
        <v>0.52243070000000003</v>
      </c>
      <c r="F6285" t="s">
        <v>39</v>
      </c>
      <c r="G6285">
        <v>-188.6994</v>
      </c>
      <c r="H6285" s="1">
        <v>-3.9383329999999998E-7</v>
      </c>
      <c r="I6285">
        <v>69.788420000000002</v>
      </c>
      <c r="J6285">
        <v>-187.01939999999999</v>
      </c>
      <c r="K6285">
        <v>1.1039559999999999</v>
      </c>
      <c r="L6285">
        <v>18.539829999999998</v>
      </c>
      <c r="M6285">
        <v>-1.022616E-2</v>
      </c>
      <c r="N6285">
        <v>0</v>
      </c>
      <c r="O6285">
        <v>0.99988869999999896</v>
      </c>
      <c r="P6285">
        <v>-9.1739959999999995E-2</v>
      </c>
      <c r="Q6285">
        <v>4.1038799999999999E-3</v>
      </c>
      <c r="R6285">
        <v>0.99577459999999995</v>
      </c>
      <c r="S6285">
        <v>-9.7885130000000001E-2</v>
      </c>
      <c r="T6285">
        <v>-6.4142229999999995E-2</v>
      </c>
      <c r="U6285">
        <v>3.003876</v>
      </c>
      <c r="V6285">
        <v>-8.1557950000000004E-2</v>
      </c>
      <c r="W6285">
        <v>1.4892809999999999E-2</v>
      </c>
      <c r="X6285">
        <v>0.99655740000000004</v>
      </c>
      <c r="Y6285">
        <v>-2.233854E-2</v>
      </c>
      <c r="Z6285">
        <v>-2.1338289999999999E-2</v>
      </c>
      <c r="AA6285">
        <v>0.99952269999999899</v>
      </c>
      <c r="AB6285">
        <v>47</v>
      </c>
      <c r="AC6285">
        <v>-1.68</v>
      </c>
      <c r="AD6285">
        <v>-1.1039563938332999</v>
      </c>
      <c r="AE6285">
        <v>51.24859</v>
      </c>
      <c r="AF6285">
        <v>-1.1552694403153001</v>
      </c>
      <c r="AG6285">
        <v>-1.1039563938332999</v>
      </c>
      <c r="AH6285">
        <v>51.239340196232803</v>
      </c>
      <c r="AI6285">
        <v>91.233938497671303</v>
      </c>
      <c r="AJ6285">
        <v>91.291602314497695</v>
      </c>
      <c r="AK6285">
        <v>51.264250223176802</v>
      </c>
    </row>
    <row r="6286" spans="1:37" x14ac:dyDescent="0.2">
      <c r="A6286" t="str">
        <f>"20200111153552528"</f>
        <v>20200111153552528</v>
      </c>
      <c r="B6286" t="str">
        <f>"1578728152521543"</f>
        <v>1578728152521543</v>
      </c>
      <c r="C6286" t="s">
        <v>37</v>
      </c>
      <c r="D6286">
        <v>4.7198799999999999</v>
      </c>
      <c r="E6286">
        <v>0.52240019999999998</v>
      </c>
      <c r="F6286" t="s">
        <v>39</v>
      </c>
      <c r="G6286">
        <v>-188.785</v>
      </c>
      <c r="H6286" s="1">
        <v>-1.368981E-6</v>
      </c>
      <c r="I6286">
        <v>72.321529999999996</v>
      </c>
      <c r="J6286">
        <v>-187.0249</v>
      </c>
      <c r="K6286">
        <v>1.1039289999999999</v>
      </c>
      <c r="L6286">
        <v>19.045100000000001</v>
      </c>
      <c r="M6286">
        <v>-1.048964E-2</v>
      </c>
      <c r="N6286">
        <v>0</v>
      </c>
      <c r="O6286">
        <v>0.99988250000000001</v>
      </c>
      <c r="P6286">
        <v>-9.1344419999999996E-2</v>
      </c>
      <c r="Q6286">
        <v>5.036057E-3</v>
      </c>
      <c r="R6286">
        <v>0.99580659999999899</v>
      </c>
      <c r="S6286">
        <v>-9.8617549999999998E-2</v>
      </c>
      <c r="T6286">
        <v>-6.1660050000000001E-2</v>
      </c>
      <c r="U6286">
        <v>3.0039060000000002</v>
      </c>
      <c r="V6286">
        <v>-8.0898689999999995E-2</v>
      </c>
      <c r="W6286">
        <v>1.615341E-2</v>
      </c>
      <c r="X6286">
        <v>0.99659140000000002</v>
      </c>
      <c r="Y6286">
        <v>-2.231874E-2</v>
      </c>
      <c r="Z6286">
        <v>-2.0512530000000001E-2</v>
      </c>
      <c r="AA6286">
        <v>0.9995404</v>
      </c>
      <c r="AB6286">
        <v>47</v>
      </c>
      <c r="AC6286">
        <v>-1.76009999999999</v>
      </c>
      <c r="AD6286">
        <v>-1.1039303689810001</v>
      </c>
      <c r="AE6286">
        <v>53.276429999999998</v>
      </c>
      <c r="AF6286">
        <v>-1.2006027426716901</v>
      </c>
      <c r="AG6286">
        <v>-1.1039303689810001</v>
      </c>
      <c r="AH6286">
        <v>53.2691162042928</v>
      </c>
      <c r="AI6286">
        <v>91.186906243076706</v>
      </c>
      <c r="AJ6286">
        <v>91.291138854111395</v>
      </c>
      <c r="AK6286">
        <v>53.2940789430845</v>
      </c>
    </row>
    <row r="6287" spans="1:37" x14ac:dyDescent="0.2">
      <c r="A6287" t="str">
        <f>"20200111153552549"</f>
        <v>20200111153552549</v>
      </c>
      <c r="B6287" t="str">
        <f>"1578728152542039"</f>
        <v>1578728152542039</v>
      </c>
      <c r="C6287" t="s">
        <v>37</v>
      </c>
      <c r="D6287">
        <v>4.6982540000000004</v>
      </c>
      <c r="E6287">
        <v>0.52240439999999999</v>
      </c>
      <c r="F6287" t="s">
        <v>39</v>
      </c>
      <c r="G6287">
        <v>-188.84440000000001</v>
      </c>
      <c r="H6287" s="1">
        <v>-2.5443949999999998E-6</v>
      </c>
      <c r="I6287">
        <v>75.085999999999999</v>
      </c>
      <c r="J6287">
        <v>-187.03</v>
      </c>
      <c r="K6287">
        <v>1.1039219999999901</v>
      </c>
      <c r="L6287">
        <v>19.50854</v>
      </c>
      <c r="M6287">
        <v>-1.072613E-2</v>
      </c>
      <c r="N6287">
        <v>0</v>
      </c>
      <c r="O6287">
        <v>0.99987700000000002</v>
      </c>
      <c r="P6287">
        <v>-9.1238239999999998E-2</v>
      </c>
      <c r="Q6287">
        <v>5.7526900000000004E-3</v>
      </c>
      <c r="R6287">
        <v>0.99581249999999999</v>
      </c>
      <c r="S6287">
        <v>-9.7534179999999998E-2</v>
      </c>
      <c r="T6287">
        <v>-5.9174780000000003E-2</v>
      </c>
      <c r="U6287">
        <v>3.0039980000000002</v>
      </c>
      <c r="V6287">
        <v>-8.0555689999999999E-2</v>
      </c>
      <c r="W6287">
        <v>1.713079E-2</v>
      </c>
      <c r="X6287">
        <v>0.99660289999999996</v>
      </c>
      <c r="Y6287">
        <v>-2.1721689999999998E-2</v>
      </c>
      <c r="Z6287">
        <v>-1.9685649999999999E-2</v>
      </c>
      <c r="AA6287">
        <v>0.99957030000000002</v>
      </c>
      <c r="AB6287">
        <v>47</v>
      </c>
      <c r="AC6287">
        <v>-1.8144</v>
      </c>
      <c r="AD6287">
        <v>-1.1039245443950001</v>
      </c>
      <c r="AE6287">
        <v>55.577460000000002</v>
      </c>
      <c r="AF6287">
        <v>-1.2176456302416601</v>
      </c>
      <c r="AG6287">
        <v>-1.1039245443950001</v>
      </c>
      <c r="AH6287">
        <v>55.571823686331001</v>
      </c>
      <c r="AI6287">
        <v>91.137747936407493</v>
      </c>
      <c r="AJ6287">
        <v>91.255218728551299</v>
      </c>
      <c r="AK6287">
        <v>55.596123049230897</v>
      </c>
    </row>
    <row r="6288" spans="1:37" x14ac:dyDescent="0.2">
      <c r="A6288" t="str">
        <f>"20200111153552574"</f>
        <v>20200111153552574</v>
      </c>
      <c r="B6288" t="str">
        <f>"1578728152572296"</f>
        <v>1578728152572296</v>
      </c>
      <c r="C6288" t="s">
        <v>37</v>
      </c>
      <c r="D6288">
        <v>4.70106</v>
      </c>
      <c r="E6288">
        <v>0.52233499999999999</v>
      </c>
      <c r="F6288" t="s">
        <v>39</v>
      </c>
      <c r="G6288">
        <v>-188.90170000000001</v>
      </c>
      <c r="H6288" s="1">
        <v>-3.49201399999999E-6</v>
      </c>
      <c r="I6288">
        <v>77.318600000000004</v>
      </c>
      <c r="J6288">
        <v>-187.03569999999999</v>
      </c>
      <c r="K6288">
        <v>1.1039190000000001</v>
      </c>
      <c r="L6288">
        <v>20.018039999999999</v>
      </c>
      <c r="M6288">
        <v>-1.09809E-2</v>
      </c>
      <c r="N6288">
        <v>0</v>
      </c>
      <c r="O6288">
        <v>0.99987150000000002</v>
      </c>
      <c r="P6288">
        <v>-9.1154470000000001E-2</v>
      </c>
      <c r="Q6288">
        <v>6.0536840000000001E-3</v>
      </c>
      <c r="R6288">
        <v>0.99581839999999999</v>
      </c>
      <c r="S6288">
        <v>-9.7259520000000002E-2</v>
      </c>
      <c r="T6288">
        <v>-5.7364110000000003E-2</v>
      </c>
      <c r="U6288">
        <v>3.0040279999999999</v>
      </c>
      <c r="V6288">
        <v>-8.0217499999999997E-2</v>
      </c>
      <c r="W6288">
        <v>1.7679549999999999E-2</v>
      </c>
      <c r="X6288">
        <v>0.99662059999999997</v>
      </c>
      <c r="Y6288">
        <v>-2.1375669999999999E-2</v>
      </c>
      <c r="Z6288">
        <v>-1.9083340000000001E-2</v>
      </c>
      <c r="AA6288">
        <v>0.99958939999999996</v>
      </c>
      <c r="AB6288">
        <v>47</v>
      </c>
      <c r="AC6288">
        <v>-1.8660000000000101</v>
      </c>
      <c r="AD6288">
        <v>-1.1039224920140001</v>
      </c>
      <c r="AE6288">
        <v>57.300559999999997</v>
      </c>
      <c r="AF6288">
        <v>-1.2361745123413901</v>
      </c>
      <c r="AG6288">
        <v>-1.1039224920140001</v>
      </c>
      <c r="AH6288">
        <v>57.2963530250913</v>
      </c>
      <c r="AI6288">
        <v>91.103518135086304</v>
      </c>
      <c r="AJ6288">
        <v>91.235970387371793</v>
      </c>
      <c r="AK6288">
        <v>57.320317883532603</v>
      </c>
    </row>
    <row r="6289" spans="1:37" x14ac:dyDescent="0.2">
      <c r="A6289" t="str">
        <f>"20200111153552594"</f>
        <v>20200111153552594</v>
      </c>
      <c r="B6289" t="str">
        <f>"1578728152591816"</f>
        <v>1578728152591816</v>
      </c>
      <c r="C6289" t="s">
        <v>37</v>
      </c>
      <c r="D6289">
        <v>4.709111</v>
      </c>
      <c r="E6289">
        <v>0.52230690000000002</v>
      </c>
      <c r="F6289" t="s">
        <v>39</v>
      </c>
      <c r="G6289">
        <v>-188.91249999999999</v>
      </c>
      <c r="H6289" s="1">
        <v>-3.7718550000000001E-6</v>
      </c>
      <c r="I6289">
        <v>77.975390000000004</v>
      </c>
      <c r="J6289">
        <v>-187.04050000000001</v>
      </c>
      <c r="K6289">
        <v>1.1039429999999999</v>
      </c>
      <c r="L6289">
        <v>20.440089999999898</v>
      </c>
      <c r="M6289">
        <v>-1.1187290000000001E-2</v>
      </c>
      <c r="N6289">
        <v>0</v>
      </c>
      <c r="O6289">
        <v>0.99986710000000001</v>
      </c>
      <c r="P6289">
        <v>-9.069932E-2</v>
      </c>
      <c r="Q6289">
        <v>6.6624290000000001E-3</v>
      </c>
      <c r="R6289">
        <v>0.99585599999999996</v>
      </c>
      <c r="S6289">
        <v>-9.7274780000000005E-2</v>
      </c>
      <c r="T6289">
        <v>-5.7218190000000002E-2</v>
      </c>
      <c r="U6289">
        <v>3.0040279999999999</v>
      </c>
      <c r="V6289">
        <v>-7.9556269999999998E-2</v>
      </c>
      <c r="W6289">
        <v>1.8460959999999998E-2</v>
      </c>
      <c r="X6289">
        <v>0.99665939999999997</v>
      </c>
      <c r="Y6289">
        <v>-2.1174370000000001E-2</v>
      </c>
      <c r="Z6289">
        <v>-1.9034789999999999E-2</v>
      </c>
      <c r="AA6289">
        <v>0.9995946</v>
      </c>
      <c r="AB6289">
        <v>47</v>
      </c>
      <c r="AC6289">
        <v>-1.8719999999999799</v>
      </c>
      <c r="AD6289">
        <v>-1.103946771855</v>
      </c>
      <c r="AE6289">
        <v>57.535299999999999</v>
      </c>
      <c r="AF6289">
        <v>-1.2277219743293999</v>
      </c>
      <c r="AG6289">
        <v>-1.103946771855</v>
      </c>
      <c r="AH6289">
        <v>57.531485082614097</v>
      </c>
      <c r="AI6289">
        <v>91.099038854224503</v>
      </c>
      <c r="AJ6289">
        <v>91.222506464954094</v>
      </c>
      <c r="AK6289">
        <v>57.555171579384499</v>
      </c>
    </row>
    <row r="6290" spans="1:37" x14ac:dyDescent="0.2">
      <c r="A6290" t="str">
        <f>"20200111153552616"</f>
        <v>20200111153552616</v>
      </c>
      <c r="B6290" t="str">
        <f>"1578728152612312"</f>
        <v>1578728152612312</v>
      </c>
      <c r="C6290" t="s">
        <v>37</v>
      </c>
      <c r="D6290">
        <v>4.7374409999999996</v>
      </c>
      <c r="E6290">
        <v>0.52224689999999996</v>
      </c>
      <c r="F6290" t="s">
        <v>39</v>
      </c>
      <c r="G6290">
        <v>-188.9417</v>
      </c>
      <c r="H6290" s="1">
        <v>-3.316193E-7</v>
      </c>
      <c r="I6290">
        <v>79.795090000000002</v>
      </c>
      <c r="J6290">
        <v>-187.04580000000001</v>
      </c>
      <c r="K6290">
        <v>1.103747</v>
      </c>
      <c r="L6290">
        <v>20.897549999999999</v>
      </c>
      <c r="M6290">
        <v>-1.1394069999999999E-2</v>
      </c>
      <c r="N6290">
        <v>0</v>
      </c>
      <c r="O6290">
        <v>0.9998726</v>
      </c>
      <c r="P6290">
        <v>-9.0122859999999999E-2</v>
      </c>
      <c r="Q6290">
        <v>8.5032709999999997E-3</v>
      </c>
      <c r="R6290">
        <v>0.99589439999999996</v>
      </c>
      <c r="S6290">
        <v>-9.6221920000000002E-2</v>
      </c>
      <c r="T6290">
        <v>-5.5873039999999999E-2</v>
      </c>
      <c r="U6290">
        <v>3.004089</v>
      </c>
      <c r="V6290">
        <v>-7.8774620000000004E-2</v>
      </c>
      <c r="W6290">
        <v>1.9624229999999999E-2</v>
      </c>
      <c r="X6290">
        <v>0.99669929999999995</v>
      </c>
      <c r="Y6290">
        <v>-2.061735E-2</v>
      </c>
      <c r="Z6290">
        <v>-1.8587220000000002E-2</v>
      </c>
      <c r="AA6290">
        <v>0.99961469999999897</v>
      </c>
      <c r="AB6290">
        <v>47</v>
      </c>
      <c r="AC6290">
        <v>-1.8958999999999799</v>
      </c>
      <c r="AD6290">
        <v>-1.1037473316193001</v>
      </c>
      <c r="AE6290">
        <v>58.897539999999999</v>
      </c>
      <c r="AF6290">
        <v>-1.22422279414548</v>
      </c>
      <c r="AG6290">
        <v>-1.1037473316193001</v>
      </c>
      <c r="AH6290">
        <v>58.894657641151497</v>
      </c>
      <c r="AI6290">
        <v>91.073425173982699</v>
      </c>
      <c r="AJ6290">
        <v>91.190815978335607</v>
      </c>
      <c r="AK6290">
        <v>58.917719561182999</v>
      </c>
    </row>
    <row r="6291" spans="1:37" x14ac:dyDescent="0.2">
      <c r="A6291" t="str">
        <f>"20200111153552640"</f>
        <v>20200111153552640</v>
      </c>
      <c r="B6291" t="str">
        <f>"1578728152631831"</f>
        <v>1578728152631831</v>
      </c>
      <c r="C6291" t="s">
        <v>37</v>
      </c>
      <c r="D6291">
        <v>4.7203010000000001</v>
      </c>
      <c r="E6291">
        <v>0.5221905</v>
      </c>
      <c r="F6291" t="s">
        <v>39</v>
      </c>
      <c r="G6291">
        <v>-189.10650000000001</v>
      </c>
      <c r="H6291" s="1">
        <v>-2.8449629999999999E-6</v>
      </c>
      <c r="I6291">
        <v>85.895020000000002</v>
      </c>
      <c r="J6291">
        <v>-187.05179999999999</v>
      </c>
      <c r="K6291">
        <v>1.1034010000000001</v>
      </c>
      <c r="L6291">
        <v>21.407260000000001</v>
      </c>
      <c r="M6291">
        <v>-1.1611079999999999E-2</v>
      </c>
      <c r="N6291">
        <v>0</v>
      </c>
      <c r="O6291">
        <v>0.99988459999999901</v>
      </c>
      <c r="P6291">
        <v>-8.9843889999999996E-2</v>
      </c>
      <c r="Q6291">
        <v>1.094443E-2</v>
      </c>
      <c r="R6291">
        <v>0.99589570000000005</v>
      </c>
      <c r="S6291">
        <v>-9.5245360000000001E-2</v>
      </c>
      <c r="T6291">
        <v>-5.101526E-2</v>
      </c>
      <c r="U6291">
        <v>3.004181</v>
      </c>
      <c r="V6291">
        <v>-7.8280580000000002E-2</v>
      </c>
      <c r="W6291">
        <v>2.0682590000000001E-2</v>
      </c>
      <c r="X6291">
        <v>0.99671679999999996</v>
      </c>
      <c r="Y6291">
        <v>-2.0075840000000001E-2</v>
      </c>
      <c r="Z6291">
        <v>-1.6971279999999998E-2</v>
      </c>
      <c r="AA6291">
        <v>0.99965439999999905</v>
      </c>
      <c r="AB6291">
        <v>47</v>
      </c>
      <c r="AC6291">
        <v>-2.05470000000002</v>
      </c>
      <c r="AD6291">
        <v>-1.1034038449629999</v>
      </c>
      <c r="AE6291">
        <v>64.487759999999994</v>
      </c>
      <c r="AF6291">
        <v>-1.30537122972141</v>
      </c>
      <c r="AG6291">
        <v>-1.1034038449629999</v>
      </c>
      <c r="AH6291">
        <v>64.488410242319503</v>
      </c>
      <c r="AI6291">
        <v>90.980040766965004</v>
      </c>
      <c r="AJ6291">
        <v>91.159619989834496</v>
      </c>
      <c r="AK6291">
        <v>64.511057576776395</v>
      </c>
    </row>
    <row r="6292" spans="1:37" x14ac:dyDescent="0.2">
      <c r="A6292" t="str">
        <f>"20200111153552662"</f>
        <v>20200111153552662</v>
      </c>
      <c r="B6292" t="str">
        <f>"1578728152652328"</f>
        <v>1578728152652328</v>
      </c>
      <c r="C6292" t="s">
        <v>37</v>
      </c>
      <c r="D6292">
        <v>4.7751049999999999</v>
      </c>
      <c r="E6292">
        <v>0.52217250000000004</v>
      </c>
      <c r="F6292" t="s">
        <v>39</v>
      </c>
      <c r="G6292">
        <v>-189.41149999999999</v>
      </c>
      <c r="H6292" s="1">
        <v>-2.9206200000000002E-6</v>
      </c>
      <c r="I6292">
        <v>96.197459999999893</v>
      </c>
      <c r="J6292">
        <v>-187.0574</v>
      </c>
      <c r="K6292">
        <v>1.103132</v>
      </c>
      <c r="L6292">
        <v>21.8812</v>
      </c>
      <c r="M6292">
        <v>-1.181254E-2</v>
      </c>
      <c r="N6292">
        <v>0</v>
      </c>
      <c r="O6292">
        <v>0.99989439999999996</v>
      </c>
      <c r="P6292">
        <v>-9.0795180000000003E-2</v>
      </c>
      <c r="Q6292">
        <v>1.2861340000000001E-2</v>
      </c>
      <c r="R6292">
        <v>0.99578650000000002</v>
      </c>
      <c r="S6292">
        <v>-9.47876E-2</v>
      </c>
      <c r="T6292">
        <v>-4.4323439999999999E-2</v>
      </c>
      <c r="U6292">
        <v>3.00430299999999</v>
      </c>
      <c r="V6292">
        <v>-7.9032420000000006E-2</v>
      </c>
      <c r="W6292">
        <v>2.1268019999999999E-2</v>
      </c>
      <c r="X6292">
        <v>0.99664519999999901</v>
      </c>
      <c r="Y6292">
        <v>-1.9722199999999999E-2</v>
      </c>
      <c r="Z6292">
        <v>-1.4745070000000001E-2</v>
      </c>
      <c r="AA6292">
        <v>0.99969680000000005</v>
      </c>
      <c r="AB6292">
        <v>48</v>
      </c>
      <c r="AC6292">
        <v>-2.3540999999999799</v>
      </c>
      <c r="AD6292">
        <v>-1.1031349206200001</v>
      </c>
      <c r="AE6292">
        <v>74.31626</v>
      </c>
      <c r="AF6292">
        <v>-1.47571566483955</v>
      </c>
      <c r="AG6292">
        <v>-1.1031349206200001</v>
      </c>
      <c r="AH6292">
        <v>74.322523776567905</v>
      </c>
      <c r="AI6292">
        <v>90.850184823760998</v>
      </c>
      <c r="AJ6292">
        <v>91.137490578825606</v>
      </c>
      <c r="AK6292">
        <v>74.345357514071097</v>
      </c>
    </row>
    <row r="6293" spans="1:37" x14ac:dyDescent="0.2">
      <c r="A6293" t="str">
        <f>"20200111153552684"</f>
        <v>20200111153552684</v>
      </c>
      <c r="B6293" t="str">
        <f>"1578728152671847"</f>
        <v>1578728152671847</v>
      </c>
      <c r="C6293" t="s">
        <v>37</v>
      </c>
      <c r="D6293">
        <v>4.7165280000000003</v>
      </c>
      <c r="E6293">
        <v>0.5016853</v>
      </c>
      <c r="F6293" t="s">
        <v>39</v>
      </c>
      <c r="G6293">
        <v>-189.8261</v>
      </c>
      <c r="H6293" s="1">
        <v>-3.11874199999999E-6</v>
      </c>
      <c r="I6293">
        <v>106.83069999999999</v>
      </c>
      <c r="J6293">
        <v>-187.06309999999999</v>
      </c>
      <c r="K6293">
        <v>1.102956</v>
      </c>
      <c r="L6293">
        <v>22.358889999999999</v>
      </c>
      <c r="M6293">
        <v>-1.201549E-2</v>
      </c>
      <c r="N6293">
        <v>0</v>
      </c>
      <c r="O6293">
        <v>0.99990119999999905</v>
      </c>
      <c r="P6293">
        <v>-9.1840389999999994E-2</v>
      </c>
      <c r="Q6293">
        <v>1.4716949999999999E-2</v>
      </c>
      <c r="R6293">
        <v>0.99566499999999902</v>
      </c>
      <c r="S6293">
        <v>-9.7915650000000007E-2</v>
      </c>
      <c r="T6293">
        <v>-3.9012789999999999E-2</v>
      </c>
      <c r="U6293">
        <v>3.0042719999999998</v>
      </c>
      <c r="V6293">
        <v>-7.9877119999999996E-2</v>
      </c>
      <c r="W6293">
        <v>2.1954979999999999E-2</v>
      </c>
      <c r="X6293">
        <v>0.99656290000000003</v>
      </c>
      <c r="Y6293">
        <v>-2.0560309999999998E-2</v>
      </c>
      <c r="Z6293">
        <v>-1.2978450000000001E-2</v>
      </c>
      <c r="AA6293">
        <v>0.99970439999999905</v>
      </c>
      <c r="AB6293">
        <v>48</v>
      </c>
      <c r="AC6293">
        <v>-2.7629999999999999</v>
      </c>
      <c r="AD6293">
        <v>-1.102959118742</v>
      </c>
      <c r="AE6293">
        <v>84.471809999999905</v>
      </c>
      <c r="AF6293">
        <v>-1.74750572407341</v>
      </c>
      <c r="AG6293">
        <v>-1.102959118742</v>
      </c>
      <c r="AH6293">
        <v>84.484523205062303</v>
      </c>
      <c r="AI6293">
        <v>90.747803244106507</v>
      </c>
      <c r="AJ6293">
        <v>91.184955816326493</v>
      </c>
      <c r="AK6293">
        <v>84.509792073226606</v>
      </c>
    </row>
    <row r="6294" spans="1:37" x14ac:dyDescent="0.2">
      <c r="A6294" t="str">
        <f>"20200111153552706"</f>
        <v>20200111153552706</v>
      </c>
      <c r="B6294" t="str">
        <f>"1578728152702103"</f>
        <v>1578728152702103</v>
      </c>
      <c r="C6294" t="s">
        <v>37</v>
      </c>
      <c r="D6294">
        <v>4.8805110000000003</v>
      </c>
      <c r="E6294">
        <v>0.48311470000000001</v>
      </c>
      <c r="F6294" t="s">
        <v>39</v>
      </c>
      <c r="G6294">
        <v>-191.2801</v>
      </c>
      <c r="H6294" s="1">
        <v>-5.2783879999999998E-7</v>
      </c>
      <c r="I6294">
        <v>70.025540000000007</v>
      </c>
      <c r="J6294">
        <v>-187.06880000000001</v>
      </c>
      <c r="K6294">
        <v>1.1028830000000001</v>
      </c>
      <c r="L6294">
        <v>22.830629999999999</v>
      </c>
      <c r="M6294">
        <v>-1.2211619999999999E-2</v>
      </c>
      <c r="N6294">
        <v>0</v>
      </c>
      <c r="O6294">
        <v>0.99990499999999904</v>
      </c>
      <c r="P6294">
        <v>-9.2671890000000007E-2</v>
      </c>
      <c r="Q6294">
        <v>1.5942330000000001E-2</v>
      </c>
      <c r="R6294">
        <v>0.99556909999999899</v>
      </c>
      <c r="S6294">
        <v>-0.2644958</v>
      </c>
      <c r="T6294">
        <v>-6.9178219999999999E-2</v>
      </c>
      <c r="U6294">
        <v>2.9896849999999899</v>
      </c>
      <c r="V6294">
        <v>-8.0515180000000006E-2</v>
      </c>
      <c r="W6294">
        <v>2.2288209999999999E-2</v>
      </c>
      <c r="X6294">
        <v>0.99650419999999995</v>
      </c>
      <c r="Y6294">
        <v>-7.5930940000000002E-2</v>
      </c>
      <c r="Z6294">
        <v>-2.3051809999999999E-2</v>
      </c>
      <c r="AA6294">
        <v>0.99684660000000003</v>
      </c>
      <c r="AB6294">
        <v>48</v>
      </c>
      <c r="AC6294">
        <v>-4.2112999999999898</v>
      </c>
      <c r="AD6294">
        <v>-1.1028835278388001</v>
      </c>
      <c r="AE6294">
        <v>47.19491</v>
      </c>
      <c r="AF6294">
        <v>-3.6326797686415002</v>
      </c>
      <c r="AG6294">
        <v>-1.1028835278388001</v>
      </c>
      <c r="AH6294">
        <v>47.217237177866103</v>
      </c>
      <c r="AI6294">
        <v>91.334110167404305</v>
      </c>
      <c r="AJ6294">
        <v>94.399410565984198</v>
      </c>
      <c r="AK6294">
        <v>47.369612633927403</v>
      </c>
    </row>
    <row r="6295" spans="1:37" x14ac:dyDescent="0.2">
      <c r="A6295" t="str">
        <f>"20200111153552728"</f>
        <v>20200111153552728</v>
      </c>
      <c r="B6295" t="str">
        <f>"1578728152721624"</f>
        <v>1578728152721624</v>
      </c>
      <c r="C6295" t="s">
        <v>37</v>
      </c>
      <c r="D6295">
        <v>4.8099059999999998</v>
      </c>
      <c r="E6295">
        <v>0.47810629999999998</v>
      </c>
      <c r="F6295" t="s">
        <v>39</v>
      </c>
      <c r="G6295">
        <v>-193.58439999999999</v>
      </c>
      <c r="H6295" s="1">
        <v>-4.9224959999999998E-6</v>
      </c>
      <c r="I6295">
        <v>69.583419999999904</v>
      </c>
      <c r="J6295">
        <v>-187.07480000000001</v>
      </c>
      <c r="K6295">
        <v>1.1028899999999999</v>
      </c>
      <c r="L6295">
        <v>23.31223</v>
      </c>
      <c r="M6295">
        <v>-1.24049E-2</v>
      </c>
      <c r="N6295">
        <v>0</v>
      </c>
      <c r="O6295">
        <v>0.99990639999999997</v>
      </c>
      <c r="P6295">
        <v>-9.3674309999999997E-2</v>
      </c>
      <c r="Q6295">
        <v>1.634329E-2</v>
      </c>
      <c r="R6295">
        <v>0.99546869999999998</v>
      </c>
      <c r="S6295">
        <v>-0.41471859999999999</v>
      </c>
      <c r="T6295">
        <v>-7.0199849999999994E-2</v>
      </c>
      <c r="U6295">
        <v>2.9758610000000001</v>
      </c>
      <c r="V6295">
        <v>-8.1327170000000004E-2</v>
      </c>
      <c r="W6295">
        <v>2.2058910000000001E-2</v>
      </c>
      <c r="X6295">
        <v>0.99644330000000003</v>
      </c>
      <c r="Y6295">
        <v>-0.12569230000000001</v>
      </c>
      <c r="Z6295">
        <v>-2.337409E-2</v>
      </c>
      <c r="AA6295">
        <v>0.99179390000000001</v>
      </c>
      <c r="AB6295">
        <v>49</v>
      </c>
      <c r="AC6295">
        <v>-6.5095999999999696</v>
      </c>
      <c r="AD6295">
        <v>-1.1028949224959901</v>
      </c>
      <c r="AE6295">
        <v>46.271189999999898</v>
      </c>
      <c r="AF6295">
        <v>-5.93179544544794</v>
      </c>
      <c r="AG6295">
        <v>-1.1028949224959901</v>
      </c>
      <c r="AH6295">
        <v>46.322575446340899</v>
      </c>
      <c r="AI6295">
        <v>91.352855725662494</v>
      </c>
      <c r="AJ6295">
        <v>97.297245702504398</v>
      </c>
      <c r="AK6295">
        <v>46.713847737032403</v>
      </c>
    </row>
    <row r="6296" spans="1:37" x14ac:dyDescent="0.2">
      <c r="A6296" t="str">
        <f>"20200111153552749"</f>
        <v>20200111153552749</v>
      </c>
      <c r="B6296" t="str">
        <f>"1578728152742119"</f>
        <v>1578728152742119</v>
      </c>
      <c r="C6296" t="s">
        <v>37</v>
      </c>
      <c r="D6296">
        <v>4.7681809999999896</v>
      </c>
      <c r="E6296">
        <v>0.47533239999999999</v>
      </c>
      <c r="F6296" t="s">
        <v>39</v>
      </c>
      <c r="G6296">
        <v>-193.9213</v>
      </c>
      <c r="H6296" s="1">
        <v>-4.3652909999999999E-6</v>
      </c>
      <c r="I6296">
        <v>67.770420000000001</v>
      </c>
      <c r="J6296">
        <v>-187.08090000000001</v>
      </c>
      <c r="K6296">
        <v>1.1029439999999999</v>
      </c>
      <c r="L6296">
        <v>23.80255</v>
      </c>
      <c r="M6296">
        <v>-1.2596660000000001E-2</v>
      </c>
      <c r="N6296">
        <v>0</v>
      </c>
      <c r="O6296">
        <v>0.99990639999999997</v>
      </c>
      <c r="P6296">
        <v>-9.4208639999999996E-2</v>
      </c>
      <c r="Q6296">
        <v>1.635576E-2</v>
      </c>
      <c r="R6296">
        <v>0.99541809999999997</v>
      </c>
      <c r="S6296">
        <v>-0.45765689999999998</v>
      </c>
      <c r="T6296">
        <v>-7.3722839999999998E-2</v>
      </c>
      <c r="U6296">
        <v>2.9718019999999998</v>
      </c>
      <c r="V6296">
        <v>-8.1671889999999997E-2</v>
      </c>
      <c r="W6296">
        <v>2.1651790000000001E-2</v>
      </c>
      <c r="X6296">
        <v>0.99642410000000003</v>
      </c>
      <c r="Y6296">
        <v>-0.13969760000000001</v>
      </c>
      <c r="Z6296">
        <v>-2.453079E-2</v>
      </c>
      <c r="AA6296">
        <v>0.9898903</v>
      </c>
      <c r="AB6296">
        <v>49</v>
      </c>
      <c r="AC6296">
        <v>-6.8403999999999803</v>
      </c>
      <c r="AD6296">
        <v>-1.1029483652909999</v>
      </c>
      <c r="AE6296">
        <v>43.967869999999998</v>
      </c>
      <c r="AF6296">
        <v>-6.2821412909290997</v>
      </c>
      <c r="AG6296">
        <v>-1.1029483652909999</v>
      </c>
      <c r="AH6296">
        <v>44.023500718614798</v>
      </c>
      <c r="AI6296">
        <v>91.420779931601601</v>
      </c>
      <c r="AJ6296">
        <v>98.121262970265207</v>
      </c>
      <c r="AK6296">
        <v>44.483147481013198</v>
      </c>
    </row>
    <row r="6297" spans="1:37" x14ac:dyDescent="0.2">
      <c r="A6297" t="str">
        <f>"20200111153552773"</f>
        <v>20200111153552773</v>
      </c>
      <c r="B6297" t="str">
        <f>"1578728152761639"</f>
        <v>1578728152761639</v>
      </c>
      <c r="C6297" t="s">
        <v>37</v>
      </c>
      <c r="D6297">
        <v>4.785361</v>
      </c>
      <c r="E6297">
        <v>0.47434379999999998</v>
      </c>
      <c r="F6297" t="s">
        <v>39</v>
      </c>
      <c r="G6297">
        <v>-194.0171</v>
      </c>
      <c r="H6297" s="1">
        <v>-3.9809509999999998E-6</v>
      </c>
      <c r="I6297">
        <v>66.591089999999994</v>
      </c>
      <c r="J6297">
        <v>-187.0873</v>
      </c>
      <c r="K6297">
        <v>1.1030139999999999</v>
      </c>
      <c r="L6297">
        <v>24.307279999999999</v>
      </c>
      <c r="M6297">
        <v>-1.279398E-2</v>
      </c>
      <c r="N6297">
        <v>0</v>
      </c>
      <c r="O6297">
        <v>0.9999053</v>
      </c>
      <c r="P6297">
        <v>-9.4241710000000006E-2</v>
      </c>
      <c r="Q6297">
        <v>1.7141050000000001E-2</v>
      </c>
      <c r="R6297">
        <v>0.9954018</v>
      </c>
      <c r="S6297">
        <v>-0.48136899999999899</v>
      </c>
      <c r="T6297">
        <v>-7.6544280000000006E-2</v>
      </c>
      <c r="U6297">
        <v>2.9695130000000001</v>
      </c>
      <c r="V6297">
        <v>-8.1509460000000006E-2</v>
      </c>
      <c r="W6297">
        <v>2.2148049999999999E-2</v>
      </c>
      <c r="X6297">
        <v>0.99642649999999999</v>
      </c>
      <c r="Y6297">
        <v>-0.1473207</v>
      </c>
      <c r="Z6297">
        <v>-2.5458359999999999E-2</v>
      </c>
      <c r="AA6297">
        <v>0.98876109999999995</v>
      </c>
      <c r="AB6297">
        <v>49</v>
      </c>
      <c r="AC6297">
        <v>-6.9298000000000002</v>
      </c>
      <c r="AD6297">
        <v>-1.1030179809509999</v>
      </c>
      <c r="AE6297">
        <v>42.283810000000003</v>
      </c>
      <c r="AF6297">
        <v>-6.3840170525049498</v>
      </c>
      <c r="AG6297">
        <v>-1.1030179809509999</v>
      </c>
      <c r="AH6297">
        <v>42.340951355866601</v>
      </c>
      <c r="AI6297">
        <v>91.475595536700396</v>
      </c>
      <c r="AJ6297">
        <v>98.574267319056403</v>
      </c>
      <c r="AK6297">
        <v>42.833730681704999</v>
      </c>
    </row>
    <row r="6298" spans="1:37" x14ac:dyDescent="0.2">
      <c r="A6298" t="str">
        <f>"20200111153552794"</f>
        <v>20200111153552794</v>
      </c>
      <c r="B6298" t="str">
        <f>"1578728152791895"</f>
        <v>1578728152791895</v>
      </c>
      <c r="C6298" t="s">
        <v>37</v>
      </c>
      <c r="D6298">
        <v>4.7552729999999999</v>
      </c>
      <c r="E6298">
        <v>0.47357589999999999</v>
      </c>
      <c r="F6298" t="s">
        <v>39</v>
      </c>
      <c r="G6298">
        <v>-193.84639999999999</v>
      </c>
      <c r="H6298" s="1">
        <v>-3.4775939999999998E-6</v>
      </c>
      <c r="I6298">
        <v>65.309830000000005</v>
      </c>
      <c r="J6298">
        <v>-187.0934</v>
      </c>
      <c r="K6298">
        <v>1.1030850000000001</v>
      </c>
      <c r="L6298">
        <v>24.779689999999999</v>
      </c>
      <c r="M6298">
        <v>-1.2981929999999999E-2</v>
      </c>
      <c r="N6298">
        <v>0</v>
      </c>
      <c r="O6298">
        <v>0.99990389999999996</v>
      </c>
      <c r="P6298">
        <v>-9.3335089999999996E-2</v>
      </c>
      <c r="Q6298">
        <v>1.816243E-2</v>
      </c>
      <c r="R6298">
        <v>0.995469099999999</v>
      </c>
      <c r="S6298">
        <v>-0.48941040000000002</v>
      </c>
      <c r="T6298">
        <v>-7.9867010000000002E-2</v>
      </c>
      <c r="U6298">
        <v>2.9689030000000001</v>
      </c>
      <c r="V6298">
        <v>-8.0416050000000003E-2</v>
      </c>
      <c r="W6298">
        <v>2.2975160000000001E-2</v>
      </c>
      <c r="X6298">
        <v>0.99649659999999995</v>
      </c>
      <c r="Y6298">
        <v>-0.14977019999999999</v>
      </c>
      <c r="Z6298">
        <v>-2.6557330000000001E-2</v>
      </c>
      <c r="AA6298">
        <v>0.98836409999999997</v>
      </c>
      <c r="AB6298">
        <v>49</v>
      </c>
      <c r="AC6298">
        <v>-6.7529999999999797</v>
      </c>
      <c r="AD6298">
        <v>-1.103088477594</v>
      </c>
      <c r="AE6298">
        <v>40.530140000000003</v>
      </c>
      <c r="AF6298">
        <v>-6.2217810331813101</v>
      </c>
      <c r="AG6298">
        <v>-1.103088477594</v>
      </c>
      <c r="AH6298">
        <v>40.585141594553399</v>
      </c>
      <c r="AI6298">
        <v>91.538924176058501</v>
      </c>
      <c r="AJ6298">
        <v>98.715699695253306</v>
      </c>
      <c r="AK6298">
        <v>41.074092584793597</v>
      </c>
    </row>
    <row r="6299" spans="1:37" x14ac:dyDescent="0.2">
      <c r="A6299" t="str">
        <f>"20200111153552817"</f>
        <v>20200111153552817</v>
      </c>
      <c r="B6299" t="str">
        <f>"1578728152812393"</f>
        <v>1578728152812393</v>
      </c>
      <c r="C6299" t="s">
        <v>37</v>
      </c>
      <c r="D6299">
        <v>4.7902849999999999</v>
      </c>
      <c r="E6299">
        <v>0.47317340000000002</v>
      </c>
      <c r="F6299" t="s">
        <v>39</v>
      </c>
      <c r="G6299">
        <v>-193.83670000000001</v>
      </c>
      <c r="H6299" s="1">
        <v>-3.515912E-6</v>
      </c>
      <c r="I6299">
        <v>65.405169999999998</v>
      </c>
      <c r="J6299">
        <v>-187.09979999999999</v>
      </c>
      <c r="K6299">
        <v>1.103143</v>
      </c>
      <c r="L6299">
        <v>25.267579999999999</v>
      </c>
      <c r="M6299">
        <v>-1.318065E-2</v>
      </c>
      <c r="N6299">
        <v>0</v>
      </c>
      <c r="O6299">
        <v>0.99990199999999996</v>
      </c>
      <c r="P6299">
        <v>-9.2876199999999895E-2</v>
      </c>
      <c r="Q6299">
        <v>1.9993440000000001E-2</v>
      </c>
      <c r="R6299">
        <v>0.9954769</v>
      </c>
      <c r="S6299">
        <v>-0.49279790000000001</v>
      </c>
      <c r="T6299">
        <v>-8.0613489999999996E-2</v>
      </c>
      <c r="U6299">
        <v>2.9689030000000001</v>
      </c>
      <c r="V6299">
        <v>-7.9760910000000004E-2</v>
      </c>
      <c r="W6299">
        <v>2.4656480000000001E-2</v>
      </c>
      <c r="X6299">
        <v>0.99650899999999998</v>
      </c>
      <c r="Y6299">
        <v>-0.1506702</v>
      </c>
      <c r="Z6299">
        <v>-2.680095E-2</v>
      </c>
      <c r="AA6299">
        <v>0.98822069999999995</v>
      </c>
      <c r="AB6299">
        <v>49</v>
      </c>
      <c r="AC6299">
        <v>-6.7369000000000101</v>
      </c>
      <c r="AD6299">
        <v>-1.103146515912</v>
      </c>
      <c r="AE6299">
        <v>40.137590000000003</v>
      </c>
      <c r="AF6299">
        <v>-6.2027123412940099</v>
      </c>
      <c r="AG6299">
        <v>-1.103146515912</v>
      </c>
      <c r="AH6299">
        <v>40.1933716836418</v>
      </c>
      <c r="AI6299">
        <v>91.553760670779695</v>
      </c>
      <c r="AJ6299">
        <v>98.7727811924631</v>
      </c>
      <c r="AK6299">
        <v>40.684120980104602</v>
      </c>
    </row>
    <row r="6300" spans="1:37" x14ac:dyDescent="0.2">
      <c r="A6300" t="str">
        <f>"20200111153552840"</f>
        <v>20200111153552840</v>
      </c>
      <c r="B6300" t="str">
        <f>"1578728152831911"</f>
        <v>1578728152831911</v>
      </c>
      <c r="C6300" t="s">
        <v>37</v>
      </c>
      <c r="D6300">
        <v>4.7442890000000002</v>
      </c>
      <c r="E6300">
        <v>0.472956499999999</v>
      </c>
      <c r="F6300" t="s">
        <v>39</v>
      </c>
      <c r="G6300">
        <v>-194.07429999999999</v>
      </c>
      <c r="H6300" s="1">
        <v>-4.1789559999999998E-6</v>
      </c>
      <c r="I6300">
        <v>67.143100000000004</v>
      </c>
      <c r="J6300">
        <v>-187.10669999999999</v>
      </c>
      <c r="K6300">
        <v>1.103191</v>
      </c>
      <c r="L6300">
        <v>25.785029999999999</v>
      </c>
      <c r="M6300">
        <v>-1.3396669999999999E-2</v>
      </c>
      <c r="N6300">
        <v>0</v>
      </c>
      <c r="O6300">
        <v>0.999899599999999</v>
      </c>
      <c r="P6300">
        <v>-9.2636960000000004E-2</v>
      </c>
      <c r="Q6300">
        <v>2.1950810000000001E-2</v>
      </c>
      <c r="R6300">
        <v>0.99545790000000001</v>
      </c>
      <c r="S6300">
        <v>-0.49450680000000002</v>
      </c>
      <c r="T6300">
        <v>-7.8215240000000005E-2</v>
      </c>
      <c r="U6300">
        <v>2.969055</v>
      </c>
      <c r="V6300">
        <v>-7.9308110000000001E-2</v>
      </c>
      <c r="W6300">
        <v>2.6499330000000001E-2</v>
      </c>
      <c r="X6300">
        <v>0.99649789999999905</v>
      </c>
      <c r="Y6300">
        <v>-0.15100539999999901</v>
      </c>
      <c r="Z6300">
        <v>-2.6000860000000001E-2</v>
      </c>
      <c r="AA6300">
        <v>0.98819089999999998</v>
      </c>
      <c r="AB6300">
        <v>49</v>
      </c>
      <c r="AC6300">
        <v>-6.9676</v>
      </c>
      <c r="AD6300">
        <v>-1.1031951789559999</v>
      </c>
      <c r="AE6300">
        <v>41.358069999999998</v>
      </c>
      <c r="AF6300">
        <v>-6.4084745128823499</v>
      </c>
      <c r="AG6300">
        <v>-1.1031951789559999</v>
      </c>
      <c r="AH6300">
        <v>41.419045171249302</v>
      </c>
      <c r="AI6300">
        <v>91.507778538472706</v>
      </c>
      <c r="AJ6300">
        <v>98.795227796849403</v>
      </c>
      <c r="AK6300">
        <v>41.926398463058099</v>
      </c>
    </row>
    <row r="6301" spans="1:37" x14ac:dyDescent="0.2">
      <c r="A6301" t="str">
        <f>"20200111153552862"</f>
        <v>20200111153552862</v>
      </c>
      <c r="B6301" t="str">
        <f>"1578728152852406"</f>
        <v>1578728152852406</v>
      </c>
      <c r="C6301" t="s">
        <v>37</v>
      </c>
      <c r="D6301">
        <v>4.8023199999999999</v>
      </c>
      <c r="E6301">
        <v>0.47305150000000001</v>
      </c>
      <c r="F6301" t="s">
        <v>39</v>
      </c>
      <c r="G6301">
        <v>-194.4956</v>
      </c>
      <c r="H6301" s="1">
        <v>-1.393052E-6</v>
      </c>
      <c r="I6301">
        <v>70.048069999999996</v>
      </c>
      <c r="J6301">
        <v>-187.11330000000001</v>
      </c>
      <c r="K6301">
        <v>1.1032379999999999</v>
      </c>
      <c r="L6301">
        <v>26.2721599999999</v>
      </c>
      <c r="M6301">
        <v>-1.360401E-2</v>
      </c>
      <c r="N6301">
        <v>0</v>
      </c>
      <c r="O6301">
        <v>0.99989719999999904</v>
      </c>
      <c r="P6301">
        <v>-9.2383599999999996E-2</v>
      </c>
      <c r="Q6301">
        <v>2.419524E-2</v>
      </c>
      <c r="R6301">
        <v>0.99542949999999997</v>
      </c>
      <c r="S6301">
        <v>-0.49565119999999901</v>
      </c>
      <c r="T6301">
        <v>-7.4003219999999995E-2</v>
      </c>
      <c r="U6301">
        <v>2.9692080000000001</v>
      </c>
      <c r="V6301">
        <v>-7.8850080000000003E-2</v>
      </c>
      <c r="W6301">
        <v>2.8669549999999999E-2</v>
      </c>
      <c r="X6301">
        <v>0.99647410000000003</v>
      </c>
      <c r="Y6301">
        <v>-0.15116859999999999</v>
      </c>
      <c r="Z6301">
        <v>-2.459911E-2</v>
      </c>
      <c r="AA6301">
        <v>0.98820189999999997</v>
      </c>
      <c r="AB6301">
        <v>50</v>
      </c>
      <c r="AC6301">
        <v>-7.3822999999999803</v>
      </c>
      <c r="AD6301">
        <v>-1.1032393930519999</v>
      </c>
      <c r="AE6301">
        <v>43.775909999999897</v>
      </c>
      <c r="AF6301">
        <v>-6.7818944712805296</v>
      </c>
      <c r="AG6301">
        <v>-1.1032393930519999</v>
      </c>
      <c r="AH6301">
        <v>43.845211093706403</v>
      </c>
      <c r="AI6301">
        <v>91.424447990928797</v>
      </c>
      <c r="AJ6301">
        <v>98.792721977359406</v>
      </c>
      <c r="AK6301">
        <v>44.380330841822698</v>
      </c>
    </row>
    <row r="6302" spans="1:37" x14ac:dyDescent="0.2">
      <c r="A6302" t="str">
        <f>"20200111153552884"</f>
        <v>20200111153552884</v>
      </c>
      <c r="B6302" t="str">
        <f>"1578728152871930"</f>
        <v>1578728152871930</v>
      </c>
      <c r="C6302" t="s">
        <v>37</v>
      </c>
      <c r="D6302">
        <v>4.7883620000000002</v>
      </c>
      <c r="E6302">
        <v>0.50638570000000005</v>
      </c>
      <c r="F6302" t="s">
        <v>39</v>
      </c>
      <c r="G6302">
        <v>-195.07589999999999</v>
      </c>
      <c r="H6302" s="1">
        <v>-3.2972109999999899E-6</v>
      </c>
      <c r="I6302">
        <v>74.126779999999997</v>
      </c>
      <c r="J6302">
        <v>-187.12</v>
      </c>
      <c r="K6302">
        <v>1.1032759999999999</v>
      </c>
      <c r="L6302">
        <v>26.757349999999999</v>
      </c>
      <c r="M6302">
        <v>-1.381288E-2</v>
      </c>
      <c r="N6302">
        <v>0</v>
      </c>
      <c r="O6302">
        <v>0.99989459999999997</v>
      </c>
      <c r="P6302">
        <v>-9.2826499999999895E-2</v>
      </c>
      <c r="Q6302">
        <v>2.758681E-2</v>
      </c>
      <c r="R6302">
        <v>0.99530010000000002</v>
      </c>
      <c r="S6302">
        <v>-0.494110099999999</v>
      </c>
      <c r="T6302">
        <v>-6.8460579999999993E-2</v>
      </c>
      <c r="U6302">
        <v>2.9695740000000002</v>
      </c>
      <c r="V6302">
        <v>-7.908867E-2</v>
      </c>
      <c r="W6302">
        <v>3.2009200000000002E-2</v>
      </c>
      <c r="X6302">
        <v>0.99635359999999995</v>
      </c>
      <c r="Y6302">
        <v>-0.15045049999999999</v>
      </c>
      <c r="Z6302">
        <v>-2.2757070000000001E-2</v>
      </c>
      <c r="AA6302">
        <v>0.9883556</v>
      </c>
      <c r="AB6302">
        <v>50</v>
      </c>
      <c r="AC6302">
        <v>-7.9558999999999802</v>
      </c>
      <c r="AD6302">
        <v>-1.1032792972109999</v>
      </c>
      <c r="AE6302">
        <v>47.369430000000001</v>
      </c>
      <c r="AF6302">
        <v>-7.2969763963105301</v>
      </c>
      <c r="AG6302">
        <v>-1.1032792972109999</v>
      </c>
      <c r="AH6302">
        <v>47.449771902616298</v>
      </c>
      <c r="AI6302">
        <v>91.316503275353</v>
      </c>
      <c r="AJ6302">
        <v>98.742637026625601</v>
      </c>
      <c r="AK6302">
        <v>48.020245140422702</v>
      </c>
    </row>
    <row r="6303" spans="1:37" x14ac:dyDescent="0.2">
      <c r="A6303" t="str">
        <f>"20200111153552907"</f>
        <v>20200111153552907</v>
      </c>
      <c r="B6303" t="str">
        <f>"1578728152902183"</f>
        <v>1578728152902183</v>
      </c>
      <c r="C6303" t="s">
        <v>37</v>
      </c>
      <c r="D6303">
        <v>4.6519190000000004</v>
      </c>
      <c r="E6303">
        <v>0.52052219999999905</v>
      </c>
      <c r="F6303" t="s">
        <v>39</v>
      </c>
      <c r="G6303">
        <v>-193.81379999999999</v>
      </c>
      <c r="H6303" s="1">
        <v>-2.79442E-6</v>
      </c>
      <c r="I6303">
        <v>113.7375</v>
      </c>
      <c r="J6303">
        <v>-187.12710000000001</v>
      </c>
      <c r="K6303">
        <v>1.10331</v>
      </c>
      <c r="L6303">
        <v>27.263639999999999</v>
      </c>
      <c r="M6303">
        <v>-1.403224E-2</v>
      </c>
      <c r="N6303">
        <v>0</v>
      </c>
      <c r="O6303">
        <v>0.99989159999999899</v>
      </c>
      <c r="P6303">
        <v>-9.3328220000000003E-2</v>
      </c>
      <c r="Q6303">
        <v>3.1378910000000003E-2</v>
      </c>
      <c r="R6303">
        <v>0.99514080000000005</v>
      </c>
      <c r="S6303">
        <v>-0.2303925</v>
      </c>
      <c r="T6303">
        <v>-3.7973399999999997E-2</v>
      </c>
      <c r="U6303">
        <v>2.993744</v>
      </c>
      <c r="V6303">
        <v>-7.9376909999999995E-2</v>
      </c>
      <c r="W6303">
        <v>3.5765480000000002E-2</v>
      </c>
      <c r="X6303">
        <v>0.9962029</v>
      </c>
      <c r="Y6303">
        <v>-6.2726390000000007E-2</v>
      </c>
      <c r="Z6303">
        <v>-1.2650170000000001E-2</v>
      </c>
      <c r="AA6303">
        <v>0.99795059999999902</v>
      </c>
      <c r="AB6303">
        <v>50</v>
      </c>
      <c r="AC6303">
        <v>-6.6866999999999699</v>
      </c>
      <c r="AD6303">
        <v>-1.1033127944200001</v>
      </c>
      <c r="AE6303">
        <v>86.473860000000002</v>
      </c>
      <c r="AF6303">
        <v>-5.4717221677112997</v>
      </c>
      <c r="AG6303">
        <v>-1.1033127944200001</v>
      </c>
      <c r="AH6303">
        <v>86.545171265042299</v>
      </c>
      <c r="AI6303">
        <v>90.728934908976498</v>
      </c>
      <c r="AJ6303">
        <v>93.617646817914306</v>
      </c>
      <c r="AK6303">
        <v>86.724988970298895</v>
      </c>
    </row>
    <row r="6304" spans="1:37" x14ac:dyDescent="0.2">
      <c r="A6304" t="str">
        <f>"20200111153552929"</f>
        <v>20200111153552929</v>
      </c>
      <c r="B6304" t="str">
        <f>"1578728152921703"</f>
        <v>1578728152921703</v>
      </c>
      <c r="C6304" t="s">
        <v>37</v>
      </c>
      <c r="D6304">
        <v>4.6811290000000003</v>
      </c>
      <c r="E6304">
        <v>0.52226839999999997</v>
      </c>
      <c r="F6304" t="s">
        <v>39</v>
      </c>
      <c r="G6304">
        <v>-192.70519999999999</v>
      </c>
      <c r="H6304" s="1">
        <v>-4.4382929999999902E-6</v>
      </c>
      <c r="I6304">
        <v>167.5941</v>
      </c>
      <c r="J6304">
        <v>-187.13419999999999</v>
      </c>
      <c r="K6304">
        <v>1.103337</v>
      </c>
      <c r="L6304">
        <v>27.767059999999901</v>
      </c>
      <c r="M6304">
        <v>-1.425064E-2</v>
      </c>
      <c r="N6304">
        <v>0</v>
      </c>
      <c r="O6304">
        <v>0.99988869999999896</v>
      </c>
      <c r="P6304">
        <v>-9.3999139999999995E-2</v>
      </c>
      <c r="Q6304">
        <v>3.5009890000000002E-2</v>
      </c>
      <c r="R6304">
        <v>0.99495650000000002</v>
      </c>
      <c r="S6304">
        <v>-0.1194153</v>
      </c>
      <c r="T6304">
        <v>-2.3619649999999999E-2</v>
      </c>
      <c r="U6304">
        <v>3.004181</v>
      </c>
      <c r="V6304">
        <v>-7.9834890000000006E-2</v>
      </c>
      <c r="W6304">
        <v>3.9374970000000002E-2</v>
      </c>
      <c r="X6304">
        <v>0.99603009999999903</v>
      </c>
      <c r="Y6304">
        <v>-2.5473539999999999E-2</v>
      </c>
      <c r="Z6304">
        <v>-7.8564440000000006E-3</v>
      </c>
      <c r="AA6304">
        <v>0.99964459999999999</v>
      </c>
      <c r="AB6304">
        <v>50</v>
      </c>
      <c r="AC6304">
        <v>-5.57099999999999</v>
      </c>
      <c r="AD6304">
        <v>-1.103341438293</v>
      </c>
      <c r="AE6304">
        <v>139.82703999999899</v>
      </c>
      <c r="AF6304">
        <v>-3.5775676334135702</v>
      </c>
      <c r="AG6304">
        <v>-1.103341438293</v>
      </c>
      <c r="AH6304">
        <v>139.88353608750899</v>
      </c>
      <c r="AI6304">
        <v>90.451767484941399</v>
      </c>
      <c r="AJ6304">
        <v>91.465039113115097</v>
      </c>
      <c r="AK6304">
        <v>139.93362719820601</v>
      </c>
    </row>
    <row r="6305" spans="1:37" x14ac:dyDescent="0.2">
      <c r="A6305" t="str">
        <f>"20200111153552952"</f>
        <v>20200111153552952</v>
      </c>
      <c r="B6305" t="str">
        <f>"1578728152942199"</f>
        <v>1578728152942199</v>
      </c>
      <c r="C6305" t="s">
        <v>37</v>
      </c>
      <c r="D6305">
        <v>4.6677749999999998</v>
      </c>
      <c r="E6305">
        <v>0.52282740000000005</v>
      </c>
      <c r="F6305" t="s">
        <v>80</v>
      </c>
      <c r="G6305">
        <v>-200.1508</v>
      </c>
      <c r="H6305">
        <v>0.44311049999999902</v>
      </c>
      <c r="I6305">
        <v>391.87</v>
      </c>
      <c r="J6305">
        <v>-187.14160000000001</v>
      </c>
      <c r="K6305">
        <v>1.103361</v>
      </c>
      <c r="L6305">
        <v>28.281770000000002</v>
      </c>
      <c r="M6305">
        <v>-1.447387E-2</v>
      </c>
      <c r="N6305">
        <v>0</v>
      </c>
      <c r="O6305">
        <v>0.99988549999999998</v>
      </c>
      <c r="P6305">
        <v>-9.4410430000000004E-2</v>
      </c>
      <c r="Q6305">
        <v>3.8760000000000003E-2</v>
      </c>
      <c r="R6305">
        <v>0.99477850000000001</v>
      </c>
      <c r="S6305">
        <v>-0.10743709999999999</v>
      </c>
      <c r="T6305">
        <v>-5.4494139999999996E-3</v>
      </c>
      <c r="U6305">
        <v>3.0052490000000001</v>
      </c>
      <c r="V6305">
        <v>-8.0029610000000001E-2</v>
      </c>
      <c r="W6305">
        <v>4.3113510000000001E-2</v>
      </c>
      <c r="X6305">
        <v>0.99585970000000001</v>
      </c>
      <c r="Y6305">
        <v>-2.125844E-2</v>
      </c>
      <c r="Z6305">
        <v>-1.8122279999999999E-3</v>
      </c>
      <c r="AA6305">
        <v>0.99977240000000001</v>
      </c>
      <c r="AB6305">
        <v>50</v>
      </c>
      <c r="AC6305">
        <v>-13.0091999999999</v>
      </c>
      <c r="AD6305">
        <v>-0.66025049999999996</v>
      </c>
      <c r="AE6305">
        <v>363.58823000000001</v>
      </c>
      <c r="AF6305">
        <v>-7.7452316573375102</v>
      </c>
      <c r="AG6305">
        <v>-0.66025049999999996</v>
      </c>
      <c r="AH6305">
        <v>363.73724006294498</v>
      </c>
      <c r="AI6305">
        <v>90.103978773976905</v>
      </c>
      <c r="AJ6305">
        <v>91.219842195318705</v>
      </c>
      <c r="AK6305">
        <v>363.82029128782398</v>
      </c>
    </row>
    <row r="6306" spans="1:37" x14ac:dyDescent="0.2">
      <c r="A6306" t="str">
        <f>"20200111153552974"</f>
        <v>20200111153552974</v>
      </c>
      <c r="B6306" t="str">
        <f>"1578728152961719"</f>
        <v>1578728152961719</v>
      </c>
      <c r="C6306" t="s">
        <v>37</v>
      </c>
      <c r="D6306">
        <v>4.6792480000000003</v>
      </c>
      <c r="E6306">
        <v>0.52327100000000004</v>
      </c>
      <c r="F6306" t="s">
        <v>80</v>
      </c>
      <c r="G6306">
        <v>-199.75829999999999</v>
      </c>
      <c r="H6306">
        <v>2.012534</v>
      </c>
      <c r="I6306">
        <v>391.87</v>
      </c>
      <c r="J6306">
        <v>-187.14879999999999</v>
      </c>
      <c r="K6306">
        <v>1.1033959999999901</v>
      </c>
      <c r="L6306">
        <v>28.774929999999902</v>
      </c>
      <c r="M6306">
        <v>-1.4687520000000001E-2</v>
      </c>
      <c r="N6306">
        <v>0</v>
      </c>
      <c r="O6306">
        <v>0.9998823</v>
      </c>
      <c r="P6306">
        <v>-9.4589049999999994E-2</v>
      </c>
      <c r="Q6306">
        <v>4.3261529999999999E-2</v>
      </c>
      <c r="R6306">
        <v>0.99457600000000002</v>
      </c>
      <c r="S6306">
        <v>-0.10429380000000001</v>
      </c>
      <c r="T6306">
        <v>7.5155500000000002E-3</v>
      </c>
      <c r="U6306">
        <v>3.0055540000000001</v>
      </c>
      <c r="V6306">
        <v>-8.0001379999999997E-2</v>
      </c>
      <c r="W6306">
        <v>4.7611649999999998E-2</v>
      </c>
      <c r="X6306">
        <v>0.99565700000000001</v>
      </c>
      <c r="Y6306">
        <v>-1.9996819999999998E-2</v>
      </c>
      <c r="Z6306">
        <v>2.499139E-3</v>
      </c>
      <c r="AA6306">
        <v>0.99979689999999999</v>
      </c>
      <c r="AB6306">
        <v>50</v>
      </c>
      <c r="AC6306">
        <v>-12.609499999999899</v>
      </c>
      <c r="AD6306">
        <v>0.909138</v>
      </c>
      <c r="AE6306">
        <v>363.09507000000002</v>
      </c>
      <c r="AF6306">
        <v>-7.2750757299989699</v>
      </c>
      <c r="AG6306">
        <v>0.909138</v>
      </c>
      <c r="AH6306">
        <v>363.23883268918001</v>
      </c>
      <c r="AI6306">
        <v>89.856625413823394</v>
      </c>
      <c r="AJ6306">
        <v>91.147386721057003</v>
      </c>
      <c r="AK6306">
        <v>363.31281677389001</v>
      </c>
    </row>
    <row r="6307" spans="1:37" x14ac:dyDescent="0.2">
      <c r="A6307" t="str">
        <f>"20200111153552994"</f>
        <v>20200111153552994</v>
      </c>
      <c r="B6307" t="str">
        <f>"1578728152991976"</f>
        <v>1578728152991976</v>
      </c>
      <c r="C6307" t="s">
        <v>37</v>
      </c>
      <c r="D6307">
        <v>4.7138790000000004</v>
      </c>
      <c r="E6307">
        <v>0.52344250000000003</v>
      </c>
      <c r="F6307" t="s">
        <v>80</v>
      </c>
      <c r="G6307">
        <v>-199.39340000000001</v>
      </c>
      <c r="H6307">
        <v>3.65342699999999</v>
      </c>
      <c r="I6307">
        <v>391.87</v>
      </c>
      <c r="J6307">
        <v>-187.1559</v>
      </c>
      <c r="K6307">
        <v>1.1034139999999999</v>
      </c>
      <c r="L6307">
        <v>29.256740000000001</v>
      </c>
      <c r="M6307">
        <v>-1.4896E-2</v>
      </c>
      <c r="N6307">
        <v>0</v>
      </c>
      <c r="O6307">
        <v>0.99987919999999997</v>
      </c>
      <c r="P6307">
        <v>-9.4112340000000003E-2</v>
      </c>
      <c r="Q6307">
        <v>4.7622490000000003E-2</v>
      </c>
      <c r="R6307">
        <v>0.99442189999999997</v>
      </c>
      <c r="S6307">
        <v>-0.1013641</v>
      </c>
      <c r="T6307">
        <v>2.1109820000000001E-2</v>
      </c>
      <c r="U6307">
        <v>3.005798</v>
      </c>
      <c r="V6307">
        <v>-7.9322249999999997E-2</v>
      </c>
      <c r="W6307">
        <v>5.1975489999999999E-2</v>
      </c>
      <c r="X6307">
        <v>0.99549310000000002</v>
      </c>
      <c r="Y6307">
        <v>-1.881145E-2</v>
      </c>
      <c r="Z6307">
        <v>7.0190749999999996E-3</v>
      </c>
      <c r="AA6307">
        <v>0.99979839999999998</v>
      </c>
      <c r="AB6307">
        <v>50</v>
      </c>
      <c r="AC6307">
        <v>-12.237500000000001</v>
      </c>
      <c r="AD6307">
        <v>2.5500129999999999</v>
      </c>
      <c r="AE6307">
        <v>362.61326000000003</v>
      </c>
      <c r="AF6307">
        <v>-6.8342642976188701</v>
      </c>
      <c r="AG6307">
        <v>2.5500129999999999</v>
      </c>
      <c r="AH6307">
        <v>362.737400052091</v>
      </c>
      <c r="AI6307">
        <v>89.597293656123398</v>
      </c>
      <c r="AJ6307">
        <v>91.079370853322203</v>
      </c>
      <c r="AK6307">
        <v>362.81073734295802</v>
      </c>
    </row>
    <row r="6308" spans="1:37" x14ac:dyDescent="0.2">
      <c r="A6308" t="str">
        <f>"20200111153553018"</f>
        <v>20200111153553018</v>
      </c>
      <c r="B6308" t="str">
        <f>"1578728153011495"</f>
        <v>1578728153011495</v>
      </c>
      <c r="C6308" t="s">
        <v>37</v>
      </c>
      <c r="D6308">
        <v>4.6824669999999999</v>
      </c>
      <c r="E6308">
        <v>0.52329399999999904</v>
      </c>
      <c r="F6308" t="s">
        <v>80</v>
      </c>
      <c r="G6308">
        <v>-199.04179999999999</v>
      </c>
      <c r="H6308">
        <v>5.368106</v>
      </c>
      <c r="I6308">
        <v>391.87</v>
      </c>
      <c r="J6308">
        <v>-187.16370000000001</v>
      </c>
      <c r="K6308">
        <v>1.1034360000000001</v>
      </c>
      <c r="L6308">
        <v>29.775970000000001</v>
      </c>
      <c r="M6308">
        <v>-1.512028E-2</v>
      </c>
      <c r="N6308">
        <v>0</v>
      </c>
      <c r="O6308">
        <v>0.99987579999999998</v>
      </c>
      <c r="P6308">
        <v>-9.3559879999999998E-2</v>
      </c>
      <c r="Q6308">
        <v>5.2111480000000002E-2</v>
      </c>
      <c r="R6308">
        <v>0.99424889999999999</v>
      </c>
      <c r="S6308">
        <v>-9.8526000000000002E-2</v>
      </c>
      <c r="T6308">
        <v>3.5351510000000003E-2</v>
      </c>
      <c r="U6308">
        <v>3.0058289999999999</v>
      </c>
      <c r="V6308">
        <v>-7.8553020000000001E-2</v>
      </c>
      <c r="W6308">
        <v>5.6472109999999999E-2</v>
      </c>
      <c r="X6308">
        <v>0.99530919999999901</v>
      </c>
      <c r="Y6308">
        <v>-1.7642399999999999E-2</v>
      </c>
      <c r="Z6308">
        <v>1.175409E-2</v>
      </c>
      <c r="AA6308">
        <v>0.99977530000000003</v>
      </c>
      <c r="AB6308">
        <v>50</v>
      </c>
      <c r="AC6308">
        <v>-11.8780999999999</v>
      </c>
      <c r="AD6308">
        <v>4.2646699999999997</v>
      </c>
      <c r="AE6308">
        <v>362.09402999999998</v>
      </c>
      <c r="AF6308">
        <v>-6.4008379274545204</v>
      </c>
      <c r="AG6308">
        <v>4.2646699999999997</v>
      </c>
      <c r="AH6308">
        <v>362.18205067867302</v>
      </c>
      <c r="AI6308">
        <v>89.325482434079007</v>
      </c>
      <c r="AJ6308">
        <v>91.012482046291694</v>
      </c>
      <c r="AK6308">
        <v>362.26371053445399</v>
      </c>
    </row>
    <row r="6309" spans="1:37" x14ac:dyDescent="0.2">
      <c r="A6309" t="str">
        <f>"20200111153553041"</f>
        <v>20200111153553041</v>
      </c>
      <c r="B6309" t="str">
        <f>"1578728153031991"</f>
        <v>1578728153031991</v>
      </c>
      <c r="C6309" t="s">
        <v>37</v>
      </c>
      <c r="D6309">
        <v>4.6973240000000001</v>
      </c>
      <c r="E6309">
        <v>0.52306540000000001</v>
      </c>
      <c r="F6309" t="s">
        <v>80</v>
      </c>
      <c r="G6309">
        <v>-198.95419999999999</v>
      </c>
      <c r="H6309">
        <v>6.8666809999999998</v>
      </c>
      <c r="I6309">
        <v>390.11860000000001</v>
      </c>
      <c r="J6309">
        <v>-187.17169999999999</v>
      </c>
      <c r="K6309">
        <v>1.103469</v>
      </c>
      <c r="L6309">
        <v>30.297359999999902</v>
      </c>
      <c r="M6309">
        <v>-1.5345610000000001E-2</v>
      </c>
      <c r="N6309">
        <v>0</v>
      </c>
      <c r="O6309">
        <v>0.99987239999999999</v>
      </c>
      <c r="P6309">
        <v>-9.3657480000000001E-2</v>
      </c>
      <c r="Q6309">
        <v>5.7264170000000003E-2</v>
      </c>
      <c r="R6309">
        <v>0.99395630000000001</v>
      </c>
      <c r="S6309">
        <v>-9.8342899999999997E-2</v>
      </c>
      <c r="T6309">
        <v>4.8070670000000003E-2</v>
      </c>
      <c r="U6309">
        <v>3.005585</v>
      </c>
      <c r="V6309">
        <v>-7.843456E-2</v>
      </c>
      <c r="W6309">
        <v>6.163532E-2</v>
      </c>
      <c r="X6309">
        <v>0.99501209999999995</v>
      </c>
      <c r="Y6309">
        <v>-1.7356980000000001E-2</v>
      </c>
      <c r="Z6309">
        <v>1.5983440000000002E-2</v>
      </c>
      <c r="AA6309">
        <v>0.99972159999999999</v>
      </c>
      <c r="AB6309">
        <v>51</v>
      </c>
      <c r="AC6309">
        <v>-11.782500000000001</v>
      </c>
      <c r="AD6309">
        <v>5.7632119999999896</v>
      </c>
      <c r="AE6309">
        <v>359.82123999999999</v>
      </c>
      <c r="AF6309">
        <v>-6.2577781241082402</v>
      </c>
      <c r="AG6309">
        <v>5.7632119999999896</v>
      </c>
      <c r="AH6309">
        <v>359.86745973452503</v>
      </c>
      <c r="AI6309">
        <v>89.082635594641701</v>
      </c>
      <c r="AJ6309">
        <v>90.996222729926103</v>
      </c>
      <c r="AK6309">
        <v>359.96800271050103</v>
      </c>
    </row>
    <row r="6310" spans="1:37" x14ac:dyDescent="0.2">
      <c r="A6310" t="str">
        <f>"20200111153553063"</f>
        <v>20200111153553063</v>
      </c>
      <c r="B6310" t="str">
        <f>"1578728153051510"</f>
        <v>1578728153051510</v>
      </c>
      <c r="C6310" t="s">
        <v>37</v>
      </c>
      <c r="D6310">
        <v>4.7092199999999904</v>
      </c>
      <c r="E6310">
        <v>0.5229876</v>
      </c>
      <c r="F6310" t="s">
        <v>80</v>
      </c>
      <c r="G6310">
        <v>-199.2569</v>
      </c>
      <c r="H6310">
        <v>8.3983000000000008</v>
      </c>
      <c r="I6310">
        <v>391.87</v>
      </c>
      <c r="J6310">
        <v>-187.17949999999999</v>
      </c>
      <c r="K6310">
        <v>1.103497</v>
      </c>
      <c r="L6310">
        <v>30.799800000000001</v>
      </c>
      <c r="M6310">
        <v>-1.5562690000000001E-2</v>
      </c>
      <c r="N6310">
        <v>0</v>
      </c>
      <c r="O6310">
        <v>0.99986889999999995</v>
      </c>
      <c r="P6310">
        <v>-9.3315419999999996E-2</v>
      </c>
      <c r="Q6310">
        <v>6.3927899999999996E-2</v>
      </c>
      <c r="R6310">
        <v>0.99358210000000002</v>
      </c>
      <c r="S6310">
        <v>-0.1004486</v>
      </c>
      <c r="T6310">
        <v>6.0632350000000002E-2</v>
      </c>
      <c r="U6310">
        <v>3.00528</v>
      </c>
      <c r="V6310">
        <v>-7.7887250000000005E-2</v>
      </c>
      <c r="W6310">
        <v>6.831168E-2</v>
      </c>
      <c r="X6310">
        <v>0.99461909999999898</v>
      </c>
      <c r="Y6310">
        <v>-1.7840399999999999E-2</v>
      </c>
      <c r="Z6310">
        <v>2.0160279999999999E-2</v>
      </c>
      <c r="AA6310">
        <v>0.99963760000000002</v>
      </c>
      <c r="AB6310">
        <v>51</v>
      </c>
      <c r="AC6310">
        <v>-12.077400000000001</v>
      </c>
      <c r="AD6310">
        <v>7.2948029999999999</v>
      </c>
      <c r="AE6310">
        <v>361.0702</v>
      </c>
      <c r="AF6310">
        <v>-6.4540261695730701</v>
      </c>
      <c r="AG6310">
        <v>7.2948029999999999</v>
      </c>
      <c r="AH6310">
        <v>361.06721703426598</v>
      </c>
      <c r="AI6310">
        <v>88.842769926433206</v>
      </c>
      <c r="AJ6310">
        <v>91.024045016288795</v>
      </c>
      <c r="AK6310">
        <v>361.19856564149899</v>
      </c>
    </row>
    <row r="6311" spans="1:37" x14ac:dyDescent="0.2">
      <c r="A6311" t="str">
        <f>"20200111153553084"</f>
        <v>20200111153553084</v>
      </c>
      <c r="B6311" t="str">
        <f>"1578728153081767"</f>
        <v>1578728153081767</v>
      </c>
      <c r="C6311" t="s">
        <v>37</v>
      </c>
      <c r="D6311">
        <v>4.7724029999999997</v>
      </c>
      <c r="E6311">
        <v>0.52206830000000004</v>
      </c>
      <c r="F6311" t="s">
        <v>80</v>
      </c>
      <c r="G6311">
        <v>-199.2406</v>
      </c>
      <c r="H6311">
        <v>9.8172429999999995</v>
      </c>
      <c r="I6311">
        <v>391.87</v>
      </c>
      <c r="J6311">
        <v>-187.18729999999999</v>
      </c>
      <c r="K6311">
        <v>1.103531</v>
      </c>
      <c r="L6311">
        <v>31.299499999999998</v>
      </c>
      <c r="M6311">
        <v>-1.5778489999999999E-2</v>
      </c>
      <c r="N6311">
        <v>0</v>
      </c>
      <c r="O6311">
        <v>0.99986549999999996</v>
      </c>
      <c r="P6311">
        <v>-9.2396629999999993E-2</v>
      </c>
      <c r="Q6311">
        <v>7.0714589999999994E-2</v>
      </c>
      <c r="R6311">
        <v>0.99320810000000004</v>
      </c>
      <c r="S6311">
        <v>-0.10038759999999999</v>
      </c>
      <c r="T6311">
        <v>7.2526690000000005E-2</v>
      </c>
      <c r="U6311">
        <v>3.00528</v>
      </c>
      <c r="V6311">
        <v>-7.6764429999999995E-2</v>
      </c>
      <c r="W6311">
        <v>7.5113360000000004E-2</v>
      </c>
      <c r="X6311">
        <v>0.99421579999999998</v>
      </c>
      <c r="Y6311">
        <v>-1.76014E-2</v>
      </c>
      <c r="Z6311">
        <v>2.4112979999999999E-2</v>
      </c>
      <c r="AA6311">
        <v>0.99955430000000001</v>
      </c>
      <c r="AB6311">
        <v>51</v>
      </c>
      <c r="AC6311">
        <v>-12.0533</v>
      </c>
      <c r="AD6311">
        <v>8.7137119999999992</v>
      </c>
      <c r="AE6311">
        <v>360.57049999999998</v>
      </c>
      <c r="AF6311">
        <v>-6.3587750030627399</v>
      </c>
      <c r="AG6311">
        <v>8.7137119999999992</v>
      </c>
      <c r="AH6311">
        <v>360.50549055103102</v>
      </c>
      <c r="AI6311">
        <v>88.615599093077094</v>
      </c>
      <c r="AJ6311">
        <v>91.010506646954894</v>
      </c>
      <c r="AK6311">
        <v>360.66684282561602</v>
      </c>
    </row>
    <row r="6312" spans="1:37" x14ac:dyDescent="0.2">
      <c r="A6312" t="str">
        <f>"20200111153553108"</f>
        <v>20200111153553108</v>
      </c>
      <c r="B6312" t="str">
        <f>"1578728153102263"</f>
        <v>1578728153102263</v>
      </c>
      <c r="C6312" t="s">
        <v>37</v>
      </c>
      <c r="D6312">
        <v>4.7832109999999997</v>
      </c>
      <c r="E6312">
        <v>0.52267559999999902</v>
      </c>
      <c r="F6312" t="s">
        <v>39</v>
      </c>
      <c r="G6312">
        <v>-194.75559999999999</v>
      </c>
      <c r="H6312" s="1">
        <v>-2.4792899999999999E-6</v>
      </c>
      <c r="I6312">
        <v>242.15969999999999</v>
      </c>
      <c r="J6312">
        <v>-187.19550000000001</v>
      </c>
      <c r="K6312">
        <v>1.1035649999999999</v>
      </c>
      <c r="L6312">
        <v>31.81317</v>
      </c>
      <c r="M6312">
        <v>-1.6000399999999901E-2</v>
      </c>
      <c r="N6312">
        <v>0</v>
      </c>
      <c r="O6312">
        <v>0.99986189999999997</v>
      </c>
      <c r="P6312">
        <v>-9.1870399999999894E-2</v>
      </c>
      <c r="Q6312">
        <v>7.7018920000000005E-2</v>
      </c>
      <c r="R6312">
        <v>0.992787999999999</v>
      </c>
      <c r="S6312">
        <v>-0.1080933</v>
      </c>
      <c r="T6312">
        <v>-1.576114E-2</v>
      </c>
      <c r="U6312">
        <v>3.0115970000000001</v>
      </c>
      <c r="V6312">
        <v>-7.6029189999999996E-2</v>
      </c>
      <c r="W6312">
        <v>8.1434399999999907E-2</v>
      </c>
      <c r="X6312">
        <v>0.99377469999999901</v>
      </c>
      <c r="Y6312">
        <v>-1.98739E-2</v>
      </c>
      <c r="Z6312">
        <v>-5.2302059999999899E-3</v>
      </c>
      <c r="AA6312">
        <v>0.99978880000000003</v>
      </c>
      <c r="AB6312">
        <v>51</v>
      </c>
      <c r="AC6312">
        <v>-7.5600999999999701</v>
      </c>
      <c r="AD6312">
        <v>-1.1035674792899901</v>
      </c>
      <c r="AE6312">
        <v>210.34652999999901</v>
      </c>
      <c r="AF6312">
        <v>-4.1933543459002101</v>
      </c>
      <c r="AG6312">
        <v>-1.1035674792899901</v>
      </c>
      <c r="AH6312">
        <v>210.434783133514</v>
      </c>
      <c r="AI6312">
        <v>90.300409602199394</v>
      </c>
      <c r="AJ6312">
        <v>91.141587470811501</v>
      </c>
      <c r="AK6312">
        <v>210.47945276036</v>
      </c>
    </row>
    <row r="6313" spans="1:37" x14ac:dyDescent="0.2">
      <c r="A6313" t="str">
        <f>"20200111153553130"</f>
        <v>20200111153553130</v>
      </c>
      <c r="B6313" t="str">
        <f>"1578728153121784"</f>
        <v>1578728153121784</v>
      </c>
      <c r="C6313" t="s">
        <v>37</v>
      </c>
      <c r="D6313">
        <v>4.7772879999999898</v>
      </c>
      <c r="E6313">
        <v>0.5229665</v>
      </c>
      <c r="F6313" t="s">
        <v>50</v>
      </c>
      <c r="G6313">
        <v>-193.65629999999999</v>
      </c>
      <c r="H6313" s="1">
        <v>2.162215E-6</v>
      </c>
      <c r="I6313">
        <v>221.6438</v>
      </c>
      <c r="J6313">
        <v>-187.20410000000001</v>
      </c>
      <c r="K6313">
        <v>1.103586</v>
      </c>
      <c r="L6313">
        <v>32.342799999999997</v>
      </c>
      <c r="M6313">
        <v>-1.6229230000000001E-2</v>
      </c>
      <c r="N6313">
        <v>0</v>
      </c>
      <c r="O6313">
        <v>0.99985809999999997</v>
      </c>
      <c r="P6313">
        <v>-9.2624579999999998E-2</v>
      </c>
      <c r="Q6313">
        <v>8.2959959999999999E-2</v>
      </c>
      <c r="R6313">
        <v>0.99223909999999904</v>
      </c>
      <c r="S6313">
        <v>-0.1025696</v>
      </c>
      <c r="T6313">
        <v>-1.7519710000000001E-2</v>
      </c>
      <c r="U6313">
        <v>3.0136720000000001</v>
      </c>
      <c r="V6313">
        <v>-7.656897E-2</v>
      </c>
      <c r="W6313">
        <v>8.7392590000000006E-2</v>
      </c>
      <c r="X6313">
        <v>0.99322690000000002</v>
      </c>
      <c r="Y6313">
        <v>-1.779E-2</v>
      </c>
      <c r="Z6313">
        <v>-5.8100219999999998E-3</v>
      </c>
      <c r="AA6313">
        <v>0.99982490000000002</v>
      </c>
      <c r="AB6313">
        <v>51</v>
      </c>
      <c r="AC6313">
        <v>-6.4521999999999702</v>
      </c>
      <c r="AD6313">
        <v>-1.103583837785</v>
      </c>
      <c r="AE6313">
        <v>189.30099999999999</v>
      </c>
      <c r="AF6313">
        <v>-3.3789947115718699</v>
      </c>
      <c r="AG6313">
        <v>-1.103583837785</v>
      </c>
      <c r="AH6313">
        <v>189.37435467885001</v>
      </c>
      <c r="AI6313">
        <v>90.333835687236302</v>
      </c>
      <c r="AJ6313">
        <v>91.022216521830103</v>
      </c>
      <c r="AK6313">
        <v>189.40771291734401</v>
      </c>
    </row>
    <row r="6314" spans="1:37" x14ac:dyDescent="0.2">
      <c r="A6314" t="str">
        <f>"20200111153553153"</f>
        <v>20200111153553153</v>
      </c>
      <c r="B6314" t="str">
        <f>"1578728153142283"</f>
        <v>1578728153142283</v>
      </c>
      <c r="C6314" t="s">
        <v>37</v>
      </c>
      <c r="D6314">
        <v>4.7511890000000001</v>
      </c>
      <c r="E6314">
        <v>0.52279409999999904</v>
      </c>
      <c r="F6314" t="s">
        <v>50</v>
      </c>
      <c r="G6314">
        <v>-195.602</v>
      </c>
      <c r="H6314" s="1">
        <v>3.537523E-6</v>
      </c>
      <c r="I6314">
        <v>279.12720000000002</v>
      </c>
      <c r="J6314">
        <v>-187.21260000000001</v>
      </c>
      <c r="K6314">
        <v>1.1035979999999901</v>
      </c>
      <c r="L6314">
        <v>32.865659999999998</v>
      </c>
      <c r="M6314">
        <v>-1.6455150000000002E-2</v>
      </c>
      <c r="N6314">
        <v>0</v>
      </c>
      <c r="O6314">
        <v>0.99985429999999997</v>
      </c>
      <c r="P6314">
        <v>-9.4334799999999996E-2</v>
      </c>
      <c r="Q6314">
        <v>8.7189180000000005E-2</v>
      </c>
      <c r="R6314">
        <v>0.99171520000000002</v>
      </c>
      <c r="S6314">
        <v>-0.1026001</v>
      </c>
      <c r="T6314">
        <v>-1.348269E-2</v>
      </c>
      <c r="U6314">
        <v>3.015015</v>
      </c>
      <c r="V6314">
        <v>-7.806681E-2</v>
      </c>
      <c r="W6314">
        <v>9.1638860000000003E-2</v>
      </c>
      <c r="X6314">
        <v>0.99272749999999998</v>
      </c>
      <c r="Y6314">
        <v>-1.7559290000000002E-2</v>
      </c>
      <c r="Z6314">
        <v>-4.4692589999999997E-3</v>
      </c>
      <c r="AA6314">
        <v>0.99983580000000005</v>
      </c>
      <c r="AB6314">
        <v>51</v>
      </c>
      <c r="AC6314">
        <v>-8.3893999999999895</v>
      </c>
      <c r="AD6314">
        <v>-1.10359446247699</v>
      </c>
      <c r="AE6314">
        <v>246.26154</v>
      </c>
      <c r="AF6314">
        <v>-4.3358647841048104</v>
      </c>
      <c r="AG6314">
        <v>-1.10359446247699</v>
      </c>
      <c r="AH6314">
        <v>246.361305045904</v>
      </c>
      <c r="AI6314">
        <v>90.256619405685399</v>
      </c>
      <c r="AJ6314">
        <v>91.008279719951403</v>
      </c>
      <c r="AK6314">
        <v>246.40192829619801</v>
      </c>
    </row>
    <row r="6315" spans="1:37" x14ac:dyDescent="0.2">
      <c r="A6315" t="str">
        <f>"20200111153553175"</f>
        <v>20200111153553175</v>
      </c>
      <c r="B6315" t="str">
        <f>"1578728153161799"</f>
        <v>1578728153161799</v>
      </c>
      <c r="C6315" t="s">
        <v>37</v>
      </c>
      <c r="D6315">
        <v>4.719652</v>
      </c>
      <c r="E6315">
        <v>0.52286080000000001</v>
      </c>
      <c r="F6315" t="s">
        <v>39</v>
      </c>
      <c r="G6315">
        <v>-198.20480000000001</v>
      </c>
      <c r="H6315" s="1">
        <v>-4.8629629999999902E-6</v>
      </c>
      <c r="I6315">
        <v>337.00009999999997</v>
      </c>
      <c r="J6315">
        <v>-187.22099999999901</v>
      </c>
      <c r="K6315">
        <v>1.1036049999999999</v>
      </c>
      <c r="L6315">
        <v>33.369540000000001</v>
      </c>
      <c r="M6315">
        <v>-1.667343E-2</v>
      </c>
      <c r="N6315">
        <v>0</v>
      </c>
      <c r="O6315">
        <v>0.99985059999999903</v>
      </c>
      <c r="P6315">
        <v>-9.6543100000000007E-2</v>
      </c>
      <c r="Q6315">
        <v>9.0399099999999996E-2</v>
      </c>
      <c r="R6315">
        <v>0.99121510000000002</v>
      </c>
      <c r="S6315">
        <v>-0.10899349999999999</v>
      </c>
      <c r="T6315">
        <v>-1.0942820000000001E-2</v>
      </c>
      <c r="U6315">
        <v>3.0156559999999999</v>
      </c>
      <c r="V6315">
        <v>-8.0068829999999994E-2</v>
      </c>
      <c r="W6315">
        <v>9.4865809999999995E-2</v>
      </c>
      <c r="X6315">
        <v>0.99226479999999995</v>
      </c>
      <c r="Y6315">
        <v>-1.9451E-2</v>
      </c>
      <c r="Z6315">
        <v>-3.6263620000000002E-3</v>
      </c>
      <c r="AA6315">
        <v>0.99980429999999998</v>
      </c>
      <c r="AB6315">
        <v>52</v>
      </c>
      <c r="AC6315">
        <v>-10.9838</v>
      </c>
      <c r="AD6315">
        <v>-1.103609862963</v>
      </c>
      <c r="AE6315">
        <v>303.63055999999898</v>
      </c>
      <c r="AF6315">
        <v>-5.9195795191130003</v>
      </c>
      <c r="AG6315">
        <v>-1.103609862963</v>
      </c>
      <c r="AH6315">
        <v>303.76748269921598</v>
      </c>
      <c r="AI6315">
        <v>90.208119400862898</v>
      </c>
      <c r="AJ6315">
        <v>91.116393356814697</v>
      </c>
      <c r="AK6315">
        <v>303.82715961847703</v>
      </c>
    </row>
    <row r="6316" spans="1:37" x14ac:dyDescent="0.2">
      <c r="A6316" t="str">
        <f>"20200111153553196"</f>
        <v>20200111153553196</v>
      </c>
      <c r="B6316" t="str">
        <f>"1578728153192055"</f>
        <v>1578728153192055</v>
      </c>
      <c r="C6316" t="s">
        <v>37</v>
      </c>
      <c r="D6316">
        <v>4.7520749999999996</v>
      </c>
      <c r="E6316">
        <v>0.52296279999999995</v>
      </c>
      <c r="F6316" t="s">
        <v>80</v>
      </c>
      <c r="G6316">
        <v>-200.83680000000001</v>
      </c>
      <c r="H6316">
        <v>0.32202720000000001</v>
      </c>
      <c r="I6316">
        <v>391.87</v>
      </c>
      <c r="J6316">
        <v>-187.22980000000001</v>
      </c>
      <c r="K6316">
        <v>1.1036029999999999</v>
      </c>
      <c r="L6316">
        <v>33.890009999999997</v>
      </c>
      <c r="M6316">
        <v>-1.689941E-2</v>
      </c>
      <c r="N6316">
        <v>0</v>
      </c>
      <c r="O6316">
        <v>0.99984669999999898</v>
      </c>
      <c r="P6316">
        <v>-9.8037440000000003E-2</v>
      </c>
      <c r="Q6316">
        <v>9.3343270000000006E-2</v>
      </c>
      <c r="R6316">
        <v>0.99079549999999905</v>
      </c>
      <c r="S6316">
        <v>-0.114547699999999</v>
      </c>
      <c r="T6316">
        <v>-6.5753460000000001E-3</v>
      </c>
      <c r="U6316">
        <v>3.016022</v>
      </c>
      <c r="V6316">
        <v>-8.1348370000000003E-2</v>
      </c>
      <c r="W6316">
        <v>9.7828860000000004E-2</v>
      </c>
      <c r="X6316">
        <v>0.991873</v>
      </c>
      <c r="Y6316">
        <v>-2.1059459999999999E-2</v>
      </c>
      <c r="Z6316">
        <v>-2.1786399999999999E-3</v>
      </c>
      <c r="AA6316">
        <v>0.99977579999999999</v>
      </c>
      <c r="AB6316">
        <v>52</v>
      </c>
      <c r="AC6316">
        <v>-13.606999999999999</v>
      </c>
      <c r="AD6316">
        <v>-0.78157580000000004</v>
      </c>
      <c r="AE6316">
        <v>357.97998999999999</v>
      </c>
      <c r="AF6316">
        <v>-7.5553067418930899</v>
      </c>
      <c r="AG6316">
        <v>-0.78157580000000004</v>
      </c>
      <c r="AH6316">
        <v>358.15711540704598</v>
      </c>
      <c r="AI6316">
        <v>90.125003696336094</v>
      </c>
      <c r="AJ6316">
        <v>91.208472417822406</v>
      </c>
      <c r="AK6316">
        <v>358.23764854826698</v>
      </c>
    </row>
    <row r="6317" spans="1:37" x14ac:dyDescent="0.2">
      <c r="A6317" t="str">
        <f>"20200111153553220"</f>
        <v>20200111153553220</v>
      </c>
      <c r="B6317" t="str">
        <f>"1578728153211575"</f>
        <v>1578728153211575</v>
      </c>
      <c r="C6317" t="s">
        <v>37</v>
      </c>
      <c r="D6317">
        <v>4.7545299999999999</v>
      </c>
      <c r="E6317">
        <v>0.5231152</v>
      </c>
      <c r="F6317" t="s">
        <v>80</v>
      </c>
      <c r="G6317">
        <v>-201.17779999999999</v>
      </c>
      <c r="H6317">
        <v>8.4442139999999999E-2</v>
      </c>
      <c r="I6317">
        <v>391.87</v>
      </c>
      <c r="J6317">
        <v>-187.23869999999999</v>
      </c>
      <c r="K6317">
        <v>1.1036029999999999</v>
      </c>
      <c r="L6317">
        <v>34.413789999999999</v>
      </c>
      <c r="M6317">
        <v>-1.7129459999999999E-2</v>
      </c>
      <c r="N6317">
        <v>0</v>
      </c>
      <c r="O6317">
        <v>0.99984269999999997</v>
      </c>
      <c r="P6317">
        <v>-9.9261909999999995E-2</v>
      </c>
      <c r="Q6317">
        <v>9.5701410000000001E-2</v>
      </c>
      <c r="R6317">
        <v>0.99044849999999995</v>
      </c>
      <c r="S6317">
        <v>-0.1175537</v>
      </c>
      <c r="T6317">
        <v>-8.5895060000000002E-3</v>
      </c>
      <c r="U6317">
        <v>3.0170590000000002</v>
      </c>
      <c r="V6317">
        <v>-8.2352229999999998E-2</v>
      </c>
      <c r="W6317">
        <v>0.100207</v>
      </c>
      <c r="X6317">
        <v>0.99155269999999995</v>
      </c>
      <c r="Y6317">
        <v>-2.1810949999999999E-2</v>
      </c>
      <c r="Z6317">
        <v>-2.844924E-3</v>
      </c>
      <c r="AA6317">
        <v>0.99975809999999998</v>
      </c>
      <c r="AB6317">
        <v>52</v>
      </c>
      <c r="AC6317">
        <v>-13.9390999999999</v>
      </c>
      <c r="AD6317">
        <v>-1.0191608599999999</v>
      </c>
      <c r="AE6317">
        <v>357.45621</v>
      </c>
      <c r="AF6317">
        <v>-7.8138947653618498</v>
      </c>
      <c r="AG6317">
        <v>-1.0191608599999999</v>
      </c>
      <c r="AH6317">
        <v>357.63963185383199</v>
      </c>
      <c r="AI6317">
        <v>90.163235616080897</v>
      </c>
      <c r="AJ6317">
        <v>91.251628549995701</v>
      </c>
      <c r="AK6317">
        <v>357.72643446187601</v>
      </c>
    </row>
    <row r="6318" spans="1:37" x14ac:dyDescent="0.2">
      <c r="A6318" t="str">
        <f>"20200111153553242"</f>
        <v>20200111153553242</v>
      </c>
      <c r="B6318" t="str">
        <f>"1578728153232074"</f>
        <v>1578728153232074</v>
      </c>
      <c r="C6318" t="s">
        <v>37</v>
      </c>
      <c r="D6318">
        <v>4.737921</v>
      </c>
      <c r="E6318">
        <v>0.52311419999999997</v>
      </c>
      <c r="F6318" t="s">
        <v>80</v>
      </c>
      <c r="G6318">
        <v>-201.3861</v>
      </c>
      <c r="H6318">
        <v>0.33192630000000001</v>
      </c>
      <c r="I6318">
        <v>391.87</v>
      </c>
      <c r="J6318">
        <v>-187.24780000000001</v>
      </c>
      <c r="K6318">
        <v>1.1036029999999999</v>
      </c>
      <c r="L6318">
        <v>34.9422</v>
      </c>
      <c r="M6318">
        <v>-1.736393E-2</v>
      </c>
      <c r="N6318">
        <v>0</v>
      </c>
      <c r="O6318">
        <v>0.99983849999999996</v>
      </c>
      <c r="P6318">
        <v>-0.1005865</v>
      </c>
      <c r="Q6318">
        <v>9.788036E-2</v>
      </c>
      <c r="R6318">
        <v>0.99010189999999998</v>
      </c>
      <c r="S6318">
        <v>-0.11943049999999999</v>
      </c>
      <c r="T6318">
        <v>-6.5144299999999999E-3</v>
      </c>
      <c r="U6318">
        <v>3.0176090000000002</v>
      </c>
      <c r="V6318">
        <v>-8.3452529999999997E-2</v>
      </c>
      <c r="W6318">
        <v>0.10240630000000001</v>
      </c>
      <c r="X6318">
        <v>0.99123589999999995</v>
      </c>
      <c r="Y6318">
        <v>-2.2190330000000001E-2</v>
      </c>
      <c r="Z6318">
        <v>-2.157202E-3</v>
      </c>
      <c r="AA6318">
        <v>0.99975139999999996</v>
      </c>
      <c r="AB6318">
        <v>52</v>
      </c>
      <c r="AC6318">
        <v>-14.1382999999999</v>
      </c>
      <c r="AD6318">
        <v>-0.77167669999999999</v>
      </c>
      <c r="AE6318">
        <v>356.92779999999999</v>
      </c>
      <c r="AF6318">
        <v>-7.9383954935511598</v>
      </c>
      <c r="AG6318">
        <v>-0.77167669999999999</v>
      </c>
      <c r="AH6318">
        <v>357.117819291052</v>
      </c>
      <c r="AI6318">
        <v>90.123776600427803</v>
      </c>
      <c r="AJ6318">
        <v>91.273421933007398</v>
      </c>
      <c r="AK6318">
        <v>357.20687348249299</v>
      </c>
    </row>
    <row r="6319" spans="1:37" x14ac:dyDescent="0.2">
      <c r="A6319" t="str">
        <f>"20200111153553264"</f>
        <v>20200111153553264</v>
      </c>
      <c r="B6319" t="str">
        <f>"1578728153251591"</f>
        <v>1578728153251591</v>
      </c>
      <c r="C6319" t="s">
        <v>37</v>
      </c>
      <c r="D6319">
        <v>4.7016119999999999</v>
      </c>
      <c r="E6319">
        <v>0.52328859999999999</v>
      </c>
      <c r="F6319" t="s">
        <v>80</v>
      </c>
      <c r="G6319">
        <v>-201.7252</v>
      </c>
      <c r="H6319">
        <v>0.52978610000000004</v>
      </c>
      <c r="I6319">
        <v>391.00349999999997</v>
      </c>
      <c r="J6319">
        <v>-187.2567</v>
      </c>
      <c r="K6319">
        <v>1.1036010000000001</v>
      </c>
      <c r="L6319">
        <v>35.448</v>
      </c>
      <c r="M6319">
        <v>-1.7589870000000001E-2</v>
      </c>
      <c r="N6319">
        <v>0</v>
      </c>
      <c r="O6319">
        <v>0.99983449999999996</v>
      </c>
      <c r="P6319">
        <v>-0.101121</v>
      </c>
      <c r="Q6319">
        <v>0.1003063</v>
      </c>
      <c r="R6319">
        <v>0.98980460000000003</v>
      </c>
      <c r="S6319">
        <v>-0.12271120000000001</v>
      </c>
      <c r="T6319">
        <v>-4.8637389999999997E-3</v>
      </c>
      <c r="U6319">
        <v>3.018005</v>
      </c>
      <c r="V6319">
        <v>-8.3771369999999998E-2</v>
      </c>
      <c r="W6319">
        <v>0.1048525</v>
      </c>
      <c r="X6319">
        <v>0.99095319999999998</v>
      </c>
      <c r="Y6319">
        <v>-2.304426E-2</v>
      </c>
      <c r="Z6319">
        <v>-1.610319E-3</v>
      </c>
      <c r="AA6319">
        <v>0.99973319999999999</v>
      </c>
      <c r="AB6319">
        <v>52</v>
      </c>
      <c r="AC6319">
        <v>-14.468500000000001</v>
      </c>
      <c r="AD6319">
        <v>-0.57381490000000002</v>
      </c>
      <c r="AE6319">
        <v>355.55549999999999</v>
      </c>
      <c r="AF6319">
        <v>-8.2119976507926999</v>
      </c>
      <c r="AG6319">
        <v>-0.57381490000000002</v>
      </c>
      <c r="AH6319">
        <v>355.75406623476903</v>
      </c>
      <c r="AI6319">
        <v>90.0923907580095</v>
      </c>
      <c r="AJ6319">
        <v>91.322344025170693</v>
      </c>
      <c r="AK6319">
        <v>355.849296488736</v>
      </c>
    </row>
    <row r="6320" spans="1:37" x14ac:dyDescent="0.2">
      <c r="A6320" t="str">
        <f>"20200111153553286"</f>
        <v>20200111153553286</v>
      </c>
      <c r="B6320" t="str">
        <f>"1578728153281848"</f>
        <v>1578728153281848</v>
      </c>
      <c r="C6320" t="s">
        <v>37</v>
      </c>
      <c r="D6320">
        <v>4.7027599999999996</v>
      </c>
      <c r="E6320">
        <v>0.52407219999999999</v>
      </c>
      <c r="F6320" t="s">
        <v>80</v>
      </c>
      <c r="G6320">
        <v>-201.69470000000001</v>
      </c>
      <c r="H6320">
        <v>0.91729930000000004</v>
      </c>
      <c r="I6320">
        <v>391.00349999999997</v>
      </c>
      <c r="J6320">
        <v>-187.26589999999999</v>
      </c>
      <c r="K6320">
        <v>1.1035919999999999</v>
      </c>
      <c r="L6320">
        <v>35.9664</v>
      </c>
      <c r="M6320">
        <v>-1.7814480000000001E-2</v>
      </c>
      <c r="N6320">
        <v>0</v>
      </c>
      <c r="O6320">
        <v>0.99983040000000001</v>
      </c>
      <c r="P6320">
        <v>-0.1015242</v>
      </c>
      <c r="Q6320">
        <v>0.1021929</v>
      </c>
      <c r="R6320">
        <v>0.98957030000000001</v>
      </c>
      <c r="S6320">
        <v>-0.1225739</v>
      </c>
      <c r="T6320">
        <v>-1.581669E-3</v>
      </c>
      <c r="U6320">
        <v>3.0185550000000001</v>
      </c>
      <c r="V6320">
        <v>-8.3956920000000004E-2</v>
      </c>
      <c r="W6320">
        <v>0.106762</v>
      </c>
      <c r="X6320">
        <v>0.99073359999999899</v>
      </c>
      <c r="Y6320">
        <v>-2.276692E-2</v>
      </c>
      <c r="Z6320">
        <v>-5.235738E-4</v>
      </c>
      <c r="AA6320">
        <v>0.99974069999999904</v>
      </c>
      <c r="AB6320">
        <v>52</v>
      </c>
      <c r="AC6320">
        <v>-14.428800000000001</v>
      </c>
      <c r="AD6320">
        <v>-0.18629269999999901</v>
      </c>
      <c r="AE6320">
        <v>355.03709999999899</v>
      </c>
      <c r="AF6320">
        <v>-8.1016377027136102</v>
      </c>
      <c r="AG6320">
        <v>-0.18629269999999901</v>
      </c>
      <c r="AH6320">
        <v>355.23770450568998</v>
      </c>
      <c r="AI6320">
        <v>90.030039068441695</v>
      </c>
      <c r="AJ6320">
        <v>91.306475038788093</v>
      </c>
      <c r="AK6320">
        <v>355.33012529323798</v>
      </c>
    </row>
    <row r="6321" spans="1:37" x14ac:dyDescent="0.2">
      <c r="A6321" t="str">
        <f>"20200111153553309"</f>
        <v>20200111153553309</v>
      </c>
      <c r="B6321" t="str">
        <f>"1578728153302343"</f>
        <v>1578728153302343</v>
      </c>
      <c r="C6321" t="s">
        <v>37</v>
      </c>
      <c r="D6321">
        <v>4.7026879999999904</v>
      </c>
      <c r="E6321">
        <v>0.52463909999999903</v>
      </c>
      <c r="F6321" t="s">
        <v>39</v>
      </c>
      <c r="G6321">
        <v>-189.92070000000001</v>
      </c>
      <c r="H6321" s="1">
        <v>-1.8046729999999999E-6</v>
      </c>
      <c r="I6321">
        <v>103.80670000000001</v>
      </c>
      <c r="J6321">
        <v>-187.2757</v>
      </c>
      <c r="K6321">
        <v>1.1035779999999999</v>
      </c>
      <c r="L6321">
        <v>36.516820000000003</v>
      </c>
      <c r="M6321">
        <v>-1.8022880000000002E-2</v>
      </c>
      <c r="N6321">
        <v>0</v>
      </c>
      <c r="O6321">
        <v>0.99982660000000001</v>
      </c>
      <c r="P6321">
        <v>-0.1010858</v>
      </c>
      <c r="Q6321">
        <v>0.10350479999999999</v>
      </c>
      <c r="R6321">
        <v>0.98947890000000005</v>
      </c>
      <c r="S6321">
        <v>-0.11836240000000001</v>
      </c>
      <c r="T6321">
        <v>-4.9202200000000001E-2</v>
      </c>
      <c r="U6321">
        <v>3.0245669999999998</v>
      </c>
      <c r="V6321">
        <v>-8.3311259999999998E-2</v>
      </c>
      <c r="W6321">
        <v>0.1081017</v>
      </c>
      <c r="X6321">
        <v>0.99064279999999905</v>
      </c>
      <c r="Y6321">
        <v>-2.1082940000000001E-2</v>
      </c>
      <c r="Z6321">
        <v>-1.6253380000000001E-2</v>
      </c>
      <c r="AA6321">
        <v>0.99964560000000002</v>
      </c>
      <c r="AB6321">
        <v>53</v>
      </c>
      <c r="AC6321">
        <v>-2.6450000000000098</v>
      </c>
      <c r="AD6321">
        <v>-1.1035798046730001</v>
      </c>
      <c r="AE6321">
        <v>67.289879999999997</v>
      </c>
      <c r="AF6321">
        <v>-1.4314152181123501</v>
      </c>
      <c r="AG6321">
        <v>-1.1035798046730001</v>
      </c>
      <c r="AH6321">
        <v>67.308544999766298</v>
      </c>
      <c r="AI6321">
        <v>90.939115686276907</v>
      </c>
      <c r="AJ6321">
        <v>91.218295390505901</v>
      </c>
      <c r="AK6321">
        <v>67.332808257917605</v>
      </c>
    </row>
    <row r="6322" spans="1:37" x14ac:dyDescent="0.2">
      <c r="A6322" t="str">
        <f>"20200111153553331"</f>
        <v>20200111153553331</v>
      </c>
      <c r="B6322" t="str">
        <f>"1578728153322104"</f>
        <v>1578728153322104</v>
      </c>
      <c r="C6322" t="s">
        <v>37</v>
      </c>
      <c r="D6322">
        <v>4.695627</v>
      </c>
      <c r="E6322">
        <v>0.52455830000000003</v>
      </c>
      <c r="F6322" t="s">
        <v>39</v>
      </c>
      <c r="G6322">
        <v>-190.0324</v>
      </c>
      <c r="H6322" s="1">
        <v>-4.3822729999999997E-7</v>
      </c>
      <c r="I6322">
        <v>110.59050000000001</v>
      </c>
      <c r="J6322">
        <v>-187.2852</v>
      </c>
      <c r="K6322">
        <v>1.1035509999999999</v>
      </c>
      <c r="L6322">
        <v>37.041049999999998</v>
      </c>
      <c r="M6322">
        <v>-1.8180189999999999E-2</v>
      </c>
      <c r="N6322">
        <v>0</v>
      </c>
      <c r="O6322">
        <v>0.99982359999999904</v>
      </c>
      <c r="P6322">
        <v>-0.10083300000000001</v>
      </c>
      <c r="Q6322">
        <v>0.105586999999999</v>
      </c>
      <c r="R6322">
        <v>0.98928459999999996</v>
      </c>
      <c r="S6322">
        <v>-0.11257929999999999</v>
      </c>
      <c r="T6322">
        <v>-4.5069339999999999E-2</v>
      </c>
      <c r="U6322">
        <v>3.0251160000000001</v>
      </c>
      <c r="V6322">
        <v>-8.2900790000000002E-2</v>
      </c>
      <c r="W6322">
        <v>0.1102124</v>
      </c>
      <c r="X6322">
        <v>0.99044469999999996</v>
      </c>
      <c r="Y6322">
        <v>-1.901106E-2</v>
      </c>
      <c r="Z6322">
        <v>-1.488654E-2</v>
      </c>
      <c r="AA6322">
        <v>0.99970840000000005</v>
      </c>
      <c r="AB6322">
        <v>53</v>
      </c>
      <c r="AC6322">
        <v>-2.7471999999999901</v>
      </c>
      <c r="AD6322">
        <v>-1.1035514382273</v>
      </c>
      <c r="AE6322">
        <v>73.549449999999993</v>
      </c>
      <c r="AF6322">
        <v>-1.4092712779152501</v>
      </c>
      <c r="AG6322">
        <v>-1.1035514382273</v>
      </c>
      <c r="AH6322">
        <v>73.570699515201298</v>
      </c>
      <c r="AI6322">
        <v>90.859207598665293</v>
      </c>
      <c r="AJ6322">
        <v>91.097385552240297</v>
      </c>
      <c r="AK6322">
        <v>73.592470392476997</v>
      </c>
    </row>
    <row r="6323" spans="1:37" x14ac:dyDescent="0.2">
      <c r="A6323" t="str">
        <f>"20200111153553354"</f>
        <v>20200111153553354</v>
      </c>
      <c r="B6323" t="str">
        <f>"1578728153341624"</f>
        <v>1578728153341624</v>
      </c>
      <c r="C6323" t="s">
        <v>37</v>
      </c>
      <c r="D6323">
        <v>4.6765160000000003</v>
      </c>
      <c r="E6323">
        <v>0.52416529999999995</v>
      </c>
      <c r="F6323" t="s">
        <v>39</v>
      </c>
      <c r="G6323">
        <v>-190.1388</v>
      </c>
      <c r="H6323" s="1">
        <v>-1.792478E-6</v>
      </c>
      <c r="I6323">
        <v>113.68129999999999</v>
      </c>
      <c r="J6323">
        <v>-187.29480000000001</v>
      </c>
      <c r="K6323">
        <v>1.1035379999999999</v>
      </c>
      <c r="L6323">
        <v>37.56635</v>
      </c>
      <c r="M6323">
        <v>-1.8292320000000001E-2</v>
      </c>
      <c r="N6323">
        <v>0</v>
      </c>
      <c r="O6323">
        <v>0.99982139999999997</v>
      </c>
      <c r="P6323">
        <v>-0.10093869999999899</v>
      </c>
      <c r="Q6323">
        <v>0.1089931</v>
      </c>
      <c r="R6323">
        <v>0.98890440000000002</v>
      </c>
      <c r="S6323">
        <v>-0.11265559999999999</v>
      </c>
      <c r="T6323">
        <v>-4.3566939999999998E-2</v>
      </c>
      <c r="U6323">
        <v>3.025665</v>
      </c>
      <c r="V6323">
        <v>-8.2895430000000006E-2</v>
      </c>
      <c r="W6323">
        <v>0.11364729999999899</v>
      </c>
      <c r="X6323">
        <v>0.99005689999999902</v>
      </c>
      <c r="Y6323">
        <v>-1.8917630000000001E-2</v>
      </c>
      <c r="Z6323">
        <v>-1.4387749999999999E-2</v>
      </c>
      <c r="AA6323">
        <v>0.99971749999999904</v>
      </c>
      <c r="AB6323">
        <v>53</v>
      </c>
      <c r="AC6323">
        <v>-2.8439999999999901</v>
      </c>
      <c r="AD6323">
        <v>-1.1035397924779999</v>
      </c>
      <c r="AE6323">
        <v>76.114949999999993</v>
      </c>
      <c r="AF6323">
        <v>-1.45088485513363</v>
      </c>
      <c r="AG6323">
        <v>-1.1035397924779999</v>
      </c>
      <c r="AH6323">
        <v>76.138256147339604</v>
      </c>
      <c r="AI6323">
        <v>90.830230089946895</v>
      </c>
      <c r="AJ6323">
        <v>91.091691915776707</v>
      </c>
      <c r="AK6323">
        <v>76.160074291549506</v>
      </c>
    </row>
    <row r="6324" spans="1:37" x14ac:dyDescent="0.2">
      <c r="A6324" t="str">
        <f>"20200111153553387"</f>
        <v>20200111153553387</v>
      </c>
      <c r="B6324" t="str">
        <f>"1578728153381641"</f>
        <v>1578728153381641</v>
      </c>
      <c r="C6324" t="s">
        <v>37</v>
      </c>
      <c r="D6324">
        <v>4.720116</v>
      </c>
      <c r="E6324">
        <v>0.525744199999999</v>
      </c>
      <c r="F6324" t="s">
        <v>51</v>
      </c>
      <c r="G6324">
        <v>-190.67310000000001</v>
      </c>
      <c r="H6324" s="1">
        <v>-3.3849570000000001E-6</v>
      </c>
      <c r="I6324">
        <v>125.76609999999999</v>
      </c>
      <c r="J6324">
        <v>-187.30879999999999</v>
      </c>
      <c r="K6324">
        <v>1.1035059999999901</v>
      </c>
      <c r="L6324">
        <v>38.337589999999999</v>
      </c>
      <c r="M6324">
        <v>-1.8359520000000001E-2</v>
      </c>
      <c r="N6324">
        <v>0</v>
      </c>
      <c r="O6324">
        <v>0.99982000000000004</v>
      </c>
      <c r="P6324">
        <v>-0.10131699999999901</v>
      </c>
      <c r="Q6324">
        <v>0.11193</v>
      </c>
      <c r="R6324">
        <v>0.98853749999999996</v>
      </c>
      <c r="S6324">
        <v>-0.1159058</v>
      </c>
      <c r="T6324">
        <v>-3.7860869999999998E-2</v>
      </c>
      <c r="U6324">
        <v>3.0260009999999999</v>
      </c>
      <c r="V6324">
        <v>-8.3198350000000004E-2</v>
      </c>
      <c r="W6324">
        <v>0.1166309</v>
      </c>
      <c r="X6324">
        <v>0.98968440000000002</v>
      </c>
      <c r="Y6324">
        <v>-1.9919490000000002E-2</v>
      </c>
      <c r="Z6324">
        <v>-1.250188E-2</v>
      </c>
      <c r="AA6324">
        <v>0.99972340000000004</v>
      </c>
      <c r="AB6324">
        <v>53</v>
      </c>
      <c r="AC6324">
        <v>-3.3643000000000098</v>
      </c>
      <c r="AD6324">
        <v>-1.1035093849569999</v>
      </c>
      <c r="AE6324">
        <v>87.428509999999903</v>
      </c>
      <c r="AF6324">
        <v>-1.7582893792054199</v>
      </c>
      <c r="AG6324">
        <v>-1.1035093849569999</v>
      </c>
      <c r="AH6324">
        <v>87.461628208345701</v>
      </c>
      <c r="AI6324">
        <v>90.722720424338107</v>
      </c>
      <c r="AJ6324">
        <v>91.151693538626901</v>
      </c>
      <c r="AK6324">
        <v>87.486260197579597</v>
      </c>
    </row>
    <row r="6325" spans="1:37" x14ac:dyDescent="0.2">
      <c r="A6325" t="str">
        <f>"20200111153553409"</f>
        <v>20200111153553409</v>
      </c>
      <c r="B6325" t="str">
        <f>"1578728153402136"</f>
        <v>1578728153402136</v>
      </c>
      <c r="C6325" t="s">
        <v>37</v>
      </c>
      <c r="D6325">
        <v>4.7250129999999997</v>
      </c>
      <c r="E6325">
        <v>0.52604069999999903</v>
      </c>
      <c r="F6325" t="s">
        <v>51</v>
      </c>
      <c r="G6325">
        <v>-190.9888</v>
      </c>
      <c r="H6325" s="1">
        <v>-9.9810949999999997E-6</v>
      </c>
      <c r="I6325">
        <v>146.244</v>
      </c>
      <c r="J6325">
        <v>-187.3192</v>
      </c>
      <c r="K6325">
        <v>1.1034809999999999</v>
      </c>
      <c r="L6325">
        <v>38.905879999999897</v>
      </c>
      <c r="M6325">
        <v>-1.834233E-2</v>
      </c>
      <c r="N6325">
        <v>0</v>
      </c>
      <c r="O6325">
        <v>0.99982019999999905</v>
      </c>
      <c r="P6325">
        <v>-0.1011807</v>
      </c>
      <c r="Q6325">
        <v>0.1135673</v>
      </c>
      <c r="R6325">
        <v>0.98836480000000004</v>
      </c>
      <c r="S6325">
        <v>-0.10325619999999899</v>
      </c>
      <c r="T6325">
        <v>-3.096318E-2</v>
      </c>
      <c r="U6325">
        <v>3.0277099999999999</v>
      </c>
      <c r="V6325">
        <v>-8.3069009999999999E-2</v>
      </c>
      <c r="W6325">
        <v>0.118303399999999</v>
      </c>
      <c r="X6325">
        <v>0.98949679999999995</v>
      </c>
      <c r="Y6325">
        <v>-1.574453E-2</v>
      </c>
      <c r="Z6325">
        <v>-1.0219880000000001E-2</v>
      </c>
      <c r="AA6325">
        <v>0.99982380000000004</v>
      </c>
      <c r="AB6325">
        <v>53</v>
      </c>
      <c r="AC6325">
        <v>-3.6696</v>
      </c>
      <c r="AD6325">
        <v>-1.103490981095</v>
      </c>
      <c r="AE6325">
        <v>107.33812</v>
      </c>
      <c r="AF6325">
        <v>-1.6999491904017501</v>
      </c>
      <c r="AG6325">
        <v>-1.103490981095</v>
      </c>
      <c r="AH6325">
        <v>107.376036167008</v>
      </c>
      <c r="AI6325">
        <v>90.588727534634799</v>
      </c>
      <c r="AJ6325">
        <v>90.907015951900803</v>
      </c>
      <c r="AK6325">
        <v>107.39516126220001</v>
      </c>
    </row>
    <row r="6326" spans="1:37" x14ac:dyDescent="0.2">
      <c r="A6326" t="str">
        <f>"20200111153553432"</f>
        <v>20200111153553432</v>
      </c>
      <c r="B6326" t="str">
        <f>"1578728153421768"</f>
        <v>1578728153421768</v>
      </c>
      <c r="C6326" t="s">
        <v>37</v>
      </c>
      <c r="D6326">
        <v>4.7224279999999998</v>
      </c>
      <c r="E6326">
        <v>0.52641329999999997</v>
      </c>
      <c r="F6326" t="s">
        <v>39</v>
      </c>
      <c r="G6326">
        <v>-192.1797</v>
      </c>
      <c r="H6326" s="1">
        <v>-3.1716729999999999E-6</v>
      </c>
      <c r="I6326">
        <v>185.63050000000001</v>
      </c>
      <c r="J6326">
        <v>-187.3288</v>
      </c>
      <c r="K6326">
        <v>1.1034619999999999</v>
      </c>
      <c r="L6326">
        <v>39.43356</v>
      </c>
      <c r="M6326">
        <v>-1.828662E-2</v>
      </c>
      <c r="N6326">
        <v>0</v>
      </c>
      <c r="O6326">
        <v>0.99982109999999902</v>
      </c>
      <c r="P6326">
        <v>-0.10102079999999999</v>
      </c>
      <c r="Q6326">
        <v>0.11517959999999999</v>
      </c>
      <c r="R6326">
        <v>0.98819449999999998</v>
      </c>
      <c r="S6326">
        <v>-0.100296</v>
      </c>
      <c r="T6326">
        <v>-2.2770519999999999E-2</v>
      </c>
      <c r="U6326">
        <v>3.027679</v>
      </c>
      <c r="V6326">
        <v>-8.2955319999999999E-2</v>
      </c>
      <c r="W6326">
        <v>0.1199481</v>
      </c>
      <c r="X6326">
        <v>0.98930830000000003</v>
      </c>
      <c r="Y6326">
        <v>-1.482493E-2</v>
      </c>
      <c r="Z6326">
        <v>-7.51621199999999E-3</v>
      </c>
      <c r="AA6326">
        <v>0.99986180000000002</v>
      </c>
      <c r="AB6326">
        <v>53</v>
      </c>
      <c r="AC6326">
        <v>-4.8508999999999904</v>
      </c>
      <c r="AD6326">
        <v>-1.103465171673</v>
      </c>
      <c r="AE6326">
        <v>146.19693999999899</v>
      </c>
      <c r="AF6326">
        <v>-2.1764858617230201</v>
      </c>
      <c r="AG6326">
        <v>-1.103465171673</v>
      </c>
      <c r="AH6326">
        <v>146.25287806588901</v>
      </c>
      <c r="AI6326">
        <v>90.432235584161901</v>
      </c>
      <c r="AJ6326">
        <v>90.852593474736295</v>
      </c>
      <c r="AK6326">
        <v>146.27323428654699</v>
      </c>
    </row>
    <row r="6327" spans="1:37" x14ac:dyDescent="0.2">
      <c r="A6327" t="str">
        <f>"20200111153553453"</f>
        <v>20200111153553453</v>
      </c>
      <c r="B6327" t="str">
        <f>"1578728153442267"</f>
        <v>1578728153442267</v>
      </c>
      <c r="C6327" t="s">
        <v>37</v>
      </c>
      <c r="D6327">
        <v>4.6896409999999999</v>
      </c>
      <c r="E6327">
        <v>0.52682299999999904</v>
      </c>
      <c r="F6327" t="s">
        <v>39</v>
      </c>
      <c r="G6327">
        <v>-194.11259999999999</v>
      </c>
      <c r="H6327" s="1">
        <v>-1.7496430000000001E-6</v>
      </c>
      <c r="I6327">
        <v>251.11680000000001</v>
      </c>
      <c r="J6327">
        <v>-187.3383</v>
      </c>
      <c r="K6327">
        <v>1.103456</v>
      </c>
      <c r="L6327">
        <v>39.959229999999998</v>
      </c>
      <c r="M6327">
        <v>-1.8202019999999999E-2</v>
      </c>
      <c r="N6327">
        <v>0</v>
      </c>
      <c r="O6327">
        <v>0.99982249999999995</v>
      </c>
      <c r="P6327">
        <v>-0.1008106</v>
      </c>
      <c r="Q6327">
        <v>0.11757619999999901</v>
      </c>
      <c r="R6327">
        <v>0.98793379999999997</v>
      </c>
      <c r="S6327">
        <v>-9.7030640000000001E-2</v>
      </c>
      <c r="T6327">
        <v>-1.5783189999999999E-2</v>
      </c>
      <c r="U6327">
        <v>3.027771</v>
      </c>
      <c r="V6327">
        <v>-8.2823499999999994E-2</v>
      </c>
      <c r="W6327">
        <v>0.1223754</v>
      </c>
      <c r="X6327">
        <v>0.98902199999999996</v>
      </c>
      <c r="Y6327">
        <v>-1.383181E-2</v>
      </c>
      <c r="Z6327">
        <v>-5.209857E-3</v>
      </c>
      <c r="AA6327">
        <v>0.99989069999999902</v>
      </c>
      <c r="AB6327">
        <v>53</v>
      </c>
      <c r="AC6327">
        <v>-6.7742999999999798</v>
      </c>
      <c r="AD6327">
        <v>-1.103457749643</v>
      </c>
      <c r="AE6327">
        <v>211.15756999999999</v>
      </c>
      <c r="AF6327">
        <v>-2.92955798027364</v>
      </c>
      <c r="AG6327">
        <v>-1.103457749643</v>
      </c>
      <c r="AH6327">
        <v>211.24013127356301</v>
      </c>
      <c r="AI6327">
        <v>90.299265189752603</v>
      </c>
      <c r="AJ6327">
        <v>90.794548589248706</v>
      </c>
      <c r="AK6327">
        <v>211.263326181894</v>
      </c>
    </row>
    <row r="6328" spans="1:37" x14ac:dyDescent="0.2">
      <c r="A6328" t="str">
        <f>"20200111153553478"</f>
        <v>20200111153553478</v>
      </c>
      <c r="B6328" t="str">
        <f>"1578728153471545"</f>
        <v>1578728153471545</v>
      </c>
      <c r="C6328" t="s">
        <v>37</v>
      </c>
      <c r="D6328">
        <v>4.6648740000000002</v>
      </c>
      <c r="E6328">
        <v>0.52712789999999998</v>
      </c>
      <c r="F6328" t="s">
        <v>80</v>
      </c>
      <c r="G6328">
        <v>-198.18440000000001</v>
      </c>
      <c r="H6328">
        <v>0.282782599999999</v>
      </c>
      <c r="I6328">
        <v>391.87</v>
      </c>
      <c r="J6328">
        <v>-187.3485</v>
      </c>
      <c r="K6328">
        <v>1.1034520000000001</v>
      </c>
      <c r="L6328">
        <v>40.519199999999998</v>
      </c>
      <c r="M6328">
        <v>-1.8089109999999999E-2</v>
      </c>
      <c r="N6328">
        <v>0</v>
      </c>
      <c r="O6328">
        <v>0.9998245</v>
      </c>
      <c r="P6328">
        <v>-0.1011437</v>
      </c>
      <c r="Q6328">
        <v>0.1197109</v>
      </c>
      <c r="R6328">
        <v>0.9876433</v>
      </c>
      <c r="S6328">
        <v>-9.3322749999999996E-2</v>
      </c>
      <c r="T6328">
        <v>-7.0613619999999998E-3</v>
      </c>
      <c r="U6328">
        <v>3.0279539999999998</v>
      </c>
      <c r="V6328">
        <v>-8.326306E-2</v>
      </c>
      <c r="W6328">
        <v>0.1245411</v>
      </c>
      <c r="X6328">
        <v>0.98871469999999995</v>
      </c>
      <c r="Y6328">
        <v>-1.2719909999999999E-2</v>
      </c>
      <c r="Z6328">
        <v>-2.3308309999999998E-3</v>
      </c>
      <c r="AA6328">
        <v>0.99991640000000004</v>
      </c>
      <c r="AB6328">
        <v>54</v>
      </c>
      <c r="AC6328">
        <v>-10.835900000000001</v>
      </c>
      <c r="AD6328">
        <v>-0.82066939999999999</v>
      </c>
      <c r="AE6328">
        <v>351.35079999999999</v>
      </c>
      <c r="AF6328">
        <v>-4.4784038089591904</v>
      </c>
      <c r="AG6328">
        <v>-0.82066939999999999</v>
      </c>
      <c r="AH6328">
        <v>351.48740845620398</v>
      </c>
      <c r="AI6328">
        <v>90.1337657913393</v>
      </c>
      <c r="AJ6328">
        <v>90.729982773794504</v>
      </c>
      <c r="AK6328">
        <v>351.516895614134</v>
      </c>
    </row>
    <row r="6329" spans="1:37" x14ac:dyDescent="0.2">
      <c r="A6329" t="str">
        <f>"20200111153553498"</f>
        <v>20200111153553498</v>
      </c>
      <c r="B6329" t="str">
        <f>"1578728153492041"</f>
        <v>1578728153492041</v>
      </c>
      <c r="C6329" t="s">
        <v>37</v>
      </c>
      <c r="D6329">
        <v>4.6699869999999999</v>
      </c>
      <c r="E6329">
        <v>0.52721219999999902</v>
      </c>
      <c r="F6329" t="s">
        <v>80</v>
      </c>
      <c r="G6329">
        <v>-197.9674</v>
      </c>
      <c r="H6329">
        <v>1.023093</v>
      </c>
      <c r="I6329">
        <v>391.87</v>
      </c>
      <c r="J6329">
        <v>-187.3579</v>
      </c>
      <c r="K6329">
        <v>1.103459</v>
      </c>
      <c r="L6329">
        <v>41.041260000000001</v>
      </c>
      <c r="M6329">
        <v>-1.7969039999999999E-2</v>
      </c>
      <c r="N6329">
        <v>0</v>
      </c>
      <c r="O6329">
        <v>0.99982649999999995</v>
      </c>
      <c r="P6329">
        <v>-0.1014467</v>
      </c>
      <c r="Q6329">
        <v>0.120556</v>
      </c>
      <c r="R6329">
        <v>0.98750939999999998</v>
      </c>
      <c r="S6329">
        <v>-9.1522220000000001E-2</v>
      </c>
      <c r="T6329">
        <v>-6.9260600000000002E-4</v>
      </c>
      <c r="U6329">
        <v>3.0282290000000001</v>
      </c>
      <c r="V6329">
        <v>-8.3678489999999994E-2</v>
      </c>
      <c r="W6329">
        <v>0.12542059999999999</v>
      </c>
      <c r="X6329">
        <v>0.98856840000000001</v>
      </c>
      <c r="Y6329">
        <v>-1.22432999999999E-2</v>
      </c>
      <c r="Z6329">
        <v>-2.286004E-4</v>
      </c>
      <c r="AA6329">
        <v>0.99992499999999995</v>
      </c>
      <c r="AB6329">
        <v>54</v>
      </c>
      <c r="AC6329">
        <v>-10.609499999999899</v>
      </c>
      <c r="AD6329">
        <v>-8.0365999999999896E-2</v>
      </c>
      <c r="AE6329">
        <v>350.82873999999998</v>
      </c>
      <c r="AF6329">
        <v>-4.3036551877643703</v>
      </c>
      <c r="AG6329">
        <v>-8.0365999999999896E-2</v>
      </c>
      <c r="AH6329">
        <v>350.96272157435101</v>
      </c>
      <c r="AI6329">
        <v>90.013119018343403</v>
      </c>
      <c r="AJ6329">
        <v>90.702550172583202</v>
      </c>
      <c r="AK6329">
        <v>350.989116414661</v>
      </c>
    </row>
    <row r="6330" spans="1:37" x14ac:dyDescent="0.2">
      <c r="A6330" t="str">
        <f>"20200111153553523"</f>
        <v>20200111153553523</v>
      </c>
      <c r="B6330" t="str">
        <f>"1578728153511561"</f>
        <v>1578728153511561</v>
      </c>
      <c r="C6330" t="s">
        <v>37</v>
      </c>
      <c r="D6330">
        <v>4.6467799999999997</v>
      </c>
      <c r="E6330">
        <v>0.52727190000000002</v>
      </c>
      <c r="F6330" t="s">
        <v>80</v>
      </c>
      <c r="G6330">
        <v>-197.9795</v>
      </c>
      <c r="H6330">
        <v>1.1128089999999999</v>
      </c>
      <c r="I6330">
        <v>391.87</v>
      </c>
      <c r="J6330">
        <v>-187.3681</v>
      </c>
      <c r="K6330">
        <v>1.103458</v>
      </c>
      <c r="L6330">
        <v>41.609920000000002</v>
      </c>
      <c r="M6330">
        <v>-1.7828440000000001E-2</v>
      </c>
      <c r="N6330">
        <v>0</v>
      </c>
      <c r="O6330">
        <v>0.99982879999999996</v>
      </c>
      <c r="P6330">
        <v>-0.1016358</v>
      </c>
      <c r="Q6330">
        <v>0.1210228</v>
      </c>
      <c r="R6330">
        <v>0.9874328</v>
      </c>
      <c r="S6330">
        <v>-9.1690060000000004E-2</v>
      </c>
      <c r="T6330" s="1">
        <v>8.0704689999999999E-5</v>
      </c>
      <c r="U6330">
        <v>3.02850299999999</v>
      </c>
      <c r="V6330">
        <v>-8.3998649999999994E-2</v>
      </c>
      <c r="W6330">
        <v>0.1259391</v>
      </c>
      <c r="X6330">
        <v>0.9884754</v>
      </c>
      <c r="Y6330">
        <v>-1.2436529999999999E-2</v>
      </c>
      <c r="Z6330" s="1">
        <v>2.6634890000000001E-5</v>
      </c>
      <c r="AA6330">
        <v>0.99992269999999905</v>
      </c>
      <c r="AB6330">
        <v>54</v>
      </c>
      <c r="AC6330">
        <v>-10.6114</v>
      </c>
      <c r="AD6330">
        <v>9.3509999999998802E-3</v>
      </c>
      <c r="AE6330">
        <v>350.26008000000002</v>
      </c>
      <c r="AF6330">
        <v>-4.3650460146927701</v>
      </c>
      <c r="AG6330">
        <v>9.3509999999998802E-3</v>
      </c>
      <c r="AH6330">
        <v>350.393595332411</v>
      </c>
      <c r="AI6330">
        <v>89.998471058624801</v>
      </c>
      <c r="AJ6330">
        <v>90.713728164281704</v>
      </c>
      <c r="AK6330">
        <v>350.420783293635</v>
      </c>
    </row>
    <row r="6331" spans="1:37" x14ac:dyDescent="0.2">
      <c r="A6331" t="str">
        <f>"20200111153553544"</f>
        <v>20200111153553544</v>
      </c>
      <c r="B6331" t="str">
        <f>"1578728153532057"</f>
        <v>1578728153532057</v>
      </c>
      <c r="C6331" t="s">
        <v>37</v>
      </c>
      <c r="D6331">
        <v>4.6968389999999998</v>
      </c>
      <c r="E6331">
        <v>0.52740569999999998</v>
      </c>
      <c r="F6331" t="s">
        <v>80</v>
      </c>
      <c r="G6331">
        <v>-197.98759999999999</v>
      </c>
      <c r="H6331">
        <v>1.1152040000000001</v>
      </c>
      <c r="I6331">
        <v>391.87</v>
      </c>
      <c r="J6331">
        <v>-187.37739999999999</v>
      </c>
      <c r="K6331">
        <v>1.1034569999999999</v>
      </c>
      <c r="L6331">
        <v>42.136839999999999</v>
      </c>
      <c r="M6331">
        <v>-1.769422E-2</v>
      </c>
      <c r="N6331">
        <v>0</v>
      </c>
      <c r="O6331">
        <v>0.99983080000000002</v>
      </c>
      <c r="P6331">
        <v>-0.10174759999999999</v>
      </c>
      <c r="Q6331">
        <v>0.1211998</v>
      </c>
      <c r="R6331">
        <v>0.98739959999999904</v>
      </c>
      <c r="S6331">
        <v>-9.1827389999999995E-2</v>
      </c>
      <c r="T6331">
        <v>1.01566299999999E-4</v>
      </c>
      <c r="U6331">
        <v>3.0287169999999999</v>
      </c>
      <c r="V6331">
        <v>-8.4235939999999995E-2</v>
      </c>
      <c r="W6331">
        <v>0.1261823</v>
      </c>
      <c r="X6331">
        <v>0.98842419999999998</v>
      </c>
      <c r="Y6331">
        <v>-1.2613920000000001E-2</v>
      </c>
      <c r="Z6331" s="1">
        <v>3.3517529999999899E-5</v>
      </c>
      <c r="AA6331">
        <v>0.99992039999999904</v>
      </c>
      <c r="AB6331">
        <v>54</v>
      </c>
      <c r="AC6331">
        <v>-10.610199999999899</v>
      </c>
      <c r="AD6331">
        <v>1.1747000000000099E-2</v>
      </c>
      <c r="AE6331">
        <v>349.73316</v>
      </c>
      <c r="AF6331">
        <v>-4.4202051597391296</v>
      </c>
      <c r="AG6331">
        <v>1.1747000000000099E-2</v>
      </c>
      <c r="AH6331">
        <v>349.86614734493401</v>
      </c>
      <c r="AI6331">
        <v>89.998076407741607</v>
      </c>
      <c r="AJ6331">
        <v>90.723835754245002</v>
      </c>
      <c r="AK6331">
        <v>349.89406884031803</v>
      </c>
    </row>
    <row r="6332" spans="1:37" x14ac:dyDescent="0.2">
      <c r="A6332" t="str">
        <f>"20200111153553566"</f>
        <v>20200111153553566</v>
      </c>
      <c r="B6332" t="str">
        <f>"1578728153562313"</f>
        <v>1578728153562313</v>
      </c>
      <c r="C6332" t="s">
        <v>37</v>
      </c>
      <c r="D6332">
        <v>4.6166729999999996</v>
      </c>
      <c r="E6332">
        <v>0.52752659999999996</v>
      </c>
      <c r="F6332" t="s">
        <v>80</v>
      </c>
      <c r="G6332">
        <v>-197.88299999999899</v>
      </c>
      <c r="H6332">
        <v>0.98642439999999998</v>
      </c>
      <c r="I6332">
        <v>391.87</v>
      </c>
      <c r="J6332">
        <v>-187.38659999999999</v>
      </c>
      <c r="K6332">
        <v>1.103467</v>
      </c>
      <c r="L6332">
        <v>42.656559999999999</v>
      </c>
      <c r="M6332">
        <v>-1.7560220000000001E-2</v>
      </c>
      <c r="N6332">
        <v>0</v>
      </c>
      <c r="O6332">
        <v>0.99983279999999997</v>
      </c>
      <c r="P6332">
        <v>-0.1019535</v>
      </c>
      <c r="Q6332">
        <v>0.1202845</v>
      </c>
      <c r="R6332">
        <v>0.98749030000000004</v>
      </c>
      <c r="S6332">
        <v>-9.0988159999999998E-2</v>
      </c>
      <c r="T6332">
        <v>-1.013637E-3</v>
      </c>
      <c r="U6332">
        <v>3.0290219999999999</v>
      </c>
      <c r="V6332">
        <v>-8.4565899999999999E-2</v>
      </c>
      <c r="W6332">
        <v>0.12534919999999999</v>
      </c>
      <c r="X6332">
        <v>0.98850199999999999</v>
      </c>
      <c r="Y6332">
        <v>-1.2468079999999999E-2</v>
      </c>
      <c r="Z6332">
        <v>-3.3447570000000001E-4</v>
      </c>
      <c r="AA6332">
        <v>0.99992219999999998</v>
      </c>
      <c r="AB6332">
        <v>54</v>
      </c>
      <c r="AC6332">
        <v>-10.4963999999999</v>
      </c>
      <c r="AD6332">
        <v>-0.117042599999999</v>
      </c>
      <c r="AE6332">
        <v>349.21343999999999</v>
      </c>
      <c r="AF6332">
        <v>-4.36243641438781</v>
      </c>
      <c r="AG6332">
        <v>-0.117042599999999</v>
      </c>
      <c r="AH6332">
        <v>349.34387477124602</v>
      </c>
      <c r="AI6332">
        <v>90.019194622931707</v>
      </c>
      <c r="AJ6332">
        <v>90.715444643548906</v>
      </c>
      <c r="AK6332">
        <v>349.37113130684901</v>
      </c>
    </row>
    <row r="6333" spans="1:37" x14ac:dyDescent="0.2">
      <c r="A6333" t="str">
        <f>"20200111153553588"</f>
        <v>20200111153553588</v>
      </c>
      <c r="B6333" t="str">
        <f>"1578728153581833"</f>
        <v>1578728153581833</v>
      </c>
      <c r="C6333" t="s">
        <v>37</v>
      </c>
      <c r="D6333">
        <v>4.683897</v>
      </c>
      <c r="E6333">
        <v>0.52762759999999997</v>
      </c>
      <c r="F6333" t="s">
        <v>80</v>
      </c>
      <c r="G6333">
        <v>-197.82980000000001</v>
      </c>
      <c r="H6333">
        <v>0.45501899999999901</v>
      </c>
      <c r="I6333">
        <v>391.87</v>
      </c>
      <c r="J6333">
        <v>-187.39619999999999</v>
      </c>
      <c r="K6333">
        <v>1.1034790000000001</v>
      </c>
      <c r="L6333">
        <v>43.200319999999998</v>
      </c>
      <c r="M6333">
        <v>-1.7419230000000001E-2</v>
      </c>
      <c r="N6333">
        <v>0</v>
      </c>
      <c r="O6333">
        <v>0.99983469999999997</v>
      </c>
      <c r="P6333">
        <v>-0.1019171</v>
      </c>
      <c r="Q6333">
        <v>0.1202974</v>
      </c>
      <c r="R6333">
        <v>0.987492499999999</v>
      </c>
      <c r="S6333">
        <v>-9.0591430000000001E-2</v>
      </c>
      <c r="T6333">
        <v>-5.6251290000000004E-3</v>
      </c>
      <c r="U6333">
        <v>3.0293269999999999</v>
      </c>
      <c r="V6333">
        <v>-8.4661559999999997E-2</v>
      </c>
      <c r="W6333">
        <v>0.1254835</v>
      </c>
      <c r="X6333">
        <v>0.98847680000000004</v>
      </c>
      <c r="Y6333">
        <v>-1.2475170000000001E-2</v>
      </c>
      <c r="Z6333">
        <v>-1.8559779999999899E-3</v>
      </c>
      <c r="AA6333">
        <v>0.99992049999999999</v>
      </c>
      <c r="AB6333">
        <v>54</v>
      </c>
      <c r="AC6333">
        <v>-10.4336</v>
      </c>
      <c r="AD6333">
        <v>-0.64846000000000004</v>
      </c>
      <c r="AE6333">
        <v>348.66968000000003</v>
      </c>
      <c r="AF6333">
        <v>-4.3583620646606702</v>
      </c>
      <c r="AG6333">
        <v>-0.64846000000000004</v>
      </c>
      <c r="AH6333">
        <v>348.79731857339698</v>
      </c>
      <c r="AI6333">
        <v>90.1065119375249</v>
      </c>
      <c r="AJ6333">
        <v>90.715896434282499</v>
      </c>
      <c r="AK6333">
        <v>348.82514998814202</v>
      </c>
    </row>
    <row r="6334" spans="1:37" x14ac:dyDescent="0.2">
      <c r="A6334" t="str">
        <f>"20200111153553613"</f>
        <v>20200111153553613</v>
      </c>
      <c r="B6334" t="str">
        <f>"1578728153602330"</f>
        <v>1578728153602330</v>
      </c>
      <c r="C6334" t="s">
        <v>37</v>
      </c>
      <c r="D6334">
        <v>4.6573039999999999</v>
      </c>
      <c r="E6334">
        <v>0.52761169999999902</v>
      </c>
      <c r="F6334" t="s">
        <v>80</v>
      </c>
      <c r="G6334">
        <v>-197.75540000000001</v>
      </c>
      <c r="H6334">
        <v>0.26376339999999998</v>
      </c>
      <c r="I6334">
        <v>391.87</v>
      </c>
      <c r="J6334">
        <v>-187.4067</v>
      </c>
      <c r="K6334">
        <v>1.1035059999999901</v>
      </c>
      <c r="L6334">
        <v>43.807769999999998</v>
      </c>
      <c r="M6334">
        <v>-1.7261309999999998E-2</v>
      </c>
      <c r="N6334">
        <v>0</v>
      </c>
      <c r="O6334">
        <v>0.99983619999999995</v>
      </c>
      <c r="P6334">
        <v>-0.1014996</v>
      </c>
      <c r="Q6334">
        <v>0.1197286</v>
      </c>
      <c r="R6334">
        <v>0.98760460000000005</v>
      </c>
      <c r="S6334">
        <v>-9.0011599999999997E-2</v>
      </c>
      <c r="T6334">
        <v>-7.2963239999999999E-3</v>
      </c>
      <c r="U6334">
        <v>3.0296020000000001</v>
      </c>
      <c r="V6334">
        <v>-8.4391450000000007E-2</v>
      </c>
      <c r="W6334">
        <v>0.12513540000000001</v>
      </c>
      <c r="X6334">
        <v>0.98854399999999998</v>
      </c>
      <c r="Y6334">
        <v>-1.243913E-2</v>
      </c>
      <c r="Z6334">
        <v>-2.4071750000000001E-3</v>
      </c>
      <c r="AA6334">
        <v>0.99991969999999997</v>
      </c>
      <c r="AB6334">
        <v>54</v>
      </c>
      <c r="AC6334">
        <v>-10.348699999999999</v>
      </c>
      <c r="AD6334">
        <v>-0.83974259999999901</v>
      </c>
      <c r="AE6334">
        <v>348.06223</v>
      </c>
      <c r="AF6334">
        <v>-4.3390338602093799</v>
      </c>
      <c r="AG6334">
        <v>-0.83974259999999901</v>
      </c>
      <c r="AH6334">
        <v>348.18698138565799</v>
      </c>
      <c r="AI6334">
        <v>90.138172535623696</v>
      </c>
      <c r="AJ6334">
        <v>90.713971149205094</v>
      </c>
      <c r="AK6334">
        <v>348.21502895327598</v>
      </c>
    </row>
    <row r="6335" spans="1:37" x14ac:dyDescent="0.2">
      <c r="A6335" t="str">
        <f>"20200111153553634"</f>
        <v>20200111153553634</v>
      </c>
      <c r="B6335" t="str">
        <f>"1578728153621848"</f>
        <v>1578728153621848</v>
      </c>
      <c r="C6335" t="s">
        <v>37</v>
      </c>
      <c r="D6335">
        <v>4.6455299999999999</v>
      </c>
      <c r="E6335">
        <v>0.52763899999999997</v>
      </c>
      <c r="F6335" t="s">
        <v>46</v>
      </c>
      <c r="G6335">
        <v>-196.62299999999999</v>
      </c>
      <c r="H6335" s="1">
        <v>-6.029675E-6</v>
      </c>
      <c r="I6335">
        <v>358.72800000000001</v>
      </c>
      <c r="J6335">
        <v>-187.41569999999999</v>
      </c>
      <c r="K6335">
        <v>1.1035539999999999</v>
      </c>
      <c r="L6335">
        <v>44.328670000000002</v>
      </c>
      <c r="M6335">
        <v>-1.7125609999999999E-2</v>
      </c>
      <c r="N6335">
        <v>0</v>
      </c>
      <c r="O6335">
        <v>0.99983690000000003</v>
      </c>
      <c r="P6335">
        <v>-0.1015814</v>
      </c>
      <c r="Q6335">
        <v>0.1181372</v>
      </c>
      <c r="R6335">
        <v>0.98778779999999999</v>
      </c>
      <c r="S6335">
        <v>-8.8668819999999995E-2</v>
      </c>
      <c r="T6335">
        <v>-1.0616779999999999E-2</v>
      </c>
      <c r="U6335">
        <v>3.0298159999999998</v>
      </c>
      <c r="V6335">
        <v>-8.459991E-2</v>
      </c>
      <c r="W6335">
        <v>0.123847499999999</v>
      </c>
      <c r="X6335">
        <v>0.98868829999999996</v>
      </c>
      <c r="Y6335">
        <v>-1.2129859999999999E-2</v>
      </c>
      <c r="Z6335">
        <v>-3.50243E-3</v>
      </c>
      <c r="AA6335">
        <v>0.99992029999999998</v>
      </c>
      <c r="AB6335">
        <v>55</v>
      </c>
      <c r="AC6335">
        <v>-9.2073</v>
      </c>
      <c r="AD6335">
        <v>-1.1035600296750001</v>
      </c>
      <c r="AE6335">
        <v>314.39933000000002</v>
      </c>
      <c r="AF6335">
        <v>-3.8215337770800502</v>
      </c>
      <c r="AG6335">
        <v>-1.1035600296750001</v>
      </c>
      <c r="AH6335">
        <v>314.507032215219</v>
      </c>
      <c r="AI6335">
        <v>90.201027001120096</v>
      </c>
      <c r="AJ6335">
        <v>90.696159256600595</v>
      </c>
      <c r="AK6335">
        <v>314.53218480462903</v>
      </c>
    </row>
    <row r="6336" spans="1:37" x14ac:dyDescent="0.2">
      <c r="A6336" t="str">
        <f>"20200111153553656"</f>
        <v>20200111153553656</v>
      </c>
      <c r="B6336" t="str">
        <f>"1578728153652105"</f>
        <v>1578728153652105</v>
      </c>
      <c r="C6336" t="s">
        <v>37</v>
      </c>
      <c r="D6336">
        <v>4.642188</v>
      </c>
      <c r="E6336">
        <v>0.52770109999999903</v>
      </c>
      <c r="F6336" t="s">
        <v>39</v>
      </c>
      <c r="G6336">
        <v>-193.38290000000001</v>
      </c>
      <c r="H6336" s="1">
        <v>-4.7112949999999998E-6</v>
      </c>
      <c r="I6336">
        <v>247.99199999999999</v>
      </c>
      <c r="J6336">
        <v>-187.4246</v>
      </c>
      <c r="K6336">
        <v>1.103631</v>
      </c>
      <c r="L6336">
        <v>44.84796</v>
      </c>
      <c r="M6336">
        <v>-1.6989560000000001E-2</v>
      </c>
      <c r="N6336">
        <v>0</v>
      </c>
      <c r="O6336">
        <v>0.99983659999999996</v>
      </c>
      <c r="P6336">
        <v>-0.1015321</v>
      </c>
      <c r="Q6336">
        <v>0.116050399999999</v>
      </c>
      <c r="R6336">
        <v>0.98804029999999998</v>
      </c>
      <c r="S6336">
        <v>-8.8775629999999994E-2</v>
      </c>
      <c r="T6336">
        <v>-1.6417859999999999E-2</v>
      </c>
      <c r="U6336">
        <v>3.029938</v>
      </c>
      <c r="V6336">
        <v>-8.4676639999999997E-2</v>
      </c>
      <c r="W6336">
        <v>0.12220689999999999</v>
      </c>
      <c r="X6336">
        <v>0.98888589999999998</v>
      </c>
      <c r="Y6336">
        <v>-1.229967E-2</v>
      </c>
      <c r="Z6336">
        <v>-5.4159280000000004E-3</v>
      </c>
      <c r="AA6336">
        <v>0.99990970000000001</v>
      </c>
      <c r="AB6336">
        <v>55</v>
      </c>
      <c r="AC6336">
        <v>-5.9583000000000004</v>
      </c>
      <c r="AD6336">
        <v>-1.1036357112949999</v>
      </c>
      <c r="AE6336">
        <v>203.14403999999999</v>
      </c>
      <c r="AF6336">
        <v>-2.5059724331775999</v>
      </c>
      <c r="AG6336">
        <v>-1.1036357112949999</v>
      </c>
      <c r="AH6336">
        <v>203.209956726439</v>
      </c>
      <c r="AI6336">
        <v>90.311147348302299</v>
      </c>
      <c r="AJ6336">
        <v>90.706532142917993</v>
      </c>
      <c r="AK6336">
        <v>203.228404565848</v>
      </c>
    </row>
    <row r="6337" spans="1:37" x14ac:dyDescent="0.2">
      <c r="A6337" t="str">
        <f>"20200111153553677"</f>
        <v>20200111153553677</v>
      </c>
      <c r="B6337" t="str">
        <f>"1578728153671626"</f>
        <v>1578728153671626</v>
      </c>
      <c r="C6337" t="s">
        <v>37</v>
      </c>
      <c r="D6337">
        <v>4.6300099999999897</v>
      </c>
      <c r="E6337">
        <v>0.52772959999999902</v>
      </c>
      <c r="F6337" t="s">
        <v>39</v>
      </c>
      <c r="G6337">
        <v>-191.48939999999999</v>
      </c>
      <c r="H6337" s="1">
        <v>-2.75399099999999E-6</v>
      </c>
      <c r="I6337">
        <v>185.0849</v>
      </c>
      <c r="J6337">
        <v>-187.43350000000001</v>
      </c>
      <c r="K6337">
        <v>1.103742</v>
      </c>
      <c r="L6337">
        <v>45.377409999999998</v>
      </c>
      <c r="M6337">
        <v>-1.6850070000000002E-2</v>
      </c>
      <c r="N6337">
        <v>0</v>
      </c>
      <c r="O6337">
        <v>0.99983480000000002</v>
      </c>
      <c r="P6337">
        <v>-0.1008473</v>
      </c>
      <c r="Q6337">
        <v>0.1137888</v>
      </c>
      <c r="R6337">
        <v>0.98837339999999996</v>
      </c>
      <c r="S6337">
        <v>-8.7829589999999999E-2</v>
      </c>
      <c r="T6337">
        <v>-2.384615E-2</v>
      </c>
      <c r="U6337">
        <v>3.03009</v>
      </c>
      <c r="V6337">
        <v>-8.412066E-2</v>
      </c>
      <c r="W6337">
        <v>0.1205721</v>
      </c>
      <c r="X6337">
        <v>0.98913399999999996</v>
      </c>
      <c r="Y6337">
        <v>-1.2125240000000001E-2</v>
      </c>
      <c r="Z6337">
        <v>-7.8659219999999992E-3</v>
      </c>
      <c r="AA6337">
        <v>0.9998956</v>
      </c>
      <c r="AB6337">
        <v>55</v>
      </c>
      <c r="AC6337">
        <v>-4.0558999999999799</v>
      </c>
      <c r="AD6337">
        <v>-1.1037447539909999</v>
      </c>
      <c r="AE6337">
        <v>139.70748999999901</v>
      </c>
      <c r="AF6337">
        <v>-1.7010824021934701</v>
      </c>
      <c r="AG6337">
        <v>-1.1037447539909999</v>
      </c>
      <c r="AH6337">
        <v>139.747283080968</v>
      </c>
      <c r="AI6337">
        <v>90.452487628940403</v>
      </c>
      <c r="AJ6337">
        <v>90.697401958017295</v>
      </c>
      <c r="AK6337">
        <v>139.76199434157101</v>
      </c>
    </row>
    <row r="6338" spans="1:37" x14ac:dyDescent="0.2">
      <c r="A6338" t="str">
        <f>"20200111153553700"</f>
        <v>20200111153553700</v>
      </c>
      <c r="B6338" t="str">
        <f>"1578728153692122"</f>
        <v>1578728153692122</v>
      </c>
      <c r="C6338" t="s">
        <v>37</v>
      </c>
      <c r="D6338">
        <v>4.6538570000000004</v>
      </c>
      <c r="E6338">
        <v>0.52773300000000001</v>
      </c>
      <c r="F6338" t="s">
        <v>51</v>
      </c>
      <c r="G6338">
        <v>-190.4196</v>
      </c>
      <c r="H6338" s="1">
        <v>-1.1519819999999901E-5</v>
      </c>
      <c r="I6338">
        <v>151.36539999999999</v>
      </c>
      <c r="J6338">
        <v>-187.44290000000001</v>
      </c>
      <c r="K6338">
        <v>1.1038840000000001</v>
      </c>
      <c r="L6338">
        <v>45.936579999999999</v>
      </c>
      <c r="M6338">
        <v>-1.671431E-2</v>
      </c>
      <c r="N6338">
        <v>0</v>
      </c>
      <c r="O6338">
        <v>0.99983120000000003</v>
      </c>
      <c r="P6338">
        <v>-0.1000433</v>
      </c>
      <c r="Q6338">
        <v>0.11160050000000001</v>
      </c>
      <c r="R6338">
        <v>0.98870460000000004</v>
      </c>
      <c r="S6338">
        <v>-8.5372920000000005E-2</v>
      </c>
      <c r="T6338">
        <v>-3.155649E-2</v>
      </c>
      <c r="U6338">
        <v>3.0302119999999899</v>
      </c>
      <c r="V6338">
        <v>-8.3441710000000002E-2</v>
      </c>
      <c r="W6338">
        <v>0.1191987</v>
      </c>
      <c r="X6338">
        <v>0.98935790000000001</v>
      </c>
      <c r="Y6338">
        <v>-1.144911E-2</v>
      </c>
      <c r="Z6338">
        <v>-1.0408799999999999E-2</v>
      </c>
      <c r="AA6338">
        <v>0.99988029999999894</v>
      </c>
      <c r="AB6338">
        <v>55</v>
      </c>
      <c r="AC6338">
        <v>-2.9766999999999899</v>
      </c>
      <c r="AD6338">
        <v>-1.10389551982</v>
      </c>
      <c r="AE6338">
        <v>105.42882</v>
      </c>
      <c r="AF6338">
        <v>-1.2139299048727801</v>
      </c>
      <c r="AG6338">
        <v>-1.10389551982</v>
      </c>
      <c r="AH6338">
        <v>105.45229458594601</v>
      </c>
      <c r="AI6338">
        <v>90.599721935596094</v>
      </c>
      <c r="AJ6338">
        <v>90.659539826469896</v>
      </c>
      <c r="AK6338">
        <v>105.46505888005601</v>
      </c>
    </row>
    <row r="6339" spans="1:37" x14ac:dyDescent="0.2">
      <c r="A6339" t="str">
        <f>"20200111153553723"</f>
        <v>20200111153553723</v>
      </c>
      <c r="B6339" t="str">
        <f>"1578728153711641"</f>
        <v>1578728153711641</v>
      </c>
      <c r="C6339" t="s">
        <v>37</v>
      </c>
      <c r="D6339">
        <v>4.6691209999999996</v>
      </c>
      <c r="E6339">
        <v>0.5277482</v>
      </c>
      <c r="F6339" t="s">
        <v>51</v>
      </c>
      <c r="G6339">
        <v>-189.77590000000001</v>
      </c>
      <c r="H6339" s="1">
        <v>-5.3639569999999997E-6</v>
      </c>
      <c r="I6339">
        <v>131.18510000000001</v>
      </c>
      <c r="J6339">
        <v>-187.4521</v>
      </c>
      <c r="K6339">
        <v>1.10402</v>
      </c>
      <c r="L6339">
        <v>46.491149999999998</v>
      </c>
      <c r="M6339">
        <v>-1.6577169999999999E-2</v>
      </c>
      <c r="N6339">
        <v>0</v>
      </c>
      <c r="O6339">
        <v>0.99982660000000001</v>
      </c>
      <c r="P6339">
        <v>-9.9332680000000007E-2</v>
      </c>
      <c r="Q6339">
        <v>0.1096825</v>
      </c>
      <c r="R6339">
        <v>0.98899079999999995</v>
      </c>
      <c r="S6339">
        <v>-8.2931519999999995E-2</v>
      </c>
      <c r="T6339">
        <v>-3.9239650000000001E-2</v>
      </c>
      <c r="U6339">
        <v>3.0303040000000001</v>
      </c>
      <c r="V6339">
        <v>-8.2859829999999995E-2</v>
      </c>
      <c r="W6339">
        <v>0.118128199999999</v>
      </c>
      <c r="X6339">
        <v>0.98953519999999995</v>
      </c>
      <c r="Y6339">
        <v>-1.0779540000000001E-2</v>
      </c>
      <c r="Z6339">
        <v>-1.2942530000000001E-2</v>
      </c>
      <c r="AA6339">
        <v>0.99985809999999997</v>
      </c>
      <c r="AB6339">
        <v>55</v>
      </c>
      <c r="AC6339">
        <v>-2.3237999999999999</v>
      </c>
      <c r="AD6339">
        <v>-1.1040253639569999</v>
      </c>
      <c r="AE6339">
        <v>84.693950000000001</v>
      </c>
      <c r="AF6339">
        <v>-0.91928804045097401</v>
      </c>
      <c r="AG6339">
        <v>-1.1040253639569999</v>
      </c>
      <c r="AH6339">
        <v>84.706451934132701</v>
      </c>
      <c r="AI6339">
        <v>90.746680881368604</v>
      </c>
      <c r="AJ6339">
        <v>90.621785660339</v>
      </c>
      <c r="AK6339">
        <v>84.7186340882282</v>
      </c>
    </row>
    <row r="6340" spans="1:37" x14ac:dyDescent="0.2">
      <c r="A6340" t="str">
        <f>"20200111153553744"</f>
        <v>20200111153553744</v>
      </c>
      <c r="B6340" t="str">
        <f>"1578728153731855"</f>
        <v>1578728153731855</v>
      </c>
      <c r="C6340" t="s">
        <v>37</v>
      </c>
      <c r="D6340">
        <v>4.6846759999999996</v>
      </c>
      <c r="E6340">
        <v>0.52776040000000002</v>
      </c>
      <c r="F6340" t="s">
        <v>39</v>
      </c>
      <c r="G6340">
        <v>-189.38470000000001</v>
      </c>
      <c r="H6340" s="1">
        <v>-4.3016940000000001E-6</v>
      </c>
      <c r="I6340">
        <v>119.4057</v>
      </c>
      <c r="J6340">
        <v>-187.4607</v>
      </c>
      <c r="K6340">
        <v>1.1041219999999901</v>
      </c>
      <c r="L6340">
        <v>47.013030000000001</v>
      </c>
      <c r="M6340">
        <v>-1.6440400000000001E-2</v>
      </c>
      <c r="N6340">
        <v>0</v>
      </c>
      <c r="O6340">
        <v>0.99982209999999905</v>
      </c>
      <c r="P6340">
        <v>-9.9355299999999994E-2</v>
      </c>
      <c r="Q6340">
        <v>0.1077746</v>
      </c>
      <c r="R6340">
        <v>0.98919829999999997</v>
      </c>
      <c r="S6340">
        <v>-8.0322270000000001E-2</v>
      </c>
      <c r="T6340">
        <v>-4.5884729999999999E-2</v>
      </c>
      <c r="U6340">
        <v>3.0304259999999998</v>
      </c>
      <c r="V6340">
        <v>-8.3014229999999994E-2</v>
      </c>
      <c r="W6340">
        <v>0.1169742</v>
      </c>
      <c r="X6340">
        <v>0.98965939999999997</v>
      </c>
      <c r="Y6340">
        <v>-1.005402E-2</v>
      </c>
      <c r="Z6340">
        <v>-1.5133499999999999E-2</v>
      </c>
      <c r="AA6340">
        <v>0.99983500000000003</v>
      </c>
      <c r="AB6340">
        <v>54</v>
      </c>
      <c r="AC6340">
        <v>-1.9239999999999999</v>
      </c>
      <c r="AD6340">
        <v>-1.10412630169399</v>
      </c>
      <c r="AE6340">
        <v>72.392669999999995</v>
      </c>
      <c r="AF6340">
        <v>-0.733354147703971</v>
      </c>
      <c r="AG6340">
        <v>-1.10412630169399</v>
      </c>
      <c r="AH6340">
        <v>72.3976884820149</v>
      </c>
      <c r="AI6340">
        <v>90.873696798060493</v>
      </c>
      <c r="AJ6340">
        <v>90.580359144064204</v>
      </c>
      <c r="AK6340">
        <v>72.409821162152497</v>
      </c>
    </row>
    <row r="6341" spans="1:37" x14ac:dyDescent="0.2">
      <c r="A6341" t="str">
        <f>"20200111153553766"</f>
        <v>20200111153553766</v>
      </c>
      <c r="B6341" t="str">
        <f>"1578728153762112"</f>
        <v>1578728153762112</v>
      </c>
      <c r="C6341" t="s">
        <v>37</v>
      </c>
      <c r="D6341">
        <v>4.6706339999999997</v>
      </c>
      <c r="E6341">
        <v>0.52776000000000001</v>
      </c>
      <c r="F6341" t="s">
        <v>39</v>
      </c>
      <c r="G6341">
        <v>-189.14429999999999</v>
      </c>
      <c r="H6341" s="1">
        <v>-6.7249289999999999E-7</v>
      </c>
      <c r="I6341">
        <v>110.84650000000001</v>
      </c>
      <c r="J6341">
        <v>-187.4693</v>
      </c>
      <c r="K6341">
        <v>1.104196</v>
      </c>
      <c r="L6341">
        <v>47.545349999999999</v>
      </c>
      <c r="M6341">
        <v>-1.6294019999999999E-2</v>
      </c>
      <c r="N6341">
        <v>0</v>
      </c>
      <c r="O6341">
        <v>0.99981769999999903</v>
      </c>
      <c r="P6341">
        <v>-9.9385310000000004E-2</v>
      </c>
      <c r="Q6341">
        <v>0.106613899999999</v>
      </c>
      <c r="R6341">
        <v>0.98932099999999901</v>
      </c>
      <c r="S6341">
        <v>-7.9925540000000003E-2</v>
      </c>
      <c r="T6341">
        <v>-5.2417039999999998E-2</v>
      </c>
      <c r="U6341">
        <v>3.0304259999999998</v>
      </c>
      <c r="V6341">
        <v>-8.3186739999999995E-2</v>
      </c>
      <c r="W6341">
        <v>0.1165144</v>
      </c>
      <c r="X6341">
        <v>0.98969910000000005</v>
      </c>
      <c r="Y6341">
        <v>-1.0068590000000001E-2</v>
      </c>
      <c r="Z6341">
        <v>-1.7287449999999999E-2</v>
      </c>
      <c r="AA6341">
        <v>0.99979979999999902</v>
      </c>
      <c r="AB6341">
        <v>54</v>
      </c>
      <c r="AC6341">
        <v>-1.6749999999999801</v>
      </c>
      <c r="AD6341">
        <v>-1.1041966724929</v>
      </c>
      <c r="AE6341">
        <v>63.30115</v>
      </c>
      <c r="AF6341">
        <v>-0.643100766287801</v>
      </c>
      <c r="AG6341">
        <v>-1.1041966724929</v>
      </c>
      <c r="AH6341">
        <v>63.300791850380499</v>
      </c>
      <c r="AI6341">
        <v>90.999294445288299</v>
      </c>
      <c r="AJ6341">
        <v>90.582073162129802</v>
      </c>
      <c r="AK6341">
        <v>63.313687917956102</v>
      </c>
    </row>
    <row r="6342" spans="1:37" x14ac:dyDescent="0.2">
      <c r="A6342" t="str">
        <f>"20200111153553789"</f>
        <v>20200111153553789</v>
      </c>
      <c r="B6342" t="str">
        <f>"1578728153781632"</f>
        <v>1578728153781632</v>
      </c>
      <c r="C6342" t="s">
        <v>37</v>
      </c>
      <c r="D6342">
        <v>4.690658</v>
      </c>
      <c r="E6342">
        <v>0.52777059999999998</v>
      </c>
      <c r="F6342" t="s">
        <v>39</v>
      </c>
      <c r="G6342">
        <v>-189.0343</v>
      </c>
      <c r="H6342" s="1">
        <v>-3.2421299999999998E-6</v>
      </c>
      <c r="I6342">
        <v>106.79089999999999</v>
      </c>
      <c r="J6342">
        <v>-187.4786</v>
      </c>
      <c r="K6342">
        <v>1.1042540000000001</v>
      </c>
      <c r="L6342">
        <v>48.119199999999999</v>
      </c>
      <c r="M6342">
        <v>-1.613208E-2</v>
      </c>
      <c r="N6342">
        <v>0</v>
      </c>
      <c r="O6342">
        <v>0.99981330000000002</v>
      </c>
      <c r="P6342">
        <v>-9.9343749999999995E-2</v>
      </c>
      <c r="Q6342">
        <v>0.10505539999999899</v>
      </c>
      <c r="R6342">
        <v>0.98949189999999998</v>
      </c>
      <c r="S6342">
        <v>-8.0047610000000005E-2</v>
      </c>
      <c r="T6342">
        <v>-5.6480049999999997E-2</v>
      </c>
      <c r="U6342">
        <v>3.0304259999999998</v>
      </c>
      <c r="V6342">
        <v>-8.3303409999999994E-2</v>
      </c>
      <c r="W6342">
        <v>0.1156373</v>
      </c>
      <c r="X6342">
        <v>0.98979219999999901</v>
      </c>
      <c r="Y6342">
        <v>-1.0270039999999999E-2</v>
      </c>
      <c r="Z6342">
        <v>-1.8627049999999999E-2</v>
      </c>
      <c r="AA6342">
        <v>0.99977369999999899</v>
      </c>
      <c r="AB6342">
        <v>54</v>
      </c>
      <c r="AC6342">
        <v>-1.5557000000000001</v>
      </c>
      <c r="AD6342">
        <v>-1.1042572421300001</v>
      </c>
      <c r="AE6342">
        <v>58.671700000000001</v>
      </c>
      <c r="AF6342">
        <v>-0.60873195751306197</v>
      </c>
      <c r="AG6342">
        <v>-1.1042572421300001</v>
      </c>
      <c r="AH6342">
        <v>58.668394855916901</v>
      </c>
      <c r="AI6342">
        <v>91.078236511539899</v>
      </c>
      <c r="AJ6342">
        <v>90.594468632902803</v>
      </c>
      <c r="AK6342">
        <v>58.6819435058406</v>
      </c>
    </row>
    <row r="6343" spans="1:37" x14ac:dyDescent="0.2">
      <c r="A6343" t="str">
        <f>"20200111153553811"</f>
        <v>20200111153553811</v>
      </c>
      <c r="B6343" t="str">
        <f>"1578728153802127"</f>
        <v>1578728153802127</v>
      </c>
      <c r="C6343" t="s">
        <v>37</v>
      </c>
      <c r="D6343">
        <v>4.6928859999999997</v>
      </c>
      <c r="E6343">
        <v>0.52781449999999996</v>
      </c>
      <c r="F6343" t="s">
        <v>39</v>
      </c>
      <c r="G6343">
        <v>-188.9041</v>
      </c>
      <c r="H6343" s="1">
        <v>-1.2812299999999899E-6</v>
      </c>
      <c r="I6343">
        <v>102.1662</v>
      </c>
      <c r="J6343">
        <v>-187.4872</v>
      </c>
      <c r="K6343">
        <v>1.1042860000000001</v>
      </c>
      <c r="L6343">
        <v>48.654940000000003</v>
      </c>
      <c r="M6343">
        <v>-1.5980520000000002E-2</v>
      </c>
      <c r="N6343">
        <v>0</v>
      </c>
      <c r="O6343">
        <v>0.99980939999999996</v>
      </c>
      <c r="P6343">
        <v>-9.9680649999999996E-2</v>
      </c>
      <c r="Q6343">
        <v>0.1043796</v>
      </c>
      <c r="R6343">
        <v>0.98952960000000001</v>
      </c>
      <c r="S6343">
        <v>-7.9925540000000003E-2</v>
      </c>
      <c r="T6343">
        <v>-6.1915159999999997E-2</v>
      </c>
      <c r="U6343">
        <v>3.0303960000000001</v>
      </c>
      <c r="V6343">
        <v>-8.3789619999999995E-2</v>
      </c>
      <c r="W6343">
        <v>0.1155316</v>
      </c>
      <c r="X6343">
        <v>0.98976350000000002</v>
      </c>
      <c r="Y6343">
        <v>-1.038063E-2</v>
      </c>
      <c r="Z6343">
        <v>-2.0419110000000001E-2</v>
      </c>
      <c r="AA6343">
        <v>0.9997376</v>
      </c>
      <c r="AB6343">
        <v>54</v>
      </c>
      <c r="AC6343">
        <v>-1.4168999999999901</v>
      </c>
      <c r="AD6343">
        <v>-1.10428728123</v>
      </c>
      <c r="AE6343">
        <v>53.51126</v>
      </c>
      <c r="AF6343">
        <v>-0.56128862892678</v>
      </c>
      <c r="AG6343">
        <v>-1.10428728123</v>
      </c>
      <c r="AH6343">
        <v>53.504300412859301</v>
      </c>
      <c r="AI6343">
        <v>91.1823075645204</v>
      </c>
      <c r="AJ6343">
        <v>90.6010412177273</v>
      </c>
      <c r="AK6343">
        <v>53.518638416853797</v>
      </c>
    </row>
    <row r="6344" spans="1:37" x14ac:dyDescent="0.2">
      <c r="A6344" t="str">
        <f>"20200111153553833"</f>
        <v>20200111153553833</v>
      </c>
      <c r="B6344" t="str">
        <f>"1578728153822191"</f>
        <v>1578728153822191</v>
      </c>
      <c r="C6344" t="s">
        <v>37</v>
      </c>
      <c r="D6344">
        <v>4.7085330000000001</v>
      </c>
      <c r="E6344">
        <v>0.52782669999999998</v>
      </c>
      <c r="F6344" t="s">
        <v>39</v>
      </c>
      <c r="G6344">
        <v>-188.87870000000001</v>
      </c>
      <c r="H6344" s="1">
        <v>-7.8800280000000001E-7</v>
      </c>
      <c r="I6344">
        <v>101.006</v>
      </c>
      <c r="J6344">
        <v>-187.49539999999999</v>
      </c>
      <c r="K6344">
        <v>1.104306</v>
      </c>
      <c r="L6344">
        <v>49.179470000000002</v>
      </c>
      <c r="M6344">
        <v>-1.583352E-2</v>
      </c>
      <c r="N6344">
        <v>0</v>
      </c>
      <c r="O6344">
        <v>0.99980599999999997</v>
      </c>
      <c r="P6344">
        <v>-0.10022060000000001</v>
      </c>
      <c r="Q6344">
        <v>0.10276109999999999</v>
      </c>
      <c r="R6344">
        <v>0.98964430000000003</v>
      </c>
      <c r="S6344">
        <v>-8.0551150000000002E-2</v>
      </c>
      <c r="T6344">
        <v>-6.392217E-2</v>
      </c>
      <c r="U6344">
        <v>3.0303650000000002</v>
      </c>
      <c r="V6344">
        <v>-8.4473129999999994E-2</v>
      </c>
      <c r="W6344">
        <v>0.11441519999999999</v>
      </c>
      <c r="X6344">
        <v>0.98983509999999997</v>
      </c>
      <c r="Y6344">
        <v>-1.0733700000000001E-2</v>
      </c>
      <c r="Z6344">
        <v>-2.10809E-2</v>
      </c>
      <c r="AA6344">
        <v>0.99972019999999995</v>
      </c>
      <c r="AB6344">
        <v>54</v>
      </c>
      <c r="AC6344">
        <v>-1.38330000000001</v>
      </c>
      <c r="AD6344">
        <v>-1.1043067880027999</v>
      </c>
      <c r="AE6344">
        <v>51.826529999999998</v>
      </c>
      <c r="AF6344">
        <v>-0.56221876799956705</v>
      </c>
      <c r="AG6344">
        <v>-1.1043067880027999</v>
      </c>
      <c r="AH6344">
        <v>51.818426381567598</v>
      </c>
      <c r="AI6344">
        <v>91.220778486631502</v>
      </c>
      <c r="AJ6344">
        <v>90.621622478768899</v>
      </c>
      <c r="AK6344">
        <v>51.833241226910097</v>
      </c>
    </row>
    <row r="6345" spans="1:37" x14ac:dyDescent="0.2">
      <c r="A6345" t="str">
        <f>"20200111153553856"</f>
        <v>20200111153553856</v>
      </c>
      <c r="B6345" t="str">
        <f>"1578728153852445"</f>
        <v>1578728153852445</v>
      </c>
      <c r="C6345" t="s">
        <v>37</v>
      </c>
      <c r="D6345">
        <v>4.6645070000000004</v>
      </c>
      <c r="E6345">
        <v>0.52784319999999996</v>
      </c>
      <c r="F6345" t="s">
        <v>39</v>
      </c>
      <c r="G6345">
        <v>-188.80250000000001</v>
      </c>
      <c r="H6345" s="1">
        <v>-3.6923000000000002E-6</v>
      </c>
      <c r="I6345">
        <v>97.744479999999996</v>
      </c>
      <c r="J6345">
        <v>-187.50380000000001</v>
      </c>
      <c r="K6345">
        <v>1.10432</v>
      </c>
      <c r="L6345">
        <v>49.714570000000002</v>
      </c>
      <c r="M6345">
        <v>-1.5685339999999999E-2</v>
      </c>
      <c r="N6345">
        <v>0</v>
      </c>
      <c r="O6345">
        <v>0.99980279999999999</v>
      </c>
      <c r="P6345">
        <v>-0.1007296</v>
      </c>
      <c r="Q6345">
        <v>0.102034</v>
      </c>
      <c r="R6345">
        <v>0.98966799999999999</v>
      </c>
      <c r="S6345">
        <v>-8.1558229999999995E-2</v>
      </c>
      <c r="T6345">
        <v>-6.8905469999999996E-2</v>
      </c>
      <c r="U6345">
        <v>3.0303040000000001</v>
      </c>
      <c r="V6345">
        <v>-8.5128570000000001E-2</v>
      </c>
      <c r="W6345">
        <v>0.114143699999999</v>
      </c>
      <c r="X6345">
        <v>0.98981019999999897</v>
      </c>
      <c r="Y6345">
        <v>-1.121338E-2</v>
      </c>
      <c r="Z6345">
        <v>-2.2723899999999998E-2</v>
      </c>
      <c r="AA6345">
        <v>0.99967890000000004</v>
      </c>
      <c r="AB6345">
        <v>54</v>
      </c>
      <c r="AC6345">
        <v>-1.29869999999999</v>
      </c>
      <c r="AD6345">
        <v>-1.1043236922999999</v>
      </c>
      <c r="AE6345">
        <v>48.029910000000001</v>
      </c>
      <c r="AF6345">
        <v>-0.54483104325069298</v>
      </c>
      <c r="AG6345">
        <v>-1.1043236922999999</v>
      </c>
      <c r="AH6345">
        <v>48.019005665918698</v>
      </c>
      <c r="AI6345">
        <v>91.317350586342897</v>
      </c>
      <c r="AJ6345">
        <v>90.650058855685003</v>
      </c>
      <c r="AK6345">
        <v>48.034792357483902</v>
      </c>
    </row>
    <row r="6346" spans="1:37" x14ac:dyDescent="0.2">
      <c r="A6346" t="str">
        <f>"20200111153553878"</f>
        <v>20200111153553878</v>
      </c>
      <c r="B6346" t="str">
        <f>"1578728153871965"</f>
        <v>1578728153871965</v>
      </c>
      <c r="C6346" t="s">
        <v>37</v>
      </c>
      <c r="D6346">
        <v>4.6582150000000002</v>
      </c>
      <c r="E6346">
        <v>0.52786789999999995</v>
      </c>
      <c r="F6346" t="s">
        <v>39</v>
      </c>
      <c r="G6346">
        <v>-188.797</v>
      </c>
      <c r="H6346" s="1">
        <v>-3.406364E-6</v>
      </c>
      <c r="I6346">
        <v>97.075649999999996</v>
      </c>
      <c r="J6346">
        <v>-187.51240000000001</v>
      </c>
      <c r="K6346">
        <v>1.104333</v>
      </c>
      <c r="L6346">
        <v>50.262419999999999</v>
      </c>
      <c r="M6346">
        <v>-1.553475E-2</v>
      </c>
      <c r="N6346">
        <v>0</v>
      </c>
      <c r="O6346">
        <v>0.99980000000000002</v>
      </c>
      <c r="P6346">
        <v>-0.10121139999999899</v>
      </c>
      <c r="Q6346">
        <v>0.1013492</v>
      </c>
      <c r="R6346">
        <v>0.98968909999999999</v>
      </c>
      <c r="S6346">
        <v>-8.2733150000000005E-2</v>
      </c>
      <c r="T6346">
        <v>-7.0655109999999993E-2</v>
      </c>
      <c r="U6346">
        <v>3.0301819999999999</v>
      </c>
      <c r="V6346">
        <v>-8.5758479999999998E-2</v>
      </c>
      <c r="W6346">
        <v>0.1138718</v>
      </c>
      <c r="X6346">
        <v>0.98978719999999998</v>
      </c>
      <c r="Y6346">
        <v>-1.1751960000000001E-2</v>
      </c>
      <c r="Z6346">
        <v>-2.330142E-2</v>
      </c>
      <c r="AA6346">
        <v>0.99965939999999998</v>
      </c>
      <c r="AB6346">
        <v>54</v>
      </c>
      <c r="AC6346">
        <v>-1.28459999999998</v>
      </c>
      <c r="AD6346">
        <v>-1.104336406364</v>
      </c>
      <c r="AE6346">
        <v>46.813229999999997</v>
      </c>
      <c r="AF6346">
        <v>-0.55684579642584298</v>
      </c>
      <c r="AG6346">
        <v>-1.104336406364</v>
      </c>
      <c r="AH6346">
        <v>46.801512135518102</v>
      </c>
      <c r="AI6346">
        <v>91.351614455360505</v>
      </c>
      <c r="AJ6346">
        <v>90.681674739281505</v>
      </c>
      <c r="AK6346">
        <v>46.817851021917598</v>
      </c>
    </row>
    <row r="6347" spans="1:37" x14ac:dyDescent="0.2">
      <c r="A6347" t="str">
        <f>"20200111153553900"</f>
        <v>20200111153553900</v>
      </c>
      <c r="B6347" t="str">
        <f>"1578728153892462"</f>
        <v>1578728153892462</v>
      </c>
      <c r="C6347" t="s">
        <v>37</v>
      </c>
      <c r="D6347">
        <v>4.6759940000000002</v>
      </c>
      <c r="E6347">
        <v>0.5279026</v>
      </c>
      <c r="F6347" t="s">
        <v>39</v>
      </c>
      <c r="G6347">
        <v>-188.78970000000001</v>
      </c>
      <c r="H6347" s="1">
        <v>-3.13079999999999E-6</v>
      </c>
      <c r="I6347">
        <v>96.430279999999996</v>
      </c>
      <c r="J6347">
        <v>-187.5206</v>
      </c>
      <c r="K6347">
        <v>1.104344</v>
      </c>
      <c r="L6347">
        <v>50.797939999999997</v>
      </c>
      <c r="M6347">
        <v>-1.5387670000000001E-2</v>
      </c>
      <c r="N6347">
        <v>0</v>
      </c>
      <c r="O6347">
        <v>0.99979779999999996</v>
      </c>
      <c r="P6347">
        <v>-0.10255739999999899</v>
      </c>
      <c r="Q6347">
        <v>0.1003691</v>
      </c>
      <c r="R6347">
        <v>0.98965049999999899</v>
      </c>
      <c r="S6347">
        <v>-8.3831790000000003E-2</v>
      </c>
      <c r="T6347">
        <v>-7.2479840000000004E-2</v>
      </c>
      <c r="U6347">
        <v>3.03009</v>
      </c>
      <c r="V6347">
        <v>-8.7250930000000004E-2</v>
      </c>
      <c r="W6347">
        <v>0.1132432</v>
      </c>
      <c r="X6347">
        <v>0.98972890000000002</v>
      </c>
      <c r="Y6347">
        <v>-1.2261589999999999E-2</v>
      </c>
      <c r="Z6347">
        <v>-2.390347E-2</v>
      </c>
      <c r="AA6347">
        <v>0.9996391</v>
      </c>
      <c r="AB6347">
        <v>54</v>
      </c>
      <c r="AC6347">
        <v>-1.2690999999999999</v>
      </c>
      <c r="AD6347">
        <v>-1.1043471307999999</v>
      </c>
      <c r="AE6347">
        <v>45.632339999999999</v>
      </c>
      <c r="AF6347">
        <v>-0.56638401796210602</v>
      </c>
      <c r="AG6347">
        <v>-1.1043471307999999</v>
      </c>
      <c r="AH6347">
        <v>45.6197682174639</v>
      </c>
      <c r="AI6347">
        <v>91.386618204434896</v>
      </c>
      <c r="AJ6347">
        <v>90.711308888219705</v>
      </c>
      <c r="AK6347">
        <v>45.636647835443</v>
      </c>
    </row>
    <row r="6348" spans="1:37" x14ac:dyDescent="0.2">
      <c r="A6348" t="str">
        <f>"20200111153553922"</f>
        <v>20200111153553922</v>
      </c>
      <c r="B6348" t="str">
        <f>"1578728153911984"</f>
        <v>1578728153911984</v>
      </c>
      <c r="C6348" t="s">
        <v>37</v>
      </c>
      <c r="D6348">
        <v>4.6722570000000001</v>
      </c>
      <c r="E6348">
        <v>0.52792810000000001</v>
      </c>
      <c r="F6348" t="s">
        <v>39</v>
      </c>
      <c r="G6348">
        <v>-188.79859999999999</v>
      </c>
      <c r="H6348" s="1">
        <v>-2.5701049999999899E-6</v>
      </c>
      <c r="I6348">
        <v>95.126999999999995</v>
      </c>
      <c r="J6348">
        <v>-187.52879999999999</v>
      </c>
      <c r="K6348">
        <v>1.1043559999999999</v>
      </c>
      <c r="L6348">
        <v>51.341059999999999</v>
      </c>
      <c r="M6348">
        <v>-1.523772E-2</v>
      </c>
      <c r="N6348">
        <v>0</v>
      </c>
      <c r="O6348">
        <v>0.99979599999999902</v>
      </c>
      <c r="P6348">
        <v>-0.1044205</v>
      </c>
      <c r="Q6348">
        <v>9.9086839999999995E-2</v>
      </c>
      <c r="R6348">
        <v>0.98958489999999999</v>
      </c>
      <c r="S6348">
        <v>-8.7356569999999995E-2</v>
      </c>
      <c r="T6348">
        <v>-7.5484750000000003E-2</v>
      </c>
      <c r="U6348">
        <v>3.0299990000000001</v>
      </c>
      <c r="V6348">
        <v>-8.9264040000000003E-2</v>
      </c>
      <c r="W6348">
        <v>0.11227239999999999</v>
      </c>
      <c r="X6348">
        <v>0.98965999999999998</v>
      </c>
      <c r="Y6348">
        <v>-1.357358E-2</v>
      </c>
      <c r="Z6348">
        <v>-2.4894090000000001E-2</v>
      </c>
      <c r="AA6348">
        <v>0.99959799999999999</v>
      </c>
      <c r="AB6348">
        <v>54</v>
      </c>
      <c r="AC6348">
        <v>-1.2698</v>
      </c>
      <c r="AD6348">
        <v>-1.1043585701049901</v>
      </c>
      <c r="AE6348">
        <v>43.785939999999997</v>
      </c>
      <c r="AF6348">
        <v>-0.60201336977556896</v>
      </c>
      <c r="AG6348">
        <v>-1.1043585701049901</v>
      </c>
      <c r="AH6348">
        <v>43.772384233812197</v>
      </c>
      <c r="AI6348">
        <v>91.445104857333106</v>
      </c>
      <c r="AJ6348">
        <v>90.787954582525302</v>
      </c>
      <c r="AK6348">
        <v>43.7904515786404</v>
      </c>
    </row>
    <row r="6349" spans="1:37" x14ac:dyDescent="0.2">
      <c r="A6349" t="str">
        <f>"20200111153553945"</f>
        <v>20200111153553945</v>
      </c>
      <c r="B6349" t="str">
        <f>"1578728153942300"</f>
        <v>1578728153942300</v>
      </c>
      <c r="C6349" t="s">
        <v>37</v>
      </c>
      <c r="D6349">
        <v>4.6613389999999999</v>
      </c>
      <c r="E6349">
        <v>0.52798959999999995</v>
      </c>
      <c r="F6349" t="s">
        <v>39</v>
      </c>
      <c r="G6349">
        <v>-188.82310000000001</v>
      </c>
      <c r="H6349" s="1">
        <v>-1.8695400000000001E-6</v>
      </c>
      <c r="I6349">
        <v>93.504090000000005</v>
      </c>
      <c r="J6349">
        <v>-187.5368</v>
      </c>
      <c r="K6349">
        <v>1.1043590000000001</v>
      </c>
      <c r="L6349">
        <v>51.867800000000003</v>
      </c>
      <c r="M6349">
        <v>-1.509165E-2</v>
      </c>
      <c r="N6349">
        <v>0</v>
      </c>
      <c r="O6349">
        <v>0.99979459999999998</v>
      </c>
      <c r="P6349">
        <v>-0.1060923</v>
      </c>
      <c r="Q6349">
        <v>9.8070710000000005E-2</v>
      </c>
      <c r="R6349">
        <v>0.98950819999999995</v>
      </c>
      <c r="S6349">
        <v>-9.3002319999999999E-2</v>
      </c>
      <c r="T6349">
        <v>-7.9355480000000006E-2</v>
      </c>
      <c r="U6349">
        <v>3.0296939999999899</v>
      </c>
      <c r="V6349">
        <v>-9.1082360000000001E-2</v>
      </c>
      <c r="W6349">
        <v>0.11152039999999901</v>
      </c>
      <c r="X6349">
        <v>0.98957929999999905</v>
      </c>
      <c r="Y6349">
        <v>-1.5582550000000001E-2</v>
      </c>
      <c r="Z6349">
        <v>-2.6171380000000001E-2</v>
      </c>
      <c r="AA6349">
        <v>0.99953599999999998</v>
      </c>
      <c r="AB6349">
        <v>54</v>
      </c>
      <c r="AC6349">
        <v>-1.28630000000001</v>
      </c>
      <c r="AD6349">
        <v>-1.10436086954</v>
      </c>
      <c r="AE6349">
        <v>41.636290000000002</v>
      </c>
      <c r="AF6349">
        <v>-0.65727369763704702</v>
      </c>
      <c r="AG6349">
        <v>-1.10436086954</v>
      </c>
      <c r="AH6349">
        <v>41.621707645088101</v>
      </c>
      <c r="AI6349">
        <v>91.519699580326602</v>
      </c>
      <c r="AJ6349">
        <v>90.904717299089498</v>
      </c>
      <c r="AK6349">
        <v>41.641543786667697</v>
      </c>
    </row>
    <row r="6350" spans="1:37" x14ac:dyDescent="0.2">
      <c r="A6350" t="str">
        <f>"20200111153553960"</f>
        <v>20200111153553960</v>
      </c>
      <c r="B6350" t="str">
        <f>"1578728153952061"</f>
        <v>1578728153952061</v>
      </c>
      <c r="C6350" t="s">
        <v>37</v>
      </c>
      <c r="D6350">
        <v>4.6282259999999997</v>
      </c>
      <c r="E6350">
        <v>0.52802969999999905</v>
      </c>
      <c r="F6350" t="s">
        <v>39</v>
      </c>
      <c r="G6350">
        <v>-188.8484</v>
      </c>
      <c r="H6350" s="1">
        <v>-1.4942019999999899E-6</v>
      </c>
      <c r="I6350">
        <v>92.639619999999994</v>
      </c>
      <c r="J6350">
        <v>-187.54259999999999</v>
      </c>
      <c r="K6350">
        <v>1.1043689999999999</v>
      </c>
      <c r="L6350">
        <v>52.256709999999998</v>
      </c>
      <c r="M6350">
        <v>-1.498349E-2</v>
      </c>
      <c r="N6350">
        <v>0</v>
      </c>
      <c r="O6350">
        <v>0.99979379999999995</v>
      </c>
      <c r="P6350">
        <v>-0.106739599999999</v>
      </c>
      <c r="Q6350">
        <v>9.7709799999999999E-2</v>
      </c>
      <c r="R6350">
        <v>0.98947439999999998</v>
      </c>
      <c r="S6350">
        <v>-9.7457890000000005E-2</v>
      </c>
      <c r="T6350">
        <v>-8.2058430000000002E-2</v>
      </c>
      <c r="U6350">
        <v>3.0295099999999899</v>
      </c>
      <c r="V6350">
        <v>-9.1837360000000007E-2</v>
      </c>
      <c r="W6350">
        <v>0.11133460000000001</v>
      </c>
      <c r="X6350">
        <v>0.98953040000000003</v>
      </c>
      <c r="Y6350">
        <v>-1.7160350000000001E-2</v>
      </c>
      <c r="Z6350">
        <v>-2.7062889999999999E-2</v>
      </c>
      <c r="AA6350">
        <v>0.9994864</v>
      </c>
      <c r="AB6350">
        <v>54</v>
      </c>
      <c r="AC6350">
        <v>-1.3058000000000001</v>
      </c>
      <c r="AD6350">
        <v>-1.1043704942020001</v>
      </c>
      <c r="AE6350">
        <v>40.382909999999903</v>
      </c>
      <c r="AF6350">
        <v>-0.69999664652245996</v>
      </c>
      <c r="AG6350">
        <v>-1.1043704942020001</v>
      </c>
      <c r="AH6350">
        <v>40.367784195851598</v>
      </c>
      <c r="AI6350">
        <v>91.5668555145065</v>
      </c>
      <c r="AJ6350">
        <v>90.993436600603602</v>
      </c>
      <c r="AK6350">
        <v>40.3889543115002</v>
      </c>
    </row>
    <row r="6351" spans="1:37" x14ac:dyDescent="0.2">
      <c r="A6351" t="str">
        <f>"20200111153553978"</f>
        <v>20200111153553978</v>
      </c>
      <c r="B6351" t="str">
        <f>"1578728153971580"</f>
        <v>1578728153971580</v>
      </c>
      <c r="C6351" t="s">
        <v>37</v>
      </c>
      <c r="D6351">
        <v>4.6285749999999997</v>
      </c>
      <c r="E6351">
        <v>0.52811090000000005</v>
      </c>
      <c r="F6351" t="s">
        <v>39</v>
      </c>
      <c r="G6351">
        <v>-188.86279999999999</v>
      </c>
      <c r="H6351" s="1">
        <v>-1.4397379999999999E-6</v>
      </c>
      <c r="I6351">
        <v>92.518619999999999</v>
      </c>
      <c r="J6351">
        <v>-187.54910000000001</v>
      </c>
      <c r="K6351">
        <v>1.104382</v>
      </c>
      <c r="L6351">
        <v>52.695369999999997</v>
      </c>
      <c r="M6351">
        <v>-1.48612E-2</v>
      </c>
      <c r="N6351">
        <v>0</v>
      </c>
      <c r="O6351">
        <v>0.99979319999999905</v>
      </c>
      <c r="P6351">
        <v>-0.10785459999999999</v>
      </c>
      <c r="Q6351">
        <v>9.758319E-2</v>
      </c>
      <c r="R6351">
        <v>0.98936590000000002</v>
      </c>
      <c r="S6351">
        <v>-9.9334720000000001E-2</v>
      </c>
      <c r="T6351">
        <v>-8.3095909999999995E-2</v>
      </c>
      <c r="U6351">
        <v>3.0294189999999999</v>
      </c>
      <c r="V6351">
        <v>-9.3074879999999999E-2</v>
      </c>
      <c r="W6351">
        <v>0.11138289999999899</v>
      </c>
      <c r="X6351">
        <v>0.98940939999999999</v>
      </c>
      <c r="Y6351">
        <v>-1.7901830000000001E-2</v>
      </c>
      <c r="Z6351">
        <v>-2.7405240000000001E-2</v>
      </c>
      <c r="AA6351">
        <v>0.99946409999999997</v>
      </c>
      <c r="AB6351">
        <v>54</v>
      </c>
      <c r="AC6351">
        <v>-1.3136999999999801</v>
      </c>
      <c r="AD6351">
        <v>-1.1043834397379999</v>
      </c>
      <c r="AE6351">
        <v>39.823250000000002</v>
      </c>
      <c r="AF6351">
        <v>-0.72112259001742796</v>
      </c>
      <c r="AG6351">
        <v>-1.1043834397379999</v>
      </c>
      <c r="AH6351">
        <v>39.807794625985402</v>
      </c>
      <c r="AI6351">
        <v>91.588882589205497</v>
      </c>
      <c r="AJ6351">
        <v>91.0378058537529</v>
      </c>
      <c r="AK6351">
        <v>39.829639636286402</v>
      </c>
    </row>
    <row r="6352" spans="1:37" x14ac:dyDescent="0.2">
      <c r="A6352" t="str">
        <f>"20200111153554002"</f>
        <v>20200111153554002</v>
      </c>
      <c r="B6352" t="str">
        <f>"1578728153992076"</f>
        <v>1578728153992076</v>
      </c>
      <c r="C6352" t="s">
        <v>37</v>
      </c>
      <c r="D6352">
        <v>4.6746210000000001</v>
      </c>
      <c r="E6352">
        <v>0.53215089999999998</v>
      </c>
      <c r="F6352" t="s">
        <v>39</v>
      </c>
      <c r="G6352">
        <v>-188.90360000000001</v>
      </c>
      <c r="H6352" s="1">
        <v>-1.612776E-6</v>
      </c>
      <c r="I6352">
        <v>92.938839999999999</v>
      </c>
      <c r="J6352">
        <v>-187.5573</v>
      </c>
      <c r="K6352">
        <v>1.1044039999999999</v>
      </c>
      <c r="L6352">
        <v>53.253480000000003</v>
      </c>
      <c r="M6352">
        <v>-1.470515E-2</v>
      </c>
      <c r="N6352">
        <v>0</v>
      </c>
      <c r="O6352">
        <v>0.99979280000000004</v>
      </c>
      <c r="P6352">
        <v>-0.10836939999999901</v>
      </c>
      <c r="Q6352">
        <v>9.7070530000000002E-2</v>
      </c>
      <c r="R6352">
        <v>0.98936009999999996</v>
      </c>
      <c r="S6352">
        <v>-0.1019592</v>
      </c>
      <c r="T6352">
        <v>-8.3132510000000007E-2</v>
      </c>
      <c r="U6352">
        <v>3.0293269999999999</v>
      </c>
      <c r="V6352">
        <v>-9.3744839999999996E-2</v>
      </c>
      <c r="W6352">
        <v>0.111065</v>
      </c>
      <c r="X6352">
        <v>0.98938179999999998</v>
      </c>
      <c r="Y6352">
        <v>-1.8923769999999999E-2</v>
      </c>
      <c r="Z6352">
        <v>-2.741758E-2</v>
      </c>
      <c r="AA6352">
        <v>0.99944489999999997</v>
      </c>
      <c r="AB6352">
        <v>54</v>
      </c>
      <c r="AC6352">
        <v>-1.34630000000001</v>
      </c>
      <c r="AD6352">
        <v>-1.104405612776</v>
      </c>
      <c r="AE6352">
        <v>39.685359999999903</v>
      </c>
      <c r="AF6352">
        <v>-0.76192801094045404</v>
      </c>
      <c r="AG6352">
        <v>-1.104405612776</v>
      </c>
      <c r="AH6352">
        <v>39.670180134131201</v>
      </c>
      <c r="AI6352">
        <v>91.594391076764794</v>
      </c>
      <c r="AJ6352">
        <v>91.100319996806903</v>
      </c>
      <c r="AK6352">
        <v>39.692863816129602</v>
      </c>
    </row>
    <row r="6353" spans="1:37" x14ac:dyDescent="0.2">
      <c r="A6353" t="str">
        <f>"20200111153554024"</f>
        <v>20200111153554024</v>
      </c>
      <c r="B6353" t="str">
        <f>"1578728154011596"</f>
        <v>1578728154011596</v>
      </c>
      <c r="C6353" t="s">
        <v>37</v>
      </c>
      <c r="D6353">
        <v>4.6392639999999998</v>
      </c>
      <c r="E6353">
        <v>0.531968</v>
      </c>
      <c r="F6353" t="s">
        <v>39</v>
      </c>
      <c r="G6353">
        <v>-188.80369999999999</v>
      </c>
      <c r="H6353" s="1">
        <v>-2.8397370000000001E-6</v>
      </c>
      <c r="I6353">
        <v>105.7576</v>
      </c>
      <c r="J6353">
        <v>-187.5651</v>
      </c>
      <c r="K6353">
        <v>1.104411</v>
      </c>
      <c r="L6353">
        <v>53.789180000000002</v>
      </c>
      <c r="M6353">
        <v>-1.455558E-2</v>
      </c>
      <c r="N6353">
        <v>0</v>
      </c>
      <c r="O6353">
        <v>0.99979259999999903</v>
      </c>
      <c r="P6353">
        <v>-0.1086472</v>
      </c>
      <c r="Q6353">
        <v>9.6964469999999997E-2</v>
      </c>
      <c r="R6353">
        <v>0.98934</v>
      </c>
      <c r="S6353">
        <v>-7.1945190000000006E-2</v>
      </c>
      <c r="T6353">
        <v>-6.3748479999999996E-2</v>
      </c>
      <c r="U6353">
        <v>3.03064</v>
      </c>
      <c r="V6353">
        <v>-9.4171229999999995E-2</v>
      </c>
      <c r="W6353">
        <v>0.11111989999999899</v>
      </c>
      <c r="X6353">
        <v>0.98933519999999897</v>
      </c>
      <c r="Y6353">
        <v>-9.1718730000000005E-3</v>
      </c>
      <c r="Z6353">
        <v>-2.102327E-2</v>
      </c>
      <c r="AA6353">
        <v>0.99973690000000004</v>
      </c>
      <c r="AB6353">
        <v>54</v>
      </c>
      <c r="AC6353">
        <v>-1.2385999999999899</v>
      </c>
      <c r="AD6353">
        <v>-1.104413839737</v>
      </c>
      <c r="AE6353">
        <v>51.968420000000002</v>
      </c>
      <c r="AF6353">
        <v>-0.48174406765202299</v>
      </c>
      <c r="AG6353">
        <v>-1.104413839737</v>
      </c>
      <c r="AH6353">
        <v>51.957491478382501</v>
      </c>
      <c r="AI6353">
        <v>91.217649349908896</v>
      </c>
      <c r="AJ6353">
        <v>90.531224856667194</v>
      </c>
      <c r="AK6353">
        <v>51.971460706837</v>
      </c>
    </row>
    <row r="6354" spans="1:37" x14ac:dyDescent="0.2">
      <c r="A6354" t="str">
        <f>"20200111153554044"</f>
        <v>20200111153554044</v>
      </c>
      <c r="B6354" t="str">
        <f>"1578728154032093"</f>
        <v>1578728154032093</v>
      </c>
      <c r="C6354" t="s">
        <v>37</v>
      </c>
      <c r="D6354">
        <v>4.6189720000000003</v>
      </c>
      <c r="E6354">
        <v>0.53196790000000005</v>
      </c>
      <c r="F6354" t="s">
        <v>39</v>
      </c>
      <c r="G6354">
        <v>-188.81799999999899</v>
      </c>
      <c r="H6354" s="1">
        <v>-2.5138789999999998E-6</v>
      </c>
      <c r="I6354">
        <v>105.003999999999</v>
      </c>
      <c r="J6354">
        <v>-187.57220000000001</v>
      </c>
      <c r="K6354">
        <v>1.1044160000000001</v>
      </c>
      <c r="L6354">
        <v>54.285369999999901</v>
      </c>
      <c r="M6354">
        <v>-1.441686E-2</v>
      </c>
      <c r="N6354">
        <v>0</v>
      </c>
      <c r="O6354">
        <v>0.99979280000000004</v>
      </c>
      <c r="P6354">
        <v>-0.10879419999999999</v>
      </c>
      <c r="Q6354">
        <v>9.6660109999999994E-2</v>
      </c>
      <c r="R6354">
        <v>0.9893537</v>
      </c>
      <c r="S6354">
        <v>-7.4142459999999993E-2</v>
      </c>
      <c r="T6354">
        <v>-6.5352439999999998E-2</v>
      </c>
      <c r="U6354">
        <v>3.0305789999999999</v>
      </c>
      <c r="V6354">
        <v>-9.4455150000000002E-2</v>
      </c>
      <c r="W6354">
        <v>0.110946499999999</v>
      </c>
      <c r="X6354">
        <v>0.98932759999999997</v>
      </c>
      <c r="Y6354">
        <v>-1.0035199999999999E-2</v>
      </c>
      <c r="Z6354">
        <v>-2.1552209999999999E-2</v>
      </c>
      <c r="AA6354">
        <v>0.99971739999999998</v>
      </c>
      <c r="AB6354">
        <v>54</v>
      </c>
      <c r="AC6354">
        <v>-1.24579999999997</v>
      </c>
      <c r="AD6354">
        <v>-1.1044185138789999</v>
      </c>
      <c r="AE6354">
        <v>50.718629999999997</v>
      </c>
      <c r="AF6354">
        <v>-0.51414795314324802</v>
      </c>
      <c r="AG6354">
        <v>-1.1044185138789999</v>
      </c>
      <c r="AH6354">
        <v>50.7072909061025</v>
      </c>
      <c r="AI6354">
        <v>91.247656191307399</v>
      </c>
      <c r="AJ6354">
        <v>90.580932204286896</v>
      </c>
      <c r="AK6354">
        <v>50.721922670652297</v>
      </c>
    </row>
    <row r="6355" spans="1:37" x14ac:dyDescent="0.2">
      <c r="A6355" t="str">
        <f>"20200111153554069"</f>
        <v>20200111153554069</v>
      </c>
      <c r="B6355" t="str">
        <f>"1578728154062348"</f>
        <v>1578728154062348</v>
      </c>
      <c r="C6355" t="s">
        <v>37</v>
      </c>
      <c r="D6355">
        <v>4.6393319999999996</v>
      </c>
      <c r="E6355">
        <v>0.53354140000000005</v>
      </c>
      <c r="F6355" t="s">
        <v>39</v>
      </c>
      <c r="G6355">
        <v>-188.80609999999999</v>
      </c>
      <c r="H6355" s="1">
        <v>-2.1435139999999999E-6</v>
      </c>
      <c r="I6355">
        <v>104.1357</v>
      </c>
      <c r="J6355">
        <v>-187.5804</v>
      </c>
      <c r="K6355">
        <v>1.1044179999999999</v>
      </c>
      <c r="L6355">
        <v>54.859679999999997</v>
      </c>
      <c r="M6355">
        <v>-1.4256660000000001E-2</v>
      </c>
      <c r="N6355">
        <v>0</v>
      </c>
      <c r="O6355">
        <v>0.99979319999999905</v>
      </c>
      <c r="P6355">
        <v>-0.108163699999999</v>
      </c>
      <c r="Q6355">
        <v>9.6010180000000001E-2</v>
      </c>
      <c r="R6355">
        <v>0.98948599999999998</v>
      </c>
      <c r="S6355">
        <v>-7.5012209999999996E-2</v>
      </c>
      <c r="T6355">
        <v>-6.7141530000000005E-2</v>
      </c>
      <c r="U6355">
        <v>3.0305789999999999</v>
      </c>
      <c r="V6355">
        <v>-9.3981809999999999E-2</v>
      </c>
      <c r="W6355">
        <v>0.1104276</v>
      </c>
      <c r="X6355">
        <v>0.989430699999999</v>
      </c>
      <c r="Y6355">
        <v>-1.0481819999999999E-2</v>
      </c>
      <c r="Z6355">
        <v>-2.2141890000000001E-2</v>
      </c>
      <c r="AA6355">
        <v>0.99969989999999997</v>
      </c>
      <c r="AB6355">
        <v>54</v>
      </c>
      <c r="AC6355">
        <v>-1.22569999999998</v>
      </c>
      <c r="AD6355">
        <v>-1.104420143514</v>
      </c>
      <c r="AE6355">
        <v>49.276020000000003</v>
      </c>
      <c r="AF6355">
        <v>-0.52272763411054901</v>
      </c>
      <c r="AG6355">
        <v>-1.104420143514</v>
      </c>
      <c r="AH6355">
        <v>49.263755352748397</v>
      </c>
      <c r="AI6355">
        <v>91.284198790116307</v>
      </c>
      <c r="AJ6355">
        <v>90.607930985249993</v>
      </c>
      <c r="AK6355">
        <v>49.278906029743702</v>
      </c>
    </row>
    <row r="6356" spans="1:37" x14ac:dyDescent="0.2">
      <c r="A6356" t="str">
        <f>"20200111153554090"</f>
        <v>20200111153554090</v>
      </c>
      <c r="B6356" t="str">
        <f>"1578728154081868"</f>
        <v>1578728154081868</v>
      </c>
      <c r="C6356" t="s">
        <v>37</v>
      </c>
      <c r="D6356">
        <v>4.6028139999999897</v>
      </c>
      <c r="E6356">
        <v>0.53344919999999996</v>
      </c>
      <c r="F6356" t="s">
        <v>39</v>
      </c>
      <c r="G6356">
        <v>-188.3997</v>
      </c>
      <c r="H6356" s="1">
        <v>-2.8389769999999998E-6</v>
      </c>
      <c r="I6356">
        <v>95.588819999999998</v>
      </c>
      <c r="J6356">
        <v>-187.58779999999999</v>
      </c>
      <c r="K6356">
        <v>1.104419</v>
      </c>
      <c r="L6356">
        <v>55.383580000000002</v>
      </c>
      <c r="M6356">
        <v>-1.4110259999999999E-2</v>
      </c>
      <c r="N6356">
        <v>0</v>
      </c>
      <c r="O6356">
        <v>0.99979370000000001</v>
      </c>
      <c r="P6356">
        <v>-0.10715</v>
      </c>
      <c r="Q6356">
        <v>9.4550910000000002E-2</v>
      </c>
      <c r="R6356">
        <v>0.98973690000000003</v>
      </c>
      <c r="S6356">
        <v>-6.1019900000000002E-2</v>
      </c>
      <c r="T6356">
        <v>-8.2248210000000002E-2</v>
      </c>
      <c r="U6356">
        <v>3.0331730000000001</v>
      </c>
      <c r="V6356">
        <v>-9.3110670000000006E-2</v>
      </c>
      <c r="W6356">
        <v>0.109073499999999</v>
      </c>
      <c r="X6356">
        <v>0.98966319999999997</v>
      </c>
      <c r="Y6356">
        <v>-5.9951429999999997E-3</v>
      </c>
      <c r="Z6356">
        <v>-2.709924E-2</v>
      </c>
      <c r="AA6356">
        <v>0.99961480000000003</v>
      </c>
      <c r="AB6356">
        <v>54</v>
      </c>
      <c r="AC6356">
        <v>-0.81190000000000795</v>
      </c>
      <c r="AD6356">
        <v>-1.104421838977</v>
      </c>
      <c r="AE6356">
        <v>40.205240000000003</v>
      </c>
      <c r="AF6356">
        <v>-0.24426796248445101</v>
      </c>
      <c r="AG6356">
        <v>-1.104421838977</v>
      </c>
      <c r="AH6356">
        <v>40.182385448377303</v>
      </c>
      <c r="AI6356">
        <v>91.574361851137098</v>
      </c>
      <c r="AJ6356">
        <v>90.3482956716323</v>
      </c>
      <c r="AK6356">
        <v>40.198302386517199</v>
      </c>
    </row>
    <row r="6357" spans="1:37" x14ac:dyDescent="0.2">
      <c r="A6357" t="str">
        <f>"20200111153554113"</f>
        <v>20200111153554113</v>
      </c>
      <c r="B6357" t="str">
        <f>"1578728154102364"</f>
        <v>1578728154102364</v>
      </c>
      <c r="C6357" t="s">
        <v>37</v>
      </c>
      <c r="D6357">
        <v>4.6431800000000001</v>
      </c>
      <c r="E6357">
        <v>0.5335453</v>
      </c>
      <c r="F6357" t="s">
        <v>39</v>
      </c>
      <c r="G6357">
        <v>-188.35839999999999</v>
      </c>
      <c r="H6357" s="1">
        <v>-2.5298879999999998E-6</v>
      </c>
      <c r="I6357">
        <v>94.851230000000001</v>
      </c>
      <c r="J6357">
        <v>-187.59530000000001</v>
      </c>
      <c r="K6357">
        <v>1.1044259999999999</v>
      </c>
      <c r="L6357">
        <v>55.925289999999997</v>
      </c>
      <c r="M6357">
        <v>-1.3958979999999999E-2</v>
      </c>
      <c r="N6357">
        <v>0</v>
      </c>
      <c r="O6357">
        <v>0.99979449999999903</v>
      </c>
      <c r="P6357">
        <v>-0.10599649999999999</v>
      </c>
      <c r="Q6357">
        <v>9.3128320000000001E-2</v>
      </c>
      <c r="R6357">
        <v>0.98999590000000004</v>
      </c>
      <c r="S6357">
        <v>-5.9219359999999999E-2</v>
      </c>
      <c r="T6357">
        <v>-8.4866880000000006E-2</v>
      </c>
      <c r="U6357">
        <v>3.0328059999999999</v>
      </c>
      <c r="V6357">
        <v>-9.2104249999999999E-2</v>
      </c>
      <c r="W6357">
        <v>0.1077443</v>
      </c>
      <c r="X6357">
        <v>0.98990299999999998</v>
      </c>
      <c r="Y6357">
        <v>-5.5551719999999997E-3</v>
      </c>
      <c r="Z6357">
        <v>-2.796504E-2</v>
      </c>
      <c r="AA6357">
        <v>0.99959339999999997</v>
      </c>
      <c r="AB6357">
        <v>54</v>
      </c>
      <c r="AC6357">
        <v>-0.76309999999998002</v>
      </c>
      <c r="AD6357">
        <v>-1.1044285298880001</v>
      </c>
      <c r="AE6357">
        <v>38.925939999999997</v>
      </c>
      <c r="AF6357">
        <v>-0.219423925770065</v>
      </c>
      <c r="AG6357">
        <v>-1.1044285298880001</v>
      </c>
      <c r="AH6357">
        <v>38.901496067955698</v>
      </c>
      <c r="AI6357">
        <v>91.626186678724594</v>
      </c>
      <c r="AJ6357">
        <v>90.323173471878803</v>
      </c>
      <c r="AK6357">
        <v>38.917789063126399</v>
      </c>
    </row>
    <row r="6358" spans="1:37" x14ac:dyDescent="0.2">
      <c r="A6358" t="str">
        <f>"20200111153554135"</f>
        <v>20200111153554135</v>
      </c>
      <c r="B6358" t="str">
        <f>"1578728154131644"</f>
        <v>1578728154131644</v>
      </c>
      <c r="C6358" t="s">
        <v>37</v>
      </c>
      <c r="D6358">
        <v>4.6263529999999999</v>
      </c>
      <c r="E6358">
        <v>0.53336149999999904</v>
      </c>
      <c r="F6358" t="s">
        <v>39</v>
      </c>
      <c r="G6358">
        <v>-188.29570000000001</v>
      </c>
      <c r="H6358" s="1">
        <v>-2.4444700000000001E-6</v>
      </c>
      <c r="I6358">
        <v>94.62621</v>
      </c>
      <c r="J6358">
        <v>-187.60239999999999</v>
      </c>
      <c r="K6358">
        <v>1.104427</v>
      </c>
      <c r="L6358">
        <v>56.438809999999997</v>
      </c>
      <c r="M6358">
        <v>-1.3815259999999999E-2</v>
      </c>
      <c r="N6358">
        <v>0</v>
      </c>
      <c r="O6358">
        <v>0.9997954</v>
      </c>
      <c r="P6358">
        <v>-0.1052018</v>
      </c>
      <c r="Q6358">
        <v>9.2167289999999999E-2</v>
      </c>
      <c r="R6358">
        <v>0.99017060000000001</v>
      </c>
      <c r="S6358">
        <v>-5.4885860000000002E-2</v>
      </c>
      <c r="T6358">
        <v>-8.6542729999999998E-2</v>
      </c>
      <c r="U6358">
        <v>3.0325929999999999</v>
      </c>
      <c r="V6358">
        <v>-9.1450290000000004E-2</v>
      </c>
      <c r="W6358">
        <v>0.1068597</v>
      </c>
      <c r="X6358">
        <v>0.99005949999999998</v>
      </c>
      <c r="Y6358">
        <v>-4.2720980000000002E-3</v>
      </c>
      <c r="Z6358">
        <v>-2.851938E-2</v>
      </c>
      <c r="AA6358">
        <v>0.99958409999999998</v>
      </c>
      <c r="AB6358">
        <v>54</v>
      </c>
      <c r="AC6358">
        <v>-0.69330000000002101</v>
      </c>
      <c r="AD6358">
        <v>-1.10442944447</v>
      </c>
      <c r="AE6358">
        <v>38.187399999999997</v>
      </c>
      <c r="AF6358">
        <v>-0.16546900825163</v>
      </c>
      <c r="AG6358">
        <v>-1.10442944447</v>
      </c>
      <c r="AH6358">
        <v>38.161424648871403</v>
      </c>
      <c r="AI6358">
        <v>91.657718334779204</v>
      </c>
      <c r="AJ6358">
        <v>90.248434550992201</v>
      </c>
      <c r="AK6358">
        <v>38.177761532363299</v>
      </c>
    </row>
    <row r="6359" spans="1:37" x14ac:dyDescent="0.2">
      <c r="A6359" t="str">
        <f>"20200111153554157"</f>
        <v>20200111153554157</v>
      </c>
      <c r="B6359" t="str">
        <f>"1578728154152140"</f>
        <v>1578728154152140</v>
      </c>
      <c r="C6359" t="s">
        <v>37</v>
      </c>
      <c r="D6359">
        <v>4.6373499999999996</v>
      </c>
      <c r="E6359">
        <v>0.53318769999999904</v>
      </c>
      <c r="F6359" t="s">
        <v>39</v>
      </c>
      <c r="G6359">
        <v>-188.28720000000001</v>
      </c>
      <c r="H6359" s="1">
        <v>-2.6239220000000002E-6</v>
      </c>
      <c r="I6359">
        <v>95.040959999999998</v>
      </c>
      <c r="J6359">
        <v>-187.6097</v>
      </c>
      <c r="K6359">
        <v>1.1044259999999999</v>
      </c>
      <c r="L6359">
        <v>56.977290000000004</v>
      </c>
      <c r="M6359">
        <v>-1.366469E-2</v>
      </c>
      <c r="N6359">
        <v>0</v>
      </c>
      <c r="O6359">
        <v>0.99979649999999998</v>
      </c>
      <c r="P6359">
        <v>-0.10430919999999901</v>
      </c>
      <c r="Q6359">
        <v>9.1339450000000003E-2</v>
      </c>
      <c r="R6359">
        <v>0.99034169999999999</v>
      </c>
      <c r="S6359">
        <v>-5.3787229999999998E-2</v>
      </c>
      <c r="T6359">
        <v>-8.6751099999999998E-2</v>
      </c>
      <c r="U6359">
        <v>3.0321349999999998</v>
      </c>
      <c r="V6359">
        <v>-9.0705149999999998E-2</v>
      </c>
      <c r="W6359">
        <v>0.1061006</v>
      </c>
      <c r="X6359">
        <v>0.99020969999999997</v>
      </c>
      <c r="Y6359">
        <v>-4.0633209999999999E-3</v>
      </c>
      <c r="Z6359">
        <v>-2.85925E-2</v>
      </c>
      <c r="AA6359">
        <v>0.99958289999999905</v>
      </c>
      <c r="AB6359">
        <v>54</v>
      </c>
      <c r="AC6359">
        <v>-0.67750000000000898</v>
      </c>
      <c r="AD6359">
        <v>-1.104428623922</v>
      </c>
      <c r="AE6359">
        <v>38.063670000000002</v>
      </c>
      <c r="AF6359">
        <v>-0.157118960413102</v>
      </c>
      <c r="AG6359">
        <v>-1.104428623922</v>
      </c>
      <c r="AH6359">
        <v>38.037361171098503</v>
      </c>
      <c r="AI6359">
        <v>91.663122363235104</v>
      </c>
      <c r="AJ6359">
        <v>90.236667366950101</v>
      </c>
      <c r="AK6359">
        <v>38.053715900206797</v>
      </c>
    </row>
    <row r="6360" spans="1:37" x14ac:dyDescent="0.2">
      <c r="A6360" t="str">
        <f>"20200111153554180"</f>
        <v>20200111153554180</v>
      </c>
      <c r="B6360" t="str">
        <f>"1578728154171661"</f>
        <v>1578728154171661</v>
      </c>
      <c r="C6360" t="s">
        <v>37</v>
      </c>
      <c r="D6360">
        <v>4.6178800000000004</v>
      </c>
      <c r="E6360">
        <v>0.53301299999999996</v>
      </c>
      <c r="F6360" t="s">
        <v>39</v>
      </c>
      <c r="G6360">
        <v>-188.2621</v>
      </c>
      <c r="H6360" s="1">
        <v>-2.5206090000000001E-6</v>
      </c>
      <c r="I6360">
        <v>94.789760000000001</v>
      </c>
      <c r="J6360">
        <v>-187.61709999999999</v>
      </c>
      <c r="K6360">
        <v>1.104427</v>
      </c>
      <c r="L6360">
        <v>57.523350000000001</v>
      </c>
      <c r="M6360">
        <v>-1.3511550000000001E-2</v>
      </c>
      <c r="N6360">
        <v>0</v>
      </c>
      <c r="O6360">
        <v>0.99979759999999995</v>
      </c>
      <c r="P6360">
        <v>-0.1034979</v>
      </c>
      <c r="Q6360">
        <v>9.0162519999999996E-2</v>
      </c>
      <c r="R6360">
        <v>0.99053469999999999</v>
      </c>
      <c r="S6360">
        <v>-5.230713E-2</v>
      </c>
      <c r="T6360">
        <v>-8.8556529999999994E-2</v>
      </c>
      <c r="U6360">
        <v>3.0319210000000001</v>
      </c>
      <c r="V6360">
        <v>-9.0043979999999996E-2</v>
      </c>
      <c r="W6360">
        <v>0.10498339999999901</v>
      </c>
      <c r="X6360">
        <v>0.99038909999999902</v>
      </c>
      <c r="Y6360">
        <v>-3.7296129999999901E-3</v>
      </c>
      <c r="Z6360">
        <v>-2.9189340000000001E-2</v>
      </c>
      <c r="AA6360">
        <v>0.99956690000000004</v>
      </c>
      <c r="AB6360">
        <v>54</v>
      </c>
      <c r="AC6360">
        <v>-0.64500000000001001</v>
      </c>
      <c r="AD6360">
        <v>-1.104429520609</v>
      </c>
      <c r="AE6360">
        <v>37.26641</v>
      </c>
      <c r="AF6360">
        <v>-0.14123418725237699</v>
      </c>
      <c r="AG6360">
        <v>-1.104429520609</v>
      </c>
      <c r="AH6360">
        <v>37.239026199453697</v>
      </c>
      <c r="AI6360">
        <v>91.6987595714062</v>
      </c>
      <c r="AJ6360">
        <v>90.217301172436194</v>
      </c>
      <c r="AK6360">
        <v>37.255667809680197</v>
      </c>
    </row>
    <row r="6361" spans="1:37" x14ac:dyDescent="0.2">
      <c r="A6361" t="str">
        <f>"20200111153554201"</f>
        <v>20200111153554201</v>
      </c>
      <c r="B6361" t="str">
        <f>"1578728154192159"</f>
        <v>1578728154192159</v>
      </c>
      <c r="C6361" t="s">
        <v>37</v>
      </c>
      <c r="D6361">
        <v>4.6725110000000001</v>
      </c>
      <c r="E6361">
        <v>0.53293500000000005</v>
      </c>
      <c r="F6361" t="s">
        <v>39</v>
      </c>
      <c r="G6361">
        <v>-188.24420000000001</v>
      </c>
      <c r="H6361" s="1">
        <v>-2.3734009999999998E-6</v>
      </c>
      <c r="I6361">
        <v>94.439229999999995</v>
      </c>
      <c r="J6361">
        <v>-187.62430000000001</v>
      </c>
      <c r="K6361">
        <v>1.104428</v>
      </c>
      <c r="L6361">
        <v>58.064030000000002</v>
      </c>
      <c r="M6361">
        <v>-1.3360169999999999E-2</v>
      </c>
      <c r="N6361">
        <v>0</v>
      </c>
      <c r="O6361">
        <v>0.99979899999999999</v>
      </c>
      <c r="P6361">
        <v>-0.10256649999999901</v>
      </c>
      <c r="Q6361">
        <v>8.8517349999999995E-2</v>
      </c>
      <c r="R6361">
        <v>0.99077990000000005</v>
      </c>
      <c r="S6361">
        <v>-5.1498410000000001E-2</v>
      </c>
      <c r="T6361">
        <v>-9.0695499999999998E-2</v>
      </c>
      <c r="U6361">
        <v>3.0315249999999998</v>
      </c>
      <c r="V6361">
        <v>-8.9260839999999994E-2</v>
      </c>
      <c r="W6361">
        <v>0.1033895</v>
      </c>
      <c r="X6361">
        <v>0.99062759999999905</v>
      </c>
      <c r="Y6361">
        <v>-3.6163279999999998E-3</v>
      </c>
      <c r="Z6361">
        <v>-2.9897819999999999E-2</v>
      </c>
      <c r="AA6361">
        <v>0.99954639999999995</v>
      </c>
      <c r="AB6361">
        <v>54</v>
      </c>
      <c r="AC6361">
        <v>-0.61990000000000101</v>
      </c>
      <c r="AD6361">
        <v>-1.1044303734009999</v>
      </c>
      <c r="AE6361">
        <v>36.3752</v>
      </c>
      <c r="AF6361">
        <v>-0.13368828990534601</v>
      </c>
      <c r="AG6361">
        <v>-1.1044303734009999</v>
      </c>
      <c r="AH6361">
        <v>36.346738696093198</v>
      </c>
      <c r="AI6361">
        <v>91.740439698566504</v>
      </c>
      <c r="AJ6361">
        <v>90.210740784860405</v>
      </c>
      <c r="AK6361">
        <v>36.363760158303599</v>
      </c>
    </row>
    <row r="6362" spans="1:37" x14ac:dyDescent="0.2">
      <c r="A6362" t="str">
        <f>"20200111153554224"</f>
        <v>20200111153554224</v>
      </c>
      <c r="B6362" t="str">
        <f>"1578728154211676"</f>
        <v>1578728154211676</v>
      </c>
      <c r="C6362" t="s">
        <v>37</v>
      </c>
      <c r="D6362">
        <v>4.7292309999999897</v>
      </c>
      <c r="E6362">
        <v>0.53303929999999999</v>
      </c>
      <c r="F6362" t="s">
        <v>39</v>
      </c>
      <c r="G6362">
        <v>-188.2012</v>
      </c>
      <c r="H6362" s="1">
        <v>-2.0062739999999999E-6</v>
      </c>
      <c r="I6362">
        <v>93.565650000000005</v>
      </c>
      <c r="J6362">
        <v>-187.63130000000001</v>
      </c>
      <c r="K6362">
        <v>1.104433</v>
      </c>
      <c r="L6362">
        <v>58.593019999999903</v>
      </c>
      <c r="M6362">
        <v>-1.321165E-2</v>
      </c>
      <c r="N6362">
        <v>0</v>
      </c>
      <c r="O6362">
        <v>0.99980029999999998</v>
      </c>
      <c r="P6362">
        <v>-0.1014877</v>
      </c>
      <c r="Q6362">
        <v>8.7029640000000005E-2</v>
      </c>
      <c r="R6362">
        <v>0.99102279999999998</v>
      </c>
      <c r="S6362">
        <v>-4.925537E-2</v>
      </c>
      <c r="T6362">
        <v>-9.4300030000000007E-2</v>
      </c>
      <c r="U6362">
        <v>3.03125</v>
      </c>
      <c r="V6362">
        <v>-8.8326920000000003E-2</v>
      </c>
      <c r="W6362">
        <v>0.1019452</v>
      </c>
      <c r="X6362">
        <v>0.99086099999999999</v>
      </c>
      <c r="Y6362">
        <v>-3.0263859999999998E-3</v>
      </c>
      <c r="Z6362">
        <v>-3.1088060000000001E-2</v>
      </c>
      <c r="AA6362">
        <v>0.99951209999999902</v>
      </c>
      <c r="AB6362">
        <v>54</v>
      </c>
      <c r="AC6362">
        <v>-0.56989999999998897</v>
      </c>
      <c r="AD6362">
        <v>-1.104435006274</v>
      </c>
      <c r="AE6362">
        <v>34.972630000000002</v>
      </c>
      <c r="AF6362">
        <v>-0.10764483134630599</v>
      </c>
      <c r="AG6362">
        <v>-1.104435006274</v>
      </c>
      <c r="AH6362">
        <v>34.942268643727701</v>
      </c>
      <c r="AI6362">
        <v>91.810360547179101</v>
      </c>
      <c r="AJ6362">
        <v>90.1765075723781</v>
      </c>
      <c r="AK6362">
        <v>34.959884182634802</v>
      </c>
    </row>
    <row r="6363" spans="1:37" x14ac:dyDescent="0.2">
      <c r="A6363" t="str">
        <f>"20200111153554246"</f>
        <v>20200111153554246</v>
      </c>
      <c r="B6363" t="str">
        <f>"1578728154241933"</f>
        <v>1578728154241933</v>
      </c>
      <c r="C6363" t="s">
        <v>37</v>
      </c>
      <c r="D6363">
        <v>4.6719349999999897</v>
      </c>
      <c r="E6363">
        <v>0.56308999999999998</v>
      </c>
      <c r="F6363" t="s">
        <v>39</v>
      </c>
      <c r="G6363">
        <v>-188.1422</v>
      </c>
      <c r="H6363" s="1">
        <v>-1.6850529999999999E-6</v>
      </c>
      <c r="I6363">
        <v>92.792509999999993</v>
      </c>
      <c r="J6363">
        <v>-187.63810000000001</v>
      </c>
      <c r="K6363">
        <v>1.1044290000000001</v>
      </c>
      <c r="L6363">
        <v>59.119719999999901</v>
      </c>
      <c r="M6363">
        <v>-1.306387E-2</v>
      </c>
      <c r="N6363">
        <v>0</v>
      </c>
      <c r="O6363">
        <v>0.99980179999999996</v>
      </c>
      <c r="P6363">
        <v>-9.9818770000000001E-2</v>
      </c>
      <c r="Q6363">
        <v>8.5478159999999997E-2</v>
      </c>
      <c r="R6363">
        <v>0.99132719999999896</v>
      </c>
      <c r="S6363">
        <v>-4.5288090000000003E-2</v>
      </c>
      <c r="T6363">
        <v>-9.7886920000000002E-2</v>
      </c>
      <c r="U6363">
        <v>3.0311279999999998</v>
      </c>
      <c r="V6363">
        <v>-8.680185E-2</v>
      </c>
      <c r="W6363">
        <v>0.10043189999999901</v>
      </c>
      <c r="X6363">
        <v>0.99115030000000004</v>
      </c>
      <c r="Y6363">
        <v>-1.866386E-3</v>
      </c>
      <c r="Z6363">
        <v>-3.227112E-2</v>
      </c>
      <c r="AA6363">
        <v>0.99947739999999996</v>
      </c>
      <c r="AB6363">
        <v>53</v>
      </c>
      <c r="AC6363">
        <v>-0.504099999999994</v>
      </c>
      <c r="AD6363">
        <v>-1.1044306850529999</v>
      </c>
      <c r="AE6363">
        <v>33.672789999999999</v>
      </c>
      <c r="AF6363">
        <v>-6.4041493050215295E-2</v>
      </c>
      <c r="AG6363">
        <v>-1.1044306850529999</v>
      </c>
      <c r="AH6363">
        <v>33.6403210098687</v>
      </c>
      <c r="AI6363">
        <v>91.880373914037605</v>
      </c>
      <c r="AJ6363">
        <v>90.109074548716606</v>
      </c>
      <c r="AK6363">
        <v>33.6585065933997</v>
      </c>
    </row>
    <row r="6364" spans="1:37" x14ac:dyDescent="0.2">
      <c r="A6364" t="str">
        <f>"20200111153554270"</f>
        <v>20200111153554270</v>
      </c>
      <c r="B6364" t="str">
        <f>"1578728154262429"</f>
        <v>1578728154262429</v>
      </c>
      <c r="C6364" t="s">
        <v>37</v>
      </c>
      <c r="D6364">
        <v>4.6359890000000004</v>
      </c>
      <c r="E6364">
        <v>0.5653302</v>
      </c>
      <c r="F6364" t="s">
        <v>39</v>
      </c>
      <c r="G6364">
        <v>-185.2884</v>
      </c>
      <c r="H6364" s="1">
        <v>-3.2782019999999999E-6</v>
      </c>
      <c r="I6364">
        <v>95.326169999999905</v>
      </c>
      <c r="J6364">
        <v>-187.64529999999999</v>
      </c>
      <c r="K6364">
        <v>1.1044290000000001</v>
      </c>
      <c r="L6364">
        <v>59.67456</v>
      </c>
      <c r="M6364">
        <v>-1.290811E-2</v>
      </c>
      <c r="N6364">
        <v>0</v>
      </c>
      <c r="O6364">
        <v>0.99980329999999995</v>
      </c>
      <c r="P6364">
        <v>-9.7697800000000001E-2</v>
      </c>
      <c r="Q6364">
        <v>8.3132269999999994E-2</v>
      </c>
      <c r="R6364">
        <v>0.99173799999999901</v>
      </c>
      <c r="S6364">
        <v>0.19821169999999999</v>
      </c>
      <c r="T6364">
        <v>-9.3165399999999995E-2</v>
      </c>
      <c r="U6364">
        <v>3.05423</v>
      </c>
      <c r="V6364">
        <v>-8.4831599999999993E-2</v>
      </c>
      <c r="W6364">
        <v>9.8121639999999996E-2</v>
      </c>
      <c r="X6364">
        <v>0.991552199999999</v>
      </c>
      <c r="Y6364">
        <v>7.7608300000000005E-2</v>
      </c>
      <c r="Z6364">
        <v>-3.0407799999999999E-2</v>
      </c>
      <c r="AA6364">
        <v>0.99652009999999902</v>
      </c>
      <c r="AB6364">
        <v>53</v>
      </c>
      <c r="AC6364">
        <v>2.3568999999999898</v>
      </c>
      <c r="AD6364">
        <v>-1.104432278202</v>
      </c>
      <c r="AE6364">
        <v>35.651609999999899</v>
      </c>
      <c r="AF6364">
        <v>2.8142616821496298</v>
      </c>
      <c r="AG6364">
        <v>-1.104432278202</v>
      </c>
      <c r="AH6364">
        <v>35.584212160137803</v>
      </c>
      <c r="AI6364">
        <v>91.772196420407695</v>
      </c>
      <c r="AJ6364">
        <v>85.478039929633098</v>
      </c>
      <c r="AK6364">
        <v>35.712406731141002</v>
      </c>
    </row>
    <row r="6365" spans="1:37" x14ac:dyDescent="0.2">
      <c r="A6365" t="str">
        <f>"20200111153554292"</f>
        <v>20200111153554292</v>
      </c>
      <c r="B6365" t="str">
        <f>"1578728154281951"</f>
        <v>1578728154281951</v>
      </c>
      <c r="C6365" t="s">
        <v>37</v>
      </c>
      <c r="D6365">
        <v>4.6774969999999998</v>
      </c>
      <c r="E6365">
        <v>0.56600819999999996</v>
      </c>
      <c r="F6365" t="s">
        <v>39</v>
      </c>
      <c r="G6365">
        <v>-185.17449999999999</v>
      </c>
      <c r="H6365" s="1">
        <v>-2.6305640000000001E-6</v>
      </c>
      <c r="I6365">
        <v>93.60521</v>
      </c>
      <c r="J6365">
        <v>-187.65209999999999</v>
      </c>
      <c r="K6365">
        <v>1.104427</v>
      </c>
      <c r="L6365">
        <v>60.208680000000001</v>
      </c>
      <c r="M6365">
        <v>-1.275811E-2</v>
      </c>
      <c r="N6365">
        <v>0</v>
      </c>
      <c r="O6365">
        <v>0.9998049</v>
      </c>
      <c r="P6365">
        <v>-9.5816079999999998E-2</v>
      </c>
      <c r="Q6365">
        <v>8.1639240000000002E-2</v>
      </c>
      <c r="R6365">
        <v>0.99204550000000002</v>
      </c>
      <c r="S6365">
        <v>0.22247310000000001</v>
      </c>
      <c r="T6365">
        <v>-9.9447010000000002E-2</v>
      </c>
      <c r="U6365">
        <v>3.055237</v>
      </c>
      <c r="V6365">
        <v>-8.3095459999999996E-2</v>
      </c>
      <c r="W6365">
        <v>9.6657119999999999E-2</v>
      </c>
      <c r="X6365">
        <v>0.99184300000000003</v>
      </c>
      <c r="Y6365">
        <v>8.5306469999999995E-2</v>
      </c>
      <c r="Z6365">
        <v>-3.2426320000000002E-2</v>
      </c>
      <c r="AA6365">
        <v>0.99582700000000002</v>
      </c>
      <c r="AB6365">
        <v>53</v>
      </c>
      <c r="AC6365">
        <v>2.47759999999999</v>
      </c>
      <c r="AD6365">
        <v>-1.104429630564</v>
      </c>
      <c r="AE6365">
        <v>33.396529999999899</v>
      </c>
      <c r="AF6365">
        <v>2.9003687721195401</v>
      </c>
      <c r="AG6365">
        <v>-1.104429630564</v>
      </c>
      <c r="AH6365">
        <v>33.325951200850099</v>
      </c>
      <c r="AI6365">
        <v>91.890957943484807</v>
      </c>
      <c r="AJ6365">
        <v>85.026061721234299</v>
      </c>
      <c r="AK6365">
        <v>33.470149794474999</v>
      </c>
    </row>
    <row r="6366" spans="1:37" x14ac:dyDescent="0.2">
      <c r="A6366" t="str">
        <f>"20200111153554313"</f>
        <v>20200111153554313</v>
      </c>
      <c r="B6366" t="str">
        <f>"1578728154302444"</f>
        <v>1578728154302444</v>
      </c>
      <c r="C6366" t="s">
        <v>37</v>
      </c>
      <c r="D6366">
        <v>4.7002899999999999</v>
      </c>
      <c r="E6366">
        <v>0.56588289999999997</v>
      </c>
      <c r="F6366" t="s">
        <v>39</v>
      </c>
      <c r="G6366">
        <v>-185.08510000000001</v>
      </c>
      <c r="H6366" s="1">
        <v>-2.71150699999999E-6</v>
      </c>
      <c r="I6366">
        <v>93.773089999999996</v>
      </c>
      <c r="J6366">
        <v>-187.6584</v>
      </c>
      <c r="K6366">
        <v>1.1044240000000001</v>
      </c>
      <c r="L6366">
        <v>60.707149999999999</v>
      </c>
      <c r="M6366">
        <v>-1.261809E-2</v>
      </c>
      <c r="N6366">
        <v>0</v>
      </c>
      <c r="O6366">
        <v>0.99980630000000004</v>
      </c>
      <c r="P6366">
        <v>-9.4464549999999994E-2</v>
      </c>
      <c r="Q6366">
        <v>8.0316009999999993E-2</v>
      </c>
      <c r="R6366">
        <v>0.99228309999999997</v>
      </c>
      <c r="S6366">
        <v>0.23364260000000001</v>
      </c>
      <c r="T6366">
        <v>-0.10052079999999999</v>
      </c>
      <c r="U6366">
        <v>3.0549009999999899</v>
      </c>
      <c r="V6366">
        <v>-8.1881259999999997E-2</v>
      </c>
      <c r="W6366">
        <v>9.5355670000000003E-2</v>
      </c>
      <c r="X6366">
        <v>0.99207000000000001</v>
      </c>
      <c r="Y6366">
        <v>8.879426E-2</v>
      </c>
      <c r="Z6366">
        <v>-3.2770300000000002E-2</v>
      </c>
      <c r="AA6366">
        <v>0.99551080000000003</v>
      </c>
      <c r="AB6366">
        <v>53</v>
      </c>
      <c r="AC6366">
        <v>2.5732999999999802</v>
      </c>
      <c r="AD6366">
        <v>-1.1044267115069999</v>
      </c>
      <c r="AE6366">
        <v>33.065939999999998</v>
      </c>
      <c r="AF6366">
        <v>2.9870593695203702</v>
      </c>
      <c r="AG6366">
        <v>-1.1044267115069999</v>
      </c>
      <c r="AH6366">
        <v>32.994246048793002</v>
      </c>
      <c r="AI6366">
        <v>91.909360769034606</v>
      </c>
      <c r="AJ6366">
        <v>84.826958610278297</v>
      </c>
      <c r="AK6366">
        <v>33.147587459216702</v>
      </c>
    </row>
    <row r="6367" spans="1:37" x14ac:dyDescent="0.2">
      <c r="A6367" t="str">
        <f>"20200111153554335"</f>
        <v>20200111153554335</v>
      </c>
      <c r="B6367" t="str">
        <f>"1578728154331724"</f>
        <v>1578728154331724</v>
      </c>
      <c r="C6367" t="s">
        <v>37</v>
      </c>
      <c r="D6367">
        <v>4.7077429999999998</v>
      </c>
      <c r="E6367">
        <v>0.56548659999999995</v>
      </c>
      <c r="F6367" t="s">
        <v>39</v>
      </c>
      <c r="G6367">
        <v>-185.19710000000001</v>
      </c>
      <c r="H6367" s="1">
        <v>-2.2256599999999999E-6</v>
      </c>
      <c r="I6367">
        <v>92.432980000000001</v>
      </c>
      <c r="J6367">
        <v>-187.66499999999999</v>
      </c>
      <c r="K6367">
        <v>1.10442</v>
      </c>
      <c r="L6367">
        <v>61.240780000000001</v>
      </c>
      <c r="M6367">
        <v>-1.246796E-2</v>
      </c>
      <c r="N6367">
        <v>0</v>
      </c>
      <c r="O6367">
        <v>0.99980800000000003</v>
      </c>
      <c r="P6367">
        <v>-9.3085370000000001E-2</v>
      </c>
      <c r="Q6367">
        <v>7.9202350000000005E-2</v>
      </c>
      <c r="R6367">
        <v>0.99250289999999997</v>
      </c>
      <c r="S6367">
        <v>0.23696900000000001</v>
      </c>
      <c r="T6367">
        <v>-0.1063321</v>
      </c>
      <c r="U6367">
        <v>3.0545040000000001</v>
      </c>
      <c r="V6367">
        <v>-8.0649289999999998E-2</v>
      </c>
      <c r="W6367">
        <v>9.4262470000000001E-2</v>
      </c>
      <c r="X6367">
        <v>0.99227529999999997</v>
      </c>
      <c r="Y6367">
        <v>8.9727280000000006E-2</v>
      </c>
      <c r="Z6367">
        <v>-3.4664260000000002E-2</v>
      </c>
      <c r="AA6367">
        <v>0.99536290000000005</v>
      </c>
      <c r="AB6367">
        <v>53</v>
      </c>
      <c r="AC6367">
        <v>2.4678999999999802</v>
      </c>
      <c r="AD6367">
        <v>-1.10442222566</v>
      </c>
      <c r="AE6367">
        <v>31.1922</v>
      </c>
      <c r="AF6367">
        <v>2.85310111999922</v>
      </c>
      <c r="AG6367">
        <v>-1.10442222566</v>
      </c>
      <c r="AH6367">
        <v>31.1202303924386</v>
      </c>
      <c r="AI6367">
        <v>92.024028938757894</v>
      </c>
      <c r="AJ6367">
        <v>84.761769281705796</v>
      </c>
      <c r="AK6367">
        <v>31.2702522236699</v>
      </c>
    </row>
    <row r="6368" spans="1:37" x14ac:dyDescent="0.2">
      <c r="A6368" t="str">
        <f>"20200111153554359"</f>
        <v>20200111153554359</v>
      </c>
      <c r="B6368" t="str">
        <f>"1578728154352220"</f>
        <v>1578728154352220</v>
      </c>
      <c r="C6368" t="s">
        <v>37</v>
      </c>
      <c r="D6368">
        <v>4.6682350000000001</v>
      </c>
      <c r="E6368">
        <v>0.56507499999999999</v>
      </c>
      <c r="F6368" t="s">
        <v>39</v>
      </c>
      <c r="G6368">
        <v>-185.22</v>
      </c>
      <c r="H6368" s="1">
        <v>-2.2709589999999999E-6</v>
      </c>
      <c r="I6368">
        <v>92.584009999999907</v>
      </c>
      <c r="J6368">
        <v>-187.67169999999999</v>
      </c>
      <c r="K6368">
        <v>1.1044129999999901</v>
      </c>
      <c r="L6368">
        <v>61.789669999999902</v>
      </c>
      <c r="M6368">
        <v>-1.23138E-2</v>
      </c>
      <c r="N6368">
        <v>0</v>
      </c>
      <c r="O6368">
        <v>0.99980959999999997</v>
      </c>
      <c r="P6368">
        <v>-9.1929060000000007E-2</v>
      </c>
      <c r="Q6368">
        <v>7.8164250000000005E-2</v>
      </c>
      <c r="R6368">
        <v>0.99269300000000005</v>
      </c>
      <c r="S6368">
        <v>0.238205</v>
      </c>
      <c r="T6368">
        <v>-0.107597499999999</v>
      </c>
      <c r="U6368">
        <v>3.0535890000000001</v>
      </c>
      <c r="V6368">
        <v>-7.9644370000000006E-2</v>
      </c>
      <c r="W6368">
        <v>9.3241779999999996E-2</v>
      </c>
      <c r="X6368">
        <v>0.99245289999999997</v>
      </c>
      <c r="Y6368">
        <v>8.9996030000000005E-2</v>
      </c>
      <c r="Z6368">
        <v>-3.5085860000000003E-2</v>
      </c>
      <c r="AA6368">
        <v>0.99532389999999904</v>
      </c>
      <c r="AB6368">
        <v>53</v>
      </c>
      <c r="AC6368">
        <v>2.4516999999999798</v>
      </c>
      <c r="AD6368">
        <v>-1.1044152709589901</v>
      </c>
      <c r="AE6368">
        <v>30.794339999999998</v>
      </c>
      <c r="AF6368">
        <v>2.8271393860816301</v>
      </c>
      <c r="AG6368">
        <v>-1.1044152709589901</v>
      </c>
      <c r="AH6368">
        <v>30.722543752949399</v>
      </c>
      <c r="AI6368">
        <v>92.050130024298895</v>
      </c>
      <c r="AJ6368">
        <v>84.742354615778794</v>
      </c>
      <c r="AK6368">
        <v>30.872109497910099</v>
      </c>
    </row>
    <row r="6369" spans="1:37" x14ac:dyDescent="0.2">
      <c r="A6369" t="str">
        <f>"20200111153554380"</f>
        <v>20200111153554380</v>
      </c>
      <c r="B6369" t="str">
        <f>"1578728154371740"</f>
        <v>1578728154371740</v>
      </c>
      <c r="C6369" t="s">
        <v>37</v>
      </c>
      <c r="D6369">
        <v>4.7179640000000003</v>
      </c>
      <c r="E6369">
        <v>0.56486020000000003</v>
      </c>
      <c r="F6369" t="s">
        <v>39</v>
      </c>
      <c r="G6369">
        <v>-185.29679999999999</v>
      </c>
      <c r="H6369" s="1">
        <v>-2.1079510000000001E-6</v>
      </c>
      <c r="I6369">
        <v>92.165090000000006</v>
      </c>
      <c r="J6369">
        <v>-187.6781</v>
      </c>
      <c r="K6369">
        <v>1.104406</v>
      </c>
      <c r="L6369">
        <v>62.31335</v>
      </c>
      <c r="M6369">
        <v>-1.216627E-2</v>
      </c>
      <c r="N6369">
        <v>0</v>
      </c>
      <c r="O6369">
        <v>0.99981119999999901</v>
      </c>
      <c r="P6369">
        <v>-9.0796539999999995E-2</v>
      </c>
      <c r="Q6369">
        <v>7.5930079999999997E-2</v>
      </c>
      <c r="R6369">
        <v>0.99297060000000004</v>
      </c>
      <c r="S6369">
        <v>0.23869319999999999</v>
      </c>
      <c r="T6369">
        <v>-0.1110005</v>
      </c>
      <c r="U6369">
        <v>3.0529169999999999</v>
      </c>
      <c r="V6369">
        <v>-7.8656809999999994E-2</v>
      </c>
      <c r="W6369">
        <v>9.1023469999999995E-2</v>
      </c>
      <c r="X6369">
        <v>0.99273750000000005</v>
      </c>
      <c r="Y6369">
        <v>9.0021180000000006E-2</v>
      </c>
      <c r="Z6369">
        <v>-3.6201860000000002E-2</v>
      </c>
      <c r="AA6369">
        <v>0.99528169999999905</v>
      </c>
      <c r="AB6369">
        <v>53</v>
      </c>
      <c r="AC6369">
        <v>2.3813</v>
      </c>
      <c r="AD6369">
        <v>-1.104408107951</v>
      </c>
      <c r="AE6369">
        <v>29.851739999999999</v>
      </c>
      <c r="AF6369">
        <v>2.7406222644570102</v>
      </c>
      <c r="AG6369">
        <v>-1.104408107951</v>
      </c>
      <c r="AH6369">
        <v>29.780051939503402</v>
      </c>
      <c r="AI6369">
        <v>92.114940314857293</v>
      </c>
      <c r="AJ6369">
        <v>84.741949136185895</v>
      </c>
      <c r="AK6369">
        <v>29.926279775222099</v>
      </c>
    </row>
    <row r="6370" spans="1:37" x14ac:dyDescent="0.2">
      <c r="A6370" t="str">
        <f>"20200111153554413"</f>
        <v>20200111153554413</v>
      </c>
      <c r="B6370" t="str">
        <f>"1578728154401996"</f>
        <v>1578728154401996</v>
      </c>
      <c r="C6370" t="s">
        <v>37</v>
      </c>
      <c r="D6370">
        <v>4.7458819999999999</v>
      </c>
      <c r="E6370">
        <v>0.56443259999999995</v>
      </c>
      <c r="F6370" t="s">
        <v>39</v>
      </c>
      <c r="G6370">
        <v>-185.37700000000001</v>
      </c>
      <c r="H6370" s="1">
        <v>-1.8551869999999999E-6</v>
      </c>
      <c r="I6370">
        <v>91.485019999999906</v>
      </c>
      <c r="J6370">
        <v>-187.6874</v>
      </c>
      <c r="K6370">
        <v>1.104398</v>
      </c>
      <c r="L6370">
        <v>63.094090000000001</v>
      </c>
      <c r="M6370">
        <v>-1.194651E-2</v>
      </c>
      <c r="N6370">
        <v>0</v>
      </c>
      <c r="O6370">
        <v>0.99981369999999903</v>
      </c>
      <c r="P6370">
        <v>-8.9486990000000002E-2</v>
      </c>
      <c r="Q6370">
        <v>7.3903319999999995E-2</v>
      </c>
      <c r="R6370">
        <v>0.99324239999999997</v>
      </c>
      <c r="S6370">
        <v>0.2407532</v>
      </c>
      <c r="T6370">
        <v>-0.115549</v>
      </c>
      <c r="U6370">
        <v>3.0520939999999999</v>
      </c>
      <c r="V6370">
        <v>-7.7563699999999999E-2</v>
      </c>
      <c r="W6370">
        <v>8.9013679999999998E-2</v>
      </c>
      <c r="X6370">
        <v>0.99300580000000005</v>
      </c>
      <c r="Y6370">
        <v>9.0486440000000001E-2</v>
      </c>
      <c r="Z6370">
        <v>-3.7691710000000003E-2</v>
      </c>
      <c r="AA6370">
        <v>0.99518419999999896</v>
      </c>
      <c r="AB6370">
        <v>53</v>
      </c>
      <c r="AC6370">
        <v>2.31039999999998</v>
      </c>
      <c r="AD6370">
        <v>-1.104399855187</v>
      </c>
      <c r="AE6370">
        <v>28.390929999999901</v>
      </c>
      <c r="AF6370">
        <v>2.64546983909581</v>
      </c>
      <c r="AG6370">
        <v>-1.104399855187</v>
      </c>
      <c r="AH6370">
        <v>28.3187294057063</v>
      </c>
      <c r="AI6370">
        <v>92.223669754072105</v>
      </c>
      <c r="AJ6370">
        <v>84.663050508426196</v>
      </c>
      <c r="AK6370">
        <v>28.463461575558799</v>
      </c>
    </row>
    <row r="6371" spans="1:37" x14ac:dyDescent="0.2">
      <c r="A6371" t="str">
        <f>"20200111153554436"</f>
        <v>20200111153554436</v>
      </c>
      <c r="B6371" t="str">
        <f>"1578728154432252"</f>
        <v>1578728154432252</v>
      </c>
      <c r="C6371" t="s">
        <v>37</v>
      </c>
      <c r="D6371">
        <v>4.8046819999999997</v>
      </c>
      <c r="E6371">
        <v>0.56435389999999996</v>
      </c>
      <c r="F6371" t="s">
        <v>39</v>
      </c>
      <c r="G6371">
        <v>-185.4666</v>
      </c>
      <c r="H6371" s="1">
        <v>-1.709948E-6</v>
      </c>
      <c r="I6371">
        <v>91.128299999999996</v>
      </c>
      <c r="J6371">
        <v>-187.6936</v>
      </c>
      <c r="K6371">
        <v>1.1043889999999901</v>
      </c>
      <c r="L6371">
        <v>63.62079</v>
      </c>
      <c r="M6371">
        <v>-1.1798070000000001E-2</v>
      </c>
      <c r="N6371">
        <v>0</v>
      </c>
      <c r="O6371">
        <v>0.99981529999999996</v>
      </c>
      <c r="P6371">
        <v>-8.7787420000000005E-2</v>
      </c>
      <c r="Q6371">
        <v>7.264893E-2</v>
      </c>
      <c r="R6371">
        <v>0.99348649999999905</v>
      </c>
      <c r="S6371">
        <v>0.2416992</v>
      </c>
      <c r="T6371">
        <v>-0.1201979</v>
      </c>
      <c r="U6371">
        <v>3.0511169999999899</v>
      </c>
      <c r="V6371">
        <v>-7.6009939999999998E-2</v>
      </c>
      <c r="W6371">
        <v>8.7769249999999993E-2</v>
      </c>
      <c r="X6371">
        <v>0.99323669999999997</v>
      </c>
      <c r="Y6371">
        <v>9.0665570000000001E-2</v>
      </c>
      <c r="Z6371">
        <v>-3.9217679999999998E-2</v>
      </c>
      <c r="AA6371">
        <v>0.99510889999999996</v>
      </c>
      <c r="AB6371">
        <v>53</v>
      </c>
      <c r="AC6371">
        <v>2.2269999999999999</v>
      </c>
      <c r="AD6371">
        <v>-1.1043907099479999</v>
      </c>
      <c r="AE6371">
        <v>27.5075099999999</v>
      </c>
      <c r="AF6371">
        <v>2.5473384877067802</v>
      </c>
      <c r="AG6371">
        <v>-1.1043907099479999</v>
      </c>
      <c r="AH6371">
        <v>27.435382109998599</v>
      </c>
      <c r="AI6371">
        <v>92.295292180248893</v>
      </c>
      <c r="AJ6371">
        <v>84.695372225141696</v>
      </c>
      <c r="AK6371">
        <v>27.575510942370698</v>
      </c>
    </row>
    <row r="6372" spans="1:37" x14ac:dyDescent="0.2">
      <c r="A6372" t="str">
        <f>"20200111153554458"</f>
        <v>20200111153554458</v>
      </c>
      <c r="B6372" t="str">
        <f>"1578728154451772"</f>
        <v>1578728154451772</v>
      </c>
      <c r="C6372" t="s">
        <v>37</v>
      </c>
      <c r="D6372">
        <v>4.7603780000000002</v>
      </c>
      <c r="E6372">
        <v>0.56416790000000006</v>
      </c>
      <c r="F6372" t="s">
        <v>39</v>
      </c>
      <c r="G6372">
        <v>-185.47099999999901</v>
      </c>
      <c r="H6372" s="1">
        <v>-1.726482E-6</v>
      </c>
      <c r="I6372">
        <v>91.180340000000001</v>
      </c>
      <c r="J6372">
        <v>-187.69990000000001</v>
      </c>
      <c r="K6372">
        <v>1.104376</v>
      </c>
      <c r="L6372">
        <v>64.161559999999994</v>
      </c>
      <c r="M6372">
        <v>-1.1645869999999999E-2</v>
      </c>
      <c r="N6372">
        <v>0</v>
      </c>
      <c r="O6372">
        <v>0.99981699999999996</v>
      </c>
      <c r="P6372">
        <v>-8.592176E-2</v>
      </c>
      <c r="Q6372">
        <v>7.0743589999999995E-2</v>
      </c>
      <c r="R6372">
        <v>0.99378709999999904</v>
      </c>
      <c r="S6372">
        <v>0.2460022</v>
      </c>
      <c r="T6372">
        <v>-0.1222365</v>
      </c>
      <c r="U6372">
        <v>3.050354</v>
      </c>
      <c r="V6372">
        <v>-7.4292990000000003E-2</v>
      </c>
      <c r="W6372">
        <v>8.5873399999999905E-2</v>
      </c>
      <c r="X6372">
        <v>0.99353219999999998</v>
      </c>
      <c r="Y6372">
        <v>9.1926179999999996E-2</v>
      </c>
      <c r="Z6372">
        <v>-3.9887249999999999E-2</v>
      </c>
      <c r="AA6372">
        <v>0.99496659999999904</v>
      </c>
      <c r="AB6372">
        <v>53</v>
      </c>
      <c r="AC6372">
        <v>2.2289000000000301</v>
      </c>
      <c r="AD6372">
        <v>-1.1043777264820001</v>
      </c>
      <c r="AE6372">
        <v>27.01878</v>
      </c>
      <c r="AF6372">
        <v>2.53922859023533</v>
      </c>
      <c r="AG6372">
        <v>-1.1043777264820001</v>
      </c>
      <c r="AH6372">
        <v>26.946271432172502</v>
      </c>
      <c r="AI6372">
        <v>92.336581929151706</v>
      </c>
      <c r="AJ6372">
        <v>84.616742184552805</v>
      </c>
      <c r="AK6372">
        <v>27.088168562908301</v>
      </c>
    </row>
    <row r="6373" spans="1:37" x14ac:dyDescent="0.2">
      <c r="A6373" t="str">
        <f>"20200111153554482"</f>
        <v>20200111153554482</v>
      </c>
      <c r="B6373" t="str">
        <f>"1578728154472271"</f>
        <v>1578728154472271</v>
      </c>
      <c r="C6373" t="s">
        <v>37</v>
      </c>
      <c r="D6373">
        <v>4.7691840000000001</v>
      </c>
      <c r="E6373">
        <v>0.5638725</v>
      </c>
      <c r="F6373" t="s">
        <v>39</v>
      </c>
      <c r="G6373">
        <v>-185.5284</v>
      </c>
      <c r="H6373" s="1">
        <v>-1.5269980000000001E-6</v>
      </c>
      <c r="I6373">
        <v>90.638999999999996</v>
      </c>
      <c r="J6373">
        <v>-187.70609999999999</v>
      </c>
      <c r="K6373">
        <v>1.104385</v>
      </c>
      <c r="L6373">
        <v>64.703890000000001</v>
      </c>
      <c r="M6373">
        <v>-1.1501799999999901E-2</v>
      </c>
      <c r="N6373">
        <v>0</v>
      </c>
      <c r="O6373">
        <v>0.99981710000000001</v>
      </c>
      <c r="P6373">
        <v>-8.3125320000000003E-2</v>
      </c>
      <c r="Q6373">
        <v>6.8005899999999994E-2</v>
      </c>
      <c r="R6373">
        <v>0.99421599999999999</v>
      </c>
      <c r="S6373">
        <v>0.25009160000000002</v>
      </c>
      <c r="T6373">
        <v>-0.12719249999999999</v>
      </c>
      <c r="U6373">
        <v>3.0494379999999999</v>
      </c>
      <c r="V6373">
        <v>-7.1636340000000007E-2</v>
      </c>
      <c r="W6373">
        <v>8.3242150000000001E-2</v>
      </c>
      <c r="X6373">
        <v>0.99395119999999904</v>
      </c>
      <c r="Y6373">
        <v>9.3126669999999995E-2</v>
      </c>
      <c r="Z6373">
        <v>-4.150964E-2</v>
      </c>
      <c r="AA6373">
        <v>0.99478860000000002</v>
      </c>
      <c r="AB6373">
        <v>53</v>
      </c>
      <c r="AC6373">
        <v>2.1776999999999802</v>
      </c>
      <c r="AD6373">
        <v>-1.104386526998</v>
      </c>
      <c r="AE6373">
        <v>25.935109999999899</v>
      </c>
      <c r="AF6373">
        <v>2.4714411418024498</v>
      </c>
      <c r="AG6373">
        <v>-1.104386526998</v>
      </c>
      <c r="AH6373">
        <v>25.861777202552901</v>
      </c>
      <c r="AI6373">
        <v>92.434164359089706</v>
      </c>
      <c r="AJ6373">
        <v>84.541193571857804</v>
      </c>
      <c r="AK6373">
        <v>26.003061569609301</v>
      </c>
    </row>
    <row r="6374" spans="1:37" x14ac:dyDescent="0.2">
      <c r="A6374" t="str">
        <f>"20200111153554504"</f>
        <v>20200111153554504</v>
      </c>
      <c r="B6374" t="str">
        <f>"1578728154491788"</f>
        <v>1578728154491788</v>
      </c>
      <c r="C6374" t="s">
        <v>37</v>
      </c>
      <c r="D6374">
        <v>4.8294920000000001</v>
      </c>
      <c r="E6374">
        <v>0.56378660000000003</v>
      </c>
      <c r="F6374" t="s">
        <v>39</v>
      </c>
      <c r="G6374">
        <v>-185.59630000000001</v>
      </c>
      <c r="H6374" s="1">
        <v>-1.2167149999999999E-6</v>
      </c>
      <c r="I6374">
        <v>89.780270000000002</v>
      </c>
      <c r="J6374">
        <v>-187.71190000000001</v>
      </c>
      <c r="K6374">
        <v>1.1044099999999999</v>
      </c>
      <c r="L6374">
        <v>65.219149999999999</v>
      </c>
      <c r="M6374">
        <v>-1.1377E-2</v>
      </c>
      <c r="N6374">
        <v>0</v>
      </c>
      <c r="O6374">
        <v>0.99981569999999997</v>
      </c>
      <c r="P6374">
        <v>-7.9857330000000004E-2</v>
      </c>
      <c r="Q6374">
        <v>6.5210000000000004E-2</v>
      </c>
      <c r="R6374">
        <v>0.99467099999999897</v>
      </c>
      <c r="S6374">
        <v>0.25645449999999997</v>
      </c>
      <c r="T6374">
        <v>-0.13423950000000001</v>
      </c>
      <c r="U6374">
        <v>3.0480649999999998</v>
      </c>
      <c r="V6374">
        <v>-6.8487999999999993E-2</v>
      </c>
      <c r="W6374">
        <v>8.063737E-2</v>
      </c>
      <c r="X6374">
        <v>0.99438769999999999</v>
      </c>
      <c r="Y6374">
        <v>9.5092899999999994E-2</v>
      </c>
      <c r="Z6374">
        <v>-4.3817010000000003E-2</v>
      </c>
      <c r="AA6374">
        <v>0.99450360000000004</v>
      </c>
      <c r="AB6374">
        <v>53</v>
      </c>
      <c r="AC6374">
        <v>2.1156000000000001</v>
      </c>
      <c r="AD6374">
        <v>-1.104411216715</v>
      </c>
      <c r="AE6374">
        <v>24.561119999999999</v>
      </c>
      <c r="AF6374">
        <v>2.3901312465611402</v>
      </c>
      <c r="AG6374">
        <v>-1.104411216715</v>
      </c>
      <c r="AH6374">
        <v>24.486313071811701</v>
      </c>
      <c r="AI6374">
        <v>92.570273990927006</v>
      </c>
      <c r="AJ6374">
        <v>84.424968282146096</v>
      </c>
      <c r="AK6374">
        <v>24.627463924695299</v>
      </c>
    </row>
    <row r="6375" spans="1:37" x14ac:dyDescent="0.2">
      <c r="A6375" t="str">
        <f>"20200111153554527"</f>
        <v>20200111153554527</v>
      </c>
      <c r="B6375" t="str">
        <f>"1578728154522045"</f>
        <v>1578728154522045</v>
      </c>
      <c r="C6375" t="s">
        <v>37</v>
      </c>
      <c r="D6375">
        <v>4.8029299999999999</v>
      </c>
      <c r="E6375">
        <v>0.56369579999999997</v>
      </c>
      <c r="F6375" t="s">
        <v>39</v>
      </c>
      <c r="G6375">
        <v>-185.6893</v>
      </c>
      <c r="H6375" s="1">
        <v>-4.5327050000000002E-6</v>
      </c>
      <c r="I6375">
        <v>88.416200000000003</v>
      </c>
      <c r="J6375">
        <v>-187.7182</v>
      </c>
      <c r="K6375">
        <v>1.104444</v>
      </c>
      <c r="L6375">
        <v>65.784999999999997</v>
      </c>
      <c r="M6375">
        <v>-1.1241650000000001E-2</v>
      </c>
      <c r="N6375">
        <v>0</v>
      </c>
      <c r="O6375">
        <v>0.99981330000000002</v>
      </c>
      <c r="P6375">
        <v>-7.5918769999999997E-2</v>
      </c>
      <c r="Q6375">
        <v>6.1775860000000002E-2</v>
      </c>
      <c r="R6375">
        <v>0.99519849999999999</v>
      </c>
      <c r="S6375">
        <v>0.26567079999999998</v>
      </c>
      <c r="T6375">
        <v>-0.14506350000000001</v>
      </c>
      <c r="U6375">
        <v>3.0469059999999999</v>
      </c>
      <c r="V6375">
        <v>-6.4680689999999999E-2</v>
      </c>
      <c r="W6375">
        <v>7.7458750000000007E-2</v>
      </c>
      <c r="X6375">
        <v>0.99489519999999998</v>
      </c>
      <c r="Y6375">
        <v>9.7961670000000001E-2</v>
      </c>
      <c r="Z6375">
        <v>-4.7347750000000001E-2</v>
      </c>
      <c r="AA6375">
        <v>0.99406329999999998</v>
      </c>
      <c r="AB6375">
        <v>53</v>
      </c>
      <c r="AC6375">
        <v>2.0288999999999899</v>
      </c>
      <c r="AD6375">
        <v>-1.104448532705</v>
      </c>
      <c r="AE6375">
        <v>22.6312</v>
      </c>
      <c r="AF6375">
        <v>2.2778334961212501</v>
      </c>
      <c r="AG6375">
        <v>-1.104448532705</v>
      </c>
      <c r="AH6375">
        <v>22.553672181259099</v>
      </c>
      <c r="AI6375">
        <v>92.789355248320106</v>
      </c>
      <c r="AJ6375">
        <v>84.232903778600701</v>
      </c>
      <c r="AK6375">
        <v>22.695296007259898</v>
      </c>
    </row>
    <row r="6376" spans="1:37" x14ac:dyDescent="0.2">
      <c r="A6376" t="str">
        <f>"20200111153554549"</f>
        <v>20200111153554549</v>
      </c>
      <c r="B6376" t="str">
        <f>"1578728154541566"</f>
        <v>1578728154541566</v>
      </c>
      <c r="C6376" t="s">
        <v>37</v>
      </c>
      <c r="D6376">
        <v>4.8376739999999998</v>
      </c>
      <c r="E6376">
        <v>0.56359429999999999</v>
      </c>
      <c r="F6376" t="s">
        <v>39</v>
      </c>
      <c r="G6376">
        <v>-185.73150000000001</v>
      </c>
      <c r="H6376" s="1">
        <v>-4.1872030000000002E-6</v>
      </c>
      <c r="I6376">
        <v>87.628280000000004</v>
      </c>
      <c r="J6376">
        <v>-187.72370000000001</v>
      </c>
      <c r="K6376">
        <v>1.1044700000000001</v>
      </c>
      <c r="L6376">
        <v>66.290890000000005</v>
      </c>
      <c r="M6376">
        <v>-1.111844E-2</v>
      </c>
      <c r="N6376">
        <v>0</v>
      </c>
      <c r="O6376">
        <v>0.99981100000000001</v>
      </c>
      <c r="P6376">
        <v>-7.1121660000000003E-2</v>
      </c>
      <c r="Q6376">
        <v>5.8368399999999897E-2</v>
      </c>
      <c r="R6376">
        <v>0.99575840000000004</v>
      </c>
      <c r="S6376">
        <v>0.27696229999999999</v>
      </c>
      <c r="T6376">
        <v>-0.15397079999999999</v>
      </c>
      <c r="U6376">
        <v>3.045166</v>
      </c>
      <c r="V6376">
        <v>-6.0002659999999999E-2</v>
      </c>
      <c r="W6376">
        <v>7.4289309999999997E-2</v>
      </c>
      <c r="X6376">
        <v>0.99542989999999998</v>
      </c>
      <c r="Y6376">
        <v>0.1015316</v>
      </c>
      <c r="Z6376">
        <v>-5.0259239999999997E-2</v>
      </c>
      <c r="AA6376">
        <v>0.9935619</v>
      </c>
      <c r="AB6376">
        <v>53</v>
      </c>
      <c r="AC6376">
        <v>1.99219999999999</v>
      </c>
      <c r="AD6376">
        <v>-1.1044741872029999</v>
      </c>
      <c r="AE6376">
        <v>21.337389999999999</v>
      </c>
      <c r="AF6376">
        <v>2.2234396165047299</v>
      </c>
      <c r="AG6376">
        <v>-1.1044741872029999</v>
      </c>
      <c r="AH6376">
        <v>21.257453961263</v>
      </c>
      <c r="AI6376">
        <v>92.958135646172806</v>
      </c>
      <c r="AJ6376">
        <v>84.028816519211304</v>
      </c>
      <c r="AK6376">
        <v>21.401936731839399</v>
      </c>
    </row>
    <row r="6377" spans="1:37" x14ac:dyDescent="0.2">
      <c r="A6377" t="str">
        <f>"20200111153554571"</f>
        <v>20200111153554571</v>
      </c>
      <c r="B6377" t="str">
        <f>"1578728154562060"</f>
        <v>1578728154562060</v>
      </c>
      <c r="C6377" t="s">
        <v>37</v>
      </c>
      <c r="D6377">
        <v>4.8817919999999999</v>
      </c>
      <c r="E6377">
        <v>0.5635597</v>
      </c>
      <c r="F6377" t="s">
        <v>39</v>
      </c>
      <c r="G6377">
        <v>-185.7628</v>
      </c>
      <c r="H6377" s="1">
        <v>-3.8398469999999901E-6</v>
      </c>
      <c r="I6377">
        <v>86.831530000000001</v>
      </c>
      <c r="J6377">
        <v>-187.7296</v>
      </c>
      <c r="K6377">
        <v>1.1045069999999999</v>
      </c>
      <c r="L6377">
        <v>66.835719999999995</v>
      </c>
      <c r="M6377">
        <v>-1.0981029999999999E-2</v>
      </c>
      <c r="N6377">
        <v>0</v>
      </c>
      <c r="O6377">
        <v>0.99980800000000003</v>
      </c>
      <c r="P6377">
        <v>-6.6152589999999997E-2</v>
      </c>
      <c r="Q6377">
        <v>5.5931519999999998E-2</v>
      </c>
      <c r="R6377">
        <v>0.99624069999999998</v>
      </c>
      <c r="S6377">
        <v>0.290512099999999</v>
      </c>
      <c r="T6377">
        <v>-0.1636292</v>
      </c>
      <c r="U6377">
        <v>3.04312099999999</v>
      </c>
      <c r="V6377">
        <v>-5.5167319999999999E-2</v>
      </c>
      <c r="W6377">
        <v>7.2131230000000005E-2</v>
      </c>
      <c r="X6377">
        <v>0.99586830000000004</v>
      </c>
      <c r="Y6377">
        <v>0.105824399999999</v>
      </c>
      <c r="Z6377">
        <v>-5.3415919999999999E-2</v>
      </c>
      <c r="AA6377">
        <v>0.99294910000000003</v>
      </c>
      <c r="AB6377">
        <v>53</v>
      </c>
      <c r="AC6377">
        <v>1.9668000000000001</v>
      </c>
      <c r="AD6377">
        <v>-1.1045108398469901</v>
      </c>
      <c r="AE6377">
        <v>19.995809999999999</v>
      </c>
      <c r="AF6377">
        <v>2.1796980599155602</v>
      </c>
      <c r="AG6377">
        <v>-1.1045108398469901</v>
      </c>
      <c r="AH6377">
        <v>19.912829106789399</v>
      </c>
      <c r="AI6377">
        <v>93.155976314434497</v>
      </c>
      <c r="AJ6377">
        <v>83.753160006056405</v>
      </c>
      <c r="AK6377">
        <v>20.062198056642199</v>
      </c>
    </row>
    <row r="6378" spans="1:37" x14ac:dyDescent="0.2">
      <c r="A6378" t="str">
        <f>"20200111153554593"</f>
        <v>20200111153554593</v>
      </c>
      <c r="B6378" t="str">
        <f>"1578728154581580"</f>
        <v>1578728154581580</v>
      </c>
      <c r="C6378" t="s">
        <v>37</v>
      </c>
      <c r="D6378">
        <v>4.8680949999999896</v>
      </c>
      <c r="E6378">
        <v>0.56336140000000001</v>
      </c>
      <c r="F6378" t="s">
        <v>39</v>
      </c>
      <c r="G6378">
        <v>-185.73949999999999</v>
      </c>
      <c r="H6378" s="1">
        <v>-3.7727089999999999E-6</v>
      </c>
      <c r="I6378">
        <v>86.665390000000002</v>
      </c>
      <c r="J6378">
        <v>-187.73490000000001</v>
      </c>
      <c r="K6378">
        <v>1.104555</v>
      </c>
      <c r="L6378">
        <v>67.33023</v>
      </c>
      <c r="M6378">
        <v>-1.0846349999999999E-2</v>
      </c>
      <c r="N6378">
        <v>0</v>
      </c>
      <c r="O6378">
        <v>0.99980460000000004</v>
      </c>
      <c r="P6378">
        <v>-6.1633720000000003E-2</v>
      </c>
      <c r="Q6378">
        <v>5.4460500000000002E-2</v>
      </c>
      <c r="R6378">
        <v>0.99661200000000005</v>
      </c>
      <c r="S6378">
        <v>0.30520629999999999</v>
      </c>
      <c r="T6378">
        <v>-0.1693895</v>
      </c>
      <c r="U6378">
        <v>3.0411069999999998</v>
      </c>
      <c r="V6378">
        <v>-5.0780930000000002E-2</v>
      </c>
      <c r="W6378">
        <v>7.0960259999999997E-2</v>
      </c>
      <c r="X6378">
        <v>0.99618569999999995</v>
      </c>
      <c r="Y6378">
        <v>0.11049349999999999</v>
      </c>
      <c r="Z6378">
        <v>-5.5300080000000001E-2</v>
      </c>
      <c r="AA6378">
        <v>0.99233719999999903</v>
      </c>
      <c r="AB6378">
        <v>53</v>
      </c>
      <c r="AC6378">
        <v>1.9954000000000101</v>
      </c>
      <c r="AD6378">
        <v>-1.104558772709</v>
      </c>
      <c r="AE6378">
        <v>19.335159999999998</v>
      </c>
      <c r="AF6378">
        <v>2.1979298188662302</v>
      </c>
      <c r="AG6378">
        <v>-1.104558772709</v>
      </c>
      <c r="AH6378">
        <v>19.250215739914601</v>
      </c>
      <c r="AI6378">
        <v>93.262823044948604</v>
      </c>
      <c r="AJ6378">
        <v>83.486352948928698</v>
      </c>
      <c r="AK6378">
        <v>19.406745002815001</v>
      </c>
    </row>
    <row r="6379" spans="1:37" x14ac:dyDescent="0.2">
      <c r="A6379" t="str">
        <f>"20200111153554614"</f>
        <v>20200111153554614</v>
      </c>
      <c r="B6379" t="str">
        <f>"1578728154611837"</f>
        <v>1578728154611837</v>
      </c>
      <c r="C6379" t="s">
        <v>37</v>
      </c>
      <c r="D6379">
        <v>4.9478239999999998</v>
      </c>
      <c r="E6379">
        <v>0.56300930000000005</v>
      </c>
      <c r="F6379" t="s">
        <v>39</v>
      </c>
      <c r="G6379">
        <v>-185.70769999999999</v>
      </c>
      <c r="H6379" s="1">
        <v>-3.81289899999999E-6</v>
      </c>
      <c r="I6379">
        <v>86.745940000000004</v>
      </c>
      <c r="J6379">
        <v>-187.74019999999999</v>
      </c>
      <c r="K6379">
        <v>1.1046100000000001</v>
      </c>
      <c r="L6379">
        <v>67.835849999999994</v>
      </c>
      <c r="M6379">
        <v>-1.070158E-2</v>
      </c>
      <c r="N6379">
        <v>0</v>
      </c>
      <c r="O6379">
        <v>0.99980029999999998</v>
      </c>
      <c r="P6379">
        <v>-5.7495009999999999E-2</v>
      </c>
      <c r="Q6379">
        <v>5.3677120000000002E-2</v>
      </c>
      <c r="R6379">
        <v>0.99690179999999995</v>
      </c>
      <c r="S6379">
        <v>0.31732179999999999</v>
      </c>
      <c r="T6379">
        <v>-0.17290429999999901</v>
      </c>
      <c r="U6379">
        <v>3.0392759999999899</v>
      </c>
      <c r="V6379">
        <v>-4.6785630000000002E-2</v>
      </c>
      <c r="W6379">
        <v>7.0528859999999999E-2</v>
      </c>
      <c r="X6379">
        <v>0.99641199999999996</v>
      </c>
      <c r="Y6379">
        <v>0.11431620000000001</v>
      </c>
      <c r="Z6379">
        <v>-5.6454099999999903E-2</v>
      </c>
      <c r="AA6379">
        <v>0.99183909999999997</v>
      </c>
      <c r="AB6379">
        <v>52</v>
      </c>
      <c r="AC6379">
        <v>2.03249999999999</v>
      </c>
      <c r="AD6379">
        <v>-1.104613812899</v>
      </c>
      <c r="AE6379">
        <v>18.91009</v>
      </c>
      <c r="AF6379">
        <v>2.2272671727523798</v>
      </c>
      <c r="AG6379">
        <v>-1.104613812899</v>
      </c>
      <c r="AH6379">
        <v>18.823756003713299</v>
      </c>
      <c r="AI6379">
        <v>93.335161812933606</v>
      </c>
      <c r="AJ6379">
        <v>83.252014690338001</v>
      </c>
      <c r="AK6379">
        <v>18.9872241473523</v>
      </c>
    </row>
    <row r="6380" spans="1:37" x14ac:dyDescent="0.2">
      <c r="A6380" t="str">
        <f>"20200111153554637"</f>
        <v>20200111153554637</v>
      </c>
      <c r="B6380" t="str">
        <f>"1578728154632333"</f>
        <v>1578728154632333</v>
      </c>
      <c r="C6380" t="s">
        <v>37</v>
      </c>
      <c r="D6380">
        <v>4.8900790000000001</v>
      </c>
      <c r="E6380">
        <v>0.52239290000000005</v>
      </c>
      <c r="F6380" t="s">
        <v>39</v>
      </c>
      <c r="G6380">
        <v>-185.64869999999999</v>
      </c>
      <c r="H6380" s="1">
        <v>-4.0464750000000001E-6</v>
      </c>
      <c r="I6380">
        <v>87.266000000000005</v>
      </c>
      <c r="J6380">
        <v>-187.7456</v>
      </c>
      <c r="K6380">
        <v>1.104665</v>
      </c>
      <c r="L6380">
        <v>68.349879999999999</v>
      </c>
      <c r="M6380">
        <v>-1.055305E-2</v>
      </c>
      <c r="N6380">
        <v>0</v>
      </c>
      <c r="O6380">
        <v>0.99979530000000005</v>
      </c>
      <c r="P6380">
        <v>-5.2885540000000002E-2</v>
      </c>
      <c r="Q6380">
        <v>5.2434359999999999E-2</v>
      </c>
      <c r="R6380">
        <v>0.99722299999999997</v>
      </c>
      <c r="S6380">
        <v>0.32696529999999902</v>
      </c>
      <c r="T6380">
        <v>-0.1726819</v>
      </c>
      <c r="U6380">
        <v>3.0374759999999998</v>
      </c>
      <c r="V6380">
        <v>-4.2322039999999998E-2</v>
      </c>
      <c r="W6380">
        <v>6.9668869999999994E-2</v>
      </c>
      <c r="X6380">
        <v>0.996671999999999</v>
      </c>
      <c r="Y6380">
        <v>0.11734310000000001</v>
      </c>
      <c r="Z6380">
        <v>-5.6395630000000002E-2</v>
      </c>
      <c r="AA6380">
        <v>0.99148879999999995</v>
      </c>
      <c r="AB6380">
        <v>52</v>
      </c>
      <c r="AC6380">
        <v>2.0969000000000002</v>
      </c>
      <c r="AD6380">
        <v>-1.104669046475</v>
      </c>
      <c r="AE6380">
        <v>18.916119999999999</v>
      </c>
      <c r="AF6380">
        <v>2.28872508257981</v>
      </c>
      <c r="AG6380">
        <v>-1.104669046475</v>
      </c>
      <c r="AH6380">
        <v>18.8294984998277</v>
      </c>
      <c r="AI6380">
        <v>93.333043907918594</v>
      </c>
      <c r="AJ6380">
        <v>83.069696314462604</v>
      </c>
      <c r="AK6380">
        <v>19.000225523948</v>
      </c>
    </row>
    <row r="6381" spans="1:37" x14ac:dyDescent="0.2">
      <c r="A6381" t="str">
        <f>"20200111153554660"</f>
        <v>20200111153554660</v>
      </c>
      <c r="B6381" t="str">
        <f>"1578728154651852"</f>
        <v>1578728154651852</v>
      </c>
      <c r="C6381" t="s">
        <v>37</v>
      </c>
      <c r="D6381">
        <v>5.0582459999999996</v>
      </c>
      <c r="E6381">
        <v>0.51032829999999996</v>
      </c>
      <c r="F6381" t="s">
        <v>39</v>
      </c>
      <c r="G6381">
        <v>-187.61859999999999</v>
      </c>
      <c r="H6381" s="1">
        <v>-8.6010000000000003E-7</v>
      </c>
      <c r="I6381">
        <v>90.313569999999999</v>
      </c>
      <c r="J6381">
        <v>-187.75110000000001</v>
      </c>
      <c r="K6381">
        <v>1.1047089999999999</v>
      </c>
      <c r="L6381">
        <v>68.88373</v>
      </c>
      <c r="M6381">
        <v>-1.0403330000000001E-2</v>
      </c>
      <c r="N6381">
        <v>0</v>
      </c>
      <c r="O6381">
        <v>0.99978989999999901</v>
      </c>
      <c r="P6381">
        <v>-4.8492960000000002E-2</v>
      </c>
      <c r="Q6381">
        <v>5.1132499999999997E-2</v>
      </c>
      <c r="R6381">
        <v>0.99751380000000001</v>
      </c>
      <c r="S6381">
        <v>1.7440799999999999E-2</v>
      </c>
      <c r="T6381">
        <v>-0.15175259999999999</v>
      </c>
      <c r="U6381">
        <v>3.017242</v>
      </c>
      <c r="V6381">
        <v>-3.8076739999999998E-2</v>
      </c>
      <c r="W6381">
        <v>6.8768869999999996E-2</v>
      </c>
      <c r="X6381">
        <v>0.99690569999999901</v>
      </c>
      <c r="Y6381">
        <v>1.6177449999999999E-2</v>
      </c>
      <c r="Z6381">
        <v>-5.0223860000000002E-2</v>
      </c>
      <c r="AA6381">
        <v>0.99860700000000002</v>
      </c>
      <c r="AB6381">
        <v>52</v>
      </c>
      <c r="AC6381">
        <v>0.13250000000002099</v>
      </c>
      <c r="AD6381">
        <v>-1.1047098601000001</v>
      </c>
      <c r="AE6381">
        <v>21.429839999999999</v>
      </c>
      <c r="AF6381">
        <v>0.354527215367691</v>
      </c>
      <c r="AG6381">
        <v>-1.1047098601000001</v>
      </c>
      <c r="AH6381">
        <v>21.370513232798999</v>
      </c>
      <c r="AI6381">
        <v>92.958760906732493</v>
      </c>
      <c r="AJ6381">
        <v>89.049575937231893</v>
      </c>
      <c r="AK6381">
        <v>21.401983769143399</v>
      </c>
    </row>
    <row r="6382" spans="1:37" x14ac:dyDescent="0.2">
      <c r="A6382" t="str">
        <f>"20200111153554682"</f>
        <v>20200111153554682</v>
      </c>
      <c r="B6382" t="str">
        <f>"1578728154672351"</f>
        <v>1578728154672351</v>
      </c>
      <c r="C6382" t="s">
        <v>37</v>
      </c>
      <c r="D6382">
        <v>4.952896</v>
      </c>
      <c r="E6382">
        <v>0.50638070000000002</v>
      </c>
      <c r="F6382" t="s">
        <v>39</v>
      </c>
      <c r="G6382">
        <v>-188.28030000000001</v>
      </c>
      <c r="H6382" s="1">
        <v>-1.793022E-6</v>
      </c>
      <c r="I6382">
        <v>93.101290000000006</v>
      </c>
      <c r="J6382">
        <v>-187.75640000000001</v>
      </c>
      <c r="K6382">
        <v>1.1047469999999999</v>
      </c>
      <c r="L6382">
        <v>69.408330000000007</v>
      </c>
      <c r="M6382">
        <v>-1.0263029999999999E-2</v>
      </c>
      <c r="N6382">
        <v>0</v>
      </c>
      <c r="O6382">
        <v>0.99978459999999902</v>
      </c>
      <c r="P6382">
        <v>-4.451074E-2</v>
      </c>
      <c r="Q6382">
        <v>4.907396E-2</v>
      </c>
      <c r="R6382">
        <v>0.99780290000000005</v>
      </c>
      <c r="S6382">
        <v>-6.5811159999999994E-2</v>
      </c>
      <c r="T6382">
        <v>-0.13736470000000001</v>
      </c>
      <c r="U6382">
        <v>3.0113219999999998</v>
      </c>
      <c r="V6382">
        <v>-3.4231850000000001E-2</v>
      </c>
      <c r="W6382">
        <v>6.7091399999999995E-2</v>
      </c>
      <c r="X6382">
        <v>0.99715940000000003</v>
      </c>
      <c r="Y6382">
        <v>-1.156328E-2</v>
      </c>
      <c r="Z6382">
        <v>-4.5558170000000002E-2</v>
      </c>
      <c r="AA6382">
        <v>0.99889479999999997</v>
      </c>
      <c r="AB6382">
        <v>52</v>
      </c>
      <c r="AC6382">
        <v>-0.52389999999999703</v>
      </c>
      <c r="AD6382">
        <v>-1.1047487930219999</v>
      </c>
      <c r="AE6382">
        <v>23.692959999999999</v>
      </c>
      <c r="AF6382">
        <v>-0.28006266577688399</v>
      </c>
      <c r="AG6382">
        <v>-1.1047487930219999</v>
      </c>
      <c r="AH6382">
        <v>23.645705390962</v>
      </c>
      <c r="AI6382">
        <v>92.674778217130694</v>
      </c>
      <c r="AJ6382">
        <v>90.678586584687196</v>
      </c>
      <c r="AK6382">
        <v>23.673155438779499</v>
      </c>
    </row>
    <row r="6383" spans="1:37" x14ac:dyDescent="0.2">
      <c r="A6383" t="str">
        <f>"20200111153554703"</f>
        <v>20200111153554703</v>
      </c>
      <c r="B6383" t="str">
        <f>"1578728154691868"</f>
        <v>1578728154691868</v>
      </c>
      <c r="C6383" t="s">
        <v>37</v>
      </c>
      <c r="D6383">
        <v>4.9016599999999997</v>
      </c>
      <c r="E6383">
        <v>0.50472680000000003</v>
      </c>
      <c r="F6383" t="s">
        <v>39</v>
      </c>
      <c r="G6383">
        <v>-188.45320000000001</v>
      </c>
      <c r="H6383" s="1">
        <v>-2.090786E-6</v>
      </c>
      <c r="I6383">
        <v>93.866879999999995</v>
      </c>
      <c r="J6383">
        <v>-187.76130000000001</v>
      </c>
      <c r="K6383">
        <v>1.1047750000000001</v>
      </c>
      <c r="L6383">
        <v>69.893460000000005</v>
      </c>
      <c r="M6383">
        <v>-1.0136829999999999E-2</v>
      </c>
      <c r="N6383">
        <v>0</v>
      </c>
      <c r="O6383">
        <v>0.99977990000000005</v>
      </c>
      <c r="P6383">
        <v>-3.9925269999999999E-2</v>
      </c>
      <c r="Q6383">
        <v>4.7657999999999999E-2</v>
      </c>
      <c r="R6383">
        <v>0.99806550000000005</v>
      </c>
      <c r="S6383">
        <v>-8.5739140000000005E-2</v>
      </c>
      <c r="T6383">
        <v>-0.135932</v>
      </c>
      <c r="U6383">
        <v>3.0094599999999998</v>
      </c>
      <c r="V6383">
        <v>-2.9770330000000001E-2</v>
      </c>
      <c r="W6383">
        <v>6.6005670000000002E-2</v>
      </c>
      <c r="X6383">
        <v>0.99737509999999996</v>
      </c>
      <c r="Y6383">
        <v>-1.831344E-2</v>
      </c>
      <c r="Z6383">
        <v>-4.510583E-2</v>
      </c>
      <c r="AA6383">
        <v>0.99881430000000004</v>
      </c>
      <c r="AB6383">
        <v>52</v>
      </c>
      <c r="AC6383">
        <v>-0.69190000000000396</v>
      </c>
      <c r="AD6383">
        <v>-1.1047770907859999</v>
      </c>
      <c r="AE6383">
        <v>23.973420000000001</v>
      </c>
      <c r="AF6383">
        <v>-0.447858631966989</v>
      </c>
      <c r="AG6383">
        <v>-1.1047770907859999</v>
      </c>
      <c r="AH6383">
        <v>23.928428648397102</v>
      </c>
      <c r="AI6383">
        <v>92.643010312597099</v>
      </c>
      <c r="AJ6383">
        <v>91.072256522311804</v>
      </c>
      <c r="AK6383">
        <v>23.958105253879801</v>
      </c>
    </row>
    <row r="6384" spans="1:37" x14ac:dyDescent="0.2">
      <c r="A6384" t="str">
        <f>"20200111153554727"</f>
        <v>20200111153554727</v>
      </c>
      <c r="B6384" t="str">
        <f>"1578728154722125"</f>
        <v>1578728154722125</v>
      </c>
      <c r="C6384" t="s">
        <v>37</v>
      </c>
      <c r="D6384">
        <v>4.9202399999999997</v>
      </c>
      <c r="E6384">
        <v>0.50296629999999998</v>
      </c>
      <c r="F6384" t="s">
        <v>39</v>
      </c>
      <c r="G6384">
        <v>-188.4554</v>
      </c>
      <c r="H6384" s="1">
        <v>-2.2913049999999999E-6</v>
      </c>
      <c r="I6384">
        <v>94.335179999999994</v>
      </c>
      <c r="J6384">
        <v>-187.76660000000001</v>
      </c>
      <c r="K6384">
        <v>1.1048020000000001</v>
      </c>
      <c r="L6384">
        <v>70.432919999999996</v>
      </c>
      <c r="M6384">
        <v>-9.9967739999999999E-3</v>
      </c>
      <c r="N6384">
        <v>0</v>
      </c>
      <c r="O6384">
        <v>0.99977510000000003</v>
      </c>
      <c r="P6384">
        <v>-3.554471E-2</v>
      </c>
      <c r="Q6384">
        <v>4.6585380000000003E-2</v>
      </c>
      <c r="R6384">
        <v>0.99828169999999905</v>
      </c>
      <c r="S6384">
        <v>-8.5449220000000006E-2</v>
      </c>
      <c r="T6384">
        <v>-0.13600279999999901</v>
      </c>
      <c r="U6384">
        <v>3.0088810000000001</v>
      </c>
      <c r="V6384">
        <v>-2.5527660000000001E-2</v>
      </c>
      <c r="W6384">
        <v>6.5268649999999998E-2</v>
      </c>
      <c r="X6384">
        <v>0.99754109999999996</v>
      </c>
      <c r="Y6384">
        <v>-1.8362710000000001E-2</v>
      </c>
      <c r="Z6384">
        <v>-4.5138110000000002E-2</v>
      </c>
      <c r="AA6384">
        <v>0.99881200000000003</v>
      </c>
      <c r="AB6384">
        <v>52</v>
      </c>
      <c r="AC6384">
        <v>-0.68879999999998598</v>
      </c>
      <c r="AD6384">
        <v>-1.104804291305</v>
      </c>
      <c r="AE6384">
        <v>23.902259999999998</v>
      </c>
      <c r="AF6384">
        <v>-0.44882018746182001</v>
      </c>
      <c r="AG6384">
        <v>-1.104804291305</v>
      </c>
      <c r="AH6384">
        <v>23.857025138684499</v>
      </c>
      <c r="AI6384">
        <v>92.650969903728907</v>
      </c>
      <c r="AJ6384">
        <v>91.077773494532806</v>
      </c>
      <c r="AK6384">
        <v>23.886809760840499</v>
      </c>
    </row>
    <row r="6385" spans="1:37" x14ac:dyDescent="0.2">
      <c r="A6385" t="str">
        <f>"20200111153554750"</f>
        <v>20200111153554750</v>
      </c>
      <c r="B6385" t="str">
        <f>"1578728154741644"</f>
        <v>1578728154741644</v>
      </c>
      <c r="C6385" t="s">
        <v>37</v>
      </c>
      <c r="D6385">
        <v>4.9176000000000002</v>
      </c>
      <c r="E6385">
        <v>0.50198310000000002</v>
      </c>
      <c r="F6385" t="s">
        <v>39</v>
      </c>
      <c r="G6385">
        <v>-188.4922</v>
      </c>
      <c r="H6385" s="1">
        <v>-2.8438159999999998E-6</v>
      </c>
      <c r="I6385">
        <v>95.638339999999999</v>
      </c>
      <c r="J6385">
        <v>-187.77170000000001</v>
      </c>
      <c r="K6385">
        <v>1.104822</v>
      </c>
      <c r="L6385">
        <v>70.960849999999994</v>
      </c>
      <c r="M6385">
        <v>-9.8571459999999902E-3</v>
      </c>
      <c r="N6385">
        <v>0</v>
      </c>
      <c r="O6385">
        <v>0.99977090000000002</v>
      </c>
      <c r="P6385">
        <v>-3.1322669999999997E-2</v>
      </c>
      <c r="Q6385">
        <v>4.5962219999999998E-2</v>
      </c>
      <c r="R6385">
        <v>0.99845200000000001</v>
      </c>
      <c r="S6385">
        <v>-8.6608889999999994E-2</v>
      </c>
      <c r="T6385">
        <v>-0.13185729999999901</v>
      </c>
      <c r="U6385">
        <v>3.0082399999999998</v>
      </c>
      <c r="V6385">
        <v>-2.1444339999999999E-2</v>
      </c>
      <c r="W6385">
        <v>6.4941269999999995E-2</v>
      </c>
      <c r="X6385">
        <v>0.99765869999999901</v>
      </c>
      <c r="Y6385">
        <v>-1.8894799999999899E-2</v>
      </c>
      <c r="Z6385">
        <v>-4.3773840000000001E-2</v>
      </c>
      <c r="AA6385">
        <v>0.99886269999999999</v>
      </c>
      <c r="AB6385">
        <v>52</v>
      </c>
      <c r="AC6385">
        <v>-0.72049999999998704</v>
      </c>
      <c r="AD6385">
        <v>-1.104824843816</v>
      </c>
      <c r="AE6385">
        <v>24.677489999999999</v>
      </c>
      <c r="AF6385">
        <v>-0.47621772613670399</v>
      </c>
      <c r="AG6385">
        <v>-1.104824843816</v>
      </c>
      <c r="AH6385">
        <v>24.634059509535302</v>
      </c>
      <c r="AI6385">
        <v>92.567486170654405</v>
      </c>
      <c r="AJ6385">
        <v>91.107485659363306</v>
      </c>
      <c r="AK6385">
        <v>24.663420467922201</v>
      </c>
    </row>
    <row r="6386" spans="1:37" x14ac:dyDescent="0.2">
      <c r="A6386" t="str">
        <f>"20200111153554772"</f>
        <v>20200111153554772</v>
      </c>
      <c r="B6386" t="str">
        <f>"1578728154762140"</f>
        <v>1578728154762140</v>
      </c>
      <c r="C6386" t="s">
        <v>37</v>
      </c>
      <c r="D6386">
        <v>4.9221170000000001</v>
      </c>
      <c r="E6386">
        <v>0.50119609999999903</v>
      </c>
      <c r="F6386" t="s">
        <v>39</v>
      </c>
      <c r="G6386">
        <v>-188.47550000000001</v>
      </c>
      <c r="H6386" s="1">
        <v>-3.3268660000000002E-6</v>
      </c>
      <c r="I6386">
        <v>96.757409999999993</v>
      </c>
      <c r="J6386">
        <v>-187.77670000000001</v>
      </c>
      <c r="K6386">
        <v>1.104841</v>
      </c>
      <c r="L6386">
        <v>71.484530000000007</v>
      </c>
      <c r="M6386">
        <v>-9.7154440000000002E-3</v>
      </c>
      <c r="N6386">
        <v>0</v>
      </c>
      <c r="O6386">
        <v>0.99976719999999897</v>
      </c>
      <c r="P6386">
        <v>-2.7458420000000001E-2</v>
      </c>
      <c r="Q6386">
        <v>4.4898019999999997E-2</v>
      </c>
      <c r="R6386">
        <v>0.99861409999999995</v>
      </c>
      <c r="S6386">
        <v>-8.2061770000000006E-2</v>
      </c>
      <c r="T6386">
        <v>-0.1288289</v>
      </c>
      <c r="U6386">
        <v>3.0080259999999899</v>
      </c>
      <c r="V6386">
        <v>-1.7720699999999999E-2</v>
      </c>
      <c r="W6386">
        <v>6.4140440000000007E-2</v>
      </c>
      <c r="X6386">
        <v>0.99778349999999905</v>
      </c>
      <c r="Y6386">
        <v>-1.753091E-2</v>
      </c>
      <c r="Z6386">
        <v>-4.2774899999999998E-2</v>
      </c>
      <c r="AA6386">
        <v>0.99893089999999995</v>
      </c>
      <c r="AB6386">
        <v>51</v>
      </c>
      <c r="AC6386">
        <v>-0.69880000000000497</v>
      </c>
      <c r="AD6386">
        <v>-1.104844326866</v>
      </c>
      <c r="AE6386">
        <v>25.272879999999901</v>
      </c>
      <c r="AF6386">
        <v>-0.45232039020024301</v>
      </c>
      <c r="AG6386">
        <v>-1.104844326866</v>
      </c>
      <c r="AH6386">
        <v>25.2302953766889</v>
      </c>
      <c r="AI6386">
        <v>92.506999954292198</v>
      </c>
      <c r="AJ6386">
        <v>91.027069759208203</v>
      </c>
      <c r="AK6386">
        <v>25.2585248879852</v>
      </c>
    </row>
    <row r="6387" spans="1:37" x14ac:dyDescent="0.2">
      <c r="A6387" t="str">
        <f>"20200111153554815"</f>
        <v>20200111153554815</v>
      </c>
      <c r="B6387" t="str">
        <f>"1578728154811916"</f>
        <v>1578728154811916</v>
      </c>
      <c r="C6387" t="s">
        <v>37</v>
      </c>
      <c r="D6387">
        <v>4.9306380000000001</v>
      </c>
      <c r="E6387">
        <v>0.49963990000000003</v>
      </c>
      <c r="F6387" t="s">
        <v>39</v>
      </c>
      <c r="G6387">
        <v>-188.40880000000001</v>
      </c>
      <c r="H6387" s="1">
        <v>-3.0751439999999999E-6</v>
      </c>
      <c r="I6387">
        <v>96.143069999999994</v>
      </c>
      <c r="J6387">
        <v>-187.78579999999999</v>
      </c>
      <c r="K6387">
        <v>1.10486</v>
      </c>
      <c r="L6387">
        <v>72.454859999999996</v>
      </c>
      <c r="M6387">
        <v>-9.4481589999999994E-3</v>
      </c>
      <c r="N6387">
        <v>0</v>
      </c>
      <c r="O6387">
        <v>0.99976180000000003</v>
      </c>
      <c r="P6387">
        <v>-1.955697E-2</v>
      </c>
      <c r="Q6387">
        <v>3.9901930000000002E-2</v>
      </c>
      <c r="R6387">
        <v>0.99901219999999902</v>
      </c>
      <c r="S6387">
        <v>-7.7102660000000003E-2</v>
      </c>
      <c r="T6387">
        <v>-0.1347795</v>
      </c>
      <c r="U6387">
        <v>3.00808699999999</v>
      </c>
      <c r="V6387">
        <v>-1.0085419999999999E-2</v>
      </c>
      <c r="W6387">
        <v>5.9556329999999998E-2</v>
      </c>
      <c r="X6387">
        <v>0.99817400000000001</v>
      </c>
      <c r="Y6387">
        <v>-1.614968E-2</v>
      </c>
      <c r="Z6387">
        <v>-4.4747580000000002E-2</v>
      </c>
      <c r="AA6387">
        <v>0.99886779999999997</v>
      </c>
      <c r="AB6387">
        <v>51</v>
      </c>
      <c r="AC6387">
        <v>-0.62300000000001798</v>
      </c>
      <c r="AD6387">
        <v>-1.1048630751440001</v>
      </c>
      <c r="AE6387">
        <v>23.688210000000002</v>
      </c>
      <c r="AF6387">
        <v>-0.39825309148864202</v>
      </c>
      <c r="AG6387">
        <v>-1.1048630751440001</v>
      </c>
      <c r="AH6387">
        <v>23.641643556464398</v>
      </c>
      <c r="AI6387">
        <v>92.675321819359098</v>
      </c>
      <c r="AJ6387">
        <v>90.965079406390998</v>
      </c>
      <c r="AK6387">
        <v>23.670797155791099</v>
      </c>
    </row>
    <row r="6388" spans="1:37" x14ac:dyDescent="0.2">
      <c r="A6388" t="str">
        <f>"20200111153554839"</f>
        <v>20200111153554839</v>
      </c>
      <c r="B6388" t="str">
        <f>"1578728154832412"</f>
        <v>1578728154832412</v>
      </c>
      <c r="C6388" t="s">
        <v>37</v>
      </c>
      <c r="D6388">
        <v>4.9289529999999999</v>
      </c>
      <c r="E6388">
        <v>0.49890800000000002</v>
      </c>
      <c r="F6388" t="s">
        <v>39</v>
      </c>
      <c r="G6388">
        <v>-188.27070000000001</v>
      </c>
      <c r="H6388" s="1">
        <v>-2.385212E-6</v>
      </c>
      <c r="I6388">
        <v>94.477729999999994</v>
      </c>
      <c r="J6388">
        <v>-187.79069999999999</v>
      </c>
      <c r="K6388">
        <v>1.1048579999999999</v>
      </c>
      <c r="L6388">
        <v>72.985500000000002</v>
      </c>
      <c r="M6388">
        <v>-9.3019190000000005E-3</v>
      </c>
      <c r="N6388">
        <v>0</v>
      </c>
      <c r="O6388">
        <v>0.99975949999999902</v>
      </c>
      <c r="P6388">
        <v>-1.5762930000000001E-2</v>
      </c>
      <c r="Q6388">
        <v>3.7217550000000002E-2</v>
      </c>
      <c r="R6388">
        <v>0.99918289999999998</v>
      </c>
      <c r="S6388">
        <v>-6.622314E-2</v>
      </c>
      <c r="T6388">
        <v>-0.15089240000000001</v>
      </c>
      <c r="U6388">
        <v>3.0076900000000002</v>
      </c>
      <c r="V6388">
        <v>-6.4375459999999997E-3</v>
      </c>
      <c r="W6388">
        <v>5.7058159999999997E-2</v>
      </c>
      <c r="X6388">
        <v>0.99835010000000002</v>
      </c>
      <c r="Y6388">
        <v>-1.2682509999999999E-2</v>
      </c>
      <c r="Z6388">
        <v>-5.0094519999999997E-2</v>
      </c>
      <c r="AA6388">
        <v>0.998664</v>
      </c>
      <c r="AB6388">
        <v>51</v>
      </c>
      <c r="AC6388">
        <v>-0.48000000000001802</v>
      </c>
      <c r="AD6388">
        <v>-1.10486038521199</v>
      </c>
      <c r="AE6388">
        <v>21.492229999999999</v>
      </c>
      <c r="AF6388">
        <v>-0.27928310499713199</v>
      </c>
      <c r="AG6388">
        <v>-1.10486038521199</v>
      </c>
      <c r="AH6388">
        <v>21.439136121793702</v>
      </c>
      <c r="AI6388">
        <v>92.949863653851295</v>
      </c>
      <c r="AJ6388">
        <v>90.746337821466796</v>
      </c>
      <c r="AK6388">
        <v>21.4694031862171</v>
      </c>
    </row>
    <row r="6389" spans="1:37" x14ac:dyDescent="0.2">
      <c r="A6389" t="str">
        <f>"20200111153554860"</f>
        <v>20200111153554860</v>
      </c>
      <c r="B6389" t="str">
        <f>"1578728154851932"</f>
        <v>1578728154851932</v>
      </c>
      <c r="C6389" t="s">
        <v>37</v>
      </c>
      <c r="D6389">
        <v>4.9672179999999999</v>
      </c>
      <c r="E6389">
        <v>0.49826749999999997</v>
      </c>
      <c r="F6389" t="s">
        <v>39</v>
      </c>
      <c r="G6389">
        <v>-188.2148</v>
      </c>
      <c r="H6389" s="1">
        <v>-2.1485159999999999E-6</v>
      </c>
      <c r="I6389">
        <v>93.902860000000004</v>
      </c>
      <c r="J6389">
        <v>-187.79519999999999</v>
      </c>
      <c r="K6389">
        <v>1.104862</v>
      </c>
      <c r="L6389">
        <v>73.485140000000001</v>
      </c>
      <c r="M6389">
        <v>-9.1648860000000006E-3</v>
      </c>
      <c r="N6389">
        <v>0</v>
      </c>
      <c r="O6389">
        <v>0.99975780000000003</v>
      </c>
      <c r="P6389">
        <v>-1.180057E-2</v>
      </c>
      <c r="Q6389">
        <v>3.5157130000000002E-2</v>
      </c>
      <c r="R6389">
        <v>0.99931209999999904</v>
      </c>
      <c r="S6389">
        <v>-6.097412E-2</v>
      </c>
      <c r="T6389">
        <v>-0.15885250000000001</v>
      </c>
      <c r="U6389">
        <v>3.0074160000000001</v>
      </c>
      <c r="V6389">
        <v>-2.6117710000000001E-3</v>
      </c>
      <c r="W6389">
        <v>5.5147620000000001E-2</v>
      </c>
      <c r="X6389">
        <v>0.9984748</v>
      </c>
      <c r="Y6389">
        <v>-1.1076529999999999E-2</v>
      </c>
      <c r="Z6389">
        <v>-5.2736390000000001E-2</v>
      </c>
      <c r="AA6389">
        <v>0.99854699999999996</v>
      </c>
      <c r="AB6389">
        <v>51</v>
      </c>
      <c r="AC6389">
        <v>-0.41960000000000203</v>
      </c>
      <c r="AD6389">
        <v>-1.104864148516</v>
      </c>
      <c r="AE6389">
        <v>20.417719999999999</v>
      </c>
      <c r="AF6389">
        <v>-0.23174052525076499</v>
      </c>
      <c r="AG6389">
        <v>-1.104864148516</v>
      </c>
      <c r="AH6389">
        <v>20.361111913357501</v>
      </c>
      <c r="AI6389">
        <v>93.105819629354698</v>
      </c>
      <c r="AJ6389">
        <v>90.652085250082493</v>
      </c>
      <c r="AK6389">
        <v>20.392383548913202</v>
      </c>
    </row>
    <row r="6390" spans="1:37" x14ac:dyDescent="0.2">
      <c r="A6390" t="str">
        <f>"20200111153554883"</f>
        <v>20200111153554883</v>
      </c>
      <c r="B6390" t="str">
        <f>"1578728154872437"</f>
        <v>1578728154872437</v>
      </c>
      <c r="C6390" t="s">
        <v>37</v>
      </c>
      <c r="D6390">
        <v>4.9026680000000002</v>
      </c>
      <c r="E6390">
        <v>0.49770189999999997</v>
      </c>
      <c r="F6390" t="s">
        <v>39</v>
      </c>
      <c r="G6390">
        <v>-188.16309999999999</v>
      </c>
      <c r="H6390" s="1">
        <v>-2.1355539999999999E-6</v>
      </c>
      <c r="I6390">
        <v>93.85127</v>
      </c>
      <c r="J6390">
        <v>-187.7997</v>
      </c>
      <c r="K6390">
        <v>1.1048690000000001</v>
      </c>
      <c r="L6390">
        <v>73.984619999999893</v>
      </c>
      <c r="M6390">
        <v>-9.0282780000000007E-3</v>
      </c>
      <c r="N6390">
        <v>0</v>
      </c>
      <c r="O6390">
        <v>0.999756599999999</v>
      </c>
      <c r="P6390">
        <v>-7.7156600000000001E-3</v>
      </c>
      <c r="Q6390">
        <v>3.336335E-2</v>
      </c>
      <c r="R6390">
        <v>0.99941349999999995</v>
      </c>
      <c r="S6390">
        <v>-5.4321290000000001E-2</v>
      </c>
      <c r="T6390">
        <v>-0.16313929999999999</v>
      </c>
      <c r="U6390">
        <v>3.0071720000000002</v>
      </c>
      <c r="V6390">
        <v>1.3363729999999901E-3</v>
      </c>
      <c r="W6390">
        <v>5.3473060000000003E-2</v>
      </c>
      <c r="X6390">
        <v>0.99856840000000002</v>
      </c>
      <c r="Y6390">
        <v>-9.0050870000000002E-3</v>
      </c>
      <c r="Z6390">
        <v>-5.4161620000000001E-2</v>
      </c>
      <c r="AA6390">
        <v>0.99849159999999904</v>
      </c>
      <c r="AB6390">
        <v>51</v>
      </c>
      <c r="AC6390">
        <v>-0.36339999999998401</v>
      </c>
      <c r="AD6390">
        <v>-1.104871135554</v>
      </c>
      <c r="AE6390">
        <v>19.86665</v>
      </c>
      <c r="AF6390">
        <v>-0.183420070984494</v>
      </c>
      <c r="AG6390">
        <v>-1.104871135554</v>
      </c>
      <c r="AH6390">
        <v>19.807877100061901</v>
      </c>
      <c r="AI6390">
        <v>93.192478203501395</v>
      </c>
      <c r="AJ6390">
        <v>90.530541235245707</v>
      </c>
      <c r="AK6390">
        <v>19.8395155777498</v>
      </c>
    </row>
    <row r="6391" spans="1:37" x14ac:dyDescent="0.2">
      <c r="A6391" t="str">
        <f>"20200111153554905"</f>
        <v>20200111153554905</v>
      </c>
      <c r="B6391" t="str">
        <f>"1578728154901708"</f>
        <v>1578728154901708</v>
      </c>
      <c r="C6391" t="s">
        <v>37</v>
      </c>
      <c r="D6391">
        <v>4.9142989999999998</v>
      </c>
      <c r="E6391">
        <v>0.4964866</v>
      </c>
      <c r="F6391" t="s">
        <v>39</v>
      </c>
      <c r="G6391">
        <v>-188.1112</v>
      </c>
      <c r="H6391" s="1">
        <v>-2.1822839999999998E-6</v>
      </c>
      <c r="I6391">
        <v>93.938739999999996</v>
      </c>
      <c r="J6391">
        <v>-187.804</v>
      </c>
      <c r="K6391">
        <v>1.1048750000000001</v>
      </c>
      <c r="L6391">
        <v>74.482600000000005</v>
      </c>
      <c r="M6391">
        <v>-8.8916150000000003E-3</v>
      </c>
      <c r="N6391">
        <v>0</v>
      </c>
      <c r="O6391">
        <v>0.99975619999999998</v>
      </c>
      <c r="P6391">
        <v>-5.2893050000000002E-3</v>
      </c>
      <c r="Q6391">
        <v>3.3180210000000002E-2</v>
      </c>
      <c r="R6391">
        <v>0.99943539999999997</v>
      </c>
      <c r="S6391">
        <v>-4.695129E-2</v>
      </c>
      <c r="T6391">
        <v>-0.1664969</v>
      </c>
      <c r="U6391">
        <v>3.006958</v>
      </c>
      <c r="V6391">
        <v>3.6261119999999999E-3</v>
      </c>
      <c r="W6391">
        <v>5.3374959999999999E-2</v>
      </c>
      <c r="X6391">
        <v>0.99856789999999995</v>
      </c>
      <c r="Y6391">
        <v>-6.6954750000000002E-3</v>
      </c>
      <c r="Z6391">
        <v>-5.5278599999999997E-2</v>
      </c>
      <c r="AA6391">
        <v>0.99844849999999996</v>
      </c>
      <c r="AB6391">
        <v>50</v>
      </c>
      <c r="AC6391">
        <v>-0.30719999999999398</v>
      </c>
      <c r="AD6391">
        <v>-1.104877182284</v>
      </c>
      <c r="AE6391">
        <v>19.456139999999898</v>
      </c>
      <c r="AF6391">
        <v>-0.13372486095479899</v>
      </c>
      <c r="AG6391">
        <v>-1.104877182284</v>
      </c>
      <c r="AH6391">
        <v>19.395569672192298</v>
      </c>
      <c r="AI6391">
        <v>93.260278394789793</v>
      </c>
      <c r="AJ6391">
        <v>90.395025713485296</v>
      </c>
      <c r="AK6391">
        <v>19.427474329805101</v>
      </c>
    </row>
    <row r="6392" spans="1:37" x14ac:dyDescent="0.2">
      <c r="A6392" t="str">
        <f>"20200111153554928"</f>
        <v>20200111153554928</v>
      </c>
      <c r="B6392" t="str">
        <f>"1578728154922205"</f>
        <v>1578728154922205</v>
      </c>
      <c r="C6392" t="s">
        <v>37</v>
      </c>
      <c r="D6392">
        <v>4.8949319999999998</v>
      </c>
      <c r="E6392">
        <v>0.4961412</v>
      </c>
      <c r="F6392" t="s">
        <v>39</v>
      </c>
      <c r="G6392">
        <v>-188.13460000000001</v>
      </c>
      <c r="H6392" s="1">
        <v>-2.4942059999999999E-6</v>
      </c>
      <c r="I6392">
        <v>94.675510000000003</v>
      </c>
      <c r="J6392">
        <v>-187.8083</v>
      </c>
      <c r="K6392">
        <v>1.1048739999999999</v>
      </c>
      <c r="L6392">
        <v>74.985410000000002</v>
      </c>
      <c r="M6392">
        <v>-8.7530430000000003E-3</v>
      </c>
      <c r="N6392">
        <v>0</v>
      </c>
      <c r="O6392">
        <v>0.99975609999999904</v>
      </c>
      <c r="P6392">
        <v>-1.5010150000000001E-3</v>
      </c>
      <c r="Q6392">
        <v>3.2789430000000001E-2</v>
      </c>
      <c r="R6392">
        <v>0.99946119999999905</v>
      </c>
      <c r="S6392">
        <v>-4.9224850000000001E-2</v>
      </c>
      <c r="T6392">
        <v>-0.164525799999999</v>
      </c>
      <c r="U6392">
        <v>3.0068969999999999</v>
      </c>
      <c r="V6392">
        <v>7.275704E-3</v>
      </c>
      <c r="W6392">
        <v>5.3044040000000001E-2</v>
      </c>
      <c r="X6392">
        <v>0.998565699999999</v>
      </c>
      <c r="Y6392">
        <v>-7.5897179999999996E-3</v>
      </c>
      <c r="Z6392">
        <v>-5.4626849999999998E-2</v>
      </c>
      <c r="AA6392">
        <v>0.99847799999999998</v>
      </c>
      <c r="AB6392">
        <v>50</v>
      </c>
      <c r="AC6392">
        <v>-0.32630000000000298</v>
      </c>
      <c r="AD6392">
        <v>-1.1048764942059901</v>
      </c>
      <c r="AE6392">
        <v>19.690100000000001</v>
      </c>
      <c r="AF6392">
        <v>-0.15342081964537399</v>
      </c>
      <c r="AG6392">
        <v>-1.1048764942059901</v>
      </c>
      <c r="AH6392">
        <v>19.630408747933402</v>
      </c>
      <c r="AI6392">
        <v>93.221334466277796</v>
      </c>
      <c r="AJ6392">
        <v>90.447784180055606</v>
      </c>
      <c r="AK6392">
        <v>19.662076127059699</v>
      </c>
    </row>
    <row r="6393" spans="1:37" x14ac:dyDescent="0.2">
      <c r="A6393" t="str">
        <f>"20200111153554949"</f>
        <v>20200111153554949</v>
      </c>
      <c r="B6393" t="str">
        <f>"1578728154941724"</f>
        <v>1578728154941724</v>
      </c>
      <c r="C6393" t="s">
        <v>37</v>
      </c>
      <c r="D6393">
        <v>5.0081329999999999</v>
      </c>
      <c r="E6393">
        <v>0.48473959999999999</v>
      </c>
      <c r="F6393" t="s">
        <v>39</v>
      </c>
      <c r="G6393">
        <v>-188.08340000000001</v>
      </c>
      <c r="H6393" s="1">
        <v>-2.7129219999999899E-6</v>
      </c>
      <c r="I6393">
        <v>95.164159999999995</v>
      </c>
      <c r="J6393">
        <v>-187.8126</v>
      </c>
      <c r="K6393">
        <v>1.104876</v>
      </c>
      <c r="L6393">
        <v>75.485749999999996</v>
      </c>
      <c r="M6393">
        <v>-8.6142179999999999E-3</v>
      </c>
      <c r="N6393">
        <v>0</v>
      </c>
      <c r="O6393">
        <v>0.99975639999999999</v>
      </c>
      <c r="P6393">
        <v>2.1721089999999898E-3</v>
      </c>
      <c r="Q6393">
        <v>3.269292E-2</v>
      </c>
      <c r="R6393">
        <v>0.99946309999999905</v>
      </c>
      <c r="S6393">
        <v>-4.0985109999999998E-2</v>
      </c>
      <c r="T6393">
        <v>-0.1646444</v>
      </c>
      <c r="U6393">
        <v>3.006958</v>
      </c>
      <c r="V6393">
        <v>1.080978E-2</v>
      </c>
      <c r="W6393">
        <v>5.2989759999999997E-2</v>
      </c>
      <c r="X6393">
        <v>0.99853649999999905</v>
      </c>
      <c r="Y6393">
        <v>-4.9927410000000002E-3</v>
      </c>
      <c r="Z6393">
        <v>-5.4666680000000002E-2</v>
      </c>
      <c r="AA6393">
        <v>0.99849219999999905</v>
      </c>
      <c r="AB6393">
        <v>50</v>
      </c>
      <c r="AC6393">
        <v>-0.27080000000000798</v>
      </c>
      <c r="AD6393">
        <v>-1.1048787129219999</v>
      </c>
      <c r="AE6393">
        <v>19.67841</v>
      </c>
      <c r="AF6393">
        <v>-0.100922730278613</v>
      </c>
      <c r="AG6393">
        <v>-1.1048787129219999</v>
      </c>
      <c r="AH6393">
        <v>19.618179020435701</v>
      </c>
      <c r="AI6393">
        <v>93.223400503987705</v>
      </c>
      <c r="AJ6393">
        <v>90.294746800261095</v>
      </c>
      <c r="AK6393">
        <v>19.649526468737601</v>
      </c>
    </row>
    <row r="6394" spans="1:37" x14ac:dyDescent="0.2">
      <c r="A6394" t="str">
        <f>"20200111153554972"</f>
        <v>20200111153554972</v>
      </c>
      <c r="B6394" t="str">
        <f>"1578728154962223"</f>
        <v>1578728154962223</v>
      </c>
      <c r="C6394" t="s">
        <v>37</v>
      </c>
      <c r="D6394">
        <v>4.932499</v>
      </c>
      <c r="E6394">
        <v>0.50710670000000002</v>
      </c>
      <c r="F6394" t="s">
        <v>39</v>
      </c>
      <c r="G6394">
        <v>-188.73859999999999</v>
      </c>
      <c r="H6394" s="1">
        <v>-4.026895E-6</v>
      </c>
      <c r="I6394">
        <v>98.497990000000001</v>
      </c>
      <c r="J6394">
        <v>-187.8168</v>
      </c>
      <c r="K6394">
        <v>1.1048849999999999</v>
      </c>
      <c r="L6394">
        <v>75.988650000000007</v>
      </c>
      <c r="M6394">
        <v>-8.4739419999999999E-3</v>
      </c>
      <c r="N6394">
        <v>0</v>
      </c>
      <c r="O6394">
        <v>0.99975689999999995</v>
      </c>
      <c r="P6394">
        <v>6.21023199999999E-3</v>
      </c>
      <c r="Q6394">
        <v>3.2997619999999998E-2</v>
      </c>
      <c r="R6394">
        <v>0.99943609999999905</v>
      </c>
      <c r="S6394">
        <v>-0.12098689999999999</v>
      </c>
      <c r="T6394">
        <v>-0.1443546</v>
      </c>
      <c r="U6394">
        <v>3.0065919999999999</v>
      </c>
      <c r="V6394">
        <v>1.4707329999999999E-2</v>
      </c>
      <c r="W6394">
        <v>5.3324980000000001E-2</v>
      </c>
      <c r="X6394">
        <v>0.99846889999999999</v>
      </c>
      <c r="Y6394">
        <v>-3.1691539999999997E-2</v>
      </c>
      <c r="Z6394">
        <v>-4.7923479999999997E-2</v>
      </c>
      <c r="AA6394">
        <v>0.99834809999999996</v>
      </c>
      <c r="AB6394">
        <v>50</v>
      </c>
      <c r="AC6394">
        <v>-0.92179999999998996</v>
      </c>
      <c r="AD6394">
        <v>-1.104889026895</v>
      </c>
      <c r="AE6394">
        <v>22.509339999999899</v>
      </c>
      <c r="AF6394">
        <v>-0.72923044223142497</v>
      </c>
      <c r="AG6394">
        <v>-1.104889026895</v>
      </c>
      <c r="AH6394">
        <v>22.462313929583601</v>
      </c>
      <c r="AI6394">
        <v>92.814547173857505</v>
      </c>
      <c r="AJ6394">
        <v>91.859432530714699</v>
      </c>
      <c r="AK6394">
        <v>22.5012911600822</v>
      </c>
    </row>
    <row r="6395" spans="1:37" x14ac:dyDescent="0.2">
      <c r="A6395" t="str">
        <f>"20200111153554994"</f>
        <v>20200111153554994</v>
      </c>
      <c r="B6395" t="str">
        <f>"1578728154981740"</f>
        <v>1578728154981740</v>
      </c>
      <c r="C6395" t="s">
        <v>37</v>
      </c>
      <c r="D6395">
        <v>4.8964850000000002</v>
      </c>
      <c r="E6395">
        <v>0.51056309999999905</v>
      </c>
      <c r="F6395" t="s">
        <v>39</v>
      </c>
      <c r="G6395">
        <v>-187.0273</v>
      </c>
      <c r="H6395" s="1">
        <v>-7.8975720000000001E-7</v>
      </c>
      <c r="I6395">
        <v>109.64449999999999</v>
      </c>
      <c r="J6395">
        <v>-187.82069999999999</v>
      </c>
      <c r="K6395">
        <v>1.1048849999999999</v>
      </c>
      <c r="L6395">
        <v>76.464169999999996</v>
      </c>
      <c r="M6395">
        <v>-8.3410280000000003E-3</v>
      </c>
      <c r="N6395">
        <v>0</v>
      </c>
      <c r="O6395">
        <v>0.99975749999999997</v>
      </c>
      <c r="P6395">
        <v>1.0331150000000001E-2</v>
      </c>
      <c r="Q6395">
        <v>3.307877E-2</v>
      </c>
      <c r="R6395">
        <v>0.99939940000000005</v>
      </c>
      <c r="S6395">
        <v>7.0480349999999997E-2</v>
      </c>
      <c r="T6395">
        <v>-9.863508E-2</v>
      </c>
      <c r="U6395">
        <v>3.0045169999999999</v>
      </c>
      <c r="V6395">
        <v>1.8694889999999999E-2</v>
      </c>
      <c r="W6395">
        <v>5.342591E-2</v>
      </c>
      <c r="X6395">
        <v>0.99839679999999997</v>
      </c>
      <c r="Y6395">
        <v>3.1778720000000003E-2</v>
      </c>
      <c r="Z6395">
        <v>-3.2796760000000001E-2</v>
      </c>
      <c r="AA6395">
        <v>0.99895669999999903</v>
      </c>
      <c r="AB6395">
        <v>50</v>
      </c>
      <c r="AC6395">
        <v>0.793399999999991</v>
      </c>
      <c r="AD6395">
        <v>-1.1048857897572</v>
      </c>
      <c r="AE6395">
        <v>33.180329999999998</v>
      </c>
      <c r="AF6395">
        <v>1.06900325786104</v>
      </c>
      <c r="AG6395">
        <v>-1.1048857897572</v>
      </c>
      <c r="AH6395">
        <v>33.135834408443202</v>
      </c>
      <c r="AI6395">
        <v>91.908778405661593</v>
      </c>
      <c r="AJ6395">
        <v>88.152207719795399</v>
      </c>
      <c r="AK6395">
        <v>33.171479655232297</v>
      </c>
    </row>
    <row r="6396" spans="1:37" x14ac:dyDescent="0.2">
      <c r="A6396" t="str">
        <f>"20200111153555008"</f>
        <v>20200111153555008</v>
      </c>
      <c r="B6396" t="str">
        <f>"1578728155002237"</f>
        <v>1578728155002237</v>
      </c>
      <c r="C6396" t="s">
        <v>37</v>
      </c>
      <c r="D6396">
        <v>4.935333</v>
      </c>
      <c r="E6396">
        <v>0.51087109999999902</v>
      </c>
      <c r="F6396" t="s">
        <v>39</v>
      </c>
      <c r="G6396">
        <v>-186.43790000000001</v>
      </c>
      <c r="H6396" s="1">
        <v>-2.495873E-6</v>
      </c>
      <c r="I6396">
        <v>113.9778</v>
      </c>
      <c r="J6396">
        <v>-187.82320000000001</v>
      </c>
      <c r="K6396">
        <v>1.104886</v>
      </c>
      <c r="L6396">
        <v>76.78528</v>
      </c>
      <c r="M6396">
        <v>-8.2512539999999995E-3</v>
      </c>
      <c r="N6396">
        <v>0</v>
      </c>
      <c r="O6396">
        <v>0.99975809999999998</v>
      </c>
      <c r="P6396">
        <v>1.209934E-2</v>
      </c>
      <c r="Q6396">
        <v>3.2713119999999998E-2</v>
      </c>
      <c r="R6396">
        <v>0.99939159999999905</v>
      </c>
      <c r="S6396">
        <v>0.11071780000000001</v>
      </c>
      <c r="T6396">
        <v>-8.8464020000000004E-2</v>
      </c>
      <c r="U6396">
        <v>3.003571</v>
      </c>
      <c r="V6396">
        <v>2.0372990000000001E-2</v>
      </c>
      <c r="W6396">
        <v>5.3070699999999998E-2</v>
      </c>
      <c r="X6396">
        <v>0.99838289999999996</v>
      </c>
      <c r="Y6396">
        <v>4.5067210000000003E-2</v>
      </c>
      <c r="Z6396">
        <v>-2.9413749999999999E-2</v>
      </c>
      <c r="AA6396">
        <v>0.99855079999999996</v>
      </c>
      <c r="AB6396">
        <v>50</v>
      </c>
      <c r="AC6396">
        <v>1.3853</v>
      </c>
      <c r="AD6396">
        <v>-1.1048884958730001</v>
      </c>
      <c r="AE6396">
        <v>37.192520000000002</v>
      </c>
      <c r="AF6396">
        <v>1.6907115272025699</v>
      </c>
      <c r="AG6396">
        <v>-1.1048884958730001</v>
      </c>
      <c r="AH6396">
        <v>37.147082809049103</v>
      </c>
      <c r="AI6396">
        <v>91.701920434690095</v>
      </c>
      <c r="AJ6396">
        <v>87.394039566860201</v>
      </c>
      <c r="AK6396">
        <v>37.2019494822366</v>
      </c>
    </row>
    <row r="6397" spans="1:37" x14ac:dyDescent="0.2">
      <c r="A6397" t="str">
        <f>"20200111153555028"</f>
        <v>20200111153555028</v>
      </c>
      <c r="B6397" t="str">
        <f>"1578728155021757"</f>
        <v>1578728155021757</v>
      </c>
      <c r="C6397" t="s">
        <v>37</v>
      </c>
      <c r="D6397">
        <v>4.9048870000000004</v>
      </c>
      <c r="E6397">
        <v>0.51072669999999998</v>
      </c>
      <c r="F6397" t="s">
        <v>39</v>
      </c>
      <c r="G6397">
        <v>-186.28020000000001</v>
      </c>
      <c r="H6397" s="1">
        <v>-3.3293020000000001E-6</v>
      </c>
      <c r="I6397">
        <v>115.8554</v>
      </c>
      <c r="J6397">
        <v>-187.82669999999999</v>
      </c>
      <c r="K6397">
        <v>1.1048819999999999</v>
      </c>
      <c r="L6397">
        <v>77.215549999999993</v>
      </c>
      <c r="M6397">
        <v>-8.1309509999999904E-3</v>
      </c>
      <c r="N6397">
        <v>0</v>
      </c>
      <c r="O6397">
        <v>0.99975879999999995</v>
      </c>
      <c r="P6397">
        <v>1.548561E-2</v>
      </c>
      <c r="Q6397">
        <v>3.1579620000000003E-2</v>
      </c>
      <c r="R6397">
        <v>0.99938119999999997</v>
      </c>
      <c r="S6397">
        <v>0.11860660000000001</v>
      </c>
      <c r="T6397">
        <v>-8.4928749999999997E-2</v>
      </c>
      <c r="U6397">
        <v>3.003174</v>
      </c>
      <c r="V6397">
        <v>2.363821E-2</v>
      </c>
      <c r="W6397">
        <v>5.1946440000000003E-2</v>
      </c>
      <c r="X6397">
        <v>0.99837009999999904</v>
      </c>
      <c r="Y6397">
        <v>4.7572250000000003E-2</v>
      </c>
      <c r="Z6397">
        <v>-2.8239960000000001E-2</v>
      </c>
      <c r="AA6397">
        <v>0.99846849999999998</v>
      </c>
      <c r="AB6397">
        <v>50</v>
      </c>
      <c r="AC6397">
        <v>1.54649999999998</v>
      </c>
      <c r="AD6397">
        <v>-1.104885329302</v>
      </c>
      <c r="AE6397">
        <v>38.639850000000003</v>
      </c>
      <c r="AF6397">
        <v>1.8591752792528899</v>
      </c>
      <c r="AG6397">
        <v>-1.104885329302</v>
      </c>
      <c r="AH6397">
        <v>38.5944889951489</v>
      </c>
      <c r="AI6397">
        <v>91.637920808712295</v>
      </c>
      <c r="AJ6397">
        <v>87.2420773766856</v>
      </c>
      <c r="AK6397">
        <v>38.655036995281201</v>
      </c>
    </row>
    <row r="6398" spans="1:37" x14ac:dyDescent="0.2">
      <c r="A6398" t="str">
        <f>"20200111153555050"</f>
        <v>20200111153555050</v>
      </c>
      <c r="B6398" t="str">
        <f>"1578728155042252"</f>
        <v>1578728155042252</v>
      </c>
      <c r="C6398" t="s">
        <v>37</v>
      </c>
      <c r="D6398">
        <v>4.9511419999999999</v>
      </c>
      <c r="E6398">
        <v>0.51032659999999996</v>
      </c>
      <c r="F6398" t="s">
        <v>39</v>
      </c>
      <c r="G6398">
        <v>-186.2629</v>
      </c>
      <c r="H6398" s="1">
        <v>-2.5413679999999999E-6</v>
      </c>
      <c r="I6398">
        <v>114.0115</v>
      </c>
      <c r="J6398">
        <v>-187.8306</v>
      </c>
      <c r="K6398">
        <v>1.1048830000000001</v>
      </c>
      <c r="L6398">
        <v>77.713930000000005</v>
      </c>
      <c r="M6398">
        <v>-7.9916550000000003E-3</v>
      </c>
      <c r="N6398">
        <v>0</v>
      </c>
      <c r="O6398">
        <v>0.99975970000000003</v>
      </c>
      <c r="P6398">
        <v>1.8577320000000001E-2</v>
      </c>
      <c r="Q6398">
        <v>3.1553230000000002E-2</v>
      </c>
      <c r="R6398">
        <v>0.99932940000000003</v>
      </c>
      <c r="S6398">
        <v>0.12760930000000001</v>
      </c>
      <c r="T6398">
        <v>-9.0163469999999996E-2</v>
      </c>
      <c r="U6398">
        <v>3.0027159999999999</v>
      </c>
      <c r="V6398">
        <v>2.659011E-2</v>
      </c>
      <c r="W6398">
        <v>5.192596E-2</v>
      </c>
      <c r="X6398">
        <v>0.99829690000000004</v>
      </c>
      <c r="Y6398">
        <v>5.0425280000000003E-2</v>
      </c>
      <c r="Z6398">
        <v>-2.997973E-2</v>
      </c>
      <c r="AA6398">
        <v>0.99827779999999999</v>
      </c>
      <c r="AB6398">
        <v>50</v>
      </c>
      <c r="AC6398">
        <v>1.5677000000000001</v>
      </c>
      <c r="AD6398">
        <v>-1.1048855413680001</v>
      </c>
      <c r="AE6398">
        <v>36.297569999999901</v>
      </c>
      <c r="AF6398">
        <v>1.85607144342923</v>
      </c>
      <c r="AG6398">
        <v>-1.1048855413680001</v>
      </c>
      <c r="AH6398">
        <v>36.250353222894397</v>
      </c>
      <c r="AI6398">
        <v>91.743512536667595</v>
      </c>
      <c r="AJ6398">
        <v>87.068931318862099</v>
      </c>
      <c r="AK6398">
        <v>36.3146510660263</v>
      </c>
    </row>
    <row r="6399" spans="1:37" x14ac:dyDescent="0.2">
      <c r="A6399" t="str">
        <f>"20200111153555073"</f>
        <v>20200111153555073</v>
      </c>
      <c r="B6399" t="str">
        <f>"1578728155061772"</f>
        <v>1578728155061772</v>
      </c>
      <c r="C6399" t="s">
        <v>37</v>
      </c>
      <c r="D6399">
        <v>4.9369879999999897</v>
      </c>
      <c r="E6399">
        <v>0.51004240000000001</v>
      </c>
      <c r="F6399" t="s">
        <v>39</v>
      </c>
      <c r="G6399">
        <v>-186.19040000000001</v>
      </c>
      <c r="H6399" s="1">
        <v>-2.7950860000000002E-6</v>
      </c>
      <c r="I6399">
        <v>114.57299999999999</v>
      </c>
      <c r="J6399">
        <v>-187.83449999999999</v>
      </c>
      <c r="K6399">
        <v>1.1048789999999999</v>
      </c>
      <c r="L6399">
        <v>78.217439999999996</v>
      </c>
      <c r="M6399">
        <v>-7.8509249999999999E-3</v>
      </c>
      <c r="N6399">
        <v>0</v>
      </c>
      <c r="O6399">
        <v>0.99976089999999995</v>
      </c>
      <c r="P6399">
        <v>2.1514720000000001E-2</v>
      </c>
      <c r="Q6399">
        <v>3.2129079999999997E-2</v>
      </c>
      <c r="R6399">
        <v>0.99925209999999998</v>
      </c>
      <c r="S6399">
        <v>0.133606</v>
      </c>
      <c r="T6399">
        <v>-8.9999319999999994E-2</v>
      </c>
      <c r="U6399">
        <v>3.00238</v>
      </c>
      <c r="V6399">
        <v>2.9386389999999998E-2</v>
      </c>
      <c r="W6399">
        <v>5.2498339999999998E-2</v>
      </c>
      <c r="X6399">
        <v>0.99818859999999998</v>
      </c>
      <c r="Y6399">
        <v>5.2279529999999998E-2</v>
      </c>
      <c r="Z6399">
        <v>-2.992587E-2</v>
      </c>
      <c r="AA6399">
        <v>0.99818399999999996</v>
      </c>
      <c r="AB6399">
        <v>49</v>
      </c>
      <c r="AC6399">
        <v>1.6440999999999799</v>
      </c>
      <c r="AD6399">
        <v>-1.1048817950859999</v>
      </c>
      <c r="AE6399">
        <v>36.355559999999997</v>
      </c>
      <c r="AF6399">
        <v>1.9277566764642999</v>
      </c>
      <c r="AG6399">
        <v>-1.1048817950859999</v>
      </c>
      <c r="AH6399">
        <v>36.308062546075099</v>
      </c>
      <c r="AI6399">
        <v>91.740565886775499</v>
      </c>
      <c r="AJ6399">
        <v>86.960765741325503</v>
      </c>
      <c r="AK6399">
        <v>36.375986796710599</v>
      </c>
    </row>
    <row r="6400" spans="1:37" x14ac:dyDescent="0.2">
      <c r="A6400" t="str">
        <f>"20200111153555094"</f>
        <v>20200111153555094</v>
      </c>
      <c r="B6400" t="str">
        <f>"1578728155082269"</f>
        <v>1578728155082269</v>
      </c>
      <c r="C6400" t="s">
        <v>37</v>
      </c>
      <c r="D6400">
        <v>4.9081519999999896</v>
      </c>
      <c r="E6400">
        <v>0.50964169999999998</v>
      </c>
      <c r="F6400" t="s">
        <v>39</v>
      </c>
      <c r="G6400">
        <v>-186.0787</v>
      </c>
      <c r="H6400" s="1">
        <v>-3.3406229999999998E-6</v>
      </c>
      <c r="I6400">
        <v>115.7984</v>
      </c>
      <c r="J6400">
        <v>-187.83799999999999</v>
      </c>
      <c r="K6400">
        <v>1.1048799999999901</v>
      </c>
      <c r="L6400">
        <v>78.681700000000006</v>
      </c>
      <c r="M6400">
        <v>-7.7210890000000004E-3</v>
      </c>
      <c r="N6400">
        <v>0</v>
      </c>
      <c r="O6400">
        <v>0.99976219999999905</v>
      </c>
      <c r="P6400">
        <v>2.450691E-2</v>
      </c>
      <c r="Q6400">
        <v>3.188949E-2</v>
      </c>
      <c r="R6400">
        <v>0.99919089999999999</v>
      </c>
      <c r="S6400">
        <v>0.14025879999999999</v>
      </c>
      <c r="T6400">
        <v>-8.8261129999999993E-2</v>
      </c>
      <c r="U6400">
        <v>3.002075</v>
      </c>
      <c r="V6400">
        <v>3.2248110000000003E-2</v>
      </c>
      <c r="W6400">
        <v>5.2238819999999998E-2</v>
      </c>
      <c r="X6400">
        <v>0.99811380000000005</v>
      </c>
      <c r="Y6400">
        <v>5.4362489999999999E-2</v>
      </c>
      <c r="Z6400">
        <v>-2.9348309999999999E-2</v>
      </c>
      <c r="AA6400">
        <v>0.99808980000000003</v>
      </c>
      <c r="AB6400">
        <v>49</v>
      </c>
      <c r="AC6400">
        <v>1.7592999999999901</v>
      </c>
      <c r="AD6400">
        <v>-1.1048833406229901</v>
      </c>
      <c r="AE6400">
        <v>37.116700000000002</v>
      </c>
      <c r="AF6400">
        <v>2.0440812505550001</v>
      </c>
      <c r="AG6400">
        <v>-1.1048833406229901</v>
      </c>
      <c r="AH6400">
        <v>37.069232349637602</v>
      </c>
      <c r="AI6400">
        <v>91.704660999054298</v>
      </c>
      <c r="AJ6400">
        <v>86.843777644801193</v>
      </c>
      <c r="AK6400">
        <v>37.141984631231999</v>
      </c>
    </row>
    <row r="6401" spans="1:37" x14ac:dyDescent="0.2">
      <c r="A6401" t="str">
        <f>"20200111153555117"</f>
        <v>20200111153555117</v>
      </c>
      <c r="B6401" t="str">
        <f>"1578728155111548"</f>
        <v>1578728155111548</v>
      </c>
      <c r="C6401" t="s">
        <v>37</v>
      </c>
      <c r="D6401">
        <v>4.9027250000000002</v>
      </c>
      <c r="E6401">
        <v>0.50902939999999997</v>
      </c>
      <c r="F6401" t="s">
        <v>39</v>
      </c>
      <c r="G6401">
        <v>-186.05350000000001</v>
      </c>
      <c r="H6401" s="1">
        <v>-3.1894969999999998E-6</v>
      </c>
      <c r="I6401">
        <v>115.4358</v>
      </c>
      <c r="J6401">
        <v>-187.8417</v>
      </c>
      <c r="K6401">
        <v>1.104878</v>
      </c>
      <c r="L6401">
        <v>79.177800000000005</v>
      </c>
      <c r="M6401">
        <v>-7.5819249999999998E-3</v>
      </c>
      <c r="N6401">
        <v>0</v>
      </c>
      <c r="O6401">
        <v>0.99976409999999905</v>
      </c>
      <c r="P6401">
        <v>2.7449149999999999E-2</v>
      </c>
      <c r="Q6401">
        <v>3.1529710000000002E-2</v>
      </c>
      <c r="R6401">
        <v>0.99912579999999995</v>
      </c>
      <c r="S6401">
        <v>0.1457367</v>
      </c>
      <c r="T6401">
        <v>-9.0236899999999995E-2</v>
      </c>
      <c r="U6401">
        <v>3.0017399999999999</v>
      </c>
      <c r="V6401">
        <v>3.5050459999999999E-2</v>
      </c>
      <c r="W6401">
        <v>5.1835970000000002E-2</v>
      </c>
      <c r="X6401">
        <v>0.99804029999999999</v>
      </c>
      <c r="Y6401">
        <v>5.604497E-2</v>
      </c>
      <c r="Z6401">
        <v>-3.0005400000000002E-2</v>
      </c>
      <c r="AA6401">
        <v>0.99797729999999996</v>
      </c>
      <c r="AB6401">
        <v>49</v>
      </c>
      <c r="AC6401">
        <v>1.78819999999998</v>
      </c>
      <c r="AD6401">
        <v>-1.1048811894970001</v>
      </c>
      <c r="AE6401">
        <v>36.258000000000003</v>
      </c>
      <c r="AF6401">
        <v>2.06120161080475</v>
      </c>
      <c r="AG6401">
        <v>-1.1048811894970001</v>
      </c>
      <c r="AH6401">
        <v>36.209854109013001</v>
      </c>
      <c r="AI6401">
        <v>91.744916516998302</v>
      </c>
      <c r="AJ6401">
        <v>86.7420238247648</v>
      </c>
      <c r="AK6401">
        <v>36.285297974789898</v>
      </c>
    </row>
    <row r="6402" spans="1:37" x14ac:dyDescent="0.2">
      <c r="A6402" t="str">
        <f>"20200111153555139"</f>
        <v>20200111153555139</v>
      </c>
      <c r="B6402" t="str">
        <f>"1578728155132045"</f>
        <v>1578728155132045</v>
      </c>
      <c r="C6402" t="s">
        <v>37</v>
      </c>
      <c r="D6402">
        <v>4.9290779999999996</v>
      </c>
      <c r="E6402">
        <v>0.50858639999999999</v>
      </c>
      <c r="F6402" t="s">
        <v>39</v>
      </c>
      <c r="G6402">
        <v>-186.04230000000001</v>
      </c>
      <c r="H6402" s="1">
        <v>-3.10394999999999E-6</v>
      </c>
      <c r="I6402">
        <v>115.2317</v>
      </c>
      <c r="J6402">
        <v>-187.84530000000001</v>
      </c>
      <c r="K6402">
        <v>1.1048719999999901</v>
      </c>
      <c r="L6402">
        <v>79.666229999999999</v>
      </c>
      <c r="M6402">
        <v>-7.4443919999999898E-3</v>
      </c>
      <c r="N6402">
        <v>0</v>
      </c>
      <c r="O6402">
        <v>0.9997665</v>
      </c>
      <c r="P6402">
        <v>3.072372E-2</v>
      </c>
      <c r="Q6402">
        <v>3.1462259999999999E-2</v>
      </c>
      <c r="R6402">
        <v>0.99903259999999905</v>
      </c>
      <c r="S6402">
        <v>0.1497955</v>
      </c>
      <c r="T6402">
        <v>-9.1978790000000005E-2</v>
      </c>
      <c r="U6402">
        <v>3.001404</v>
      </c>
      <c r="V6402">
        <v>3.8186699999999997E-2</v>
      </c>
      <c r="W6402">
        <v>5.1701199999999899E-2</v>
      </c>
      <c r="X6402">
        <v>0.99793229999999999</v>
      </c>
      <c r="Y6402">
        <v>5.7258410000000003E-2</v>
      </c>
      <c r="Z6402">
        <v>-3.0585459999999998E-2</v>
      </c>
      <c r="AA6402">
        <v>0.99789079999999997</v>
      </c>
      <c r="AB6402">
        <v>49</v>
      </c>
      <c r="AC6402">
        <v>1.8029999999999899</v>
      </c>
      <c r="AD6402">
        <v>-1.10487510394999</v>
      </c>
      <c r="AE6402">
        <v>35.565469999999998</v>
      </c>
      <c r="AF6402">
        <v>2.06577925528644</v>
      </c>
      <c r="AG6402">
        <v>-1.10487510394999</v>
      </c>
      <c r="AH6402">
        <v>35.516869854042</v>
      </c>
      <c r="AI6402">
        <v>91.778804458960494</v>
      </c>
      <c r="AJ6402">
        <v>86.671237261177197</v>
      </c>
      <c r="AK6402">
        <v>35.594047777063203</v>
      </c>
    </row>
    <row r="6403" spans="1:37" x14ac:dyDescent="0.2">
      <c r="A6403" t="str">
        <f>"20200111153555162"</f>
        <v>20200111153555162</v>
      </c>
      <c r="B6403" t="str">
        <f>"1578728155151564"</f>
        <v>1578728155151564</v>
      </c>
      <c r="C6403" t="s">
        <v>37</v>
      </c>
      <c r="D6403">
        <v>5.0283009999999999</v>
      </c>
      <c r="E6403">
        <v>0.50844</v>
      </c>
      <c r="F6403" t="s">
        <v>39</v>
      </c>
      <c r="G6403">
        <v>-185.97720000000001</v>
      </c>
      <c r="H6403" s="1">
        <v>-3.2706629999999999E-6</v>
      </c>
      <c r="I6403">
        <v>115.5934</v>
      </c>
      <c r="J6403">
        <v>-187.84880000000001</v>
      </c>
      <c r="K6403">
        <v>1.1048719999999901</v>
      </c>
      <c r="L6403">
        <v>80.158419999999893</v>
      </c>
      <c r="M6403">
        <v>-7.3051840000000002E-3</v>
      </c>
      <c r="N6403">
        <v>0</v>
      </c>
      <c r="O6403">
        <v>0.99976919999999903</v>
      </c>
      <c r="P6403">
        <v>3.4425190000000001E-2</v>
      </c>
      <c r="Q6403">
        <v>3.2088419999999999E-2</v>
      </c>
      <c r="R6403">
        <v>0.998892</v>
      </c>
      <c r="S6403">
        <v>0.15603639999999999</v>
      </c>
      <c r="T6403">
        <v>-9.2290520000000001E-2</v>
      </c>
      <c r="U6403">
        <v>3.001007</v>
      </c>
      <c r="V6403">
        <v>4.1748130000000001E-2</v>
      </c>
      <c r="W6403">
        <v>5.2235490000000002E-2</v>
      </c>
      <c r="X6403">
        <v>0.99776180000000003</v>
      </c>
      <c r="Y6403">
        <v>5.9195499999999998E-2</v>
      </c>
      <c r="Z6403">
        <v>-3.068976E-2</v>
      </c>
      <c r="AA6403">
        <v>0.99777450000000001</v>
      </c>
      <c r="AB6403">
        <v>49</v>
      </c>
      <c r="AC6403">
        <v>1.8715999999999999</v>
      </c>
      <c r="AD6403">
        <v>-1.1048752706629901</v>
      </c>
      <c r="AE6403">
        <v>35.434980000000003</v>
      </c>
      <c r="AF6403">
        <v>2.1283984317535198</v>
      </c>
      <c r="AG6403">
        <v>-1.1048752706629901</v>
      </c>
      <c r="AH6403">
        <v>35.386051793753602</v>
      </c>
      <c r="AI6403">
        <v>91.785167782636407</v>
      </c>
      <c r="AJ6403">
        <v>86.557923277291195</v>
      </c>
      <c r="AK6403">
        <v>35.467217127908803</v>
      </c>
    </row>
    <row r="6404" spans="1:37" x14ac:dyDescent="0.2">
      <c r="A6404" t="str">
        <f>"20200111153555175"</f>
        <v>20200111153555175</v>
      </c>
      <c r="B6404" t="str">
        <f>"1578728155172061"</f>
        <v>1578728155172061</v>
      </c>
      <c r="C6404" t="s">
        <v>37</v>
      </c>
      <c r="D6404">
        <v>4.9316879999999896</v>
      </c>
      <c r="E6404">
        <v>0.53691259999999996</v>
      </c>
      <c r="F6404" t="s">
        <v>39</v>
      </c>
      <c r="G6404">
        <v>-185.7834</v>
      </c>
      <c r="H6404" s="1">
        <v>-4.1509229999999999E-6</v>
      </c>
      <c r="I6404">
        <v>117.5652</v>
      </c>
      <c r="J6404">
        <v>-187.851</v>
      </c>
      <c r="K6404">
        <v>1.1048690000000001</v>
      </c>
      <c r="L6404">
        <v>80.46866</v>
      </c>
      <c r="M6404">
        <v>-7.2171839999999998E-3</v>
      </c>
      <c r="N6404">
        <v>0</v>
      </c>
      <c r="O6404">
        <v>0.99977109999999902</v>
      </c>
      <c r="P6404">
        <v>3.6605899999999997E-2</v>
      </c>
      <c r="Q6404">
        <v>3.2446950000000002E-2</v>
      </c>
      <c r="R6404">
        <v>0.99880290000000005</v>
      </c>
      <c r="S6404">
        <v>0.1656647</v>
      </c>
      <c r="T6404">
        <v>-8.8623880000000002E-2</v>
      </c>
      <c r="U6404">
        <v>3.0004580000000001</v>
      </c>
      <c r="V6404">
        <v>4.384031E-2</v>
      </c>
      <c r="W6404">
        <v>5.2530250000000001E-2</v>
      </c>
      <c r="X6404">
        <v>0.99765659999999901</v>
      </c>
      <c r="Y6404">
        <v>6.2311440000000003E-2</v>
      </c>
      <c r="Z6404">
        <v>-2.9471649999999999E-2</v>
      </c>
      <c r="AA6404">
        <v>0.99762150000000005</v>
      </c>
      <c r="AB6404">
        <v>49</v>
      </c>
      <c r="AC6404">
        <v>2.0675999999999899</v>
      </c>
      <c r="AD6404">
        <v>-1.1048731509230001</v>
      </c>
      <c r="AE6404">
        <v>37.096539999999997</v>
      </c>
      <c r="AF6404">
        <v>2.3332696403861601</v>
      </c>
      <c r="AG6404">
        <v>-1.1048731509230001</v>
      </c>
      <c r="AH6404">
        <v>37.047885876815997</v>
      </c>
      <c r="AI6404">
        <v>91.704840775608005</v>
      </c>
      <c r="AJ6404">
        <v>86.396281052439605</v>
      </c>
      <c r="AK6404">
        <v>37.137726637961599</v>
      </c>
    </row>
    <row r="6405" spans="1:37" x14ac:dyDescent="0.2">
      <c r="A6405" t="str">
        <f>"20200111153555194"</f>
        <v>20200111153555194</v>
      </c>
      <c r="B6405" t="str">
        <f>"1578728155191580"</f>
        <v>1578728155191580</v>
      </c>
      <c r="C6405" t="s">
        <v>37</v>
      </c>
      <c r="D6405">
        <v>4.8345789999999997</v>
      </c>
      <c r="E6405">
        <v>0.53658629999999996</v>
      </c>
      <c r="F6405" t="s">
        <v>51</v>
      </c>
      <c r="G6405">
        <v>-181.49369999999999</v>
      </c>
      <c r="H6405" s="1">
        <v>-4.8130460000000003E-6</v>
      </c>
      <c r="I6405">
        <v>128.0566</v>
      </c>
      <c r="J6405">
        <v>-187.8537</v>
      </c>
      <c r="K6405">
        <v>1.1048559999999901</v>
      </c>
      <c r="L6405">
        <v>80.86627</v>
      </c>
      <c r="M6405">
        <v>-7.1037819999999899E-3</v>
      </c>
      <c r="N6405">
        <v>0</v>
      </c>
      <c r="O6405">
        <v>0.99977349999999998</v>
      </c>
      <c r="P6405">
        <v>4.091156E-2</v>
      </c>
      <c r="Q6405">
        <v>3.3757049999999997E-2</v>
      </c>
      <c r="R6405">
        <v>0.99859240000000005</v>
      </c>
      <c r="S6405">
        <v>0.39959719999999999</v>
      </c>
      <c r="T6405">
        <v>-6.9448469999999998E-2</v>
      </c>
      <c r="U6405">
        <v>2.9912109999999998</v>
      </c>
      <c r="V6405">
        <v>4.8031619999999997E-2</v>
      </c>
      <c r="W6405">
        <v>5.375398E-2</v>
      </c>
      <c r="X6405">
        <v>0.99739840000000002</v>
      </c>
      <c r="Y6405">
        <v>0.1394184</v>
      </c>
      <c r="Z6405">
        <v>-2.299495E-2</v>
      </c>
      <c r="AA6405">
        <v>0.98996649999999997</v>
      </c>
      <c r="AB6405">
        <v>49</v>
      </c>
      <c r="AC6405">
        <v>6.3600000000000101</v>
      </c>
      <c r="AD6405">
        <v>-1.10486081304599</v>
      </c>
      <c r="AE6405">
        <v>47.190330000000003</v>
      </c>
      <c r="AF6405">
        <v>6.6915341493950997</v>
      </c>
      <c r="AG6405">
        <v>-1.10486081304599</v>
      </c>
      <c r="AH6405">
        <v>47.118581808353802</v>
      </c>
      <c r="AI6405">
        <v>91.329915655201006</v>
      </c>
      <c r="AJ6405">
        <v>81.917202822466507</v>
      </c>
      <c r="AK6405">
        <v>47.604181521367003</v>
      </c>
    </row>
    <row r="6406" spans="1:37" x14ac:dyDescent="0.2">
      <c r="A6406" t="str">
        <f>"20200111153555216"</f>
        <v>20200111153555216</v>
      </c>
      <c r="B6406" t="str">
        <f>"1578728155212076"</f>
        <v>1578728155212076</v>
      </c>
      <c r="C6406" t="s">
        <v>37</v>
      </c>
      <c r="D6406">
        <v>4.8807339999999897</v>
      </c>
      <c r="E6406">
        <v>0.53591440000000001</v>
      </c>
      <c r="F6406" t="s">
        <v>51</v>
      </c>
      <c r="G6406">
        <v>-181.57490000000001</v>
      </c>
      <c r="H6406" s="1">
        <v>-4.453331E-6</v>
      </c>
      <c r="I6406">
        <v>126.71510000000001</v>
      </c>
      <c r="J6406">
        <v>-187.857</v>
      </c>
      <c r="K6406">
        <v>1.1048389999999999</v>
      </c>
      <c r="L6406">
        <v>81.347840000000005</v>
      </c>
      <c r="M6406">
        <v>-6.958685E-3</v>
      </c>
      <c r="N6406">
        <v>0</v>
      </c>
      <c r="O6406">
        <v>0.99977649999999996</v>
      </c>
      <c r="P6406">
        <v>4.5182779999999999E-2</v>
      </c>
      <c r="Q6406">
        <v>3.3744240000000002E-2</v>
      </c>
      <c r="R6406">
        <v>0.99840869999999904</v>
      </c>
      <c r="S6406">
        <v>0.40945429999999999</v>
      </c>
      <c r="T6406">
        <v>-7.2050210000000003E-2</v>
      </c>
      <c r="U6406">
        <v>2.9898989999999999</v>
      </c>
      <c r="V6406">
        <v>5.2156799999999899E-2</v>
      </c>
      <c r="W6406">
        <v>5.3634000000000001E-2</v>
      </c>
      <c r="X6406">
        <v>0.99719760000000002</v>
      </c>
      <c r="Y6406">
        <v>0.142533299999999</v>
      </c>
      <c r="Z6406">
        <v>-2.385576E-2</v>
      </c>
      <c r="AA6406">
        <v>0.98950249999999995</v>
      </c>
      <c r="AB6406">
        <v>49</v>
      </c>
      <c r="AC6406">
        <v>6.2820999999999803</v>
      </c>
      <c r="AD6406">
        <v>-1.1048434533310001</v>
      </c>
      <c r="AE6406">
        <v>45.367260000000002</v>
      </c>
      <c r="AF6406">
        <v>6.5938700896471998</v>
      </c>
      <c r="AG6406">
        <v>-1.1048434533310001</v>
      </c>
      <c r="AH6406">
        <v>45.296078294135299</v>
      </c>
      <c r="AI6406">
        <v>91.382690196447797</v>
      </c>
      <c r="AJ6406">
        <v>81.717480670592906</v>
      </c>
      <c r="AK6406">
        <v>45.786837744530303</v>
      </c>
    </row>
    <row r="6407" spans="1:37" x14ac:dyDescent="0.2">
      <c r="A6407" t="str">
        <f>"20200111153555231"</f>
        <v>20200111153555231</v>
      </c>
      <c r="B6407" t="str">
        <f>"1578728155221837"</f>
        <v>1578728155221837</v>
      </c>
      <c r="C6407" t="s">
        <v>37</v>
      </c>
      <c r="D6407">
        <v>4.8680050000000001</v>
      </c>
      <c r="E6407">
        <v>0.53530040000000001</v>
      </c>
      <c r="F6407" t="s">
        <v>51</v>
      </c>
      <c r="G6407">
        <v>-181.62209999999999</v>
      </c>
      <c r="H6407" s="1">
        <v>-4.2793039999999999E-6</v>
      </c>
      <c r="I6407">
        <v>126.07040000000001</v>
      </c>
      <c r="J6407">
        <v>-187.85910000000001</v>
      </c>
      <c r="K6407">
        <v>1.1048209999999901</v>
      </c>
      <c r="L6407">
        <v>81.662899999999993</v>
      </c>
      <c r="M6407">
        <v>-6.8530930000000002E-3</v>
      </c>
      <c r="N6407">
        <v>0</v>
      </c>
      <c r="O6407">
        <v>0.99977890000000003</v>
      </c>
      <c r="P6407">
        <v>4.7088329999999998E-2</v>
      </c>
      <c r="Q6407">
        <v>3.3401430000000003E-2</v>
      </c>
      <c r="R6407">
        <v>0.99833209999999994</v>
      </c>
      <c r="S6407">
        <v>0.416626</v>
      </c>
      <c r="T6407">
        <v>-7.3827390000000007E-2</v>
      </c>
      <c r="U6407">
        <v>2.9884339999999998</v>
      </c>
      <c r="V6407">
        <v>5.3956909999999997E-2</v>
      </c>
      <c r="W6407">
        <v>5.3204979999999999E-2</v>
      </c>
      <c r="X6407">
        <v>0.99712479999999903</v>
      </c>
      <c r="Y6407">
        <v>0.1448217</v>
      </c>
      <c r="Z6407">
        <v>-2.444764E-2</v>
      </c>
      <c r="AA6407">
        <v>0.98915569999999897</v>
      </c>
      <c r="AB6407">
        <v>48</v>
      </c>
      <c r="AC6407">
        <v>6.2370000000000196</v>
      </c>
      <c r="AD6407">
        <v>-1.1048252793040001</v>
      </c>
      <c r="AE6407">
        <v>44.407499999999999</v>
      </c>
      <c r="AF6407">
        <v>6.5372742117157596</v>
      </c>
      <c r="AG6407">
        <v>-1.1048252793040001</v>
      </c>
      <c r="AH6407">
        <v>44.336793009116299</v>
      </c>
      <c r="AI6407">
        <v>91.412192003769405</v>
      </c>
      <c r="AJ6407">
        <v>81.612411942136703</v>
      </c>
      <c r="AK6407">
        <v>44.829764747878997</v>
      </c>
    </row>
    <row r="6408" spans="1:37" x14ac:dyDescent="0.2">
      <c r="A6408" t="str">
        <f>"20200111153555245"</f>
        <v>20200111153555245</v>
      </c>
      <c r="B6408" t="str">
        <f>"1578728155241863"</f>
        <v>1578728155241863</v>
      </c>
      <c r="C6408" t="s">
        <v>37</v>
      </c>
      <c r="D6408">
        <v>4.8352899999999996</v>
      </c>
      <c r="E6408">
        <v>0.53456490000000001</v>
      </c>
      <c r="F6408" t="s">
        <v>51</v>
      </c>
      <c r="G6408">
        <v>-181.7996</v>
      </c>
      <c r="H6408" s="1">
        <v>-3.9906759999999999E-6</v>
      </c>
      <c r="I6408">
        <v>125.0543</v>
      </c>
      <c r="J6408">
        <v>-187.86109999999999</v>
      </c>
      <c r="K6408">
        <v>1.104795</v>
      </c>
      <c r="L6408">
        <v>81.961150000000004</v>
      </c>
      <c r="M6408">
        <v>-6.7450869999999899E-3</v>
      </c>
      <c r="N6408">
        <v>0</v>
      </c>
      <c r="O6408">
        <v>0.99978140000000004</v>
      </c>
      <c r="P6408">
        <v>4.8714390000000003E-2</v>
      </c>
      <c r="Q6408">
        <v>3.3023450000000003E-2</v>
      </c>
      <c r="R6408">
        <v>0.99826669999999995</v>
      </c>
      <c r="S6408">
        <v>0.417251599999999</v>
      </c>
      <c r="T6408">
        <v>-7.6077099999999995E-2</v>
      </c>
      <c r="U6408">
        <v>2.9878849999999999</v>
      </c>
      <c r="V6408">
        <v>5.5475530000000002E-2</v>
      </c>
      <c r="W6408">
        <v>5.2734999999999997E-2</v>
      </c>
      <c r="X6408">
        <v>0.99706640000000002</v>
      </c>
      <c r="Y6408">
        <v>0.14494019999999999</v>
      </c>
      <c r="Z6408">
        <v>-2.5196179999999999E-2</v>
      </c>
      <c r="AA6408">
        <v>0.98911949999999904</v>
      </c>
      <c r="AB6408">
        <v>48</v>
      </c>
      <c r="AC6408">
        <v>6.0614999999999899</v>
      </c>
      <c r="AD6408">
        <v>-1.1047989906760001</v>
      </c>
      <c r="AE6408">
        <v>43.093150000000001</v>
      </c>
      <c r="AF6408">
        <v>6.3479945846065302</v>
      </c>
      <c r="AG6408">
        <v>-1.1047989906760001</v>
      </c>
      <c r="AH6408">
        <v>43.023546115736899</v>
      </c>
      <c r="AI6408">
        <v>91.455223505933802</v>
      </c>
      <c r="AJ6408">
        <v>81.606738191231997</v>
      </c>
      <c r="AK6408">
        <v>43.503369253759303</v>
      </c>
    </row>
    <row r="6409" spans="1:37" x14ac:dyDescent="0.2">
      <c r="A6409" t="str">
        <f>"20200111153555263"</f>
        <v>20200111153555263</v>
      </c>
      <c r="B6409" t="str">
        <f>"1578728155251623"</f>
        <v>1578728155251623</v>
      </c>
      <c r="C6409" t="s">
        <v>37</v>
      </c>
      <c r="D6409">
        <v>4.8919800000000002</v>
      </c>
      <c r="E6409">
        <v>0.5343118</v>
      </c>
      <c r="F6409" t="s">
        <v>51</v>
      </c>
      <c r="G6409">
        <v>-182.0324</v>
      </c>
      <c r="H6409" s="1">
        <v>-3.3987749999999999E-6</v>
      </c>
      <c r="I6409">
        <v>123.8032</v>
      </c>
      <c r="J6409">
        <v>-187.86359999999999</v>
      </c>
      <c r="K6409">
        <v>1.1047499999999999</v>
      </c>
      <c r="L6409">
        <v>82.340090000000004</v>
      </c>
      <c r="M6409">
        <v>-6.5935659999999899E-3</v>
      </c>
      <c r="N6409">
        <v>0</v>
      </c>
      <c r="O6409">
        <v>0.99978500000000003</v>
      </c>
      <c r="P6409">
        <v>5.1277450000000002E-2</v>
      </c>
      <c r="Q6409">
        <v>3.0830489999999999E-2</v>
      </c>
      <c r="R6409">
        <v>0.99820849999999905</v>
      </c>
      <c r="S6409">
        <v>0.41616819999999999</v>
      </c>
      <c r="T6409">
        <v>-7.8882460000000001E-2</v>
      </c>
      <c r="U6409">
        <v>2.9875180000000001</v>
      </c>
      <c r="V6409">
        <v>5.7887569999999999E-2</v>
      </c>
      <c r="W6409">
        <v>5.0407319999999999E-2</v>
      </c>
      <c r="X6409">
        <v>0.99704969999999904</v>
      </c>
      <c r="Y6409">
        <v>0.14445179999999999</v>
      </c>
      <c r="Z6409">
        <v>-2.6129469999999998E-2</v>
      </c>
      <c r="AA6409">
        <v>0.98916680000000001</v>
      </c>
      <c r="AB6409">
        <v>48</v>
      </c>
      <c r="AC6409">
        <v>5.8311999999999902</v>
      </c>
      <c r="AD6409">
        <v>-1.104753398775</v>
      </c>
      <c r="AE6409">
        <v>41.46311</v>
      </c>
      <c r="AF6409">
        <v>6.1002691052824698</v>
      </c>
      <c r="AG6409">
        <v>-1.104753398775</v>
      </c>
      <c r="AH6409">
        <v>41.3949355301922</v>
      </c>
      <c r="AI6409">
        <v>91.512427380978593</v>
      </c>
      <c r="AJ6409">
        <v>81.616801891570205</v>
      </c>
      <c r="AK6409">
        <v>41.856593874534703</v>
      </c>
    </row>
    <row r="6410" spans="1:37" x14ac:dyDescent="0.2">
      <c r="A6410" t="str">
        <f>"20200111153555277"</f>
        <v>20200111153555277</v>
      </c>
      <c r="B6410" t="str">
        <f>"1578728155272119"</f>
        <v>1578728155272119</v>
      </c>
      <c r="C6410" t="s">
        <v>37</v>
      </c>
      <c r="D6410">
        <v>4.8741719999999997</v>
      </c>
      <c r="E6410">
        <v>0.53407669999999996</v>
      </c>
      <c r="F6410" t="s">
        <v>51</v>
      </c>
      <c r="G6410">
        <v>-182.32259999999999</v>
      </c>
      <c r="H6410" s="1">
        <v>-2.614006E-6</v>
      </c>
      <c r="I6410">
        <v>121.59399999999999</v>
      </c>
      <c r="J6410">
        <v>-187.8656</v>
      </c>
      <c r="K6410">
        <v>1.104711</v>
      </c>
      <c r="L6410">
        <v>82.664829999999995</v>
      </c>
      <c r="M6410">
        <v>-6.4504239999999997E-3</v>
      </c>
      <c r="N6410">
        <v>0</v>
      </c>
      <c r="O6410">
        <v>0.99978849999999997</v>
      </c>
      <c r="P6410">
        <v>5.2218090000000002E-2</v>
      </c>
      <c r="Q6410">
        <v>2.9450199999999999E-2</v>
      </c>
      <c r="R6410">
        <v>0.99820140000000002</v>
      </c>
      <c r="S6410">
        <v>0.42153930000000001</v>
      </c>
      <c r="T6410">
        <v>-8.4046480000000007E-2</v>
      </c>
      <c r="U6410">
        <v>2.9863279999999999</v>
      </c>
      <c r="V6410">
        <v>5.8686370000000002E-2</v>
      </c>
      <c r="W6410">
        <v>4.8898089999999998E-2</v>
      </c>
      <c r="X6410">
        <v>0.99707819999999903</v>
      </c>
      <c r="Y6410">
        <v>0.14610200000000001</v>
      </c>
      <c r="Z6410">
        <v>-2.78429E-2</v>
      </c>
      <c r="AA6410">
        <v>0.98887769999999997</v>
      </c>
      <c r="AB6410">
        <v>48</v>
      </c>
      <c r="AC6410">
        <v>5.5430000000000001</v>
      </c>
      <c r="AD6410">
        <v>-1.1047136140060001</v>
      </c>
      <c r="AE6410">
        <v>38.9291699999999</v>
      </c>
      <c r="AF6410">
        <v>5.7894726568178996</v>
      </c>
      <c r="AG6410">
        <v>-1.1047136140060001</v>
      </c>
      <c r="AH6410">
        <v>38.861925255579798</v>
      </c>
      <c r="AI6410">
        <v>91.610523359386406</v>
      </c>
      <c r="AJ6410">
        <v>81.526653862814896</v>
      </c>
      <c r="AK6410">
        <v>39.306330538264199</v>
      </c>
    </row>
    <row r="6411" spans="1:37" x14ac:dyDescent="0.2">
      <c r="A6411" t="str">
        <f>"20200111153555295"</f>
        <v>20200111153555295</v>
      </c>
      <c r="B6411" t="str">
        <f>"1578728155281879"</f>
        <v>1578728155281879</v>
      </c>
      <c r="C6411" t="s">
        <v>37</v>
      </c>
      <c r="D6411">
        <v>4.8943459999999996</v>
      </c>
      <c r="E6411">
        <v>0.533918</v>
      </c>
      <c r="F6411" t="s">
        <v>51</v>
      </c>
      <c r="G6411">
        <v>-182.62629999999999</v>
      </c>
      <c r="H6411" s="1">
        <v>-1.9726739999999999E-6</v>
      </c>
      <c r="I6411">
        <v>119.6909</v>
      </c>
      <c r="J6411">
        <v>-187.86779999999999</v>
      </c>
      <c r="K6411">
        <v>1.104663</v>
      </c>
      <c r="L6411">
        <v>83.03152</v>
      </c>
      <c r="M6411">
        <v>-6.2711299999999998E-3</v>
      </c>
      <c r="N6411">
        <v>0</v>
      </c>
      <c r="O6411">
        <v>0.99979259999999903</v>
      </c>
      <c r="P6411">
        <v>5.3598279999999998E-2</v>
      </c>
      <c r="Q6411">
        <v>2.7149949999999999E-2</v>
      </c>
      <c r="R6411">
        <v>0.99819340000000001</v>
      </c>
      <c r="S6411">
        <v>0.4225159</v>
      </c>
      <c r="T6411">
        <v>-8.9088559999999997E-2</v>
      </c>
      <c r="U6411">
        <v>2.9859309999999999</v>
      </c>
      <c r="V6411">
        <v>5.9888370000000003E-2</v>
      </c>
      <c r="W6411">
        <v>4.6442310000000001E-2</v>
      </c>
      <c r="X6411">
        <v>0.99712409999999996</v>
      </c>
      <c r="Y6411">
        <v>0.1462531</v>
      </c>
      <c r="Z6411">
        <v>-2.9514729999999999E-2</v>
      </c>
      <c r="AA6411">
        <v>0.98880679999999999</v>
      </c>
      <c r="AB6411">
        <v>48</v>
      </c>
      <c r="AC6411">
        <v>5.2415000000000003</v>
      </c>
      <c r="AD6411">
        <v>-1.1046649726739901</v>
      </c>
      <c r="AE6411">
        <v>36.659379999999999</v>
      </c>
      <c r="AF6411">
        <v>5.4664716217319196</v>
      </c>
      <c r="AG6411">
        <v>-1.1046649726739901</v>
      </c>
      <c r="AH6411">
        <v>36.593221182083902</v>
      </c>
      <c r="AI6411">
        <v>91.710137536056806</v>
      </c>
      <c r="AJ6411">
        <v>81.503709314617595</v>
      </c>
      <c r="AK6411">
        <v>37.015759254322496</v>
      </c>
    </row>
    <row r="6412" spans="1:37" x14ac:dyDescent="0.2">
      <c r="A6412" t="str">
        <f>"20200111153555310"</f>
        <v>20200111153555310</v>
      </c>
      <c r="B6412" t="str">
        <f>"1578728155302376"</f>
        <v>1578728155302376</v>
      </c>
      <c r="C6412" t="s">
        <v>37</v>
      </c>
      <c r="D6412">
        <v>4.8839699999999997</v>
      </c>
      <c r="E6412">
        <v>0.53348399999999996</v>
      </c>
      <c r="F6412" t="s">
        <v>39</v>
      </c>
      <c r="G6412">
        <v>-183.0043</v>
      </c>
      <c r="H6412" s="1">
        <v>-4.4704809999999902E-6</v>
      </c>
      <c r="I6412">
        <v>117.161</v>
      </c>
      <c r="J6412">
        <v>-187.8698</v>
      </c>
      <c r="K6412">
        <v>1.1046279999999999</v>
      </c>
      <c r="L6412">
        <v>83.365229999999997</v>
      </c>
      <c r="M6412">
        <v>-6.0955489999999996E-3</v>
      </c>
      <c r="N6412">
        <v>0</v>
      </c>
      <c r="O6412">
        <v>0.99979640000000003</v>
      </c>
      <c r="P6412">
        <v>5.4007439999999997E-2</v>
      </c>
      <c r="Q6412">
        <v>2.6512689999999998E-2</v>
      </c>
      <c r="R6412">
        <v>0.99818850000000003</v>
      </c>
      <c r="S6412">
        <v>0.425399799999999</v>
      </c>
      <c r="T6412">
        <v>-9.6621990000000005E-2</v>
      </c>
      <c r="U6412">
        <v>2.9851990000000002</v>
      </c>
      <c r="V6412">
        <v>6.0123790000000003E-2</v>
      </c>
      <c r="W6412">
        <v>4.5660659999999999E-2</v>
      </c>
      <c r="X6412">
        <v>0.99714609999999904</v>
      </c>
      <c r="Y6412">
        <v>0.14703849999999999</v>
      </c>
      <c r="Z6412">
        <v>-3.201184E-2</v>
      </c>
      <c r="AA6412">
        <v>0.98861270000000001</v>
      </c>
      <c r="AB6412">
        <v>48</v>
      </c>
      <c r="AC6412">
        <v>4.8654999999999902</v>
      </c>
      <c r="AD6412">
        <v>-1.104632470481</v>
      </c>
      <c r="AE6412">
        <v>33.795769999999898</v>
      </c>
      <c r="AF6412">
        <v>5.0661489843368797</v>
      </c>
      <c r="AG6412">
        <v>-1.104632470481</v>
      </c>
      <c r="AH6412">
        <v>33.730174842253703</v>
      </c>
      <c r="AI6412">
        <v>91.854923072316396</v>
      </c>
      <c r="AJ6412">
        <v>81.458232505211797</v>
      </c>
      <c r="AK6412">
        <v>34.126394086034701</v>
      </c>
    </row>
    <row r="6413" spans="1:37" x14ac:dyDescent="0.2">
      <c r="A6413" t="str">
        <f>"20200111153555324"</f>
        <v>20200111153555324</v>
      </c>
      <c r="B6413" t="str">
        <f>"1578728155321896"</f>
        <v>1578728155321896</v>
      </c>
      <c r="C6413" t="s">
        <v>37</v>
      </c>
      <c r="D6413">
        <v>4.847499</v>
      </c>
      <c r="E6413">
        <v>0.53294149999999996</v>
      </c>
      <c r="F6413" t="s">
        <v>39</v>
      </c>
      <c r="G6413">
        <v>-183.11170000000001</v>
      </c>
      <c r="H6413" s="1">
        <v>-4.342679E-6</v>
      </c>
      <c r="I6413">
        <v>116.9075</v>
      </c>
      <c r="J6413">
        <v>-187.87139999999999</v>
      </c>
      <c r="K6413">
        <v>1.1045989999999899</v>
      </c>
      <c r="L6413">
        <v>83.659669999999906</v>
      </c>
      <c r="M6413">
        <v>-5.932891E-3</v>
      </c>
      <c r="N6413">
        <v>0</v>
      </c>
      <c r="O6413">
        <v>0.99979979999999902</v>
      </c>
      <c r="P6413">
        <v>5.4275360000000002E-2</v>
      </c>
      <c r="Q6413">
        <v>2.6259830000000001E-2</v>
      </c>
      <c r="R6413">
        <v>0.99818059999999997</v>
      </c>
      <c r="S6413">
        <v>0.42344670000000001</v>
      </c>
      <c r="T6413">
        <v>-9.8308320000000005E-2</v>
      </c>
      <c r="U6413">
        <v>2.9851380000000001</v>
      </c>
      <c r="V6413">
        <v>6.0230720000000001E-2</v>
      </c>
      <c r="W6413">
        <v>4.527958E-2</v>
      </c>
      <c r="X6413">
        <v>0.99715699999999996</v>
      </c>
      <c r="Y6413">
        <v>0.14624379999999901</v>
      </c>
      <c r="Z6413">
        <v>-3.2574069999999997E-2</v>
      </c>
      <c r="AA6413">
        <v>0.98871209999999898</v>
      </c>
      <c r="AB6413">
        <v>48</v>
      </c>
      <c r="AC6413">
        <v>4.7596999999999801</v>
      </c>
      <c r="AD6413">
        <v>-1.1046033426789901</v>
      </c>
      <c r="AE6413">
        <v>33.24783</v>
      </c>
      <c r="AF6413">
        <v>4.9515522681222501</v>
      </c>
      <c r="AG6413">
        <v>-1.1046033426789901</v>
      </c>
      <c r="AH6413">
        <v>33.183109112350103</v>
      </c>
      <c r="AI6413">
        <v>91.885701890893699</v>
      </c>
      <c r="AJ6413">
        <v>81.512999499859205</v>
      </c>
      <c r="AK6413">
        <v>33.568687027805197</v>
      </c>
    </row>
    <row r="6414" spans="1:37" x14ac:dyDescent="0.2">
      <c r="A6414" t="str">
        <f>"20200111153555340"</f>
        <v>20200111153555340</v>
      </c>
      <c r="B6414" t="str">
        <f>"1578728155331658"</f>
        <v>1578728155331658</v>
      </c>
      <c r="C6414" t="s">
        <v>37</v>
      </c>
      <c r="D6414">
        <v>4.858282</v>
      </c>
      <c r="E6414">
        <v>0.5327501</v>
      </c>
      <c r="F6414" t="s">
        <v>39</v>
      </c>
      <c r="G6414">
        <v>-183.16409999999999</v>
      </c>
      <c r="H6414" s="1">
        <v>-4.4273659999999997E-6</v>
      </c>
      <c r="I6414">
        <v>117.12649999999999</v>
      </c>
      <c r="J6414">
        <v>-187.8734</v>
      </c>
      <c r="K6414">
        <v>1.104571</v>
      </c>
      <c r="L6414">
        <v>84.012150000000005</v>
      </c>
      <c r="M6414">
        <v>-5.7289740000000004E-3</v>
      </c>
      <c r="N6414">
        <v>0</v>
      </c>
      <c r="O6414">
        <v>0.99980380000000002</v>
      </c>
      <c r="P6414">
        <v>5.4333739999999998E-2</v>
      </c>
      <c r="Q6414">
        <v>2.5858559999999999E-2</v>
      </c>
      <c r="R6414">
        <v>0.99818799999999996</v>
      </c>
      <c r="S6414">
        <v>0.41989140000000003</v>
      </c>
      <c r="T6414">
        <v>-9.853017E-2</v>
      </c>
      <c r="U6414">
        <v>2.9852289999999999</v>
      </c>
      <c r="V6414">
        <v>6.0087000000000002E-2</v>
      </c>
      <c r="W6414">
        <v>4.472653E-2</v>
      </c>
      <c r="X6414">
        <v>0.99719059999999904</v>
      </c>
      <c r="Y6414">
        <v>0.14488280000000001</v>
      </c>
      <c r="Z6414">
        <v>-3.2652550000000002E-2</v>
      </c>
      <c r="AA6414">
        <v>0.98890990000000001</v>
      </c>
      <c r="AB6414">
        <v>48</v>
      </c>
      <c r="AC6414">
        <v>4.7093000000000096</v>
      </c>
      <c r="AD6414">
        <v>-1.104575427366</v>
      </c>
      <c r="AE6414">
        <v>33.114349999999902</v>
      </c>
      <c r="AF6414">
        <v>4.8936310959194902</v>
      </c>
      <c r="AG6414">
        <v>-1.104575427366</v>
      </c>
      <c r="AH6414">
        <v>33.050777137851703</v>
      </c>
      <c r="AI6414">
        <v>91.893516560507905</v>
      </c>
      <c r="AJ6414">
        <v>81.577747416758001</v>
      </c>
      <c r="AK6414">
        <v>33.429352096527801</v>
      </c>
    </row>
    <row r="6415" spans="1:37" x14ac:dyDescent="0.2">
      <c r="A6415" t="str">
        <f>"20200111153555362"</f>
        <v>20200111153555362</v>
      </c>
      <c r="B6415" t="str">
        <f>"1578728155352154"</f>
        <v>1578728155352154</v>
      </c>
      <c r="C6415" t="s">
        <v>37</v>
      </c>
      <c r="D6415">
        <v>4.9225690000000002</v>
      </c>
      <c r="E6415">
        <v>0.53241190000000005</v>
      </c>
      <c r="F6415" t="s">
        <v>39</v>
      </c>
      <c r="G6415">
        <v>-183.233</v>
      </c>
      <c r="H6415" s="1">
        <v>-4.4020270000000001E-6</v>
      </c>
      <c r="I6415">
        <v>117.0959</v>
      </c>
      <c r="J6415">
        <v>-187.8759</v>
      </c>
      <c r="K6415">
        <v>1.104544</v>
      </c>
      <c r="L6415">
        <v>84.486359999999905</v>
      </c>
      <c r="M6415">
        <v>-5.4413389999999999E-3</v>
      </c>
      <c r="N6415">
        <v>0</v>
      </c>
      <c r="O6415">
        <v>0.99980930000000001</v>
      </c>
      <c r="P6415">
        <v>5.4798029999999998E-2</v>
      </c>
      <c r="Q6415">
        <v>2.6061460000000002E-2</v>
      </c>
      <c r="R6415">
        <v>0.99815730000000003</v>
      </c>
      <c r="S6415">
        <v>0.41871639999999999</v>
      </c>
      <c r="T6415">
        <v>-9.9668499999999993E-2</v>
      </c>
      <c r="U6415">
        <v>2.9852289999999999</v>
      </c>
      <c r="V6415">
        <v>6.0266109999999998E-2</v>
      </c>
      <c r="W6415">
        <v>4.4725099999999997E-2</v>
      </c>
      <c r="X6415">
        <v>0.99717990000000001</v>
      </c>
      <c r="Y6415">
        <v>0.1442147</v>
      </c>
      <c r="Z6415">
        <v>-3.3031970000000001E-2</v>
      </c>
      <c r="AA6415">
        <v>0.98899499999999996</v>
      </c>
      <c r="AB6415">
        <v>48</v>
      </c>
      <c r="AC6415">
        <v>4.6428999999999903</v>
      </c>
      <c r="AD6415">
        <v>-1.104548402027</v>
      </c>
      <c r="AE6415">
        <v>32.609540000000003</v>
      </c>
      <c r="AF6415">
        <v>4.8148876171930004</v>
      </c>
      <c r="AG6415">
        <v>-1.104548402027</v>
      </c>
      <c r="AH6415">
        <v>32.547189309617004</v>
      </c>
      <c r="AI6415">
        <v>91.922780984432094</v>
      </c>
      <c r="AJ6415">
        <v>81.584948537018604</v>
      </c>
      <c r="AK6415">
        <v>32.919943831888098</v>
      </c>
    </row>
    <row r="6416" spans="1:37" x14ac:dyDescent="0.2">
      <c r="A6416" t="str">
        <f>"20200111153555384"</f>
        <v>20200111153555384</v>
      </c>
      <c r="B6416" t="str">
        <f>"1578728155382407"</f>
        <v>1578728155382407</v>
      </c>
      <c r="C6416" t="s">
        <v>37</v>
      </c>
      <c r="D6416">
        <v>4.8567499999999999</v>
      </c>
      <c r="E6416">
        <v>0.53203459999999902</v>
      </c>
      <c r="F6416" t="s">
        <v>39</v>
      </c>
      <c r="G6416">
        <v>-183.2739</v>
      </c>
      <c r="H6416" s="1">
        <v>-4.525977E-6</v>
      </c>
      <c r="I6416">
        <v>117.40179999999999</v>
      </c>
      <c r="J6416">
        <v>-187.87809999999999</v>
      </c>
      <c r="K6416">
        <v>1.1045290000000001</v>
      </c>
      <c r="L6416">
        <v>84.942350000000005</v>
      </c>
      <c r="M6416">
        <v>-5.1567970000000003E-3</v>
      </c>
      <c r="N6416">
        <v>0</v>
      </c>
      <c r="O6416">
        <v>0.99981430000000004</v>
      </c>
      <c r="P6416">
        <v>5.4576300000000001E-2</v>
      </c>
      <c r="Q6416">
        <v>2.7590300000000002E-2</v>
      </c>
      <c r="R6416">
        <v>0.99812839999999903</v>
      </c>
      <c r="S6416">
        <v>0.41737370000000001</v>
      </c>
      <c r="T6416">
        <v>-0.100175899999999</v>
      </c>
      <c r="U6416">
        <v>2.9852289999999999</v>
      </c>
      <c r="V6416">
        <v>5.9762969999999999E-2</v>
      </c>
      <c r="W6416">
        <v>4.6064109999999998E-2</v>
      </c>
      <c r="X6416">
        <v>0.99714919999999996</v>
      </c>
      <c r="Y6416">
        <v>0.14349600000000001</v>
      </c>
      <c r="Z6416">
        <v>-3.3202780000000001E-2</v>
      </c>
      <c r="AA6416">
        <v>0.98909380000000002</v>
      </c>
      <c r="AB6416">
        <v>48</v>
      </c>
      <c r="AC6416">
        <v>4.6041999999999899</v>
      </c>
      <c r="AD6416">
        <v>-1.1045335259769999</v>
      </c>
      <c r="AE6416">
        <v>32.459449999999897</v>
      </c>
      <c r="AF6416">
        <v>4.7661444889922304</v>
      </c>
      <c r="AG6416">
        <v>-1.1045335259769999</v>
      </c>
      <c r="AH6416">
        <v>32.398496540834202</v>
      </c>
      <c r="AI6416">
        <v>91.931802981932194</v>
      </c>
      <c r="AJ6416">
        <v>81.631240893084694</v>
      </c>
      <c r="AK6416">
        <v>32.765816115372502</v>
      </c>
    </row>
    <row r="6417" spans="1:37" x14ac:dyDescent="0.2">
      <c r="A6417" t="str">
        <f>"20200111153555406"</f>
        <v>20200111153555406</v>
      </c>
      <c r="B6417" t="str">
        <f>"1578728155401927"</f>
        <v>1578728155401927</v>
      </c>
      <c r="C6417" t="s">
        <v>37</v>
      </c>
      <c r="D6417">
        <v>4.8990999999999998</v>
      </c>
      <c r="E6417">
        <v>0.53184809999999905</v>
      </c>
      <c r="F6417" t="s">
        <v>39</v>
      </c>
      <c r="G6417">
        <v>-183.11599999999899</v>
      </c>
      <c r="H6417" s="1">
        <v>-5.3750409999999999E-6</v>
      </c>
      <c r="I6417">
        <v>119.31570000000001</v>
      </c>
      <c r="J6417">
        <v>-187.8802</v>
      </c>
      <c r="K6417">
        <v>1.104508</v>
      </c>
      <c r="L6417">
        <v>85.408810000000003</v>
      </c>
      <c r="M6417">
        <v>-4.8634899999999998E-3</v>
      </c>
      <c r="N6417">
        <v>0</v>
      </c>
      <c r="O6417">
        <v>0.99981919999999902</v>
      </c>
      <c r="P6417">
        <v>5.4115839999999998E-2</v>
      </c>
      <c r="Q6417">
        <v>2.83354E-2</v>
      </c>
      <c r="R6417">
        <v>0.99813249999999998</v>
      </c>
      <c r="S6417">
        <v>0.41363529999999998</v>
      </c>
      <c r="T6417">
        <v>-9.593952E-2</v>
      </c>
      <c r="U6417">
        <v>2.9856569999999998</v>
      </c>
      <c r="V6417">
        <v>5.9011569999999999E-2</v>
      </c>
      <c r="W6417">
        <v>4.6625220000000002E-2</v>
      </c>
      <c r="X6417">
        <v>0.99716779999999905</v>
      </c>
      <c r="Y6417">
        <v>0.1419773</v>
      </c>
      <c r="Z6417">
        <v>-3.1801940000000001E-2</v>
      </c>
      <c r="AA6417">
        <v>0.98935890000000004</v>
      </c>
      <c r="AB6417">
        <v>48</v>
      </c>
      <c r="AC6417">
        <v>4.7642000000000104</v>
      </c>
      <c r="AD6417">
        <v>-1.1045133750409999</v>
      </c>
      <c r="AE6417">
        <v>33.906889999999997</v>
      </c>
      <c r="AF6417">
        <v>4.9239535572764996</v>
      </c>
      <c r="AG6417">
        <v>-1.1045133750409999</v>
      </c>
      <c r="AH6417">
        <v>33.848092649007</v>
      </c>
      <c r="AI6417">
        <v>91.849529123417099</v>
      </c>
      <c r="AJ6417">
        <v>81.723121485799794</v>
      </c>
      <c r="AK6417">
        <v>34.222195201442297</v>
      </c>
    </row>
    <row r="6418" spans="1:37" x14ac:dyDescent="0.2">
      <c r="A6418" t="str">
        <f>"20200111153555430"</f>
        <v>20200111153555430</v>
      </c>
      <c r="B6418" t="str">
        <f>"1578728155422423"</f>
        <v>1578728155422423</v>
      </c>
      <c r="C6418" t="s">
        <v>37</v>
      </c>
      <c r="D6418">
        <v>4.8772630000000001</v>
      </c>
      <c r="E6418">
        <v>0.53174659999999996</v>
      </c>
      <c r="F6418" t="s">
        <v>51</v>
      </c>
      <c r="G6418">
        <v>-183.03120000000001</v>
      </c>
      <c r="H6418" s="1">
        <v>-2.1520969999999998E-6</v>
      </c>
      <c r="I6418">
        <v>120.6658</v>
      </c>
      <c r="J6418">
        <v>-187.88239999999999</v>
      </c>
      <c r="K6418">
        <v>1.104482</v>
      </c>
      <c r="L6418">
        <v>85.91095</v>
      </c>
      <c r="M6418">
        <v>-4.5522000000000002E-3</v>
      </c>
      <c r="N6418">
        <v>0</v>
      </c>
      <c r="O6418">
        <v>0.99982420000000005</v>
      </c>
      <c r="P6418">
        <v>5.3351929999999999E-2</v>
      </c>
      <c r="Q6418">
        <v>2.8011629999999999E-2</v>
      </c>
      <c r="R6418">
        <v>0.99818280000000004</v>
      </c>
      <c r="S6418">
        <v>0.41067500000000001</v>
      </c>
      <c r="T6418">
        <v>-9.3543409999999994E-2</v>
      </c>
      <c r="U6418">
        <v>2.985992</v>
      </c>
      <c r="V6418">
        <v>5.7937669999999997E-2</v>
      </c>
      <c r="W6418">
        <v>4.6107929999999998E-2</v>
      </c>
      <c r="X6418">
        <v>0.9972548</v>
      </c>
      <c r="Y6418">
        <v>0.14069479999999901</v>
      </c>
      <c r="Z6418">
        <v>-3.1010019999999999E-2</v>
      </c>
      <c r="AA6418">
        <v>0.98956730000000004</v>
      </c>
      <c r="AB6418">
        <v>48</v>
      </c>
      <c r="AC6418">
        <v>4.8511999999999702</v>
      </c>
      <c r="AD6418">
        <v>-1.1044841520969999</v>
      </c>
      <c r="AE6418">
        <v>34.754849999999998</v>
      </c>
      <c r="AF6418">
        <v>5.0044294275689003</v>
      </c>
      <c r="AG6418">
        <v>-1.1044841520969999</v>
      </c>
      <c r="AH6418">
        <v>34.698029859563</v>
      </c>
      <c r="AI6418">
        <v>91.804525301580895</v>
      </c>
      <c r="AJ6418">
        <v>81.792935821996593</v>
      </c>
      <c r="AK6418">
        <v>35.074456165033801</v>
      </c>
    </row>
    <row r="6419" spans="1:37" x14ac:dyDescent="0.2">
      <c r="A6419" t="str">
        <f>"20200111153555451"</f>
        <v>20200111153555451</v>
      </c>
      <c r="B6419" t="str">
        <f>"1578728155442136"</f>
        <v>1578728155442136</v>
      </c>
      <c r="C6419" t="s">
        <v>37</v>
      </c>
      <c r="D6419">
        <v>4.9092789999999997</v>
      </c>
      <c r="E6419">
        <v>0.51196299999999995</v>
      </c>
      <c r="F6419" t="s">
        <v>51</v>
      </c>
      <c r="G6419">
        <v>-183.14850000000001</v>
      </c>
      <c r="H6419" s="1">
        <v>-2.0990140000000001E-6</v>
      </c>
      <c r="I6419">
        <v>120.5915</v>
      </c>
      <c r="J6419">
        <v>-187.88419999999999</v>
      </c>
      <c r="K6419">
        <v>1.1044510000000001</v>
      </c>
      <c r="L6419">
        <v>86.373900000000006</v>
      </c>
      <c r="M6419">
        <v>-4.2739290000000001E-3</v>
      </c>
      <c r="N6419">
        <v>0</v>
      </c>
      <c r="O6419">
        <v>0.99982859999999996</v>
      </c>
      <c r="P6419">
        <v>5.2852929999999999E-2</v>
      </c>
      <c r="Q6419">
        <v>2.539582E-2</v>
      </c>
      <c r="R6419">
        <v>0.99827929999999998</v>
      </c>
      <c r="S6419">
        <v>0.40763850000000001</v>
      </c>
      <c r="T6419">
        <v>-9.5107559999999994E-2</v>
      </c>
      <c r="U6419">
        <v>2.9863590000000002</v>
      </c>
      <c r="V6419">
        <v>5.7159149999999999E-2</v>
      </c>
      <c r="W6419">
        <v>4.3316460000000001E-2</v>
      </c>
      <c r="X6419">
        <v>0.99742500000000001</v>
      </c>
      <c r="Y6419">
        <v>0.13941289999999901</v>
      </c>
      <c r="Z6419">
        <v>-3.1529290000000001E-2</v>
      </c>
      <c r="AA6419">
        <v>0.98973230000000001</v>
      </c>
      <c r="AB6419">
        <v>48</v>
      </c>
      <c r="AC6419">
        <v>4.73569999999998</v>
      </c>
      <c r="AD6419">
        <v>-1.104453099014</v>
      </c>
      <c r="AE6419">
        <v>34.217599999999898</v>
      </c>
      <c r="AF6419">
        <v>4.8769386289916401</v>
      </c>
      <c r="AG6419">
        <v>-1.104453099014</v>
      </c>
      <c r="AH6419">
        <v>34.162121952967503</v>
      </c>
      <c r="AI6419">
        <v>91.833141011137499</v>
      </c>
      <c r="AJ6419">
        <v>81.875427724536394</v>
      </c>
      <c r="AK6419">
        <v>34.526148400426898</v>
      </c>
    </row>
    <row r="6420" spans="1:37" x14ac:dyDescent="0.2">
      <c r="A6420" t="str">
        <f>"20200111153555473"</f>
        <v>20200111153555473</v>
      </c>
      <c r="B6420" t="str">
        <f>"1578728155461653"</f>
        <v>1578728155461653</v>
      </c>
      <c r="C6420" t="s">
        <v>37</v>
      </c>
      <c r="D6420">
        <v>4.9340580000000003</v>
      </c>
      <c r="E6420">
        <v>0.49475000000000002</v>
      </c>
      <c r="F6420" t="s">
        <v>39</v>
      </c>
      <c r="G6420">
        <v>-185.69900000000001</v>
      </c>
      <c r="H6420" s="1">
        <v>-2.2088739999999999E-6</v>
      </c>
      <c r="I6420">
        <v>112.7761</v>
      </c>
      <c r="J6420">
        <v>-187.886</v>
      </c>
      <c r="K6420">
        <v>1.1044240000000001</v>
      </c>
      <c r="L6420">
        <v>86.835999999999999</v>
      </c>
      <c r="M6420">
        <v>-4.0090880000000001E-3</v>
      </c>
      <c r="N6420">
        <v>0</v>
      </c>
      <c r="O6420">
        <v>0.99983279999999997</v>
      </c>
      <c r="P6420">
        <v>5.2609259999999998E-2</v>
      </c>
      <c r="Q6420">
        <v>2.2167360000000001E-2</v>
      </c>
      <c r="R6420">
        <v>0.99836909999999901</v>
      </c>
      <c r="S6420">
        <v>0.24790949999999901</v>
      </c>
      <c r="T6420">
        <v>-0.12529650000000001</v>
      </c>
      <c r="U6420">
        <v>2.99523899999999</v>
      </c>
      <c r="V6420">
        <v>5.66481E-2</v>
      </c>
      <c r="W6420">
        <v>3.9921480000000002E-2</v>
      </c>
      <c r="X6420">
        <v>0.99759569999999997</v>
      </c>
      <c r="Y6420">
        <v>8.6409639999999996E-2</v>
      </c>
      <c r="Z6420">
        <v>-4.1645599999999998E-2</v>
      </c>
      <c r="AA6420">
        <v>0.99538890000000002</v>
      </c>
      <c r="AB6420">
        <v>48</v>
      </c>
      <c r="AC6420">
        <v>2.1869999999999798</v>
      </c>
      <c r="AD6420">
        <v>-1.104426208874</v>
      </c>
      <c r="AE6420">
        <v>25.940100000000001</v>
      </c>
      <c r="AF6420">
        <v>2.2868789104130198</v>
      </c>
      <c r="AG6420">
        <v>-1.104426208874</v>
      </c>
      <c r="AH6420">
        <v>25.884532021943802</v>
      </c>
      <c r="AI6420">
        <v>92.433712864342297</v>
      </c>
      <c r="AJ6420">
        <v>84.951070420916807</v>
      </c>
      <c r="AK6420">
        <v>26.0088171664298</v>
      </c>
    </row>
    <row r="6421" spans="1:37" x14ac:dyDescent="0.2">
      <c r="A6421" t="str">
        <f>"20200111153555496"</f>
        <v>20200111153555496</v>
      </c>
      <c r="B6421" t="str">
        <f>"1578728155491909"</f>
        <v>1578728155491909</v>
      </c>
      <c r="C6421" t="s">
        <v>37</v>
      </c>
      <c r="D6421">
        <v>4.8414950000000001</v>
      </c>
      <c r="E6421">
        <v>0.48388540000000002</v>
      </c>
      <c r="F6421" t="s">
        <v>39</v>
      </c>
      <c r="G6421">
        <v>-187.0865</v>
      </c>
      <c r="H6421" s="1">
        <v>-4.4502030000000001E-6</v>
      </c>
      <c r="I6421">
        <v>108.80159999999999</v>
      </c>
      <c r="J6421">
        <v>-187.8877</v>
      </c>
      <c r="K6421">
        <v>1.1044149999999999</v>
      </c>
      <c r="L6421">
        <v>87.32611</v>
      </c>
      <c r="M6421">
        <v>-3.7478450000000001E-3</v>
      </c>
      <c r="N6421">
        <v>0</v>
      </c>
      <c r="O6421">
        <v>0.99983670000000002</v>
      </c>
      <c r="P6421">
        <v>5.2620569999999998E-2</v>
      </c>
      <c r="Q6421">
        <v>2.0663460000000002E-2</v>
      </c>
      <c r="R6421">
        <v>0.99840069999999903</v>
      </c>
      <c r="S6421">
        <v>0.109283399999999</v>
      </c>
      <c r="T6421">
        <v>-0.15096399999999999</v>
      </c>
      <c r="U6421">
        <v>3.002472</v>
      </c>
      <c r="V6421">
        <v>5.6396160000000001E-2</v>
      </c>
      <c r="W6421">
        <v>3.8253809999999999E-2</v>
      </c>
      <c r="X6421">
        <v>0.99767539999999999</v>
      </c>
      <c r="Y6421">
        <v>4.0073610000000003E-2</v>
      </c>
      <c r="Z6421">
        <v>-5.0179210000000002E-2</v>
      </c>
      <c r="AA6421">
        <v>0.99793600000000005</v>
      </c>
      <c r="AB6421">
        <v>47</v>
      </c>
      <c r="AC6421">
        <v>0.80119999999999403</v>
      </c>
      <c r="AD6421">
        <v>-1.104419450203</v>
      </c>
      <c r="AE6421">
        <v>21.475489999999901</v>
      </c>
      <c r="AF6421">
        <v>0.87937128895184402</v>
      </c>
      <c r="AG6421">
        <v>-1.104419450203</v>
      </c>
      <c r="AH6421">
        <v>21.415775586743202</v>
      </c>
      <c r="AI6421">
        <v>92.949668025171306</v>
      </c>
      <c r="AJ6421">
        <v>87.648650422635697</v>
      </c>
      <c r="AK6421">
        <v>21.4622571079457</v>
      </c>
    </row>
    <row r="6422" spans="1:37" x14ac:dyDescent="0.2">
      <c r="A6422" t="str">
        <f>"20200111153555520"</f>
        <v>20200111153555520</v>
      </c>
      <c r="B6422" t="str">
        <f>"1578728155512405"</f>
        <v>1578728155512405</v>
      </c>
      <c r="C6422" t="s">
        <v>37</v>
      </c>
      <c r="D6422">
        <v>4.813091</v>
      </c>
      <c r="E6422">
        <v>0.4821455</v>
      </c>
      <c r="F6422" t="s">
        <v>39</v>
      </c>
      <c r="G6422">
        <v>-187.74860000000001</v>
      </c>
      <c r="H6422" s="1">
        <v>-3.2328959999999999E-6</v>
      </c>
      <c r="I6422">
        <v>106.23779999999999</v>
      </c>
      <c r="J6422">
        <v>-187.88919999999999</v>
      </c>
      <c r="K6422">
        <v>1.104411</v>
      </c>
      <c r="L6422">
        <v>87.803069999999906</v>
      </c>
      <c r="M6422">
        <v>-3.5212939999999999E-3</v>
      </c>
      <c r="N6422">
        <v>0</v>
      </c>
      <c r="O6422">
        <v>0.99984019999999996</v>
      </c>
      <c r="P6422">
        <v>5.2194079999999997E-2</v>
      </c>
      <c r="Q6422">
        <v>1.8783629999999999E-2</v>
      </c>
      <c r="R6422">
        <v>0.99846029999999997</v>
      </c>
      <c r="S6422">
        <v>2.210999E-2</v>
      </c>
      <c r="T6422">
        <v>-0.17562</v>
      </c>
      <c r="U6422">
        <v>3.007263</v>
      </c>
      <c r="V6422">
        <v>5.5740159999999997E-2</v>
      </c>
      <c r="W6422">
        <v>3.6231989999999999E-2</v>
      </c>
      <c r="X6422">
        <v>0.99778770000000006</v>
      </c>
      <c r="Y6422">
        <v>1.086119E-2</v>
      </c>
      <c r="Z6422">
        <v>-5.8296250000000001E-2</v>
      </c>
      <c r="AA6422">
        <v>0.99824020000000002</v>
      </c>
      <c r="AB6422">
        <v>47</v>
      </c>
      <c r="AC6422">
        <v>0.14059999999997699</v>
      </c>
      <c r="AD6422">
        <v>-1.104414232896</v>
      </c>
      <c r="AE6422">
        <v>18.434729999999998</v>
      </c>
      <c r="AF6422">
        <v>0.20478823353983799</v>
      </c>
      <c r="AG6422">
        <v>-1.104414232896</v>
      </c>
      <c r="AH6422">
        <v>18.368198298838902</v>
      </c>
      <c r="AI6422">
        <v>93.440635046505406</v>
      </c>
      <c r="AJ6422">
        <v>89.361232105804703</v>
      </c>
      <c r="AK6422">
        <v>18.4025100941119</v>
      </c>
    </row>
    <row r="6423" spans="1:37" x14ac:dyDescent="0.2">
      <c r="A6423" t="str">
        <f>"20200111153555542"</f>
        <v>20200111153555542</v>
      </c>
      <c r="B6423" t="str">
        <f>"1578728155532154"</f>
        <v>1578728155532154</v>
      </c>
      <c r="C6423" t="s">
        <v>37</v>
      </c>
      <c r="D6423">
        <v>4.8105359999999999</v>
      </c>
      <c r="E6423">
        <v>0.48112139999999998</v>
      </c>
      <c r="F6423" t="s">
        <v>40</v>
      </c>
      <c r="G6423">
        <v>-187.88630000000001</v>
      </c>
      <c r="H6423">
        <v>1.0349740000000001</v>
      </c>
      <c r="I6423">
        <v>88.942019999999999</v>
      </c>
      <c r="J6423">
        <v>-187.89070000000001</v>
      </c>
      <c r="K6423">
        <v>1.104425</v>
      </c>
      <c r="L6423">
        <v>88.292630000000003</v>
      </c>
      <c r="M6423">
        <v>-3.3308270000000002E-3</v>
      </c>
      <c r="N6423">
        <v>0</v>
      </c>
      <c r="O6423">
        <v>0.99984319999999904</v>
      </c>
      <c r="P6423">
        <v>5.2242049999999998E-2</v>
      </c>
      <c r="Q6423">
        <v>1.6067109999999999E-2</v>
      </c>
      <c r="R6423">
        <v>0.99850519999999998</v>
      </c>
      <c r="S6423">
        <v>7.1868899999999996E-3</v>
      </c>
      <c r="T6423">
        <v>-0.18341499999999999</v>
      </c>
      <c r="U6423">
        <v>3.0077210000000001</v>
      </c>
      <c r="V6423">
        <v>5.5593110000000001E-2</v>
      </c>
      <c r="W6423">
        <v>3.3386520000000003E-2</v>
      </c>
      <c r="X6423">
        <v>0.99789519999999998</v>
      </c>
      <c r="Y6423">
        <v>5.7163509999999997E-3</v>
      </c>
      <c r="Z6423">
        <v>-6.086722E-2</v>
      </c>
      <c r="AA6423">
        <v>0.9981295</v>
      </c>
      <c r="AB6423">
        <v>47</v>
      </c>
      <c r="AC6423">
        <v>4.4000000000039502E-3</v>
      </c>
      <c r="AD6423">
        <v>-6.9450999999999902E-2</v>
      </c>
      <c r="AE6423">
        <v>0.64938999999999603</v>
      </c>
      <c r="AF6423">
        <v>6.4890904604912704E-3</v>
      </c>
      <c r="AG6423">
        <v>-6.9450999999999902E-2</v>
      </c>
      <c r="AH6423">
        <v>0.64202862479549405</v>
      </c>
      <c r="AI6423">
        <v>96.1736111419076</v>
      </c>
      <c r="AJ6423">
        <v>89.420921712241906</v>
      </c>
      <c r="AK6423">
        <v>0.64580670850711797</v>
      </c>
    </row>
    <row r="6424" spans="1:37" x14ac:dyDescent="0.2">
      <c r="A6424" t="str">
        <f>"20200111153555563"</f>
        <v>20200111153555563</v>
      </c>
      <c r="B6424" t="str">
        <f>"1578728155551674"</f>
        <v>1578728155551674</v>
      </c>
      <c r="C6424" t="s">
        <v>37</v>
      </c>
      <c r="D6424">
        <v>4.7974750000000004</v>
      </c>
      <c r="E6424">
        <v>0.48051120000000003</v>
      </c>
      <c r="F6424" t="s">
        <v>40</v>
      </c>
      <c r="G6424">
        <v>-187.89099999999999</v>
      </c>
      <c r="H6424">
        <v>1.03505</v>
      </c>
      <c r="I6424">
        <v>89.364019999999996</v>
      </c>
      <c r="J6424">
        <v>-187.8921</v>
      </c>
      <c r="K6424">
        <v>1.104447</v>
      </c>
      <c r="L6424">
        <v>88.730350000000001</v>
      </c>
      <c r="M6424">
        <v>-3.1924739999999998E-3</v>
      </c>
      <c r="N6424">
        <v>0</v>
      </c>
      <c r="O6424">
        <v>0.99984549999999905</v>
      </c>
      <c r="P6424">
        <v>5.2808050000000002E-2</v>
      </c>
      <c r="Q6424">
        <v>1.414755E-2</v>
      </c>
      <c r="R6424">
        <v>0.99850450000000002</v>
      </c>
      <c r="S6424">
        <v>-7.3242190000000001E-4</v>
      </c>
      <c r="T6424">
        <v>-0.19474949999999999</v>
      </c>
      <c r="U6424">
        <v>3.00766</v>
      </c>
      <c r="V6424">
        <v>5.6016879999999998E-2</v>
      </c>
      <c r="W6424">
        <v>3.1363410000000001E-2</v>
      </c>
      <c r="X6424">
        <v>0.99793709999999902</v>
      </c>
      <c r="Y6424">
        <v>2.9499420000000001E-3</v>
      </c>
      <c r="Z6424">
        <v>-6.4615229999999996E-2</v>
      </c>
      <c r="AA6424">
        <v>0.99790590000000001</v>
      </c>
      <c r="AB6424">
        <v>47</v>
      </c>
      <c r="AC6424">
        <v>1.1000000000080899E-3</v>
      </c>
      <c r="AD6424">
        <v>-6.9396999999999903E-2</v>
      </c>
      <c r="AE6424">
        <v>0.63366999999999496</v>
      </c>
      <c r="AF6424">
        <v>3.08625599614542E-3</v>
      </c>
      <c r="AG6424">
        <v>-6.9396999999999903E-2</v>
      </c>
      <c r="AH6424">
        <v>0.62615335164240404</v>
      </c>
      <c r="AI6424">
        <v>96.324243327861495</v>
      </c>
      <c r="AJ6424">
        <v>89.717596319404905</v>
      </c>
      <c r="AK6424">
        <v>0.62999483200903295</v>
      </c>
    </row>
    <row r="6425" spans="1:37" x14ac:dyDescent="0.2">
      <c r="A6425" t="str">
        <f>"20200111153555585"</f>
        <v>20200111153555585</v>
      </c>
      <c r="B6425" t="str">
        <f>"1578728155581930"</f>
        <v>1578728155581930</v>
      </c>
      <c r="C6425" t="s">
        <v>37</v>
      </c>
      <c r="D6425">
        <v>4.8069189999999997</v>
      </c>
      <c r="E6425">
        <v>0.47988329999999901</v>
      </c>
      <c r="F6425" t="s">
        <v>40</v>
      </c>
      <c r="G6425">
        <v>-187.89330000000001</v>
      </c>
      <c r="H6425">
        <v>1.0338020000000001</v>
      </c>
      <c r="I6425">
        <v>89.783959999999993</v>
      </c>
      <c r="J6425">
        <v>-187.89340000000001</v>
      </c>
      <c r="K6425">
        <v>1.1044849999999999</v>
      </c>
      <c r="L6425">
        <v>89.197479999999999</v>
      </c>
      <c r="M6425">
        <v>-3.0846809999999902E-3</v>
      </c>
      <c r="N6425">
        <v>0</v>
      </c>
      <c r="O6425">
        <v>0.99984769999999901</v>
      </c>
      <c r="P6425">
        <v>5.3941530000000001E-2</v>
      </c>
      <c r="Q6425">
        <v>1.406376E-2</v>
      </c>
      <c r="R6425">
        <v>0.99844500000000003</v>
      </c>
      <c r="S6425">
        <v>-3.9825440000000002E-3</v>
      </c>
      <c r="T6425">
        <v>-0.2016983</v>
      </c>
      <c r="U6425">
        <v>3.007568</v>
      </c>
      <c r="V6425">
        <v>5.7039439999999997E-2</v>
      </c>
      <c r="W6425">
        <v>3.1179450000000001E-2</v>
      </c>
      <c r="X6425">
        <v>0.99788489999999996</v>
      </c>
      <c r="Y6425">
        <v>1.763936E-3</v>
      </c>
      <c r="Z6425">
        <v>-6.6912730000000004E-2</v>
      </c>
      <c r="AA6425">
        <v>0.99775729999999996</v>
      </c>
      <c r="AB6425">
        <v>47</v>
      </c>
      <c r="AC6425">
        <v>1.0000000000331901E-4</v>
      </c>
      <c r="AD6425">
        <v>-7.0682999999999802E-2</v>
      </c>
      <c r="AE6425">
        <v>0.58647999999999401</v>
      </c>
      <c r="AF6425">
        <v>1.8820331977131299E-3</v>
      </c>
      <c r="AG6425">
        <v>-7.0682999999999802E-2</v>
      </c>
      <c r="AH6425">
        <v>0.57808014360561699</v>
      </c>
      <c r="AI6425">
        <v>96.9710287269248</v>
      </c>
      <c r="AJ6425">
        <v>89.8134650024856</v>
      </c>
      <c r="AK6425">
        <v>0.58238842791477896</v>
      </c>
    </row>
    <row r="6426" spans="1:37" x14ac:dyDescent="0.2">
      <c r="A6426" t="str">
        <f>"20200111153555608"</f>
        <v>20200111153555608</v>
      </c>
      <c r="B6426" t="str">
        <f>"1578728155602428"</f>
        <v>1578728155602428</v>
      </c>
      <c r="C6426" t="s">
        <v>37</v>
      </c>
      <c r="D6426">
        <v>4.791652</v>
      </c>
      <c r="E6426">
        <v>0.47961599999999999</v>
      </c>
      <c r="F6426" t="s">
        <v>40</v>
      </c>
      <c r="G6426">
        <v>-187.89519999999999</v>
      </c>
      <c r="H6426">
        <v>1.0373669999999999</v>
      </c>
      <c r="I6426">
        <v>90.207530000000006</v>
      </c>
      <c r="J6426">
        <v>-187.8948</v>
      </c>
      <c r="K6426">
        <v>1.104527</v>
      </c>
      <c r="L6426">
        <v>89.673769999999905</v>
      </c>
      <c r="M6426">
        <v>-3.012345E-3</v>
      </c>
      <c r="N6426">
        <v>0</v>
      </c>
      <c r="O6426">
        <v>0.99984949999999995</v>
      </c>
      <c r="P6426">
        <v>5.490548E-2</v>
      </c>
      <c r="Q6426">
        <v>1.480326E-2</v>
      </c>
      <c r="R6426">
        <v>0.99838179999999999</v>
      </c>
      <c r="S6426">
        <v>-5.3558349999999998E-3</v>
      </c>
      <c r="T6426">
        <v>-0.199881</v>
      </c>
      <c r="U6426">
        <v>3.0077820000000002</v>
      </c>
      <c r="V6426">
        <v>5.7928309999999997E-2</v>
      </c>
      <c r="W6426">
        <v>3.1829049999999998E-2</v>
      </c>
      <c r="X6426">
        <v>0.99781319999999996</v>
      </c>
      <c r="Y6426">
        <v>1.2360509999999999E-3</v>
      </c>
      <c r="Z6426">
        <v>-6.6307850000000002E-2</v>
      </c>
      <c r="AA6426">
        <v>0.99779839999999997</v>
      </c>
      <c r="AB6426">
        <v>47</v>
      </c>
      <c r="AC6426">
        <v>-3.9999999998485599E-4</v>
      </c>
      <c r="AD6426">
        <v>-6.7160000000000095E-2</v>
      </c>
      <c r="AE6426">
        <v>0.533760000000015</v>
      </c>
      <c r="AF6426">
        <v>1.1892774547990999E-3</v>
      </c>
      <c r="AG6426">
        <v>-6.7160000000000095E-2</v>
      </c>
      <c r="AH6426">
        <v>0.52544014265826899</v>
      </c>
      <c r="AI6426">
        <v>97.283841901886902</v>
      </c>
      <c r="AJ6426">
        <v>89.870317364551696</v>
      </c>
      <c r="AK6426">
        <v>0.52971617258453296</v>
      </c>
    </row>
    <row r="6427" spans="1:37" x14ac:dyDescent="0.2">
      <c r="A6427" t="str">
        <f>"20200111153555630"</f>
        <v>20200111153555630</v>
      </c>
      <c r="B6427" t="str">
        <f>"1578728155621946"</f>
        <v>1578728155621946</v>
      </c>
      <c r="C6427" t="s">
        <v>37</v>
      </c>
      <c r="D6427">
        <v>4.8310420000000001</v>
      </c>
      <c r="E6427">
        <v>0.47944680000000001</v>
      </c>
      <c r="F6427" t="s">
        <v>39</v>
      </c>
      <c r="G6427">
        <v>-187.9194</v>
      </c>
      <c r="H6427" s="1">
        <v>-3.2873479999999999E-6</v>
      </c>
      <c r="I6427">
        <v>106.4354</v>
      </c>
      <c r="J6427">
        <v>-187.89619999999999</v>
      </c>
      <c r="K6427">
        <v>1.104571</v>
      </c>
      <c r="L6427">
        <v>90.155330000000006</v>
      </c>
      <c r="M6427">
        <v>-2.9792709999999999E-3</v>
      </c>
      <c r="N6427">
        <v>0</v>
      </c>
      <c r="O6427">
        <v>0.99985089999999999</v>
      </c>
      <c r="P6427">
        <v>5.5619790000000002E-2</v>
      </c>
      <c r="Q6427">
        <v>1.508235E-2</v>
      </c>
      <c r="R6427">
        <v>0.99833809999999901</v>
      </c>
      <c r="S6427">
        <v>-4.4097900000000002E-3</v>
      </c>
      <c r="T6427">
        <v>-0.19822039999999999</v>
      </c>
      <c r="U6427">
        <v>3.008057</v>
      </c>
      <c r="V6427">
        <v>5.8606459999999999E-2</v>
      </c>
      <c r="W6427">
        <v>3.2033029999999997E-2</v>
      </c>
      <c r="X6427">
        <v>0.99776710000000002</v>
      </c>
      <c r="Y6427">
        <v>1.5168860000000001E-3</v>
      </c>
      <c r="Z6427">
        <v>-6.5753370000000005E-2</v>
      </c>
      <c r="AA6427">
        <v>0.99783469999999996</v>
      </c>
      <c r="AB6427">
        <v>47</v>
      </c>
      <c r="AC6427">
        <v>-2.3200000000002701E-2</v>
      </c>
      <c r="AD6427">
        <v>-1.104574287348</v>
      </c>
      <c r="AE6427">
        <v>16.280069999999899</v>
      </c>
      <c r="AF6427">
        <v>2.5193883988160401E-2</v>
      </c>
      <c r="AG6427">
        <v>-1.104574287348</v>
      </c>
      <c r="AH6427">
        <v>16.2054670001712</v>
      </c>
      <c r="AI6427">
        <v>93.899278721534301</v>
      </c>
      <c r="AJ6427">
        <v>89.910924994688898</v>
      </c>
      <c r="AK6427">
        <v>16.243087138278199</v>
      </c>
    </row>
    <row r="6428" spans="1:37" x14ac:dyDescent="0.2">
      <c r="A6428" t="str">
        <f>"20200111153555652"</f>
        <v>20200111153555652</v>
      </c>
      <c r="B6428" t="str">
        <f>"1578728155642442"</f>
        <v>1578728155642442</v>
      </c>
      <c r="C6428" t="s">
        <v>37</v>
      </c>
      <c r="D6428">
        <v>4.831575</v>
      </c>
      <c r="E6428">
        <v>0.47923119999999902</v>
      </c>
      <c r="F6428" t="s">
        <v>39</v>
      </c>
      <c r="G6428">
        <v>-187.91630000000001</v>
      </c>
      <c r="H6428" s="1">
        <v>-3.5268229999999998E-6</v>
      </c>
      <c r="I6428">
        <v>106.9923</v>
      </c>
      <c r="J6428">
        <v>-187.89750000000001</v>
      </c>
      <c r="K6428">
        <v>1.1046209999999901</v>
      </c>
      <c r="L6428">
        <v>90.602080000000001</v>
      </c>
      <c r="M6428">
        <v>-2.9886449999999998E-3</v>
      </c>
      <c r="N6428">
        <v>0</v>
      </c>
      <c r="O6428">
        <v>0.99985179999999996</v>
      </c>
      <c r="P6428">
        <v>5.6610300000000002E-2</v>
      </c>
      <c r="Q6428">
        <v>1.5231079999999999E-2</v>
      </c>
      <c r="R6428">
        <v>0.99828019999999995</v>
      </c>
      <c r="S6428">
        <v>-3.6010740000000001E-3</v>
      </c>
      <c r="T6428">
        <v>-0.19734869999999999</v>
      </c>
      <c r="U6428">
        <v>3.0081790000000002</v>
      </c>
      <c r="V6428">
        <v>5.9603080000000003E-2</v>
      </c>
      <c r="W6428">
        <v>3.2134540000000003E-2</v>
      </c>
      <c r="X6428">
        <v>0.99770479999999995</v>
      </c>
      <c r="Y6428">
        <v>1.794552E-3</v>
      </c>
      <c r="Z6428">
        <v>-6.5462809999999996E-2</v>
      </c>
      <c r="AA6428">
        <v>0.9978534</v>
      </c>
      <c r="AB6428">
        <v>47</v>
      </c>
      <c r="AC6428">
        <v>-1.87999999999988E-2</v>
      </c>
      <c r="AD6428">
        <v>-1.1046245268229999</v>
      </c>
      <c r="AE6428">
        <v>16.390219999999999</v>
      </c>
      <c r="AF6428">
        <v>3.00551604214086E-2</v>
      </c>
      <c r="AG6428">
        <v>-1.1046245268229999</v>
      </c>
      <c r="AH6428">
        <v>16.316093215096998</v>
      </c>
      <c r="AI6428">
        <v>93.873095333361704</v>
      </c>
      <c r="AJ6428">
        <v>89.894458074349103</v>
      </c>
      <c r="AK6428">
        <v>16.353470471482801</v>
      </c>
    </row>
    <row r="6429" spans="1:37" x14ac:dyDescent="0.2">
      <c r="A6429" t="str">
        <f>"20200111153555674"</f>
        <v>20200111153555674</v>
      </c>
      <c r="B6429" t="str">
        <f>"1578728155671722"</f>
        <v>1578728155671722</v>
      </c>
      <c r="C6429" t="s">
        <v>37</v>
      </c>
      <c r="D6429">
        <v>4.8331629999999999</v>
      </c>
      <c r="E6429">
        <v>0.47893629999999998</v>
      </c>
      <c r="F6429" t="s">
        <v>39</v>
      </c>
      <c r="G6429">
        <v>-187.91120000000001</v>
      </c>
      <c r="H6429" s="1">
        <v>-3.7419699999999902E-6</v>
      </c>
      <c r="I6429">
        <v>107.49169999999999</v>
      </c>
      <c r="J6429">
        <v>-187.8989</v>
      </c>
      <c r="K6429">
        <v>1.104668</v>
      </c>
      <c r="L6429">
        <v>91.06653</v>
      </c>
      <c r="M6429">
        <v>-3.0308800000000001E-3</v>
      </c>
      <c r="N6429">
        <v>0</v>
      </c>
      <c r="O6429">
        <v>0.99985219999999897</v>
      </c>
      <c r="P6429">
        <v>5.7864569999999997E-2</v>
      </c>
      <c r="Q6429">
        <v>1.564333E-2</v>
      </c>
      <c r="R6429">
        <v>0.99820180000000003</v>
      </c>
      <c r="S6429">
        <v>-2.4414060000000001E-3</v>
      </c>
      <c r="T6429">
        <v>-0.19675049999999999</v>
      </c>
      <c r="U6429">
        <v>3.0083009999999999</v>
      </c>
      <c r="V6429">
        <v>6.0895970000000001E-2</v>
      </c>
      <c r="W6429">
        <v>3.2519630000000001E-2</v>
      </c>
      <c r="X6429">
        <v>0.99761420000000001</v>
      </c>
      <c r="Y6429">
        <v>2.2214909999999999E-3</v>
      </c>
      <c r="Z6429">
        <v>-6.5262580000000001E-2</v>
      </c>
      <c r="AA6429">
        <v>0.99786569999999997</v>
      </c>
      <c r="AB6429">
        <v>47</v>
      </c>
      <c r="AC6429">
        <v>-1.23000000000104E-2</v>
      </c>
      <c r="AD6429">
        <v>-1.1046717419700001</v>
      </c>
      <c r="AE6429">
        <v>16.425169999999898</v>
      </c>
      <c r="AF6429">
        <v>3.7321094925229198E-2</v>
      </c>
      <c r="AG6429">
        <v>-1.1046717419700001</v>
      </c>
      <c r="AH6429">
        <v>16.351172078483401</v>
      </c>
      <c r="AI6429">
        <v>93.864972619778101</v>
      </c>
      <c r="AJ6429">
        <v>89.869224205921498</v>
      </c>
      <c r="AK6429">
        <v>16.388487448871199</v>
      </c>
    </row>
    <row r="6430" spans="1:37" x14ac:dyDescent="0.2">
      <c r="A6430" t="str">
        <f>"20200111153555698"</f>
        <v>20200111153555698</v>
      </c>
      <c r="B6430" t="str">
        <f>"1578728155692218"</f>
        <v>1578728155692218</v>
      </c>
      <c r="C6430" t="s">
        <v>37</v>
      </c>
      <c r="D6430">
        <v>4.8379989999999999</v>
      </c>
      <c r="E6430">
        <v>0.47870569999999901</v>
      </c>
      <c r="F6430" t="s">
        <v>39</v>
      </c>
      <c r="G6430">
        <v>-187.90599999999901</v>
      </c>
      <c r="H6430" s="1">
        <v>-4.0145819999999903E-6</v>
      </c>
      <c r="I6430">
        <v>108.125</v>
      </c>
      <c r="J6430">
        <v>-187.90039999999999</v>
      </c>
      <c r="K6430">
        <v>1.1047290000000001</v>
      </c>
      <c r="L6430">
        <v>91.546329999999998</v>
      </c>
      <c r="M6430">
        <v>-3.0984239999999998E-3</v>
      </c>
      <c r="N6430">
        <v>0</v>
      </c>
      <c r="O6430">
        <v>0.99985239999999997</v>
      </c>
      <c r="P6430">
        <v>5.9819980000000002E-2</v>
      </c>
      <c r="Q6430">
        <v>1.5776620000000002E-2</v>
      </c>
      <c r="R6430">
        <v>0.99808449999999904</v>
      </c>
      <c r="S6430">
        <v>-1.2512210000000001E-3</v>
      </c>
      <c r="T6430">
        <v>-0.1948271</v>
      </c>
      <c r="U6430">
        <v>3.0085449999999998</v>
      </c>
      <c r="V6430">
        <v>6.2915059999999995E-2</v>
      </c>
      <c r="W6430">
        <v>3.2637350000000002E-2</v>
      </c>
      <c r="X6430">
        <v>0.99748510000000001</v>
      </c>
      <c r="Y6430">
        <v>2.683848E-3</v>
      </c>
      <c r="Z6430">
        <v>-6.4621979999999996E-2</v>
      </c>
      <c r="AA6430">
        <v>0.99790619999999997</v>
      </c>
      <c r="AB6430">
        <v>47</v>
      </c>
      <c r="AC6430">
        <v>-5.5999999999869496E-3</v>
      </c>
      <c r="AD6430">
        <v>-1.104733014582</v>
      </c>
      <c r="AE6430">
        <v>16.578669999999899</v>
      </c>
      <c r="AF6430">
        <v>4.5572754159829199E-2</v>
      </c>
      <c r="AG6430">
        <v>-1.104733014582</v>
      </c>
      <c r="AH6430">
        <v>16.5053186903213</v>
      </c>
      <c r="AI6430">
        <v>93.829191854280793</v>
      </c>
      <c r="AJ6430">
        <v>89.841801307340205</v>
      </c>
      <c r="AK6430">
        <v>16.542311113580801</v>
      </c>
    </row>
    <row r="6431" spans="1:37" x14ac:dyDescent="0.2">
      <c r="A6431" t="str">
        <f>"20200111153555720"</f>
        <v>20200111153555720</v>
      </c>
      <c r="B6431" t="str">
        <f>"1578728155711738"</f>
        <v>1578728155711738</v>
      </c>
      <c r="C6431" t="s">
        <v>37</v>
      </c>
      <c r="D6431">
        <v>4.8160419999999897</v>
      </c>
      <c r="E6431">
        <v>0.47845519999999903</v>
      </c>
      <c r="F6431" t="s">
        <v>39</v>
      </c>
      <c r="G6431">
        <v>-187.88480000000001</v>
      </c>
      <c r="H6431" s="1">
        <v>-4.2898549999999996E-6</v>
      </c>
      <c r="I6431">
        <v>108.75790000000001</v>
      </c>
      <c r="J6431">
        <v>-187.90190000000001</v>
      </c>
      <c r="K6431">
        <v>1.1047739999999999</v>
      </c>
      <c r="L6431">
        <v>92.018100000000004</v>
      </c>
      <c r="M6431">
        <v>-3.1828550000000001E-3</v>
      </c>
      <c r="N6431">
        <v>0</v>
      </c>
      <c r="O6431">
        <v>0.99985230000000003</v>
      </c>
      <c r="P6431">
        <v>6.201856E-2</v>
      </c>
      <c r="Q6431">
        <v>1.6436409999999999E-2</v>
      </c>
      <c r="R6431">
        <v>0.99793960000000004</v>
      </c>
      <c r="S6431">
        <v>2.7313229999999999E-3</v>
      </c>
      <c r="T6431">
        <v>-0.1931107</v>
      </c>
      <c r="U6431">
        <v>3.0086360000000001</v>
      </c>
      <c r="V6431">
        <v>6.5194580000000002E-2</v>
      </c>
      <c r="W6431">
        <v>3.3287879999999999E-2</v>
      </c>
      <c r="X6431">
        <v>0.99731719999999902</v>
      </c>
      <c r="Y6431">
        <v>4.0892649999999999E-3</v>
      </c>
      <c r="Z6431">
        <v>-6.4052880000000006E-2</v>
      </c>
      <c r="AA6431">
        <v>0.9979382</v>
      </c>
      <c r="AB6431">
        <v>47</v>
      </c>
      <c r="AC6431">
        <v>1.7099999999999199E-2</v>
      </c>
      <c r="AD6431">
        <v>-1.10477828985499</v>
      </c>
      <c r="AE6431">
        <v>16.739799999999999</v>
      </c>
      <c r="AF6431">
        <v>7.0082617405831299E-2</v>
      </c>
      <c r="AG6431">
        <v>-1.10477828985499</v>
      </c>
      <c r="AH6431">
        <v>16.667065463155001</v>
      </c>
      <c r="AI6431">
        <v>93.792276079043802</v>
      </c>
      <c r="AJ6431">
        <v>89.759080892896094</v>
      </c>
      <c r="AK6431">
        <v>16.703787528464701</v>
      </c>
    </row>
    <row r="6432" spans="1:37" x14ac:dyDescent="0.2">
      <c r="A6432" t="str">
        <f>"20200111153555742"</f>
        <v>20200111153555742</v>
      </c>
      <c r="B6432" t="str">
        <f>"1578728155732534"</f>
        <v>1578728155732534</v>
      </c>
      <c r="C6432" t="s">
        <v>37</v>
      </c>
      <c r="D6432">
        <v>4.8426349999999996</v>
      </c>
      <c r="E6432">
        <v>0.47812450000000001</v>
      </c>
      <c r="F6432" t="s">
        <v>40</v>
      </c>
      <c r="G6432">
        <v>-187.8991</v>
      </c>
      <c r="H6432">
        <v>1.0343879999999901</v>
      </c>
      <c r="I6432">
        <v>93.129260000000002</v>
      </c>
      <c r="J6432">
        <v>-187.9034</v>
      </c>
      <c r="K6432">
        <v>1.1048069999999901</v>
      </c>
      <c r="L6432">
        <v>92.467380000000006</v>
      </c>
      <c r="M6432">
        <v>-3.2742859999999999E-3</v>
      </c>
      <c r="N6432">
        <v>0</v>
      </c>
      <c r="O6432">
        <v>0.99985210000000002</v>
      </c>
      <c r="P6432">
        <v>6.4945550000000005E-2</v>
      </c>
      <c r="Q6432">
        <v>1.7450090000000001E-2</v>
      </c>
      <c r="R6432">
        <v>0.99773619999999996</v>
      </c>
      <c r="S6432">
        <v>7.2479249999999997E-3</v>
      </c>
      <c r="T6432">
        <v>-0.19062219999999999</v>
      </c>
      <c r="U6432">
        <v>3.0088810000000001</v>
      </c>
      <c r="V6432">
        <v>6.8209779999999998E-2</v>
      </c>
      <c r="W6432">
        <v>3.4294850000000002E-2</v>
      </c>
      <c r="X6432">
        <v>0.99708140000000001</v>
      </c>
      <c r="Y6432">
        <v>5.678748E-3</v>
      </c>
      <c r="Z6432">
        <v>-6.3225329999999996E-2</v>
      </c>
      <c r="AA6432">
        <v>0.99798310000000001</v>
      </c>
      <c r="AB6432">
        <v>47</v>
      </c>
      <c r="AC6432">
        <v>4.3000000000006297E-3</v>
      </c>
      <c r="AD6432">
        <v>-7.0418999999999995E-2</v>
      </c>
      <c r="AE6432">
        <v>0.66187999999999603</v>
      </c>
      <c r="AF6432">
        <v>6.3950852098472099E-3</v>
      </c>
      <c r="AG6432">
        <v>-7.0418999999999995E-2</v>
      </c>
      <c r="AH6432">
        <v>0.65445468564368203</v>
      </c>
      <c r="AI6432">
        <v>96.141078404113998</v>
      </c>
      <c r="AJ6432">
        <v>89.440144996076</v>
      </c>
      <c r="AK6432">
        <v>0.65826337300264004</v>
      </c>
    </row>
    <row r="6433" spans="1:37" x14ac:dyDescent="0.2">
      <c r="A6433" t="str">
        <f>"20200111153555763"</f>
        <v>20200111153555763</v>
      </c>
      <c r="B6433" t="str">
        <f>"1578728155752054"</f>
        <v>1578728155752054</v>
      </c>
      <c r="C6433" t="s">
        <v>37</v>
      </c>
      <c r="D6433">
        <v>4.9154739999999997</v>
      </c>
      <c r="E6433">
        <v>0.4778405</v>
      </c>
      <c r="F6433" t="s">
        <v>40</v>
      </c>
      <c r="G6433">
        <v>-187.89859999999999</v>
      </c>
      <c r="H6433">
        <v>1.0373559999999999</v>
      </c>
      <c r="I6433">
        <v>93.546949999999995</v>
      </c>
      <c r="J6433">
        <v>-187.9049</v>
      </c>
      <c r="K6433">
        <v>1.10484</v>
      </c>
      <c r="L6433">
        <v>92.913420000000002</v>
      </c>
      <c r="M6433">
        <v>-3.3694459999999999E-3</v>
      </c>
      <c r="N6433">
        <v>0</v>
      </c>
      <c r="O6433">
        <v>0.99985190000000002</v>
      </c>
      <c r="P6433">
        <v>6.8235729999999994E-2</v>
      </c>
      <c r="Q6433">
        <v>1.7611439999999999E-2</v>
      </c>
      <c r="R6433">
        <v>0.99751380000000001</v>
      </c>
      <c r="S6433">
        <v>1.330566E-2</v>
      </c>
      <c r="T6433">
        <v>-0.1880222</v>
      </c>
      <c r="U6433">
        <v>3.0092469999999998</v>
      </c>
      <c r="V6433">
        <v>7.159219E-2</v>
      </c>
      <c r="W6433">
        <v>3.4451639999999999E-2</v>
      </c>
      <c r="X6433">
        <v>0.99683880000000002</v>
      </c>
      <c r="Y6433">
        <v>7.7828130000000004E-3</v>
      </c>
      <c r="Z6433">
        <v>-6.23581E-2</v>
      </c>
      <c r="AA6433">
        <v>0.99802349999999995</v>
      </c>
      <c r="AB6433">
        <v>47</v>
      </c>
      <c r="AC6433">
        <v>6.3000000000101803E-3</v>
      </c>
      <c r="AD6433">
        <v>-6.7484000000000099E-2</v>
      </c>
      <c r="AE6433">
        <v>0.63352999999999304</v>
      </c>
      <c r="AF6433">
        <v>8.3402885253634901E-3</v>
      </c>
      <c r="AG6433">
        <v>-6.7484000000000099E-2</v>
      </c>
      <c r="AH6433">
        <v>0.62639835846973202</v>
      </c>
      <c r="AI6433">
        <v>96.148410022365496</v>
      </c>
      <c r="AJ6433">
        <v>89.237170579467801</v>
      </c>
      <c r="AK6433">
        <v>0.63007821273414999</v>
      </c>
    </row>
    <row r="6434" spans="1:37" x14ac:dyDescent="0.2">
      <c r="A6434" t="str">
        <f>"20200111153555787"</f>
        <v>20200111153555787</v>
      </c>
      <c r="B6434" t="str">
        <f>"1578728155782310"</f>
        <v>1578728155782310</v>
      </c>
      <c r="C6434" t="s">
        <v>37</v>
      </c>
      <c r="D6434">
        <v>4.9464699999999997</v>
      </c>
      <c r="E6434">
        <v>0.51337239999999995</v>
      </c>
      <c r="F6434" t="s">
        <v>40</v>
      </c>
      <c r="G6434">
        <v>-187.89750000000001</v>
      </c>
      <c r="H6434">
        <v>1.039763</v>
      </c>
      <c r="I6434">
        <v>93.963440000000006</v>
      </c>
      <c r="J6434">
        <v>-187.9067</v>
      </c>
      <c r="K6434">
        <v>1.1048629999999999</v>
      </c>
      <c r="L6434">
        <v>93.391019999999997</v>
      </c>
      <c r="M6434">
        <v>-3.4756979999999902E-3</v>
      </c>
      <c r="N6434">
        <v>0</v>
      </c>
      <c r="O6434">
        <v>0.999851499999999</v>
      </c>
      <c r="P6434">
        <v>7.1457919999999994E-2</v>
      </c>
      <c r="Q6434">
        <v>1.7565319999999999E-2</v>
      </c>
      <c r="R6434">
        <v>0.99728890000000003</v>
      </c>
      <c r="S6434">
        <v>2.105713E-2</v>
      </c>
      <c r="T6434">
        <v>-0.1865407</v>
      </c>
      <c r="U6434">
        <v>3.0093380000000001</v>
      </c>
      <c r="V6434">
        <v>7.491805E-2</v>
      </c>
      <c r="W6434">
        <v>3.4403040000000003E-2</v>
      </c>
      <c r="X6434">
        <v>0.99659599999999904</v>
      </c>
      <c r="Y6434">
        <v>1.045975E-2</v>
      </c>
      <c r="Z6434">
        <v>-6.1865530000000002E-2</v>
      </c>
      <c r="AA6434">
        <v>0.99802969999999902</v>
      </c>
      <c r="AB6434">
        <v>46</v>
      </c>
      <c r="AC6434">
        <v>9.1999999999927695E-3</v>
      </c>
      <c r="AD6434">
        <v>-6.5099999999999894E-2</v>
      </c>
      <c r="AE6434">
        <v>0.57242000000000803</v>
      </c>
      <c r="AF6434">
        <v>1.10469428309011E-2</v>
      </c>
      <c r="AG6434">
        <v>-6.5099999999999894E-2</v>
      </c>
      <c r="AH6434">
        <v>0.56507774047049297</v>
      </c>
      <c r="AI6434">
        <v>96.570565894523199</v>
      </c>
      <c r="AJ6434">
        <v>88.880043326475601</v>
      </c>
      <c r="AK6434">
        <v>0.56892257620975695</v>
      </c>
    </row>
    <row r="6435" spans="1:37" x14ac:dyDescent="0.2">
      <c r="A6435" t="str">
        <f>"20200111153555809"</f>
        <v>20200111153555809</v>
      </c>
      <c r="B6435" t="str">
        <f>"1578728155801830"</f>
        <v>1578728155801830</v>
      </c>
      <c r="C6435" t="s">
        <v>37</v>
      </c>
      <c r="D6435">
        <v>4.8717069999999998</v>
      </c>
      <c r="E6435">
        <v>0.52352460000000001</v>
      </c>
      <c r="F6435" t="s">
        <v>39</v>
      </c>
      <c r="G6435">
        <v>-185.13800000000001</v>
      </c>
      <c r="H6435" s="1">
        <v>-5.1445020000000001E-6</v>
      </c>
      <c r="I6435">
        <v>119.6144</v>
      </c>
      <c r="J6435">
        <v>-187.9084</v>
      </c>
      <c r="K6435">
        <v>1.104878</v>
      </c>
      <c r="L6435">
        <v>93.864750000000001</v>
      </c>
      <c r="M6435">
        <v>-3.5872959999999998E-3</v>
      </c>
      <c r="N6435">
        <v>0</v>
      </c>
      <c r="O6435">
        <v>0.99985119999999905</v>
      </c>
      <c r="P6435">
        <v>7.3835219999999993E-2</v>
      </c>
      <c r="Q6435">
        <v>1.772661E-2</v>
      </c>
      <c r="R6435">
        <v>0.99711289999999997</v>
      </c>
      <c r="S6435">
        <v>0.31544489999999997</v>
      </c>
      <c r="T6435">
        <v>-0.1258833</v>
      </c>
      <c r="U6435">
        <v>2.987762</v>
      </c>
      <c r="V6435">
        <v>7.740495E-2</v>
      </c>
      <c r="W6435">
        <v>3.4562199999999897E-2</v>
      </c>
      <c r="X6435">
        <v>0.99640049999999902</v>
      </c>
      <c r="Y6435">
        <v>0.108470699999999</v>
      </c>
      <c r="Z6435">
        <v>-4.1854910000000002E-2</v>
      </c>
      <c r="AA6435">
        <v>0.99321809999999999</v>
      </c>
      <c r="AB6435">
        <v>46</v>
      </c>
      <c r="AC6435">
        <v>2.7703999999999902</v>
      </c>
      <c r="AD6435">
        <v>-1.104883144502</v>
      </c>
      <c r="AE6435">
        <v>25.749649999999999</v>
      </c>
      <c r="AF6435">
        <v>2.8575659246471798</v>
      </c>
      <c r="AG6435">
        <v>-1.104883144502</v>
      </c>
      <c r="AH6435">
        <v>25.692781560229399</v>
      </c>
      <c r="AI6435">
        <v>92.447338171007104</v>
      </c>
      <c r="AJ6435">
        <v>83.653613025765907</v>
      </c>
      <c r="AK6435">
        <v>25.874803846181599</v>
      </c>
    </row>
    <row r="6436" spans="1:37" x14ac:dyDescent="0.2">
      <c r="A6436" t="str">
        <f>"20200111153555832"</f>
        <v>20200111153555832</v>
      </c>
      <c r="B6436" t="str">
        <f>"1578728155822326"</f>
        <v>1578728155822326</v>
      </c>
      <c r="C6436" t="s">
        <v>37</v>
      </c>
      <c r="D6436">
        <v>4.9025860000000003</v>
      </c>
      <c r="E6436">
        <v>0.5267271</v>
      </c>
      <c r="F6436" t="s">
        <v>39</v>
      </c>
      <c r="G6436">
        <v>-184.70089999999999</v>
      </c>
      <c r="H6436" s="1">
        <v>-4.3608190000000001E-6</v>
      </c>
      <c r="I6436">
        <v>117.60680000000001</v>
      </c>
      <c r="J6436">
        <v>-187.9101</v>
      </c>
      <c r="K6436">
        <v>1.104892</v>
      </c>
      <c r="L6436">
        <v>94.322019999999995</v>
      </c>
      <c r="M6436">
        <v>-3.6995729999999998E-3</v>
      </c>
      <c r="N6436">
        <v>0</v>
      </c>
      <c r="O6436">
        <v>0.99985069999999998</v>
      </c>
      <c r="P6436">
        <v>7.5338639999999998E-2</v>
      </c>
      <c r="Q6436">
        <v>1.8411770000000001E-2</v>
      </c>
      <c r="R6436">
        <v>0.99698799999999899</v>
      </c>
      <c r="S6436">
        <v>0.40277099999999999</v>
      </c>
      <c r="T6436">
        <v>-0.13874139999999999</v>
      </c>
      <c r="U6436">
        <v>2.9813230000000002</v>
      </c>
      <c r="V6436">
        <v>7.9019019999999995E-2</v>
      </c>
      <c r="W6436">
        <v>3.5245579999999999E-2</v>
      </c>
      <c r="X6436">
        <v>0.99624990000000002</v>
      </c>
      <c r="Y6436">
        <v>0.13740559999999999</v>
      </c>
      <c r="Z6436">
        <v>-4.6056840000000002E-2</v>
      </c>
      <c r="AA6436">
        <v>0.98944349999999903</v>
      </c>
      <c r="AB6436">
        <v>46</v>
      </c>
      <c r="AC6436">
        <v>3.2092000000000001</v>
      </c>
      <c r="AD6436">
        <v>-1.1048963608189999</v>
      </c>
      <c r="AE6436">
        <v>23.284780000000001</v>
      </c>
      <c r="AF6436">
        <v>3.2880685164339698</v>
      </c>
      <c r="AG6436">
        <v>-1.1048963608189999</v>
      </c>
      <c r="AH6436">
        <v>23.2214346382627</v>
      </c>
      <c r="AI6436">
        <v>92.697264368971503</v>
      </c>
      <c r="AJ6436">
        <v>81.940707978718507</v>
      </c>
      <c r="AK6436">
        <v>23.479080416319999</v>
      </c>
    </row>
    <row r="6437" spans="1:37" x14ac:dyDescent="0.2">
      <c r="A6437" t="str">
        <f>"20200111153555853"</f>
        <v>20200111153555853</v>
      </c>
      <c r="B6437" t="str">
        <f>"1578728155841846"</f>
        <v>1578728155841846</v>
      </c>
      <c r="C6437" t="s">
        <v>37</v>
      </c>
      <c r="D6437">
        <v>4.893669</v>
      </c>
      <c r="E6437">
        <v>0.52754119999999904</v>
      </c>
      <c r="F6437" t="s">
        <v>39</v>
      </c>
      <c r="G6437">
        <v>-184.49</v>
      </c>
      <c r="H6437" s="1">
        <v>-4.5087699999999902E-6</v>
      </c>
      <c r="I6437">
        <v>117.86450000000001</v>
      </c>
      <c r="J6437">
        <v>-187.9119</v>
      </c>
      <c r="K6437">
        <v>1.1049069999999901</v>
      </c>
      <c r="L6437">
        <v>94.769289999999998</v>
      </c>
      <c r="M6437">
        <v>-3.8159629999999999E-3</v>
      </c>
      <c r="N6437">
        <v>0</v>
      </c>
      <c r="O6437">
        <v>0.99985029999999997</v>
      </c>
      <c r="P6437">
        <v>7.5509469999999995E-2</v>
      </c>
      <c r="Q6437">
        <v>1.9126600000000001E-2</v>
      </c>
      <c r="R6437">
        <v>0.99696169999999995</v>
      </c>
      <c r="S6437">
        <v>0.43276979999999998</v>
      </c>
      <c r="T6437">
        <v>-0.13980780000000001</v>
      </c>
      <c r="U6437">
        <v>2.9789430000000001</v>
      </c>
      <c r="V6437">
        <v>7.930487E-2</v>
      </c>
      <c r="W6437">
        <v>3.5960859999999997E-2</v>
      </c>
      <c r="X6437">
        <v>0.99620159999999902</v>
      </c>
      <c r="Y6437">
        <v>0.1473882</v>
      </c>
      <c r="Z6437">
        <v>-4.6380980000000002E-2</v>
      </c>
      <c r="AA6437">
        <v>0.987990699999999</v>
      </c>
      <c r="AB6437">
        <v>46</v>
      </c>
      <c r="AC6437">
        <v>3.4218999999999902</v>
      </c>
      <c r="AD6437">
        <v>-1.1049115087700001</v>
      </c>
      <c r="AE6437">
        <v>23.095210000000002</v>
      </c>
      <c r="AF6437">
        <v>3.5021744509339299</v>
      </c>
      <c r="AG6437">
        <v>-1.1049115087700001</v>
      </c>
      <c r="AH6437">
        <v>23.030402038463201</v>
      </c>
      <c r="AI6437">
        <v>92.715557521727106</v>
      </c>
      <c r="AJ6437">
        <v>81.353420273685103</v>
      </c>
      <c r="AK6437">
        <v>23.3213523059928</v>
      </c>
    </row>
    <row r="6438" spans="1:37" x14ac:dyDescent="0.2">
      <c r="A6438" t="str">
        <f>"20200111153555876"</f>
        <v>20200111153555876</v>
      </c>
      <c r="B6438" t="str">
        <f>"1578728155872102"</f>
        <v>1578728155872102</v>
      </c>
      <c r="C6438" t="s">
        <v>37</v>
      </c>
      <c r="D6438">
        <v>4.9135919999999897</v>
      </c>
      <c r="E6438">
        <v>0.52824799999999905</v>
      </c>
      <c r="F6438" t="s">
        <v>51</v>
      </c>
      <c r="G6438">
        <v>-184.21700000000001</v>
      </c>
      <c r="H6438" s="1">
        <v>-1.573926E-6</v>
      </c>
      <c r="I6438">
        <v>119.774</v>
      </c>
      <c r="J6438">
        <v>-187.91380000000001</v>
      </c>
      <c r="K6438">
        <v>1.1049209999999901</v>
      </c>
      <c r="L6438">
        <v>95.235720000000001</v>
      </c>
      <c r="M6438">
        <v>-3.959059E-3</v>
      </c>
      <c r="N6438">
        <v>0</v>
      </c>
      <c r="O6438">
        <v>0.99984969999999995</v>
      </c>
      <c r="P6438">
        <v>7.4779849999999995E-2</v>
      </c>
      <c r="Q6438">
        <v>1.942292E-2</v>
      </c>
      <c r="R6438">
        <v>0.99701090000000003</v>
      </c>
      <c r="S6438">
        <v>0.44010929999999998</v>
      </c>
      <c r="T6438">
        <v>-0.13160649999999999</v>
      </c>
      <c r="U6438">
        <v>2.9783330000000001</v>
      </c>
      <c r="V6438">
        <v>7.8716670000000002E-2</v>
      </c>
      <c r="W6438">
        <v>3.6266310000000003E-2</v>
      </c>
      <c r="X6438">
        <v>0.99623719999999905</v>
      </c>
      <c r="Y6438">
        <v>0.1499595</v>
      </c>
      <c r="Z6438">
        <v>-4.3658189999999999E-2</v>
      </c>
      <c r="AA6438">
        <v>0.98772780000000004</v>
      </c>
      <c r="AB6438">
        <v>46</v>
      </c>
      <c r="AC6438">
        <v>3.6967999999999899</v>
      </c>
      <c r="AD6438">
        <v>-1.10492257392599</v>
      </c>
      <c r="AE6438">
        <v>24.53828</v>
      </c>
      <c r="AF6438">
        <v>3.7864265032537201</v>
      </c>
      <c r="AG6438">
        <v>-1.10492257392599</v>
      </c>
      <c r="AH6438">
        <v>24.474926440822301</v>
      </c>
      <c r="AI6438">
        <v>92.554519326397397</v>
      </c>
      <c r="AJ6438">
        <v>81.205697989958395</v>
      </c>
      <c r="AK6438">
        <v>24.790722132333599</v>
      </c>
    </row>
    <row r="6439" spans="1:37" x14ac:dyDescent="0.2">
      <c r="A6439" t="str">
        <f>"20200111153555898"</f>
        <v>20200111153555898</v>
      </c>
      <c r="B6439" t="str">
        <f>"1578728155892599"</f>
        <v>1578728155892599</v>
      </c>
      <c r="C6439" t="s">
        <v>37</v>
      </c>
      <c r="D6439">
        <v>4.8682639999999999</v>
      </c>
      <c r="E6439">
        <v>0.52871539999999995</v>
      </c>
      <c r="F6439" t="s">
        <v>51</v>
      </c>
      <c r="G6439">
        <v>-184.00290000000001</v>
      </c>
      <c r="H6439" s="1">
        <v>-2.1339590000000002E-6</v>
      </c>
      <c r="I6439">
        <v>121.4821</v>
      </c>
      <c r="J6439">
        <v>-187.91579999999999</v>
      </c>
      <c r="K6439">
        <v>1.104949</v>
      </c>
      <c r="L6439">
        <v>95.692869999999999</v>
      </c>
      <c r="M6439">
        <v>-4.1339509999999899E-3</v>
      </c>
      <c r="N6439">
        <v>0</v>
      </c>
      <c r="O6439">
        <v>0.99984879999999998</v>
      </c>
      <c r="P6439">
        <v>7.4486300000000005E-2</v>
      </c>
      <c r="Q6439">
        <v>1.9563279999999999E-2</v>
      </c>
      <c r="R6439">
        <v>0.99703009999999903</v>
      </c>
      <c r="S6439">
        <v>0.44377139999999998</v>
      </c>
      <c r="T6439">
        <v>-0.1253746</v>
      </c>
      <c r="U6439">
        <v>2.9781490000000002</v>
      </c>
      <c r="V6439">
        <v>7.8595120000000004E-2</v>
      </c>
      <c r="W6439">
        <v>3.6425470000000001E-2</v>
      </c>
      <c r="X6439">
        <v>0.99624089999999998</v>
      </c>
      <c r="Y6439">
        <v>0.15134249999999999</v>
      </c>
      <c r="Z6439">
        <v>-4.1588939999999998E-2</v>
      </c>
      <c r="AA6439">
        <v>0.98760609999999904</v>
      </c>
      <c r="AB6439">
        <v>46</v>
      </c>
      <c r="AC6439">
        <v>3.9128999999999698</v>
      </c>
      <c r="AD6439">
        <v>-1.1049511339589999</v>
      </c>
      <c r="AE6439">
        <v>25.78923</v>
      </c>
      <c r="AF6439">
        <v>4.01229342615005</v>
      </c>
      <c r="AG6439">
        <v>-1.1049511339589999</v>
      </c>
      <c r="AH6439">
        <v>25.726666995252501</v>
      </c>
      <c r="AI6439">
        <v>92.429982823449606</v>
      </c>
      <c r="AJ6439">
        <v>81.135643011750503</v>
      </c>
      <c r="AK6439">
        <v>26.061097640555701</v>
      </c>
    </row>
    <row r="6440" spans="1:37" x14ac:dyDescent="0.2">
      <c r="A6440" t="str">
        <f>"20200111153555913"</f>
        <v>20200111153555913</v>
      </c>
      <c r="B6440" t="str">
        <f>"1578728155902358"</f>
        <v>1578728155902358</v>
      </c>
      <c r="C6440" t="s">
        <v>37</v>
      </c>
      <c r="D6440">
        <v>4.9398260000000001</v>
      </c>
      <c r="E6440">
        <v>0.52879909999999997</v>
      </c>
      <c r="F6440" t="s">
        <v>51</v>
      </c>
      <c r="G6440">
        <v>-183.97020000000001</v>
      </c>
      <c r="H6440" s="1">
        <v>-2.2930240000000001E-6</v>
      </c>
      <c r="I6440">
        <v>121.9926</v>
      </c>
      <c r="J6440">
        <v>-187.91720000000001</v>
      </c>
      <c r="K6440">
        <v>1.104975</v>
      </c>
      <c r="L6440">
        <v>95.990780000000001</v>
      </c>
      <c r="M6440">
        <v>-4.269732E-3</v>
      </c>
      <c r="N6440">
        <v>0</v>
      </c>
      <c r="O6440">
        <v>0.99984799999999996</v>
      </c>
      <c r="P6440">
        <v>7.3881379999999996E-2</v>
      </c>
      <c r="Q6440">
        <v>1.9345109999999999E-2</v>
      </c>
      <c r="R6440">
        <v>0.99707939999999995</v>
      </c>
      <c r="S6440">
        <v>0.44677729999999999</v>
      </c>
      <c r="T6440">
        <v>-0.12511710000000001</v>
      </c>
      <c r="U6440">
        <v>2.9779969999999998</v>
      </c>
      <c r="V6440">
        <v>7.812376E-2</v>
      </c>
      <c r="W6440">
        <v>3.6223890000000002E-2</v>
      </c>
      <c r="X6440">
        <v>0.99628539999999999</v>
      </c>
      <c r="Y6440">
        <v>0.1524596</v>
      </c>
      <c r="Z6440">
        <v>-4.1499059999999997E-2</v>
      </c>
      <c r="AA6440">
        <v>0.98743799999999904</v>
      </c>
      <c r="AB6440">
        <v>46</v>
      </c>
      <c r="AC6440">
        <v>3.9470000000000001</v>
      </c>
      <c r="AD6440">
        <v>-1.1049772930239901</v>
      </c>
      <c r="AE6440">
        <v>26.001819999999899</v>
      </c>
      <c r="AF6440">
        <v>4.0508499270221101</v>
      </c>
      <c r="AG6440">
        <v>-1.1049772930239901</v>
      </c>
      <c r="AH6440">
        <v>25.938939229041399</v>
      </c>
      <c r="AI6440">
        <v>92.410100438209</v>
      </c>
      <c r="AJ6440">
        <v>81.1238890991104</v>
      </c>
      <c r="AK6440">
        <v>26.2765851715411</v>
      </c>
    </row>
    <row r="6441" spans="1:37" x14ac:dyDescent="0.2">
      <c r="A6441" t="str">
        <f>"20200111153555926"</f>
        <v>20200111153555926</v>
      </c>
      <c r="B6441" t="str">
        <f>"1578728155921878"</f>
        <v>1578728155921878</v>
      </c>
      <c r="C6441" t="s">
        <v>37</v>
      </c>
      <c r="D6441">
        <v>4.93682</v>
      </c>
      <c r="E6441">
        <v>0.52891669999999902</v>
      </c>
      <c r="F6441" t="s">
        <v>51</v>
      </c>
      <c r="G6441">
        <v>-183.96610000000001</v>
      </c>
      <c r="H6441" s="1">
        <v>-2.4108339999999999E-6</v>
      </c>
      <c r="I6441">
        <v>122.38890000000001</v>
      </c>
      <c r="J6441">
        <v>-187.91849999999999</v>
      </c>
      <c r="K6441">
        <v>1.1049990000000001</v>
      </c>
      <c r="L6441">
        <v>96.274540000000002</v>
      </c>
      <c r="M6441">
        <v>-4.4097750000000003E-3</v>
      </c>
      <c r="N6441">
        <v>0</v>
      </c>
      <c r="O6441">
        <v>0.99984719999999905</v>
      </c>
      <c r="P6441">
        <v>7.3425729999999995E-2</v>
      </c>
      <c r="Q6441">
        <v>1.950313E-2</v>
      </c>
      <c r="R6441">
        <v>0.99710989999999999</v>
      </c>
      <c r="S6441">
        <v>0.44575500000000001</v>
      </c>
      <c r="T6441">
        <v>-0.1246613</v>
      </c>
      <c r="U6441">
        <v>2.97818</v>
      </c>
      <c r="V6441">
        <v>7.7805760000000002E-2</v>
      </c>
      <c r="W6441">
        <v>3.6400210000000002E-2</v>
      </c>
      <c r="X6441">
        <v>0.99630379999999996</v>
      </c>
      <c r="Y6441">
        <v>0.15225859999999999</v>
      </c>
      <c r="Z6441">
        <v>-4.1347309999999998E-2</v>
      </c>
      <c r="AA6441">
        <v>0.98747549999999995</v>
      </c>
      <c r="AB6441">
        <v>46</v>
      </c>
      <c r="AC6441">
        <v>3.9523999999999799</v>
      </c>
      <c r="AD6441">
        <v>-1.1050014108340001</v>
      </c>
      <c r="AE6441">
        <v>26.114360000000001</v>
      </c>
      <c r="AF6441">
        <v>4.0604292201831296</v>
      </c>
      <c r="AG6441">
        <v>-1.1050014108340001</v>
      </c>
      <c r="AH6441">
        <v>26.051075200803901</v>
      </c>
      <c r="AI6441">
        <v>92.399901887542796</v>
      </c>
      <c r="AJ6441">
        <v>81.140921689994201</v>
      </c>
      <c r="AK6441">
        <v>26.3887595897951</v>
      </c>
    </row>
    <row r="6442" spans="1:37" x14ac:dyDescent="0.2">
      <c r="A6442" t="str">
        <f>"20200111153555943"</f>
        <v>20200111153555943</v>
      </c>
      <c r="B6442" t="str">
        <f>"1578728155931638"</f>
        <v>1578728155931638</v>
      </c>
      <c r="C6442" t="s">
        <v>37</v>
      </c>
      <c r="D6442">
        <v>4.9483540000000001</v>
      </c>
      <c r="E6442">
        <v>0.52898619999999996</v>
      </c>
      <c r="F6442" t="s">
        <v>51</v>
      </c>
      <c r="G6442">
        <v>-183.9212</v>
      </c>
      <c r="H6442" s="1">
        <v>-2.6993979999999999E-6</v>
      </c>
      <c r="I6442">
        <v>123.0072</v>
      </c>
      <c r="J6442">
        <v>-187.92009999999999</v>
      </c>
      <c r="K6442">
        <v>1.1050340000000001</v>
      </c>
      <c r="L6442">
        <v>96.612849999999995</v>
      </c>
      <c r="M6442">
        <v>-4.5909719999999996E-3</v>
      </c>
      <c r="N6442">
        <v>0</v>
      </c>
      <c r="O6442">
        <v>0.99984599999999901</v>
      </c>
      <c r="P6442">
        <v>7.1883130000000003E-2</v>
      </c>
      <c r="Q6442">
        <v>1.9552320000000002E-2</v>
      </c>
      <c r="R6442">
        <v>0.99722140000000004</v>
      </c>
      <c r="S6442">
        <v>0.44534299999999999</v>
      </c>
      <c r="T6442">
        <v>-0.123109</v>
      </c>
      <c r="U6442">
        <v>2.9783019999999998</v>
      </c>
      <c r="V6442">
        <v>7.6441880000000004E-2</v>
      </c>
      <c r="W6442">
        <v>3.6475970000000003E-2</v>
      </c>
      <c r="X6442">
        <v>0.99640659999999903</v>
      </c>
      <c r="Y6442">
        <v>0.1523013</v>
      </c>
      <c r="Z6442">
        <v>-4.0831869999999999E-2</v>
      </c>
      <c r="AA6442">
        <v>0.98749030000000004</v>
      </c>
      <c r="AB6442">
        <v>46</v>
      </c>
      <c r="AC6442">
        <v>3.9988999999999901</v>
      </c>
      <c r="AD6442">
        <v>-1.1050366993980001</v>
      </c>
      <c r="AE6442">
        <v>26.394349999999999</v>
      </c>
      <c r="AF6442">
        <v>4.1130034642746303</v>
      </c>
      <c r="AG6442">
        <v>-1.1050366993980001</v>
      </c>
      <c r="AH6442">
        <v>26.3305937282218</v>
      </c>
      <c r="AI6442">
        <v>92.374406641428195</v>
      </c>
      <c r="AJ6442">
        <v>81.121787481144693</v>
      </c>
      <c r="AK6442">
        <v>26.672796435410099</v>
      </c>
    </row>
    <row r="6443" spans="1:37" x14ac:dyDescent="0.2">
      <c r="A6443" t="str">
        <f>"20200111153555957"</f>
        <v>20200111153555957</v>
      </c>
      <c r="B6443" t="str">
        <f>"1578728155952134"</f>
        <v>1578728155952134</v>
      </c>
      <c r="C6443" t="s">
        <v>37</v>
      </c>
      <c r="D6443">
        <v>4.9380169999999897</v>
      </c>
      <c r="E6443">
        <v>0.52934429999999999</v>
      </c>
      <c r="F6443" t="s">
        <v>51</v>
      </c>
      <c r="G6443">
        <v>-183.92599999999999</v>
      </c>
      <c r="H6443" s="1">
        <v>-3.0048200000000001E-6</v>
      </c>
      <c r="I6443">
        <v>123.5655</v>
      </c>
      <c r="J6443">
        <v>-187.92160000000001</v>
      </c>
      <c r="K6443">
        <v>1.1050599999999999</v>
      </c>
      <c r="L6443">
        <v>96.902979999999999</v>
      </c>
      <c r="M6443">
        <v>-4.7586190000000004E-3</v>
      </c>
      <c r="N6443">
        <v>0</v>
      </c>
      <c r="O6443">
        <v>0.99984479999999998</v>
      </c>
      <c r="P6443">
        <v>7.1156839999999999E-2</v>
      </c>
      <c r="Q6443">
        <v>1.9879150000000002E-2</v>
      </c>
      <c r="R6443">
        <v>0.99726700000000001</v>
      </c>
      <c r="S6443">
        <v>0.44145200000000001</v>
      </c>
      <c r="T6443">
        <v>-0.1221341</v>
      </c>
      <c r="U6443">
        <v>2.9789430000000001</v>
      </c>
      <c r="V6443">
        <v>7.5880879999999998E-2</v>
      </c>
      <c r="W6443">
        <v>3.6827650000000003E-2</v>
      </c>
      <c r="X6443">
        <v>0.99643649999999995</v>
      </c>
      <c r="Y6443">
        <v>0.1511759</v>
      </c>
      <c r="Z6443">
        <v>-4.050782E-2</v>
      </c>
      <c r="AA6443">
        <v>0.98767660000000002</v>
      </c>
      <c r="AB6443">
        <v>46</v>
      </c>
      <c r="AC6443">
        <v>3.99560000000002</v>
      </c>
      <c r="AD6443">
        <v>-1.1050630048200001</v>
      </c>
      <c r="AE6443">
        <v>26.662520000000001</v>
      </c>
      <c r="AF6443">
        <v>4.1155354066885099</v>
      </c>
      <c r="AG6443">
        <v>-1.1050630048200001</v>
      </c>
      <c r="AH6443">
        <v>26.598514490277399</v>
      </c>
      <c r="AI6443">
        <v>92.351099559959394</v>
      </c>
      <c r="AJ6443">
        <v>81.204485499493302</v>
      </c>
      <c r="AK6443">
        <v>26.937701628346598</v>
      </c>
    </row>
    <row r="6444" spans="1:37" x14ac:dyDescent="0.2">
      <c r="A6444" t="str">
        <f>"20200111153555971"</f>
        <v>20200111153555971</v>
      </c>
      <c r="B6444" t="str">
        <f>"1578728155961895"</f>
        <v>1578728155961895</v>
      </c>
      <c r="C6444" t="s">
        <v>37</v>
      </c>
      <c r="D6444">
        <v>4.9244379999999897</v>
      </c>
      <c r="E6444">
        <v>0.52946839999999995</v>
      </c>
      <c r="F6444" t="s">
        <v>51</v>
      </c>
      <c r="G6444">
        <v>-183.87379999999999</v>
      </c>
      <c r="H6444" s="1">
        <v>-3.346475E-6</v>
      </c>
      <c r="I6444">
        <v>124.1755</v>
      </c>
      <c r="J6444">
        <v>-187.92320000000001</v>
      </c>
      <c r="K6444">
        <v>1.105081</v>
      </c>
      <c r="L6444">
        <v>97.193240000000003</v>
      </c>
      <c r="M6444">
        <v>-4.9391269999999998E-3</v>
      </c>
      <c r="N6444">
        <v>0</v>
      </c>
      <c r="O6444">
        <v>0.99984359999999906</v>
      </c>
      <c r="P6444">
        <v>7.0504780000000003E-2</v>
      </c>
      <c r="Q6444">
        <v>1.999917E-2</v>
      </c>
      <c r="R6444">
        <v>0.9973109</v>
      </c>
      <c r="S6444">
        <v>0.44215389999999999</v>
      </c>
      <c r="T6444">
        <v>-0.1207097</v>
      </c>
      <c r="U6444">
        <v>2.9790649999999999</v>
      </c>
      <c r="V6444">
        <v>7.5407310000000005E-2</v>
      </c>
      <c r="W6444">
        <v>3.6972980000000003E-2</v>
      </c>
      <c r="X6444">
        <v>0.99646710000000005</v>
      </c>
      <c r="Y6444">
        <v>0.15157899999999999</v>
      </c>
      <c r="Z6444">
        <v>-4.0032539999999998E-2</v>
      </c>
      <c r="AA6444">
        <v>0.98763409999999996</v>
      </c>
      <c r="AB6444">
        <v>46</v>
      </c>
      <c r="AC6444">
        <v>4.0494000000000199</v>
      </c>
      <c r="AD6444">
        <v>-1.105084346475</v>
      </c>
      <c r="AE6444">
        <v>26.982259999999901</v>
      </c>
      <c r="AF6444">
        <v>4.1757884788846402</v>
      </c>
      <c r="AG6444">
        <v>-1.105084346475</v>
      </c>
      <c r="AH6444">
        <v>26.917770332744801</v>
      </c>
      <c r="AI6444">
        <v>92.323148512601705</v>
      </c>
      <c r="AJ6444">
        <v>81.181921191984102</v>
      </c>
      <c r="AK6444">
        <v>27.262149227814099</v>
      </c>
    </row>
    <row r="6445" spans="1:37" x14ac:dyDescent="0.2">
      <c r="A6445" t="str">
        <f>"20200111153555988"</f>
        <v>20200111153555988</v>
      </c>
      <c r="B6445" t="str">
        <f>"1578728155982390"</f>
        <v>1578728155982390</v>
      </c>
      <c r="C6445" t="s">
        <v>37</v>
      </c>
      <c r="D6445">
        <v>4.9235259999999998</v>
      </c>
      <c r="E6445">
        <v>0.52974469999999996</v>
      </c>
      <c r="F6445" t="s">
        <v>51</v>
      </c>
      <c r="G6445">
        <v>-183.85749999999999</v>
      </c>
      <c r="H6445" s="1">
        <v>-3.5953410000000002E-6</v>
      </c>
      <c r="I6445">
        <v>124.6354</v>
      </c>
      <c r="J6445">
        <v>-187.92500000000001</v>
      </c>
      <c r="K6445">
        <v>1.105108</v>
      </c>
      <c r="L6445">
        <v>97.537840000000003</v>
      </c>
      <c r="M6445">
        <v>-5.1635270000000002E-3</v>
      </c>
      <c r="N6445">
        <v>0</v>
      </c>
      <c r="O6445">
        <v>0.99984200000000001</v>
      </c>
      <c r="P6445">
        <v>6.9694439999999996E-2</v>
      </c>
      <c r="Q6445">
        <v>2.0332630000000001E-2</v>
      </c>
      <c r="R6445">
        <v>0.997361099999999</v>
      </c>
      <c r="S6445">
        <v>0.44139099999999998</v>
      </c>
      <c r="T6445">
        <v>-0.1199757</v>
      </c>
      <c r="U6445">
        <v>2.9793090000000002</v>
      </c>
      <c r="V6445">
        <v>7.4819129999999998E-2</v>
      </c>
      <c r="W6445">
        <v>3.7334649999999997E-2</v>
      </c>
      <c r="X6445">
        <v>0.99649799999999999</v>
      </c>
      <c r="Y6445">
        <v>0.15154300000000001</v>
      </c>
      <c r="Z6445">
        <v>-3.9787099999999999E-2</v>
      </c>
      <c r="AA6445">
        <v>0.98764959999999902</v>
      </c>
      <c r="AB6445">
        <v>46</v>
      </c>
      <c r="AC6445">
        <v>4.0675000000000203</v>
      </c>
      <c r="AD6445">
        <v>-1.105111595341</v>
      </c>
      <c r="AE6445">
        <v>27.097560000000001</v>
      </c>
      <c r="AF6445">
        <v>4.2005524578996498</v>
      </c>
      <c r="AG6445">
        <v>-1.105111595341</v>
      </c>
      <c r="AH6445">
        <v>27.032222930435299</v>
      </c>
      <c r="AI6445">
        <v>92.313289314028495</v>
      </c>
      <c r="AJ6445">
        <v>81.167415460728904</v>
      </c>
      <c r="AK6445">
        <v>27.378951571425699</v>
      </c>
    </row>
    <row r="6446" spans="1:37" x14ac:dyDescent="0.2">
      <c r="A6446" t="str">
        <f>"20200111153556012"</f>
        <v>20200111153556012</v>
      </c>
      <c r="B6446" t="str">
        <f>"1578728156001910"</f>
        <v>1578728156001910</v>
      </c>
      <c r="C6446" t="s">
        <v>37</v>
      </c>
      <c r="D6446">
        <v>4.9376100000000003</v>
      </c>
      <c r="E6446">
        <v>0.53017060000000005</v>
      </c>
      <c r="F6446" t="s">
        <v>51</v>
      </c>
      <c r="G6446">
        <v>-183.84</v>
      </c>
      <c r="H6446" s="1">
        <v>-3.7273469999999899E-6</v>
      </c>
      <c r="I6446">
        <v>125.13420000000001</v>
      </c>
      <c r="J6446">
        <v>-187.92789999999999</v>
      </c>
      <c r="K6446">
        <v>1.105132</v>
      </c>
      <c r="L6446">
        <v>98.022310000000004</v>
      </c>
      <c r="M6446">
        <v>-5.4953909999999996E-3</v>
      </c>
      <c r="N6446">
        <v>0</v>
      </c>
      <c r="O6446">
        <v>0.999839699999999</v>
      </c>
      <c r="P6446">
        <v>6.9539199999999995E-2</v>
      </c>
      <c r="Q6446">
        <v>2.03295E-2</v>
      </c>
      <c r="R6446">
        <v>0.99737199999999904</v>
      </c>
      <c r="S6446">
        <v>0.44105529999999998</v>
      </c>
      <c r="T6446">
        <v>-0.1193178</v>
      </c>
      <c r="U6446">
        <v>2.9795529999999899</v>
      </c>
      <c r="V6446">
        <v>7.4993009999999999E-2</v>
      </c>
      <c r="W6446">
        <v>3.736896E-2</v>
      </c>
      <c r="X6446">
        <v>0.99648359999999903</v>
      </c>
      <c r="Y6446">
        <v>0.15175169999999999</v>
      </c>
      <c r="Z6446">
        <v>-3.9565629999999997E-2</v>
      </c>
      <c r="AA6446">
        <v>0.98762640000000002</v>
      </c>
      <c r="AB6446">
        <v>46</v>
      </c>
      <c r="AC6446">
        <v>4.0878999999999897</v>
      </c>
      <c r="AD6446">
        <v>-1.1051357273469999</v>
      </c>
      <c r="AE6446">
        <v>27.111889999999999</v>
      </c>
      <c r="AF6446">
        <v>4.22997826766822</v>
      </c>
      <c r="AG6446">
        <v>-1.1051357273469999</v>
      </c>
      <c r="AH6446">
        <v>27.045074955415199</v>
      </c>
      <c r="AI6446">
        <v>92.311885153363093</v>
      </c>
      <c r="AJ6446">
        <v>81.1106856743219</v>
      </c>
      <c r="AK6446">
        <v>27.396169813768299</v>
      </c>
    </row>
    <row r="6447" spans="1:37" x14ac:dyDescent="0.2">
      <c r="A6447" t="str">
        <f>"20200111153556026"</f>
        <v>20200111153556026</v>
      </c>
      <c r="B6447" t="str">
        <f>"1578728156022407"</f>
        <v>1578728156022407</v>
      </c>
      <c r="C6447" t="s">
        <v>37</v>
      </c>
      <c r="D6447">
        <v>4.9627869999999996</v>
      </c>
      <c r="E6447">
        <v>0.53063229999999995</v>
      </c>
      <c r="F6447" t="s">
        <v>51</v>
      </c>
      <c r="G6447">
        <v>-183.81059999999999</v>
      </c>
      <c r="H6447" s="1">
        <v>-3.8677539999999996E-6</v>
      </c>
      <c r="I6447">
        <v>125.658999999999</v>
      </c>
      <c r="J6447">
        <v>-187.92959999999999</v>
      </c>
      <c r="K6447">
        <v>1.1051500000000001</v>
      </c>
      <c r="L6447">
        <v>98.306150000000002</v>
      </c>
      <c r="M6447">
        <v>-5.6956580000000001E-3</v>
      </c>
      <c r="N6447">
        <v>0</v>
      </c>
      <c r="O6447">
        <v>0.99983829999999996</v>
      </c>
      <c r="P6447">
        <v>6.9916829999999999E-2</v>
      </c>
      <c r="Q6447">
        <v>2.0373990000000002E-2</v>
      </c>
      <c r="R6447">
        <v>0.99734469999999997</v>
      </c>
      <c r="S6447">
        <v>0.4438629</v>
      </c>
      <c r="T6447">
        <v>-0.119138799999999</v>
      </c>
      <c r="U6447">
        <v>2.9793699999999999</v>
      </c>
      <c r="V6447">
        <v>7.5569209999999998E-2</v>
      </c>
      <c r="W6447">
        <v>3.7433290000000001E-2</v>
      </c>
      <c r="X6447">
        <v>0.99643769999999998</v>
      </c>
      <c r="Y6447">
        <v>0.15286939999999999</v>
      </c>
      <c r="Z6447">
        <v>-3.9502559999999999E-2</v>
      </c>
      <c r="AA6447">
        <v>0.98745659999999902</v>
      </c>
      <c r="AB6447">
        <v>46</v>
      </c>
      <c r="AC6447">
        <v>4.1189999999999998</v>
      </c>
      <c r="AD6447">
        <v>-1.105153867754</v>
      </c>
      <c r="AE6447">
        <v>27.352849999999901</v>
      </c>
      <c r="AF6447">
        <v>4.2679356059628297</v>
      </c>
      <c r="AG6447">
        <v>-1.105153867754</v>
      </c>
      <c r="AH6447">
        <v>27.2853879585059</v>
      </c>
      <c r="AI6447">
        <v>92.291578106006995</v>
      </c>
      <c r="AJ6447">
        <v>81.1099247295532</v>
      </c>
      <c r="AK6447">
        <v>27.639266188779999</v>
      </c>
    </row>
    <row r="6448" spans="1:37" x14ac:dyDescent="0.2">
      <c r="A6448" t="str">
        <f>"20200111153556043"</f>
        <v>20200111153556043</v>
      </c>
      <c r="B6448" t="str">
        <f>"1578728156032169"</f>
        <v>1578728156032169</v>
      </c>
      <c r="C6448" t="s">
        <v>37</v>
      </c>
      <c r="D6448">
        <v>4.9337710000000001</v>
      </c>
      <c r="E6448">
        <v>0.53087839999999997</v>
      </c>
      <c r="F6448" t="s">
        <v>51</v>
      </c>
      <c r="G6448">
        <v>-183.76990000000001</v>
      </c>
      <c r="H6448" s="1">
        <v>-3.9402019999999996E-6</v>
      </c>
      <c r="I6448">
        <v>125.9162</v>
      </c>
      <c r="J6448">
        <v>-187.93180000000001</v>
      </c>
      <c r="K6448">
        <v>1.1051759999999999</v>
      </c>
      <c r="L6448">
        <v>98.663390000000007</v>
      </c>
      <c r="M6448">
        <v>-5.9481309999999997E-3</v>
      </c>
      <c r="N6448">
        <v>0</v>
      </c>
      <c r="O6448">
        <v>0.99983639999999996</v>
      </c>
      <c r="P6448">
        <v>7.1566840000000007E-2</v>
      </c>
      <c r="Q6448">
        <v>2.1447190000000001E-2</v>
      </c>
      <c r="R6448">
        <v>0.99720520000000001</v>
      </c>
      <c r="S6448">
        <v>0.44880680000000001</v>
      </c>
      <c r="T6448">
        <v>-0.119239</v>
      </c>
      <c r="U6448">
        <v>2.9789430000000001</v>
      </c>
      <c r="V6448">
        <v>7.7468350000000005E-2</v>
      </c>
      <c r="W6448">
        <v>3.8528270000000003E-2</v>
      </c>
      <c r="X6448">
        <v>0.99625010000000003</v>
      </c>
      <c r="Y6448">
        <v>0.15474189999999999</v>
      </c>
      <c r="Z6448">
        <v>-3.9530610000000001E-2</v>
      </c>
      <c r="AA6448">
        <v>0.98716369999999898</v>
      </c>
      <c r="AB6448">
        <v>45</v>
      </c>
      <c r="AC6448">
        <v>4.1619000000000002</v>
      </c>
      <c r="AD6448">
        <v>-1.1051799402019999</v>
      </c>
      <c r="AE6448">
        <v>27.252809999999901</v>
      </c>
      <c r="AF6448">
        <v>4.3170156036798701</v>
      </c>
      <c r="AG6448">
        <v>-1.1051799402019999</v>
      </c>
      <c r="AH6448">
        <v>27.183882568121199</v>
      </c>
      <c r="AI6448">
        <v>92.299335713855399</v>
      </c>
      <c r="AJ6448">
        <v>80.976332227019199</v>
      </c>
      <c r="AK6448">
        <v>27.546715192560502</v>
      </c>
    </row>
    <row r="6449" spans="1:37" x14ac:dyDescent="0.2">
      <c r="A6449" t="str">
        <f>"20200111153556058"</f>
        <v>20200111153556058</v>
      </c>
      <c r="B6449" t="str">
        <f>"1578728156051687"</f>
        <v>1578728156051687</v>
      </c>
      <c r="C6449" t="s">
        <v>37</v>
      </c>
      <c r="D6449">
        <v>4.9359500000000001</v>
      </c>
      <c r="E6449">
        <v>0.53131640000000002</v>
      </c>
      <c r="F6449" t="s">
        <v>51</v>
      </c>
      <c r="G6449">
        <v>-183.5582</v>
      </c>
      <c r="H6449" s="1">
        <v>-4.3188519999999998E-6</v>
      </c>
      <c r="I6449">
        <v>127.2606</v>
      </c>
      <c r="J6449">
        <v>-187.93379999999999</v>
      </c>
      <c r="K6449">
        <v>1.105191</v>
      </c>
      <c r="L6449">
        <v>98.969119999999904</v>
      </c>
      <c r="M6449">
        <v>-6.1584650000000001E-3</v>
      </c>
      <c r="N6449">
        <v>0</v>
      </c>
      <c r="O6449">
        <v>0.99983480000000002</v>
      </c>
      <c r="P6449">
        <v>7.2709720000000005E-2</v>
      </c>
      <c r="Q6449">
        <v>2.1964210000000001E-2</v>
      </c>
      <c r="R6449">
        <v>0.99711130000000003</v>
      </c>
      <c r="S6449">
        <v>0.45547489999999902</v>
      </c>
      <c r="T6449">
        <v>-0.1150972</v>
      </c>
      <c r="U6449">
        <v>2.9782099999999998</v>
      </c>
      <c r="V6449">
        <v>7.8819470000000003E-2</v>
      </c>
      <c r="W6449">
        <v>3.9062399999999997E-2</v>
      </c>
      <c r="X6449">
        <v>0.99612330000000004</v>
      </c>
      <c r="Y6449">
        <v>0.1571536</v>
      </c>
      <c r="Z6449">
        <v>-3.8155080000000001E-2</v>
      </c>
      <c r="AA6449">
        <v>0.98683690000000002</v>
      </c>
      <c r="AB6449">
        <v>45</v>
      </c>
      <c r="AC6449">
        <v>4.3755999999999897</v>
      </c>
      <c r="AD6449">
        <v>-1.1051953188519901</v>
      </c>
      <c r="AE6449">
        <v>28.29148</v>
      </c>
      <c r="AF6449">
        <v>4.5430037120767803</v>
      </c>
      <c r="AG6449">
        <v>-1.1051953188519901</v>
      </c>
      <c r="AH6449">
        <v>28.221930663118599</v>
      </c>
      <c r="AI6449">
        <v>92.214131877715403</v>
      </c>
      <c r="AJ6449">
        <v>80.855305097956105</v>
      </c>
      <c r="AK6449">
        <v>28.6066025556099</v>
      </c>
    </row>
    <row r="6450" spans="1:37" x14ac:dyDescent="0.2">
      <c r="A6450" t="str">
        <f>"20200111153556072"</f>
        <v>20200111153556072</v>
      </c>
      <c r="B6450" t="str">
        <f>"1578728156062422"</f>
        <v>1578728156062422</v>
      </c>
      <c r="C6450" t="s">
        <v>37</v>
      </c>
      <c r="D6450">
        <v>4.9587859999999999</v>
      </c>
      <c r="E6450">
        <v>0.53154389999999996</v>
      </c>
      <c r="F6450" t="s">
        <v>51</v>
      </c>
      <c r="G6450">
        <v>-183.4693</v>
      </c>
      <c r="H6450" s="1">
        <v>-4.4558980000000003E-6</v>
      </c>
      <c r="I6450">
        <v>127.7406</v>
      </c>
      <c r="J6450">
        <v>-187.93559999999999</v>
      </c>
      <c r="K6450">
        <v>1.105194</v>
      </c>
      <c r="L6450">
        <v>99.240719999999996</v>
      </c>
      <c r="M6450">
        <v>-6.3280089999999999E-3</v>
      </c>
      <c r="N6450">
        <v>0</v>
      </c>
      <c r="O6450">
        <v>0.99983359999999899</v>
      </c>
      <c r="P6450">
        <v>7.4025930000000004E-2</v>
      </c>
      <c r="Q6450">
        <v>2.2731149999999999E-2</v>
      </c>
      <c r="R6450">
        <v>0.99699720000000003</v>
      </c>
      <c r="S6450">
        <v>0.46202089999999901</v>
      </c>
      <c r="T6450">
        <v>-0.11437460000000001</v>
      </c>
      <c r="U6450">
        <v>2.977509</v>
      </c>
      <c r="V6450">
        <v>8.0303650000000004E-2</v>
      </c>
      <c r="W6450">
        <v>3.9841420000000002E-2</v>
      </c>
      <c r="X6450">
        <v>0.99597389999999997</v>
      </c>
      <c r="Y6450">
        <v>0.15947610000000001</v>
      </c>
      <c r="Z6450">
        <v>-3.7911260000000002E-2</v>
      </c>
      <c r="AA6450">
        <v>0.98647359999999995</v>
      </c>
      <c r="AB6450">
        <v>45</v>
      </c>
      <c r="AC6450">
        <v>4.4662999999999897</v>
      </c>
      <c r="AD6450">
        <v>-1.1051984558979999</v>
      </c>
      <c r="AE6450">
        <v>28.499880000000001</v>
      </c>
      <c r="AF6450">
        <v>4.6397743346639597</v>
      </c>
      <c r="AG6450">
        <v>-1.1051984558979999</v>
      </c>
      <c r="AH6450">
        <v>28.429314633745101</v>
      </c>
      <c r="AI6450">
        <v>92.197229404811097</v>
      </c>
      <c r="AJ6450">
        <v>80.730826570657896</v>
      </c>
      <c r="AK6450">
        <v>28.8266352536677</v>
      </c>
    </row>
    <row r="6451" spans="1:37" x14ac:dyDescent="0.2">
      <c r="A6451" t="str">
        <f>"20200111153556088"</f>
        <v>20200111153556088</v>
      </c>
      <c r="B6451" t="str">
        <f>"1578728156081943"</f>
        <v>1578728156081943</v>
      </c>
      <c r="C6451" t="s">
        <v>37</v>
      </c>
      <c r="D6451">
        <v>4.9073070000000003</v>
      </c>
      <c r="E6451">
        <v>0.53185130000000003</v>
      </c>
      <c r="F6451" t="s">
        <v>51</v>
      </c>
      <c r="G6451">
        <v>-183.34350000000001</v>
      </c>
      <c r="H6451" s="1">
        <v>-4.7560699999999997E-6</v>
      </c>
      <c r="I6451">
        <v>128.48060000000001</v>
      </c>
      <c r="J6451">
        <v>-187.93790000000001</v>
      </c>
      <c r="K6451">
        <v>1.1051879999999901</v>
      </c>
      <c r="L6451">
        <v>99.573969999999903</v>
      </c>
      <c r="M6451">
        <v>-6.5143090000000002E-3</v>
      </c>
      <c r="N6451">
        <v>0</v>
      </c>
      <c r="O6451">
        <v>0.9998321</v>
      </c>
      <c r="P6451">
        <v>7.6871049999999996E-2</v>
      </c>
      <c r="Q6451">
        <v>2.3293060000000001E-2</v>
      </c>
      <c r="R6451">
        <v>0.99676889999999996</v>
      </c>
      <c r="S6451">
        <v>0.46751399999999999</v>
      </c>
      <c r="T6451">
        <v>-0.112518699999999</v>
      </c>
      <c r="U6451">
        <v>2.9768680000000001</v>
      </c>
      <c r="V6451">
        <v>8.3333630000000006E-2</v>
      </c>
      <c r="W6451">
        <v>4.041459E-2</v>
      </c>
      <c r="X6451">
        <v>0.99570179999999997</v>
      </c>
      <c r="Y6451">
        <v>0.16147249999999999</v>
      </c>
      <c r="Z6451">
        <v>-3.7293430000000002E-2</v>
      </c>
      <c r="AA6451">
        <v>0.9861723</v>
      </c>
      <c r="AB6451">
        <v>45</v>
      </c>
      <c r="AC6451">
        <v>4.5944000000000003</v>
      </c>
      <c r="AD6451">
        <v>-1.1051927560699999</v>
      </c>
      <c r="AE6451">
        <v>28.90663</v>
      </c>
      <c r="AF6451">
        <v>4.7758276469066203</v>
      </c>
      <c r="AG6451">
        <v>-1.1051927560699999</v>
      </c>
      <c r="AH6451">
        <v>28.834970992205498</v>
      </c>
      <c r="AI6451">
        <v>92.165497706610907</v>
      </c>
      <c r="AJ6451">
        <v>80.595688826074195</v>
      </c>
      <c r="AK6451">
        <v>29.248684292842299</v>
      </c>
    </row>
    <row r="6452" spans="1:37" x14ac:dyDescent="0.2">
      <c r="A6452" t="str">
        <f>"20200111153556112"</f>
        <v>20200111153556112</v>
      </c>
      <c r="B6452" t="str">
        <f>"1578728156102438"</f>
        <v>1578728156102438</v>
      </c>
      <c r="C6452" t="s">
        <v>37</v>
      </c>
      <c r="D6452">
        <v>4.918704</v>
      </c>
      <c r="E6452">
        <v>0.53229680000000001</v>
      </c>
      <c r="F6452" t="s">
        <v>51</v>
      </c>
      <c r="G6452">
        <v>-183.20920000000001</v>
      </c>
      <c r="H6452" s="1">
        <v>-4.9787699999999899E-6</v>
      </c>
      <c r="I6452">
        <v>128.9897</v>
      </c>
      <c r="J6452">
        <v>-187.94099999999901</v>
      </c>
      <c r="K6452">
        <v>1.1051549999999899</v>
      </c>
      <c r="L6452">
        <v>100.0363</v>
      </c>
      <c r="M6452">
        <v>-6.7212399999999999E-3</v>
      </c>
      <c r="N6452">
        <v>0</v>
      </c>
      <c r="O6452">
        <v>0.99983040000000001</v>
      </c>
      <c r="P6452">
        <v>7.9664990000000005E-2</v>
      </c>
      <c r="Q6452">
        <v>2.2803070000000002E-2</v>
      </c>
      <c r="R6452">
        <v>0.99656080000000002</v>
      </c>
      <c r="S6452">
        <v>0.4783173</v>
      </c>
      <c r="T6452">
        <v>-0.11179269999999999</v>
      </c>
      <c r="U6452">
        <v>2.9754640000000001</v>
      </c>
      <c r="V6452">
        <v>8.6335839999999997E-2</v>
      </c>
      <c r="W6452">
        <v>3.9934799999999999E-2</v>
      </c>
      <c r="X6452">
        <v>0.99546539999999994</v>
      </c>
      <c r="Y6452">
        <v>0.16524059999999999</v>
      </c>
      <c r="Z6452">
        <v>-3.7048199999999899E-2</v>
      </c>
      <c r="AA6452">
        <v>0.98555720000000002</v>
      </c>
      <c r="AB6452">
        <v>45</v>
      </c>
      <c r="AC6452">
        <v>4.7317999999999598</v>
      </c>
      <c r="AD6452">
        <v>-1.1051599787699999</v>
      </c>
      <c r="AE6452">
        <v>28.953399999999998</v>
      </c>
      <c r="AF6452">
        <v>4.9193435563665897</v>
      </c>
      <c r="AG6452">
        <v>-1.1051599787699999</v>
      </c>
      <c r="AH6452">
        <v>28.879954890238999</v>
      </c>
      <c r="AI6452">
        <v>92.160401890641396</v>
      </c>
      <c r="AJ6452">
        <v>80.333153383432105</v>
      </c>
      <c r="AK6452">
        <v>29.316771890276001</v>
      </c>
    </row>
    <row r="6453" spans="1:37" x14ac:dyDescent="0.2">
      <c r="A6453" t="str">
        <f>"20200111153556127"</f>
        <v>20200111153556127</v>
      </c>
      <c r="B6453" t="str">
        <f>"1578728156121958"</f>
        <v>1578728156121958</v>
      </c>
      <c r="C6453" t="s">
        <v>37</v>
      </c>
      <c r="D6453">
        <v>4.9458549999999999</v>
      </c>
      <c r="E6453">
        <v>0.53270439999999997</v>
      </c>
      <c r="F6453" t="s">
        <v>51</v>
      </c>
      <c r="G6453">
        <v>-183.1482</v>
      </c>
      <c r="H6453" s="1">
        <v>-5.0306520000000003E-6</v>
      </c>
      <c r="I6453">
        <v>129.10419999999999</v>
      </c>
      <c r="J6453">
        <v>-187.94329999999999</v>
      </c>
      <c r="K6453">
        <v>1.1051219999999999</v>
      </c>
      <c r="L6453">
        <v>100.36060000000001</v>
      </c>
      <c r="M6453">
        <v>-6.8299800000000003E-3</v>
      </c>
      <c r="N6453">
        <v>0</v>
      </c>
      <c r="O6453">
        <v>0.99982950000000004</v>
      </c>
      <c r="P6453">
        <v>8.1177540000000006E-2</v>
      </c>
      <c r="Q6453">
        <v>2.2830309999999999E-2</v>
      </c>
      <c r="R6453">
        <v>0.99643809999999999</v>
      </c>
      <c r="S6453">
        <v>0.49032589999999998</v>
      </c>
      <c r="T6453">
        <v>-0.11306099999999999</v>
      </c>
      <c r="U6453">
        <v>2.9737239999999998</v>
      </c>
      <c r="V6453">
        <v>8.7958809999999998E-2</v>
      </c>
      <c r="W6453">
        <v>3.9965769999999998E-2</v>
      </c>
      <c r="X6453">
        <v>0.99532199999999904</v>
      </c>
      <c r="Y6453">
        <v>0.1693114</v>
      </c>
      <c r="Z6453">
        <v>-3.7464379999999999E-2</v>
      </c>
      <c r="AA6453">
        <v>0.98485029999999996</v>
      </c>
      <c r="AB6453">
        <v>45</v>
      </c>
      <c r="AC6453">
        <v>4.7950999999999899</v>
      </c>
      <c r="AD6453">
        <v>-1.105127030652</v>
      </c>
      <c r="AE6453">
        <v>28.743599999999901</v>
      </c>
      <c r="AF6453">
        <v>4.984166979347</v>
      </c>
      <c r="AG6453">
        <v>-1.105127030652</v>
      </c>
      <c r="AH6453">
        <v>28.668942295832402</v>
      </c>
      <c r="AI6453">
        <v>92.174946189930296</v>
      </c>
      <c r="AJ6453">
        <v>80.137560741835202</v>
      </c>
      <c r="AK6453">
        <v>29.1199498384468</v>
      </c>
    </row>
    <row r="6454" spans="1:37" x14ac:dyDescent="0.2">
      <c r="A6454" t="str">
        <f>"20200111153556144"</f>
        <v>20200111153556144</v>
      </c>
      <c r="B6454" t="str">
        <f>"1578728156131718"</f>
        <v>1578728156131718</v>
      </c>
      <c r="C6454" t="s">
        <v>37</v>
      </c>
      <c r="D6454">
        <v>4.9110199999999997</v>
      </c>
      <c r="E6454">
        <v>0.53285269999999996</v>
      </c>
      <c r="F6454" t="s">
        <v>51</v>
      </c>
      <c r="G6454">
        <v>-183.08940000000001</v>
      </c>
      <c r="H6454" s="1">
        <v>-5.1311150000000001E-6</v>
      </c>
      <c r="I6454">
        <v>129.33410000000001</v>
      </c>
      <c r="J6454">
        <v>-187.94569999999999</v>
      </c>
      <c r="K6454">
        <v>1.105078</v>
      </c>
      <c r="L6454">
        <v>100.6942</v>
      </c>
      <c r="M6454">
        <v>-6.9112760000000001E-3</v>
      </c>
      <c r="N6454">
        <v>0</v>
      </c>
      <c r="O6454">
        <v>0.99982870000000001</v>
      </c>
      <c r="P6454">
        <v>8.4700129999999998E-2</v>
      </c>
      <c r="Q6454">
        <v>2.136161E-2</v>
      </c>
      <c r="R6454">
        <v>0.99617749999999905</v>
      </c>
      <c r="S6454">
        <v>0.49803159999999902</v>
      </c>
      <c r="T6454">
        <v>-0.11338959999999999</v>
      </c>
      <c r="U6454">
        <v>2.9727779999999999</v>
      </c>
      <c r="V6454">
        <v>9.1564709999999994E-2</v>
      </c>
      <c r="W6454">
        <v>3.8496809999999999E-2</v>
      </c>
      <c r="X6454">
        <v>0.99505469999999896</v>
      </c>
      <c r="Y6454">
        <v>0.17192470000000001</v>
      </c>
      <c r="Z6454">
        <v>-3.756839E-2</v>
      </c>
      <c r="AA6454">
        <v>0.98439349999999903</v>
      </c>
      <c r="AB6454">
        <v>45</v>
      </c>
      <c r="AC6454">
        <v>4.8562999999999699</v>
      </c>
      <c r="AD6454">
        <v>-1.105083131115</v>
      </c>
      <c r="AE6454">
        <v>28.639900000000001</v>
      </c>
      <c r="AF6454">
        <v>5.0468474920878998</v>
      </c>
      <c r="AG6454">
        <v>-1.105083131115</v>
      </c>
      <c r="AH6454">
        <v>28.564308612654099</v>
      </c>
      <c r="AI6454">
        <v>92.181769290296899</v>
      </c>
      <c r="AJ6454">
        <v>79.980179466352695</v>
      </c>
      <c r="AK6454">
        <v>29.0277729916371</v>
      </c>
    </row>
    <row r="6455" spans="1:37" x14ac:dyDescent="0.2">
      <c r="A6455" t="str">
        <f>"20200111153556166"</f>
        <v>20200111153556166</v>
      </c>
      <c r="B6455" t="str">
        <f>"1578728156161974"</f>
        <v>1578728156161974</v>
      </c>
      <c r="C6455" t="s">
        <v>37</v>
      </c>
      <c r="D6455">
        <v>4.9350690000000004</v>
      </c>
      <c r="E6455">
        <v>0.5333234</v>
      </c>
      <c r="F6455" t="s">
        <v>51</v>
      </c>
      <c r="G6455">
        <v>-183.17320000000001</v>
      </c>
      <c r="H6455" s="1">
        <v>-4.7753690000000003E-6</v>
      </c>
      <c r="I6455">
        <v>128.50290000000001</v>
      </c>
      <c r="J6455">
        <v>-187.94880000000001</v>
      </c>
      <c r="K6455">
        <v>1.1050169999999999</v>
      </c>
      <c r="L6455">
        <v>101.1446</v>
      </c>
      <c r="M6455">
        <v>-6.9529300000000004E-3</v>
      </c>
      <c r="N6455">
        <v>0</v>
      </c>
      <c r="O6455">
        <v>0.99982819999999994</v>
      </c>
      <c r="P6455">
        <v>8.7589130000000001E-2</v>
      </c>
      <c r="Q6455">
        <v>1.984439E-2</v>
      </c>
      <c r="R6455">
        <v>0.99595900000000004</v>
      </c>
      <c r="S6455">
        <v>0.50982669999999997</v>
      </c>
      <c r="T6455">
        <v>-0.1180519</v>
      </c>
      <c r="U6455">
        <v>2.9707029999999999</v>
      </c>
      <c r="V6455">
        <v>9.4499509999999995E-2</v>
      </c>
      <c r="W6455">
        <v>3.6975830000000001E-2</v>
      </c>
      <c r="X6455">
        <v>0.994837999999999</v>
      </c>
      <c r="Y6455">
        <v>0.17586559999999901</v>
      </c>
      <c r="Z6455">
        <v>-3.9111050000000001E-2</v>
      </c>
      <c r="AA6455">
        <v>0.98363690000000004</v>
      </c>
      <c r="AB6455">
        <v>45</v>
      </c>
      <c r="AC6455">
        <v>4.7755999999999901</v>
      </c>
      <c r="AD6455">
        <v>-1.1050217753689999</v>
      </c>
      <c r="AE6455">
        <v>27.3583</v>
      </c>
      <c r="AF6455">
        <v>4.9578837806181504</v>
      </c>
      <c r="AG6455">
        <v>-1.1050217753689999</v>
      </c>
      <c r="AH6455">
        <v>27.2812383096181</v>
      </c>
      <c r="AI6455">
        <v>92.282148343198202</v>
      </c>
      <c r="AJ6455">
        <v>79.699913563378004</v>
      </c>
      <c r="AK6455">
        <v>27.750092764031098</v>
      </c>
    </row>
    <row r="6456" spans="1:37" x14ac:dyDescent="0.2">
      <c r="A6456" t="str">
        <f>"20200111153556190"</f>
        <v>20200111153556190</v>
      </c>
      <c r="B6456" t="str">
        <f>"1578728156182470"</f>
        <v>1578728156182470</v>
      </c>
      <c r="C6456" t="s">
        <v>37</v>
      </c>
      <c r="D6456">
        <v>4.9323990000000002</v>
      </c>
      <c r="E6456">
        <v>0.53355229999999998</v>
      </c>
      <c r="F6456" t="s">
        <v>51</v>
      </c>
      <c r="G6456">
        <v>-183.24369999999999</v>
      </c>
      <c r="H6456" s="1">
        <v>-4.5286439999999997E-6</v>
      </c>
      <c r="I6456">
        <v>127.8997</v>
      </c>
      <c r="J6456">
        <v>-187.9521</v>
      </c>
      <c r="K6456">
        <v>1.1049439999999999</v>
      </c>
      <c r="L6456">
        <v>101.6101</v>
      </c>
      <c r="M6456">
        <v>-6.8949730000000004E-3</v>
      </c>
      <c r="N6456">
        <v>0</v>
      </c>
      <c r="O6456">
        <v>0.99982850000000001</v>
      </c>
      <c r="P6456">
        <v>9.0412220000000001E-2</v>
      </c>
      <c r="Q6456">
        <v>1.9635909999999999E-2</v>
      </c>
      <c r="R6456">
        <v>0.99571080000000001</v>
      </c>
      <c r="S6456">
        <v>0.52207950000000003</v>
      </c>
      <c r="T6456">
        <v>-0.1226119</v>
      </c>
      <c r="U6456">
        <v>2.9687189999999899</v>
      </c>
      <c r="V6456">
        <v>9.7269930000000004E-2</v>
      </c>
      <c r="W6456">
        <v>3.6756169999999998E-2</v>
      </c>
      <c r="X6456">
        <v>0.99457909999999905</v>
      </c>
      <c r="Y6456">
        <v>0.1798469</v>
      </c>
      <c r="Z6456">
        <v>-4.061708E-2</v>
      </c>
      <c r="AA6456">
        <v>0.982855699999999</v>
      </c>
      <c r="AB6456">
        <v>45</v>
      </c>
      <c r="AC6456">
        <v>4.7084000000000099</v>
      </c>
      <c r="AD6456">
        <v>-1.1049485286439999</v>
      </c>
      <c r="AE6456">
        <v>26.2896</v>
      </c>
      <c r="AF6456">
        <v>4.88122615966721</v>
      </c>
      <c r="AG6456">
        <v>-1.1049485286439999</v>
      </c>
      <c r="AH6456">
        <v>26.211641732003802</v>
      </c>
      <c r="AI6456">
        <v>92.373116982170799</v>
      </c>
      <c r="AJ6456">
        <v>79.451009884190597</v>
      </c>
      <c r="AK6456">
        <v>26.685153969195898</v>
      </c>
    </row>
    <row r="6457" spans="1:37" x14ac:dyDescent="0.2">
      <c r="A6457" t="str">
        <f>"20200111153556211"</f>
        <v>20200111153556211</v>
      </c>
      <c r="B6457" t="str">
        <f>"1578728156201990"</f>
        <v>1578728156201990</v>
      </c>
      <c r="C6457" t="s">
        <v>37</v>
      </c>
      <c r="D6457">
        <v>4.9265949999999998</v>
      </c>
      <c r="E6457">
        <v>0.53373590000000004</v>
      </c>
      <c r="F6457" t="s">
        <v>51</v>
      </c>
      <c r="G6457">
        <v>-183.19110000000001</v>
      </c>
      <c r="H6457" s="1">
        <v>-4.6264960000000004E-6</v>
      </c>
      <c r="I6457">
        <v>128.15270000000001</v>
      </c>
      <c r="J6457">
        <v>-187.95500000000001</v>
      </c>
      <c r="K6457">
        <v>1.104851</v>
      </c>
      <c r="L6457">
        <v>102.0466</v>
      </c>
      <c r="M6457">
        <v>-6.7177490000000003E-3</v>
      </c>
      <c r="N6457">
        <v>0</v>
      </c>
      <c r="O6457">
        <v>0.99982950000000004</v>
      </c>
      <c r="P6457">
        <v>9.4521170000000002E-2</v>
      </c>
      <c r="Q6457">
        <v>2.0027199999999998E-2</v>
      </c>
      <c r="R6457">
        <v>0.99532140000000002</v>
      </c>
      <c r="S6457">
        <v>0.532196</v>
      </c>
      <c r="T6457">
        <v>-0.12351479999999999</v>
      </c>
      <c r="U6457">
        <v>2.9670099999999899</v>
      </c>
      <c r="V6457">
        <v>0.1012081</v>
      </c>
      <c r="W6457">
        <v>3.7125940000000003E-2</v>
      </c>
      <c r="X6457">
        <v>0.99417230000000001</v>
      </c>
      <c r="Y6457">
        <v>0.1830147</v>
      </c>
      <c r="Z6457">
        <v>-4.0914770000000003E-2</v>
      </c>
      <c r="AA6457">
        <v>0.98225839999999998</v>
      </c>
      <c r="AB6457">
        <v>45</v>
      </c>
      <c r="AC6457">
        <v>4.7638999999999996</v>
      </c>
      <c r="AD6457">
        <v>-1.1048556264960001</v>
      </c>
      <c r="AE6457">
        <v>26.106100000000001</v>
      </c>
      <c r="AF6457">
        <v>4.9306458287943196</v>
      </c>
      <c r="AG6457">
        <v>-1.1048556264960001</v>
      </c>
      <c r="AH6457">
        <v>26.028385534335101</v>
      </c>
      <c r="AI6457">
        <v>92.388215649607503</v>
      </c>
      <c r="AJ6457">
        <v>79.273368289748504</v>
      </c>
      <c r="AK6457">
        <v>26.514313639398399</v>
      </c>
    </row>
    <row r="6458" spans="1:37" x14ac:dyDescent="0.2">
      <c r="A6458" t="str">
        <f>"20200111153556225"</f>
        <v>20200111153556225</v>
      </c>
      <c r="B6458" t="str">
        <f>"1578728156222486"</f>
        <v>1578728156222486</v>
      </c>
      <c r="C6458" t="s">
        <v>37</v>
      </c>
      <c r="D6458">
        <v>4.9430290000000001</v>
      </c>
      <c r="E6458">
        <v>0.53389629999999999</v>
      </c>
      <c r="F6458" t="s">
        <v>51</v>
      </c>
      <c r="G6458">
        <v>-183.03139999999999</v>
      </c>
      <c r="H6458" s="1">
        <v>-4.9070620000000002E-6</v>
      </c>
      <c r="I6458">
        <v>128.7954</v>
      </c>
      <c r="J6458">
        <v>-187.95679999999999</v>
      </c>
      <c r="K6458">
        <v>1.1047719999999901</v>
      </c>
      <c r="L6458">
        <v>102.3227</v>
      </c>
      <c r="M6458">
        <v>-6.5240300000000001E-3</v>
      </c>
      <c r="N6458">
        <v>0</v>
      </c>
      <c r="O6458">
        <v>0.99983069999999896</v>
      </c>
      <c r="P6458">
        <v>9.6862500000000004E-2</v>
      </c>
      <c r="Q6458">
        <v>2.0487330000000002E-2</v>
      </c>
      <c r="R6458">
        <v>0.9950869</v>
      </c>
      <c r="S6458">
        <v>0.54571530000000001</v>
      </c>
      <c r="T6458">
        <v>-0.12245879999999899</v>
      </c>
      <c r="U6458">
        <v>2.9647519999999998</v>
      </c>
      <c r="V6458">
        <v>0.10336239999999999</v>
      </c>
      <c r="W6458">
        <v>3.7566710000000003E-2</v>
      </c>
      <c r="X6458">
        <v>0.99393410000000004</v>
      </c>
      <c r="Y6458">
        <v>0.18729100000000001</v>
      </c>
      <c r="Z6458">
        <v>-4.0563109999999999E-2</v>
      </c>
      <c r="AA6458">
        <v>0.98146669999999903</v>
      </c>
      <c r="AB6458">
        <v>45</v>
      </c>
      <c r="AC6458">
        <v>4.92539999999999</v>
      </c>
      <c r="AD6458">
        <v>-1.1047769070619999</v>
      </c>
      <c r="AE6458">
        <v>26.4727</v>
      </c>
      <c r="AF6458">
        <v>5.08946208270683</v>
      </c>
      <c r="AG6458">
        <v>-1.1047769070619999</v>
      </c>
      <c r="AH6458">
        <v>26.395565386156701</v>
      </c>
      <c r="AI6458">
        <v>92.353397819593994</v>
      </c>
      <c r="AJ6458">
        <v>79.086443214658004</v>
      </c>
      <c r="AK6458">
        <v>26.9044425394871</v>
      </c>
    </row>
    <row r="6459" spans="1:37" x14ac:dyDescent="0.2">
      <c r="A6459" t="str">
        <f>"20200111153556243"</f>
        <v>20200111153556243</v>
      </c>
      <c r="B6459" t="str">
        <f>"1578728156232247"</f>
        <v>1578728156232247</v>
      </c>
      <c r="C6459" t="s">
        <v>37</v>
      </c>
      <c r="D6459">
        <v>4.9787499999999998</v>
      </c>
      <c r="E6459">
        <v>0.53397289999999997</v>
      </c>
      <c r="F6459" t="s">
        <v>51</v>
      </c>
      <c r="G6459">
        <v>-182.9161</v>
      </c>
      <c r="H6459" s="1">
        <v>-5.116804E-6</v>
      </c>
      <c r="I6459">
        <v>129.2764</v>
      </c>
      <c r="J6459">
        <v>-187.9589</v>
      </c>
      <c r="K6459">
        <v>1.1046339999999999</v>
      </c>
      <c r="L6459">
        <v>102.6888</v>
      </c>
      <c r="M6459">
        <v>-6.1493759999999998E-3</v>
      </c>
      <c r="N6459">
        <v>0</v>
      </c>
      <c r="O6459">
        <v>0.99983299999999997</v>
      </c>
      <c r="P6459">
        <v>0.100312199999999</v>
      </c>
      <c r="Q6459">
        <v>2.0759280000000001E-2</v>
      </c>
      <c r="R6459">
        <v>0.99473940000000005</v>
      </c>
      <c r="S6459">
        <v>0.55418400000000001</v>
      </c>
      <c r="T6459">
        <v>-0.12146169999999901</v>
      </c>
      <c r="U6459">
        <v>2.9633479999999999</v>
      </c>
      <c r="V6459">
        <v>0.106449499999999</v>
      </c>
      <c r="W6459">
        <v>3.7802090000000003E-2</v>
      </c>
      <c r="X6459">
        <v>0.99359929999999996</v>
      </c>
      <c r="Y6459">
        <v>0.189719</v>
      </c>
      <c r="Z6459">
        <v>-4.023239E-2</v>
      </c>
      <c r="AA6459">
        <v>0.98101380000000005</v>
      </c>
      <c r="AB6459">
        <v>45</v>
      </c>
      <c r="AC6459">
        <v>5.0427999999999997</v>
      </c>
      <c r="AD6459">
        <v>-1.104639116804</v>
      </c>
      <c r="AE6459">
        <v>26.587599999999899</v>
      </c>
      <c r="AF6459">
        <v>5.1975656721877401</v>
      </c>
      <c r="AG6459">
        <v>-1.104639116804</v>
      </c>
      <c r="AH6459">
        <v>26.5119076553813</v>
      </c>
      <c r="AI6459">
        <v>92.341373709038706</v>
      </c>
      <c r="AJ6459">
        <v>78.908040944242103</v>
      </c>
      <c r="AK6459">
        <v>27.039159824642201</v>
      </c>
    </row>
    <row r="6460" spans="1:37" x14ac:dyDescent="0.2">
      <c r="A6460" t="str">
        <f>"20200111153556257"</f>
        <v>20200111153556257</v>
      </c>
      <c r="B6460" t="str">
        <f>"1578728156251767"</f>
        <v>1578728156251767</v>
      </c>
      <c r="C6460" t="s">
        <v>37</v>
      </c>
      <c r="D6460">
        <v>4.9047000000000001</v>
      </c>
      <c r="E6460">
        <v>0.53417999999999999</v>
      </c>
      <c r="F6460" t="s">
        <v>51</v>
      </c>
      <c r="G6460">
        <v>-182.7843</v>
      </c>
      <c r="H6460" s="1">
        <v>-5.3285260000000002E-6</v>
      </c>
      <c r="I6460">
        <v>129.8057</v>
      </c>
      <c r="J6460">
        <v>-187.96029999999999</v>
      </c>
      <c r="K6460">
        <v>1.1045160000000001</v>
      </c>
      <c r="L6460">
        <v>102.9609</v>
      </c>
      <c r="M6460">
        <v>-5.7765029999999997E-3</v>
      </c>
      <c r="N6460">
        <v>0</v>
      </c>
      <c r="O6460">
        <v>0.99983519999999904</v>
      </c>
      <c r="P6460">
        <v>0.1020177</v>
      </c>
      <c r="Q6460">
        <v>2.120269E-2</v>
      </c>
      <c r="R6460">
        <v>0.99455659999999901</v>
      </c>
      <c r="S6460">
        <v>0.56510930000000004</v>
      </c>
      <c r="T6460">
        <v>-0.1206356</v>
      </c>
      <c r="U6460">
        <v>2.961395</v>
      </c>
      <c r="V6460">
        <v>0.10779469999999999</v>
      </c>
      <c r="W6460">
        <v>3.821426E-2</v>
      </c>
      <c r="X6460">
        <v>0.9934385</v>
      </c>
      <c r="Y6460">
        <v>0.1929651</v>
      </c>
      <c r="Z6460">
        <v>-3.9958889999999997E-2</v>
      </c>
      <c r="AA6460">
        <v>0.98039159999999903</v>
      </c>
      <c r="AB6460">
        <v>45</v>
      </c>
      <c r="AC6460">
        <v>5.1759999999999797</v>
      </c>
      <c r="AD6460">
        <v>-1.1045213285259901</v>
      </c>
      <c r="AE6460">
        <v>26.844799999999999</v>
      </c>
      <c r="AF6460">
        <v>5.3223185312279497</v>
      </c>
      <c r="AG6460">
        <v>-1.1045213285259901</v>
      </c>
      <c r="AH6460">
        <v>26.7707529685905</v>
      </c>
      <c r="AI6460">
        <v>92.317296620770506</v>
      </c>
      <c r="AJ6460">
        <v>78.755590351259499</v>
      </c>
      <c r="AK6460">
        <v>27.317032350134902</v>
      </c>
    </row>
    <row r="6461" spans="1:37" x14ac:dyDescent="0.2">
      <c r="A6461" t="str">
        <f>"20200111153556271"</f>
        <v>20200111153556271</v>
      </c>
      <c r="B6461" t="str">
        <f>"1578728156262502"</f>
        <v>1578728156262502</v>
      </c>
      <c r="C6461" t="s">
        <v>37</v>
      </c>
      <c r="D6461">
        <v>4.9742860000000002</v>
      </c>
      <c r="E6461">
        <v>0.53429259999999901</v>
      </c>
      <c r="F6461" t="s">
        <v>51</v>
      </c>
      <c r="G6461">
        <v>-182.65360000000001</v>
      </c>
      <c r="H6461" s="1">
        <v>-5.5307479999999999E-6</v>
      </c>
      <c r="I6461">
        <v>130.41419999999999</v>
      </c>
      <c r="J6461">
        <v>-187.9615</v>
      </c>
      <c r="K6461">
        <v>1.1043799999999999</v>
      </c>
      <c r="L6461">
        <v>103.2276</v>
      </c>
      <c r="M6461">
        <v>-5.2809500000000004E-3</v>
      </c>
      <c r="N6461">
        <v>0</v>
      </c>
      <c r="O6461">
        <v>0.99983799999999901</v>
      </c>
      <c r="P6461">
        <v>0.10345799999999999</v>
      </c>
      <c r="Q6461">
        <v>2.186631E-2</v>
      </c>
      <c r="R6461">
        <v>0.99439339999999998</v>
      </c>
      <c r="S6461">
        <v>0.57221979999999995</v>
      </c>
      <c r="T6461">
        <v>-0.1190996</v>
      </c>
      <c r="U6461">
        <v>2.9602659999999998</v>
      </c>
      <c r="V6461">
        <v>0.1087552</v>
      </c>
      <c r="W6461">
        <v>3.8835599999999998E-2</v>
      </c>
      <c r="X6461">
        <v>0.99330969999999996</v>
      </c>
      <c r="Y6461">
        <v>0.1948223</v>
      </c>
      <c r="Z6461">
        <v>-3.9449680000000001E-2</v>
      </c>
      <c r="AA6461">
        <v>0.9800449</v>
      </c>
      <c r="AB6461">
        <v>45</v>
      </c>
      <c r="AC6461">
        <v>5.3078999999999796</v>
      </c>
      <c r="AD6461">
        <v>-1.1043855307479999</v>
      </c>
      <c r="AE6461">
        <v>27.186599999999999</v>
      </c>
      <c r="AF6461">
        <v>5.4427665389234399</v>
      </c>
      <c r="AG6461">
        <v>-1.1043855307479999</v>
      </c>
      <c r="AH6461">
        <v>27.1150840599174</v>
      </c>
      <c r="AI6461">
        <v>92.2867784573763</v>
      </c>
      <c r="AJ6461">
        <v>78.649945899095798</v>
      </c>
      <c r="AK6461">
        <v>27.677990508238501</v>
      </c>
    </row>
    <row r="6462" spans="1:37" x14ac:dyDescent="0.2">
      <c r="A6462" t="str">
        <f>"20200111153556290"</f>
        <v>20200111153556290</v>
      </c>
      <c r="B6462" t="str">
        <f>"1578728156282022"</f>
        <v>1578728156282022</v>
      </c>
      <c r="C6462" t="s">
        <v>37</v>
      </c>
      <c r="D6462">
        <v>4.9666079999999999</v>
      </c>
      <c r="E6462">
        <v>0.534400599999999</v>
      </c>
      <c r="F6462" t="s">
        <v>51</v>
      </c>
      <c r="G6462">
        <v>-182.51249999999999</v>
      </c>
      <c r="H6462" s="1">
        <v>-5.7746359999999999E-6</v>
      </c>
      <c r="I6462">
        <v>131.15100000000001</v>
      </c>
      <c r="J6462">
        <v>-187.96279999999999</v>
      </c>
      <c r="K6462">
        <v>1.104149</v>
      </c>
      <c r="L6462">
        <v>103.61069999999999</v>
      </c>
      <c r="M6462">
        <v>-4.3808950000000001E-3</v>
      </c>
      <c r="N6462">
        <v>0</v>
      </c>
      <c r="O6462">
        <v>0.99984249999999997</v>
      </c>
      <c r="P6462">
        <v>0.1067898</v>
      </c>
      <c r="Q6462">
        <v>2.2937019999999999E-2</v>
      </c>
      <c r="R6462">
        <v>0.99401700000000004</v>
      </c>
      <c r="S6462">
        <v>0.5774994</v>
      </c>
      <c r="T6462">
        <v>-0.1170462</v>
      </c>
      <c r="U6462">
        <v>2.9594119999999999</v>
      </c>
      <c r="V6462">
        <v>0.1112144</v>
      </c>
      <c r="W6462">
        <v>3.9828080000000002E-2</v>
      </c>
      <c r="X6462">
        <v>0.99299799999999905</v>
      </c>
      <c r="Y6462">
        <v>0.19568189999999999</v>
      </c>
      <c r="Z6462">
        <v>-3.8771920000000001E-2</v>
      </c>
      <c r="AA6462">
        <v>0.97990069999999996</v>
      </c>
      <c r="AB6462">
        <v>45</v>
      </c>
      <c r="AC6462">
        <v>5.4502999999999897</v>
      </c>
      <c r="AD6462">
        <v>-1.1041547746360001</v>
      </c>
      <c r="AE6462">
        <v>27.540299999999998</v>
      </c>
      <c r="AF6462">
        <v>5.5623128335520704</v>
      </c>
      <c r="AG6462">
        <v>-1.1041547746360001</v>
      </c>
      <c r="AH6462">
        <v>27.473658299750198</v>
      </c>
      <c r="AI6462">
        <v>92.255736417464803</v>
      </c>
      <c r="AJ6462">
        <v>78.554613372330095</v>
      </c>
      <c r="AK6462">
        <v>28.052814158228099</v>
      </c>
    </row>
    <row r="6463" spans="1:37" x14ac:dyDescent="0.2">
      <c r="A6463" t="str">
        <f>"20200111153556304"</f>
        <v>20200111153556304</v>
      </c>
      <c r="B6463" t="str">
        <f>"1578728156291783"</f>
        <v>1578728156291783</v>
      </c>
      <c r="C6463" t="s">
        <v>37</v>
      </c>
      <c r="D6463">
        <v>4.9629949999999896</v>
      </c>
      <c r="E6463">
        <v>0.53444740000000002</v>
      </c>
      <c r="F6463" t="s">
        <v>51</v>
      </c>
      <c r="G6463">
        <v>-182.3004</v>
      </c>
      <c r="H6463" s="1">
        <v>-6.0847469999999998E-6</v>
      </c>
      <c r="I6463">
        <v>132.07149999999999</v>
      </c>
      <c r="J6463">
        <v>-187.96340000000001</v>
      </c>
      <c r="K6463">
        <v>1.1039479999999999</v>
      </c>
      <c r="L6463">
        <v>103.8952</v>
      </c>
      <c r="M6463">
        <v>-3.53453599999999E-3</v>
      </c>
      <c r="N6463">
        <v>0</v>
      </c>
      <c r="O6463">
        <v>0.99984589999999995</v>
      </c>
      <c r="P6463">
        <v>0.1101721</v>
      </c>
      <c r="Q6463">
        <v>2.3296750000000001E-2</v>
      </c>
      <c r="R6463">
        <v>0.99363950000000001</v>
      </c>
      <c r="S6463">
        <v>0.58840939999999997</v>
      </c>
      <c r="T6463">
        <v>-0.1147376</v>
      </c>
      <c r="U6463">
        <v>2.9574889999999998</v>
      </c>
      <c r="V6463">
        <v>0.1137744</v>
      </c>
      <c r="W6463">
        <v>4.011634E-2</v>
      </c>
      <c r="X6463">
        <v>0.99269629999999998</v>
      </c>
      <c r="Y6463">
        <v>0.1984561</v>
      </c>
      <c r="Z6463">
        <v>-3.8008630000000002E-2</v>
      </c>
      <c r="AA6463">
        <v>0.97937249999999998</v>
      </c>
      <c r="AB6463">
        <v>44</v>
      </c>
      <c r="AC6463">
        <v>5.66300000000001</v>
      </c>
      <c r="AD6463">
        <v>-1.103954084747</v>
      </c>
      <c r="AE6463">
        <v>28.176299999999902</v>
      </c>
      <c r="AF6463">
        <v>5.7540794091482397</v>
      </c>
      <c r="AG6463">
        <v>-1.103954084747</v>
      </c>
      <c r="AH6463">
        <v>28.114622096107201</v>
      </c>
      <c r="AI6463">
        <v>92.203011839347397</v>
      </c>
      <c r="AJ6463">
        <v>78.433294431309307</v>
      </c>
      <c r="AK6463">
        <v>28.718637155598699</v>
      </c>
    </row>
    <row r="6464" spans="1:37" x14ac:dyDescent="0.2">
      <c r="A6464" t="str">
        <f>"20200111153556332"</f>
        <v>20200111153556332</v>
      </c>
      <c r="B6464" t="str">
        <f>"1578728156322038"</f>
        <v>1578728156322038</v>
      </c>
      <c r="C6464" t="s">
        <v>37</v>
      </c>
      <c r="D6464">
        <v>4.9642439999999999</v>
      </c>
      <c r="E6464">
        <v>0.53474379999999999</v>
      </c>
      <c r="F6464" t="s">
        <v>51</v>
      </c>
      <c r="G6464">
        <v>-182.1592</v>
      </c>
      <c r="H6464" s="1">
        <v>-6.2587909999999997E-6</v>
      </c>
      <c r="I6464">
        <v>132.53380000000001</v>
      </c>
      <c r="J6464">
        <v>-187.96350000000001</v>
      </c>
      <c r="K6464">
        <v>1.1034820000000001</v>
      </c>
      <c r="L6464">
        <v>104.4611</v>
      </c>
      <c r="M6464">
        <v>-1.329301E-3</v>
      </c>
      <c r="N6464">
        <v>0</v>
      </c>
      <c r="O6464">
        <v>0.99985159999999995</v>
      </c>
      <c r="P6464">
        <v>0.1136981</v>
      </c>
      <c r="Q6464">
        <v>2.357863E-2</v>
      </c>
      <c r="R6464">
        <v>0.99323549999999905</v>
      </c>
      <c r="S6464">
        <v>0.59898379999999996</v>
      </c>
      <c r="T6464">
        <v>-0.1139265</v>
      </c>
      <c r="U6464">
        <v>2.95546</v>
      </c>
      <c r="V6464">
        <v>0.1151541</v>
      </c>
      <c r="W6464">
        <v>4.0244500000000002E-2</v>
      </c>
      <c r="X6464">
        <v>0.99253210000000003</v>
      </c>
      <c r="Y6464">
        <v>0.1997931</v>
      </c>
      <c r="Z6464">
        <v>-3.774769E-2</v>
      </c>
      <c r="AA6464">
        <v>0.9791107</v>
      </c>
      <c r="AB6464">
        <v>44</v>
      </c>
      <c r="AC6464">
        <v>5.8043000000000102</v>
      </c>
      <c r="AD6464">
        <v>-1.103488258791</v>
      </c>
      <c r="AE6464">
        <v>28.072700000000001</v>
      </c>
      <c r="AF6464">
        <v>5.8329741933056898</v>
      </c>
      <c r="AG6464">
        <v>-1.103488258791</v>
      </c>
      <c r="AH6464">
        <v>28.0234335077275</v>
      </c>
      <c r="AI6464">
        <v>92.207721116991806</v>
      </c>
      <c r="AJ6464">
        <v>78.241981522935205</v>
      </c>
      <c r="AK6464">
        <v>28.645315495541102</v>
      </c>
    </row>
    <row r="6465" spans="1:37" x14ac:dyDescent="0.2">
      <c r="A6465" t="str">
        <f>"20200111153556355"</f>
        <v>20200111153556355</v>
      </c>
      <c r="B6465" t="str">
        <f>"1578728156342534"</f>
        <v>1578728156342534</v>
      </c>
      <c r="C6465" t="s">
        <v>37</v>
      </c>
      <c r="D6465">
        <v>4.9430069999999997</v>
      </c>
      <c r="E6465">
        <v>0.53482039999999997</v>
      </c>
      <c r="F6465" t="s">
        <v>51</v>
      </c>
      <c r="G6465">
        <v>-182.0086</v>
      </c>
      <c r="H6465" s="1">
        <v>-6.4959919999999999E-6</v>
      </c>
      <c r="I6465">
        <v>133.17429999999999</v>
      </c>
      <c r="J6465">
        <v>-187.9623</v>
      </c>
      <c r="K6465">
        <v>1.103078</v>
      </c>
      <c r="L6465">
        <v>104.9028</v>
      </c>
      <c r="M6465">
        <v>8.7677239999999997E-4</v>
      </c>
      <c r="N6465">
        <v>0</v>
      </c>
      <c r="O6465">
        <v>0.99985249999999903</v>
      </c>
      <c r="P6465">
        <v>0.11698219999999999</v>
      </c>
      <c r="Q6465">
        <v>2.295202E-2</v>
      </c>
      <c r="R6465">
        <v>0.9928688</v>
      </c>
      <c r="S6465">
        <v>0.61242680000000005</v>
      </c>
      <c r="T6465">
        <v>-0.1134882</v>
      </c>
      <c r="U6465">
        <v>2.9530029999999998</v>
      </c>
      <c r="V6465">
        <v>0.11628279999999901</v>
      </c>
      <c r="W6465">
        <v>3.9477400000000003E-2</v>
      </c>
      <c r="X6465">
        <v>0.99243130000000002</v>
      </c>
      <c r="Y6465">
        <v>0.20206769999999999</v>
      </c>
      <c r="Z6465">
        <v>-3.7607450000000001E-2</v>
      </c>
      <c r="AA6465">
        <v>0.97864930000000006</v>
      </c>
      <c r="AB6465">
        <v>44</v>
      </c>
      <c r="AC6465">
        <v>5.9536999999999898</v>
      </c>
      <c r="AD6465">
        <v>-1.1030844959920001</v>
      </c>
      <c r="AE6465">
        <v>28.2714999999999</v>
      </c>
      <c r="AF6465">
        <v>5.9202762794508104</v>
      </c>
      <c r="AG6465">
        <v>-1.1030844959920001</v>
      </c>
      <c r="AH6465">
        <v>28.235550372300899</v>
      </c>
      <c r="AI6465">
        <v>92.189681791628203</v>
      </c>
      <c r="AJ6465">
        <v>78.158081438746706</v>
      </c>
      <c r="AK6465">
        <v>28.870621251664598</v>
      </c>
    </row>
    <row r="6466" spans="1:37" x14ac:dyDescent="0.2">
      <c r="A6466" t="str">
        <f>"20200111153556379"</f>
        <v>20200111153556379</v>
      </c>
      <c r="B6466" t="str">
        <f>"1578728156371814"</f>
        <v>1578728156371814</v>
      </c>
      <c r="C6466" t="s">
        <v>37</v>
      </c>
      <c r="D6466">
        <v>4.9858099999999999</v>
      </c>
      <c r="E6466">
        <v>0.53514649999999997</v>
      </c>
      <c r="F6466" t="s">
        <v>51</v>
      </c>
      <c r="G6466">
        <v>-182.00040000000001</v>
      </c>
      <c r="H6466" s="1">
        <v>-6.4834939999999899E-6</v>
      </c>
      <c r="I6466">
        <v>133.13650000000001</v>
      </c>
      <c r="J6466">
        <v>-187.95959999999999</v>
      </c>
      <c r="K6466">
        <v>1.102606</v>
      </c>
      <c r="L6466">
        <v>105.36799999999999</v>
      </c>
      <c r="M6466">
        <v>3.6968330000000001E-3</v>
      </c>
      <c r="N6466">
        <v>0</v>
      </c>
      <c r="O6466">
        <v>0.99984660000000003</v>
      </c>
      <c r="P6466">
        <v>0.1215357</v>
      </c>
      <c r="Q6466">
        <v>2.0485860000000002E-2</v>
      </c>
      <c r="R6466">
        <v>0.99237559999999903</v>
      </c>
      <c r="S6466">
        <v>0.62309269999999894</v>
      </c>
      <c r="T6466">
        <v>-0.11528669999999901</v>
      </c>
      <c r="U6466">
        <v>2.95079</v>
      </c>
      <c r="V6466">
        <v>0.11806659999999999</v>
      </c>
      <c r="W6466">
        <v>3.6845749999999997E-2</v>
      </c>
      <c r="X6466">
        <v>0.99232180000000003</v>
      </c>
      <c r="Y6466">
        <v>0.2028355</v>
      </c>
      <c r="Z6466">
        <v>-3.821314E-2</v>
      </c>
      <c r="AA6466">
        <v>0.97846690000000003</v>
      </c>
      <c r="AB6466">
        <v>44</v>
      </c>
      <c r="AC6466">
        <v>5.9591999999999796</v>
      </c>
      <c r="AD6466">
        <v>-1.1026124834940001</v>
      </c>
      <c r="AE6466">
        <v>27.7685</v>
      </c>
      <c r="AF6466">
        <v>5.8476747754763103</v>
      </c>
      <c r="AG6466">
        <v>-1.1026124834940001</v>
      </c>
      <c r="AH6466">
        <v>27.748519498532001</v>
      </c>
      <c r="AI6466">
        <v>92.226646989262306</v>
      </c>
      <c r="AJ6466">
        <v>78.0997142067488</v>
      </c>
      <c r="AK6466">
        <v>28.379418403640901</v>
      </c>
    </row>
    <row r="6467" spans="1:37" x14ac:dyDescent="0.2">
      <c r="A6467" t="str">
        <f>"20200111153556402"</f>
        <v>20200111153556402</v>
      </c>
      <c r="B6467" t="str">
        <f>"1578728156392310"</f>
        <v>1578728156392310</v>
      </c>
      <c r="C6467" t="s">
        <v>37</v>
      </c>
      <c r="D6467">
        <v>4.9545560000000002</v>
      </c>
      <c r="E6467">
        <v>0.53533199999999903</v>
      </c>
      <c r="F6467" t="s">
        <v>51</v>
      </c>
      <c r="G6467">
        <v>-182.3485</v>
      </c>
      <c r="H6467" s="1">
        <v>-5.8169339999999998E-6</v>
      </c>
      <c r="I6467">
        <v>131.2535</v>
      </c>
      <c r="J6467">
        <v>-187.95519999999999</v>
      </c>
      <c r="K6467">
        <v>1.102123</v>
      </c>
      <c r="L6467">
        <v>105.8151</v>
      </c>
      <c r="M6467">
        <v>6.9783759999999997E-3</v>
      </c>
      <c r="N6467">
        <v>0</v>
      </c>
      <c r="O6467">
        <v>0.99982939999999998</v>
      </c>
      <c r="P6467">
        <v>0.1267558</v>
      </c>
      <c r="Q6467">
        <v>1.6844020000000001E-2</v>
      </c>
      <c r="R6467">
        <v>0.99179099999999998</v>
      </c>
      <c r="S6467">
        <v>0.6388855</v>
      </c>
      <c r="T6467">
        <v>-0.1255462</v>
      </c>
      <c r="U6467">
        <v>2.9473880000000001</v>
      </c>
      <c r="V6467">
        <v>0.1200493</v>
      </c>
      <c r="W6467">
        <v>3.3031480000000002E-2</v>
      </c>
      <c r="X6467">
        <v>0.9922183</v>
      </c>
      <c r="Y6467">
        <v>0.20483389999999899</v>
      </c>
      <c r="Z6467">
        <v>-4.1622020000000003E-2</v>
      </c>
      <c r="AA6467">
        <v>0.97791139999999999</v>
      </c>
      <c r="AB6467">
        <v>44</v>
      </c>
      <c r="AC6467">
        <v>5.6066999999999796</v>
      </c>
      <c r="AD6467">
        <v>-1.102128816934</v>
      </c>
      <c r="AE6467">
        <v>25.438400000000001</v>
      </c>
      <c r="AF6467">
        <v>5.4193174726586699</v>
      </c>
      <c r="AG6467">
        <v>-1.102128816934</v>
      </c>
      <c r="AH6467">
        <v>25.4313863077744</v>
      </c>
      <c r="AI6467">
        <v>92.427067237326597</v>
      </c>
      <c r="AJ6467">
        <v>77.970451633921698</v>
      </c>
      <c r="AK6467">
        <v>26.025739169788</v>
      </c>
    </row>
    <row r="6468" spans="1:37" x14ac:dyDescent="0.2">
      <c r="A6468" t="str">
        <f>"20200111153556422"</f>
        <v>20200111153556422</v>
      </c>
      <c r="B6468" t="str">
        <f>"1578728156411830"</f>
        <v>1578728156411830</v>
      </c>
      <c r="C6468" t="s">
        <v>37</v>
      </c>
      <c r="D6468">
        <v>4.9688800000000004</v>
      </c>
      <c r="E6468">
        <v>0.53540269999999901</v>
      </c>
      <c r="F6468" t="s">
        <v>51</v>
      </c>
      <c r="G6468">
        <v>-182.72110000000001</v>
      </c>
      <c r="H6468" s="1">
        <v>-5.1405470000000004E-6</v>
      </c>
      <c r="I6468">
        <v>129.3058</v>
      </c>
      <c r="J6468">
        <v>-187.94970000000001</v>
      </c>
      <c r="K6468">
        <v>1.101688</v>
      </c>
      <c r="L6468">
        <v>106.2212</v>
      </c>
      <c r="M6468">
        <v>1.033712E-2</v>
      </c>
      <c r="N6468">
        <v>0</v>
      </c>
      <c r="O6468">
        <v>0.99980079999999905</v>
      </c>
      <c r="P6468">
        <v>0.13175029999999999</v>
      </c>
      <c r="Q6468">
        <v>1.4528060000000001E-2</v>
      </c>
      <c r="R6468">
        <v>0.99117649999999902</v>
      </c>
      <c r="S6468">
        <v>0.65582280000000004</v>
      </c>
      <c r="T6468">
        <v>-0.138096</v>
      </c>
      <c r="U6468">
        <v>2.9433750000000001</v>
      </c>
      <c r="V6468">
        <v>0.12173050000000001</v>
      </c>
      <c r="W6468">
        <v>3.0551749999999999E-2</v>
      </c>
      <c r="X6468">
        <v>0.9920928</v>
      </c>
      <c r="Y6468">
        <v>0.20714929999999901</v>
      </c>
      <c r="Z6468">
        <v>-4.5793750000000001E-2</v>
      </c>
      <c r="AA6468">
        <v>0.97723700000000002</v>
      </c>
      <c r="AB6468">
        <v>44</v>
      </c>
      <c r="AC6468">
        <v>5.2286000000000001</v>
      </c>
      <c r="AD6468">
        <v>-1.1016931405470001</v>
      </c>
      <c r="AE6468">
        <v>23.084599999999998</v>
      </c>
      <c r="AF6468">
        <v>4.9788709933105997</v>
      </c>
      <c r="AG6468">
        <v>-1.1016931405470001</v>
      </c>
      <c r="AH6468">
        <v>23.087404984786701</v>
      </c>
      <c r="AI6468">
        <v>92.670684274840298</v>
      </c>
      <c r="AJ6468">
        <v>77.830356795156703</v>
      </c>
      <c r="AK6468">
        <v>23.643839643245599</v>
      </c>
    </row>
    <row r="6469" spans="1:37" x14ac:dyDescent="0.2">
      <c r="A6469" t="str">
        <f>"20200111153556445"</f>
        <v>20200111153556445</v>
      </c>
      <c r="B6469" t="str">
        <f>"1578728156442085"</f>
        <v>1578728156442085</v>
      </c>
      <c r="C6469" t="s">
        <v>37</v>
      </c>
      <c r="D6469">
        <v>5.0900460000000001</v>
      </c>
      <c r="E6469">
        <v>0.53660129999999995</v>
      </c>
      <c r="F6469" t="s">
        <v>51</v>
      </c>
      <c r="G6469">
        <v>-182.85390000000001</v>
      </c>
      <c r="H6469" s="1">
        <v>-4.8047629999999998E-6</v>
      </c>
      <c r="I6469">
        <v>128.52860000000001</v>
      </c>
      <c r="J6469">
        <v>-187.9418</v>
      </c>
      <c r="K6469">
        <v>1.1012389999999901</v>
      </c>
      <c r="L6469">
        <v>106.65860000000001</v>
      </c>
      <c r="M6469">
        <v>1.4365630000000001E-2</v>
      </c>
      <c r="N6469">
        <v>0</v>
      </c>
      <c r="O6469">
        <v>0.99975159999999996</v>
      </c>
      <c r="P6469">
        <v>0.1379677</v>
      </c>
      <c r="Q6469">
        <v>1.4428750000000001E-2</v>
      </c>
      <c r="R6469">
        <v>0.99033159999999898</v>
      </c>
      <c r="S6469">
        <v>0.67149349999999997</v>
      </c>
      <c r="T6469">
        <v>-0.14517650000000001</v>
      </c>
      <c r="U6469">
        <v>2.939575</v>
      </c>
      <c r="V6469">
        <v>0.1239913</v>
      </c>
      <c r="W6469">
        <v>3.0263869999999998E-2</v>
      </c>
      <c r="X6469">
        <v>0.99182169999999903</v>
      </c>
      <c r="Y6469">
        <v>0.2084076</v>
      </c>
      <c r="Z6469">
        <v>-4.8158880000000001E-2</v>
      </c>
      <c r="AA6469">
        <v>0.97685560000000005</v>
      </c>
      <c r="AB6469">
        <v>44</v>
      </c>
      <c r="AC6469">
        <v>5.0878999999999897</v>
      </c>
      <c r="AD6469">
        <v>-1.10124380476299</v>
      </c>
      <c r="AE6469">
        <v>21.87</v>
      </c>
      <c r="AF6469">
        <v>4.7616993189576897</v>
      </c>
      <c r="AG6469">
        <v>-1.10124380476299</v>
      </c>
      <c r="AH6469">
        <v>21.888195297122401</v>
      </c>
      <c r="AI6469">
        <v>92.814528147375896</v>
      </c>
      <c r="AJ6469">
        <v>77.726738153403701</v>
      </c>
      <c r="AK6469">
        <v>22.427206952419699</v>
      </c>
    </row>
    <row r="6470" spans="1:37" x14ac:dyDescent="0.2">
      <c r="A6470" t="str">
        <f>"20200111153556467"</f>
        <v>20200111153556467</v>
      </c>
      <c r="B6470" t="str">
        <f>"1578728156462582"</f>
        <v>1578728156462582</v>
      </c>
      <c r="C6470" t="s">
        <v>37</v>
      </c>
      <c r="D6470">
        <v>5.0466509999999998</v>
      </c>
      <c r="E6470">
        <v>0.60327140000000001</v>
      </c>
      <c r="F6470" t="s">
        <v>51</v>
      </c>
      <c r="G6470">
        <v>-182.75200000000001</v>
      </c>
      <c r="H6470" s="1">
        <v>-4.7701569999999902E-6</v>
      </c>
      <c r="I6470">
        <v>128.43260000000001</v>
      </c>
      <c r="J6470">
        <v>-187.93190000000001</v>
      </c>
      <c r="K6470">
        <v>1.100792</v>
      </c>
      <c r="L6470">
        <v>107.10209999999999</v>
      </c>
      <c r="M6470">
        <v>1.8873310000000001E-2</v>
      </c>
      <c r="N6470">
        <v>0</v>
      </c>
      <c r="O6470">
        <v>0.99967719999999904</v>
      </c>
      <c r="P6470">
        <v>0.14450270000000001</v>
      </c>
      <c r="Q6470">
        <v>1.70236E-2</v>
      </c>
      <c r="R6470">
        <v>0.98935790000000001</v>
      </c>
      <c r="S6470">
        <v>0.69932559999999999</v>
      </c>
      <c r="T6470">
        <v>-0.1483922</v>
      </c>
      <c r="U6470">
        <v>2.9340359999999999</v>
      </c>
      <c r="V6470">
        <v>0.12612619999999999</v>
      </c>
      <c r="W6470">
        <v>3.2664989999999998E-2</v>
      </c>
      <c r="X6470">
        <v>0.99147619999999903</v>
      </c>
      <c r="Y6470">
        <v>0.21317049999999901</v>
      </c>
      <c r="Z6470">
        <v>-4.9229849999999999E-2</v>
      </c>
      <c r="AA6470">
        <v>0.97577389999999997</v>
      </c>
      <c r="AB6470">
        <v>44</v>
      </c>
      <c r="AC6470">
        <v>5.1798999999999999</v>
      </c>
      <c r="AD6470">
        <v>-1.1007967701570001</v>
      </c>
      <c r="AE6470">
        <v>21.330500000000001</v>
      </c>
      <c r="AF6470">
        <v>4.7643596329500797</v>
      </c>
      <c r="AG6470">
        <v>-1.1007967701570001</v>
      </c>
      <c r="AH6470">
        <v>21.370729430680498</v>
      </c>
      <c r="AI6470">
        <v>92.878140526493198</v>
      </c>
      <c r="AJ6470">
        <v>77.432086571038397</v>
      </c>
      <c r="AK6470">
        <v>21.9230233462592</v>
      </c>
    </row>
    <row r="6471" spans="1:37" x14ac:dyDescent="0.2">
      <c r="A6471" t="str">
        <f>"20200111153556491"</f>
        <v>20200111153556491</v>
      </c>
      <c r="B6471" t="str">
        <f>"1578728156482102"</f>
        <v>1578728156482102</v>
      </c>
      <c r="C6471" t="s">
        <v>37</v>
      </c>
      <c r="D6471">
        <v>5.0216539999999998</v>
      </c>
      <c r="E6471">
        <v>0.60274640000000002</v>
      </c>
      <c r="F6471" t="s">
        <v>51</v>
      </c>
      <c r="G6471">
        <v>-179.95169999999999</v>
      </c>
      <c r="H6471">
        <v>5.5530080000000002E-2</v>
      </c>
      <c r="I6471">
        <v>125.4002</v>
      </c>
      <c r="J6471">
        <v>-187.9187</v>
      </c>
      <c r="K6471">
        <v>1.100319</v>
      </c>
      <c r="L6471">
        <v>107.57810000000001</v>
      </c>
      <c r="M6471">
        <v>2.4167210000000001E-2</v>
      </c>
      <c r="N6471">
        <v>0</v>
      </c>
      <c r="O6471">
        <v>0.9995638</v>
      </c>
      <c r="P6471">
        <v>0.1503775</v>
      </c>
      <c r="Q6471">
        <v>1.922372E-2</v>
      </c>
      <c r="R6471">
        <v>0.98844169999999998</v>
      </c>
      <c r="S6471">
        <v>1.2443850000000001</v>
      </c>
      <c r="T6471">
        <v>-0.1629931</v>
      </c>
      <c r="U6471">
        <v>2.8533169999999899</v>
      </c>
      <c r="V6471">
        <v>0.1268281</v>
      </c>
      <c r="W6471">
        <v>3.4677520000000003E-2</v>
      </c>
      <c r="X6471">
        <v>0.99131829999999999</v>
      </c>
      <c r="Y6471">
        <v>0.37693290000000002</v>
      </c>
      <c r="Z6471">
        <v>-5.2521789999999999E-2</v>
      </c>
      <c r="AA6471">
        <v>0.92475030000000003</v>
      </c>
      <c r="AB6471">
        <v>44</v>
      </c>
      <c r="AC6471">
        <v>7.9670000000000103</v>
      </c>
      <c r="AD6471">
        <v>-1.04478892</v>
      </c>
      <c r="AE6471">
        <v>17.822099999999899</v>
      </c>
      <c r="AF6471">
        <v>7.51238222677999</v>
      </c>
      <c r="AG6471">
        <v>-1.04478892</v>
      </c>
      <c r="AH6471">
        <v>17.958024030367898</v>
      </c>
      <c r="AI6471">
        <v>93.072254473185694</v>
      </c>
      <c r="AJ6471">
        <v>67.298973454219194</v>
      </c>
      <c r="AK6471">
        <v>19.494052879887899</v>
      </c>
    </row>
    <row r="6472" spans="1:37" x14ac:dyDescent="0.2">
      <c r="A6472" t="str">
        <f>"20200111153556513"</f>
        <v>20200111153556513</v>
      </c>
      <c r="B6472" t="str">
        <f>"1578728156501622"</f>
        <v>1578728156501622</v>
      </c>
      <c r="C6472" t="s">
        <v>37</v>
      </c>
      <c r="D6472">
        <v>5.08955</v>
      </c>
      <c r="E6472">
        <v>0.59847490000000003</v>
      </c>
      <c r="F6472" t="s">
        <v>51</v>
      </c>
      <c r="G6472">
        <v>-178.89340000000001</v>
      </c>
      <c r="H6472">
        <v>7.9987959999999997E-2</v>
      </c>
      <c r="I6472">
        <v>128.00559999999999</v>
      </c>
      <c r="J6472">
        <v>-187.90450000000001</v>
      </c>
      <c r="K6472">
        <v>1.0999060000000001</v>
      </c>
      <c r="L6472">
        <v>108.0022</v>
      </c>
      <c r="M6472">
        <v>2.927252E-2</v>
      </c>
      <c r="N6472">
        <v>0</v>
      </c>
      <c r="O6472">
        <v>0.99942770000000003</v>
      </c>
      <c r="P6472">
        <v>0.15581729999999899</v>
      </c>
      <c r="Q6472">
        <v>2.06959E-2</v>
      </c>
      <c r="R6472">
        <v>0.98756900000000003</v>
      </c>
      <c r="S6472">
        <v>1.2576449999999999</v>
      </c>
      <c r="T6472">
        <v>-0.1421809</v>
      </c>
      <c r="U6472">
        <v>2.846527</v>
      </c>
      <c r="V6472">
        <v>0.12727639999999901</v>
      </c>
      <c r="W6472">
        <v>3.5989920000000002E-2</v>
      </c>
      <c r="X6472">
        <v>0.99121409999999999</v>
      </c>
      <c r="Y6472">
        <v>0.37675340000000002</v>
      </c>
      <c r="Z6472">
        <v>-4.5882680000000002E-2</v>
      </c>
      <c r="AA6472">
        <v>0.92517660000000002</v>
      </c>
      <c r="AB6472">
        <v>44</v>
      </c>
      <c r="AC6472">
        <v>9.0111000000000008</v>
      </c>
      <c r="AD6472">
        <v>-1.0199180400000001</v>
      </c>
      <c r="AE6472">
        <v>20.0033999999999</v>
      </c>
      <c r="AF6472">
        <v>8.40344227030422</v>
      </c>
      <c r="AG6472">
        <v>-1.0199180400000001</v>
      </c>
      <c r="AH6472">
        <v>20.214953673900901</v>
      </c>
      <c r="AI6472">
        <v>92.667395443466901</v>
      </c>
      <c r="AJ6472">
        <v>67.427136075814701</v>
      </c>
      <c r="AK6472">
        <v>21.915803130084299</v>
      </c>
    </row>
    <row r="6473" spans="1:37" x14ac:dyDescent="0.2">
      <c r="A6473" t="str">
        <f>"20200111153556535"</f>
        <v>20200111153556535</v>
      </c>
      <c r="B6473" t="str">
        <f>"1578728156531878"</f>
        <v>1578728156531878</v>
      </c>
      <c r="C6473" t="s">
        <v>37</v>
      </c>
      <c r="D6473">
        <v>5.0929310000000001</v>
      </c>
      <c r="E6473">
        <v>0.59549680000000005</v>
      </c>
      <c r="F6473" t="s">
        <v>51</v>
      </c>
      <c r="G6473">
        <v>-177.97550000000001</v>
      </c>
      <c r="H6473" s="1">
        <v>-4.523249E-6</v>
      </c>
      <c r="I6473">
        <v>130.78489999999999</v>
      </c>
      <c r="J6473">
        <v>-187.88730000000001</v>
      </c>
      <c r="K6473">
        <v>1.0994649999999999</v>
      </c>
      <c r="L6473">
        <v>108.44240000000001</v>
      </c>
      <c r="M6473">
        <v>3.4953810000000002E-2</v>
      </c>
      <c r="N6473">
        <v>0</v>
      </c>
      <c r="O6473">
        <v>0.99924550000000001</v>
      </c>
      <c r="P6473">
        <v>0.16240260000000001</v>
      </c>
      <c r="Q6473">
        <v>2.2035610000000001E-2</v>
      </c>
      <c r="R6473">
        <v>0.98647850000000004</v>
      </c>
      <c r="S6473">
        <v>1.2398990000000001</v>
      </c>
      <c r="T6473">
        <v>-0.137352799999999</v>
      </c>
      <c r="U6473">
        <v>2.84501599999999</v>
      </c>
      <c r="V6473">
        <v>0.12831139999999999</v>
      </c>
      <c r="W6473">
        <v>3.7157389999999998E-2</v>
      </c>
      <c r="X6473">
        <v>0.99103759999999996</v>
      </c>
      <c r="Y6473">
        <v>0.36683499999999902</v>
      </c>
      <c r="Z6473">
        <v>-4.448158E-2</v>
      </c>
      <c r="AA6473">
        <v>0.92922199999999899</v>
      </c>
      <c r="AB6473">
        <v>44</v>
      </c>
      <c r="AC6473">
        <v>9.9117999999999995</v>
      </c>
      <c r="AD6473">
        <v>-1.0994695232489999</v>
      </c>
      <c r="AE6473">
        <v>22.342499999999902</v>
      </c>
      <c r="AF6473">
        <v>9.1062485401202693</v>
      </c>
      <c r="AG6473">
        <v>-1.0994695232489999</v>
      </c>
      <c r="AH6473">
        <v>22.629559752899102</v>
      </c>
      <c r="AI6473">
        <v>92.580749988414297</v>
      </c>
      <c r="AJ6473">
        <v>68.079897965292602</v>
      </c>
      <c r="AK6473">
        <v>24.417812562083199</v>
      </c>
    </row>
    <row r="6474" spans="1:37" x14ac:dyDescent="0.2">
      <c r="A6474" t="str">
        <f>"20200111153556557"</f>
        <v>20200111153556557</v>
      </c>
      <c r="B6474" t="str">
        <f>"1578728156552374"</f>
        <v>1578728156552374</v>
      </c>
      <c r="C6474" t="s">
        <v>37</v>
      </c>
      <c r="D6474">
        <v>5.0900980000000002</v>
      </c>
      <c r="E6474">
        <v>0.59468989999999999</v>
      </c>
      <c r="F6474" t="s">
        <v>51</v>
      </c>
      <c r="G6474">
        <v>-177.91329999999999</v>
      </c>
      <c r="H6474" s="1">
        <v>-4.7058459999999999E-6</v>
      </c>
      <c r="I6474">
        <v>131.37790000000001</v>
      </c>
      <c r="J6474">
        <v>-187.8683</v>
      </c>
      <c r="K6474">
        <v>1.0990359999999999</v>
      </c>
      <c r="L6474">
        <v>108.8635</v>
      </c>
      <c r="M6474">
        <v>4.0759789999999997E-2</v>
      </c>
      <c r="N6474">
        <v>0</v>
      </c>
      <c r="O6474">
        <v>0.99902569999999902</v>
      </c>
      <c r="P6474">
        <v>0.16872089999999901</v>
      </c>
      <c r="Q6474">
        <v>2.2520479999999999E-2</v>
      </c>
      <c r="R6474">
        <v>0.98540659999999902</v>
      </c>
      <c r="S6474">
        <v>1.235382</v>
      </c>
      <c r="T6474">
        <v>-0.13618039999999901</v>
      </c>
      <c r="U6474">
        <v>2.8407900000000001</v>
      </c>
      <c r="V6474">
        <v>0.1289488</v>
      </c>
      <c r="W6474">
        <v>3.7487599999999899E-2</v>
      </c>
      <c r="X6474">
        <v>0.9909424</v>
      </c>
      <c r="Y6474">
        <v>0.36069129999999999</v>
      </c>
      <c r="Z6474">
        <v>-4.4216030000000003E-2</v>
      </c>
      <c r="AA6474">
        <v>0.93163660000000004</v>
      </c>
      <c r="AB6474">
        <v>44</v>
      </c>
      <c r="AC6474">
        <v>9.9550000000000107</v>
      </c>
      <c r="AD6474">
        <v>-1.0990407058460001</v>
      </c>
      <c r="AE6474">
        <v>22.514399999999998</v>
      </c>
      <c r="AF6474">
        <v>9.0109503776651394</v>
      </c>
      <c r="AG6474">
        <v>-1.0990407058460001</v>
      </c>
      <c r="AH6474">
        <v>22.855949517004799</v>
      </c>
      <c r="AI6474">
        <v>92.561387870689103</v>
      </c>
      <c r="AJ6474">
        <v>68.483178414119905</v>
      </c>
      <c r="AK6474">
        <v>24.5926725978638</v>
      </c>
    </row>
    <row r="6475" spans="1:37" x14ac:dyDescent="0.2">
      <c r="A6475" t="str">
        <f>"20200111153556579"</f>
        <v>20200111153556579</v>
      </c>
      <c r="B6475" t="str">
        <f>"1578728156571894"</f>
        <v>1578728156571894</v>
      </c>
      <c r="C6475" t="s">
        <v>37</v>
      </c>
      <c r="D6475">
        <v>5.0444769999999997</v>
      </c>
      <c r="E6475">
        <v>0.59416139999999995</v>
      </c>
      <c r="F6475" t="s">
        <v>51</v>
      </c>
      <c r="G6475">
        <v>-177.42760000000001</v>
      </c>
      <c r="H6475" s="1">
        <v>-4.8319040000000004E-6</v>
      </c>
      <c r="I6475">
        <v>132.583</v>
      </c>
      <c r="J6475">
        <v>-187.84559999999999</v>
      </c>
      <c r="K6475">
        <v>1.0985780000000001</v>
      </c>
      <c r="L6475">
        <v>109.3</v>
      </c>
      <c r="M6475">
        <v>4.7167670000000002E-2</v>
      </c>
      <c r="N6475">
        <v>0</v>
      </c>
      <c r="O6475">
        <v>0.99874379999999996</v>
      </c>
      <c r="P6475">
        <v>0.17493810000000001</v>
      </c>
      <c r="Q6475">
        <v>2.1965470000000001E-2</v>
      </c>
      <c r="R6475">
        <v>0.98433440000000005</v>
      </c>
      <c r="S6475">
        <v>1.2473749999999999</v>
      </c>
      <c r="T6475">
        <v>-0.13130610000000001</v>
      </c>
      <c r="U6475">
        <v>2.833847</v>
      </c>
      <c r="V6475">
        <v>0.12887860000000001</v>
      </c>
      <c r="W6475">
        <v>3.6787609999999998E-2</v>
      </c>
      <c r="X6475">
        <v>0.99097780000000002</v>
      </c>
      <c r="Y6475">
        <v>0.35887759999999902</v>
      </c>
      <c r="Z6475">
        <v>-4.2694370000000002E-2</v>
      </c>
      <c r="AA6475">
        <v>0.93240769999999995</v>
      </c>
      <c r="AB6475">
        <v>44</v>
      </c>
      <c r="AC6475">
        <v>10.4179999999999</v>
      </c>
      <c r="AD6475">
        <v>-1.0985828319040001</v>
      </c>
      <c r="AE6475">
        <v>23.283000000000001</v>
      </c>
      <c r="AF6475">
        <v>9.2908054673459102</v>
      </c>
      <c r="AG6475">
        <v>-1.0985828319040001</v>
      </c>
      <c r="AH6475">
        <v>23.704570821023601</v>
      </c>
      <c r="AI6475">
        <v>92.470716940029604</v>
      </c>
      <c r="AJ6475">
        <v>68.597725096250102</v>
      </c>
      <c r="AK6475">
        <v>25.483968063854299</v>
      </c>
    </row>
    <row r="6476" spans="1:37" x14ac:dyDescent="0.2">
      <c r="A6476" t="str">
        <f>"20200111153556601"</f>
        <v>20200111153556601</v>
      </c>
      <c r="B6476" t="str">
        <f>"1578728156592389"</f>
        <v>1578728156592389</v>
      </c>
      <c r="C6476" t="s">
        <v>37</v>
      </c>
      <c r="D6476">
        <v>5.0759660000000002</v>
      </c>
      <c r="E6476">
        <v>0.5938196</v>
      </c>
      <c r="F6476" t="s">
        <v>51</v>
      </c>
      <c r="G6476">
        <v>-177.37270000000001</v>
      </c>
      <c r="H6476" s="1">
        <v>-4.8645919999999998E-6</v>
      </c>
      <c r="I6476">
        <v>132.7679</v>
      </c>
      <c r="J6476">
        <v>-187.82050000000001</v>
      </c>
      <c r="K6476">
        <v>1.0981299999999901</v>
      </c>
      <c r="L6476">
        <v>109.7251</v>
      </c>
      <c r="M6476">
        <v>5.3815540000000002E-2</v>
      </c>
      <c r="N6476">
        <v>0</v>
      </c>
      <c r="O6476">
        <v>0.99840769999999901</v>
      </c>
      <c r="P6476">
        <v>0.1812551</v>
      </c>
      <c r="Q6476">
        <v>2.1544130000000002E-2</v>
      </c>
      <c r="R6476">
        <v>0.98320010000000002</v>
      </c>
      <c r="S6476">
        <v>1.2613829999999999</v>
      </c>
      <c r="T6476">
        <v>-0.13231570000000001</v>
      </c>
      <c r="U6476">
        <v>2.8265229999999999</v>
      </c>
      <c r="V6476">
        <v>0.12867590000000001</v>
      </c>
      <c r="W6476">
        <v>3.6234379999999997E-2</v>
      </c>
      <c r="X6476">
        <v>0.99102449999999997</v>
      </c>
      <c r="Y6476">
        <v>0.35740870000000002</v>
      </c>
      <c r="Z6476">
        <v>-4.307275E-2</v>
      </c>
      <c r="AA6476">
        <v>0.93295430000000001</v>
      </c>
      <c r="AB6476">
        <v>43</v>
      </c>
      <c r="AC6476">
        <v>10.447800000000001</v>
      </c>
      <c r="AD6476">
        <v>-1.0981348645919999</v>
      </c>
      <c r="AE6476">
        <v>23.0428</v>
      </c>
      <c r="AF6476">
        <v>9.1751331068061592</v>
      </c>
      <c r="AG6476">
        <v>-1.0981348645919999</v>
      </c>
      <c r="AH6476">
        <v>23.5274113939202</v>
      </c>
      <c r="AI6476">
        <v>92.489940913438105</v>
      </c>
      <c r="AJ6476">
        <v>68.695394475045703</v>
      </c>
      <c r="AK6476">
        <v>25.277026221595101</v>
      </c>
    </row>
    <row r="6477" spans="1:37" x14ac:dyDescent="0.2">
      <c r="A6477" t="str">
        <f>"20200111153556623"</f>
        <v>20200111153556623</v>
      </c>
      <c r="B6477" t="str">
        <f>"1578728156611910"</f>
        <v>1578728156611910</v>
      </c>
      <c r="C6477" t="s">
        <v>37</v>
      </c>
      <c r="D6477">
        <v>5.0503220000000004</v>
      </c>
      <c r="E6477">
        <v>0.59360829999999998</v>
      </c>
      <c r="F6477" t="s">
        <v>51</v>
      </c>
      <c r="G6477">
        <v>-177.33789999999999</v>
      </c>
      <c r="H6477" s="1">
        <v>-4.8770400000000003E-6</v>
      </c>
      <c r="I6477">
        <v>132.86340000000001</v>
      </c>
      <c r="J6477">
        <v>-187.79230000000001</v>
      </c>
      <c r="K6477">
        <v>1.0977049999999999</v>
      </c>
      <c r="L6477">
        <v>110.14870000000001</v>
      </c>
      <c r="M6477">
        <v>6.0776339999999998E-2</v>
      </c>
      <c r="N6477">
        <v>0</v>
      </c>
      <c r="O6477">
        <v>0.99800809999999995</v>
      </c>
      <c r="P6477">
        <v>0.18884310000000001</v>
      </c>
      <c r="Q6477">
        <v>2.0720010000000001E-2</v>
      </c>
      <c r="R6477">
        <v>0.98178869999999896</v>
      </c>
      <c r="S6477">
        <v>1.277023</v>
      </c>
      <c r="T6477">
        <v>-0.13377800000000001</v>
      </c>
      <c r="U6477">
        <v>2.8187709999999999</v>
      </c>
      <c r="V6477">
        <v>0.12944050000000001</v>
      </c>
      <c r="W6477">
        <v>3.5271789999999997E-2</v>
      </c>
      <c r="X6477">
        <v>0.99095959999999905</v>
      </c>
      <c r="Y6477">
        <v>0.35614580000000001</v>
      </c>
      <c r="Z6477">
        <v>-4.3593630000000001E-2</v>
      </c>
      <c r="AA6477">
        <v>0.93341299999999905</v>
      </c>
      <c r="AB6477">
        <v>43</v>
      </c>
      <c r="AC6477">
        <v>10.4544</v>
      </c>
      <c r="AD6477">
        <v>-1.09770987704</v>
      </c>
      <c r="AE6477">
        <v>22.714700000000001</v>
      </c>
      <c r="AF6477">
        <v>9.0369390106414507</v>
      </c>
      <c r="AG6477">
        <v>-1.09770987704</v>
      </c>
      <c r="AH6477">
        <v>23.263336465132699</v>
      </c>
      <c r="AI6477">
        <v>92.518482624402594</v>
      </c>
      <c r="AJ6477">
        <v>68.770707430702004</v>
      </c>
      <c r="AK6477">
        <v>24.981073979038101</v>
      </c>
    </row>
    <row r="6478" spans="1:37" x14ac:dyDescent="0.2">
      <c r="A6478" t="str">
        <f>"20200111153556646"</f>
        <v>20200111153556646</v>
      </c>
      <c r="B6478" t="str">
        <f>"1578728156642166"</f>
        <v>1578728156642166</v>
      </c>
      <c r="C6478" t="s">
        <v>37</v>
      </c>
      <c r="D6478">
        <v>5.0680529999999999</v>
      </c>
      <c r="E6478">
        <v>0.59355100000000005</v>
      </c>
      <c r="F6478" t="s">
        <v>51</v>
      </c>
      <c r="G6478">
        <v>-177.15719999999999</v>
      </c>
      <c r="H6478" s="1">
        <v>-4.8737139999999902E-6</v>
      </c>
      <c r="I6478">
        <v>133.17930000000001</v>
      </c>
      <c r="J6478">
        <v>-187.7593</v>
      </c>
      <c r="K6478">
        <v>1.0972679999999999</v>
      </c>
      <c r="L6478">
        <v>110.5947</v>
      </c>
      <c r="M6478">
        <v>6.8483249999999996E-2</v>
      </c>
      <c r="N6478">
        <v>0</v>
      </c>
      <c r="O6478">
        <v>0.99750869999999903</v>
      </c>
      <c r="P6478">
        <v>0.19701740000000001</v>
      </c>
      <c r="Q6478">
        <v>1.971469E-2</v>
      </c>
      <c r="R6478">
        <v>0.98020180000000001</v>
      </c>
      <c r="S6478">
        <v>1.297134</v>
      </c>
      <c r="T6478">
        <v>-0.1338847</v>
      </c>
      <c r="U6478">
        <v>2.8089750000000002</v>
      </c>
      <c r="V6478">
        <v>0.13006029999999999</v>
      </c>
      <c r="W6478">
        <v>3.4128550000000001E-2</v>
      </c>
      <c r="X6478">
        <v>0.99091849999999904</v>
      </c>
      <c r="Y6478">
        <v>0.35567389999999999</v>
      </c>
      <c r="Z6478">
        <v>-4.367501E-2</v>
      </c>
      <c r="AA6478">
        <v>0.93358909999999995</v>
      </c>
      <c r="AB6478">
        <v>43</v>
      </c>
      <c r="AC6478">
        <v>10.6021</v>
      </c>
      <c r="AD6478">
        <v>-1.0972728737140001</v>
      </c>
      <c r="AE6478">
        <v>22.584599999999998</v>
      </c>
      <c r="AF6478">
        <v>9.0128804540576102</v>
      </c>
      <c r="AG6478">
        <v>-1.0972728737140001</v>
      </c>
      <c r="AH6478">
        <v>23.2128331002496</v>
      </c>
      <c r="AI6478">
        <v>92.523114066460295</v>
      </c>
      <c r="AJ6478">
        <v>68.780230021310501</v>
      </c>
      <c r="AK6478">
        <v>24.9253213094348</v>
      </c>
    </row>
    <row r="6479" spans="1:37" x14ac:dyDescent="0.2">
      <c r="A6479" t="str">
        <f>"20200111153556668"</f>
        <v>20200111153556668</v>
      </c>
      <c r="B6479" t="str">
        <f>"1578728156661686"</f>
        <v>1578728156661686</v>
      </c>
      <c r="C6479" t="s">
        <v>37</v>
      </c>
      <c r="D6479">
        <v>5.0292490000000001</v>
      </c>
      <c r="E6479">
        <v>0.59357939999999998</v>
      </c>
      <c r="F6479" t="s">
        <v>51</v>
      </c>
      <c r="G6479">
        <v>-177.02080000000001</v>
      </c>
      <c r="H6479" s="1">
        <v>-4.846935E-6</v>
      </c>
      <c r="I6479">
        <v>133.35399999999899</v>
      </c>
      <c r="J6479">
        <v>-187.72389999999999</v>
      </c>
      <c r="K6479">
        <v>1.096849</v>
      </c>
      <c r="L6479">
        <v>111.0247</v>
      </c>
      <c r="M6479">
        <v>7.6292810000000003E-2</v>
      </c>
      <c r="N6479">
        <v>0</v>
      </c>
      <c r="O6479">
        <v>0.99694159999999898</v>
      </c>
      <c r="P6479">
        <v>0.204757299999999</v>
      </c>
      <c r="Q6479">
        <v>1.9144370000000001E-2</v>
      </c>
      <c r="R6479">
        <v>0.97862549999999904</v>
      </c>
      <c r="S6479">
        <v>1.32016</v>
      </c>
      <c r="T6479">
        <v>-0.13489499999999999</v>
      </c>
      <c r="U6479">
        <v>2.7979579999999999</v>
      </c>
      <c r="V6479">
        <v>0.13015299999999999</v>
      </c>
      <c r="W6479">
        <v>3.3438959999999997E-2</v>
      </c>
      <c r="X6479">
        <v>0.99092990000000003</v>
      </c>
      <c r="Y6479">
        <v>0.35605100000000001</v>
      </c>
      <c r="Z6479">
        <v>-4.404603E-2</v>
      </c>
      <c r="AA6479">
        <v>0.93342789999999998</v>
      </c>
      <c r="AB6479">
        <v>43</v>
      </c>
      <c r="AC6479">
        <v>10.7030999999999</v>
      </c>
      <c r="AD6479">
        <v>-1.096853846935</v>
      </c>
      <c r="AE6479">
        <v>22.3292999999999</v>
      </c>
      <c r="AF6479">
        <v>8.9505248506769401</v>
      </c>
      <c r="AG6479">
        <v>-1.096853846935</v>
      </c>
      <c r="AH6479">
        <v>23.0356892591196</v>
      </c>
      <c r="AI6479">
        <v>92.541282840562999</v>
      </c>
      <c r="AJ6479">
        <v>68.766345748257194</v>
      </c>
      <c r="AK6479">
        <v>24.737784118769401</v>
      </c>
    </row>
    <row r="6480" spans="1:37" x14ac:dyDescent="0.2">
      <c r="A6480" t="str">
        <f>"20200111153556690"</f>
        <v>20200111153556690</v>
      </c>
      <c r="B6480" t="str">
        <f>"1578728156682182"</f>
        <v>1578728156682182</v>
      </c>
      <c r="C6480" t="s">
        <v>37</v>
      </c>
      <c r="D6480">
        <v>4.9993369999999997</v>
      </c>
      <c r="E6480">
        <v>0.593786699999999</v>
      </c>
      <c r="F6480" t="s">
        <v>51</v>
      </c>
      <c r="G6480">
        <v>-176.7783</v>
      </c>
      <c r="H6480" s="1">
        <v>-4.8309179999999998E-6</v>
      </c>
      <c r="I6480">
        <v>133.74770000000001</v>
      </c>
      <c r="J6480">
        <v>-187.68360000000001</v>
      </c>
      <c r="K6480">
        <v>1.0964149999999999</v>
      </c>
      <c r="L6480">
        <v>111.4693</v>
      </c>
      <c r="M6480">
        <v>8.4781239999999994E-2</v>
      </c>
      <c r="N6480">
        <v>0</v>
      </c>
      <c r="O6480">
        <v>0.99625540000000001</v>
      </c>
      <c r="P6480">
        <v>0.21297389999999999</v>
      </c>
      <c r="Q6480">
        <v>1.9143460000000001E-2</v>
      </c>
      <c r="R6480">
        <v>0.97687029999999997</v>
      </c>
      <c r="S6480">
        <v>1.342606</v>
      </c>
      <c r="T6480">
        <v>-0.13454150000000001</v>
      </c>
      <c r="U6480">
        <v>2.7872309999999998</v>
      </c>
      <c r="V6480">
        <v>0.1300751</v>
      </c>
      <c r="W6480">
        <v>3.3321719999999999E-2</v>
      </c>
      <c r="X6480">
        <v>0.99094400000000005</v>
      </c>
      <c r="Y6480">
        <v>0.35560039999999998</v>
      </c>
      <c r="Z6480">
        <v>-4.3968399999999998E-2</v>
      </c>
      <c r="AA6480">
        <v>0.93360330000000002</v>
      </c>
      <c r="AB6480">
        <v>43</v>
      </c>
      <c r="AC6480">
        <v>10.9053</v>
      </c>
      <c r="AD6480">
        <v>-1.096419830918</v>
      </c>
      <c r="AE6480">
        <v>22.278400000000001</v>
      </c>
      <c r="AF6480">
        <v>8.9594575562237502</v>
      </c>
      <c r="AG6480">
        <v>-1.096419830918</v>
      </c>
      <c r="AH6480">
        <v>23.077771778783799</v>
      </c>
      <c r="AI6480">
        <v>92.535927161243606</v>
      </c>
      <c r="AJ6480">
        <v>68.782349647316806</v>
      </c>
      <c r="AK6480">
        <v>24.7801849553436</v>
      </c>
    </row>
    <row r="6481" spans="1:37" x14ac:dyDescent="0.2">
      <c r="A6481" t="str">
        <f>"20200111153556712"</f>
        <v>20200111153556712</v>
      </c>
      <c r="B6481" t="str">
        <f>"1578728156701702"</f>
        <v>1578728156701702</v>
      </c>
      <c r="C6481" t="s">
        <v>37</v>
      </c>
      <c r="D6481">
        <v>5.0277539999999998</v>
      </c>
      <c r="E6481">
        <v>0.59406719999999902</v>
      </c>
      <c r="F6481" t="s">
        <v>51</v>
      </c>
      <c r="G6481">
        <v>-176.5256</v>
      </c>
      <c r="H6481" s="1">
        <v>-4.7974759999999903E-6</v>
      </c>
      <c r="I6481">
        <v>134.11369999999999</v>
      </c>
      <c r="J6481">
        <v>-187.6438</v>
      </c>
      <c r="K6481">
        <v>1.0960159999999901</v>
      </c>
      <c r="L6481">
        <v>111.86960000000001</v>
      </c>
      <c r="M6481">
        <v>9.2800540000000001E-2</v>
      </c>
      <c r="N6481">
        <v>0</v>
      </c>
      <c r="O6481">
        <v>0.99554010000000004</v>
      </c>
      <c r="P6481">
        <v>0.22130250000000001</v>
      </c>
      <c r="Q6481">
        <v>2.0080520000000001E-2</v>
      </c>
      <c r="R6481">
        <v>0.97499849999999999</v>
      </c>
      <c r="S6481">
        <v>1.3676299999999999</v>
      </c>
      <c r="T6481">
        <v>-0.1343878</v>
      </c>
      <c r="U6481">
        <v>2.7755130000000001</v>
      </c>
      <c r="V6481">
        <v>0.1306061</v>
      </c>
      <c r="W6481">
        <v>3.4144269999999997E-2</v>
      </c>
      <c r="X6481">
        <v>0.99084619999999901</v>
      </c>
      <c r="Y6481">
        <v>0.35641309999999998</v>
      </c>
      <c r="Z6481">
        <v>-4.3947050000000001E-2</v>
      </c>
      <c r="AA6481">
        <v>0.93329439999999997</v>
      </c>
      <c r="AB6481">
        <v>43</v>
      </c>
      <c r="AC6481">
        <v>11.1182</v>
      </c>
      <c r="AD6481">
        <v>-1.0960207974759999</v>
      </c>
      <c r="AE6481">
        <v>22.2440999999999</v>
      </c>
      <c r="AF6481">
        <v>8.9881867829234299</v>
      </c>
      <c r="AG6481">
        <v>-1.0960207974759999</v>
      </c>
      <c r="AH6481">
        <v>23.135066748230699</v>
      </c>
      <c r="AI6481">
        <v>92.5284966352514</v>
      </c>
      <c r="AJ6481">
        <v>68.7683925535257</v>
      </c>
      <c r="AK6481">
        <v>24.843914278517101</v>
      </c>
    </row>
    <row r="6482" spans="1:37" x14ac:dyDescent="0.2">
      <c r="A6482" t="str">
        <f>"20200111153556734"</f>
        <v>20200111153556734</v>
      </c>
      <c r="B6482" t="str">
        <f>"1578728156722198"</f>
        <v>1578728156722198</v>
      </c>
      <c r="C6482" t="s">
        <v>37</v>
      </c>
      <c r="D6482">
        <v>5.04772</v>
      </c>
      <c r="E6482">
        <v>0.59443780000000002</v>
      </c>
      <c r="F6482" t="s">
        <v>51</v>
      </c>
      <c r="G6482">
        <v>-176.06659999999999</v>
      </c>
      <c r="H6482" s="1">
        <v>-4.7547429999999997E-6</v>
      </c>
      <c r="I6482">
        <v>134.8262</v>
      </c>
      <c r="J6482">
        <v>-187.59780000000001</v>
      </c>
      <c r="K6482">
        <v>1.0955820000000001</v>
      </c>
      <c r="L6482">
        <v>112.2945</v>
      </c>
      <c r="M6482">
        <v>0.1017092</v>
      </c>
      <c r="N6482">
        <v>0</v>
      </c>
      <c r="O6482">
        <v>0.99466889999999997</v>
      </c>
      <c r="P6482">
        <v>0.23025970000000001</v>
      </c>
      <c r="Q6482">
        <v>2.1002989999999999E-2</v>
      </c>
      <c r="R6482">
        <v>0.9729025</v>
      </c>
      <c r="S6482">
        <v>1.39357</v>
      </c>
      <c r="T6482">
        <v>-0.1319302</v>
      </c>
      <c r="U6482">
        <v>2.7633359999999998</v>
      </c>
      <c r="V6482">
        <v>0.13090650000000001</v>
      </c>
      <c r="W6482">
        <v>3.4953449999999997E-2</v>
      </c>
      <c r="X6482">
        <v>0.9907783</v>
      </c>
      <c r="Y6482">
        <v>0.3567052</v>
      </c>
      <c r="Z6482">
        <v>-4.3169020000000002E-2</v>
      </c>
      <c r="AA6482">
        <v>0.93321909999999897</v>
      </c>
      <c r="AB6482">
        <v>43</v>
      </c>
      <c r="AC6482">
        <v>11.5312</v>
      </c>
      <c r="AD6482">
        <v>-1.095586754743</v>
      </c>
      <c r="AE6482">
        <v>22.531700000000001</v>
      </c>
      <c r="AF6482">
        <v>9.1622051875099793</v>
      </c>
      <c r="AG6482">
        <v>-1.095586754743</v>
      </c>
      <c r="AH6482">
        <v>23.5437079412727</v>
      </c>
      <c r="AI6482">
        <v>92.483140100466798</v>
      </c>
      <c r="AJ6482">
        <v>68.736138479790299</v>
      </c>
      <c r="AK6482">
        <v>25.287398004918401</v>
      </c>
    </row>
    <row r="6483" spans="1:37" x14ac:dyDescent="0.2">
      <c r="A6483" t="str">
        <f>"20200111153556757"</f>
        <v>20200111153556757</v>
      </c>
      <c r="B6483" t="str">
        <f>"1578728156752454"</f>
        <v>1578728156752454</v>
      </c>
      <c r="C6483" t="s">
        <v>37</v>
      </c>
      <c r="D6483">
        <v>4.9914300000000003</v>
      </c>
      <c r="E6483">
        <v>0.59470639999999997</v>
      </c>
      <c r="F6483" t="s">
        <v>51</v>
      </c>
      <c r="G6483">
        <v>-175.46170000000001</v>
      </c>
      <c r="H6483" s="1">
        <v>-4.6968950000000004E-6</v>
      </c>
      <c r="I6483">
        <v>135.7612</v>
      </c>
      <c r="J6483">
        <v>-187.54560000000001</v>
      </c>
      <c r="K6483">
        <v>1.095135</v>
      </c>
      <c r="L6483">
        <v>112.7367</v>
      </c>
      <c r="M6483">
        <v>0.1114076</v>
      </c>
      <c r="N6483">
        <v>0</v>
      </c>
      <c r="O6483">
        <v>0.99362870000000003</v>
      </c>
      <c r="P6483">
        <v>0.23946629999999999</v>
      </c>
      <c r="Q6483">
        <v>2.1901009999999999E-2</v>
      </c>
      <c r="R6483">
        <v>0.97065759999999901</v>
      </c>
      <c r="S6483">
        <v>1.4220729999999999</v>
      </c>
      <c r="T6483">
        <v>-0.12837760000000001</v>
      </c>
      <c r="U6483">
        <v>2.7497560000000001</v>
      </c>
      <c r="V6483">
        <v>0.13068930000000001</v>
      </c>
      <c r="W6483">
        <v>3.5751659999999998E-2</v>
      </c>
      <c r="X6483">
        <v>0.99077859999999995</v>
      </c>
      <c r="Y6483">
        <v>0.35713080000000003</v>
      </c>
      <c r="Z6483">
        <v>-4.2028969999999999E-2</v>
      </c>
      <c r="AA6483">
        <v>0.9331083</v>
      </c>
      <c r="AB6483">
        <v>43</v>
      </c>
      <c r="AC6483">
        <v>12.0839</v>
      </c>
      <c r="AD6483">
        <v>-1.095139696895</v>
      </c>
      <c r="AE6483">
        <v>23.0245</v>
      </c>
      <c r="AF6483">
        <v>9.4264562313201594</v>
      </c>
      <c r="AG6483">
        <v>-1.095139696895</v>
      </c>
      <c r="AH6483">
        <v>24.1846618214202</v>
      </c>
      <c r="AI6483">
        <v>92.415924491494806</v>
      </c>
      <c r="AJ6483">
        <v>68.705654321303399</v>
      </c>
      <c r="AK6483">
        <v>25.979901374970101</v>
      </c>
    </row>
    <row r="6484" spans="1:37" x14ac:dyDescent="0.2">
      <c r="A6484" t="str">
        <f>"20200111153556780"</f>
        <v>20200111153556780</v>
      </c>
      <c r="B6484" t="str">
        <f>"1578728156771973"</f>
        <v>1578728156771973</v>
      </c>
      <c r="C6484" t="s">
        <v>37</v>
      </c>
      <c r="D6484">
        <v>5.0111650000000001</v>
      </c>
      <c r="E6484">
        <v>0.59497180000000005</v>
      </c>
      <c r="F6484" t="s">
        <v>51</v>
      </c>
      <c r="G6484">
        <v>-174.7456</v>
      </c>
      <c r="H6484" s="1">
        <v>-4.6821789999999999E-6</v>
      </c>
      <c r="I6484">
        <v>136.87620000000001</v>
      </c>
      <c r="J6484">
        <v>-187.4898</v>
      </c>
      <c r="K6484">
        <v>1.094708</v>
      </c>
      <c r="L6484">
        <v>113.1705</v>
      </c>
      <c r="M6484">
        <v>0.1213687</v>
      </c>
      <c r="N6484">
        <v>0</v>
      </c>
      <c r="O6484">
        <v>0.99246049999999997</v>
      </c>
      <c r="P6484">
        <v>0.24882119999999999</v>
      </c>
      <c r="Q6484">
        <v>2.269152E-2</v>
      </c>
      <c r="R6484">
        <v>0.96828359999999902</v>
      </c>
      <c r="S6484">
        <v>1.450577</v>
      </c>
      <c r="T6484">
        <v>-0.12410739999999899</v>
      </c>
      <c r="U6484">
        <v>2.7356259999999999</v>
      </c>
      <c r="V6484">
        <v>0.13037099999999999</v>
      </c>
      <c r="W6484">
        <v>3.6455010000000003E-2</v>
      </c>
      <c r="X6484">
        <v>0.99079479999999998</v>
      </c>
      <c r="Y6484">
        <v>0.3573752</v>
      </c>
      <c r="Z6484">
        <v>-4.0651599999999899E-2</v>
      </c>
      <c r="AA6484">
        <v>0.93307580000000001</v>
      </c>
      <c r="AB6484">
        <v>43</v>
      </c>
      <c r="AC6484">
        <v>12.744199999999999</v>
      </c>
      <c r="AD6484">
        <v>-1.0947126821790001</v>
      </c>
      <c r="AE6484">
        <v>23.7057</v>
      </c>
      <c r="AF6484">
        <v>9.7562703444419103</v>
      </c>
      <c r="AG6484">
        <v>-1.0947126821790001</v>
      </c>
      <c r="AH6484">
        <v>25.0359577032599</v>
      </c>
      <c r="AI6484">
        <v>92.333022252095802</v>
      </c>
      <c r="AJ6484">
        <v>68.709618927760602</v>
      </c>
      <c r="AK6484">
        <v>26.892050591388099</v>
      </c>
    </row>
    <row r="6485" spans="1:37" x14ac:dyDescent="0.2">
      <c r="A6485" t="str">
        <f>"20200111153556801"</f>
        <v>20200111153556801</v>
      </c>
      <c r="B6485" t="str">
        <f>"1578728156792469"</f>
        <v>1578728156792469</v>
      </c>
      <c r="C6485" t="s">
        <v>37</v>
      </c>
      <c r="D6485">
        <v>5.0335159999999997</v>
      </c>
      <c r="E6485">
        <v>0.5951573</v>
      </c>
      <c r="F6485" t="s">
        <v>51</v>
      </c>
      <c r="G6485">
        <v>-174.15599999999901</v>
      </c>
      <c r="H6485" s="1">
        <v>-4.7325519999999997E-6</v>
      </c>
      <c r="I6485">
        <v>137.6979</v>
      </c>
      <c r="J6485">
        <v>-187.4325</v>
      </c>
      <c r="K6485">
        <v>1.094319</v>
      </c>
      <c r="L6485">
        <v>113.58159999999999</v>
      </c>
      <c r="M6485">
        <v>0.13119990000000001</v>
      </c>
      <c r="N6485">
        <v>0</v>
      </c>
      <c r="O6485">
        <v>0.99120810000000004</v>
      </c>
      <c r="P6485">
        <v>0.25823279999999998</v>
      </c>
      <c r="Q6485">
        <v>2.3452290000000001E-2</v>
      </c>
      <c r="R6485">
        <v>0.96579799999999905</v>
      </c>
      <c r="S6485">
        <v>1.4792179999999999</v>
      </c>
      <c r="T6485">
        <v>-0.1214441</v>
      </c>
      <c r="U6485">
        <v>2.720993</v>
      </c>
      <c r="V6485">
        <v>0.13025039999999999</v>
      </c>
      <c r="W6485">
        <v>3.7136420000000003E-2</v>
      </c>
      <c r="X6485">
        <v>0.99078539999999904</v>
      </c>
      <c r="Y6485">
        <v>0.35782409999999998</v>
      </c>
      <c r="Z6485">
        <v>-3.9795659999999997E-2</v>
      </c>
      <c r="AA6485">
        <v>0.93294059999999901</v>
      </c>
      <c r="AB6485">
        <v>43</v>
      </c>
      <c r="AC6485">
        <v>13.2765</v>
      </c>
      <c r="AD6485">
        <v>-1.0943237325520001</v>
      </c>
      <c r="AE6485">
        <v>24.116299999999999</v>
      </c>
      <c r="AF6485">
        <v>9.9814110740925202</v>
      </c>
      <c r="AG6485">
        <v>-1.0943237325520001</v>
      </c>
      <c r="AH6485">
        <v>25.6094394131438</v>
      </c>
      <c r="AI6485">
        <v>92.279974338893595</v>
      </c>
      <c r="AJ6485">
        <v>68.706393835918504</v>
      </c>
      <c r="AK6485">
        <v>27.5076261883342</v>
      </c>
    </row>
    <row r="6486" spans="1:37" x14ac:dyDescent="0.2">
      <c r="A6486" t="str">
        <f>"20200111153556824"</f>
        <v>20200111153556824</v>
      </c>
      <c r="B6486" t="str">
        <f>"1578728156811989"</f>
        <v>1578728156811989</v>
      </c>
      <c r="C6486" t="s">
        <v>37</v>
      </c>
      <c r="D6486">
        <v>5.0045039999999998</v>
      </c>
      <c r="E6486">
        <v>0.59526829999999997</v>
      </c>
      <c r="F6486" t="s">
        <v>51</v>
      </c>
      <c r="G6486">
        <v>-173.57259999999999</v>
      </c>
      <c r="H6486" s="1">
        <v>-4.7669540000000003E-6</v>
      </c>
      <c r="I6486">
        <v>138.47030000000001</v>
      </c>
      <c r="J6486">
        <v>-187.36789999999999</v>
      </c>
      <c r="K6486">
        <v>1.093933</v>
      </c>
      <c r="L6486">
        <v>114.01139999999999</v>
      </c>
      <c r="M6486">
        <v>0.1418306</v>
      </c>
      <c r="N6486">
        <v>0</v>
      </c>
      <c r="O6486">
        <v>0.98974209999999996</v>
      </c>
      <c r="P6486">
        <v>0.26864939999999998</v>
      </c>
      <c r="Q6486">
        <v>2.3890290000000002E-2</v>
      </c>
      <c r="R6486">
        <v>0.96294169999999901</v>
      </c>
      <c r="S6486">
        <v>1.507004</v>
      </c>
      <c r="T6486">
        <v>-0.1189873</v>
      </c>
      <c r="U6486">
        <v>2.7061769999999998</v>
      </c>
      <c r="V6486">
        <v>0.13036739999999999</v>
      </c>
      <c r="W6486">
        <v>3.7494279999999998E-2</v>
      </c>
      <c r="X6486">
        <v>0.99075650000000004</v>
      </c>
      <c r="Y6486">
        <v>0.35730259999999903</v>
      </c>
      <c r="Z6486">
        <v>-3.9004329999999997E-2</v>
      </c>
      <c r="AA6486">
        <v>0.9331739</v>
      </c>
      <c r="AB6486">
        <v>43</v>
      </c>
      <c r="AC6486">
        <v>13.7952999999999</v>
      </c>
      <c r="AD6486">
        <v>-1.093937766954</v>
      </c>
      <c r="AE6486">
        <v>24.4589</v>
      </c>
      <c r="AF6486">
        <v>10.1708343165262</v>
      </c>
      <c r="AG6486">
        <v>-1.093937766954</v>
      </c>
      <c r="AH6486">
        <v>26.128801316895998</v>
      </c>
      <c r="AI6486">
        <v>92.234289910276303</v>
      </c>
      <c r="AJ6486">
        <v>68.731146733052498</v>
      </c>
      <c r="AK6486">
        <v>28.059879343825099</v>
      </c>
    </row>
    <row r="6487" spans="1:37" x14ac:dyDescent="0.2">
      <c r="A6487" t="str">
        <f>"20200111153556847"</f>
        <v>20200111153556847</v>
      </c>
      <c r="B6487" t="str">
        <f>"1578728156842246"</f>
        <v>1578728156842246</v>
      </c>
      <c r="C6487" t="s">
        <v>37</v>
      </c>
      <c r="D6487">
        <v>5.0255710000000002</v>
      </c>
      <c r="E6487">
        <v>0.59552519999999998</v>
      </c>
      <c r="F6487" t="s">
        <v>51</v>
      </c>
      <c r="G6487">
        <v>-173.15260000000001</v>
      </c>
      <c r="H6487" s="1">
        <v>-4.73991E-6</v>
      </c>
      <c r="I6487">
        <v>138.88990000000001</v>
      </c>
      <c r="J6487">
        <v>-187.29990000000001</v>
      </c>
      <c r="K6487">
        <v>1.093593</v>
      </c>
      <c r="L6487">
        <v>114.4333</v>
      </c>
      <c r="M6487">
        <v>0.1525878</v>
      </c>
      <c r="N6487">
        <v>0</v>
      </c>
      <c r="O6487">
        <v>0.98814000000000002</v>
      </c>
      <c r="P6487">
        <v>0.27932030000000002</v>
      </c>
      <c r="Q6487">
        <v>2.43440999999999E-2</v>
      </c>
      <c r="R6487">
        <v>0.9598894</v>
      </c>
      <c r="S6487">
        <v>1.536835</v>
      </c>
      <c r="T6487">
        <v>-0.118266699999999</v>
      </c>
      <c r="U6487">
        <v>2.6896360000000001</v>
      </c>
      <c r="V6487">
        <v>0.13063430000000001</v>
      </c>
      <c r="W6487">
        <v>3.7871670000000003E-2</v>
      </c>
      <c r="X6487">
        <v>0.990707</v>
      </c>
      <c r="Y6487">
        <v>0.35742420000000003</v>
      </c>
      <c r="Z6487">
        <v>-3.8780530000000001E-2</v>
      </c>
      <c r="AA6487">
        <v>0.93313659999999998</v>
      </c>
      <c r="AB6487">
        <v>42</v>
      </c>
      <c r="AC6487">
        <v>14.1473</v>
      </c>
      <c r="AD6487">
        <v>-1.0935977399100001</v>
      </c>
      <c r="AE6487">
        <v>24.456600000000002</v>
      </c>
      <c r="AF6487">
        <v>10.233920512631901</v>
      </c>
      <c r="AG6487">
        <v>-1.0935977399100001</v>
      </c>
      <c r="AH6487">
        <v>26.2897642499974</v>
      </c>
      <c r="AI6487">
        <v>92.219922071313604</v>
      </c>
      <c r="AJ6487">
        <v>68.730332622093599</v>
      </c>
      <c r="AK6487">
        <v>28.232619244342999</v>
      </c>
    </row>
    <row r="6488" spans="1:37" x14ac:dyDescent="0.2">
      <c r="A6488" t="str">
        <f>"20200111153556860"</f>
        <v>20200111153556860</v>
      </c>
      <c r="B6488" t="str">
        <f>"1578728156852006"</f>
        <v>1578728156852006</v>
      </c>
      <c r="C6488" t="s">
        <v>37</v>
      </c>
      <c r="D6488">
        <v>5.0359959999999999</v>
      </c>
      <c r="E6488">
        <v>0.59562299999999901</v>
      </c>
      <c r="F6488" t="s">
        <v>51</v>
      </c>
      <c r="G6488">
        <v>-172.7638</v>
      </c>
      <c r="H6488" s="1">
        <v>-4.6814569999999999E-6</v>
      </c>
      <c r="I6488">
        <v>139.1902</v>
      </c>
      <c r="J6488">
        <v>-187.25380000000001</v>
      </c>
      <c r="K6488">
        <v>1.093383</v>
      </c>
      <c r="L6488">
        <v>114.7051</v>
      </c>
      <c r="M6488">
        <v>0.15966150000000001</v>
      </c>
      <c r="N6488">
        <v>0</v>
      </c>
      <c r="O6488">
        <v>0.98702140000000005</v>
      </c>
      <c r="P6488">
        <v>0.28633249999999999</v>
      </c>
      <c r="Q6488">
        <v>2.447206E-2</v>
      </c>
      <c r="R6488">
        <v>0.95781769999999999</v>
      </c>
      <c r="S6488">
        <v>1.5687709999999999</v>
      </c>
      <c r="T6488">
        <v>-0.1180238</v>
      </c>
      <c r="U6488">
        <v>2.6718289999999998</v>
      </c>
      <c r="V6488">
        <v>0.13080799999999901</v>
      </c>
      <c r="W6488">
        <v>3.7951239999999997E-2</v>
      </c>
      <c r="X6488">
        <v>0.99068109999999998</v>
      </c>
      <c r="Y6488">
        <v>0.36174519999999999</v>
      </c>
      <c r="Z6488">
        <v>-3.8715319999999998E-2</v>
      </c>
      <c r="AA6488">
        <v>0.93147279999999999</v>
      </c>
      <c r="AB6488">
        <v>42</v>
      </c>
      <c r="AC6488">
        <v>14.49</v>
      </c>
      <c r="AD6488">
        <v>-1.0933876814569901</v>
      </c>
      <c r="AE6488">
        <v>24.485099999999999</v>
      </c>
      <c r="AF6488">
        <v>10.3788275647482</v>
      </c>
      <c r="AG6488">
        <v>-1.0933876814569901</v>
      </c>
      <c r="AH6488">
        <v>26.4456887509795</v>
      </c>
      <c r="AI6488">
        <v>92.204044292614796</v>
      </c>
      <c r="AJ6488">
        <v>68.572067685020102</v>
      </c>
      <c r="AK6488">
        <v>28.430441638399198</v>
      </c>
    </row>
    <row r="6489" spans="1:37" x14ac:dyDescent="0.2">
      <c r="A6489" t="str">
        <f>"20200111153556873"</f>
        <v>20200111153556873</v>
      </c>
      <c r="B6489" t="str">
        <f>"1578728156861766"</f>
        <v>1578728156861766</v>
      </c>
      <c r="C6489" t="s">
        <v>37</v>
      </c>
      <c r="D6489">
        <v>5.03965</v>
      </c>
      <c r="E6489">
        <v>0.59568049999999995</v>
      </c>
      <c r="F6489" t="s">
        <v>51</v>
      </c>
      <c r="G6489">
        <v>-172.5222</v>
      </c>
      <c r="H6489" s="1">
        <v>-4.6418699999999898E-6</v>
      </c>
      <c r="I6489">
        <v>139.3682</v>
      </c>
      <c r="J6489">
        <v>-187.2116</v>
      </c>
      <c r="K6489">
        <v>1.09321</v>
      </c>
      <c r="L6489">
        <v>114.9415</v>
      </c>
      <c r="M6489">
        <v>0.1659371</v>
      </c>
      <c r="N6489">
        <v>0</v>
      </c>
      <c r="O6489">
        <v>0.98598539999999901</v>
      </c>
      <c r="P6489">
        <v>0.29267090000000001</v>
      </c>
      <c r="Q6489">
        <v>2.4757649999999999E-2</v>
      </c>
      <c r="R6489">
        <v>0.95589269999999904</v>
      </c>
      <c r="S6489">
        <v>1.5889279999999999</v>
      </c>
      <c r="T6489">
        <v>-0.11793149999999999</v>
      </c>
      <c r="U6489">
        <v>2.660126</v>
      </c>
      <c r="V6489">
        <v>0.13109460000000001</v>
      </c>
      <c r="W6489">
        <v>3.8189960000000002E-2</v>
      </c>
      <c r="X6489">
        <v>0.99063400000000001</v>
      </c>
      <c r="Y6489">
        <v>0.36282229999999999</v>
      </c>
      <c r="Z6489">
        <v>-3.8691730000000001E-2</v>
      </c>
      <c r="AA6489">
        <v>0.93105469999999901</v>
      </c>
      <c r="AB6489">
        <v>42</v>
      </c>
      <c r="AC6489">
        <v>14.689399999999999</v>
      </c>
      <c r="AD6489">
        <v>-1.0932146418699999</v>
      </c>
      <c r="AE6489">
        <v>24.4267</v>
      </c>
      <c r="AF6489">
        <v>10.416468076610601</v>
      </c>
      <c r="AG6489">
        <v>-1.0932146418699999</v>
      </c>
      <c r="AH6489">
        <v>26.486871566002499</v>
      </c>
      <c r="AI6489">
        <v>92.199666262407504</v>
      </c>
      <c r="AJ6489">
        <v>68.531819072565497</v>
      </c>
      <c r="AK6489">
        <v>28.4824909514277</v>
      </c>
    </row>
    <row r="6490" spans="1:37" x14ac:dyDescent="0.2">
      <c r="A6490" t="str">
        <f>"20200111153556887"</f>
        <v>20200111153556887</v>
      </c>
      <c r="B6490" t="str">
        <f>"1578728156882262"</f>
        <v>1578728156882262</v>
      </c>
      <c r="C6490" t="s">
        <v>37</v>
      </c>
      <c r="D6490">
        <v>5.0412220000000003</v>
      </c>
      <c r="E6490">
        <v>0.59574130000000003</v>
      </c>
      <c r="F6490" t="s">
        <v>51</v>
      </c>
      <c r="G6490">
        <v>-172.3152</v>
      </c>
      <c r="H6490" s="1">
        <v>-4.6009079999999997E-6</v>
      </c>
      <c r="I6490">
        <v>139.50210000000001</v>
      </c>
      <c r="J6490">
        <v>-187.16730000000001</v>
      </c>
      <c r="K6490">
        <v>1.0930439999999999</v>
      </c>
      <c r="L6490">
        <v>115.18170000000001</v>
      </c>
      <c r="M6490">
        <v>0.1723963</v>
      </c>
      <c r="N6490">
        <v>0</v>
      </c>
      <c r="O6490">
        <v>0.98487630000000004</v>
      </c>
      <c r="P6490">
        <v>0.29898459999999899</v>
      </c>
      <c r="Q6490">
        <v>2.5107520000000001E-2</v>
      </c>
      <c r="R6490">
        <v>0.95392759999999999</v>
      </c>
      <c r="S6490">
        <v>1.606949</v>
      </c>
      <c r="T6490">
        <v>-0.1179303</v>
      </c>
      <c r="U6490">
        <v>2.6494749999999998</v>
      </c>
      <c r="V6490">
        <v>0.1311793</v>
      </c>
      <c r="W6490">
        <v>3.849491E-2</v>
      </c>
      <c r="X6490">
        <v>0.99061100000000002</v>
      </c>
      <c r="Y6490">
        <v>0.3630044</v>
      </c>
      <c r="Z6490">
        <v>-3.8693900000000003E-2</v>
      </c>
      <c r="AA6490">
        <v>0.93098369999999997</v>
      </c>
      <c r="AB6490">
        <v>42</v>
      </c>
      <c r="AC6490">
        <v>14.8521</v>
      </c>
      <c r="AD6490">
        <v>-1.093048600908</v>
      </c>
      <c r="AE6490">
        <v>24.320399999999999</v>
      </c>
      <c r="AF6490">
        <v>10.420958570729599</v>
      </c>
      <c r="AG6490">
        <v>-1.093048600908</v>
      </c>
      <c r="AH6490">
        <v>26.478030621323001</v>
      </c>
      <c r="AI6490">
        <v>92.199840822001605</v>
      </c>
      <c r="AJ6490">
        <v>68.516889314195794</v>
      </c>
      <c r="AK6490">
        <v>28.475906278124501</v>
      </c>
    </row>
    <row r="6491" spans="1:37" x14ac:dyDescent="0.2">
      <c r="A6491" t="str">
        <f>"20200111153556903"</f>
        <v>20200111153556903</v>
      </c>
      <c r="B6491" t="str">
        <f>"1578728156892022"</f>
        <v>1578728156892022</v>
      </c>
      <c r="C6491" t="s">
        <v>37</v>
      </c>
      <c r="D6491">
        <v>5.0331260000000002</v>
      </c>
      <c r="E6491">
        <v>0.59575749999999905</v>
      </c>
      <c r="F6491" t="s">
        <v>51</v>
      </c>
      <c r="G6491">
        <v>-172.1892</v>
      </c>
      <c r="H6491" s="1">
        <v>-4.5460969999999997E-6</v>
      </c>
      <c r="I6491">
        <v>139.50489999999999</v>
      </c>
      <c r="J6491">
        <v>-187.10890000000001</v>
      </c>
      <c r="K6491">
        <v>1.092846</v>
      </c>
      <c r="L6491">
        <v>115.4866</v>
      </c>
      <c r="M6491">
        <v>0.18070049999999999</v>
      </c>
      <c r="N6491">
        <v>0</v>
      </c>
      <c r="O6491">
        <v>0.98338649999999905</v>
      </c>
      <c r="P6491">
        <v>0.30737039999999999</v>
      </c>
      <c r="Q6491">
        <v>2.690327E-2</v>
      </c>
      <c r="R6491">
        <v>0.95120949999999904</v>
      </c>
      <c r="S6491">
        <v>1.624908</v>
      </c>
      <c r="T6491">
        <v>-0.1185799</v>
      </c>
      <c r="U6491">
        <v>2.6387179999999999</v>
      </c>
      <c r="V6491">
        <v>0.13162199999999999</v>
      </c>
      <c r="W6491">
        <v>4.0216389999999998E-2</v>
      </c>
      <c r="X6491">
        <v>0.99048389999999997</v>
      </c>
      <c r="Y6491">
        <v>0.36142729999999901</v>
      </c>
      <c r="Z6491">
        <v>-3.8901129999999999E-2</v>
      </c>
      <c r="AA6491">
        <v>0.93158839999999998</v>
      </c>
      <c r="AB6491">
        <v>42</v>
      </c>
      <c r="AC6491">
        <v>14.919700000000001</v>
      </c>
      <c r="AD6491">
        <v>-1.0928505460969999</v>
      </c>
      <c r="AE6491">
        <v>24.0183</v>
      </c>
      <c r="AF6491">
        <v>10.317840546378401</v>
      </c>
      <c r="AG6491">
        <v>-1.0928505460969999</v>
      </c>
      <c r="AH6491">
        <v>26.2799362003068</v>
      </c>
      <c r="AI6491">
        <v>92.2167268092889</v>
      </c>
      <c r="AJ6491">
        <v>68.564390409878499</v>
      </c>
      <c r="AK6491">
        <v>28.253976756357599</v>
      </c>
    </row>
    <row r="6492" spans="1:37" x14ac:dyDescent="0.2">
      <c r="A6492" t="str">
        <f>"20200111153556917"</f>
        <v>20200111153556917</v>
      </c>
      <c r="B6492" t="str">
        <f>"1578728156912518"</f>
        <v>1578728156912518</v>
      </c>
      <c r="C6492" t="s">
        <v>37</v>
      </c>
      <c r="D6492">
        <v>5.0355860000000003</v>
      </c>
      <c r="E6492">
        <v>0.59586130000000004</v>
      </c>
      <c r="F6492" t="s">
        <v>51</v>
      </c>
      <c r="G6492">
        <v>-171.3509</v>
      </c>
      <c r="H6492" s="1">
        <v>-4.5268179999999997E-6</v>
      </c>
      <c r="I6492">
        <v>140.57490000000001</v>
      </c>
      <c r="J6492">
        <v>-187.05529999999999</v>
      </c>
      <c r="K6492">
        <v>1.0926670000000001</v>
      </c>
      <c r="L6492">
        <v>115.7556</v>
      </c>
      <c r="M6492">
        <v>0.18813150000000001</v>
      </c>
      <c r="N6492">
        <v>0</v>
      </c>
      <c r="O6492">
        <v>0.98199210000000003</v>
      </c>
      <c r="P6492">
        <v>0.31513029999999997</v>
      </c>
      <c r="Q6492">
        <v>2.7638179999999998E-2</v>
      </c>
      <c r="R6492">
        <v>0.94864590000000004</v>
      </c>
      <c r="S6492">
        <v>1.6484220000000001</v>
      </c>
      <c r="T6492">
        <v>-0.1143212</v>
      </c>
      <c r="U6492">
        <v>2.6244509999999899</v>
      </c>
      <c r="V6492">
        <v>0.13226579999999999</v>
      </c>
      <c r="W6492">
        <v>4.0867689999999998E-2</v>
      </c>
      <c r="X6492">
        <v>0.99037149999999996</v>
      </c>
      <c r="Y6492">
        <v>0.36267300000000002</v>
      </c>
      <c r="Z6492">
        <v>-3.7506919999999999E-2</v>
      </c>
      <c r="AA6492">
        <v>0.93116139999999903</v>
      </c>
      <c r="AB6492">
        <v>42</v>
      </c>
      <c r="AC6492">
        <v>15.7043999999999</v>
      </c>
      <c r="AD6492">
        <v>-1.0926715268179901</v>
      </c>
      <c r="AE6492">
        <v>24.819299999999998</v>
      </c>
      <c r="AF6492">
        <v>10.739043795441001</v>
      </c>
      <c r="AG6492">
        <v>-1.0926715268179901</v>
      </c>
      <c r="AH6492">
        <v>27.2931466926022</v>
      </c>
      <c r="AI6492">
        <v>92.133540578745496</v>
      </c>
      <c r="AJ6492">
        <v>68.521833682049007</v>
      </c>
      <c r="AK6492">
        <v>29.350244446849501</v>
      </c>
    </row>
    <row r="6493" spans="1:37" x14ac:dyDescent="0.2">
      <c r="A6493" t="str">
        <f>"20200111153556930"</f>
        <v>20200111153556930</v>
      </c>
      <c r="B6493" t="str">
        <f>"1578728156922278"</f>
        <v>1578728156922278</v>
      </c>
      <c r="C6493" t="s">
        <v>37</v>
      </c>
      <c r="D6493">
        <v>5.0373760000000001</v>
      </c>
      <c r="E6493">
        <v>0.59586130000000004</v>
      </c>
      <c r="F6493" t="s">
        <v>51</v>
      </c>
      <c r="G6493">
        <v>-171.1482</v>
      </c>
      <c r="H6493" s="1">
        <v>-4.4503569999999996E-6</v>
      </c>
      <c r="I6493">
        <v>140.6164</v>
      </c>
      <c r="J6493">
        <v>-187.00470000000001</v>
      </c>
      <c r="K6493">
        <v>1.0925149999999999</v>
      </c>
      <c r="L6493">
        <v>115.99720000000001</v>
      </c>
      <c r="M6493">
        <v>0.19490660000000001</v>
      </c>
      <c r="N6493">
        <v>0</v>
      </c>
      <c r="O6493">
        <v>0.98067039999999905</v>
      </c>
      <c r="P6493">
        <v>0.32241329999999901</v>
      </c>
      <c r="Q6493">
        <v>2.827093E-2</v>
      </c>
      <c r="R6493">
        <v>0.94617669999999998</v>
      </c>
      <c r="S6493">
        <v>1.67051699999999</v>
      </c>
      <c r="T6493">
        <v>-0.11474959999999999</v>
      </c>
      <c r="U6493">
        <v>2.6108250000000002</v>
      </c>
      <c r="V6493">
        <v>0.1330779</v>
      </c>
      <c r="W6493">
        <v>4.1394149999999998E-2</v>
      </c>
      <c r="X6493">
        <v>0.99024080000000003</v>
      </c>
      <c r="Y6493">
        <v>0.364035</v>
      </c>
      <c r="Z6493">
        <v>-3.7647010000000002E-2</v>
      </c>
      <c r="AA6493">
        <v>0.93062409999999995</v>
      </c>
      <c r="AB6493">
        <v>42</v>
      </c>
      <c r="AC6493">
        <v>15.8565</v>
      </c>
      <c r="AD6493">
        <v>-1.0925194503569999</v>
      </c>
      <c r="AE6493">
        <v>24.6191999999999</v>
      </c>
      <c r="AF6493">
        <v>10.7382060251682</v>
      </c>
      <c r="AG6493">
        <v>-1.0925194503569999</v>
      </c>
      <c r="AH6493">
        <v>27.200042456203999</v>
      </c>
      <c r="AI6493">
        <v>92.139579228203104</v>
      </c>
      <c r="AJ6493">
        <v>68.456568942813703</v>
      </c>
      <c r="AK6493">
        <v>29.2633726184742</v>
      </c>
    </row>
    <row r="6494" spans="1:37" x14ac:dyDescent="0.2">
      <c r="A6494" t="str">
        <f>"20200111153556942"</f>
        <v>20200111153556942</v>
      </c>
      <c r="B6494" t="str">
        <f>"1578728156932038"</f>
        <v>1578728156932038</v>
      </c>
      <c r="C6494" t="s">
        <v>37</v>
      </c>
      <c r="D6494">
        <v>4.9945839999999997</v>
      </c>
      <c r="E6494">
        <v>0.60556319999999997</v>
      </c>
      <c r="F6494" t="s">
        <v>51</v>
      </c>
      <c r="G6494">
        <v>-170.71270000000001</v>
      </c>
      <c r="H6494" s="1">
        <v>-4.393587E-6</v>
      </c>
      <c r="I6494">
        <v>141.0378</v>
      </c>
      <c r="J6494">
        <v>-186.95320000000001</v>
      </c>
      <c r="K6494">
        <v>1.092363</v>
      </c>
      <c r="L6494">
        <v>116.2376</v>
      </c>
      <c r="M6494">
        <v>0.20169019999999999</v>
      </c>
      <c r="N6494">
        <v>0</v>
      </c>
      <c r="O6494">
        <v>0.97929849999999996</v>
      </c>
      <c r="P6494">
        <v>0.32955780000000001</v>
      </c>
      <c r="Q6494">
        <v>2.8760770000000001E-2</v>
      </c>
      <c r="R6494">
        <v>0.94369720000000001</v>
      </c>
      <c r="S6494">
        <v>1.690353</v>
      </c>
      <c r="T6494">
        <v>-0.1133527</v>
      </c>
      <c r="U6494">
        <v>2.59805299999999</v>
      </c>
      <c r="V6494">
        <v>0.1337409</v>
      </c>
      <c r="W6494">
        <v>4.1771950000000002E-2</v>
      </c>
      <c r="X6494">
        <v>0.9901356</v>
      </c>
      <c r="Y6494">
        <v>0.36468149999999999</v>
      </c>
      <c r="Z6494">
        <v>-3.7188300000000001E-2</v>
      </c>
      <c r="AA6494">
        <v>0.93038940000000003</v>
      </c>
      <c r="AB6494">
        <v>42</v>
      </c>
      <c r="AC6494">
        <v>16.240499999999901</v>
      </c>
      <c r="AD6494">
        <v>-1.092367393587</v>
      </c>
      <c r="AE6494">
        <v>24.8002</v>
      </c>
      <c r="AF6494">
        <v>10.8891655888572</v>
      </c>
      <c r="AG6494">
        <v>-1.092367393587</v>
      </c>
      <c r="AH6494">
        <v>27.529041973868601</v>
      </c>
      <c r="AI6494">
        <v>92.113185984570293</v>
      </c>
      <c r="AJ6494">
        <v>68.418630241078205</v>
      </c>
      <c r="AK6494">
        <v>29.624573342803501</v>
      </c>
    </row>
    <row r="6495" spans="1:37" x14ac:dyDescent="0.2">
      <c r="A6495" t="str">
        <f>"20200111153556959"</f>
        <v>20200111153556959</v>
      </c>
      <c r="B6495" t="str">
        <f>"1578728156952534"</f>
        <v>1578728156952534</v>
      </c>
      <c r="C6495" t="s">
        <v>37</v>
      </c>
      <c r="D6495">
        <v>4.9906430000000004</v>
      </c>
      <c r="E6495">
        <v>0.60564869999999904</v>
      </c>
      <c r="F6495" t="s">
        <v>51</v>
      </c>
      <c r="G6495">
        <v>-174.3049</v>
      </c>
      <c r="H6495" s="1">
        <v>-3.5505390000000002E-6</v>
      </c>
      <c r="I6495">
        <v>134.4091</v>
      </c>
      <c r="J6495">
        <v>-186.886</v>
      </c>
      <c r="K6495">
        <v>1.092195</v>
      </c>
      <c r="L6495">
        <v>116.5407</v>
      </c>
      <c r="M6495">
        <v>0.2103167</v>
      </c>
      <c r="N6495">
        <v>0</v>
      </c>
      <c r="O6495">
        <v>0.97748359999999901</v>
      </c>
      <c r="P6495">
        <v>0.33978759999999902</v>
      </c>
      <c r="Q6495">
        <v>2.923224E-2</v>
      </c>
      <c r="R6495">
        <v>0.94004779999999999</v>
      </c>
      <c r="S6495">
        <v>1.7826839999999999</v>
      </c>
      <c r="T6495">
        <v>-0.15396029999999999</v>
      </c>
      <c r="U6495">
        <v>2.5611269999999999</v>
      </c>
      <c r="V6495">
        <v>0.13579659999999999</v>
      </c>
      <c r="W6495">
        <v>4.2043039999999997E-2</v>
      </c>
      <c r="X6495">
        <v>0.98984430000000001</v>
      </c>
      <c r="Y6495">
        <v>0.38513409999999998</v>
      </c>
      <c r="Z6495">
        <v>-5.0255469999999997E-2</v>
      </c>
      <c r="AA6495">
        <v>0.92149130000000001</v>
      </c>
      <c r="AB6495">
        <v>42</v>
      </c>
      <c r="AC6495">
        <v>12.5810999999999</v>
      </c>
      <c r="AD6495">
        <v>-1.0921985505389999</v>
      </c>
      <c r="AE6495">
        <v>17.868399999999902</v>
      </c>
      <c r="AF6495">
        <v>8.5197646993826996</v>
      </c>
      <c r="AG6495">
        <v>-1.0921985505389999</v>
      </c>
      <c r="AH6495">
        <v>20.064907658912499</v>
      </c>
      <c r="AI6495">
        <v>92.868329071254294</v>
      </c>
      <c r="AJ6495">
        <v>66.993427061937794</v>
      </c>
      <c r="AK6495">
        <v>21.826126719308899</v>
      </c>
    </row>
    <row r="6496" spans="1:37" x14ac:dyDescent="0.2">
      <c r="A6496" t="str">
        <f>"20200111153556971"</f>
        <v>20200111153556971</v>
      </c>
      <c r="B6496" t="str">
        <f>"1578728156962294"</f>
        <v>1578728156962294</v>
      </c>
      <c r="C6496" t="s">
        <v>37</v>
      </c>
      <c r="D6496">
        <v>4.9935320000000001</v>
      </c>
      <c r="E6496">
        <v>0.60522390000000004</v>
      </c>
      <c r="F6496" t="s">
        <v>51</v>
      </c>
      <c r="G6496">
        <v>-174.28809999999999</v>
      </c>
      <c r="H6496" s="1">
        <v>-3.4727459999999998E-6</v>
      </c>
      <c r="I6496">
        <v>134.22370000000001</v>
      </c>
      <c r="J6496">
        <v>-186.83260000000001</v>
      </c>
      <c r="K6496">
        <v>1.0920669999999999</v>
      </c>
      <c r="L6496">
        <v>116.7698</v>
      </c>
      <c r="M6496">
        <v>0.21689810000000001</v>
      </c>
      <c r="N6496">
        <v>0</v>
      </c>
      <c r="O6496">
        <v>0.97604559999999996</v>
      </c>
      <c r="P6496">
        <v>0.3469448</v>
      </c>
      <c r="Q6496">
        <v>3.0009870000000001E-2</v>
      </c>
      <c r="R6496">
        <v>0.9374053</v>
      </c>
      <c r="S6496">
        <v>1.8107759999999999</v>
      </c>
      <c r="T6496">
        <v>-0.1569894</v>
      </c>
      <c r="U6496">
        <v>2.5417019999999999</v>
      </c>
      <c r="V6496">
        <v>0.13671249999999999</v>
      </c>
      <c r="W6496">
        <v>4.2685710000000002E-2</v>
      </c>
      <c r="X6496">
        <v>0.98969069999999904</v>
      </c>
      <c r="Y6496">
        <v>0.38896940000000002</v>
      </c>
      <c r="Z6496">
        <v>-5.125474E-2</v>
      </c>
      <c r="AA6496">
        <v>0.91982379999999997</v>
      </c>
      <c r="AB6496">
        <v>42</v>
      </c>
      <c r="AC6496">
        <v>12.544499999999999</v>
      </c>
      <c r="AD6496">
        <v>-1.092070472746</v>
      </c>
      <c r="AE6496">
        <v>17.453900000000001</v>
      </c>
      <c r="AF6496">
        <v>8.4377326304527998</v>
      </c>
      <c r="AG6496">
        <v>-1.092070472746</v>
      </c>
      <c r="AH6496">
        <v>19.708671743454701</v>
      </c>
      <c r="AI6496">
        <v>92.916052166796405</v>
      </c>
      <c r="AJ6496">
        <v>66.823126694435004</v>
      </c>
      <c r="AK6496">
        <v>21.466711246758301</v>
      </c>
    </row>
    <row r="6497" spans="1:37" x14ac:dyDescent="0.2">
      <c r="A6497" t="str">
        <f>"20200111153556983"</f>
        <v>20200111153556983</v>
      </c>
      <c r="B6497" t="str">
        <f>"1578728156972054"</f>
        <v>1578728156972054</v>
      </c>
      <c r="C6497" t="s">
        <v>37</v>
      </c>
      <c r="D6497">
        <v>5.0311069999999898</v>
      </c>
      <c r="E6497">
        <v>0.60522390000000004</v>
      </c>
      <c r="F6497" t="s">
        <v>51</v>
      </c>
      <c r="G6497">
        <v>-174.3537</v>
      </c>
      <c r="H6497" s="1">
        <v>-3.43406E-6</v>
      </c>
      <c r="I6497">
        <v>134.04509999999999</v>
      </c>
      <c r="J6497">
        <v>-186.77940000000001</v>
      </c>
      <c r="K6497">
        <v>1.0919459999999901</v>
      </c>
      <c r="L6497">
        <v>116.9939</v>
      </c>
      <c r="M6497">
        <v>0.22335239999999901</v>
      </c>
      <c r="N6497">
        <v>0</v>
      </c>
      <c r="O6497">
        <v>0.97459010000000001</v>
      </c>
      <c r="P6497">
        <v>0.353875299999999</v>
      </c>
      <c r="Q6497">
        <v>3.037461E-2</v>
      </c>
      <c r="R6497">
        <v>0.9347993</v>
      </c>
      <c r="S6497">
        <v>1.8270109999999999</v>
      </c>
      <c r="T6497">
        <v>-0.1598879</v>
      </c>
      <c r="U6497">
        <v>2.5292509999999999</v>
      </c>
      <c r="V6497">
        <v>0.13751269999999999</v>
      </c>
      <c r="W6497">
        <v>4.2920099999999899E-2</v>
      </c>
      <c r="X6497">
        <v>0.9895697</v>
      </c>
      <c r="Y6497">
        <v>0.38887349999999998</v>
      </c>
      <c r="Z6497">
        <v>-5.2201499999999998E-2</v>
      </c>
      <c r="AA6497">
        <v>0.91981109999999899</v>
      </c>
      <c r="AB6497">
        <v>42</v>
      </c>
      <c r="AC6497">
        <v>12.425700000000001</v>
      </c>
      <c r="AD6497">
        <v>-1.09194943405999</v>
      </c>
      <c r="AE6497">
        <v>17.051199999999898</v>
      </c>
      <c r="AF6497">
        <v>8.2805525426817894</v>
      </c>
      <c r="AG6497">
        <v>-1.09194943405999</v>
      </c>
      <c r="AH6497">
        <v>19.3442170111738</v>
      </c>
      <c r="AI6497">
        <v>92.970629553193405</v>
      </c>
      <c r="AJ6497">
        <v>66.826002059656801</v>
      </c>
      <c r="AK6497">
        <v>21.0703259527242</v>
      </c>
    </row>
    <row r="6498" spans="1:37" x14ac:dyDescent="0.2">
      <c r="A6498" t="str">
        <f>"20200111153556996"</f>
        <v>20200111153556996</v>
      </c>
      <c r="B6498" t="str">
        <f>"1578728156992550"</f>
        <v>1578728156992550</v>
      </c>
      <c r="C6498" t="s">
        <v>37</v>
      </c>
      <c r="D6498">
        <v>5.0672129999999997</v>
      </c>
      <c r="E6498">
        <v>0.58708749999999998</v>
      </c>
      <c r="F6498" t="s">
        <v>51</v>
      </c>
      <c r="G6498">
        <v>-174.08099999999999</v>
      </c>
      <c r="H6498" s="1">
        <v>-3.410062E-6</v>
      </c>
      <c r="I6498">
        <v>134.3006</v>
      </c>
      <c r="J6498">
        <v>-186.72120000000001</v>
      </c>
      <c r="K6498">
        <v>1.091826</v>
      </c>
      <c r="L6498">
        <v>117.2321</v>
      </c>
      <c r="M6498">
        <v>0.23024210000000001</v>
      </c>
      <c r="N6498">
        <v>0</v>
      </c>
      <c r="O6498">
        <v>0.97298680000000004</v>
      </c>
      <c r="P6498">
        <v>0.36116700000000002</v>
      </c>
      <c r="Q6498">
        <v>3.062639E-2</v>
      </c>
      <c r="R6498">
        <v>0.93199809999999905</v>
      </c>
      <c r="S6498">
        <v>1.8457950000000001</v>
      </c>
      <c r="T6498">
        <v>-0.1587218</v>
      </c>
      <c r="U6498">
        <v>2.5156399999999999</v>
      </c>
      <c r="V6498">
        <v>0.13825970000000001</v>
      </c>
      <c r="W6498">
        <v>4.303825E-2</v>
      </c>
      <c r="X6498">
        <v>0.98946049999999997</v>
      </c>
      <c r="Y6498">
        <v>0.38920739999999998</v>
      </c>
      <c r="Z6498">
        <v>-5.1812549999999999E-2</v>
      </c>
      <c r="AA6498">
        <v>0.91969190000000001</v>
      </c>
      <c r="AB6498">
        <v>42</v>
      </c>
      <c r="AC6498">
        <v>12.6402</v>
      </c>
      <c r="AD6498">
        <v>-1.0918294100620001</v>
      </c>
      <c r="AE6498">
        <v>17.0685</v>
      </c>
      <c r="AF6498">
        <v>8.3479941104417605</v>
      </c>
      <c r="AG6498">
        <v>-1.0918294100620001</v>
      </c>
      <c r="AH6498">
        <v>19.469067186570101</v>
      </c>
      <c r="AI6498">
        <v>92.950522961723493</v>
      </c>
      <c r="AJ6498">
        <v>66.791196302464201</v>
      </c>
      <c r="AK6498">
        <v>21.211451488378302</v>
      </c>
    </row>
    <row r="6499" spans="1:37" x14ac:dyDescent="0.2">
      <c r="A6499" t="str">
        <f>"20200111153557008"</f>
        <v>20200111153557008</v>
      </c>
      <c r="B6499" t="str">
        <f>"1578728157002310"</f>
        <v>1578728157002310</v>
      </c>
      <c r="C6499" t="s">
        <v>37</v>
      </c>
      <c r="D6499">
        <v>5.0494899999999996</v>
      </c>
      <c r="E6499">
        <v>0.58742430000000001</v>
      </c>
      <c r="F6499" t="s">
        <v>51</v>
      </c>
      <c r="G6499">
        <v>-176.5284</v>
      </c>
      <c r="H6499" s="1">
        <v>-4.1031160000000002E-6</v>
      </c>
      <c r="I6499">
        <v>132.279</v>
      </c>
      <c r="J6499">
        <v>-186.66659999999999</v>
      </c>
      <c r="K6499">
        <v>1.0917219999999901</v>
      </c>
      <c r="L6499">
        <v>117.44750000000001</v>
      </c>
      <c r="M6499">
        <v>0.23650259999999901</v>
      </c>
      <c r="N6499">
        <v>0</v>
      </c>
      <c r="O6499">
        <v>0.9714853</v>
      </c>
      <c r="P6499">
        <v>0.36778509999999998</v>
      </c>
      <c r="Q6499">
        <v>3.0620310000000001E-2</v>
      </c>
      <c r="R6499">
        <v>0.92940659999999897</v>
      </c>
      <c r="S6499">
        <v>1.7303770000000001</v>
      </c>
      <c r="T6499">
        <v>-0.18535409999999999</v>
      </c>
      <c r="U6499">
        <v>2.5544279999999899</v>
      </c>
      <c r="V6499">
        <v>0.13893050000000001</v>
      </c>
      <c r="W6499">
        <v>4.2914870000000001E-2</v>
      </c>
      <c r="X6499">
        <v>0.98937180000000002</v>
      </c>
      <c r="Y6499">
        <v>0.34803440000000002</v>
      </c>
      <c r="Z6499">
        <v>-6.0819810000000002E-2</v>
      </c>
      <c r="AA6499">
        <v>0.93550679999999997</v>
      </c>
      <c r="AB6499">
        <v>42</v>
      </c>
      <c r="AC6499">
        <v>10.1381999999999</v>
      </c>
      <c r="AD6499">
        <v>-1.0917261031159999</v>
      </c>
      <c r="AE6499">
        <v>14.831499999999901</v>
      </c>
      <c r="AF6499">
        <v>6.3189863549100496</v>
      </c>
      <c r="AG6499">
        <v>-1.0917261031159999</v>
      </c>
      <c r="AH6499">
        <v>16.746829858785201</v>
      </c>
      <c r="AI6499">
        <v>93.490293572394194</v>
      </c>
      <c r="AJ6499">
        <v>69.327288547387894</v>
      </c>
      <c r="AK6499">
        <v>17.932589460445001</v>
      </c>
    </row>
    <row r="6500" spans="1:37" x14ac:dyDescent="0.2">
      <c r="A6500" t="str">
        <f>"20200111153557020"</f>
        <v>20200111153557020</v>
      </c>
      <c r="B6500" t="str">
        <f>"1578728157012070"</f>
        <v>1578728157012070</v>
      </c>
      <c r="C6500" t="s">
        <v>37</v>
      </c>
      <c r="D6500">
        <v>5.0793910000000002</v>
      </c>
      <c r="E6500">
        <v>0.58672089999999999</v>
      </c>
      <c r="F6500" t="s">
        <v>51</v>
      </c>
      <c r="G6500">
        <v>-176.22409999999999</v>
      </c>
      <c r="H6500" s="1">
        <v>-4.0164409999999999E-6</v>
      </c>
      <c r="I6500">
        <v>132.5975</v>
      </c>
      <c r="J6500">
        <v>-186.60849999999999</v>
      </c>
      <c r="K6500">
        <v>1.09162</v>
      </c>
      <c r="L6500">
        <v>117.67319999999999</v>
      </c>
      <c r="M6500">
        <v>0.24306920000000001</v>
      </c>
      <c r="N6500">
        <v>0</v>
      </c>
      <c r="O6500">
        <v>0.96986439999999996</v>
      </c>
      <c r="P6500">
        <v>0.37473879999999998</v>
      </c>
      <c r="Q6500">
        <v>3.0249439999999999E-2</v>
      </c>
      <c r="R6500">
        <v>0.92663680000000004</v>
      </c>
      <c r="S6500">
        <v>1.7513430000000001</v>
      </c>
      <c r="T6500">
        <v>-0.18309739999999999</v>
      </c>
      <c r="U6500">
        <v>2.5408629999999999</v>
      </c>
      <c r="V6500">
        <v>0.139642299999999</v>
      </c>
      <c r="W6500">
        <v>4.2421779999999999E-2</v>
      </c>
      <c r="X6500">
        <v>0.98929290000000003</v>
      </c>
      <c r="Y6500">
        <v>0.34928890000000001</v>
      </c>
      <c r="Z6500">
        <v>-6.0053620000000002E-2</v>
      </c>
      <c r="AA6500">
        <v>0.935088699999999</v>
      </c>
      <c r="AB6500">
        <v>42</v>
      </c>
      <c r="AC6500">
        <v>10.384399999999999</v>
      </c>
      <c r="AD6500">
        <v>-1.091624016441</v>
      </c>
      <c r="AE6500">
        <v>14.924300000000001</v>
      </c>
      <c r="AF6500">
        <v>6.42157730872868</v>
      </c>
      <c r="AG6500">
        <v>-1.091624016441</v>
      </c>
      <c r="AH6500">
        <v>16.939993447468598</v>
      </c>
      <c r="AI6500">
        <v>93.448272754369199</v>
      </c>
      <c r="AJ6500">
        <v>69.239388683459396</v>
      </c>
      <c r="AK6500">
        <v>18.149150837588198</v>
      </c>
    </row>
    <row r="6501" spans="1:37" x14ac:dyDescent="0.2">
      <c r="A6501" t="str">
        <f>"20200111153557035"</f>
        <v>20200111153557035</v>
      </c>
      <c r="B6501" t="str">
        <f>"1578728157032566"</f>
        <v>1578728157032566</v>
      </c>
      <c r="C6501" t="s">
        <v>37</v>
      </c>
      <c r="D6501">
        <v>4.9561710000000003</v>
      </c>
      <c r="E6501">
        <v>0.58824049999999894</v>
      </c>
      <c r="F6501" t="s">
        <v>51</v>
      </c>
      <c r="G6501">
        <v>-175.86680000000001</v>
      </c>
      <c r="H6501" s="1">
        <v>-3.9504649999999998E-6</v>
      </c>
      <c r="I6501">
        <v>133.0659</v>
      </c>
      <c r="J6501">
        <v>-186.53550000000001</v>
      </c>
      <c r="K6501">
        <v>1.0914950000000001</v>
      </c>
      <c r="L6501">
        <v>117.9465</v>
      </c>
      <c r="M6501">
        <v>0.25105830000000001</v>
      </c>
      <c r="N6501">
        <v>0</v>
      </c>
      <c r="O6501">
        <v>0.96782849999999998</v>
      </c>
      <c r="P6501">
        <v>0.38347029999999999</v>
      </c>
      <c r="Q6501">
        <v>2.7606350000000002E-2</v>
      </c>
      <c r="R6501">
        <v>0.92314059999999898</v>
      </c>
      <c r="S6501">
        <v>1.765198</v>
      </c>
      <c r="T6501">
        <v>-0.17938779999999999</v>
      </c>
      <c r="U6501">
        <v>2.5295099999999899</v>
      </c>
      <c r="V6501">
        <v>0.14072589999999999</v>
      </c>
      <c r="W6501">
        <v>3.9629400000000002E-2</v>
      </c>
      <c r="X6501">
        <v>0.98925509999999905</v>
      </c>
      <c r="Y6501">
        <v>0.34701739999999998</v>
      </c>
      <c r="Z6501">
        <v>-5.8815430000000002E-2</v>
      </c>
      <c r="AA6501">
        <v>0.93601259999999997</v>
      </c>
      <c r="AB6501">
        <v>42</v>
      </c>
      <c r="AC6501">
        <v>10.668699999999999</v>
      </c>
      <c r="AD6501">
        <v>-1.0914989504649999</v>
      </c>
      <c r="AE6501">
        <v>15.119400000000001</v>
      </c>
      <c r="AF6501">
        <v>6.5078851354431499</v>
      </c>
      <c r="AG6501">
        <v>-1.0914989504649999</v>
      </c>
      <c r="AH6501">
        <v>17.2538252317351</v>
      </c>
      <c r="AI6501">
        <v>93.387427624166406</v>
      </c>
      <c r="AJ6501">
        <v>69.334273867807298</v>
      </c>
      <c r="AK6501">
        <v>18.472639876916499</v>
      </c>
    </row>
    <row r="6502" spans="1:37" x14ac:dyDescent="0.2">
      <c r="A6502" t="str">
        <f>"20200111153557048"</f>
        <v>20200111153557048</v>
      </c>
      <c r="B6502" t="str">
        <f>"1578728157042326"</f>
        <v>1578728157042326</v>
      </c>
      <c r="C6502" t="s">
        <v>37</v>
      </c>
      <c r="D6502">
        <v>5.2017360000000004</v>
      </c>
      <c r="E6502">
        <v>0.58657309999999996</v>
      </c>
      <c r="F6502" t="s">
        <v>51</v>
      </c>
      <c r="G6502">
        <v>-175.0915</v>
      </c>
      <c r="H6502" s="1">
        <v>-3.7319560000000001E-6</v>
      </c>
      <c r="I6502">
        <v>133.88390000000001</v>
      </c>
      <c r="J6502">
        <v>-186.47040000000001</v>
      </c>
      <c r="K6502">
        <v>1.0913999999999999</v>
      </c>
      <c r="L6502">
        <v>118.1823</v>
      </c>
      <c r="M6502">
        <v>0.2579687</v>
      </c>
      <c r="N6502">
        <v>0</v>
      </c>
      <c r="O6502">
        <v>0.9660107</v>
      </c>
      <c r="P6502">
        <v>0.39015609999999901</v>
      </c>
      <c r="Q6502">
        <v>2.6624180000000001E-2</v>
      </c>
      <c r="R6502">
        <v>0.92036369999999901</v>
      </c>
      <c r="S6502">
        <v>1.8002469999999999</v>
      </c>
      <c r="T6502">
        <v>-0.17170239999999901</v>
      </c>
      <c r="U6502">
        <v>2.5070950000000001</v>
      </c>
      <c r="V6502">
        <v>0.14079749999999999</v>
      </c>
      <c r="W6502">
        <v>3.855161E-2</v>
      </c>
      <c r="X6502">
        <v>0.98928760000000004</v>
      </c>
      <c r="Y6502">
        <v>0.35300369999999998</v>
      </c>
      <c r="Z6502">
        <v>-5.6282840000000001E-2</v>
      </c>
      <c r="AA6502">
        <v>0.93392749999999902</v>
      </c>
      <c r="AB6502">
        <v>42</v>
      </c>
      <c r="AC6502">
        <v>11.3789</v>
      </c>
      <c r="AD6502">
        <v>-1.0914037319559999</v>
      </c>
      <c r="AE6502">
        <v>15.701599999999999</v>
      </c>
      <c r="AF6502">
        <v>6.9206507710927498</v>
      </c>
      <c r="AG6502">
        <v>-1.0914037319559999</v>
      </c>
      <c r="AH6502">
        <v>18.048632884393999</v>
      </c>
      <c r="AI6502">
        <v>93.231584751187796</v>
      </c>
      <c r="AJ6502">
        <v>69.020948569371299</v>
      </c>
      <c r="AK6502">
        <v>19.360777830376101</v>
      </c>
    </row>
    <row r="6503" spans="1:37" x14ac:dyDescent="0.2">
      <c r="A6503" t="str">
        <f>"20200111153557060"</f>
        <v>20200111153557060</v>
      </c>
      <c r="B6503" t="str">
        <f>"1578728157052086"</f>
        <v>1578728157052086</v>
      </c>
      <c r="C6503" t="s">
        <v>37</v>
      </c>
      <c r="D6503">
        <v>5.0293589999999897</v>
      </c>
      <c r="E6503">
        <v>0.58662460000000005</v>
      </c>
      <c r="F6503" t="s">
        <v>51</v>
      </c>
      <c r="G6503">
        <v>-175.0925</v>
      </c>
      <c r="H6503" s="1">
        <v>-3.748752E-6</v>
      </c>
      <c r="I6503">
        <v>133.9264</v>
      </c>
      <c r="J6503">
        <v>-186.4058</v>
      </c>
      <c r="K6503">
        <v>1.091313</v>
      </c>
      <c r="L6503">
        <v>118.4123</v>
      </c>
      <c r="M6503">
        <v>0.26471739999999999</v>
      </c>
      <c r="N6503">
        <v>0</v>
      </c>
      <c r="O6503">
        <v>0.96418440000000005</v>
      </c>
      <c r="P6503">
        <v>0.39651789999999998</v>
      </c>
      <c r="Q6503">
        <v>2.5647159999999999E-2</v>
      </c>
      <c r="R6503">
        <v>0.91766859999999995</v>
      </c>
      <c r="S6503">
        <v>1.805984</v>
      </c>
      <c r="T6503">
        <v>-0.17323450000000001</v>
      </c>
      <c r="U6503">
        <v>2.4990079999999999</v>
      </c>
      <c r="V6503">
        <v>0.1406934</v>
      </c>
      <c r="W6503">
        <v>3.7489990000000001E-2</v>
      </c>
      <c r="X6503">
        <v>0.98934319999999898</v>
      </c>
      <c r="Y6503">
        <v>0.34928309999999901</v>
      </c>
      <c r="Z6503">
        <v>-5.6778710000000003E-2</v>
      </c>
      <c r="AA6503">
        <v>0.9352954</v>
      </c>
      <c r="AB6503">
        <v>42</v>
      </c>
      <c r="AC6503">
        <v>11.3132999999999</v>
      </c>
      <c r="AD6503">
        <v>-1.0913167487519999</v>
      </c>
      <c r="AE6503">
        <v>15.514099999999999</v>
      </c>
      <c r="AF6503">
        <v>6.7802812757622997</v>
      </c>
      <c r="AG6503">
        <v>-1.0913167487519999</v>
      </c>
      <c r="AH6503">
        <v>17.897915784098601</v>
      </c>
      <c r="AI6503">
        <v>93.263476393000104</v>
      </c>
      <c r="AJ6503">
        <v>69.2517704648305</v>
      </c>
      <c r="AK6503">
        <v>19.170252367646299</v>
      </c>
    </row>
    <row r="6504" spans="1:37" x14ac:dyDescent="0.2">
      <c r="A6504" t="str">
        <f>"20200111153557073"</f>
        <v>20200111153557073</v>
      </c>
      <c r="B6504" t="str">
        <f>"1578728157061847"</f>
        <v>1578728157061847</v>
      </c>
      <c r="C6504" t="s">
        <v>37</v>
      </c>
      <c r="D6504">
        <v>5.0130720000000002</v>
      </c>
      <c r="E6504">
        <v>0.58748449999999997</v>
      </c>
      <c r="F6504" t="s">
        <v>51</v>
      </c>
      <c r="G6504">
        <v>-175.08320000000001</v>
      </c>
      <c r="H6504" s="1">
        <v>-3.7122589999999999E-6</v>
      </c>
      <c r="I6504">
        <v>133.8468</v>
      </c>
      <c r="J6504">
        <v>-186.34039999999999</v>
      </c>
      <c r="K6504">
        <v>1.0912360000000001</v>
      </c>
      <c r="L6504">
        <v>118.63720000000001</v>
      </c>
      <c r="M6504">
        <v>0.27133239999999997</v>
      </c>
      <c r="N6504">
        <v>0</v>
      </c>
      <c r="O6504">
        <v>0.96234489999999995</v>
      </c>
      <c r="P6504">
        <v>0.40255930000000001</v>
      </c>
      <c r="Q6504">
        <v>2.4936239999999998E-2</v>
      </c>
      <c r="R6504">
        <v>0.91505419999999904</v>
      </c>
      <c r="S6504">
        <v>1.8237299999999901</v>
      </c>
      <c r="T6504">
        <v>-0.17577860000000001</v>
      </c>
      <c r="U6504">
        <v>2.4860380000000002</v>
      </c>
      <c r="V6504">
        <v>0.1403972</v>
      </c>
      <c r="W6504">
        <v>3.6708989999999997E-2</v>
      </c>
      <c r="X6504">
        <v>0.98941449999999997</v>
      </c>
      <c r="Y6504">
        <v>0.34948979999999902</v>
      </c>
      <c r="Z6504">
        <v>-5.7575910000000001E-2</v>
      </c>
      <c r="AA6504">
        <v>0.93516949999999999</v>
      </c>
      <c r="AB6504">
        <v>42</v>
      </c>
      <c r="AC6504">
        <v>11.2571999999999</v>
      </c>
      <c r="AD6504">
        <v>-1.0912397122589901</v>
      </c>
      <c r="AE6504">
        <v>15.209599999999901</v>
      </c>
      <c r="AF6504">
        <v>6.68512769892439</v>
      </c>
      <c r="AG6504">
        <v>-1.0912397122589901</v>
      </c>
      <c r="AH6504">
        <v>17.635072211137501</v>
      </c>
      <c r="AI6504">
        <v>93.311502005581104</v>
      </c>
      <c r="AJ6504">
        <v>69.239214303300997</v>
      </c>
      <c r="AK6504">
        <v>18.891201876867701</v>
      </c>
    </row>
    <row r="6505" spans="1:37" x14ac:dyDescent="0.2">
      <c r="A6505" t="str">
        <f>"20200111153557085"</f>
        <v>20200111153557085</v>
      </c>
      <c r="B6505" t="str">
        <f>"1578728157072581"</f>
        <v>1578728157072581</v>
      </c>
      <c r="C6505" t="s">
        <v>37</v>
      </c>
      <c r="D6505">
        <v>5.0036329999999998</v>
      </c>
      <c r="E6505">
        <v>0.58770699999999998</v>
      </c>
      <c r="F6505" t="s">
        <v>51</v>
      </c>
      <c r="G6505">
        <v>-174.75</v>
      </c>
      <c r="H6505" s="1">
        <v>-3.6487849999999999E-6</v>
      </c>
      <c r="I6505">
        <v>134.14789999999999</v>
      </c>
      <c r="J6505">
        <v>-186.2783</v>
      </c>
      <c r="K6505">
        <v>1.0911679999999999</v>
      </c>
      <c r="L6505">
        <v>118.8464</v>
      </c>
      <c r="M6505">
        <v>0.27749229999999903</v>
      </c>
      <c r="N6505">
        <v>0</v>
      </c>
      <c r="O6505">
        <v>0.96058770000000004</v>
      </c>
      <c r="P6505">
        <v>0.40748509999999999</v>
      </c>
      <c r="Q6505">
        <v>2.4081370000000001E-2</v>
      </c>
      <c r="R6505">
        <v>0.91289419999999899</v>
      </c>
      <c r="S6505">
        <v>1.84642</v>
      </c>
      <c r="T6505">
        <v>-0.17384059999999901</v>
      </c>
      <c r="U6505">
        <v>2.4709469999999998</v>
      </c>
      <c r="V6505">
        <v>0.13935999999999901</v>
      </c>
      <c r="W6505">
        <v>3.5818370000000002E-2</v>
      </c>
      <c r="X6505">
        <v>0.98959379999999997</v>
      </c>
      <c r="Y6505">
        <v>0.35176390000000002</v>
      </c>
      <c r="Z6505">
        <v>-5.6901159999999999E-2</v>
      </c>
      <c r="AA6505">
        <v>0.93435780000000002</v>
      </c>
      <c r="AB6505">
        <v>42</v>
      </c>
      <c r="AC6505">
        <v>11.5283</v>
      </c>
      <c r="AD6505">
        <v>-1.0911716487850001</v>
      </c>
      <c r="AE6505">
        <v>15.3014999999999</v>
      </c>
      <c r="AF6505">
        <v>6.8067335187361397</v>
      </c>
      <c r="AG6505">
        <v>-1.0911716487850001</v>
      </c>
      <c r="AH6505">
        <v>17.841978820029599</v>
      </c>
      <c r="AI6505">
        <v>93.270355646365303</v>
      </c>
      <c r="AJ6505">
        <v>69.118094952247404</v>
      </c>
      <c r="AK6505">
        <v>19.1274275577398</v>
      </c>
    </row>
    <row r="6506" spans="1:37" x14ac:dyDescent="0.2">
      <c r="A6506" t="str">
        <f>"20200111153557097"</f>
        <v>20200111153557097</v>
      </c>
      <c r="B6506" t="str">
        <f>"1578728157092102"</f>
        <v>1578728157092102</v>
      </c>
      <c r="C6506" t="s">
        <v>37</v>
      </c>
      <c r="D6506">
        <v>5.1960959999999998</v>
      </c>
      <c r="E6506">
        <v>0.58786319999999903</v>
      </c>
      <c r="F6506" t="s">
        <v>51</v>
      </c>
      <c r="G6506">
        <v>-174.6968</v>
      </c>
      <c r="H6506" s="1">
        <v>-3.62673099999999E-6</v>
      </c>
      <c r="I6506">
        <v>134.15190000000001</v>
      </c>
      <c r="J6506">
        <v>-186.20679999999999</v>
      </c>
      <c r="K6506">
        <v>1.091097</v>
      </c>
      <c r="L6506">
        <v>119.0822</v>
      </c>
      <c r="M6506">
        <v>0.28444130000000001</v>
      </c>
      <c r="N6506">
        <v>0</v>
      </c>
      <c r="O6506">
        <v>0.95855400000000002</v>
      </c>
      <c r="P6506">
        <v>0.41348259999999998</v>
      </c>
      <c r="Q6506">
        <v>2.3495220000000001E-2</v>
      </c>
      <c r="R6506">
        <v>0.91020889999999999</v>
      </c>
      <c r="S6506">
        <v>1.861435</v>
      </c>
      <c r="T6506">
        <v>-0.1753796</v>
      </c>
      <c r="U6506">
        <v>2.459991</v>
      </c>
      <c r="V6506">
        <v>0.13868429999999901</v>
      </c>
      <c r="W6506">
        <v>3.5178389999999997E-2</v>
      </c>
      <c r="X6506">
        <v>0.98971160000000002</v>
      </c>
      <c r="Y6506">
        <v>0.35059950000000001</v>
      </c>
      <c r="Z6506">
        <v>-5.7344449999999998E-2</v>
      </c>
      <c r="AA6506">
        <v>0.93476819999999905</v>
      </c>
      <c r="AB6506">
        <v>42</v>
      </c>
      <c r="AC6506">
        <v>11.5099999999999</v>
      </c>
      <c r="AD6506">
        <v>-1.0911006267309999</v>
      </c>
      <c r="AE6506">
        <v>15.069699999999999</v>
      </c>
      <c r="AF6506">
        <v>6.7251476623166999</v>
      </c>
      <c r="AG6506">
        <v>-1.0911006267309999</v>
      </c>
      <c r="AH6506">
        <v>17.662930633449399</v>
      </c>
      <c r="AI6506">
        <v>93.304044164963599</v>
      </c>
      <c r="AJ6506">
        <v>69.155706008689194</v>
      </c>
      <c r="AK6506">
        <v>18.931382152913699</v>
      </c>
    </row>
    <row r="6507" spans="1:37" x14ac:dyDescent="0.2">
      <c r="A6507" t="str">
        <f>"20200111153557114"</f>
        <v>20200111153557114</v>
      </c>
      <c r="B6507" t="str">
        <f>"1578728157101862"</f>
        <v>1578728157101862</v>
      </c>
      <c r="C6507" t="s">
        <v>37</v>
      </c>
      <c r="D6507">
        <v>5.0429649999999997</v>
      </c>
      <c r="E6507">
        <v>0.58792239999999996</v>
      </c>
      <c r="F6507" t="s">
        <v>51</v>
      </c>
      <c r="G6507">
        <v>-174.30109999999999</v>
      </c>
      <c r="H6507" s="1">
        <v>-3.6167629999999999E-6</v>
      </c>
      <c r="I6507">
        <v>134.5881</v>
      </c>
      <c r="J6507">
        <v>-186.11619999999999</v>
      </c>
      <c r="K6507">
        <v>1.091018</v>
      </c>
      <c r="L6507">
        <v>119.3707</v>
      </c>
      <c r="M6507">
        <v>0.29295979999999999</v>
      </c>
      <c r="N6507">
        <v>0</v>
      </c>
      <c r="O6507">
        <v>0.955986</v>
      </c>
      <c r="P6507">
        <v>0.41985529999999999</v>
      </c>
      <c r="Q6507">
        <v>2.2943680000000001E-2</v>
      </c>
      <c r="R6507">
        <v>0.90730100000000002</v>
      </c>
      <c r="S6507">
        <v>1.8787990000000001</v>
      </c>
      <c r="T6507">
        <v>-0.1721818</v>
      </c>
      <c r="U6507">
        <v>2.4469150000000002</v>
      </c>
      <c r="V6507">
        <v>0.1367989</v>
      </c>
      <c r="W6507">
        <v>3.4605570000000002E-2</v>
      </c>
      <c r="X6507">
        <v>0.98999419999999905</v>
      </c>
      <c r="Y6507">
        <v>0.3488928</v>
      </c>
      <c r="Z6507">
        <v>-5.6227310000000003E-2</v>
      </c>
      <c r="AA6507">
        <v>0.93547429999999998</v>
      </c>
      <c r="AB6507">
        <v>42</v>
      </c>
      <c r="AC6507">
        <v>11.815099999999999</v>
      </c>
      <c r="AD6507">
        <v>-1.091021616763</v>
      </c>
      <c r="AE6507">
        <v>15.2173999999999</v>
      </c>
      <c r="AF6507">
        <v>6.8160319132379996</v>
      </c>
      <c r="AG6507">
        <v>-1.091021616763</v>
      </c>
      <c r="AH6507">
        <v>17.9537825195107</v>
      </c>
      <c r="AI6507">
        <v>93.251591233969705</v>
      </c>
      <c r="AJ6507">
        <v>69.211073431636095</v>
      </c>
      <c r="AK6507">
        <v>19.2350442154004</v>
      </c>
    </row>
    <row r="6508" spans="1:37" x14ac:dyDescent="0.2">
      <c r="A6508" t="str">
        <f>"20200111153557129"</f>
        <v>20200111153557129</v>
      </c>
      <c r="B6508" t="str">
        <f>"1578728157122358"</f>
        <v>1578728157122358</v>
      </c>
      <c r="C6508" t="s">
        <v>37</v>
      </c>
      <c r="D6508">
        <v>5.0735349999999997</v>
      </c>
      <c r="E6508">
        <v>0.58822059999999998</v>
      </c>
      <c r="F6508" t="s">
        <v>51</v>
      </c>
      <c r="G6508">
        <v>-174.1259</v>
      </c>
      <c r="H6508" s="1">
        <v>-3.6011429999999998E-6</v>
      </c>
      <c r="I6508">
        <v>134.7516</v>
      </c>
      <c r="J6508">
        <v>-186.03309999999999</v>
      </c>
      <c r="K6508">
        <v>1.0909500000000001</v>
      </c>
      <c r="L6508">
        <v>119.62799999999901</v>
      </c>
      <c r="M6508">
        <v>0.30056279999999902</v>
      </c>
      <c r="N6508">
        <v>0</v>
      </c>
      <c r="O6508">
        <v>0.95362389999999997</v>
      </c>
      <c r="P6508">
        <v>0.42625239999999998</v>
      </c>
      <c r="Q6508">
        <v>2.24636E-2</v>
      </c>
      <c r="R6508">
        <v>0.9043253</v>
      </c>
      <c r="S6508">
        <v>1.896774</v>
      </c>
      <c r="T6508">
        <v>-0.172591299999999</v>
      </c>
      <c r="U6508">
        <v>2.4331360000000002</v>
      </c>
      <c r="V6508">
        <v>0.13589100000000001</v>
      </c>
      <c r="W6508">
        <v>3.4085650000000002E-2</v>
      </c>
      <c r="X6508">
        <v>0.9901373</v>
      </c>
      <c r="Y6508">
        <v>0.34829650000000001</v>
      </c>
      <c r="Z6508">
        <v>-5.6298019999999997E-2</v>
      </c>
      <c r="AA6508">
        <v>0.93569230000000003</v>
      </c>
      <c r="AB6508">
        <v>42</v>
      </c>
      <c r="AC6508">
        <v>11.9071999999999</v>
      </c>
      <c r="AD6508">
        <v>-1.0909536011430001</v>
      </c>
      <c r="AE6508">
        <v>15.1236</v>
      </c>
      <c r="AF6508">
        <v>6.7884893189288897</v>
      </c>
      <c r="AG6508">
        <v>-1.0909536011430001</v>
      </c>
      <c r="AH6508">
        <v>17.945811846606201</v>
      </c>
      <c r="AI6508">
        <v>93.254299701637194</v>
      </c>
      <c r="AJ6508">
        <v>69.279518344375404</v>
      </c>
      <c r="AK6508">
        <v>19.217854454305002</v>
      </c>
    </row>
    <row r="6509" spans="1:37" x14ac:dyDescent="0.2">
      <c r="A6509" t="str">
        <f>"20200111153557141"</f>
        <v>20200111153557141</v>
      </c>
      <c r="B6509" t="str">
        <f>"1578728157132118"</f>
        <v>1578728157132118</v>
      </c>
      <c r="C6509" t="s">
        <v>37</v>
      </c>
      <c r="D6509">
        <v>5.0304140000000004</v>
      </c>
      <c r="E6509">
        <v>0.58857689999999996</v>
      </c>
      <c r="F6509" t="s">
        <v>51</v>
      </c>
      <c r="G6509">
        <v>-173.79140000000001</v>
      </c>
      <c r="H6509" s="1">
        <v>-3.5766619999999998E-6</v>
      </c>
      <c r="I6509">
        <v>135.078</v>
      </c>
      <c r="J6509">
        <v>-185.95249999999999</v>
      </c>
      <c r="K6509">
        <v>1.0908959999999901</v>
      </c>
      <c r="L6509">
        <v>119.8723</v>
      </c>
      <c r="M6509">
        <v>0.30778549999999999</v>
      </c>
      <c r="N6509">
        <v>0</v>
      </c>
      <c r="O6509">
        <v>0.95131810000000006</v>
      </c>
      <c r="P6509">
        <v>0.4324752</v>
      </c>
      <c r="Q6509">
        <v>2.2369139999999999E-2</v>
      </c>
      <c r="R6509">
        <v>0.90136830000000001</v>
      </c>
      <c r="S6509">
        <v>1.9162139999999901</v>
      </c>
      <c r="T6509">
        <v>-0.17076839999999999</v>
      </c>
      <c r="U6509">
        <v>2.4184109999999999</v>
      </c>
      <c r="V6509">
        <v>0.13520589999999999</v>
      </c>
      <c r="W6509">
        <v>3.3950309999999997E-2</v>
      </c>
      <c r="X6509">
        <v>0.99023570000000005</v>
      </c>
      <c r="Y6509">
        <v>0.34860759999999902</v>
      </c>
      <c r="Z6509">
        <v>-5.5644720000000002E-2</v>
      </c>
      <c r="AA6509">
        <v>0.93561550000000004</v>
      </c>
      <c r="AB6509">
        <v>42</v>
      </c>
      <c r="AC6509">
        <v>12.1610999999999</v>
      </c>
      <c r="AD6509">
        <v>-1.09089957666199</v>
      </c>
      <c r="AE6509">
        <v>15.2057</v>
      </c>
      <c r="AF6509">
        <v>6.8683225039990496</v>
      </c>
      <c r="AG6509">
        <v>-1.09089957666199</v>
      </c>
      <c r="AH6509">
        <v>18.1538659370316</v>
      </c>
      <c r="AI6509">
        <v>93.216857116229505</v>
      </c>
      <c r="AJ6509">
        <v>69.276395427975302</v>
      </c>
      <c r="AK6509">
        <v>19.4403385866867</v>
      </c>
    </row>
    <row r="6510" spans="1:37" x14ac:dyDescent="0.2">
      <c r="A6510" t="str">
        <f>"20200111153557153"</f>
        <v>20200111153557153</v>
      </c>
      <c r="B6510" t="str">
        <f>"1578728157142386"</f>
        <v>1578728157142386</v>
      </c>
      <c r="C6510" t="s">
        <v>37</v>
      </c>
      <c r="D6510">
        <v>5.0449769999999896</v>
      </c>
      <c r="E6510">
        <v>0.58871079999999998</v>
      </c>
      <c r="F6510" t="s">
        <v>51</v>
      </c>
      <c r="G6510">
        <v>-173.52780000000001</v>
      </c>
      <c r="H6510" s="1">
        <v>-3.5451129999999999E-6</v>
      </c>
      <c r="I6510">
        <v>135.30289999999999</v>
      </c>
      <c r="J6510">
        <v>-185.88290000000001</v>
      </c>
      <c r="K6510">
        <v>1.090856</v>
      </c>
      <c r="L6510">
        <v>120.0774</v>
      </c>
      <c r="M6510">
        <v>0.31385629999999998</v>
      </c>
      <c r="N6510">
        <v>0</v>
      </c>
      <c r="O6510">
        <v>0.94933330000000005</v>
      </c>
      <c r="P6510">
        <v>0.43722159999999899</v>
      </c>
      <c r="Q6510">
        <v>2.2494480000000001E-2</v>
      </c>
      <c r="R6510">
        <v>0.89907250000000005</v>
      </c>
      <c r="S6510">
        <v>1.935562</v>
      </c>
      <c r="T6510">
        <v>-0.16994310000000001</v>
      </c>
      <c r="U6510">
        <v>2.4038240000000002</v>
      </c>
      <c r="V6510">
        <v>0.13410839999999999</v>
      </c>
      <c r="W6510">
        <v>3.406468E-2</v>
      </c>
      <c r="X6510">
        <v>0.99038099999999996</v>
      </c>
      <c r="Y6510">
        <v>0.34997600000000001</v>
      </c>
      <c r="Z6510">
        <v>-5.5328549999999997E-2</v>
      </c>
      <c r="AA6510">
        <v>0.93512329999999999</v>
      </c>
      <c r="AB6510">
        <v>42</v>
      </c>
      <c r="AC6510">
        <v>12.355099999999901</v>
      </c>
      <c r="AD6510">
        <v>-1.0908595451130001</v>
      </c>
      <c r="AE6510">
        <v>15.225499999999901</v>
      </c>
      <c r="AF6510">
        <v>6.9299450521829904</v>
      </c>
      <c r="AG6510">
        <v>-1.0908595451130001</v>
      </c>
      <c r="AH6510">
        <v>18.277616440942001</v>
      </c>
      <c r="AI6510">
        <v>93.194150122217096</v>
      </c>
      <c r="AJ6510">
        <v>69.235813515754202</v>
      </c>
      <c r="AK6510">
        <v>19.577675442596199</v>
      </c>
    </row>
    <row r="6511" spans="1:37" x14ac:dyDescent="0.2">
      <c r="A6511" t="str">
        <f>"20200111153557170"</f>
        <v>20200111153557170</v>
      </c>
      <c r="B6511" t="str">
        <f>"1578728157161906"</f>
        <v>1578728157161906</v>
      </c>
      <c r="C6511" t="s">
        <v>37</v>
      </c>
      <c r="D6511">
        <v>5.0466610000000003</v>
      </c>
      <c r="E6511">
        <v>0.58874919999999997</v>
      </c>
      <c r="F6511" t="s">
        <v>51</v>
      </c>
      <c r="G6511">
        <v>-173.24510000000001</v>
      </c>
      <c r="H6511" s="1">
        <v>-3.52961799999999E-6</v>
      </c>
      <c r="I6511">
        <v>135.5924</v>
      </c>
      <c r="J6511">
        <v>-185.77969999999999</v>
      </c>
      <c r="K6511">
        <v>1.0908100000000001</v>
      </c>
      <c r="L6511">
        <v>120.3741</v>
      </c>
      <c r="M6511">
        <v>0.32264720000000002</v>
      </c>
      <c r="N6511">
        <v>0</v>
      </c>
      <c r="O6511">
        <v>0.94638250000000002</v>
      </c>
      <c r="P6511">
        <v>0.44440029999999903</v>
      </c>
      <c r="Q6511">
        <v>2.282412E-2</v>
      </c>
      <c r="R6511">
        <v>0.89553749999999999</v>
      </c>
      <c r="S6511">
        <v>1.949265</v>
      </c>
      <c r="T6511">
        <v>-0.16825509999999999</v>
      </c>
      <c r="U6511">
        <v>2.3930509999999998</v>
      </c>
      <c r="V6511">
        <v>0.1328628</v>
      </c>
      <c r="W6511">
        <v>3.4372060000000003E-2</v>
      </c>
      <c r="X6511">
        <v>0.99053819999999904</v>
      </c>
      <c r="Y6511">
        <v>0.34659099999999998</v>
      </c>
      <c r="Z6511">
        <v>-5.4669339999999997E-2</v>
      </c>
      <c r="AA6511">
        <v>0.93642190000000003</v>
      </c>
      <c r="AB6511">
        <v>42</v>
      </c>
      <c r="AC6511">
        <v>12.5345999999999</v>
      </c>
      <c r="AD6511">
        <v>-1.0908135296179999</v>
      </c>
      <c r="AE6511">
        <v>15.218299999999999</v>
      </c>
      <c r="AF6511">
        <v>6.9320650474943397</v>
      </c>
      <c r="AG6511">
        <v>-1.0908135296179999</v>
      </c>
      <c r="AH6511">
        <v>18.3926740938725</v>
      </c>
      <c r="AI6511">
        <v>93.176441145136195</v>
      </c>
      <c r="AJ6511">
        <v>69.348938821155997</v>
      </c>
      <c r="AK6511">
        <v>19.685879718785699</v>
      </c>
    </row>
    <row r="6512" spans="1:37" x14ac:dyDescent="0.2">
      <c r="A6512" t="str">
        <f>"20200111153557183"</f>
        <v>20200111153557183</v>
      </c>
      <c r="B6512" t="str">
        <f>"1578728157171666"</f>
        <v>1578728157171666</v>
      </c>
      <c r="C6512" t="s">
        <v>37</v>
      </c>
      <c r="D6512">
        <v>5.0501649999999998</v>
      </c>
      <c r="E6512">
        <v>0.58877630000000003</v>
      </c>
      <c r="F6512" t="s">
        <v>51</v>
      </c>
      <c r="G6512">
        <v>-172.7653</v>
      </c>
      <c r="H6512" s="1">
        <v>-3.5052579999999998E-6</v>
      </c>
      <c r="I6512">
        <v>136.0889</v>
      </c>
      <c r="J6512">
        <v>-185.69659999999999</v>
      </c>
      <c r="K6512">
        <v>1.0907719999999901</v>
      </c>
      <c r="L6512">
        <v>120.60760000000001</v>
      </c>
      <c r="M6512">
        <v>0.32956740000000001</v>
      </c>
      <c r="N6512">
        <v>0</v>
      </c>
      <c r="O6512">
        <v>0.94399549999999999</v>
      </c>
      <c r="P6512">
        <v>0.45034570000000002</v>
      </c>
      <c r="Q6512">
        <v>2.281528E-2</v>
      </c>
      <c r="R6512">
        <v>0.89256270000000004</v>
      </c>
      <c r="S6512">
        <v>1.9687189999999899</v>
      </c>
      <c r="T6512">
        <v>-0.1650094</v>
      </c>
      <c r="U6512">
        <v>2.3772129999999998</v>
      </c>
      <c r="V6512">
        <v>0.13219919999999999</v>
      </c>
      <c r="W6512">
        <v>3.4338710000000001E-2</v>
      </c>
      <c r="X6512">
        <v>0.99062819999999996</v>
      </c>
      <c r="Y6512">
        <v>0.34737509999999999</v>
      </c>
      <c r="Z6512">
        <v>-5.356205E-2</v>
      </c>
      <c r="AA6512">
        <v>0.93619529999999995</v>
      </c>
      <c r="AB6512">
        <v>42</v>
      </c>
      <c r="AC6512">
        <v>12.931299999999901</v>
      </c>
      <c r="AD6512">
        <v>-1.0907755052579999</v>
      </c>
      <c r="AE6512">
        <v>15.4812999999999</v>
      </c>
      <c r="AF6512">
        <v>7.0851554960858403</v>
      </c>
      <c r="AG6512">
        <v>-1.0907755052579999</v>
      </c>
      <c r="AH6512">
        <v>18.823404455327601</v>
      </c>
      <c r="AI6512">
        <v>93.104293474208802</v>
      </c>
      <c r="AJ6512">
        <v>69.373593009710504</v>
      </c>
      <c r="AK6512">
        <v>20.142238577065701</v>
      </c>
    </row>
    <row r="6513" spans="1:37" x14ac:dyDescent="0.2">
      <c r="A6513" t="str">
        <f>"20200111153557196"</f>
        <v>20200111153557196</v>
      </c>
      <c r="B6513" t="str">
        <f>"1578728157192162"</f>
        <v>1578728157192162</v>
      </c>
      <c r="C6513" t="s">
        <v>37</v>
      </c>
      <c r="D6513">
        <v>5.0958769999999998</v>
      </c>
      <c r="E6513">
        <v>0.58888879999999999</v>
      </c>
      <c r="F6513" t="s">
        <v>51</v>
      </c>
      <c r="G6513">
        <v>-172.3415</v>
      </c>
      <c r="H6513" s="1">
        <v>-3.4780340000000001E-6</v>
      </c>
      <c r="I6513">
        <v>136.51249999999999</v>
      </c>
      <c r="J6513">
        <v>-185.61660000000001</v>
      </c>
      <c r="K6513">
        <v>1.0907370000000001</v>
      </c>
      <c r="L6513">
        <v>120.827</v>
      </c>
      <c r="M6513">
        <v>0.33607509999999902</v>
      </c>
      <c r="N6513">
        <v>0</v>
      </c>
      <c r="O6513">
        <v>0.94169890000000001</v>
      </c>
      <c r="P6513">
        <v>0.45562720000000001</v>
      </c>
      <c r="Q6513">
        <v>2.3098480000000001E-2</v>
      </c>
      <c r="R6513">
        <v>0.88987090000000002</v>
      </c>
      <c r="S6513">
        <v>1.9848479999999999</v>
      </c>
      <c r="T6513">
        <v>-0.16211220000000001</v>
      </c>
      <c r="U6513">
        <v>2.3637999999999999</v>
      </c>
      <c r="V6513">
        <v>0.13124569999999999</v>
      </c>
      <c r="W6513">
        <v>3.4613680000000001E-2</v>
      </c>
      <c r="X6513">
        <v>0.9907454</v>
      </c>
      <c r="Y6513">
        <v>0.34730159999999999</v>
      </c>
      <c r="Z6513">
        <v>-5.2563720000000001E-2</v>
      </c>
      <c r="AA6513">
        <v>0.93627919999999998</v>
      </c>
      <c r="AB6513">
        <v>42</v>
      </c>
      <c r="AC6513">
        <v>13.2751</v>
      </c>
      <c r="AD6513">
        <v>-1.090740478034</v>
      </c>
      <c r="AE6513">
        <v>15.6854999999999</v>
      </c>
      <c r="AF6513">
        <v>7.2102545301041197</v>
      </c>
      <c r="AG6513">
        <v>-1.090740478034</v>
      </c>
      <c r="AH6513">
        <v>19.180876116885099</v>
      </c>
      <c r="AI6513">
        <v>93.046945406919903</v>
      </c>
      <c r="AJ6513">
        <v>69.398332301133806</v>
      </c>
      <c r="AK6513">
        <v>20.520319046998299</v>
      </c>
    </row>
    <row r="6514" spans="1:37" x14ac:dyDescent="0.2">
      <c r="A6514" t="str">
        <f>"20200111153557207"</f>
        <v>20200111153557207</v>
      </c>
      <c r="B6514" t="str">
        <f>"1578728157201922"</f>
        <v>1578728157201922</v>
      </c>
      <c r="C6514" t="s">
        <v>37</v>
      </c>
      <c r="D6514">
        <v>5.0771369999999996</v>
      </c>
      <c r="E6514">
        <v>0.58890419999999999</v>
      </c>
      <c r="F6514" t="s">
        <v>51</v>
      </c>
      <c r="G6514">
        <v>-171.90729999999999</v>
      </c>
      <c r="H6514" s="1">
        <v>-3.451488E-6</v>
      </c>
      <c r="I6514">
        <v>136.94980000000001</v>
      </c>
      <c r="J6514">
        <v>-185.53829999999999</v>
      </c>
      <c r="K6514">
        <v>1.0907069999999901</v>
      </c>
      <c r="L6514">
        <v>121.0365</v>
      </c>
      <c r="M6514">
        <v>0.34229579999999998</v>
      </c>
      <c r="N6514">
        <v>0</v>
      </c>
      <c r="O6514">
        <v>0.93945610000000002</v>
      </c>
      <c r="P6514">
        <v>0.460947</v>
      </c>
      <c r="Q6514">
        <v>2.3051439999999999E-2</v>
      </c>
      <c r="R6514">
        <v>0.88712819999999903</v>
      </c>
      <c r="S6514">
        <v>1.999573</v>
      </c>
      <c r="T6514">
        <v>-0.15909089999999901</v>
      </c>
      <c r="U6514">
        <v>2.3516080000000001</v>
      </c>
      <c r="V6514">
        <v>0.13062470000000001</v>
      </c>
      <c r="W6514">
        <v>3.4552680000000002E-2</v>
      </c>
      <c r="X6514">
        <v>0.99082959999999998</v>
      </c>
      <c r="Y6514">
        <v>0.3469353</v>
      </c>
      <c r="Z6514">
        <v>-5.15218E-2</v>
      </c>
      <c r="AA6514">
        <v>0.93647279999999999</v>
      </c>
      <c r="AB6514">
        <v>42</v>
      </c>
      <c r="AC6514">
        <v>13.630999999999901</v>
      </c>
      <c r="AD6514">
        <v>-1.0907104514879999</v>
      </c>
      <c r="AE6514">
        <v>15.9133</v>
      </c>
      <c r="AF6514">
        <v>7.3397234973444201</v>
      </c>
      <c r="AG6514">
        <v>-1.0907104514879999</v>
      </c>
      <c r="AH6514">
        <v>19.5651750355009</v>
      </c>
      <c r="AI6514">
        <v>92.987876793109294</v>
      </c>
      <c r="AJ6514">
        <v>69.436810361600394</v>
      </c>
      <c r="AK6514">
        <v>20.925039175022899</v>
      </c>
    </row>
    <row r="6515" spans="1:37" x14ac:dyDescent="0.2">
      <c r="A6515" t="str">
        <f>"20200111153557220"</f>
        <v>20200111153557220</v>
      </c>
      <c r="B6515" t="str">
        <f>"1578728157211682"</f>
        <v>1578728157211682</v>
      </c>
      <c r="C6515" t="s">
        <v>37</v>
      </c>
      <c r="D6515">
        <v>5.0868139999999897</v>
      </c>
      <c r="E6515">
        <v>0.58892319999999998</v>
      </c>
      <c r="F6515" t="s">
        <v>51</v>
      </c>
      <c r="G6515">
        <v>-171.7097</v>
      </c>
      <c r="H6515" s="1">
        <v>-3.4215370000000002E-6</v>
      </c>
      <c r="I6515">
        <v>137.1019</v>
      </c>
      <c r="J6515">
        <v>-185.45349999999999</v>
      </c>
      <c r="K6515">
        <v>1.0906750000000001</v>
      </c>
      <c r="L6515">
        <v>121.2602</v>
      </c>
      <c r="M6515">
        <v>0.34893800000000003</v>
      </c>
      <c r="N6515">
        <v>0</v>
      </c>
      <c r="O6515">
        <v>0.9370098</v>
      </c>
      <c r="P6515">
        <v>0.46668759999999998</v>
      </c>
      <c r="Q6515">
        <v>2.2883279999999999E-2</v>
      </c>
      <c r="R6515">
        <v>0.88412610000000003</v>
      </c>
      <c r="S6515">
        <v>2.0137480000000001</v>
      </c>
      <c r="T6515">
        <v>-0.15883120000000001</v>
      </c>
      <c r="U6515">
        <v>2.33947799999999</v>
      </c>
      <c r="V6515">
        <v>0.1300269</v>
      </c>
      <c r="W6515">
        <v>3.4368719999999998E-2</v>
      </c>
      <c r="X6515">
        <v>0.99091459999999998</v>
      </c>
      <c r="Y6515">
        <v>0.34596169999999998</v>
      </c>
      <c r="Z6515">
        <v>-5.1363909999999999E-2</v>
      </c>
      <c r="AA6515">
        <v>0.9368417</v>
      </c>
      <c r="AB6515">
        <v>42</v>
      </c>
      <c r="AC6515">
        <v>13.743799999999901</v>
      </c>
      <c r="AD6515">
        <v>-1.090678421537</v>
      </c>
      <c r="AE6515">
        <v>15.841699999999999</v>
      </c>
      <c r="AF6515">
        <v>7.3314133504392798</v>
      </c>
      <c r="AG6515">
        <v>-1.090678421537</v>
      </c>
      <c r="AH6515">
        <v>19.5890871086694</v>
      </c>
      <c r="AI6515">
        <v>92.985012173931693</v>
      </c>
      <c r="AJ6515">
        <v>69.4811313105305</v>
      </c>
      <c r="AK6515">
        <v>20.9444869807127</v>
      </c>
    </row>
    <row r="6516" spans="1:37" x14ac:dyDescent="0.2">
      <c r="A6516" t="str">
        <f>"20200111153557233"</f>
        <v>20200111153557233</v>
      </c>
      <c r="B6516" t="str">
        <f>"1578728157222419"</f>
        <v>1578728157222419</v>
      </c>
      <c r="C6516" t="s">
        <v>37</v>
      </c>
      <c r="D6516">
        <v>5.1121999999999996</v>
      </c>
      <c r="E6516">
        <v>0.58890500000000001</v>
      </c>
      <c r="F6516" t="s">
        <v>51</v>
      </c>
      <c r="G6516">
        <v>-171.5633</v>
      </c>
      <c r="H6516" s="1">
        <v>-3.3881939999999999E-6</v>
      </c>
      <c r="I6516">
        <v>137.18510000000001</v>
      </c>
      <c r="J6516">
        <v>-185.363</v>
      </c>
      <c r="K6516">
        <v>1.0906439999999999</v>
      </c>
      <c r="L6516">
        <v>121.4924</v>
      </c>
      <c r="M6516">
        <v>0.35584399999999999</v>
      </c>
      <c r="N6516">
        <v>0</v>
      </c>
      <c r="O6516">
        <v>0.934409499999999</v>
      </c>
      <c r="P6516">
        <v>0.47288789999999897</v>
      </c>
      <c r="Q6516">
        <v>2.242361E-2</v>
      </c>
      <c r="R6516">
        <v>0.88083729999999905</v>
      </c>
      <c r="S6516">
        <v>2.02905299999999</v>
      </c>
      <c r="T6516">
        <v>-0.1593233</v>
      </c>
      <c r="U6516">
        <v>2.326263</v>
      </c>
      <c r="V6516">
        <v>0.1296572</v>
      </c>
      <c r="W6516">
        <v>3.3889299999999997E-2</v>
      </c>
      <c r="X6516">
        <v>0.99097959999999996</v>
      </c>
      <c r="Y6516">
        <v>0.34517120000000001</v>
      </c>
      <c r="Z6516">
        <v>-5.1443759999999998E-2</v>
      </c>
      <c r="AA6516">
        <v>0.93712879999999998</v>
      </c>
      <c r="AB6516">
        <v>41</v>
      </c>
      <c r="AC6516">
        <v>13.7997</v>
      </c>
      <c r="AD6516">
        <v>-1.090647388194</v>
      </c>
      <c r="AE6516">
        <v>15.6927</v>
      </c>
      <c r="AF6516">
        <v>7.2914846403797604</v>
      </c>
      <c r="AG6516">
        <v>-1.090647388194</v>
      </c>
      <c r="AH6516">
        <v>19.523254515007501</v>
      </c>
      <c r="AI6516">
        <v>92.995742401168201</v>
      </c>
      <c r="AJ6516">
        <v>69.520501126385199</v>
      </c>
      <c r="AK6516">
        <v>20.868941680018899</v>
      </c>
    </row>
    <row r="6517" spans="1:37" x14ac:dyDescent="0.2">
      <c r="A6517" t="str">
        <f>"20200111153557249"</f>
        <v>20200111153557249</v>
      </c>
      <c r="B6517" t="str">
        <f>"1578728157242448"</f>
        <v>1578728157242448</v>
      </c>
      <c r="C6517" t="s">
        <v>37</v>
      </c>
      <c r="D6517">
        <v>5.1488949999999898</v>
      </c>
      <c r="E6517">
        <v>0.58888940000000001</v>
      </c>
      <c r="F6517" t="s">
        <v>51</v>
      </c>
      <c r="G6517">
        <v>-171.57470000000001</v>
      </c>
      <c r="H6517" s="1">
        <v>-3.3530229999999999E-6</v>
      </c>
      <c r="I6517">
        <v>137.07910000000001</v>
      </c>
      <c r="J6517">
        <v>-185.26</v>
      </c>
      <c r="K6517">
        <v>1.0906049999999901</v>
      </c>
      <c r="L6517">
        <v>121.7509</v>
      </c>
      <c r="M6517">
        <v>0.363533</v>
      </c>
      <c r="N6517">
        <v>0</v>
      </c>
      <c r="O6517">
        <v>0.93144550000000004</v>
      </c>
      <c r="P6517">
        <v>0.47977520000000001</v>
      </c>
      <c r="Q6517">
        <v>2.0789350000000002E-2</v>
      </c>
      <c r="R6517">
        <v>0.87714519999999996</v>
      </c>
      <c r="S6517">
        <v>2.0452270000000001</v>
      </c>
      <c r="T6517">
        <v>-0.16177710000000001</v>
      </c>
      <c r="U6517">
        <v>2.3119809999999998</v>
      </c>
      <c r="V6517">
        <v>0.129186</v>
      </c>
      <c r="W6517">
        <v>3.2237490000000001E-2</v>
      </c>
      <c r="X6517">
        <v>0.99109619999999998</v>
      </c>
      <c r="Y6517">
        <v>0.34396149999999998</v>
      </c>
      <c r="Z6517">
        <v>-5.2139169999999999E-2</v>
      </c>
      <c r="AA6517">
        <v>0.93753500000000001</v>
      </c>
      <c r="AB6517">
        <v>41</v>
      </c>
      <c r="AC6517">
        <v>13.6852999999999</v>
      </c>
      <c r="AD6517">
        <v>-1.09060835302299</v>
      </c>
      <c r="AE6517">
        <v>15.328200000000001</v>
      </c>
      <c r="AF6517">
        <v>7.1555557462152501</v>
      </c>
      <c r="AG6517">
        <v>-1.09060835302299</v>
      </c>
      <c r="AH6517">
        <v>19.200789935075999</v>
      </c>
      <c r="AI6517">
        <v>93.0466547491894</v>
      </c>
      <c r="AJ6517">
        <v>69.561091621309998</v>
      </c>
      <c r="AK6517">
        <v>20.519788954757601</v>
      </c>
    </row>
    <row r="6518" spans="1:37" x14ac:dyDescent="0.2">
      <c r="A6518" t="str">
        <f>"20200111153557263"</f>
        <v>20200111153557263</v>
      </c>
      <c r="B6518" t="str">
        <f>"1578728157252211"</f>
        <v>1578728157252211</v>
      </c>
      <c r="C6518" t="s">
        <v>37</v>
      </c>
      <c r="D6518">
        <v>5.1228389999999999</v>
      </c>
      <c r="E6518">
        <v>0.58885209999999999</v>
      </c>
      <c r="F6518" t="s">
        <v>51</v>
      </c>
      <c r="G6518">
        <v>-171.86789999999999</v>
      </c>
      <c r="H6518" s="1">
        <v>-3.3220609999999999E-6</v>
      </c>
      <c r="I6518">
        <v>136.6549</v>
      </c>
      <c r="J6518">
        <v>-185.14850000000001</v>
      </c>
      <c r="K6518">
        <v>1.0905739999999999</v>
      </c>
      <c r="L6518">
        <v>122.0244</v>
      </c>
      <c r="M6518">
        <v>0.3716778</v>
      </c>
      <c r="N6518">
        <v>0</v>
      </c>
      <c r="O6518">
        <v>0.92822590000000005</v>
      </c>
      <c r="P6518">
        <v>0.48743829999999999</v>
      </c>
      <c r="Q6518">
        <v>2.0113120000000002E-2</v>
      </c>
      <c r="R6518">
        <v>0.87292579999999997</v>
      </c>
      <c r="S6518">
        <v>2.0629119999999999</v>
      </c>
      <c r="T6518">
        <v>-0.16799629999999999</v>
      </c>
      <c r="U6518">
        <v>2.2958069999999999</v>
      </c>
      <c r="V6518">
        <v>0.12915639999999901</v>
      </c>
      <c r="W6518">
        <v>3.1529269999999998E-2</v>
      </c>
      <c r="X6518">
        <v>0.99112279999999997</v>
      </c>
      <c r="Y6518">
        <v>0.34294419999999998</v>
      </c>
      <c r="Z6518">
        <v>-5.4036170000000001E-2</v>
      </c>
      <c r="AA6518">
        <v>0.93780030000000003</v>
      </c>
      <c r="AB6518">
        <v>41</v>
      </c>
      <c r="AC6518">
        <v>13.2806</v>
      </c>
      <c r="AD6518">
        <v>-1.090577322061</v>
      </c>
      <c r="AE6518">
        <v>14.6304999999999</v>
      </c>
      <c r="AF6518">
        <v>6.8695074276147396</v>
      </c>
      <c r="AG6518">
        <v>-1.090577322061</v>
      </c>
      <c r="AH6518">
        <v>18.462606587733799</v>
      </c>
      <c r="AI6518">
        <v>93.168747888185393</v>
      </c>
      <c r="AJ6518">
        <v>69.590934062540796</v>
      </c>
      <c r="AK6518">
        <v>19.729352072657601</v>
      </c>
    </row>
    <row r="6519" spans="1:37" x14ac:dyDescent="0.2">
      <c r="A6519" t="str">
        <f>"20200111153557277"</f>
        <v>20200111153557277</v>
      </c>
      <c r="B6519" t="str">
        <f>"1578728157271729"</f>
        <v>1578728157271729</v>
      </c>
      <c r="C6519" t="s">
        <v>37</v>
      </c>
      <c r="D6519">
        <v>5.1570819999999999</v>
      </c>
      <c r="E6519">
        <v>0.58881309999999998</v>
      </c>
      <c r="F6519" t="s">
        <v>51</v>
      </c>
      <c r="G6519">
        <v>-171.87389999999999</v>
      </c>
      <c r="H6519" s="1">
        <v>-3.2819610000000001E-6</v>
      </c>
      <c r="I6519">
        <v>136.54220000000001</v>
      </c>
      <c r="J6519">
        <v>-185.05</v>
      </c>
      <c r="K6519">
        <v>1.0905479999999901</v>
      </c>
      <c r="L6519">
        <v>122.2612</v>
      </c>
      <c r="M6519">
        <v>0.37872790000000001</v>
      </c>
      <c r="N6519">
        <v>0</v>
      </c>
      <c r="O6519">
        <v>0.92537219999999998</v>
      </c>
      <c r="P6519">
        <v>0.4940562</v>
      </c>
      <c r="Q6519">
        <v>1.9402260000000001E-2</v>
      </c>
      <c r="R6519">
        <v>0.86921349999999997</v>
      </c>
      <c r="S6519">
        <v>2.0826720000000001</v>
      </c>
      <c r="T6519">
        <v>-0.171102</v>
      </c>
      <c r="U6519">
        <v>2.2777099999999999</v>
      </c>
      <c r="V6519">
        <v>0.1291175</v>
      </c>
      <c r="W6519">
        <v>3.0793870000000001E-2</v>
      </c>
      <c r="X6519">
        <v>0.991151</v>
      </c>
      <c r="Y6519">
        <v>0.34390419999999999</v>
      </c>
      <c r="Z6519">
        <v>-5.4957239999999997E-2</v>
      </c>
      <c r="AA6519">
        <v>0.93739509999999904</v>
      </c>
      <c r="AB6519">
        <v>41</v>
      </c>
      <c r="AC6519">
        <v>13.1761</v>
      </c>
      <c r="AD6519">
        <v>-1.0905512819609999</v>
      </c>
      <c r="AE6519">
        <v>14.281000000000001</v>
      </c>
      <c r="AF6519">
        <v>6.7637309394453196</v>
      </c>
      <c r="AG6519">
        <v>-1.0905512819609999</v>
      </c>
      <c r="AH6519">
        <v>18.1505124905019</v>
      </c>
      <c r="AI6519">
        <v>93.222443614568405</v>
      </c>
      <c r="AJ6519">
        <v>69.562250378044496</v>
      </c>
      <c r="AK6519">
        <v>19.400475818589101</v>
      </c>
    </row>
    <row r="6520" spans="1:37" x14ac:dyDescent="0.2">
      <c r="A6520" t="str">
        <f>"20200111153557293"</f>
        <v>20200111153557293</v>
      </c>
      <c r="B6520" t="str">
        <f>"1578728157282464"</f>
        <v>1578728157282464</v>
      </c>
      <c r="C6520" t="s">
        <v>37</v>
      </c>
      <c r="D6520">
        <v>5.187449</v>
      </c>
      <c r="E6520">
        <v>0.58882159999999995</v>
      </c>
      <c r="F6520" t="s">
        <v>51</v>
      </c>
      <c r="G6520">
        <v>-171.92850000000001</v>
      </c>
      <c r="H6520" s="1">
        <v>-3.251103E-6</v>
      </c>
      <c r="I6520">
        <v>136.39699999999999</v>
      </c>
      <c r="J6520">
        <v>-184.9434</v>
      </c>
      <c r="K6520">
        <v>1.0905180000000001</v>
      </c>
      <c r="L6520">
        <v>122.51009999999999</v>
      </c>
      <c r="M6520">
        <v>0.386154099999999</v>
      </c>
      <c r="N6520">
        <v>0</v>
      </c>
      <c r="O6520">
        <v>0.92229830000000002</v>
      </c>
      <c r="P6520">
        <v>0.50151859999999904</v>
      </c>
      <c r="Q6520">
        <v>1.7938780000000001E-2</v>
      </c>
      <c r="R6520">
        <v>0.86496090000000003</v>
      </c>
      <c r="S6520">
        <v>2.0995789999999999</v>
      </c>
      <c r="T6520">
        <v>-0.17449999999999999</v>
      </c>
      <c r="U6520">
        <v>2.26188699999999</v>
      </c>
      <c r="V6520">
        <v>0.12961889999999901</v>
      </c>
      <c r="W6520">
        <v>2.928917E-2</v>
      </c>
      <c r="X6520">
        <v>0.99113119999999999</v>
      </c>
      <c r="Y6520">
        <v>0.34334959999999998</v>
      </c>
      <c r="Z6520">
        <v>-5.5943350000000003E-2</v>
      </c>
      <c r="AA6520">
        <v>0.93754009999999999</v>
      </c>
      <c r="AB6520">
        <v>41</v>
      </c>
      <c r="AC6520">
        <v>13.0148999999999</v>
      </c>
      <c r="AD6520">
        <v>-1.090521251103</v>
      </c>
      <c r="AE6520">
        <v>13.886900000000001</v>
      </c>
      <c r="AF6520">
        <v>6.6202352530402102</v>
      </c>
      <c r="AG6520">
        <v>-1.090521251103</v>
      </c>
      <c r="AH6520">
        <v>17.777493849727598</v>
      </c>
      <c r="AI6520">
        <v>93.290092881649699</v>
      </c>
      <c r="AJ6520">
        <v>69.574962095606693</v>
      </c>
      <c r="AK6520">
        <v>19.001474652821098</v>
      </c>
    </row>
    <row r="6521" spans="1:37" x14ac:dyDescent="0.2">
      <c r="A6521" t="str">
        <f>"20200111153557307"</f>
        <v>20200111153557307</v>
      </c>
      <c r="B6521" t="str">
        <f>"1578728157301984"</f>
        <v>1578728157301984</v>
      </c>
      <c r="C6521" t="s">
        <v>37</v>
      </c>
      <c r="D6521">
        <v>5.1626139999999996</v>
      </c>
      <c r="E6521">
        <v>0.58869229999999995</v>
      </c>
      <c r="F6521" t="s">
        <v>51</v>
      </c>
      <c r="G6521">
        <v>-172.11500000000001</v>
      </c>
      <c r="H6521" s="1">
        <v>-3.2185589999999999E-6</v>
      </c>
      <c r="I6521">
        <v>136.0934</v>
      </c>
      <c r="J6521">
        <v>-184.82910000000001</v>
      </c>
      <c r="K6521">
        <v>1.0905</v>
      </c>
      <c r="L6521">
        <v>122.7715</v>
      </c>
      <c r="M6521">
        <v>0.3939569</v>
      </c>
      <c r="N6521">
        <v>0</v>
      </c>
      <c r="O6521">
        <v>0.91899279999999905</v>
      </c>
      <c r="P6521">
        <v>0.50931079999999995</v>
      </c>
      <c r="Q6521">
        <v>1.7040489999999998E-2</v>
      </c>
      <c r="R6521">
        <v>0.86041399999999901</v>
      </c>
      <c r="S6521">
        <v>2.1188509999999998</v>
      </c>
      <c r="T6521">
        <v>-0.180119899999999</v>
      </c>
      <c r="U6521">
        <v>2.2435459999999998</v>
      </c>
      <c r="V6521">
        <v>0.13013350000000001</v>
      </c>
      <c r="W6521">
        <v>2.8350199999999999E-2</v>
      </c>
      <c r="X6521">
        <v>0.9910911</v>
      </c>
      <c r="Y6521">
        <v>0.34340129999999902</v>
      </c>
      <c r="Z6521">
        <v>-5.7632639999999999E-2</v>
      </c>
      <c r="AA6521">
        <v>0.9374188</v>
      </c>
      <c r="AB6521">
        <v>41</v>
      </c>
      <c r="AC6521">
        <v>12.7141</v>
      </c>
      <c r="AD6521">
        <v>-1.090503218559</v>
      </c>
      <c r="AE6521">
        <v>13.321899999999999</v>
      </c>
      <c r="AF6521">
        <v>6.4142244299174296</v>
      </c>
      <c r="AG6521">
        <v>-1.090503218559</v>
      </c>
      <c r="AH6521">
        <v>17.193403999296201</v>
      </c>
      <c r="AI6521">
        <v>93.400805986768603</v>
      </c>
      <c r="AJ6521">
        <v>69.541311365196094</v>
      </c>
      <c r="AK6521">
        <v>18.383269931925899</v>
      </c>
    </row>
    <row r="6522" spans="1:37" x14ac:dyDescent="0.2">
      <c r="A6522" t="str">
        <f>"20200111153557320"</f>
        <v>20200111153557320</v>
      </c>
      <c r="B6522" t="str">
        <f>"1578728157311744"</f>
        <v>1578728157311744</v>
      </c>
      <c r="C6522" t="s">
        <v>37</v>
      </c>
      <c r="D6522">
        <v>5.2060069999999996</v>
      </c>
      <c r="E6522">
        <v>0.58862829999999999</v>
      </c>
      <c r="F6522" t="s">
        <v>51</v>
      </c>
      <c r="G6522">
        <v>-172.24459999999999</v>
      </c>
      <c r="H6522" s="1">
        <v>-3.1896150000000001E-6</v>
      </c>
      <c r="I6522">
        <v>135.8657</v>
      </c>
      <c r="J6522">
        <v>-184.73150000000001</v>
      </c>
      <c r="K6522">
        <v>1.0904860000000001</v>
      </c>
      <c r="L6522">
        <v>122.991</v>
      </c>
      <c r="M6522">
        <v>0.40051100000000001</v>
      </c>
      <c r="N6522">
        <v>0</v>
      </c>
      <c r="O6522">
        <v>0.91615559999999996</v>
      </c>
      <c r="P6522">
        <v>0.51595579999999996</v>
      </c>
      <c r="Q6522">
        <v>1.618021E-2</v>
      </c>
      <c r="R6522">
        <v>0.85646239999999996</v>
      </c>
      <c r="S6522">
        <v>2.13812299999999</v>
      </c>
      <c r="T6522">
        <v>-0.1852772</v>
      </c>
      <c r="U6522">
        <v>2.2247159999999999</v>
      </c>
      <c r="V6522">
        <v>0.13069049999999999</v>
      </c>
      <c r="W6522">
        <v>2.7453140000000001E-2</v>
      </c>
      <c r="X6522">
        <v>0.99104300000000001</v>
      </c>
      <c r="Y6522">
        <v>0.34480879999999903</v>
      </c>
      <c r="Z6522">
        <v>-5.9202579999999998E-2</v>
      </c>
      <c r="AA6522">
        <v>0.93680409999999903</v>
      </c>
      <c r="AB6522">
        <v>41</v>
      </c>
      <c r="AC6522">
        <v>12.4869</v>
      </c>
      <c r="AD6522">
        <v>-1.090489189615</v>
      </c>
      <c r="AE6522">
        <v>12.874700000000001</v>
      </c>
      <c r="AF6522">
        <v>6.2611238254415698</v>
      </c>
      <c r="AG6522">
        <v>-1.090489189615</v>
      </c>
      <c r="AH6522">
        <v>16.736597329857702</v>
      </c>
      <c r="AI6522">
        <v>93.492173708160394</v>
      </c>
      <c r="AJ6522">
        <v>69.489288698843694</v>
      </c>
      <c r="AK6522">
        <v>17.902640263714702</v>
      </c>
    </row>
    <row r="6523" spans="1:37" x14ac:dyDescent="0.2">
      <c r="A6523" t="str">
        <f>"20200111153557332"</f>
        <v>20200111153557332</v>
      </c>
      <c r="B6523" t="str">
        <f>"1578728157322481"</f>
        <v>1578728157322481</v>
      </c>
      <c r="C6523" t="s">
        <v>37</v>
      </c>
      <c r="D6523">
        <v>5.1872680000000004</v>
      </c>
      <c r="E6523">
        <v>0.58852130000000002</v>
      </c>
      <c r="F6523" t="s">
        <v>51</v>
      </c>
      <c r="G6523">
        <v>-172.29669999999999</v>
      </c>
      <c r="H6523" s="1">
        <v>-3.163023E-6</v>
      </c>
      <c r="I6523">
        <v>135.7347</v>
      </c>
      <c r="J6523">
        <v>-184.63480000000001</v>
      </c>
      <c r="K6523">
        <v>1.090471</v>
      </c>
      <c r="L6523">
        <v>123.20299999999899</v>
      </c>
      <c r="M6523">
        <v>0.40685209999999999</v>
      </c>
      <c r="N6523">
        <v>0</v>
      </c>
      <c r="O6523">
        <v>0.91335750000000004</v>
      </c>
      <c r="P6523">
        <v>0.52272580000000002</v>
      </c>
      <c r="Q6523">
        <v>1.545824E-2</v>
      </c>
      <c r="R6523">
        <v>0.85236080000000003</v>
      </c>
      <c r="S6523">
        <v>2.15475499999999</v>
      </c>
      <c r="T6523">
        <v>-0.1889644</v>
      </c>
      <c r="U6523">
        <v>2.20826699999999</v>
      </c>
      <c r="V6523">
        <v>0.13164279999999901</v>
      </c>
      <c r="W6523">
        <v>2.6682850000000001E-2</v>
      </c>
      <c r="X6523">
        <v>0.99093809999999904</v>
      </c>
      <c r="Y6523">
        <v>0.34535490000000002</v>
      </c>
      <c r="Z6523">
        <v>-6.0287439999999998E-2</v>
      </c>
      <c r="AA6523">
        <v>0.93653369999999903</v>
      </c>
      <c r="AB6523">
        <v>41</v>
      </c>
      <c r="AC6523">
        <v>12.338100000000001</v>
      </c>
      <c r="AD6523">
        <v>-1.0904741630229999</v>
      </c>
      <c r="AE6523">
        <v>12.531700000000001</v>
      </c>
      <c r="AF6523">
        <v>6.1476799858934497</v>
      </c>
      <c r="AG6523">
        <v>-1.0904741630229999</v>
      </c>
      <c r="AH6523">
        <v>16.404683049754901</v>
      </c>
      <c r="AI6523">
        <v>93.561838574587995</v>
      </c>
      <c r="AJ6523">
        <v>69.456437188000805</v>
      </c>
      <c r="AK6523">
        <v>17.552684383651702</v>
      </c>
    </row>
    <row r="6524" spans="1:37" x14ac:dyDescent="0.2">
      <c r="A6524" t="str">
        <f>"20200111153557349"</f>
        <v>20200111153557349</v>
      </c>
      <c r="B6524" t="str">
        <f>"1578728157341999"</f>
        <v>1578728157341999</v>
      </c>
      <c r="C6524" t="s">
        <v>37</v>
      </c>
      <c r="D6524">
        <v>5.2326040000000003</v>
      </c>
      <c r="E6524">
        <v>0.58846619999999905</v>
      </c>
      <c r="F6524" t="s">
        <v>51</v>
      </c>
      <c r="G6524">
        <v>-172.3246</v>
      </c>
      <c r="H6524" s="1">
        <v>-3.134968E-6</v>
      </c>
      <c r="I6524">
        <v>135.62809999999999</v>
      </c>
      <c r="J6524">
        <v>-184.51</v>
      </c>
      <c r="K6524">
        <v>1.090457</v>
      </c>
      <c r="L6524">
        <v>123.4716</v>
      </c>
      <c r="M6524">
        <v>0.41488999999999998</v>
      </c>
      <c r="N6524">
        <v>0</v>
      </c>
      <c r="O6524">
        <v>0.90973479999999995</v>
      </c>
      <c r="P6524">
        <v>0.53204799999999997</v>
      </c>
      <c r="Q6524">
        <v>1.446716E-2</v>
      </c>
      <c r="R6524">
        <v>0.84659059999999897</v>
      </c>
      <c r="S6524">
        <v>2.1712799999999999</v>
      </c>
      <c r="T6524">
        <v>-0.19233810000000001</v>
      </c>
      <c r="U6524">
        <v>2.1915439999999999</v>
      </c>
      <c r="V6524">
        <v>0.13373779999999999</v>
      </c>
      <c r="W6524">
        <v>2.559985E-2</v>
      </c>
      <c r="X6524">
        <v>0.99068609999999901</v>
      </c>
      <c r="Y6524">
        <v>0.34417239999999999</v>
      </c>
      <c r="Z6524">
        <v>-6.121422E-2</v>
      </c>
      <c r="AA6524">
        <v>0.93690879999999999</v>
      </c>
      <c r="AB6524">
        <v>41</v>
      </c>
      <c r="AC6524">
        <v>12.1853999999999</v>
      </c>
      <c r="AD6524">
        <v>-1.0904601349680001</v>
      </c>
      <c r="AE6524">
        <v>12.1564999999999</v>
      </c>
      <c r="AF6524">
        <v>6.0184680890171496</v>
      </c>
      <c r="AG6524">
        <v>-1.0904601349680001</v>
      </c>
      <c r="AH6524">
        <v>16.052368746381099</v>
      </c>
      <c r="AI6524">
        <v>93.639549057631299</v>
      </c>
      <c r="AJ6524">
        <v>69.447616690989904</v>
      </c>
      <c r="AK6524">
        <v>17.178172307153702</v>
      </c>
    </row>
    <row r="6525" spans="1:37" x14ac:dyDescent="0.2">
      <c r="A6525" t="str">
        <f>"20200111153557362"</f>
        <v>20200111153557362</v>
      </c>
      <c r="B6525" t="str">
        <f>"1578728157351760"</f>
        <v>1578728157351760</v>
      </c>
      <c r="C6525" t="s">
        <v>37</v>
      </c>
      <c r="D6525">
        <v>5.6315790000000003</v>
      </c>
      <c r="E6525">
        <v>0.60678149999999997</v>
      </c>
      <c r="F6525" t="s">
        <v>51</v>
      </c>
      <c r="G6525">
        <v>-172.35329999999999</v>
      </c>
      <c r="H6525" s="1">
        <v>-3.09123899999999E-6</v>
      </c>
      <c r="I6525">
        <v>135.4794</v>
      </c>
      <c r="J6525">
        <v>-184.405</v>
      </c>
      <c r="K6525">
        <v>1.090444</v>
      </c>
      <c r="L6525">
        <v>123.6936</v>
      </c>
      <c r="M6525">
        <v>0.42153659999999998</v>
      </c>
      <c r="N6525">
        <v>0</v>
      </c>
      <c r="O6525">
        <v>0.90667430000000004</v>
      </c>
      <c r="P6525">
        <v>0.5390682</v>
      </c>
      <c r="Q6525">
        <v>1.489949E-2</v>
      </c>
      <c r="R6525">
        <v>0.84213039999999995</v>
      </c>
      <c r="S6525">
        <v>2.1946409999999998</v>
      </c>
      <c r="T6525">
        <v>-0.19685920000000001</v>
      </c>
      <c r="U6525">
        <v>2.1677550000000001</v>
      </c>
      <c r="V6525">
        <v>0.13474149999999999</v>
      </c>
      <c r="W6525">
        <v>2.5984050000000002E-2</v>
      </c>
      <c r="X6525">
        <v>0.99053999999999998</v>
      </c>
      <c r="Y6525">
        <v>0.3473599</v>
      </c>
      <c r="Z6525">
        <v>-6.2581490000000004E-2</v>
      </c>
      <c r="AA6525">
        <v>0.93564130000000001</v>
      </c>
      <c r="AB6525">
        <v>41</v>
      </c>
      <c r="AC6525">
        <v>12.0517</v>
      </c>
      <c r="AD6525">
        <v>-1.0904470912390001</v>
      </c>
      <c r="AE6525">
        <v>11.785799999999901</v>
      </c>
      <c r="AF6525">
        <v>5.9347264298035602</v>
      </c>
      <c r="AG6525">
        <v>-1.0904470912390001</v>
      </c>
      <c r="AH6525">
        <v>15.7023651690824</v>
      </c>
      <c r="AI6525">
        <v>93.716707120428794</v>
      </c>
      <c r="AJ6525">
        <v>69.295858616986493</v>
      </c>
      <c r="AK6525">
        <v>16.8218407006669</v>
      </c>
    </row>
    <row r="6526" spans="1:37" x14ac:dyDescent="0.2">
      <c r="A6526" t="str">
        <f>"20200111153557374"</f>
        <v>20200111153557374</v>
      </c>
      <c r="B6526" t="str">
        <f>"1578728157362497"</f>
        <v>1578728157362497</v>
      </c>
      <c r="C6526" t="s">
        <v>37</v>
      </c>
      <c r="D6526">
        <v>5.5099320000000001</v>
      </c>
      <c r="E6526">
        <v>0.60678149999999997</v>
      </c>
      <c r="F6526" t="s">
        <v>51</v>
      </c>
      <c r="G6526">
        <v>-170.9264</v>
      </c>
      <c r="H6526" s="1">
        <v>-2.3916850000000001E-6</v>
      </c>
      <c r="I6526">
        <v>135.6431</v>
      </c>
      <c r="J6526">
        <v>-184.30539999999999</v>
      </c>
      <c r="K6526">
        <v>1.090441</v>
      </c>
      <c r="L6526">
        <v>123.89960000000001</v>
      </c>
      <c r="M6526">
        <v>0.42771769999999998</v>
      </c>
      <c r="N6526">
        <v>0</v>
      </c>
      <c r="O6526">
        <v>0.90377510000000005</v>
      </c>
      <c r="P6526">
        <v>0.54558830000000003</v>
      </c>
      <c r="Q6526">
        <v>1.524214E-2</v>
      </c>
      <c r="R6526">
        <v>0.83791479999999996</v>
      </c>
      <c r="S6526">
        <v>2.3356169999999898</v>
      </c>
      <c r="T6526">
        <v>-0.18895599999999901</v>
      </c>
      <c r="U6526">
        <v>2.0706479999999998</v>
      </c>
      <c r="V6526">
        <v>0.13567989999999999</v>
      </c>
      <c r="W6526">
        <v>2.6282920000000001E-2</v>
      </c>
      <c r="X6526">
        <v>0.99040409999999901</v>
      </c>
      <c r="Y6526">
        <v>0.3911268</v>
      </c>
      <c r="Z6526">
        <v>-5.989966E-2</v>
      </c>
      <c r="AA6526">
        <v>0.91838539999999902</v>
      </c>
      <c r="AB6526">
        <v>41</v>
      </c>
      <c r="AC6526">
        <v>13.3789999999999</v>
      </c>
      <c r="AD6526">
        <v>-1.090443391685</v>
      </c>
      <c r="AE6526">
        <v>11.7434999999999</v>
      </c>
      <c r="AF6526">
        <v>7.0431548363712997</v>
      </c>
      <c r="AG6526">
        <v>-1.090443391685</v>
      </c>
      <c r="AH6526">
        <v>16.276872778499499</v>
      </c>
      <c r="AI6526">
        <v>93.518354927104198</v>
      </c>
      <c r="AJ6526">
        <v>66.601414225248007</v>
      </c>
      <c r="AK6526">
        <v>17.768840262859801</v>
      </c>
    </row>
    <row r="6527" spans="1:37" x14ac:dyDescent="0.2">
      <c r="A6527" t="str">
        <f>"20200111153557387"</f>
        <v>20200111153557387</v>
      </c>
      <c r="B6527" t="str">
        <f>"1578728157382016"</f>
        <v>1578728157382016</v>
      </c>
      <c r="C6527" t="s">
        <v>37</v>
      </c>
      <c r="D6527">
        <v>5.2741300000000004</v>
      </c>
      <c r="E6527">
        <v>0.65253479999999997</v>
      </c>
      <c r="F6527" t="s">
        <v>51</v>
      </c>
      <c r="G6527">
        <v>-170.67019999999999</v>
      </c>
      <c r="H6527" s="1">
        <v>-2.315112E-6</v>
      </c>
      <c r="I6527">
        <v>135.80000000000001</v>
      </c>
      <c r="J6527">
        <v>-184.20169999999999</v>
      </c>
      <c r="K6527">
        <v>1.0904399999999901</v>
      </c>
      <c r="L6527">
        <v>124.1101</v>
      </c>
      <c r="M6527">
        <v>0.43404729999999903</v>
      </c>
      <c r="N6527">
        <v>0</v>
      </c>
      <c r="O6527">
        <v>0.90075249999999996</v>
      </c>
      <c r="P6527">
        <v>0.55198130000000001</v>
      </c>
      <c r="Q6527">
        <v>1.5531079999999999E-2</v>
      </c>
      <c r="R6527">
        <v>0.8337118</v>
      </c>
      <c r="S6527">
        <v>2.3516849999999998</v>
      </c>
      <c r="T6527">
        <v>-0.18806989999999901</v>
      </c>
      <c r="U6527">
        <v>2.0524900000000001</v>
      </c>
      <c r="V6527">
        <v>0.1363193</v>
      </c>
      <c r="W6527">
        <v>2.653937E-2</v>
      </c>
      <c r="X6527">
        <v>0.99030940000000001</v>
      </c>
      <c r="Y6527">
        <v>0.39182280000000003</v>
      </c>
      <c r="Z6527">
        <v>-5.9524680000000003E-2</v>
      </c>
      <c r="AA6527">
        <v>0.91811309999999902</v>
      </c>
      <c r="AB6527">
        <v>41</v>
      </c>
      <c r="AC6527">
        <v>13.5314999999999</v>
      </c>
      <c r="AD6527">
        <v>-1.090442315112</v>
      </c>
      <c r="AE6527">
        <v>11.6899</v>
      </c>
      <c r="AF6527">
        <v>7.0890828833178103</v>
      </c>
      <c r="AG6527">
        <v>-1.090442315112</v>
      </c>
      <c r="AH6527">
        <v>16.344272054680498</v>
      </c>
      <c r="AI6527">
        <v>93.502571592272403</v>
      </c>
      <c r="AJ6527">
        <v>66.551934388122305</v>
      </c>
      <c r="AK6527">
        <v>17.848792383983401</v>
      </c>
    </row>
    <row r="6528" spans="1:37" x14ac:dyDescent="0.2">
      <c r="A6528" t="str">
        <f>"20200111153557400"</f>
        <v>20200111153557400</v>
      </c>
      <c r="B6528" t="str">
        <f>"1578728157391775"</f>
        <v>1578728157391775</v>
      </c>
      <c r="C6528" t="s">
        <v>37</v>
      </c>
      <c r="D6528">
        <v>5.3772909999999996</v>
      </c>
      <c r="E6528">
        <v>0.656340699999999</v>
      </c>
      <c r="F6528" t="s">
        <v>39</v>
      </c>
      <c r="G6528">
        <v>-161.79060000000001</v>
      </c>
      <c r="H6528" s="1">
        <v>-3.8850860000000003E-6</v>
      </c>
      <c r="I6528">
        <v>139.4813</v>
      </c>
      <c r="J6528">
        <v>-184.08779999999999</v>
      </c>
      <c r="K6528">
        <v>1.0904339999999999</v>
      </c>
      <c r="L6528">
        <v>124.3382</v>
      </c>
      <c r="M6528">
        <v>0.44090649999999998</v>
      </c>
      <c r="N6528">
        <v>0</v>
      </c>
      <c r="O6528">
        <v>0.89741499999999996</v>
      </c>
      <c r="P6528">
        <v>0.55859190000000003</v>
      </c>
      <c r="Q6528">
        <v>1.6269599999999999E-2</v>
      </c>
      <c r="R6528">
        <v>0.82928310000000005</v>
      </c>
      <c r="S6528">
        <v>2.6712950000000002</v>
      </c>
      <c r="T6528">
        <v>-0.12997529999999999</v>
      </c>
      <c r="U6528">
        <v>1.8321689999999999</v>
      </c>
      <c r="V6528">
        <v>0.13666829999999999</v>
      </c>
      <c r="W6528">
        <v>2.7256269999999999E-2</v>
      </c>
      <c r="X6528">
        <v>0.99024179999999995</v>
      </c>
      <c r="Y6528">
        <v>0.49001129999999998</v>
      </c>
      <c r="Z6528">
        <v>-4.0618960000000003E-2</v>
      </c>
      <c r="AA6528">
        <v>0.87076929999999997</v>
      </c>
      <c r="AB6528">
        <v>41</v>
      </c>
      <c r="AC6528">
        <v>22.297199999999901</v>
      </c>
      <c r="AD6528">
        <v>-1.0904378850859999</v>
      </c>
      <c r="AE6528">
        <v>15.1431</v>
      </c>
      <c r="AF6528">
        <v>13.313012735175001</v>
      </c>
      <c r="AG6528">
        <v>-1.0904378850859999</v>
      </c>
      <c r="AH6528">
        <v>23.385252053309401</v>
      </c>
      <c r="AI6528">
        <v>92.320517486194007</v>
      </c>
      <c r="AJ6528">
        <v>60.347531599142798</v>
      </c>
      <c r="AK6528">
        <v>26.931308480372302</v>
      </c>
    </row>
    <row r="6529" spans="1:37" x14ac:dyDescent="0.2">
      <c r="A6529" t="str">
        <f>"20200111153557415"</f>
        <v>20200111153557415</v>
      </c>
      <c r="B6529" t="str">
        <f>"1578728157412272"</f>
        <v>1578728157412272</v>
      </c>
      <c r="C6529" t="s">
        <v>37</v>
      </c>
      <c r="D6529">
        <v>5.4794609999999997</v>
      </c>
      <c r="E6529">
        <v>0.65598350000000005</v>
      </c>
      <c r="F6529" t="s">
        <v>39</v>
      </c>
      <c r="G6529">
        <v>-159.32990000000001</v>
      </c>
      <c r="H6529" s="1">
        <v>-5.6380369999999903E-7</v>
      </c>
      <c r="I6529">
        <v>140.72120000000001</v>
      </c>
      <c r="J6529">
        <v>-183.96209999999999</v>
      </c>
      <c r="K6529">
        <v>1.0904259999999999</v>
      </c>
      <c r="L6529">
        <v>124.58410000000001</v>
      </c>
      <c r="M6529">
        <v>0.44833190000000001</v>
      </c>
      <c r="N6529">
        <v>0</v>
      </c>
      <c r="O6529">
        <v>0.89372870000000004</v>
      </c>
      <c r="P6529">
        <v>0.56546830000000003</v>
      </c>
      <c r="Q6529">
        <v>1.7400140000000001E-2</v>
      </c>
      <c r="R6529">
        <v>0.8245865</v>
      </c>
      <c r="S6529">
        <v>2.7109070000000002</v>
      </c>
      <c r="T6529">
        <v>-0.11939859999999999</v>
      </c>
      <c r="U6529">
        <v>1.793884</v>
      </c>
      <c r="V6529">
        <v>0.1367408</v>
      </c>
      <c r="W6529">
        <v>2.83745E-2</v>
      </c>
      <c r="X6529">
        <v>0.99020039999999998</v>
      </c>
      <c r="Y6529">
        <v>0.49734830000000002</v>
      </c>
      <c r="Z6529">
        <v>-3.7196489999999999E-2</v>
      </c>
      <c r="AA6529">
        <v>0.866753199999999</v>
      </c>
      <c r="AB6529">
        <v>41</v>
      </c>
      <c r="AC6529">
        <v>24.632199999999902</v>
      </c>
      <c r="AD6529">
        <v>-1.0904265638036901</v>
      </c>
      <c r="AE6529">
        <v>16.1371</v>
      </c>
      <c r="AF6529">
        <v>14.7613162611324</v>
      </c>
      <c r="AG6529">
        <v>-1.0904265638036901</v>
      </c>
      <c r="AH6529">
        <v>25.4338679233439</v>
      </c>
      <c r="AI6529">
        <v>92.123575902342594</v>
      </c>
      <c r="AJ6529">
        <v>59.869964236071297</v>
      </c>
      <c r="AK6529">
        <v>29.427319371535098</v>
      </c>
    </row>
    <row r="6530" spans="1:37" x14ac:dyDescent="0.2">
      <c r="A6530" t="str">
        <f>"20200111153557429"</f>
        <v>20200111153557429</v>
      </c>
      <c r="B6530" t="str">
        <f>"1578728157422033"</f>
        <v>1578728157422033</v>
      </c>
      <c r="C6530" t="s">
        <v>37</v>
      </c>
      <c r="D6530">
        <v>5.498907</v>
      </c>
      <c r="E6530">
        <v>0.65527029999999997</v>
      </c>
      <c r="F6530" t="s">
        <v>39</v>
      </c>
      <c r="G6530">
        <v>-159.70150000000001</v>
      </c>
      <c r="H6530" s="1">
        <v>-3.1317310000000001E-7</v>
      </c>
      <c r="I6530">
        <v>140.3783</v>
      </c>
      <c r="J6530">
        <v>-183.84379999999999</v>
      </c>
      <c r="K6530">
        <v>1.0904149999999999</v>
      </c>
      <c r="L6530">
        <v>124.8104</v>
      </c>
      <c r="M6530">
        <v>0.45519079999999901</v>
      </c>
      <c r="N6530">
        <v>0</v>
      </c>
      <c r="O6530">
        <v>0.89025499999999902</v>
      </c>
      <c r="P6530">
        <v>0.57184650000000004</v>
      </c>
      <c r="Q6530">
        <v>1.8074340000000001E-2</v>
      </c>
      <c r="R6530">
        <v>0.82016149999999999</v>
      </c>
      <c r="S6530">
        <v>2.7235259999999899</v>
      </c>
      <c r="T6530">
        <v>-0.1224126</v>
      </c>
      <c r="U6530">
        <v>1.7730869999999901</v>
      </c>
      <c r="V6530">
        <v>0.1368366</v>
      </c>
      <c r="W6530">
        <v>2.903704E-2</v>
      </c>
      <c r="X6530">
        <v>0.99016800000000005</v>
      </c>
      <c r="Y6530">
        <v>0.49713099999999999</v>
      </c>
      <c r="Z6530">
        <v>-3.8080290000000003E-2</v>
      </c>
      <c r="AA6530">
        <v>0.86683949999999999</v>
      </c>
      <c r="AB6530">
        <v>41</v>
      </c>
      <c r="AC6530">
        <v>24.142299999999899</v>
      </c>
      <c r="AD6530">
        <v>-1.09041531317309</v>
      </c>
      <c r="AE6530">
        <v>15.5678999999999</v>
      </c>
      <c r="AF6530">
        <v>14.3874903846656</v>
      </c>
      <c r="AG6530">
        <v>-1.09041531317309</v>
      </c>
      <c r="AH6530">
        <v>24.816071379393801</v>
      </c>
      <c r="AI6530">
        <v>92.176950426808801</v>
      </c>
      <c r="AJ6530">
        <v>59.896341769075399</v>
      </c>
      <c r="AK6530">
        <v>28.705858005487599</v>
      </c>
    </row>
    <row r="6531" spans="1:37" x14ac:dyDescent="0.2">
      <c r="A6531" t="str">
        <f>"20200111153557449"</f>
        <v>20200111153557449</v>
      </c>
      <c r="B6531" t="str">
        <f>"1578728157442528"</f>
        <v>1578728157442528</v>
      </c>
      <c r="C6531" t="s">
        <v>37</v>
      </c>
      <c r="D6531">
        <v>5.4787160000000004</v>
      </c>
      <c r="E6531">
        <v>0.65324749999999998</v>
      </c>
      <c r="F6531" t="s">
        <v>39</v>
      </c>
      <c r="G6531">
        <v>-160.1661</v>
      </c>
      <c r="H6531" s="1">
        <v>-4.718989E-6</v>
      </c>
      <c r="I6531">
        <v>140.01929999999999</v>
      </c>
      <c r="J6531">
        <v>-183.6677</v>
      </c>
      <c r="K6531">
        <v>1.0903849999999999</v>
      </c>
      <c r="L6531">
        <v>125.1404</v>
      </c>
      <c r="M6531">
        <v>0.4652309</v>
      </c>
      <c r="N6531">
        <v>0</v>
      </c>
      <c r="O6531">
        <v>0.8850498</v>
      </c>
      <c r="P6531">
        <v>0.58132299999999903</v>
      </c>
      <c r="Q6531">
        <v>1.880486E-2</v>
      </c>
      <c r="R6531">
        <v>0.81345559999999995</v>
      </c>
      <c r="S6531">
        <v>2.7326809999999999</v>
      </c>
      <c r="T6531">
        <v>-0.12584690000000001</v>
      </c>
      <c r="U6531">
        <v>1.75528</v>
      </c>
      <c r="V6531">
        <v>0.13715829999999901</v>
      </c>
      <c r="W6531">
        <v>2.9744360000000001E-2</v>
      </c>
      <c r="X6531">
        <v>0.9901025</v>
      </c>
      <c r="Y6531">
        <v>0.49259380000000003</v>
      </c>
      <c r="Z6531">
        <v>-3.9022960000000002E-2</v>
      </c>
      <c r="AA6531">
        <v>0.86938400000000005</v>
      </c>
      <c r="AB6531">
        <v>41</v>
      </c>
      <c r="AC6531">
        <v>23.5016</v>
      </c>
      <c r="AD6531">
        <v>-1.0903897189889999</v>
      </c>
      <c r="AE6531">
        <v>14.8788999999999</v>
      </c>
      <c r="AF6531">
        <v>13.8583809388444</v>
      </c>
      <c r="AG6531">
        <v>-1.0903897189889999</v>
      </c>
      <c r="AH6531">
        <v>24.0682304290894</v>
      </c>
      <c r="AI6531">
        <v>92.248329842653902</v>
      </c>
      <c r="AJ6531">
        <v>60.066852393856998</v>
      </c>
      <c r="AK6531">
        <v>27.794304955748501</v>
      </c>
    </row>
    <row r="6532" spans="1:37" x14ac:dyDescent="0.2">
      <c r="A6532" t="str">
        <f>"20200111153557463"</f>
        <v>20200111153557463</v>
      </c>
      <c r="B6532" t="str">
        <f>"1578728157452288"</f>
        <v>1578728157452288</v>
      </c>
      <c r="C6532" t="s">
        <v>37</v>
      </c>
      <c r="D6532">
        <v>5.5450839999999904</v>
      </c>
      <c r="E6532">
        <v>0.65230069999999996</v>
      </c>
      <c r="F6532" t="s">
        <v>39</v>
      </c>
      <c r="G6532">
        <v>-163.39179999999999</v>
      </c>
      <c r="H6532" s="1">
        <v>-3.3967769999999998E-6</v>
      </c>
      <c r="I6532">
        <v>137.96700000000001</v>
      </c>
      <c r="J6532">
        <v>-183.548</v>
      </c>
      <c r="K6532">
        <v>1.0903590000000001</v>
      </c>
      <c r="L6532">
        <v>125.3601</v>
      </c>
      <c r="M6532">
        <v>0.47194439999999999</v>
      </c>
      <c r="N6532">
        <v>0</v>
      </c>
      <c r="O6532">
        <v>0.88148819999999894</v>
      </c>
      <c r="P6532">
        <v>0.58755480000000004</v>
      </c>
      <c r="Q6532">
        <v>1.925135E-2</v>
      </c>
      <c r="R6532">
        <v>0.80895539999999999</v>
      </c>
      <c r="S6532">
        <v>2.73996</v>
      </c>
      <c r="T6532">
        <v>-0.14734829999999999</v>
      </c>
      <c r="U6532">
        <v>1.7333069999999999</v>
      </c>
      <c r="V6532">
        <v>0.137260299999999</v>
      </c>
      <c r="W6532">
        <v>3.0179040000000001E-2</v>
      </c>
      <c r="X6532">
        <v>0.99007520000000004</v>
      </c>
      <c r="Y6532">
        <v>0.49173099999999997</v>
      </c>
      <c r="Z6532">
        <v>-4.5667199999999998E-2</v>
      </c>
      <c r="AA6532">
        <v>0.86954880000000001</v>
      </c>
      <c r="AB6532">
        <v>41</v>
      </c>
      <c r="AC6532">
        <v>20.156199999999998</v>
      </c>
      <c r="AD6532">
        <v>-1.090362396777</v>
      </c>
      <c r="AE6532">
        <v>12.6069</v>
      </c>
      <c r="AF6532">
        <v>11.7943476079341</v>
      </c>
      <c r="AG6532">
        <v>-1.090362396777</v>
      </c>
      <c r="AH6532">
        <v>20.584688280641</v>
      </c>
      <c r="AI6532">
        <v>92.631461639542593</v>
      </c>
      <c r="AJ6532">
        <v>60.188713534993099</v>
      </c>
      <c r="AK6532">
        <v>23.749208771330601</v>
      </c>
    </row>
    <row r="6533" spans="1:37" x14ac:dyDescent="0.2">
      <c r="A6533" t="str">
        <f>"20200111153557476"</f>
        <v>20200111153557476</v>
      </c>
      <c r="B6533" t="str">
        <f>"1578728157471808"</f>
        <v>1578728157471808</v>
      </c>
      <c r="C6533" t="s">
        <v>37</v>
      </c>
      <c r="D6533">
        <v>5.5064190000000002</v>
      </c>
      <c r="E6533">
        <v>0.64977019999999996</v>
      </c>
      <c r="F6533" t="s">
        <v>39</v>
      </c>
      <c r="G6533">
        <v>-163.48439999999999</v>
      </c>
      <c r="H6533" s="1">
        <v>-3.3650739999999999E-6</v>
      </c>
      <c r="I6533">
        <v>137.8989</v>
      </c>
      <c r="J6533">
        <v>-183.42070000000001</v>
      </c>
      <c r="K6533">
        <v>1.0903259999999999</v>
      </c>
      <c r="L6533">
        <v>125.58920000000001</v>
      </c>
      <c r="M6533">
        <v>0.47898309999999999</v>
      </c>
      <c r="N6533">
        <v>0</v>
      </c>
      <c r="O6533">
        <v>0.8776834</v>
      </c>
      <c r="P6533">
        <v>0.59357590000000005</v>
      </c>
      <c r="Q6533">
        <v>1.9359660000000001E-2</v>
      </c>
      <c r="R6533">
        <v>0.80454519999999996</v>
      </c>
      <c r="S6533">
        <v>2.7470699999999999</v>
      </c>
      <c r="T6533">
        <v>-0.14929039999999999</v>
      </c>
      <c r="U6533">
        <v>1.7167969999999999</v>
      </c>
      <c r="V6533">
        <v>0.13673350000000001</v>
      </c>
      <c r="W6533">
        <v>3.029867E-2</v>
      </c>
      <c r="X6533">
        <v>0.99014439999999904</v>
      </c>
      <c r="Y6533">
        <v>0.48950539999999998</v>
      </c>
      <c r="Z6533">
        <v>-4.618767E-2</v>
      </c>
      <c r="AA6533">
        <v>0.870776199999999</v>
      </c>
      <c r="AB6533">
        <v>41</v>
      </c>
      <c r="AC6533">
        <v>19.936299999999999</v>
      </c>
      <c r="AD6533">
        <v>-1.090329365074</v>
      </c>
      <c r="AE6533">
        <v>12.3096999999999</v>
      </c>
      <c r="AF6533">
        <v>11.5779826506972</v>
      </c>
      <c r="AG6533">
        <v>-1.090329365074</v>
      </c>
      <c r="AH6533">
        <v>20.311699932182901</v>
      </c>
      <c r="AI6533">
        <v>92.670084985893496</v>
      </c>
      <c r="AJ6533">
        <v>60.316191953618201</v>
      </c>
      <c r="AK6533">
        <v>23.405205714097601</v>
      </c>
    </row>
    <row r="6534" spans="1:37" x14ac:dyDescent="0.2">
      <c r="A6534" t="str">
        <f>"20200111153557490"</f>
        <v>20200111153557490</v>
      </c>
      <c r="B6534" t="str">
        <f>"1578728157482546"</f>
        <v>1578728157482546</v>
      </c>
      <c r="C6534" t="s">
        <v>37</v>
      </c>
      <c r="D6534">
        <v>5.5575359999999998</v>
      </c>
      <c r="E6534">
        <v>0.64895950000000002</v>
      </c>
      <c r="F6534" t="s">
        <v>39</v>
      </c>
      <c r="G6534">
        <v>-166.03909999999999</v>
      </c>
      <c r="H6534" s="1">
        <v>-2.4213739999999999E-6</v>
      </c>
      <c r="I6534">
        <v>136.411</v>
      </c>
      <c r="J6534">
        <v>-183.30269999999999</v>
      </c>
      <c r="K6534">
        <v>1.09029</v>
      </c>
      <c r="L6534">
        <v>125.7968</v>
      </c>
      <c r="M6534">
        <v>0.48541009999999901</v>
      </c>
      <c r="N6534">
        <v>0</v>
      </c>
      <c r="O6534">
        <v>0.87414530000000001</v>
      </c>
      <c r="P6534">
        <v>0.59916990000000003</v>
      </c>
      <c r="Q6534">
        <v>1.9004239999999999E-2</v>
      </c>
      <c r="R6534">
        <v>0.80039640000000001</v>
      </c>
      <c r="S6534">
        <v>2.7440639999999998</v>
      </c>
      <c r="T6534">
        <v>-0.17213239999999999</v>
      </c>
      <c r="U6534">
        <v>1.70845</v>
      </c>
      <c r="V6534">
        <v>0.13635659999999999</v>
      </c>
      <c r="W6534">
        <v>2.9949299999999901E-2</v>
      </c>
      <c r="X6534">
        <v>0.99020699999999995</v>
      </c>
      <c r="Y6534">
        <v>0.48425089999999998</v>
      </c>
      <c r="Z6534">
        <v>-5.3172810000000001E-2</v>
      </c>
      <c r="AA6534">
        <v>0.87331190000000003</v>
      </c>
      <c r="AB6534">
        <v>41</v>
      </c>
      <c r="AC6534">
        <v>17.263599999999901</v>
      </c>
      <c r="AD6534">
        <v>-1.090292421374</v>
      </c>
      <c r="AE6534">
        <v>10.614199999999901</v>
      </c>
      <c r="AF6534">
        <v>9.9111950908624298</v>
      </c>
      <c r="AG6534">
        <v>-1.090292421374</v>
      </c>
      <c r="AH6534">
        <v>17.609490223551798</v>
      </c>
      <c r="AI6534">
        <v>93.088454646757</v>
      </c>
      <c r="AJ6534">
        <v>60.627772490960503</v>
      </c>
      <c r="AK6534">
        <v>20.236468852707599</v>
      </c>
    </row>
    <row r="6535" spans="1:37" x14ac:dyDescent="0.2">
      <c r="A6535" t="str">
        <f>"20200111153557504"</f>
        <v>20200111153557504</v>
      </c>
      <c r="B6535" t="str">
        <f>"1578728157502064"</f>
        <v>1578728157502064</v>
      </c>
      <c r="C6535" t="s">
        <v>37</v>
      </c>
      <c r="D6535">
        <v>5.5282260000000001</v>
      </c>
      <c r="E6535">
        <v>0.64737100000000003</v>
      </c>
      <c r="F6535" t="s">
        <v>39</v>
      </c>
      <c r="G6535">
        <v>-166.08529999999999</v>
      </c>
      <c r="H6535" s="1">
        <v>-2.4023779999999999E-6</v>
      </c>
      <c r="I6535">
        <v>136.39500000000001</v>
      </c>
      <c r="J6535">
        <v>-183.16990000000001</v>
      </c>
      <c r="K6535">
        <v>1.09023</v>
      </c>
      <c r="L6535">
        <v>126.02719999999999</v>
      </c>
      <c r="M6535">
        <v>0.492573499999999</v>
      </c>
      <c r="N6535">
        <v>0</v>
      </c>
      <c r="O6535">
        <v>0.87012880000000004</v>
      </c>
      <c r="P6535">
        <v>0.60552399999999995</v>
      </c>
      <c r="Q6535">
        <v>1.8124399999999999E-2</v>
      </c>
      <c r="R6535">
        <v>0.79562069999999996</v>
      </c>
      <c r="S6535">
        <v>2.7506409999999999</v>
      </c>
      <c r="T6535">
        <v>-0.17418459999999999</v>
      </c>
      <c r="U6535">
        <v>1.6931609999999999</v>
      </c>
      <c r="V6535">
        <v>0.13607049999999901</v>
      </c>
      <c r="W6535">
        <v>2.9071349999999999E-2</v>
      </c>
      <c r="X6535">
        <v>0.9902725</v>
      </c>
      <c r="Y6535">
        <v>0.48148590000000002</v>
      </c>
      <c r="Z6535">
        <v>-5.3685040000000003E-2</v>
      </c>
      <c r="AA6535">
        <v>0.87480809999999998</v>
      </c>
      <c r="AB6535">
        <v>41</v>
      </c>
      <c r="AC6535">
        <v>17.084599999999998</v>
      </c>
      <c r="AD6535">
        <v>-1.0902324023779999</v>
      </c>
      <c r="AE6535">
        <v>10.367800000000001</v>
      </c>
      <c r="AF6535">
        <v>9.7311439556682604</v>
      </c>
      <c r="AG6535">
        <v>-1.0902324023779999</v>
      </c>
      <c r="AH6535">
        <v>17.387151246120801</v>
      </c>
      <c r="AI6535">
        <v>93.131908983909696</v>
      </c>
      <c r="AJ6535">
        <v>60.765376160479398</v>
      </c>
      <c r="AK6535">
        <v>19.9548690256943</v>
      </c>
    </row>
    <row r="6536" spans="1:37" x14ac:dyDescent="0.2">
      <c r="A6536" t="str">
        <f>"20200111153557517"</f>
        <v>20200111153557517</v>
      </c>
      <c r="B6536" t="str">
        <f>"1578728157511824"</f>
        <v>1578728157511824</v>
      </c>
      <c r="C6536" t="s">
        <v>37</v>
      </c>
      <c r="D6536">
        <v>5.5505589999999998</v>
      </c>
      <c r="E6536">
        <v>0.64681869999999997</v>
      </c>
      <c r="F6536" t="s">
        <v>39</v>
      </c>
      <c r="G6536">
        <v>-166.49780000000001</v>
      </c>
      <c r="H6536" s="1">
        <v>-2.2436800000000001E-6</v>
      </c>
      <c r="I6536">
        <v>136.19030000000001</v>
      </c>
      <c r="J6536">
        <v>-183.04490000000001</v>
      </c>
      <c r="K6536">
        <v>1.0901829999999999</v>
      </c>
      <c r="L6536">
        <v>126.2405</v>
      </c>
      <c r="M6536">
        <v>0.49924259999999898</v>
      </c>
      <c r="N6536">
        <v>0</v>
      </c>
      <c r="O6536">
        <v>0.86631950000000002</v>
      </c>
      <c r="P6536">
        <v>0.61171180000000003</v>
      </c>
      <c r="Q6536">
        <v>1.7539320000000001E-2</v>
      </c>
      <c r="R6536">
        <v>0.79088630000000004</v>
      </c>
      <c r="S6536">
        <v>2.7539370000000001</v>
      </c>
      <c r="T6536">
        <v>-0.180088</v>
      </c>
      <c r="U6536">
        <v>1.6787719999999999</v>
      </c>
      <c r="V6536">
        <v>0.13616500000000001</v>
      </c>
      <c r="W6536">
        <v>2.8474599999999999E-2</v>
      </c>
      <c r="X6536">
        <v>0.99027690000000002</v>
      </c>
      <c r="Y6536">
        <v>0.47845349999999998</v>
      </c>
      <c r="Z6536">
        <v>-5.5412959999999997E-2</v>
      </c>
      <c r="AA6536">
        <v>0.87636270000000005</v>
      </c>
      <c r="AB6536">
        <v>41</v>
      </c>
      <c r="AC6536">
        <v>16.5471</v>
      </c>
      <c r="AD6536">
        <v>-1.0901852436799999</v>
      </c>
      <c r="AE6536">
        <v>9.9498000000000104</v>
      </c>
      <c r="AF6536">
        <v>9.3390970682872396</v>
      </c>
      <c r="AG6536">
        <v>-1.0901852436799999</v>
      </c>
      <c r="AH6536">
        <v>16.8291596762114</v>
      </c>
      <c r="AI6536">
        <v>93.241907070730704</v>
      </c>
      <c r="AJ6536">
        <v>60.9725534944304</v>
      </c>
      <c r="AK6536">
        <v>19.277651654800898</v>
      </c>
    </row>
    <row r="6537" spans="1:37" x14ac:dyDescent="0.2">
      <c r="A6537" t="str">
        <f>"20200111153557530"</f>
        <v>20200111153557530</v>
      </c>
      <c r="B6537" t="str">
        <f>"1578728157521584"</f>
        <v>1578728157521584</v>
      </c>
      <c r="C6537" t="s">
        <v>37</v>
      </c>
      <c r="D6537">
        <v>5.5919099999999897</v>
      </c>
      <c r="E6537">
        <v>0.64639569999999902</v>
      </c>
      <c r="F6537" t="s">
        <v>39</v>
      </c>
      <c r="G6537">
        <v>-166.57910000000001</v>
      </c>
      <c r="H6537" s="1">
        <v>-2.2250019999999999E-6</v>
      </c>
      <c r="I6537">
        <v>136.1319</v>
      </c>
      <c r="J6537">
        <v>-182.92449999999999</v>
      </c>
      <c r="K6537">
        <v>1.090131</v>
      </c>
      <c r="L6537">
        <v>126.4408</v>
      </c>
      <c r="M6537">
        <v>0.50558099999999995</v>
      </c>
      <c r="N6537">
        <v>0</v>
      </c>
      <c r="O6537">
        <v>0.86263559999999995</v>
      </c>
      <c r="P6537">
        <v>0.61774830000000003</v>
      </c>
      <c r="Q6537">
        <v>1.7370090000000001E-2</v>
      </c>
      <c r="R6537">
        <v>0.78618399999999999</v>
      </c>
      <c r="S6537">
        <v>2.763306</v>
      </c>
      <c r="T6537">
        <v>-0.1829567</v>
      </c>
      <c r="U6537">
        <v>1.659988</v>
      </c>
      <c r="V6537">
        <v>0.13648060000000001</v>
      </c>
      <c r="W6537">
        <v>2.828632E-2</v>
      </c>
      <c r="X6537">
        <v>0.99023879999999997</v>
      </c>
      <c r="Y6537">
        <v>0.47765950000000001</v>
      </c>
      <c r="Z6537">
        <v>-5.6192520000000003E-2</v>
      </c>
      <c r="AA6537">
        <v>0.87674609999999997</v>
      </c>
      <c r="AB6537">
        <v>41</v>
      </c>
      <c r="AC6537">
        <v>16.345399999999898</v>
      </c>
      <c r="AD6537">
        <v>-1.0901332250019999</v>
      </c>
      <c r="AE6537">
        <v>9.6911000000000005</v>
      </c>
      <c r="AF6537">
        <v>9.1714431217472097</v>
      </c>
      <c r="AG6537">
        <v>-1.0901332250019999</v>
      </c>
      <c r="AH6537">
        <v>16.571332254300501</v>
      </c>
      <c r="AI6537">
        <v>93.294145998724801</v>
      </c>
      <c r="AJ6537">
        <v>61.037561064029802</v>
      </c>
      <c r="AK6537">
        <v>18.9713682180837</v>
      </c>
    </row>
    <row r="6538" spans="1:37" x14ac:dyDescent="0.2">
      <c r="A6538" t="str">
        <f>"20200111153557544"</f>
        <v>20200111153557544</v>
      </c>
      <c r="B6538" t="str">
        <f>"1578728157532320"</f>
        <v>1578728157532320</v>
      </c>
      <c r="C6538" t="s">
        <v>37</v>
      </c>
      <c r="D6538">
        <v>5.5326379999999897</v>
      </c>
      <c r="E6538">
        <v>0.64583840000000003</v>
      </c>
      <c r="F6538" t="s">
        <v>39</v>
      </c>
      <c r="G6538">
        <v>-166.86250000000001</v>
      </c>
      <c r="H6538" s="1">
        <v>-2.165681E-6</v>
      </c>
      <c r="I6538">
        <v>135.94579999999999</v>
      </c>
      <c r="J6538">
        <v>-182.7987</v>
      </c>
      <c r="K6538">
        <v>1.0900799999999999</v>
      </c>
      <c r="L6538">
        <v>126.64790000000001</v>
      </c>
      <c r="M6538">
        <v>0.51215880000000003</v>
      </c>
      <c r="N6538">
        <v>0</v>
      </c>
      <c r="O6538">
        <v>0.85874649999999997</v>
      </c>
      <c r="P6538">
        <v>0.6238551</v>
      </c>
      <c r="Q6538">
        <v>1.6625589999999999E-2</v>
      </c>
      <c r="R6538">
        <v>0.78136319999999904</v>
      </c>
      <c r="S6538">
        <v>2.7731319999999999</v>
      </c>
      <c r="T6538">
        <v>-0.18821299999999999</v>
      </c>
      <c r="U6538">
        <v>1.641052</v>
      </c>
      <c r="V6538">
        <v>0.13659779999999999</v>
      </c>
      <c r="W6538">
        <v>2.752988E-2</v>
      </c>
      <c r="X6538">
        <v>0.99024400000000001</v>
      </c>
      <c r="Y6538">
        <v>0.476657</v>
      </c>
      <c r="Z6538">
        <v>-5.7678170000000001E-2</v>
      </c>
      <c r="AA6538">
        <v>0.87719519999999995</v>
      </c>
      <c r="AB6538">
        <v>41</v>
      </c>
      <c r="AC6538">
        <v>15.9361999999999</v>
      </c>
      <c r="AD6538">
        <v>-1.090082165681</v>
      </c>
      <c r="AE6538">
        <v>9.2978999999999807</v>
      </c>
      <c r="AF6538">
        <v>8.8932170052539199</v>
      </c>
      <c r="AG6538">
        <v>-1.090082165681</v>
      </c>
      <c r="AH6538">
        <v>16.0922321007344</v>
      </c>
      <c r="AI6538">
        <v>93.392999477692598</v>
      </c>
      <c r="AJ6538">
        <v>61.073188580053603</v>
      </c>
      <c r="AK6538">
        <v>18.418401717151799</v>
      </c>
    </row>
    <row r="6539" spans="1:37" x14ac:dyDescent="0.2">
      <c r="A6539" t="str">
        <f>"20200111153557557"</f>
        <v>20200111153557557</v>
      </c>
      <c r="B6539" t="str">
        <f>"1578728157551841"</f>
        <v>1578728157551841</v>
      </c>
      <c r="C6539" t="s">
        <v>37</v>
      </c>
      <c r="D6539">
        <v>5.4987560000000002</v>
      </c>
      <c r="E6539">
        <v>0.64484209999999997</v>
      </c>
      <c r="F6539" t="s">
        <v>39</v>
      </c>
      <c r="G6539">
        <v>-167.1003</v>
      </c>
      <c r="H6539" s="1">
        <v>-2.1130680000000001E-6</v>
      </c>
      <c r="I6539">
        <v>135.80029999999999</v>
      </c>
      <c r="J6539">
        <v>-182.66050000000001</v>
      </c>
      <c r="K6539">
        <v>1.0900190000000001</v>
      </c>
      <c r="L6539">
        <v>126.8715</v>
      </c>
      <c r="M6539">
        <v>0.51931669999999996</v>
      </c>
      <c r="N6539">
        <v>0</v>
      </c>
      <c r="O6539">
        <v>0.85443659999999999</v>
      </c>
      <c r="P6539">
        <v>0.63022690000000003</v>
      </c>
      <c r="Q6539">
        <v>1.669402E-2</v>
      </c>
      <c r="R6539">
        <v>0.77623149999999996</v>
      </c>
      <c r="S6539">
        <v>2.78230299999999</v>
      </c>
      <c r="T6539">
        <v>-0.19320079999999901</v>
      </c>
      <c r="U6539">
        <v>1.622131</v>
      </c>
      <c r="V6539">
        <v>0.1364322</v>
      </c>
      <c r="W6539">
        <v>2.759518E-2</v>
      </c>
      <c r="X6539">
        <v>0.99026499999999995</v>
      </c>
      <c r="Y6539">
        <v>0.474939099999999</v>
      </c>
      <c r="Z6539">
        <v>-5.9051970000000002E-2</v>
      </c>
      <c r="AA6539">
        <v>0.87803509999999996</v>
      </c>
      <c r="AB6539">
        <v>41</v>
      </c>
      <c r="AC6539">
        <v>15.5602</v>
      </c>
      <c r="AD6539">
        <v>-1.090021113068</v>
      </c>
      <c r="AE6539">
        <v>8.9287999999999901</v>
      </c>
      <c r="AF6539">
        <v>8.6275541332936196</v>
      </c>
      <c r="AG6539">
        <v>-1.090021113068</v>
      </c>
      <c r="AH6539">
        <v>15.653926198695199</v>
      </c>
      <c r="AI6539">
        <v>93.489780607495902</v>
      </c>
      <c r="AJ6539">
        <v>61.138944585934901</v>
      </c>
      <c r="AK6539">
        <v>17.907212004777399</v>
      </c>
    </row>
    <row r="6540" spans="1:37" x14ac:dyDescent="0.2">
      <c r="A6540" t="str">
        <f>"20200111153557572"</f>
        <v>20200111153557572</v>
      </c>
      <c r="B6540" t="str">
        <f>"1578728157561600"</f>
        <v>1578728157561600</v>
      </c>
      <c r="C6540" t="s">
        <v>37</v>
      </c>
      <c r="D6540">
        <v>5.5387069999999996</v>
      </c>
      <c r="E6540">
        <v>0.64447069999999995</v>
      </c>
      <c r="F6540" t="s">
        <v>39</v>
      </c>
      <c r="G6540">
        <v>-167.17150000000001</v>
      </c>
      <c r="H6540" s="1">
        <v>-2.09116899999999E-6</v>
      </c>
      <c r="I6540">
        <v>135.7799</v>
      </c>
      <c r="J6540">
        <v>-182.5204</v>
      </c>
      <c r="K6540">
        <v>1.0899589999999999</v>
      </c>
      <c r="L6540">
        <v>127.0926</v>
      </c>
      <c r="M6540">
        <v>0.52648969999999995</v>
      </c>
      <c r="N6540">
        <v>0</v>
      </c>
      <c r="O6540">
        <v>0.85003530000000005</v>
      </c>
      <c r="P6540">
        <v>0.63630739999999997</v>
      </c>
      <c r="Q6540">
        <v>1.794608E-2</v>
      </c>
      <c r="R6540">
        <v>0.77122690000000005</v>
      </c>
      <c r="S6540">
        <v>2.7894290000000002</v>
      </c>
      <c r="T6540">
        <v>-0.19630349999999999</v>
      </c>
      <c r="U6540">
        <v>1.6043240000000001</v>
      </c>
      <c r="V6540">
        <v>0.13594249999999999</v>
      </c>
      <c r="W6540">
        <v>2.8858290000000002E-2</v>
      </c>
      <c r="X6540">
        <v>0.99029630000000002</v>
      </c>
      <c r="Y6540">
        <v>0.47266069999999999</v>
      </c>
      <c r="Z6540">
        <v>-5.9847499999999998E-2</v>
      </c>
      <c r="AA6540">
        <v>0.87920989999999999</v>
      </c>
      <c r="AB6540">
        <v>41</v>
      </c>
      <c r="AC6540">
        <v>15.348899999999899</v>
      </c>
      <c r="AD6540">
        <v>-1.0899610911690001</v>
      </c>
      <c r="AE6540">
        <v>8.6872999999999898</v>
      </c>
      <c r="AF6540">
        <v>8.4421433588257102</v>
      </c>
      <c r="AG6540">
        <v>-1.0899610911690001</v>
      </c>
      <c r="AH6540">
        <v>15.4086222850816</v>
      </c>
      <c r="AI6540">
        <v>93.549869025644497</v>
      </c>
      <c r="AJ6540">
        <v>61.282353880652202</v>
      </c>
      <c r="AK6540">
        <v>17.603506480117598</v>
      </c>
    </row>
    <row r="6541" spans="1:37" x14ac:dyDescent="0.2">
      <c r="A6541" t="str">
        <f>"20200111153557586"</f>
        <v>20200111153557586</v>
      </c>
      <c r="B6541" t="str">
        <f>"1578728157582097"</f>
        <v>1578728157582097</v>
      </c>
      <c r="C6541" t="s">
        <v>37</v>
      </c>
      <c r="D6541">
        <v>5.4738619999999996</v>
      </c>
      <c r="E6541">
        <v>0.64346959999999997</v>
      </c>
      <c r="F6541" t="s">
        <v>39</v>
      </c>
      <c r="G6541">
        <v>-166.6936</v>
      </c>
      <c r="H6541" s="1">
        <v>-2.20357E-6</v>
      </c>
      <c r="I6541">
        <v>136.04730000000001</v>
      </c>
      <c r="J6541">
        <v>-182.3852</v>
      </c>
      <c r="K6541">
        <v>1.089899</v>
      </c>
      <c r="L6541">
        <v>127.3028</v>
      </c>
      <c r="M6541">
        <v>0.53335690000000002</v>
      </c>
      <c r="N6541">
        <v>0</v>
      </c>
      <c r="O6541">
        <v>0.84574309999999997</v>
      </c>
      <c r="P6541">
        <v>0.64250229999999997</v>
      </c>
      <c r="Q6541">
        <v>1.8772E-2</v>
      </c>
      <c r="R6541">
        <v>0.76605380000000001</v>
      </c>
      <c r="S6541">
        <v>2.8000029999999998</v>
      </c>
      <c r="T6541">
        <v>-0.19283039999999901</v>
      </c>
      <c r="U6541">
        <v>1.5842129999999901</v>
      </c>
      <c r="V6541">
        <v>0.1359477</v>
      </c>
      <c r="W6541">
        <v>2.9676669999999999E-2</v>
      </c>
      <c r="X6541">
        <v>0.99027140000000002</v>
      </c>
      <c r="Y6541">
        <v>0.47179959999999999</v>
      </c>
      <c r="Z6541">
        <v>-5.8636029999999999E-2</v>
      </c>
      <c r="AA6541">
        <v>0.87975389999999998</v>
      </c>
      <c r="AB6541">
        <v>41</v>
      </c>
      <c r="AC6541">
        <v>15.6915999999999</v>
      </c>
      <c r="AD6541">
        <v>-1.08990120357</v>
      </c>
      <c r="AE6541">
        <v>8.7445000000000004</v>
      </c>
      <c r="AF6541">
        <v>8.5766229516957893</v>
      </c>
      <c r="AG6541">
        <v>-1.08990120357</v>
      </c>
      <c r="AH6541">
        <v>15.708959691588401</v>
      </c>
      <c r="AI6541">
        <v>93.484777618377606</v>
      </c>
      <c r="AJ6541">
        <v>61.366777616556199</v>
      </c>
      <c r="AK6541">
        <v>17.930916331327001</v>
      </c>
    </row>
    <row r="6542" spans="1:37" x14ac:dyDescent="0.2">
      <c r="A6542" t="str">
        <f>"20200111153557597"</f>
        <v>20200111153557597</v>
      </c>
      <c r="B6542" t="str">
        <f>"1578728157591856"</f>
        <v>1578728157591856</v>
      </c>
      <c r="C6542" t="s">
        <v>37</v>
      </c>
      <c r="D6542">
        <v>5.385764</v>
      </c>
      <c r="E6542">
        <v>0.64271060000000002</v>
      </c>
      <c r="F6542" t="s">
        <v>39</v>
      </c>
      <c r="G6542">
        <v>-166.47290000000001</v>
      </c>
      <c r="H6542" s="1">
        <v>-2.2562390000000001E-6</v>
      </c>
      <c r="I6542">
        <v>136.1859</v>
      </c>
      <c r="J6542">
        <v>-182.25389999999999</v>
      </c>
      <c r="K6542">
        <v>1.0898369999999999</v>
      </c>
      <c r="L6542">
        <v>127.5042</v>
      </c>
      <c r="M6542">
        <v>0.53997649999999997</v>
      </c>
      <c r="N6542">
        <v>0</v>
      </c>
      <c r="O6542">
        <v>0.8415319</v>
      </c>
      <c r="P6542">
        <v>0.64846319999999902</v>
      </c>
      <c r="Q6542">
        <v>2.0118589999999999E-2</v>
      </c>
      <c r="R6542">
        <v>0.76098009999999905</v>
      </c>
      <c r="S6542">
        <v>2.806702</v>
      </c>
      <c r="T6542">
        <v>-0.1922432</v>
      </c>
      <c r="U6542">
        <v>1.5668489999999999</v>
      </c>
      <c r="V6542">
        <v>0.13597979999999901</v>
      </c>
      <c r="W6542">
        <v>3.101454E-2</v>
      </c>
      <c r="X6542">
        <v>0.99022600000000005</v>
      </c>
      <c r="Y6542">
        <v>0.46993740000000001</v>
      </c>
      <c r="Z6542">
        <v>-5.8318210000000002E-2</v>
      </c>
      <c r="AA6542">
        <v>0.88077119999999998</v>
      </c>
      <c r="AB6542">
        <v>41</v>
      </c>
      <c r="AC6542">
        <v>15.780999999999899</v>
      </c>
      <c r="AD6542">
        <v>-1.089839256239</v>
      </c>
      <c r="AE6542">
        <v>8.6816999999999993</v>
      </c>
      <c r="AF6542">
        <v>8.5620251438303292</v>
      </c>
      <c r="AG6542">
        <v>-1.089839256239</v>
      </c>
      <c r="AH6542">
        <v>15.7715276568177</v>
      </c>
      <c r="AI6542">
        <v>93.475288029482499</v>
      </c>
      <c r="AJ6542">
        <v>61.503411006631801</v>
      </c>
      <c r="AK6542">
        <v>17.978796088664701</v>
      </c>
    </row>
    <row r="6543" spans="1:37" x14ac:dyDescent="0.2">
      <c r="A6543" t="str">
        <f>"20200111153557609"</f>
        <v>20200111153557609</v>
      </c>
      <c r="B6543" t="str">
        <f>"1578728157601616"</f>
        <v>1578728157601616</v>
      </c>
      <c r="C6543" t="s">
        <v>37</v>
      </c>
      <c r="D6543">
        <v>5.3596550000000001</v>
      </c>
      <c r="E6543">
        <v>0.64206839999999998</v>
      </c>
      <c r="F6543" t="s">
        <v>39</v>
      </c>
      <c r="G6543">
        <v>-166.5307</v>
      </c>
      <c r="H6543" s="1">
        <v>-2.2365359999999998E-6</v>
      </c>
      <c r="I6543">
        <v>136.1584</v>
      </c>
      <c r="J6543">
        <v>-182.13990000000001</v>
      </c>
      <c r="K6543">
        <v>1.0897829999999999</v>
      </c>
      <c r="L6543">
        <v>127.6746</v>
      </c>
      <c r="M6543">
        <v>0.54567049999999995</v>
      </c>
      <c r="N6543">
        <v>0</v>
      </c>
      <c r="O6543">
        <v>0.837850599999999</v>
      </c>
      <c r="P6543">
        <v>0.65376469999999998</v>
      </c>
      <c r="Q6543">
        <v>2.1447460000000002E-2</v>
      </c>
      <c r="R6543">
        <v>0.75639389999999995</v>
      </c>
      <c r="S6543">
        <v>2.8144680000000002</v>
      </c>
      <c r="T6543">
        <v>-0.19508210000000001</v>
      </c>
      <c r="U6543">
        <v>1.549118</v>
      </c>
      <c r="V6543">
        <v>0.13625570000000001</v>
      </c>
      <c r="W6543">
        <v>3.2328530000000001E-2</v>
      </c>
      <c r="X6543">
        <v>0.99014609999999903</v>
      </c>
      <c r="Y6543">
        <v>0.46918959999999998</v>
      </c>
      <c r="Z6543">
        <v>-5.9058659999999999E-2</v>
      </c>
      <c r="AA6543">
        <v>0.88112040000000003</v>
      </c>
      <c r="AB6543">
        <v>41</v>
      </c>
      <c r="AC6543">
        <v>15.6092</v>
      </c>
      <c r="AD6543">
        <v>-1.0897852365359999</v>
      </c>
      <c r="AE6543">
        <v>8.4838000000000005</v>
      </c>
      <c r="AF6543">
        <v>8.4181985758920792</v>
      </c>
      <c r="AG6543">
        <v>-1.0897852365359999</v>
      </c>
      <c r="AH6543">
        <v>15.5690075379335</v>
      </c>
      <c r="AI6543">
        <v>93.523409363317199</v>
      </c>
      <c r="AJ6543">
        <v>61.599807492674699</v>
      </c>
      <c r="AK6543">
        <v>17.7326730878668</v>
      </c>
    </row>
    <row r="6544" spans="1:37" x14ac:dyDescent="0.2">
      <c r="A6544" t="str">
        <f>"20200111153557621"</f>
        <v>20200111153557621</v>
      </c>
      <c r="B6544" t="str">
        <f>"1578728157612352"</f>
        <v>1578728157612352</v>
      </c>
      <c r="C6544" t="s">
        <v>37</v>
      </c>
      <c r="D6544">
        <v>5.3986619999999998</v>
      </c>
      <c r="E6544">
        <v>0.64136169999999904</v>
      </c>
      <c r="F6544" t="s">
        <v>39</v>
      </c>
      <c r="G6544">
        <v>-166.6078</v>
      </c>
      <c r="H6544" s="1">
        <v>-2.2188080000000001E-6</v>
      </c>
      <c r="I6544">
        <v>136.11369999999999</v>
      </c>
      <c r="J6544">
        <v>-182.02549999999999</v>
      </c>
      <c r="K6544">
        <v>1.0897299999999901</v>
      </c>
      <c r="L6544">
        <v>127.8446</v>
      </c>
      <c r="M6544">
        <v>0.55135239999999996</v>
      </c>
      <c r="N6544">
        <v>0</v>
      </c>
      <c r="O6544">
        <v>0.83412240000000004</v>
      </c>
      <c r="P6544">
        <v>0.65919910000000004</v>
      </c>
      <c r="Q6544">
        <v>2.2422569999999999E-2</v>
      </c>
      <c r="R6544">
        <v>0.75163419999999903</v>
      </c>
      <c r="S6544">
        <v>2.821564</v>
      </c>
      <c r="T6544">
        <v>-0.19797100000000001</v>
      </c>
      <c r="U6544">
        <v>1.533066</v>
      </c>
      <c r="V6544">
        <v>0.13671739999999999</v>
      </c>
      <c r="W6544">
        <v>3.3280259999999999E-2</v>
      </c>
      <c r="X6544">
        <v>0.99005089999999996</v>
      </c>
      <c r="Y6544">
        <v>0.46793980000000002</v>
      </c>
      <c r="Z6544">
        <v>-5.9790780000000002E-2</v>
      </c>
      <c r="AA6544">
        <v>0.88173539999999995</v>
      </c>
      <c r="AB6544">
        <v>41</v>
      </c>
      <c r="AC6544">
        <v>15.4176999999999</v>
      </c>
      <c r="AD6544">
        <v>-1.0897322188079901</v>
      </c>
      <c r="AE6544">
        <v>8.2690999999999892</v>
      </c>
      <c r="AF6544">
        <v>8.2700147979391296</v>
      </c>
      <c r="AG6544">
        <v>-1.0897322188079901</v>
      </c>
      <c r="AH6544">
        <v>15.3404387564603</v>
      </c>
      <c r="AI6544">
        <v>93.577989774478894</v>
      </c>
      <c r="AJ6544">
        <v>61.670938547155799</v>
      </c>
      <c r="AK6544">
        <v>17.461664362469801</v>
      </c>
    </row>
    <row r="6545" spans="1:37" x14ac:dyDescent="0.2">
      <c r="A6545" t="str">
        <f>"20200111153557631"</f>
        <v>20200111153557631</v>
      </c>
      <c r="B6545" t="str">
        <f>"1578728157622112"</f>
        <v>1578728157622112</v>
      </c>
      <c r="C6545" t="s">
        <v>37</v>
      </c>
      <c r="D6545">
        <v>5.3731470000000003</v>
      </c>
      <c r="E6545">
        <v>0.64082249999999996</v>
      </c>
      <c r="F6545" t="s">
        <v>39</v>
      </c>
      <c r="G6545">
        <v>-166.73390000000001</v>
      </c>
      <c r="H6545" s="1">
        <v>-2.1891279999999999E-6</v>
      </c>
      <c r="I6545">
        <v>136.04329999999999</v>
      </c>
      <c r="J6545">
        <v>-181.9051</v>
      </c>
      <c r="K6545">
        <v>1.0896649999999899</v>
      </c>
      <c r="L6545">
        <v>128.0197</v>
      </c>
      <c r="M6545">
        <v>0.55728959999999905</v>
      </c>
      <c r="N6545">
        <v>0</v>
      </c>
      <c r="O6545">
        <v>0.83016710000000005</v>
      </c>
      <c r="P6545">
        <v>0.66479379999999999</v>
      </c>
      <c r="Q6545">
        <v>2.3480609999999999E-2</v>
      </c>
      <c r="R6545">
        <v>0.74665780000000004</v>
      </c>
      <c r="S6545">
        <v>2.8285830000000001</v>
      </c>
      <c r="T6545">
        <v>-0.20157520000000001</v>
      </c>
      <c r="U6545">
        <v>1.5165709999999999</v>
      </c>
      <c r="V6545">
        <v>0.1371088</v>
      </c>
      <c r="W6545">
        <v>3.4318210000000002E-2</v>
      </c>
      <c r="X6545">
        <v>0.98996130000000004</v>
      </c>
      <c r="Y6545">
        <v>0.4664778</v>
      </c>
      <c r="Z6545">
        <v>-6.072172E-2</v>
      </c>
      <c r="AA6545">
        <v>0.88244619999999996</v>
      </c>
      <c r="AB6545">
        <v>41</v>
      </c>
      <c r="AC6545">
        <v>15.171200000000001</v>
      </c>
      <c r="AD6545">
        <v>-1.0896671891280001</v>
      </c>
      <c r="AE6545">
        <v>8.0235999999999805</v>
      </c>
      <c r="AF6545">
        <v>8.0915624582298005</v>
      </c>
      <c r="AG6545">
        <v>-1.0896671891280001</v>
      </c>
      <c r="AH6545">
        <v>15.0568793973992</v>
      </c>
      <c r="AI6545">
        <v>93.647554350659306</v>
      </c>
      <c r="AJ6545">
        <v>61.746429248013001</v>
      </c>
      <c r="AK6545">
        <v>17.128058114868701</v>
      </c>
    </row>
    <row r="6546" spans="1:37" x14ac:dyDescent="0.2">
      <c r="A6546" t="str">
        <f>"20200111153557643"</f>
        <v>20200111153557643</v>
      </c>
      <c r="B6546" t="str">
        <f>"1578728157631872"</f>
        <v>1578728157631872</v>
      </c>
      <c r="C6546" t="s">
        <v>37</v>
      </c>
      <c r="D6546">
        <v>5.3467469999999997</v>
      </c>
      <c r="E6546">
        <v>0.64032129999999998</v>
      </c>
      <c r="F6546" t="s">
        <v>39</v>
      </c>
      <c r="G6546">
        <v>-166.78460000000001</v>
      </c>
      <c r="H6546" s="1">
        <v>-2.1794689999999998E-6</v>
      </c>
      <c r="I6546">
        <v>136.00640000000001</v>
      </c>
      <c r="J6546">
        <v>-181.7901</v>
      </c>
      <c r="K6546">
        <v>1.089602</v>
      </c>
      <c r="L6546">
        <v>128.18510000000001</v>
      </c>
      <c r="M6546">
        <v>0.56292089999999995</v>
      </c>
      <c r="N6546">
        <v>0</v>
      </c>
      <c r="O6546">
        <v>0.82635859999999906</v>
      </c>
      <c r="P6546">
        <v>0.67008219999999996</v>
      </c>
      <c r="Q6546">
        <v>2.43130999999999E-2</v>
      </c>
      <c r="R6546">
        <v>0.74188869999999996</v>
      </c>
      <c r="S6546">
        <v>2.8369140000000002</v>
      </c>
      <c r="T6546">
        <v>-0.2044446</v>
      </c>
      <c r="U6546">
        <v>1.4984740000000001</v>
      </c>
      <c r="V6546">
        <v>0.13746269999999999</v>
      </c>
      <c r="W6546">
        <v>3.5131679999999998E-2</v>
      </c>
      <c r="X6546">
        <v>0.98988369999999903</v>
      </c>
      <c r="Y6546">
        <v>0.4658872</v>
      </c>
      <c r="Z6546">
        <v>-6.1439630000000002E-2</v>
      </c>
      <c r="AA6546">
        <v>0.88270849999999901</v>
      </c>
      <c r="AB6546">
        <v>41</v>
      </c>
      <c r="AC6546">
        <v>15.0054999999999</v>
      </c>
      <c r="AD6546">
        <v>-1.0896041794689999</v>
      </c>
      <c r="AE6546">
        <v>7.8212999999999999</v>
      </c>
      <c r="AF6546">
        <v>7.96513098332853</v>
      </c>
      <c r="AG6546">
        <v>-1.0896041794689999</v>
      </c>
      <c r="AH6546">
        <v>14.850409572289299</v>
      </c>
      <c r="AI6546">
        <v>93.699516196532997</v>
      </c>
      <c r="AJ6546">
        <v>61.792774875768799</v>
      </c>
      <c r="AK6546">
        <v>16.886835503262201</v>
      </c>
    </row>
    <row r="6547" spans="1:37" x14ac:dyDescent="0.2">
      <c r="A6547" t="str">
        <f>"20200111153557655"</f>
        <v>20200111153557655</v>
      </c>
      <c r="B6547" t="str">
        <f>"1578728157652368"</f>
        <v>1578728157652368</v>
      </c>
      <c r="C6547" t="s">
        <v>37</v>
      </c>
      <c r="D6547">
        <v>5.3275119999999996</v>
      </c>
      <c r="E6547">
        <v>0.639298699999999</v>
      </c>
      <c r="F6547" t="s">
        <v>39</v>
      </c>
      <c r="G6547">
        <v>-166.8006</v>
      </c>
      <c r="H6547" s="1">
        <v>-2.177764E-6</v>
      </c>
      <c r="I6547">
        <v>135.9898</v>
      </c>
      <c r="J6547">
        <v>-181.66380000000001</v>
      </c>
      <c r="K6547">
        <v>1.089531</v>
      </c>
      <c r="L6547">
        <v>128.3639</v>
      </c>
      <c r="M6547">
        <v>0.56905699999999904</v>
      </c>
      <c r="N6547">
        <v>0</v>
      </c>
      <c r="O6547">
        <v>0.82214469999999995</v>
      </c>
      <c r="P6547">
        <v>0.67576800000000004</v>
      </c>
      <c r="Q6547">
        <v>2.493298E-2</v>
      </c>
      <c r="R6547">
        <v>0.73669249999999997</v>
      </c>
      <c r="S6547">
        <v>2.8446959999999999</v>
      </c>
      <c r="T6547">
        <v>-0.20678429999999901</v>
      </c>
      <c r="U6547">
        <v>1.481171</v>
      </c>
      <c r="V6547">
        <v>0.13774710000000001</v>
      </c>
      <c r="W6547">
        <v>3.5735450000000002E-2</v>
      </c>
      <c r="X6547">
        <v>0.9898226</v>
      </c>
      <c r="Y6547">
        <v>0.464476099999999</v>
      </c>
      <c r="Z6547">
        <v>-6.1958619999999999E-2</v>
      </c>
      <c r="AA6547">
        <v>0.88341559999999897</v>
      </c>
      <c r="AB6547">
        <v>41</v>
      </c>
      <c r="AC6547">
        <v>14.863200000000001</v>
      </c>
      <c r="AD6547">
        <v>-1.089533177764</v>
      </c>
      <c r="AE6547">
        <v>7.6258999999999997</v>
      </c>
      <c r="AF6547">
        <v>7.84774117336132</v>
      </c>
      <c r="AG6547">
        <v>-1.089533177764</v>
      </c>
      <c r="AH6547">
        <v>14.667069289195</v>
      </c>
      <c r="AI6547">
        <v>93.747406501327504</v>
      </c>
      <c r="AJ6547">
        <v>61.8506096462485</v>
      </c>
      <c r="AK6547">
        <v>16.670244317452799</v>
      </c>
    </row>
    <row r="6548" spans="1:37" x14ac:dyDescent="0.2">
      <c r="A6548" t="str">
        <f>"20200111153557667"</f>
        <v>20200111153557667</v>
      </c>
      <c r="B6548" t="str">
        <f>"1578728157662128"</f>
        <v>1578728157662128</v>
      </c>
      <c r="C6548" t="s">
        <v>37</v>
      </c>
      <c r="D6548">
        <v>5.2734759999999996</v>
      </c>
      <c r="E6548">
        <v>0.6389937</v>
      </c>
      <c r="F6548" t="s">
        <v>39</v>
      </c>
      <c r="G6548">
        <v>-167.2244</v>
      </c>
      <c r="H6548" s="1">
        <v>-2.069391E-6</v>
      </c>
      <c r="I6548">
        <v>135.78550000000001</v>
      </c>
      <c r="J6548">
        <v>-181.52860000000001</v>
      </c>
      <c r="K6548">
        <v>1.0894569999999999</v>
      </c>
      <c r="L6548">
        <v>128.55179999999999</v>
      </c>
      <c r="M6548">
        <v>0.57557860000000005</v>
      </c>
      <c r="N6548">
        <v>0</v>
      </c>
      <c r="O6548">
        <v>0.81759199999999999</v>
      </c>
      <c r="P6548">
        <v>0.68196369999999995</v>
      </c>
      <c r="Q6548">
        <v>2.4952740000000001E-2</v>
      </c>
      <c r="R6548">
        <v>0.73096030000000001</v>
      </c>
      <c r="S6548">
        <v>2.850266</v>
      </c>
      <c r="T6548">
        <v>-0.21506729999999999</v>
      </c>
      <c r="U6548">
        <v>1.4649809999999901</v>
      </c>
      <c r="V6548">
        <v>0.13823869999999999</v>
      </c>
      <c r="W6548">
        <v>3.573117E-2</v>
      </c>
      <c r="X6548">
        <v>0.98975419999999903</v>
      </c>
      <c r="Y6548">
        <v>0.46194540000000001</v>
      </c>
      <c r="Z6548">
        <v>-6.4227129999999993E-2</v>
      </c>
      <c r="AA6548">
        <v>0.88457980000000003</v>
      </c>
      <c r="AB6548">
        <v>41</v>
      </c>
      <c r="AC6548">
        <v>14.3042</v>
      </c>
      <c r="AD6548">
        <v>-1.08945906939099</v>
      </c>
      <c r="AE6548">
        <v>7.2337000000000202</v>
      </c>
      <c r="AF6548">
        <v>7.4977520131286104</v>
      </c>
      <c r="AG6548">
        <v>-1.08945906939099</v>
      </c>
      <c r="AH6548">
        <v>14.084132000270801</v>
      </c>
      <c r="AI6548">
        <v>93.906147480392804</v>
      </c>
      <c r="AJ6548">
        <v>61.971191002905002</v>
      </c>
      <c r="AK6548">
        <v>15.9926852190401</v>
      </c>
    </row>
    <row r="6549" spans="1:37" x14ac:dyDescent="0.2">
      <c r="A6549" t="str">
        <f>"20200111153557680"</f>
        <v>20200111153557680</v>
      </c>
      <c r="B6549" t="str">
        <f>"1578728157671888"</f>
        <v>1578728157671888</v>
      </c>
      <c r="C6549" t="s">
        <v>37</v>
      </c>
      <c r="D6549">
        <v>5.3069110000000004</v>
      </c>
      <c r="E6549">
        <v>0.63861389999999996</v>
      </c>
      <c r="F6549" t="s">
        <v>39</v>
      </c>
      <c r="G6549">
        <v>-167.26759999999999</v>
      </c>
      <c r="H6549" s="1">
        <v>-2.0642640000000001E-6</v>
      </c>
      <c r="I6549">
        <v>135.7423</v>
      </c>
      <c r="J6549">
        <v>-181.39279999999999</v>
      </c>
      <c r="K6549">
        <v>1.089378</v>
      </c>
      <c r="L6549">
        <v>128.73830000000001</v>
      </c>
      <c r="M6549">
        <v>0.5820727</v>
      </c>
      <c r="N6549">
        <v>0</v>
      </c>
      <c r="O6549">
        <v>0.81298090000000001</v>
      </c>
      <c r="P6549">
        <v>0.68798440000000005</v>
      </c>
      <c r="Q6549">
        <v>2.5154940000000001E-2</v>
      </c>
      <c r="R6549">
        <v>0.72528950000000003</v>
      </c>
      <c r="S6549">
        <v>2.860916</v>
      </c>
      <c r="T6549">
        <v>-0.21855839999999899</v>
      </c>
      <c r="U6549">
        <v>1.4425049999999999</v>
      </c>
      <c r="V6549">
        <v>0.13855719999999999</v>
      </c>
      <c r="W6549">
        <v>3.591511E-2</v>
      </c>
      <c r="X6549">
        <v>0.989703</v>
      </c>
      <c r="Y6549">
        <v>0.461684699999999</v>
      </c>
      <c r="Z6549">
        <v>-6.506932E-2</v>
      </c>
      <c r="AA6549">
        <v>0.8846543</v>
      </c>
      <c r="AB6549">
        <v>40</v>
      </c>
      <c r="AC6549">
        <v>14.1252</v>
      </c>
      <c r="AD6549">
        <v>-1.0893800642639999</v>
      </c>
      <c r="AE6549">
        <v>7.0039999999999898</v>
      </c>
      <c r="AF6549">
        <v>7.37242216942286</v>
      </c>
      <c r="AG6549">
        <v>-1.0893800642639999</v>
      </c>
      <c r="AH6549">
        <v>13.8516451801505</v>
      </c>
      <c r="AI6549">
        <v>93.971398771210303</v>
      </c>
      <c r="AJ6549">
        <v>61.976233356322098</v>
      </c>
      <c r="AK6549">
        <v>15.729190435791701</v>
      </c>
    </row>
    <row r="6550" spans="1:37" x14ac:dyDescent="0.2">
      <c r="A6550" t="str">
        <f>"20200111153557694"</f>
        <v>20200111153557694</v>
      </c>
      <c r="B6550" t="str">
        <f>"1578728157681647"</f>
        <v>1578728157681647</v>
      </c>
      <c r="C6550" t="s">
        <v>37</v>
      </c>
      <c r="D6550">
        <v>5.304303</v>
      </c>
      <c r="E6550">
        <v>0.6382352</v>
      </c>
      <c r="F6550" t="s">
        <v>39</v>
      </c>
      <c r="G6550">
        <v>-167.2671</v>
      </c>
      <c r="H6550" s="1">
        <v>-2.06770199999999E-6</v>
      </c>
      <c r="I6550">
        <v>135.73009999999999</v>
      </c>
      <c r="J6550">
        <v>-181.245</v>
      </c>
      <c r="K6550">
        <v>1.0892899999999901</v>
      </c>
      <c r="L6550">
        <v>128.9366</v>
      </c>
      <c r="M6550">
        <v>0.58907710000000002</v>
      </c>
      <c r="N6550">
        <v>0</v>
      </c>
      <c r="O6550">
        <v>0.80791959999999996</v>
      </c>
      <c r="P6550">
        <v>0.69488329999999998</v>
      </c>
      <c r="Q6550">
        <v>2.4630679999999999E-2</v>
      </c>
      <c r="R6550">
        <v>0.71870069999999997</v>
      </c>
      <c r="S6550">
        <v>2.8707119999999899</v>
      </c>
      <c r="T6550">
        <v>-0.22139020000000001</v>
      </c>
      <c r="U6550">
        <v>1.4209290000000001</v>
      </c>
      <c r="V6550">
        <v>0.13943849999999999</v>
      </c>
      <c r="W6550">
        <v>3.5350890000000003E-2</v>
      </c>
      <c r="X6550">
        <v>0.98959949999999997</v>
      </c>
      <c r="Y6550">
        <v>0.46051259999999999</v>
      </c>
      <c r="Z6550">
        <v>-6.5668870000000004E-2</v>
      </c>
      <c r="AA6550">
        <v>0.88522069999999997</v>
      </c>
      <c r="AB6550">
        <v>40</v>
      </c>
      <c r="AC6550">
        <v>13.9779</v>
      </c>
      <c r="AD6550">
        <v>-1.0892920677019999</v>
      </c>
      <c r="AE6550">
        <v>6.7934999999999901</v>
      </c>
      <c r="AF6550">
        <v>7.2564027548546601</v>
      </c>
      <c r="AG6550">
        <v>-1.0892920677019999</v>
      </c>
      <c r="AH6550">
        <v>13.657313378128601</v>
      </c>
      <c r="AI6550">
        <v>94.028933449106006</v>
      </c>
      <c r="AJ6550">
        <v>62.017401016683202</v>
      </c>
      <c r="AK6550">
        <v>15.5036817194443</v>
      </c>
    </row>
    <row r="6551" spans="1:37" x14ac:dyDescent="0.2">
      <c r="A6551" t="str">
        <f>"20200111153557708"</f>
        <v>20200111153557708</v>
      </c>
      <c r="B6551" t="str">
        <f>"1578728157702145"</f>
        <v>1578728157702145</v>
      </c>
      <c r="C6551" t="s">
        <v>37</v>
      </c>
      <c r="D6551">
        <v>5.2883170000000002</v>
      </c>
      <c r="E6551">
        <v>0.63752089999999995</v>
      </c>
      <c r="F6551" t="s">
        <v>39</v>
      </c>
      <c r="G6551">
        <v>-167.37119999999999</v>
      </c>
      <c r="H6551" s="1">
        <v>-2.047849E-6</v>
      </c>
      <c r="I6551">
        <v>135.65459999999999</v>
      </c>
      <c r="J6551">
        <v>-181.09180000000001</v>
      </c>
      <c r="K6551">
        <v>1.0891959999999901</v>
      </c>
      <c r="L6551">
        <v>129.13890000000001</v>
      </c>
      <c r="M6551">
        <v>0.59627379999999996</v>
      </c>
      <c r="N6551">
        <v>0</v>
      </c>
      <c r="O6551">
        <v>0.80262239999999996</v>
      </c>
      <c r="P6551">
        <v>0.70134359999999996</v>
      </c>
      <c r="Q6551">
        <v>2.437462E-2</v>
      </c>
      <c r="R6551">
        <v>0.7124066</v>
      </c>
      <c r="S6551">
        <v>2.8819729999999999</v>
      </c>
      <c r="T6551">
        <v>-0.2262748</v>
      </c>
      <c r="U6551">
        <v>1.3954930000000001</v>
      </c>
      <c r="V6551">
        <v>0.13952220000000001</v>
      </c>
      <c r="W6551">
        <v>3.5085459999999999E-2</v>
      </c>
      <c r="X6551">
        <v>0.98959719999999995</v>
      </c>
      <c r="Y6551">
        <v>0.46017380000000002</v>
      </c>
      <c r="Z6551">
        <v>-6.6877510000000001E-2</v>
      </c>
      <c r="AA6551">
        <v>0.88530640000000005</v>
      </c>
      <c r="AB6551">
        <v>40</v>
      </c>
      <c r="AC6551">
        <v>13.720599999999999</v>
      </c>
      <c r="AD6551">
        <v>-1.08919804784899</v>
      </c>
      <c r="AE6551">
        <v>6.5156999999999803</v>
      </c>
      <c r="AF6551">
        <v>7.0917607974581598</v>
      </c>
      <c r="AG6551">
        <v>-1.08919804784899</v>
      </c>
      <c r="AH6551">
        <v>13.343972855378301</v>
      </c>
      <c r="AI6551">
        <v>94.122627810891203</v>
      </c>
      <c r="AJ6551">
        <v>62.011233115188503</v>
      </c>
      <c r="AK6551">
        <v>15.1506117091315</v>
      </c>
    </row>
    <row r="6552" spans="1:37" x14ac:dyDescent="0.2">
      <c r="A6552" t="str">
        <f>"20200111153557720"</f>
        <v>20200111153557720</v>
      </c>
      <c r="B6552" t="str">
        <f>"1578728157711904"</f>
        <v>1578728157711904</v>
      </c>
      <c r="C6552" t="s">
        <v>37</v>
      </c>
      <c r="D6552">
        <v>5.2887379999999897</v>
      </c>
      <c r="E6552">
        <v>0.63718719999999995</v>
      </c>
      <c r="F6552" t="s">
        <v>39</v>
      </c>
      <c r="G6552">
        <v>-167.6953</v>
      </c>
      <c r="H6552" s="1">
        <v>-1.9635540000000001E-6</v>
      </c>
      <c r="I6552">
        <v>135.50360000000001</v>
      </c>
      <c r="J6552">
        <v>-180.95480000000001</v>
      </c>
      <c r="K6552">
        <v>1.0891139999999999</v>
      </c>
      <c r="L6552">
        <v>129.31739999999999</v>
      </c>
      <c r="M6552">
        <v>0.60265059999999904</v>
      </c>
      <c r="N6552">
        <v>0</v>
      </c>
      <c r="O6552">
        <v>0.79784509999999997</v>
      </c>
      <c r="P6552">
        <v>0.70702319999999996</v>
      </c>
      <c r="Q6552">
        <v>2.406051E-2</v>
      </c>
      <c r="R6552">
        <v>0.70678090000000005</v>
      </c>
      <c r="S6552">
        <v>2.8906559999999999</v>
      </c>
      <c r="T6552">
        <v>-0.2350246</v>
      </c>
      <c r="U6552">
        <v>1.3733519999999999</v>
      </c>
      <c r="V6552">
        <v>0.13954639999999999</v>
      </c>
      <c r="W6552">
        <v>3.4764259999999998E-2</v>
      </c>
      <c r="X6552">
        <v>0.98960509999999902</v>
      </c>
      <c r="Y6552">
        <v>0.45948050000000001</v>
      </c>
      <c r="Z6552">
        <v>-6.9237950000000006E-2</v>
      </c>
      <c r="AA6552">
        <v>0.88548510000000002</v>
      </c>
      <c r="AB6552">
        <v>40</v>
      </c>
      <c r="AC6552">
        <v>13.259499999999999</v>
      </c>
      <c r="AD6552">
        <v>-1.089115963554</v>
      </c>
      <c r="AE6552">
        <v>6.1862000000000101</v>
      </c>
      <c r="AF6552">
        <v>6.8140306131223101</v>
      </c>
      <c r="AG6552">
        <v>-1.089115963554</v>
      </c>
      <c r="AH6552">
        <v>12.8568900747792</v>
      </c>
      <c r="AI6552">
        <v>94.280513341675501</v>
      </c>
      <c r="AJ6552">
        <v>62.076831702176399</v>
      </c>
      <c r="AK6552">
        <v>14.5916691702352</v>
      </c>
    </row>
    <row r="6553" spans="1:37" x14ac:dyDescent="0.2">
      <c r="A6553" t="str">
        <f>"20200111153557731"</f>
        <v>20200111153557731</v>
      </c>
      <c r="B6553" t="str">
        <f>"1578728157721664"</f>
        <v>1578728157721664</v>
      </c>
      <c r="C6553" t="s">
        <v>37</v>
      </c>
      <c r="D6553">
        <v>5.3454649999999999</v>
      </c>
      <c r="E6553">
        <v>0.63718719999999995</v>
      </c>
      <c r="F6553" t="s">
        <v>39</v>
      </c>
      <c r="G6553">
        <v>-167.77010000000001</v>
      </c>
      <c r="H6553" s="1">
        <v>-1.9453120000000002E-6</v>
      </c>
      <c r="I6553">
        <v>135.4641</v>
      </c>
      <c r="J6553">
        <v>-180.8194</v>
      </c>
      <c r="K6553">
        <v>1.089035</v>
      </c>
      <c r="L6553">
        <v>129.4896</v>
      </c>
      <c r="M6553">
        <v>0.60888629999999999</v>
      </c>
      <c r="N6553">
        <v>0</v>
      </c>
      <c r="O6553">
        <v>0.79309609999999997</v>
      </c>
      <c r="P6553">
        <v>0.71250719999999901</v>
      </c>
      <c r="Q6553">
        <v>2.3344130000000001E-2</v>
      </c>
      <c r="R6553">
        <v>0.70127640000000002</v>
      </c>
      <c r="S6553">
        <v>2.8998409999999999</v>
      </c>
      <c r="T6553">
        <v>-0.2395409</v>
      </c>
      <c r="U6553">
        <v>1.3519129999999999</v>
      </c>
      <c r="V6553">
        <v>0.1394628</v>
      </c>
      <c r="W6553">
        <v>3.4046569999999998E-2</v>
      </c>
      <c r="X6553">
        <v>0.98964180000000002</v>
      </c>
      <c r="Y6553">
        <v>0.45888139999999999</v>
      </c>
      <c r="Z6553">
        <v>-7.0324380000000006E-2</v>
      </c>
      <c r="AA6553">
        <v>0.88571009999999994</v>
      </c>
      <c r="AB6553">
        <v>40</v>
      </c>
      <c r="AC6553">
        <v>13.049299999999899</v>
      </c>
      <c r="AD6553">
        <v>-1.0890369453119999</v>
      </c>
      <c r="AE6553">
        <v>5.9744999999999999</v>
      </c>
      <c r="AF6553">
        <v>6.6739891283239698</v>
      </c>
      <c r="AG6553">
        <v>-1.0890369453119999</v>
      </c>
      <c r="AH6553">
        <v>12.612893297046099</v>
      </c>
      <c r="AI6553">
        <v>94.364216610594298</v>
      </c>
      <c r="AJ6553">
        <v>62.114882698868399</v>
      </c>
      <c r="AK6553">
        <v>14.311296575639499</v>
      </c>
    </row>
    <row r="6554" spans="1:37" x14ac:dyDescent="0.2">
      <c r="A6554" t="str">
        <f>"20200111153557743"</f>
        <v>20200111153557743</v>
      </c>
      <c r="B6554" t="str">
        <f>"1578728157732401"</f>
        <v>1578728157732401</v>
      </c>
      <c r="C6554" t="s">
        <v>37</v>
      </c>
      <c r="D6554">
        <v>5.2779939999999996</v>
      </c>
      <c r="E6554">
        <v>0.62378100000000003</v>
      </c>
      <c r="F6554" t="s">
        <v>39</v>
      </c>
      <c r="G6554">
        <v>-167.68770000000001</v>
      </c>
      <c r="H6554" s="1">
        <v>-1.9707299999999899E-6</v>
      </c>
      <c r="I6554">
        <v>135.48759999999999</v>
      </c>
      <c r="J6554">
        <v>-180.6925</v>
      </c>
      <c r="K6554">
        <v>1.088959</v>
      </c>
      <c r="L6554">
        <v>129.64940000000001</v>
      </c>
      <c r="M6554">
        <v>0.61468780000000001</v>
      </c>
      <c r="N6554">
        <v>0</v>
      </c>
      <c r="O6554">
        <v>0.78860779999999997</v>
      </c>
      <c r="P6554">
        <v>0.71731559999999905</v>
      </c>
      <c r="Q6554">
        <v>2.286697E-2</v>
      </c>
      <c r="R6554">
        <v>0.69637320000000003</v>
      </c>
      <c r="S6554">
        <v>2.910126</v>
      </c>
      <c r="T6554">
        <v>-0.24134169999999999</v>
      </c>
      <c r="U6554">
        <v>1.3292079999999999</v>
      </c>
      <c r="V6554">
        <v>0.138991</v>
      </c>
      <c r="W6554">
        <v>3.3583349999999998E-2</v>
      </c>
      <c r="X6554">
        <v>0.98972399999999905</v>
      </c>
      <c r="Y6554">
        <v>0.4592367</v>
      </c>
      <c r="Z6554">
        <v>-7.0633760000000004E-2</v>
      </c>
      <c r="AA6554">
        <v>0.88550130000000005</v>
      </c>
      <c r="AB6554">
        <v>40</v>
      </c>
      <c r="AC6554">
        <v>13.0047999999999</v>
      </c>
      <c r="AD6554">
        <v>-1.0889609707300001</v>
      </c>
      <c r="AE6554">
        <v>5.8381999999999703</v>
      </c>
      <c r="AF6554">
        <v>6.6291872330672099</v>
      </c>
      <c r="AG6554">
        <v>-1.0889609707300001</v>
      </c>
      <c r="AH6554">
        <v>12.526460255382499</v>
      </c>
      <c r="AI6554">
        <v>94.393772164606105</v>
      </c>
      <c r="AJ6554">
        <v>62.111547687119099</v>
      </c>
      <c r="AK6554">
        <v>14.214224069449299</v>
      </c>
    </row>
    <row r="6555" spans="1:37" x14ac:dyDescent="0.2">
      <c r="A6555" t="str">
        <f>"20200111153557756"</f>
        <v>20200111153557756</v>
      </c>
      <c r="B6555" t="str">
        <f>"1578728157752164"</f>
        <v>1578728157752164</v>
      </c>
      <c r="C6555" t="s">
        <v>37</v>
      </c>
      <c r="D6555">
        <v>5.2423529999999996</v>
      </c>
      <c r="E6555">
        <v>0.62178619999999996</v>
      </c>
      <c r="F6555" t="s">
        <v>51</v>
      </c>
      <c r="G6555">
        <v>-172.3004</v>
      </c>
      <c r="H6555" s="1">
        <v>-2.3324549999999999E-6</v>
      </c>
      <c r="I6555">
        <v>133.74029999999999</v>
      </c>
      <c r="J6555">
        <v>-180.54820000000001</v>
      </c>
      <c r="K6555">
        <v>1.088875</v>
      </c>
      <c r="L6555">
        <v>129.82810000000001</v>
      </c>
      <c r="M6555">
        <v>0.62122080000000002</v>
      </c>
      <c r="N6555">
        <v>0</v>
      </c>
      <c r="O6555">
        <v>0.78347149999999999</v>
      </c>
      <c r="P6555">
        <v>0.72285569999999999</v>
      </c>
      <c r="Q6555">
        <v>2.242591E-2</v>
      </c>
      <c r="R6555">
        <v>0.690635</v>
      </c>
      <c r="S6555">
        <v>2.8468019999999998</v>
      </c>
      <c r="T6555">
        <v>-0.36940220000000001</v>
      </c>
      <c r="U6555">
        <v>1.3877409999999999</v>
      </c>
      <c r="V6555">
        <v>0.13865329999999901</v>
      </c>
      <c r="W6555">
        <v>3.3150140000000002E-2</v>
      </c>
      <c r="X6555">
        <v>0.98978600000000005</v>
      </c>
      <c r="Y6555">
        <v>0.42574190000000001</v>
      </c>
      <c r="Z6555">
        <v>-0.1070762</v>
      </c>
      <c r="AA6555">
        <v>0.89848680000000003</v>
      </c>
      <c r="AB6555">
        <v>40</v>
      </c>
      <c r="AC6555">
        <v>8.2478000000000105</v>
      </c>
      <c r="AD6555">
        <v>-1.0888773324550001</v>
      </c>
      <c r="AE6555">
        <v>3.9121999999999799</v>
      </c>
      <c r="AF6555">
        <v>3.9755301694104599</v>
      </c>
      <c r="AG6555">
        <v>-1.0888773324550001</v>
      </c>
      <c r="AH6555">
        <v>8.0749632544021495</v>
      </c>
      <c r="AI6555">
        <v>96.898063207755698</v>
      </c>
      <c r="AJ6555">
        <v>63.7876873746755</v>
      </c>
      <c r="AK6555">
        <v>9.0661748015892591</v>
      </c>
    </row>
    <row r="6556" spans="1:37" x14ac:dyDescent="0.2">
      <c r="A6556" t="str">
        <f>"20200111153557768"</f>
        <v>20200111153557768</v>
      </c>
      <c r="B6556" t="str">
        <f>"1578728157761924"</f>
        <v>1578728157761924</v>
      </c>
      <c r="C6556" t="s">
        <v>37</v>
      </c>
      <c r="D6556">
        <v>5.2811510000000004</v>
      </c>
      <c r="E6556">
        <v>0.62120430000000004</v>
      </c>
      <c r="F6556" t="s">
        <v>51</v>
      </c>
      <c r="G6556">
        <v>-172.07480000000001</v>
      </c>
      <c r="H6556" s="1">
        <v>-2.2853369999999999E-6</v>
      </c>
      <c r="I6556">
        <v>133.92429999999999</v>
      </c>
      <c r="J6556">
        <v>-180.40049999999999</v>
      </c>
      <c r="K6556">
        <v>1.0887899999999999</v>
      </c>
      <c r="L6556">
        <v>130.00739999999999</v>
      </c>
      <c r="M6556">
        <v>0.62783769999999905</v>
      </c>
      <c r="N6556">
        <v>0</v>
      </c>
      <c r="O6556">
        <v>0.77817860000000005</v>
      </c>
      <c r="P6556">
        <v>0.72830079999999997</v>
      </c>
      <c r="Q6556">
        <v>2.1816559999999999E-2</v>
      </c>
      <c r="R6556">
        <v>0.68491029999999997</v>
      </c>
      <c r="S6556">
        <v>2.8467410000000002</v>
      </c>
      <c r="T6556">
        <v>-0.3658228</v>
      </c>
      <c r="U6556">
        <v>1.3761749999999999</v>
      </c>
      <c r="V6556">
        <v>0.13807329999999901</v>
      </c>
      <c r="W6556">
        <v>3.2558709999999998E-2</v>
      </c>
      <c r="X6556">
        <v>0.98988670000000001</v>
      </c>
      <c r="Y6556">
        <v>0.42117470000000001</v>
      </c>
      <c r="Z6556">
        <v>-0.105589899999999</v>
      </c>
      <c r="AA6556">
        <v>0.90081219999999995</v>
      </c>
      <c r="AB6556">
        <v>40</v>
      </c>
      <c r="AC6556">
        <v>8.3256999999999799</v>
      </c>
      <c r="AD6556">
        <v>-1.088792285337</v>
      </c>
      <c r="AE6556">
        <v>3.9168999999999898</v>
      </c>
      <c r="AF6556">
        <v>3.9647055145898098</v>
      </c>
      <c r="AG6556">
        <v>-1.088792285337</v>
      </c>
      <c r="AH6556">
        <v>8.1620123055506806</v>
      </c>
      <c r="AI6556">
        <v>96.842233234953696</v>
      </c>
      <c r="AJ6556">
        <v>64.091790701298805</v>
      </c>
      <c r="AK6556">
        <v>9.1390810989939801</v>
      </c>
    </row>
    <row r="6557" spans="1:37" x14ac:dyDescent="0.2">
      <c r="A6557" t="str">
        <f>"20200111153557780"</f>
        <v>20200111153557780</v>
      </c>
      <c r="B6557" t="str">
        <f>"1578728157771684"</f>
        <v>1578728157771684</v>
      </c>
      <c r="C6557" t="s">
        <v>37</v>
      </c>
      <c r="D6557">
        <v>5.256837</v>
      </c>
      <c r="E6557">
        <v>0.62076609999999999</v>
      </c>
      <c r="F6557" t="s">
        <v>51</v>
      </c>
      <c r="G6557">
        <v>-171.9151</v>
      </c>
      <c r="H6557" s="1">
        <v>-2.2456269999999998E-6</v>
      </c>
      <c r="I6557">
        <v>134.04040000000001</v>
      </c>
      <c r="J6557">
        <v>-180.25829999999999</v>
      </c>
      <c r="K6557">
        <v>1.088711</v>
      </c>
      <c r="L6557">
        <v>130.1781</v>
      </c>
      <c r="M6557">
        <v>0.63414689999999996</v>
      </c>
      <c r="N6557">
        <v>0</v>
      </c>
      <c r="O6557">
        <v>0.77304539999999999</v>
      </c>
      <c r="P6557">
        <v>0.73357510000000004</v>
      </c>
      <c r="Q6557">
        <v>2.1213159999999998E-2</v>
      </c>
      <c r="R6557">
        <v>0.67927729999999997</v>
      </c>
      <c r="S6557">
        <v>2.8543400000000001</v>
      </c>
      <c r="T6557">
        <v>-0.36624959999999901</v>
      </c>
      <c r="U6557">
        <v>1.3566129999999901</v>
      </c>
      <c r="V6557">
        <v>0.13764689999999999</v>
      </c>
      <c r="W6557">
        <v>3.1966790000000002E-2</v>
      </c>
      <c r="X6557">
        <v>0.9899654</v>
      </c>
      <c r="Y6557">
        <v>0.4197823</v>
      </c>
      <c r="Z6557">
        <v>-0.10527789999999999</v>
      </c>
      <c r="AA6557">
        <v>0.90149840000000003</v>
      </c>
      <c r="AB6557">
        <v>40</v>
      </c>
      <c r="AC6557">
        <v>8.3431999999999906</v>
      </c>
      <c r="AD6557">
        <v>-1.0887132456269999</v>
      </c>
      <c r="AE6557">
        <v>3.8622999999999998</v>
      </c>
      <c r="AF6557">
        <v>3.9455956789962001</v>
      </c>
      <c r="AG6557">
        <v>-1.0887132456269999</v>
      </c>
      <c r="AH6557">
        <v>8.1631474642134094</v>
      </c>
      <c r="AI6557">
        <v>96.847206047536105</v>
      </c>
      <c r="AJ6557">
        <v>64.203550169592205</v>
      </c>
      <c r="AK6557">
        <v>9.1318124332364103</v>
      </c>
    </row>
    <row r="6558" spans="1:37" x14ac:dyDescent="0.2">
      <c r="A6558" t="str">
        <f>"20200111153557794"</f>
        <v>20200111153557794</v>
      </c>
      <c r="B6558" t="str">
        <f>"1578728157782420"</f>
        <v>1578728157782420</v>
      </c>
      <c r="C6558" t="s">
        <v>37</v>
      </c>
      <c r="D6558">
        <v>5.2724099999999998</v>
      </c>
      <c r="E6558">
        <v>0.62048669999999995</v>
      </c>
      <c r="F6558" t="s">
        <v>51</v>
      </c>
      <c r="G6558">
        <v>-171.87440000000001</v>
      </c>
      <c r="H6558" s="1">
        <v>-2.2458959999999999E-6</v>
      </c>
      <c r="I6558">
        <v>134.0933</v>
      </c>
      <c r="J6558">
        <v>-180.09899999999999</v>
      </c>
      <c r="K6558">
        <v>1.088624</v>
      </c>
      <c r="L6558">
        <v>130.36500000000001</v>
      </c>
      <c r="M6558">
        <v>0.64113180000000003</v>
      </c>
      <c r="N6558">
        <v>0</v>
      </c>
      <c r="O6558">
        <v>0.76726190000000005</v>
      </c>
      <c r="P6558">
        <v>0.73909999999999998</v>
      </c>
      <c r="Q6558">
        <v>2.078758E-2</v>
      </c>
      <c r="R6558">
        <v>0.67327499999999996</v>
      </c>
      <c r="S6558">
        <v>2.8624879999999999</v>
      </c>
      <c r="T6558">
        <v>-0.37171490000000001</v>
      </c>
      <c r="U6558">
        <v>1.3367610000000001</v>
      </c>
      <c r="V6558">
        <v>0.1367381</v>
      </c>
      <c r="W6558">
        <v>3.1572650000000001E-2</v>
      </c>
      <c r="X6558">
        <v>0.99010399999999998</v>
      </c>
      <c r="Y6558">
        <v>0.41752519999999999</v>
      </c>
      <c r="Z6558">
        <v>-0.1062787</v>
      </c>
      <c r="AA6558">
        <v>0.90242869999999997</v>
      </c>
      <c r="AB6558">
        <v>40</v>
      </c>
      <c r="AC6558">
        <v>8.2246000000000095</v>
      </c>
      <c r="AD6558">
        <v>-1.0886262458960001</v>
      </c>
      <c r="AE6558">
        <v>3.7282999999999902</v>
      </c>
      <c r="AF6558">
        <v>3.8644356649239699</v>
      </c>
      <c r="AG6558">
        <v>-1.0886262458960001</v>
      </c>
      <c r="AH6558">
        <v>8.0181591402418295</v>
      </c>
      <c r="AI6558">
        <v>96.972996158921205</v>
      </c>
      <c r="AJ6558">
        <v>64.267771705151503</v>
      </c>
      <c r="AK6558">
        <v>8.9671537351510597</v>
      </c>
    </row>
    <row r="6559" spans="1:37" x14ac:dyDescent="0.2">
      <c r="A6559" t="str">
        <f>"20200111153557806"</f>
        <v>20200111153557806</v>
      </c>
      <c r="B6559" t="str">
        <f>"1578728157801941"</f>
        <v>1578728157801941</v>
      </c>
      <c r="C6559" t="s">
        <v>37</v>
      </c>
      <c r="D6559">
        <v>5.2721970000000002</v>
      </c>
      <c r="E6559">
        <v>0.61978230000000001</v>
      </c>
      <c r="F6559" t="s">
        <v>51</v>
      </c>
      <c r="G6559">
        <v>-171.77599999999899</v>
      </c>
      <c r="H6559" s="1">
        <v>-2.2260599999999999E-6</v>
      </c>
      <c r="I6559">
        <v>134.17519999999999</v>
      </c>
      <c r="J6559">
        <v>-179.95050000000001</v>
      </c>
      <c r="K6559">
        <v>1.088549</v>
      </c>
      <c r="L6559">
        <v>130.53639999999999</v>
      </c>
      <c r="M6559">
        <v>0.64757229999999999</v>
      </c>
      <c r="N6559">
        <v>0</v>
      </c>
      <c r="O6559">
        <v>0.76183350000000005</v>
      </c>
      <c r="P6559">
        <v>0.74429579999999995</v>
      </c>
      <c r="Q6559">
        <v>2.0822960000000001E-2</v>
      </c>
      <c r="R6559">
        <v>0.66752549999999999</v>
      </c>
      <c r="S6559">
        <v>2.871918</v>
      </c>
      <c r="T6559">
        <v>-0.375639</v>
      </c>
      <c r="U6559">
        <v>1.3147279999999999</v>
      </c>
      <c r="V6559">
        <v>0.13607920000000001</v>
      </c>
      <c r="W6559">
        <v>3.1629829999999998E-2</v>
      </c>
      <c r="X6559">
        <v>0.99019290000000004</v>
      </c>
      <c r="Y6559">
        <v>0.41662159999999898</v>
      </c>
      <c r="Z6559">
        <v>-0.1069007</v>
      </c>
      <c r="AA6559">
        <v>0.90277280000000004</v>
      </c>
      <c r="AB6559">
        <v>40</v>
      </c>
      <c r="AC6559">
        <v>8.1745000000000196</v>
      </c>
      <c r="AD6559">
        <v>-1.0885512260600001</v>
      </c>
      <c r="AE6559">
        <v>3.6387999999999998</v>
      </c>
      <c r="AF6559">
        <v>3.81525874840781</v>
      </c>
      <c r="AG6559">
        <v>-1.0885512260600001</v>
      </c>
      <c r="AH6559">
        <v>7.9491396572045598</v>
      </c>
      <c r="AI6559">
        <v>97.037902238857498</v>
      </c>
      <c r="AJ6559">
        <v>64.360917342399702</v>
      </c>
      <c r="AK6559">
        <v>8.8842537322389301</v>
      </c>
    </row>
    <row r="6560" spans="1:37" x14ac:dyDescent="0.2">
      <c r="A6560" t="str">
        <f>"20200111153557818"</f>
        <v>20200111153557818</v>
      </c>
      <c r="B6560" t="str">
        <f>"1578728157811700"</f>
        <v>1578728157811700</v>
      </c>
      <c r="C6560" t="s">
        <v>37</v>
      </c>
      <c r="D6560">
        <v>5.2556599999999998</v>
      </c>
      <c r="E6560">
        <v>0.61935640000000003</v>
      </c>
      <c r="F6560" t="s">
        <v>51</v>
      </c>
      <c r="G6560">
        <v>-171.62889999999999</v>
      </c>
      <c r="H6560" s="1">
        <v>-2.1907110000000001E-6</v>
      </c>
      <c r="I6560">
        <v>134.28479999999999</v>
      </c>
      <c r="J6560">
        <v>-179.8117</v>
      </c>
      <c r="K6560">
        <v>1.088479</v>
      </c>
      <c r="L6560">
        <v>130.69489999999999</v>
      </c>
      <c r="M6560">
        <v>0.653532</v>
      </c>
      <c r="N6560">
        <v>0</v>
      </c>
      <c r="O6560">
        <v>0.75672689999999998</v>
      </c>
      <c r="P6560">
        <v>0.74916530000000003</v>
      </c>
      <c r="Q6560">
        <v>2.0970530000000001E-2</v>
      </c>
      <c r="R6560">
        <v>0.6620511</v>
      </c>
      <c r="S6560">
        <v>2.878387</v>
      </c>
      <c r="T6560">
        <v>-0.37652329999999901</v>
      </c>
      <c r="U6560">
        <v>1.2965389999999899</v>
      </c>
      <c r="V6560">
        <v>0.13557429999999901</v>
      </c>
      <c r="W6560">
        <v>3.1793309999999998E-2</v>
      </c>
      <c r="X6560">
        <v>0.9902569</v>
      </c>
      <c r="Y6560">
        <v>0.41499469999999999</v>
      </c>
      <c r="Z6560">
        <v>-0.10668329999999999</v>
      </c>
      <c r="AA6560">
        <v>0.90354749999999995</v>
      </c>
      <c r="AB6560">
        <v>40</v>
      </c>
      <c r="AC6560">
        <v>8.1828000000000092</v>
      </c>
      <c r="AD6560">
        <v>-1.0884811907109999</v>
      </c>
      <c r="AE6560">
        <v>3.5899000000000001</v>
      </c>
      <c r="AF6560">
        <v>3.7902887415200599</v>
      </c>
      <c r="AG6560">
        <v>-1.0884811907109999</v>
      </c>
      <c r="AH6560">
        <v>7.94741742467032</v>
      </c>
      <c r="AI6560">
        <v>97.047210037419802</v>
      </c>
      <c r="AJ6560">
        <v>64.502554405901094</v>
      </c>
      <c r="AK6560">
        <v>8.8720078769452702</v>
      </c>
    </row>
    <row r="6561" spans="1:37" x14ac:dyDescent="0.2">
      <c r="A6561" t="str">
        <f>"20200111153557829"</f>
        <v>20200111153557829</v>
      </c>
      <c r="B6561" t="str">
        <f>"1578728157822436"</f>
        <v>1578728157822436</v>
      </c>
      <c r="C6561" t="s">
        <v>37</v>
      </c>
      <c r="D6561">
        <v>5.2302080000000002</v>
      </c>
      <c r="E6561">
        <v>0.61924429999999997</v>
      </c>
      <c r="F6561" t="s">
        <v>51</v>
      </c>
      <c r="G6561">
        <v>-171.4761</v>
      </c>
      <c r="H6561" s="1">
        <v>-2.1484500000000002E-6</v>
      </c>
      <c r="I6561">
        <v>134.386</v>
      </c>
      <c r="J6561">
        <v>-179.6755</v>
      </c>
      <c r="K6561">
        <v>1.0884209999999901</v>
      </c>
      <c r="L6561">
        <v>130.84649999999999</v>
      </c>
      <c r="M6561">
        <v>0.65930619999999995</v>
      </c>
      <c r="N6561">
        <v>0</v>
      </c>
      <c r="O6561">
        <v>0.75170109999999901</v>
      </c>
      <c r="P6561">
        <v>0.75365159999999998</v>
      </c>
      <c r="Q6561">
        <v>2.102238E-2</v>
      </c>
      <c r="R6561">
        <v>0.65693800000000002</v>
      </c>
      <c r="S6561">
        <v>2.885742</v>
      </c>
      <c r="T6561">
        <v>-0.37682549999999998</v>
      </c>
      <c r="U6561">
        <v>1.277863</v>
      </c>
      <c r="V6561">
        <v>0.13473779999999999</v>
      </c>
      <c r="W6561">
        <v>3.1875760000000003E-2</v>
      </c>
      <c r="X6561">
        <v>0.99036840000000004</v>
      </c>
      <c r="Y6561">
        <v>0.4137999</v>
      </c>
      <c r="Z6561">
        <v>-0.1062993</v>
      </c>
      <c r="AA6561">
        <v>0.90414050000000001</v>
      </c>
      <c r="AB6561">
        <v>40</v>
      </c>
      <c r="AC6561">
        <v>8.19939999999999</v>
      </c>
      <c r="AD6561">
        <v>-1.08842314844999</v>
      </c>
      <c r="AE6561">
        <v>3.5394999999999999</v>
      </c>
      <c r="AF6561">
        <v>3.7743224286624</v>
      </c>
      <c r="AG6561">
        <v>-1.08842314844999</v>
      </c>
      <c r="AH6561">
        <v>7.9495372667465602</v>
      </c>
      <c r="AI6561">
        <v>97.0507590499397</v>
      </c>
      <c r="AJ6561">
        <v>64.602325492738601</v>
      </c>
      <c r="AK6561">
        <v>8.8670918288341998</v>
      </c>
    </row>
    <row r="6562" spans="1:37" x14ac:dyDescent="0.2">
      <c r="A6562" t="str">
        <f>"20200111153557841"</f>
        <v>20200111153557841</v>
      </c>
      <c r="B6562" t="str">
        <f>"1578728157832196"</f>
        <v>1578728157832196</v>
      </c>
      <c r="C6562" t="s">
        <v>37</v>
      </c>
      <c r="D6562">
        <v>5.2221039999999999</v>
      </c>
      <c r="E6562">
        <v>0.61914769999999997</v>
      </c>
      <c r="F6562" t="s">
        <v>51</v>
      </c>
      <c r="G6562">
        <v>-171.3142</v>
      </c>
      <c r="H6562" s="1">
        <v>-2.099316E-6</v>
      </c>
      <c r="I6562">
        <v>134.4836</v>
      </c>
      <c r="J6562">
        <v>-179.5325</v>
      </c>
      <c r="K6562">
        <v>1.088355</v>
      </c>
      <c r="L6562">
        <v>131.00450000000001</v>
      </c>
      <c r="M6562">
        <v>0.665315199999999</v>
      </c>
      <c r="N6562">
        <v>0</v>
      </c>
      <c r="O6562">
        <v>0.74638749999999998</v>
      </c>
      <c r="P6562">
        <v>0.75833490000000003</v>
      </c>
      <c r="Q6562">
        <v>2.1204009999999999E-2</v>
      </c>
      <c r="R6562">
        <v>0.65152030000000005</v>
      </c>
      <c r="S6562">
        <v>2.8938599999999899</v>
      </c>
      <c r="T6562">
        <v>-0.37670300000000001</v>
      </c>
      <c r="U6562">
        <v>1.2587889999999999</v>
      </c>
      <c r="V6562">
        <v>0.13389870000000001</v>
      </c>
      <c r="W6562">
        <v>3.2087369999999997E-2</v>
      </c>
      <c r="X6562">
        <v>0.99047540000000001</v>
      </c>
      <c r="Y6562">
        <v>0.41248629999999997</v>
      </c>
      <c r="Z6562">
        <v>-0.10573969999999901</v>
      </c>
      <c r="AA6562">
        <v>0.90480609999999995</v>
      </c>
      <c r="AB6562">
        <v>40</v>
      </c>
      <c r="AC6562">
        <v>8.2182999999999993</v>
      </c>
      <c r="AD6562">
        <v>-1.0883570993160001</v>
      </c>
      <c r="AE6562">
        <v>3.4790999999999799</v>
      </c>
      <c r="AF6562">
        <v>3.7638592085007101</v>
      </c>
      <c r="AG6562">
        <v>-1.0883570993160001</v>
      </c>
      <c r="AH6562">
        <v>7.9473728363048703</v>
      </c>
      <c r="AI6562">
        <v>97.055445818212505</v>
      </c>
      <c r="AJ6562">
        <v>64.657862446862396</v>
      </c>
      <c r="AK6562">
        <v>8.8606936701526795</v>
      </c>
    </row>
    <row r="6563" spans="1:37" x14ac:dyDescent="0.2">
      <c r="A6563" t="str">
        <f>"20200111153557855"</f>
        <v>20200111153557855</v>
      </c>
      <c r="B6563" t="str">
        <f>"1578728157852490"</f>
        <v>1578728157852490</v>
      </c>
      <c r="C6563" t="s">
        <v>37</v>
      </c>
      <c r="D6563">
        <v>5.215052</v>
      </c>
      <c r="E6563">
        <v>0.61887760000000003</v>
      </c>
      <c r="F6563" t="s">
        <v>51</v>
      </c>
      <c r="G6563">
        <v>-171.04830000000001</v>
      </c>
      <c r="H6563" s="1">
        <v>-2.0100249999999999E-6</v>
      </c>
      <c r="I6563">
        <v>134.6242</v>
      </c>
      <c r="J6563">
        <v>-179.35640000000001</v>
      </c>
      <c r="K6563">
        <v>1.0882769999999999</v>
      </c>
      <c r="L6563">
        <v>131.19499999999999</v>
      </c>
      <c r="M6563">
        <v>0.67261870000000001</v>
      </c>
      <c r="N6563">
        <v>0</v>
      </c>
      <c r="O6563">
        <v>0.73981219999999903</v>
      </c>
      <c r="P6563">
        <v>0.76426830000000001</v>
      </c>
      <c r="Q6563">
        <v>2.144416E-2</v>
      </c>
      <c r="R6563">
        <v>0.64454180000000005</v>
      </c>
      <c r="S6563">
        <v>2.902542</v>
      </c>
      <c r="T6563">
        <v>-0.3723379</v>
      </c>
      <c r="U6563">
        <v>1.238327</v>
      </c>
      <c r="V6563">
        <v>0.13325409999999999</v>
      </c>
      <c r="W6563">
        <v>3.2348540000000002E-2</v>
      </c>
      <c r="X6563">
        <v>0.99055389999999999</v>
      </c>
      <c r="Y6563">
        <v>0.4101187</v>
      </c>
      <c r="Z6563">
        <v>-0.103839</v>
      </c>
      <c r="AA6563">
        <v>0.90610159999999995</v>
      </c>
      <c r="AB6563">
        <v>40</v>
      </c>
      <c r="AC6563">
        <v>8.3080999999999907</v>
      </c>
      <c r="AD6563">
        <v>-1.0882790100249999</v>
      </c>
      <c r="AE6563">
        <v>3.4291999999999998</v>
      </c>
      <c r="AF6563">
        <v>3.7849033718252798</v>
      </c>
      <c r="AG6563">
        <v>-1.0882790100249999</v>
      </c>
      <c r="AH6563">
        <v>8.0087972099020508</v>
      </c>
      <c r="AI6563">
        <v>97.004067806111905</v>
      </c>
      <c r="AJ6563">
        <v>64.704898814187104</v>
      </c>
      <c r="AK6563">
        <v>8.9247228241021705</v>
      </c>
    </row>
    <row r="6564" spans="1:37" x14ac:dyDescent="0.2">
      <c r="A6564" t="str">
        <f>"20200111153557872"</f>
        <v>20200111153557872</v>
      </c>
      <c r="B6564" t="str">
        <f>"1578728157862250"</f>
        <v>1578728157862250</v>
      </c>
      <c r="C6564" t="s">
        <v>37</v>
      </c>
      <c r="D6564">
        <v>5.2348160000000004</v>
      </c>
      <c r="E6564">
        <v>0.61882959999999998</v>
      </c>
      <c r="F6564" t="s">
        <v>51</v>
      </c>
      <c r="G6564">
        <v>-170.7919</v>
      </c>
      <c r="H6564" s="1">
        <v>-1.9255909999999998E-6</v>
      </c>
      <c r="I6564">
        <v>134.7636</v>
      </c>
      <c r="J6564">
        <v>-179.14089999999999</v>
      </c>
      <c r="K6564">
        <v>1.088185</v>
      </c>
      <c r="L6564">
        <v>131.423</v>
      </c>
      <c r="M6564">
        <v>0.68141649999999998</v>
      </c>
      <c r="N6564">
        <v>0</v>
      </c>
      <c r="O6564">
        <v>0.73171629999999999</v>
      </c>
      <c r="P6564">
        <v>0.77139609999999903</v>
      </c>
      <c r="Q6564">
        <v>2.201061E-2</v>
      </c>
      <c r="R6564">
        <v>0.63597459999999995</v>
      </c>
      <c r="S6564">
        <v>2.9123380000000001</v>
      </c>
      <c r="T6564">
        <v>-0.37006600000000001</v>
      </c>
      <c r="U6564">
        <v>1.2134860000000001</v>
      </c>
      <c r="V6564">
        <v>0.13247970000000001</v>
      </c>
      <c r="W6564">
        <v>3.2941890000000001E-2</v>
      </c>
      <c r="X6564">
        <v>0.99063809999999997</v>
      </c>
      <c r="Y6564">
        <v>0.40702949999999999</v>
      </c>
      <c r="Z6564">
        <v>-0.10236969999999999</v>
      </c>
      <c r="AA6564">
        <v>0.90766039999999903</v>
      </c>
      <c r="AB6564">
        <v>40</v>
      </c>
      <c r="AC6564">
        <v>8.3489999999999895</v>
      </c>
      <c r="AD6564">
        <v>-1.0881869255909999</v>
      </c>
      <c r="AE6564">
        <v>3.34059999999999</v>
      </c>
      <c r="AF6564">
        <v>3.77794097864248</v>
      </c>
      <c r="AG6564">
        <v>-1.0881869255909999</v>
      </c>
      <c r="AH6564">
        <v>8.0171873247872298</v>
      </c>
      <c r="AI6564">
        <v>96.999869387851106</v>
      </c>
      <c r="AJ6564">
        <v>64.768769478743195</v>
      </c>
      <c r="AK6564">
        <v>8.9292934448287902</v>
      </c>
    </row>
    <row r="6565" spans="1:37" x14ac:dyDescent="0.2">
      <c r="A6565" t="str">
        <f>"20200111153557886"</f>
        <v>20200111153557886</v>
      </c>
      <c r="B6565" t="str">
        <f>"1578728157881769"</f>
        <v>1578728157881769</v>
      </c>
      <c r="C6565" t="s">
        <v>37</v>
      </c>
      <c r="D6565">
        <v>5.2367980000000003</v>
      </c>
      <c r="E6565">
        <v>0.61846789999999996</v>
      </c>
      <c r="F6565" t="s">
        <v>51</v>
      </c>
      <c r="G6565">
        <v>-170.46119999999999</v>
      </c>
      <c r="H6565" s="1">
        <v>-1.8101259999999999E-6</v>
      </c>
      <c r="I6565">
        <v>134.92859999999999</v>
      </c>
      <c r="J6565">
        <v>-178.97460000000001</v>
      </c>
      <c r="K6565">
        <v>1.088117</v>
      </c>
      <c r="L6565">
        <v>131.59540000000001</v>
      </c>
      <c r="M6565">
        <v>0.68810380000000004</v>
      </c>
      <c r="N6565">
        <v>0</v>
      </c>
      <c r="O6565">
        <v>0.72543080000000004</v>
      </c>
      <c r="P6565">
        <v>0.77705579999999996</v>
      </c>
      <c r="Q6565">
        <v>2.232278E-2</v>
      </c>
      <c r="R6565">
        <v>0.62903589999999998</v>
      </c>
      <c r="S6565">
        <v>2.9253999999999998</v>
      </c>
      <c r="T6565">
        <v>-0.3667607</v>
      </c>
      <c r="U6565">
        <v>1.1815340000000001</v>
      </c>
      <c r="V6565">
        <v>0.1322767</v>
      </c>
      <c r="W6565">
        <v>3.3257849999999999E-2</v>
      </c>
      <c r="X6565">
        <v>0.990654699999999</v>
      </c>
      <c r="Y6565">
        <v>0.40872940000000002</v>
      </c>
      <c r="Z6565">
        <v>-0.1009838</v>
      </c>
      <c r="AA6565">
        <v>0.90705159999999996</v>
      </c>
      <c r="AB6565">
        <v>40</v>
      </c>
      <c r="AC6565">
        <v>8.5134000000000096</v>
      </c>
      <c r="AD6565">
        <v>-1.088118810126</v>
      </c>
      <c r="AE6565">
        <v>3.33319999999997</v>
      </c>
      <c r="AF6565">
        <v>3.8285755621665198</v>
      </c>
      <c r="AG6565">
        <v>-1.088118810126</v>
      </c>
      <c r="AH6565">
        <v>8.1615920839048908</v>
      </c>
      <c r="AI6565">
        <v>96.882387102134004</v>
      </c>
      <c r="AJ6565">
        <v>64.8688833208234</v>
      </c>
      <c r="AK6565">
        <v>9.0803952955930107</v>
      </c>
    </row>
    <row r="6566" spans="1:37" x14ac:dyDescent="0.2">
      <c r="A6566" t="str">
        <f>"20200111153557899"</f>
        <v>20200111153557899</v>
      </c>
      <c r="B6566" t="str">
        <f>"1578728157892505"</f>
        <v>1578728157892505</v>
      </c>
      <c r="C6566" t="s">
        <v>37</v>
      </c>
      <c r="D6566">
        <v>5.238874</v>
      </c>
      <c r="E6566">
        <v>0.61833479999999996</v>
      </c>
      <c r="F6566" t="s">
        <v>51</v>
      </c>
      <c r="G6566">
        <v>-170.17330000000001</v>
      </c>
      <c r="H6566" s="1">
        <v>-1.707846E-6</v>
      </c>
      <c r="I6566">
        <v>135.06829999999999</v>
      </c>
      <c r="J6566">
        <v>-178.81</v>
      </c>
      <c r="K6566">
        <v>1.088055</v>
      </c>
      <c r="L6566">
        <v>131.76390000000001</v>
      </c>
      <c r="M6566">
        <v>0.69464300000000001</v>
      </c>
      <c r="N6566">
        <v>0</v>
      </c>
      <c r="O6566">
        <v>0.71917119999999901</v>
      </c>
      <c r="P6566">
        <v>0.78249259999999998</v>
      </c>
      <c r="Q6566">
        <v>2.2281240000000001E-2</v>
      </c>
      <c r="R6566">
        <v>0.62226119999999996</v>
      </c>
      <c r="S6566">
        <v>2.9339599999999999</v>
      </c>
      <c r="T6566">
        <v>-0.36272850000000001</v>
      </c>
      <c r="U6566">
        <v>1.157715</v>
      </c>
      <c r="V6566">
        <v>0.1319196</v>
      </c>
      <c r="W6566">
        <v>3.3226400000000003E-2</v>
      </c>
      <c r="X6566">
        <v>0.99070340000000001</v>
      </c>
      <c r="Y6566">
        <v>0.40792410000000001</v>
      </c>
      <c r="Z6566">
        <v>-9.932067E-2</v>
      </c>
      <c r="AA6566">
        <v>0.90759749999999995</v>
      </c>
      <c r="AB6566">
        <v>40</v>
      </c>
      <c r="AC6566">
        <v>8.6366999999999905</v>
      </c>
      <c r="AD6566">
        <v>-1.0880567078459999</v>
      </c>
      <c r="AE6566">
        <v>3.3043999999999798</v>
      </c>
      <c r="AF6566">
        <v>3.8629240376200999</v>
      </c>
      <c r="AG6566">
        <v>-1.0880567078459999</v>
      </c>
      <c r="AH6566">
        <v>8.2625666318714597</v>
      </c>
      <c r="AI6566">
        <v>96.802763961811294</v>
      </c>
      <c r="AJ6566">
        <v>64.9429202200471</v>
      </c>
      <c r="AK6566">
        <v>9.1856440637566497</v>
      </c>
    </row>
    <row r="6567" spans="1:37" x14ac:dyDescent="0.2">
      <c r="A6567" t="str">
        <f>"20200111153557917"</f>
        <v>20200111153557917</v>
      </c>
      <c r="B6567" t="str">
        <f>"1578728157912025"</f>
        <v>1578728157912025</v>
      </c>
      <c r="C6567" t="s">
        <v>37</v>
      </c>
      <c r="D6567">
        <v>5.2034989999999999</v>
      </c>
      <c r="E6567">
        <v>0.61796399999999996</v>
      </c>
      <c r="F6567" t="s">
        <v>51</v>
      </c>
      <c r="G6567">
        <v>-169.98500000000001</v>
      </c>
      <c r="H6567" s="1">
        <v>-1.6416370000000001E-6</v>
      </c>
      <c r="I6567">
        <v>135.16130000000001</v>
      </c>
      <c r="J6567">
        <v>-178.57149999999999</v>
      </c>
      <c r="K6567">
        <v>1.087968</v>
      </c>
      <c r="L6567">
        <v>132.00129999999999</v>
      </c>
      <c r="M6567">
        <v>0.70394840000000003</v>
      </c>
      <c r="N6567">
        <v>0</v>
      </c>
      <c r="O6567">
        <v>0.71006480000000005</v>
      </c>
      <c r="P6567">
        <v>0.79045959999999904</v>
      </c>
      <c r="Q6567">
        <v>2.3586260000000001E-2</v>
      </c>
      <c r="R6567">
        <v>0.61205980000000004</v>
      </c>
      <c r="S6567">
        <v>2.9431919999999998</v>
      </c>
      <c r="T6567">
        <v>-0.3628728</v>
      </c>
      <c r="U6567">
        <v>1.133057</v>
      </c>
      <c r="V6567">
        <v>0.13190160000000001</v>
      </c>
      <c r="W6567">
        <v>3.4527410000000001E-2</v>
      </c>
      <c r="X6567">
        <v>0.99066129999999997</v>
      </c>
      <c r="Y6567">
        <v>0.4036882</v>
      </c>
      <c r="Z6567">
        <v>-9.8363320000000004E-2</v>
      </c>
      <c r="AA6567">
        <v>0.9095936</v>
      </c>
      <c r="AB6567">
        <v>40</v>
      </c>
      <c r="AC6567">
        <v>8.5864999999999707</v>
      </c>
      <c r="AD6567">
        <v>-1.0879696416369999</v>
      </c>
      <c r="AE6567">
        <v>3.1600000000000201</v>
      </c>
      <c r="AF6567">
        <v>3.81900764869253</v>
      </c>
      <c r="AG6567">
        <v>-1.0879696416369999</v>
      </c>
      <c r="AH6567">
        <v>8.1737804625274908</v>
      </c>
      <c r="AI6567">
        <v>96.876178312277403</v>
      </c>
      <c r="AJ6567">
        <v>64.956767652070198</v>
      </c>
      <c r="AK6567">
        <v>9.0873089752407896</v>
      </c>
    </row>
    <row r="6568" spans="1:37" x14ac:dyDescent="0.2">
      <c r="A6568" t="str">
        <f>"20200111153557930"</f>
        <v>20200111153557930</v>
      </c>
      <c r="B6568" t="str">
        <f>"1578728157921785"</f>
        <v>1578728157921785</v>
      </c>
      <c r="C6568" t="s">
        <v>37</v>
      </c>
      <c r="D6568">
        <v>5.2331099999999999</v>
      </c>
      <c r="E6568">
        <v>0.61774530000000005</v>
      </c>
      <c r="F6568" t="s">
        <v>39</v>
      </c>
      <c r="G6568">
        <v>-169.60830000000001</v>
      </c>
      <c r="H6568" s="1">
        <v>-1.2751479999999999E-6</v>
      </c>
      <c r="I6568">
        <v>135.32980000000001</v>
      </c>
      <c r="J6568">
        <v>-178.4092</v>
      </c>
      <c r="K6568">
        <v>1.0879110000000001</v>
      </c>
      <c r="L6568">
        <v>132.15889999999999</v>
      </c>
      <c r="M6568">
        <v>0.71017010000000003</v>
      </c>
      <c r="N6568">
        <v>0</v>
      </c>
      <c r="O6568">
        <v>0.70384190000000002</v>
      </c>
      <c r="P6568">
        <v>0.7956609</v>
      </c>
      <c r="Q6568">
        <v>2.4226890000000001E-2</v>
      </c>
      <c r="R6568">
        <v>0.60525769999999901</v>
      </c>
      <c r="S6568">
        <v>2.955978</v>
      </c>
      <c r="T6568">
        <v>-0.358803599999999</v>
      </c>
      <c r="U6568">
        <v>1.0977170000000001</v>
      </c>
      <c r="V6568">
        <v>0.131696799999999</v>
      </c>
      <c r="W6568">
        <v>3.5173620000000003E-2</v>
      </c>
      <c r="X6568">
        <v>0.99066580000000004</v>
      </c>
      <c r="Y6568">
        <v>0.40664060000000002</v>
      </c>
      <c r="Z6568">
        <v>-9.6869200000000003E-2</v>
      </c>
      <c r="AA6568">
        <v>0.90843809999999903</v>
      </c>
      <c r="AB6568">
        <v>40</v>
      </c>
      <c r="AC6568">
        <v>8.8008999999999808</v>
      </c>
      <c r="AD6568">
        <v>-1.0879122751479999</v>
      </c>
      <c r="AE6568">
        <v>3.1709000000000098</v>
      </c>
      <c r="AF6568">
        <v>3.8904688691220501</v>
      </c>
      <c r="AG6568">
        <v>-1.0879122751479999</v>
      </c>
      <c r="AH6568">
        <v>8.3698723659368408</v>
      </c>
      <c r="AI6568">
        <v>96.722358704707005</v>
      </c>
      <c r="AJ6568">
        <v>65.070138229287394</v>
      </c>
      <c r="AK6568">
        <v>9.2937648217554294</v>
      </c>
    </row>
    <row r="6569" spans="1:37" x14ac:dyDescent="0.2">
      <c r="A6569" t="str">
        <f>"20200111153557943"</f>
        <v>20200111153557943</v>
      </c>
      <c r="B6569" t="str">
        <f>"1578728157932522"</f>
        <v>1578728157932522</v>
      </c>
      <c r="C6569" t="s">
        <v>37</v>
      </c>
      <c r="D6569">
        <v>5.2209199999999996</v>
      </c>
      <c r="E6569">
        <v>0.61755890000000002</v>
      </c>
      <c r="F6569" t="s">
        <v>39</v>
      </c>
      <c r="G6569">
        <v>-169.3733</v>
      </c>
      <c r="H6569" s="1">
        <v>-1.338177E-6</v>
      </c>
      <c r="I6569">
        <v>135.43219999999999</v>
      </c>
      <c r="J6569">
        <v>-178.24680000000001</v>
      </c>
      <c r="K6569">
        <v>1.087855</v>
      </c>
      <c r="L6569">
        <v>132.31479999999999</v>
      </c>
      <c r="M6569">
        <v>0.71632340000000005</v>
      </c>
      <c r="N6569">
        <v>0</v>
      </c>
      <c r="O6569">
        <v>0.69757819999999904</v>
      </c>
      <c r="P6569">
        <v>0.80088059999999905</v>
      </c>
      <c r="Q6569">
        <v>2.4444440000000001E-2</v>
      </c>
      <c r="R6569">
        <v>0.598325</v>
      </c>
      <c r="S6569">
        <v>2.964432</v>
      </c>
      <c r="T6569">
        <v>-0.35691209999999901</v>
      </c>
      <c r="U6569">
        <v>1.0738829999999999</v>
      </c>
      <c r="V6569">
        <v>0.1316099</v>
      </c>
      <c r="W6569">
        <v>3.5391399999999899E-2</v>
      </c>
      <c r="X6569">
        <v>0.99066960000000004</v>
      </c>
      <c r="Y6569">
        <v>0.40601409999999999</v>
      </c>
      <c r="Z6569">
        <v>-9.5786159999999995E-2</v>
      </c>
      <c r="AA6569">
        <v>0.90883309999999995</v>
      </c>
      <c r="AB6569">
        <v>40</v>
      </c>
      <c r="AC6569">
        <v>8.8734999999999999</v>
      </c>
      <c r="AD6569">
        <v>-1.0878563381769999</v>
      </c>
      <c r="AE6569">
        <v>3.1173999999999999</v>
      </c>
      <c r="AF6569">
        <v>3.90517319007557</v>
      </c>
      <c r="AG6569">
        <v>-1.0878563381769999</v>
      </c>
      <c r="AH6569">
        <v>8.4194185728107804</v>
      </c>
      <c r="AI6569">
        <v>96.685319497627205</v>
      </c>
      <c r="AJ6569">
        <v>65.116747206862598</v>
      </c>
      <c r="AK6569">
        <v>9.3445394836336408</v>
      </c>
    </row>
    <row r="6570" spans="1:37" x14ac:dyDescent="0.2">
      <c r="A6570" t="str">
        <f>"20200111153557955"</f>
        <v>20200111153557955</v>
      </c>
      <c r="B6570" t="str">
        <f>"1578728157942281"</f>
        <v>1578728157942281</v>
      </c>
      <c r="C6570" t="s">
        <v>37</v>
      </c>
      <c r="D6570">
        <v>5.247808</v>
      </c>
      <c r="E6570">
        <v>0.61753019999999903</v>
      </c>
      <c r="F6570" t="s">
        <v>39</v>
      </c>
      <c r="G6570">
        <v>-169.17160000000001</v>
      </c>
      <c r="H6570" s="1">
        <v>-1.3927279999999999E-6</v>
      </c>
      <c r="I6570">
        <v>135.51820000000001</v>
      </c>
      <c r="J6570">
        <v>-178.0762</v>
      </c>
      <c r="K6570">
        <v>1.0877969999999999</v>
      </c>
      <c r="L6570">
        <v>132.47540000000001</v>
      </c>
      <c r="M6570">
        <v>0.72269680000000003</v>
      </c>
      <c r="N6570">
        <v>0</v>
      </c>
      <c r="O6570">
        <v>0.69097280000000005</v>
      </c>
      <c r="P6570">
        <v>0.80621169999999998</v>
      </c>
      <c r="Q6570">
        <v>2.4701049999999999E-2</v>
      </c>
      <c r="R6570">
        <v>0.59111139999999995</v>
      </c>
      <c r="S6570">
        <v>2.9727939999999999</v>
      </c>
      <c r="T6570">
        <v>-0.35635169999999999</v>
      </c>
      <c r="U6570">
        <v>1.0493619999999999</v>
      </c>
      <c r="V6570">
        <v>0.13141910000000001</v>
      </c>
      <c r="W6570">
        <v>3.5652059999999999E-2</v>
      </c>
      <c r="X6570">
        <v>0.99068559999999894</v>
      </c>
      <c r="Y6570">
        <v>0.4051613</v>
      </c>
      <c r="Z6570">
        <v>-9.5020339999999995E-2</v>
      </c>
      <c r="AA6570">
        <v>0.90929389999999999</v>
      </c>
      <c r="AB6570">
        <v>40</v>
      </c>
      <c r="AC6570">
        <v>8.9045999999999808</v>
      </c>
      <c r="AD6570">
        <v>-1.0877983927279999</v>
      </c>
      <c r="AE6570">
        <v>3.0428000000000002</v>
      </c>
      <c r="AF6570">
        <v>3.9021951504279402</v>
      </c>
      <c r="AG6570">
        <v>-1.0877983927279999</v>
      </c>
      <c r="AH6570">
        <v>8.42635162518879</v>
      </c>
      <c r="AI6570">
        <v>96.681372547424104</v>
      </c>
      <c r="AJ6570">
        <v>65.151415787209203</v>
      </c>
      <c r="AK6570">
        <v>9.34953656854535</v>
      </c>
    </row>
    <row r="6571" spans="1:37" x14ac:dyDescent="0.2">
      <c r="A6571" t="str">
        <f>"20200111153557973"</f>
        <v>20200111153557973</v>
      </c>
      <c r="B6571" t="str">
        <f>"1578728157961801"</f>
        <v>1578728157961801</v>
      </c>
      <c r="C6571" t="s">
        <v>37</v>
      </c>
      <c r="D6571">
        <v>5.213908</v>
      </c>
      <c r="E6571">
        <v>0.61740419999999996</v>
      </c>
      <c r="F6571" t="s">
        <v>39</v>
      </c>
      <c r="G6571">
        <v>-168.91919999999999</v>
      </c>
      <c r="H6571" s="1">
        <v>-1.463638E-6</v>
      </c>
      <c r="I6571">
        <v>135.61600000000001</v>
      </c>
      <c r="J6571">
        <v>-177.84559999999999</v>
      </c>
      <c r="K6571">
        <v>1.087715</v>
      </c>
      <c r="L6571">
        <v>132.68770000000001</v>
      </c>
      <c r="M6571">
        <v>0.73116479999999995</v>
      </c>
      <c r="N6571">
        <v>0</v>
      </c>
      <c r="O6571">
        <v>0.68200550000000004</v>
      </c>
      <c r="P6571">
        <v>0.81312959999999901</v>
      </c>
      <c r="Q6571">
        <v>2.4622089999999999E-2</v>
      </c>
      <c r="R6571">
        <v>0.58156180000000002</v>
      </c>
      <c r="S6571">
        <v>2.9820709999999999</v>
      </c>
      <c r="T6571">
        <v>-0.354253599999999</v>
      </c>
      <c r="U6571">
        <v>1.0227660000000001</v>
      </c>
      <c r="V6571">
        <v>0.13088859999999999</v>
      </c>
      <c r="W6571">
        <v>3.5591060000000001E-2</v>
      </c>
      <c r="X6571">
        <v>0.99075800000000003</v>
      </c>
      <c r="Y6571">
        <v>0.40215409999999902</v>
      </c>
      <c r="Z6571">
        <v>-9.3524510000000005E-2</v>
      </c>
      <c r="AA6571">
        <v>0.9107828</v>
      </c>
      <c r="AB6571">
        <v>40</v>
      </c>
      <c r="AC6571">
        <v>8.9263999999999992</v>
      </c>
      <c r="AD6571">
        <v>-1.0877164636379999</v>
      </c>
      <c r="AE6571">
        <v>2.9283000000000001</v>
      </c>
      <c r="AF6571">
        <v>3.8950936528781801</v>
      </c>
      <c r="AG6571">
        <v>-1.0877164636379999</v>
      </c>
      <c r="AH6571">
        <v>8.4121515995067409</v>
      </c>
      <c r="AI6571">
        <v>96.692207215644501</v>
      </c>
      <c r="AJ6571">
        <v>65.154363299198707</v>
      </c>
      <c r="AK6571">
        <v>9.3337653818298296</v>
      </c>
    </row>
    <row r="6572" spans="1:37" x14ac:dyDescent="0.2">
      <c r="A6572" t="str">
        <f>"20200111153557986"</f>
        <v>20200111153557986</v>
      </c>
      <c r="B6572" t="str">
        <f>"1578728157982297"</f>
        <v>1578728157982297</v>
      </c>
      <c r="C6572" t="s">
        <v>37</v>
      </c>
      <c r="D6572">
        <v>5.3602150000000002</v>
      </c>
      <c r="E6572">
        <v>0.61737069999999905</v>
      </c>
      <c r="F6572" t="s">
        <v>39</v>
      </c>
      <c r="G6572">
        <v>-168.6026</v>
      </c>
      <c r="H6572" s="1">
        <v>-1.5524679999999999E-6</v>
      </c>
      <c r="I6572">
        <v>135.739</v>
      </c>
      <c r="J6572">
        <v>-177.66980000000001</v>
      </c>
      <c r="K6572">
        <v>1.0876589999999999</v>
      </c>
      <c r="L6572">
        <v>132.846</v>
      </c>
      <c r="M6572">
        <v>0.73751060000000002</v>
      </c>
      <c r="N6572">
        <v>0</v>
      </c>
      <c r="O6572">
        <v>0.67513789999999996</v>
      </c>
      <c r="P6572">
        <v>0.81853260000000005</v>
      </c>
      <c r="Q6572">
        <v>2.4716129999999999E-2</v>
      </c>
      <c r="R6572">
        <v>0.573928199999999</v>
      </c>
      <c r="S6572">
        <v>2.9933619999999999</v>
      </c>
      <c r="T6572">
        <v>-0.35226249999999998</v>
      </c>
      <c r="U6572">
        <v>0.988204999999999</v>
      </c>
      <c r="V6572">
        <v>0.1309005</v>
      </c>
      <c r="W6572">
        <v>3.5681610000000002E-2</v>
      </c>
      <c r="X6572">
        <v>0.990753199999999</v>
      </c>
      <c r="Y6572">
        <v>0.40419909999999998</v>
      </c>
      <c r="Z6572">
        <v>-9.2495469999999996E-2</v>
      </c>
      <c r="AA6572">
        <v>0.90998230000000002</v>
      </c>
      <c r="AB6572">
        <v>40</v>
      </c>
      <c r="AC6572">
        <v>9.0672000000000104</v>
      </c>
      <c r="AD6572">
        <v>-1.0876605524680001</v>
      </c>
      <c r="AE6572">
        <v>2.8929999999999998</v>
      </c>
      <c r="AF6572">
        <v>3.9371066441841598</v>
      </c>
      <c r="AG6572">
        <v>-1.0876605524680001</v>
      </c>
      <c r="AH6572">
        <v>8.5300820965058808</v>
      </c>
      <c r="AI6572">
        <v>96.603851045862996</v>
      </c>
      <c r="AJ6572">
        <v>65.224052773737796</v>
      </c>
      <c r="AK6572">
        <v>9.4575956129559806</v>
      </c>
    </row>
    <row r="6573" spans="1:37" x14ac:dyDescent="0.2">
      <c r="A6573" t="str">
        <f>"20200111153557997"</f>
        <v>20200111153557997</v>
      </c>
      <c r="B6573" t="str">
        <f>"1578728157992058"</f>
        <v>1578728157992058</v>
      </c>
      <c r="C6573" t="s">
        <v>37</v>
      </c>
      <c r="D6573">
        <v>5.1940150000000003</v>
      </c>
      <c r="E6573">
        <v>0.61737069999999905</v>
      </c>
      <c r="F6573" t="s">
        <v>39</v>
      </c>
      <c r="G6573">
        <v>-168.39850000000001</v>
      </c>
      <c r="H6573" s="1">
        <v>-1.611617E-6</v>
      </c>
      <c r="I6573">
        <v>135.81139999999999</v>
      </c>
      <c r="J6573">
        <v>-177.5154</v>
      </c>
      <c r="K6573">
        <v>1.0876139999999901</v>
      </c>
      <c r="L6573">
        <v>132.98330000000001</v>
      </c>
      <c r="M6573">
        <v>0.74301340000000005</v>
      </c>
      <c r="N6573">
        <v>0</v>
      </c>
      <c r="O6573">
        <v>0.66907669999999997</v>
      </c>
      <c r="P6573">
        <v>0.82304639999999996</v>
      </c>
      <c r="Q6573">
        <v>2.4730809999999999E-2</v>
      </c>
      <c r="R6573">
        <v>0.56743559999999904</v>
      </c>
      <c r="S6573">
        <v>3.0023960000000001</v>
      </c>
      <c r="T6573">
        <v>-0.35222599999999998</v>
      </c>
      <c r="U6573">
        <v>0.96029659999999994</v>
      </c>
      <c r="V6573">
        <v>0.13063039999999901</v>
      </c>
      <c r="W6573">
        <v>3.5704949999999999E-2</v>
      </c>
      <c r="X6573">
        <v>0.990787999999999</v>
      </c>
      <c r="Y6573">
        <v>0.40521770000000001</v>
      </c>
      <c r="Z6573">
        <v>-9.1992569999999996E-2</v>
      </c>
      <c r="AA6573">
        <v>0.9095801</v>
      </c>
      <c r="AB6573">
        <v>40</v>
      </c>
      <c r="AC6573">
        <v>9.1168999999999798</v>
      </c>
      <c r="AD6573">
        <v>-1.0876156116169999</v>
      </c>
      <c r="AE6573">
        <v>2.8280999999999699</v>
      </c>
      <c r="AF6573">
        <v>3.9478710243653099</v>
      </c>
      <c r="AG6573">
        <v>-1.0876156116169999</v>
      </c>
      <c r="AH6573">
        <v>8.5562725810521307</v>
      </c>
      <c r="AI6573">
        <v>96.583929144226303</v>
      </c>
      <c r="AJ6573">
        <v>65.231362030393996</v>
      </c>
      <c r="AK6573">
        <v>9.4856941667397603</v>
      </c>
    </row>
    <row r="6574" spans="1:37" x14ac:dyDescent="0.2">
      <c r="A6574" t="str">
        <f>"20200111153558009"</f>
        <v>20200111153558009</v>
      </c>
      <c r="B6574" t="str">
        <f>"1578728158001817"</f>
        <v>1578728158001817</v>
      </c>
      <c r="C6574" t="s">
        <v>37</v>
      </c>
      <c r="D6574">
        <v>5.2789029999999997</v>
      </c>
      <c r="E6574">
        <v>0.64803230000000001</v>
      </c>
      <c r="F6574" t="s">
        <v>39</v>
      </c>
      <c r="G6574">
        <v>-168.2236</v>
      </c>
      <c r="H6574" s="1">
        <v>-1.6619579999999901E-6</v>
      </c>
      <c r="I6574">
        <v>135.87459999999999</v>
      </c>
      <c r="J6574">
        <v>-177.3493</v>
      </c>
      <c r="K6574">
        <v>1.0875649999999999</v>
      </c>
      <c r="L6574">
        <v>133.12729999999999</v>
      </c>
      <c r="M6574">
        <v>0.74884580000000001</v>
      </c>
      <c r="N6574">
        <v>0</v>
      </c>
      <c r="O6574">
        <v>0.66254219999999997</v>
      </c>
      <c r="P6574">
        <v>0.82802249999999999</v>
      </c>
      <c r="Q6574">
        <v>2.481819E-2</v>
      </c>
      <c r="R6574">
        <v>0.56014529999999996</v>
      </c>
      <c r="S6574">
        <v>3.0098880000000001</v>
      </c>
      <c r="T6574">
        <v>-0.35231079999999998</v>
      </c>
      <c r="U6574">
        <v>0.93656919999999899</v>
      </c>
      <c r="V6574">
        <v>0.13070709999999999</v>
      </c>
      <c r="W6574">
        <v>3.578692E-2</v>
      </c>
      <c r="X6574">
        <v>0.99077490000000001</v>
      </c>
      <c r="Y6574">
        <v>0.40443669999999998</v>
      </c>
      <c r="Z6574">
        <v>-9.1389600000000001E-2</v>
      </c>
      <c r="AA6574">
        <v>0.90998840000000003</v>
      </c>
      <c r="AB6574">
        <v>40</v>
      </c>
      <c r="AC6574">
        <v>9.1256999999999895</v>
      </c>
      <c r="AD6574">
        <v>-1.087566661958</v>
      </c>
      <c r="AE6574">
        <v>2.7472999999999899</v>
      </c>
      <c r="AF6574">
        <v>3.93810669140559</v>
      </c>
      <c r="AG6574">
        <v>-1.087566661958</v>
      </c>
      <c r="AH6574">
        <v>8.5438393767521994</v>
      </c>
      <c r="AI6574">
        <v>96.594303457611105</v>
      </c>
      <c r="AJ6574">
        <v>65.253634925794699</v>
      </c>
      <c r="AK6574">
        <v>9.4704105957892502</v>
      </c>
    </row>
    <row r="6575" spans="1:37" x14ac:dyDescent="0.2">
      <c r="A6575" t="str">
        <f>"20200111153558021"</f>
        <v>20200111153558021</v>
      </c>
      <c r="B6575" t="str">
        <f>"1578728158012553"</f>
        <v>1578728158012553</v>
      </c>
      <c r="C6575" t="s">
        <v>37</v>
      </c>
      <c r="D6575">
        <v>5.2585470000000001</v>
      </c>
      <c r="E6575">
        <v>0.65300309999999995</v>
      </c>
      <c r="F6575" t="s">
        <v>39</v>
      </c>
      <c r="G6575">
        <v>-158.50040000000001</v>
      </c>
      <c r="H6575" s="1">
        <v>-1.1001329999999999E-6</v>
      </c>
      <c r="I6575">
        <v>137.34700000000001</v>
      </c>
      <c r="J6575">
        <v>-177.18729999999999</v>
      </c>
      <c r="K6575">
        <v>1.087515</v>
      </c>
      <c r="L6575">
        <v>133.2664</v>
      </c>
      <c r="M6575">
        <v>0.75446409999999997</v>
      </c>
      <c r="N6575">
        <v>0</v>
      </c>
      <c r="O6575">
        <v>0.65613690000000002</v>
      </c>
      <c r="P6575">
        <v>0.83285830000000005</v>
      </c>
      <c r="Q6575">
        <v>2.503433E-2</v>
      </c>
      <c r="R6575">
        <v>0.55291999999999997</v>
      </c>
      <c r="S6575">
        <v>3.1512910000000001</v>
      </c>
      <c r="T6575">
        <v>-0.18182719999999999</v>
      </c>
      <c r="U6575">
        <v>0.70549010000000001</v>
      </c>
      <c r="V6575">
        <v>0.1308937</v>
      </c>
      <c r="W6575">
        <v>3.5992780000000002E-2</v>
      </c>
      <c r="X6575">
        <v>0.99074289999999998</v>
      </c>
      <c r="Y6575">
        <v>0.47394199999999997</v>
      </c>
      <c r="Z6575">
        <v>-4.7612790000000002E-2</v>
      </c>
      <c r="AA6575">
        <v>0.87926789999999999</v>
      </c>
      <c r="AB6575">
        <v>40</v>
      </c>
      <c r="AC6575">
        <v>18.686899999999898</v>
      </c>
      <c r="AD6575">
        <v>-1.087516100133</v>
      </c>
      <c r="AE6575">
        <v>4.0805999999999996</v>
      </c>
      <c r="AF6575">
        <v>9.1541378083548199</v>
      </c>
      <c r="AG6575">
        <v>-1.087516100133</v>
      </c>
      <c r="AH6575">
        <v>16.724213795206001</v>
      </c>
      <c r="AI6575">
        <v>93.264654479310295</v>
      </c>
      <c r="AJ6575">
        <v>61.305540307744103</v>
      </c>
      <c r="AK6575">
        <v>19.096603293522101</v>
      </c>
    </row>
    <row r="6576" spans="1:37" x14ac:dyDescent="0.2">
      <c r="A6576" t="str">
        <f>"20200111153558033"</f>
        <v>20200111153558033</v>
      </c>
      <c r="B6576" t="str">
        <f>"1578728158022314"</f>
        <v>1578728158022314</v>
      </c>
      <c r="C6576" t="s">
        <v>37</v>
      </c>
      <c r="D6576">
        <v>5.2280100000000003</v>
      </c>
      <c r="E6576">
        <v>0.6537018</v>
      </c>
      <c r="F6576" t="s">
        <v>39</v>
      </c>
      <c r="G6576">
        <v>-155.31319999999999</v>
      </c>
      <c r="H6576" s="1">
        <v>-2.3323929999999999E-6</v>
      </c>
      <c r="I6576">
        <v>137.70240000000001</v>
      </c>
      <c r="J6576">
        <v>-177.0206</v>
      </c>
      <c r="K6576">
        <v>1.0874680000000001</v>
      </c>
      <c r="L6576">
        <v>133.40620000000001</v>
      </c>
      <c r="M6576">
        <v>0.76015849999999996</v>
      </c>
      <c r="N6576">
        <v>0</v>
      </c>
      <c r="O6576">
        <v>0.64953099999999997</v>
      </c>
      <c r="P6576">
        <v>0.8375937</v>
      </c>
      <c r="Q6576">
        <v>2.4985549999999999E-2</v>
      </c>
      <c r="R6576">
        <v>0.54572219999999905</v>
      </c>
      <c r="S6576">
        <v>3.1788020000000001</v>
      </c>
      <c r="T6576">
        <v>-0.15804099999999999</v>
      </c>
      <c r="U6576">
        <v>0.64466859999999904</v>
      </c>
      <c r="V6576">
        <v>0.1307933</v>
      </c>
      <c r="W6576">
        <v>3.5946560000000002E-2</v>
      </c>
      <c r="X6576">
        <v>0.99075780000000002</v>
      </c>
      <c r="Y6576">
        <v>0.48435129999999998</v>
      </c>
      <c r="Z6576">
        <v>-4.119482E-2</v>
      </c>
      <c r="AA6576">
        <v>0.87390319999999899</v>
      </c>
      <c r="AB6576">
        <v>40</v>
      </c>
      <c r="AC6576">
        <v>21.7074</v>
      </c>
      <c r="AD6576">
        <v>-1.0874703323929999</v>
      </c>
      <c r="AE6576">
        <v>4.29619999999999</v>
      </c>
      <c r="AF6576">
        <v>10.8091860909351</v>
      </c>
      <c r="AG6576">
        <v>-1.0874703323929999</v>
      </c>
      <c r="AH6576">
        <v>19.247685639551801</v>
      </c>
      <c r="AI6576">
        <v>92.820236944088094</v>
      </c>
      <c r="AJ6576">
        <v>60.682144436961202</v>
      </c>
      <c r="AK6576">
        <v>22.101911640202299</v>
      </c>
    </row>
    <row r="6577" spans="1:37" x14ac:dyDescent="0.2">
      <c r="A6577" t="str">
        <f>"20200111153558046"</f>
        <v>20200111153558046</v>
      </c>
      <c r="B6577" t="str">
        <f>"1578728158041834"</f>
        <v>1578728158041834</v>
      </c>
      <c r="C6577" t="s">
        <v>37</v>
      </c>
      <c r="D6577">
        <v>5.2098699999999996</v>
      </c>
      <c r="E6577">
        <v>0.65417049999999999</v>
      </c>
      <c r="F6577" t="s">
        <v>39</v>
      </c>
      <c r="G6577">
        <v>-153.48410000000001</v>
      </c>
      <c r="H6577" s="1">
        <v>-3.0769180000000002E-6</v>
      </c>
      <c r="I6577">
        <v>137.92869999999999</v>
      </c>
      <c r="J6577">
        <v>-176.84549999999999</v>
      </c>
      <c r="K6577">
        <v>1.0874170000000001</v>
      </c>
      <c r="L6577">
        <v>133.55070000000001</v>
      </c>
      <c r="M6577">
        <v>0.76605959999999995</v>
      </c>
      <c r="N6577">
        <v>0</v>
      </c>
      <c r="O6577">
        <v>0.64256020000000003</v>
      </c>
      <c r="P6577">
        <v>0.8424469</v>
      </c>
      <c r="Q6577">
        <v>2.50113E-2</v>
      </c>
      <c r="R6577">
        <v>0.53819849999999902</v>
      </c>
      <c r="S6577">
        <v>3.1870880000000001</v>
      </c>
      <c r="T6577">
        <v>-0.14725479999999999</v>
      </c>
      <c r="U6577">
        <v>0.61239619999999995</v>
      </c>
      <c r="V6577">
        <v>0.1306225</v>
      </c>
      <c r="W6577">
        <v>3.5978009999999998E-2</v>
      </c>
      <c r="X6577">
        <v>0.99077919999999997</v>
      </c>
      <c r="Y6577">
        <v>0.4854889</v>
      </c>
      <c r="Z6577">
        <v>-3.8141899999999999E-2</v>
      </c>
      <c r="AA6577">
        <v>0.87341039999999903</v>
      </c>
      <c r="AB6577">
        <v>40</v>
      </c>
      <c r="AC6577">
        <v>23.3613999999999</v>
      </c>
      <c r="AD6577">
        <v>-1.087420076918</v>
      </c>
      <c r="AE6577">
        <v>4.3779999999999797</v>
      </c>
      <c r="AF6577">
        <v>11.6345124960957</v>
      </c>
      <c r="AG6577">
        <v>-1.087420076918</v>
      </c>
      <c r="AH6577">
        <v>20.668876429596999</v>
      </c>
      <c r="AI6577">
        <v>92.625003400732396</v>
      </c>
      <c r="AJ6577">
        <v>60.624835563707997</v>
      </c>
      <c r="AK6577">
        <v>23.743353097392198</v>
      </c>
    </row>
    <row r="6578" spans="1:37" x14ac:dyDescent="0.2">
      <c r="A6578" t="str">
        <f>"20200111153558059"</f>
        <v>20200111153558059</v>
      </c>
      <c r="B6578" t="str">
        <f>"1578728158052569"</f>
        <v>1578728158052569</v>
      </c>
      <c r="C6578" t="s">
        <v>37</v>
      </c>
      <c r="D6578">
        <v>5.2214519999999904</v>
      </c>
      <c r="E6578">
        <v>0.65411940000000002</v>
      </c>
      <c r="F6578" t="s">
        <v>39</v>
      </c>
      <c r="G6578">
        <v>-148.5214</v>
      </c>
      <c r="H6578" s="1">
        <v>-7.7970140000000002E-7</v>
      </c>
      <c r="I6578">
        <v>138.697</v>
      </c>
      <c r="J6578">
        <v>-176.65940000000001</v>
      </c>
      <c r="K6578">
        <v>1.0873660000000001</v>
      </c>
      <c r="L6578">
        <v>133.702</v>
      </c>
      <c r="M6578">
        <v>0.77224090000000001</v>
      </c>
      <c r="N6578">
        <v>0</v>
      </c>
      <c r="O6578">
        <v>0.63511770000000001</v>
      </c>
      <c r="P6578">
        <v>0.84757490000000002</v>
      </c>
      <c r="Q6578">
        <v>2.5157510000000001E-2</v>
      </c>
      <c r="R6578">
        <v>0.53007890000000002</v>
      </c>
      <c r="S6578">
        <v>3.1939700000000002</v>
      </c>
      <c r="T6578">
        <v>-0.1226225</v>
      </c>
      <c r="U6578">
        <v>0.58032229999999996</v>
      </c>
      <c r="V6578">
        <v>0.13056379999999901</v>
      </c>
      <c r="W6578">
        <v>3.6125249999999998E-2</v>
      </c>
      <c r="X6578">
        <v>0.99078149999999998</v>
      </c>
      <c r="Y6578">
        <v>0.48618169999999999</v>
      </c>
      <c r="Z6578">
        <v>-3.1550639999999998E-2</v>
      </c>
      <c r="AA6578">
        <v>0.87328799999999995</v>
      </c>
      <c r="AB6578">
        <v>39</v>
      </c>
      <c r="AC6578">
        <v>28.138000000000002</v>
      </c>
      <c r="AD6578">
        <v>-1.0873667797013999</v>
      </c>
      <c r="AE6578">
        <v>4.9950000000000001</v>
      </c>
      <c r="AF6578">
        <v>13.9952257839991</v>
      </c>
      <c r="AG6578">
        <v>-1.0873667797013999</v>
      </c>
      <c r="AH6578">
        <v>24.86907952895</v>
      </c>
      <c r="AI6578">
        <v>92.182159187279694</v>
      </c>
      <c r="AJ6578">
        <v>60.631101819557102</v>
      </c>
      <c r="AK6578">
        <v>28.557307784102299</v>
      </c>
    </row>
    <row r="6579" spans="1:37" x14ac:dyDescent="0.2">
      <c r="A6579" t="str">
        <f>"20200111153558073"</f>
        <v>20200111153558073</v>
      </c>
      <c r="B6579" t="str">
        <f>"1578728158062329"</f>
        <v>1578728158062329</v>
      </c>
      <c r="C6579" t="s">
        <v>37</v>
      </c>
      <c r="D6579">
        <v>5.2006170000000003</v>
      </c>
      <c r="E6579">
        <v>0.65348680000000003</v>
      </c>
      <c r="F6579" t="s">
        <v>39</v>
      </c>
      <c r="G6579">
        <v>-147.8467</v>
      </c>
      <c r="H6579" s="1">
        <v>-1.0765749999999999E-6</v>
      </c>
      <c r="I6579">
        <v>138.655</v>
      </c>
      <c r="J6579">
        <v>-176.47059999999999</v>
      </c>
      <c r="K6579">
        <v>1.0873090000000001</v>
      </c>
      <c r="L6579">
        <v>133.85149999999999</v>
      </c>
      <c r="M6579">
        <v>0.77840580000000004</v>
      </c>
      <c r="N6579">
        <v>0</v>
      </c>
      <c r="O6579">
        <v>0.6275463</v>
      </c>
      <c r="P6579">
        <v>0.85279509999999903</v>
      </c>
      <c r="Q6579">
        <v>2.5203150000000001E-2</v>
      </c>
      <c r="R6579">
        <v>0.52163729999999997</v>
      </c>
      <c r="S6579">
        <v>3.1991580000000002</v>
      </c>
      <c r="T6579">
        <v>-0.1207333</v>
      </c>
      <c r="U6579">
        <v>0.54994200000000004</v>
      </c>
      <c r="V6579">
        <v>0.13073209999999999</v>
      </c>
      <c r="W6579">
        <v>3.6163849999999997E-2</v>
      </c>
      <c r="X6579">
        <v>0.99075789999999997</v>
      </c>
      <c r="Y6579">
        <v>0.48596859999999997</v>
      </c>
      <c r="Z6579">
        <v>-3.0840940000000001E-2</v>
      </c>
      <c r="AA6579">
        <v>0.87343199999999999</v>
      </c>
      <c r="AB6579">
        <v>39</v>
      </c>
      <c r="AC6579">
        <v>28.6238999999999</v>
      </c>
      <c r="AD6579">
        <v>-1.0873100765749999</v>
      </c>
      <c r="AE6579">
        <v>4.8035000000000103</v>
      </c>
      <c r="AF6579">
        <v>14.205734621429499</v>
      </c>
      <c r="AG6579">
        <v>-1.0873100765749999</v>
      </c>
      <c r="AH6579">
        <v>25.263389502905</v>
      </c>
      <c r="AI6579">
        <v>92.148433910240499</v>
      </c>
      <c r="AJ6579">
        <v>60.650726861227298</v>
      </c>
      <c r="AK6579">
        <v>29.0038616138023</v>
      </c>
    </row>
    <row r="6580" spans="1:37" x14ac:dyDescent="0.2">
      <c r="A6580" t="str">
        <f>"20200111153558087"</f>
        <v>20200111153558087</v>
      </c>
      <c r="B6580" t="str">
        <f>"1578728158081849"</f>
        <v>1578728158081849</v>
      </c>
      <c r="C6580" t="s">
        <v>37</v>
      </c>
      <c r="D6580">
        <v>5.242445</v>
      </c>
      <c r="E6580">
        <v>0.65248479999999998</v>
      </c>
      <c r="F6580" t="s">
        <v>39</v>
      </c>
      <c r="G6580">
        <v>-147.28450000000001</v>
      </c>
      <c r="H6580" s="1">
        <v>-1.3249950000000001E-6</v>
      </c>
      <c r="I6580">
        <v>138.61410000000001</v>
      </c>
      <c r="J6580">
        <v>-176.26779999999999</v>
      </c>
      <c r="K6580">
        <v>1.087256</v>
      </c>
      <c r="L6580">
        <v>134.00909999999999</v>
      </c>
      <c r="M6580">
        <v>0.78492280000000003</v>
      </c>
      <c r="N6580">
        <v>0</v>
      </c>
      <c r="O6580">
        <v>0.61937509999999996</v>
      </c>
      <c r="P6580">
        <v>0.85804400000000003</v>
      </c>
      <c r="Q6580">
        <v>2.5214480000000001E-2</v>
      </c>
      <c r="R6580">
        <v>0.51295679999999999</v>
      </c>
      <c r="S6580">
        <v>3.2017669999999998</v>
      </c>
      <c r="T6580">
        <v>-0.11927989999999999</v>
      </c>
      <c r="U6580">
        <v>0.52247619999999995</v>
      </c>
      <c r="V6580">
        <v>0.13043469999999999</v>
      </c>
      <c r="W6580">
        <v>3.618768E-2</v>
      </c>
      <c r="X6580">
        <v>0.99079629999999996</v>
      </c>
      <c r="Y6580">
        <v>0.4842629</v>
      </c>
      <c r="Z6580">
        <v>-3.0220239999999999E-2</v>
      </c>
      <c r="AA6580">
        <v>0.87440039999999997</v>
      </c>
      <c r="AB6580">
        <v>39</v>
      </c>
      <c r="AC6580">
        <v>28.9832999999999</v>
      </c>
      <c r="AD6580">
        <v>-1.0872573249949999</v>
      </c>
      <c r="AE6580">
        <v>4.6050000000000102</v>
      </c>
      <c r="AF6580">
        <v>14.3192511280463</v>
      </c>
      <c r="AG6580">
        <v>-1.0872573249949999</v>
      </c>
      <c r="AH6580">
        <v>25.5702435046978</v>
      </c>
      <c r="AI6580">
        <v>92.124662867533701</v>
      </c>
      <c r="AJ6580">
        <v>60.751319055648302</v>
      </c>
      <c r="AK6580">
        <v>29.326786974511101</v>
      </c>
    </row>
    <row r="6581" spans="1:37" x14ac:dyDescent="0.2">
      <c r="A6581" t="str">
        <f>"20200111153558099"</f>
        <v>20200111153558099</v>
      </c>
      <c r="B6581" t="str">
        <f>"1578728158092585"</f>
        <v>1578728158092585</v>
      </c>
      <c r="C6581" t="s">
        <v>37</v>
      </c>
      <c r="D6581">
        <v>5.2490410000000001</v>
      </c>
      <c r="E6581">
        <v>0.65202969999999905</v>
      </c>
      <c r="F6581" t="s">
        <v>39</v>
      </c>
      <c r="G6581">
        <v>-145.8989</v>
      </c>
      <c r="H6581" s="1">
        <v>-1.90065E-6</v>
      </c>
      <c r="I6581">
        <v>138.72</v>
      </c>
      <c r="J6581">
        <v>-176.10130000000001</v>
      </c>
      <c r="K6581">
        <v>1.0872109999999999</v>
      </c>
      <c r="L6581">
        <v>134.13679999999999</v>
      </c>
      <c r="M6581">
        <v>0.79019600000000001</v>
      </c>
      <c r="N6581">
        <v>0</v>
      </c>
      <c r="O6581">
        <v>0.61263290000000004</v>
      </c>
      <c r="P6581">
        <v>0.86233939999999998</v>
      </c>
      <c r="Q6581">
        <v>2.516941E-2</v>
      </c>
      <c r="R6581">
        <v>0.50570479999999995</v>
      </c>
      <c r="S6581">
        <v>3.2026669999999999</v>
      </c>
      <c r="T6581">
        <v>-0.11466079999999999</v>
      </c>
      <c r="U6581">
        <v>0.4968109</v>
      </c>
      <c r="V6581">
        <v>0.13030899999999901</v>
      </c>
      <c r="W6581">
        <v>3.6148130000000001E-2</v>
      </c>
      <c r="X6581">
        <v>0.99081430000000004</v>
      </c>
      <c r="Y6581">
        <v>0.48370249999999998</v>
      </c>
      <c r="Z6581">
        <v>-2.8879189999999999E-2</v>
      </c>
      <c r="AA6581">
        <v>0.87475590000000003</v>
      </c>
      <c r="AB6581">
        <v>39</v>
      </c>
      <c r="AC6581">
        <v>30.202400000000001</v>
      </c>
      <c r="AD6581">
        <v>-1.08721290065</v>
      </c>
      <c r="AE6581">
        <v>4.5831999999999997</v>
      </c>
      <c r="AF6581">
        <v>14.864547725946201</v>
      </c>
      <c r="AG6581">
        <v>-1.08721290065</v>
      </c>
      <c r="AH6581">
        <v>26.6435044472572</v>
      </c>
      <c r="AI6581">
        <v>92.040882745159706</v>
      </c>
      <c r="AJ6581">
        <v>60.8426281254524</v>
      </c>
      <c r="AK6581">
        <v>30.528890255285798</v>
      </c>
    </row>
    <row r="6582" spans="1:37" x14ac:dyDescent="0.2">
      <c r="A6582" t="str">
        <f>"20200111153558112"</f>
        <v>20200111153558112</v>
      </c>
      <c r="B6582" t="str">
        <f>"1578728158102345"</f>
        <v>1578728158102345</v>
      </c>
      <c r="C6582" t="s">
        <v>37</v>
      </c>
      <c r="D6582">
        <v>5.228866</v>
      </c>
      <c r="E6582">
        <v>0.651398699999999</v>
      </c>
      <c r="F6582" t="s">
        <v>39</v>
      </c>
      <c r="G6582">
        <v>-145.49440000000001</v>
      </c>
      <c r="H6582" s="1">
        <v>-2.08613699999999E-6</v>
      </c>
      <c r="I6582">
        <v>138.65270000000001</v>
      </c>
      <c r="J6582">
        <v>-175.91540000000001</v>
      </c>
      <c r="K6582">
        <v>1.0871629999999901</v>
      </c>
      <c r="L6582">
        <v>134.27529999999999</v>
      </c>
      <c r="M6582">
        <v>0.7959849</v>
      </c>
      <c r="N6582">
        <v>0</v>
      </c>
      <c r="O6582">
        <v>0.60509219999999997</v>
      </c>
      <c r="P6582">
        <v>0.86692389999999997</v>
      </c>
      <c r="Q6582">
        <v>2.4555500000000001E-2</v>
      </c>
      <c r="R6582">
        <v>0.49783549999999899</v>
      </c>
      <c r="S6582">
        <v>3.2049099999999999</v>
      </c>
      <c r="T6582">
        <v>-0.11384420000000001</v>
      </c>
      <c r="U6582">
        <v>0.47286990000000001</v>
      </c>
      <c r="V6582">
        <v>0.12989600000000001</v>
      </c>
      <c r="W6582">
        <v>3.5553420000000002E-2</v>
      </c>
      <c r="X6582">
        <v>0.99088999999999905</v>
      </c>
      <c r="Y6582">
        <v>0.48187629999999998</v>
      </c>
      <c r="Z6582">
        <v>-2.8442220000000001E-2</v>
      </c>
      <c r="AA6582">
        <v>0.87577749999999999</v>
      </c>
      <c r="AB6582">
        <v>39</v>
      </c>
      <c r="AC6582">
        <v>30.4209999999999</v>
      </c>
      <c r="AD6582">
        <v>-1.0871650861369999</v>
      </c>
      <c r="AE6582">
        <v>4.3774000000000202</v>
      </c>
      <c r="AF6582">
        <v>14.9065397263864</v>
      </c>
      <c r="AG6582">
        <v>-1.0871650861369999</v>
      </c>
      <c r="AH6582">
        <v>26.833458937733202</v>
      </c>
      <c r="AI6582">
        <v>92.028411185781394</v>
      </c>
      <c r="AJ6582">
        <v>60.9469255256327</v>
      </c>
      <c r="AK6582">
        <v>30.715165197372301</v>
      </c>
    </row>
    <row r="6583" spans="1:37" x14ac:dyDescent="0.2">
      <c r="A6583" t="str">
        <f>"20200111153558126"</f>
        <v>20200111153558126</v>
      </c>
      <c r="B6583" t="str">
        <f>"1578728158121865"</f>
        <v>1578728158121865</v>
      </c>
      <c r="C6583" t="s">
        <v>37</v>
      </c>
      <c r="D6583">
        <v>5.2693430000000001</v>
      </c>
      <c r="E6583">
        <v>0.65035399999999999</v>
      </c>
      <c r="F6583" t="s">
        <v>39</v>
      </c>
      <c r="G6583">
        <v>-145.5771</v>
      </c>
      <c r="H6583" s="1">
        <v>-2.0752379999999998E-6</v>
      </c>
      <c r="I6583">
        <v>138.51390000000001</v>
      </c>
      <c r="J6583">
        <v>-175.71190000000001</v>
      </c>
      <c r="K6583">
        <v>1.087113</v>
      </c>
      <c r="L6583">
        <v>134.42439999999999</v>
      </c>
      <c r="M6583">
        <v>0.80222139999999997</v>
      </c>
      <c r="N6583">
        <v>0</v>
      </c>
      <c r="O6583">
        <v>0.59679879999999996</v>
      </c>
      <c r="P6583">
        <v>0.87184010000000001</v>
      </c>
      <c r="Q6583">
        <v>2.415983E-2</v>
      </c>
      <c r="R6583">
        <v>0.48919449999999998</v>
      </c>
      <c r="S6583">
        <v>3.2064970000000002</v>
      </c>
      <c r="T6583">
        <v>-0.11490399999999901</v>
      </c>
      <c r="U6583">
        <v>0.44799799999999901</v>
      </c>
      <c r="V6583">
        <v>0.129456399999999</v>
      </c>
      <c r="W6583">
        <v>3.517791E-2</v>
      </c>
      <c r="X6583">
        <v>0.99096090000000003</v>
      </c>
      <c r="Y6583">
        <v>0.47949529999999901</v>
      </c>
      <c r="Z6583">
        <v>-2.8445720000000001E-2</v>
      </c>
      <c r="AA6583">
        <v>0.87708330000000001</v>
      </c>
      <c r="AB6583">
        <v>39</v>
      </c>
      <c r="AC6583">
        <v>30.134799999999998</v>
      </c>
      <c r="AD6583">
        <v>-1.0871150752380001</v>
      </c>
      <c r="AE6583">
        <v>4.0895000000000099</v>
      </c>
      <c r="AF6583">
        <v>14.686960180049301</v>
      </c>
      <c r="AG6583">
        <v>-1.0871150752380001</v>
      </c>
      <c r="AH6583">
        <v>26.585038396387301</v>
      </c>
      <c r="AI6583">
        <v>92.049917638230994</v>
      </c>
      <c r="AJ6583">
        <v>61.081452510748697</v>
      </c>
      <c r="AK6583">
        <v>30.391658149146</v>
      </c>
    </row>
    <row r="6584" spans="1:37" x14ac:dyDescent="0.2">
      <c r="A6584" t="str">
        <f>"20200111153558141"</f>
        <v>20200111153558141</v>
      </c>
      <c r="B6584" t="str">
        <f>"1578728158132601"</f>
        <v>1578728158132601</v>
      </c>
      <c r="C6584" t="s">
        <v>37</v>
      </c>
      <c r="D6584">
        <v>5.2427140000000003</v>
      </c>
      <c r="E6584">
        <v>0.64968599999999999</v>
      </c>
      <c r="F6584" t="s">
        <v>39</v>
      </c>
      <c r="G6584">
        <v>-145.9699</v>
      </c>
      <c r="H6584" s="1">
        <v>-1.935688E-6</v>
      </c>
      <c r="I6584">
        <v>138.35079999999999</v>
      </c>
      <c r="J6584">
        <v>-175.49369999999999</v>
      </c>
      <c r="K6584">
        <v>1.087059</v>
      </c>
      <c r="L6584">
        <v>134.58109999999999</v>
      </c>
      <c r="M6584">
        <v>0.8087896</v>
      </c>
      <c r="N6584">
        <v>0</v>
      </c>
      <c r="O6584">
        <v>0.58786640000000001</v>
      </c>
      <c r="P6584">
        <v>0.87704599999999899</v>
      </c>
      <c r="Q6584">
        <v>2.3768009999999999E-2</v>
      </c>
      <c r="R6584">
        <v>0.47981829999999998</v>
      </c>
      <c r="S6584">
        <v>3.2067109999999999</v>
      </c>
      <c r="T6584">
        <v>-0.11720989999999901</v>
      </c>
      <c r="U6584">
        <v>0.42333979999999999</v>
      </c>
      <c r="V6584">
        <v>0.12908829999999999</v>
      </c>
      <c r="W6584">
        <v>3.4803819999999999E-2</v>
      </c>
      <c r="X6584">
        <v>0.99102219999999996</v>
      </c>
      <c r="Y6584">
        <v>0.47637429999999997</v>
      </c>
      <c r="Z6584">
        <v>-2.8725830000000001E-2</v>
      </c>
      <c r="AA6584">
        <v>0.87877320000000003</v>
      </c>
      <c r="AB6584">
        <v>39</v>
      </c>
      <c r="AC6584">
        <v>29.523799999999898</v>
      </c>
      <c r="AD6584">
        <v>-1.0870609356880001</v>
      </c>
      <c r="AE6584">
        <v>3.7696999999999998</v>
      </c>
      <c r="AF6584">
        <v>14.2900432366262</v>
      </c>
      <c r="AG6584">
        <v>-1.0870609356880001</v>
      </c>
      <c r="AH6584">
        <v>26.063410875591401</v>
      </c>
      <c r="AI6584">
        <v>92.094488981409498</v>
      </c>
      <c r="AJ6584">
        <v>61.264928643668597</v>
      </c>
      <c r="AK6584">
        <v>29.7437123381135</v>
      </c>
    </row>
    <row r="6585" spans="1:37" x14ac:dyDescent="0.2">
      <c r="A6585" t="str">
        <f>"20200111153558152"</f>
        <v>20200111153558152</v>
      </c>
      <c r="B6585" t="str">
        <f>"1578728158142362"</f>
        <v>1578728158142362</v>
      </c>
      <c r="C6585" t="s">
        <v>37</v>
      </c>
      <c r="D6585">
        <v>5.2669489999999897</v>
      </c>
      <c r="E6585">
        <v>0.649128699999999</v>
      </c>
      <c r="F6585" t="s">
        <v>39</v>
      </c>
      <c r="G6585">
        <v>-146.54920000000001</v>
      </c>
      <c r="H6585" s="1">
        <v>-1.7262219999999899E-6</v>
      </c>
      <c r="I6585">
        <v>138.13059999999999</v>
      </c>
      <c r="J6585">
        <v>-175.33</v>
      </c>
      <c r="K6585">
        <v>1.087018</v>
      </c>
      <c r="L6585">
        <v>134.69569999999999</v>
      </c>
      <c r="M6585">
        <v>0.81363369999999902</v>
      </c>
      <c r="N6585">
        <v>0</v>
      </c>
      <c r="O6585">
        <v>0.58114299999999997</v>
      </c>
      <c r="P6585">
        <v>0.88080970000000003</v>
      </c>
      <c r="Q6585">
        <v>2.303728E-2</v>
      </c>
      <c r="R6585">
        <v>0.47290969999999999</v>
      </c>
      <c r="S6585">
        <v>3.2086030000000001</v>
      </c>
      <c r="T6585">
        <v>-0.120504399999999</v>
      </c>
      <c r="U6585">
        <v>0.39347840000000001</v>
      </c>
      <c r="V6585">
        <v>0.12864919999999999</v>
      </c>
      <c r="W6585">
        <v>3.4094230000000003E-2</v>
      </c>
      <c r="X6585">
        <v>0.99110390000000004</v>
      </c>
      <c r="Y6585">
        <v>0.47717009999999999</v>
      </c>
      <c r="Z6585">
        <v>-2.935987E-2</v>
      </c>
      <c r="AA6585">
        <v>0.8783204</v>
      </c>
      <c r="AB6585">
        <v>39</v>
      </c>
      <c r="AC6585">
        <v>28.780799999999999</v>
      </c>
      <c r="AD6585">
        <v>-1.087019726222</v>
      </c>
      <c r="AE6585">
        <v>3.4348999999999901</v>
      </c>
      <c r="AF6585">
        <v>13.9133436050175</v>
      </c>
      <c r="AG6585">
        <v>-1.087019726222</v>
      </c>
      <c r="AH6585">
        <v>25.3809694247132</v>
      </c>
      <c r="AI6585">
        <v>92.150762090615999</v>
      </c>
      <c r="AJ6585">
        <v>61.269321338217502</v>
      </c>
      <c r="AK6585">
        <v>28.964743242340401</v>
      </c>
    </row>
    <row r="6586" spans="1:37" x14ac:dyDescent="0.2">
      <c r="A6586" t="str">
        <f>"20200111153558166"</f>
        <v>20200111153558166</v>
      </c>
      <c r="B6586" t="str">
        <f>"1578728158161881"</f>
        <v>1578728158161881</v>
      </c>
      <c r="C6586" t="s">
        <v>37</v>
      </c>
      <c r="D6586">
        <v>5.1985779999999897</v>
      </c>
      <c r="E6586">
        <v>0.64844539999999995</v>
      </c>
      <c r="F6586" t="s">
        <v>39</v>
      </c>
      <c r="G6586">
        <v>-147.27760000000001</v>
      </c>
      <c r="H6586" s="1">
        <v>-1.446008E-6</v>
      </c>
      <c r="I6586">
        <v>137.9486</v>
      </c>
      <c r="J6586">
        <v>-175.13239999999999</v>
      </c>
      <c r="K6586">
        <v>1.0869719999999901</v>
      </c>
      <c r="L6586">
        <v>134.83170000000001</v>
      </c>
      <c r="M6586">
        <v>0.81939130000000004</v>
      </c>
      <c r="N6586">
        <v>0</v>
      </c>
      <c r="O6586">
        <v>0.57299599999999995</v>
      </c>
      <c r="P6586">
        <v>0.88533340000000005</v>
      </c>
      <c r="Q6586">
        <v>2.2761090000000001E-2</v>
      </c>
      <c r="R6586">
        <v>0.46439940000000002</v>
      </c>
      <c r="S6586">
        <v>3.2094119999999999</v>
      </c>
      <c r="T6586">
        <v>-0.1243634</v>
      </c>
      <c r="U6586">
        <v>0.37216189999999999</v>
      </c>
      <c r="V6586">
        <v>0.12830839999999999</v>
      </c>
      <c r="W6586">
        <v>3.383593E-2</v>
      </c>
      <c r="X6586">
        <v>0.99115689999999901</v>
      </c>
      <c r="Y6586">
        <v>0.47414200000000001</v>
      </c>
      <c r="Z6586">
        <v>-3.0000599999999999E-2</v>
      </c>
      <c r="AA6586">
        <v>0.87993709999999903</v>
      </c>
      <c r="AB6586">
        <v>39</v>
      </c>
      <c r="AC6586">
        <v>27.854799999999901</v>
      </c>
      <c r="AD6586">
        <v>-1.0869734460079901</v>
      </c>
      <c r="AE6586">
        <v>3.1168999999999798</v>
      </c>
      <c r="AF6586">
        <v>13.3884263239301</v>
      </c>
      <c r="AG6586">
        <v>-1.0869734460079901</v>
      </c>
      <c r="AH6586">
        <v>24.576356255743899</v>
      </c>
      <c r="AI6586">
        <v>92.224200309481404</v>
      </c>
      <c r="AJ6586">
        <v>61.419840532610301</v>
      </c>
      <c r="AK6586">
        <v>28.007655337654999</v>
      </c>
    </row>
    <row r="6587" spans="1:37" x14ac:dyDescent="0.2">
      <c r="A6587" t="str">
        <f>"20200111153558179"</f>
        <v>20200111153558179</v>
      </c>
      <c r="B6587" t="str">
        <f>"1578728158172618"</f>
        <v>1578728158172618</v>
      </c>
      <c r="C6587" t="s">
        <v>37</v>
      </c>
      <c r="D6587">
        <v>5.2950809999999997</v>
      </c>
      <c r="E6587">
        <v>0.63341159999999996</v>
      </c>
      <c r="F6587" t="s">
        <v>39</v>
      </c>
      <c r="G6587">
        <v>-147.26769999999999</v>
      </c>
      <c r="H6587" s="1">
        <v>-1.4704499999999901E-6</v>
      </c>
      <c r="I6587">
        <v>137.8348</v>
      </c>
      <c r="J6587">
        <v>-174.93639999999999</v>
      </c>
      <c r="K6587">
        <v>1.08693</v>
      </c>
      <c r="L6587">
        <v>134.96440000000001</v>
      </c>
      <c r="M6587">
        <v>0.82500869999999904</v>
      </c>
      <c r="N6587">
        <v>0</v>
      </c>
      <c r="O6587">
        <v>0.56487759999999998</v>
      </c>
      <c r="P6587">
        <v>0.88978690000000005</v>
      </c>
      <c r="Q6587">
        <v>2.2441249999999999E-2</v>
      </c>
      <c r="R6587">
        <v>0.45582420000000001</v>
      </c>
      <c r="S6587">
        <v>3.2102970000000002</v>
      </c>
      <c r="T6587">
        <v>-0.12523029999999999</v>
      </c>
      <c r="U6587">
        <v>0.34599299999999999</v>
      </c>
      <c r="V6587">
        <v>0.12809319999999999</v>
      </c>
      <c r="W6587">
        <v>3.352807E-2</v>
      </c>
      <c r="X6587">
        <v>0.9911953</v>
      </c>
      <c r="Y6587">
        <v>0.47255789999999998</v>
      </c>
      <c r="Z6587">
        <v>-2.9938180000000002E-2</v>
      </c>
      <c r="AA6587">
        <v>0.88079099999999999</v>
      </c>
      <c r="AB6587">
        <v>39</v>
      </c>
      <c r="AC6587">
        <v>27.668700000000001</v>
      </c>
      <c r="AD6587">
        <v>-1.0869314704499999</v>
      </c>
      <c r="AE6587">
        <v>2.8703999999999801</v>
      </c>
      <c r="AF6587">
        <v>13.242921580166101</v>
      </c>
      <c r="AG6587">
        <v>-1.0869314704499999</v>
      </c>
      <c r="AH6587">
        <v>24.414416727730401</v>
      </c>
      <c r="AI6587">
        <v>92.2410550615229</v>
      </c>
      <c r="AJ6587">
        <v>61.523613082493</v>
      </c>
      <c r="AK6587">
        <v>27.796045333017499</v>
      </c>
    </row>
    <row r="6588" spans="1:37" x14ac:dyDescent="0.2">
      <c r="A6588" t="str">
        <f>"20200111153558192"</f>
        <v>20200111153558192</v>
      </c>
      <c r="B6588" t="str">
        <f>"1578728158182378"</f>
        <v>1578728158182378</v>
      </c>
      <c r="C6588" t="s">
        <v>37</v>
      </c>
      <c r="D6588">
        <v>5.1749159999999996</v>
      </c>
      <c r="E6588">
        <v>0.63150890000000004</v>
      </c>
      <c r="F6588" t="s">
        <v>39</v>
      </c>
      <c r="G6588">
        <v>-163.3904</v>
      </c>
      <c r="H6588" s="1">
        <v>-3.6563009999999999E-6</v>
      </c>
      <c r="I6588">
        <v>136.5076</v>
      </c>
      <c r="J6588">
        <v>-174.74619999999999</v>
      </c>
      <c r="K6588">
        <v>1.0868899999999999</v>
      </c>
      <c r="L6588">
        <v>135.08930000000001</v>
      </c>
      <c r="M6588">
        <v>0.83035539999999997</v>
      </c>
      <c r="N6588">
        <v>0</v>
      </c>
      <c r="O6588">
        <v>0.55698780000000003</v>
      </c>
      <c r="P6588">
        <v>0.89386369999999904</v>
      </c>
      <c r="Q6588">
        <v>2.2099440000000001E-2</v>
      </c>
      <c r="R6588">
        <v>0.44779399999999903</v>
      </c>
      <c r="S6588">
        <v>3.1625369999999999</v>
      </c>
      <c r="T6588">
        <v>-0.2977207</v>
      </c>
      <c r="U6588">
        <v>0.42269899999999999</v>
      </c>
      <c r="V6588">
        <v>0.12756389999999901</v>
      </c>
      <c r="W6588">
        <v>3.3213060000000003E-2</v>
      </c>
      <c r="X6588">
        <v>0.99127410000000005</v>
      </c>
      <c r="Y6588">
        <v>0.438111799999999</v>
      </c>
      <c r="Z6588">
        <v>-6.9697010000000004E-2</v>
      </c>
      <c r="AA6588">
        <v>0.89621450000000003</v>
      </c>
      <c r="AB6588">
        <v>39</v>
      </c>
      <c r="AC6588">
        <v>11.355799999999901</v>
      </c>
      <c r="AD6588">
        <v>-1.0868936563009901</v>
      </c>
      <c r="AE6588">
        <v>1.4182999999999799</v>
      </c>
      <c r="AF6588">
        <v>5.1020342308786102</v>
      </c>
      <c r="AG6588">
        <v>-1.0868936563009901</v>
      </c>
      <c r="AH6588">
        <v>10.129359660534</v>
      </c>
      <c r="AI6588">
        <v>95.474020757374504</v>
      </c>
      <c r="AJ6588">
        <v>63.266164933601701</v>
      </c>
      <c r="AK6588">
        <v>11.3936832607203</v>
      </c>
    </row>
    <row r="6589" spans="1:37" x14ac:dyDescent="0.2">
      <c r="A6589" t="str">
        <f>"20200111153558208"</f>
        <v>20200111153558208</v>
      </c>
      <c r="B6589" t="str">
        <f>"1578728158201897"</f>
        <v>1578728158201897</v>
      </c>
      <c r="C6589" t="s">
        <v>37</v>
      </c>
      <c r="D6589">
        <v>5.17415</v>
      </c>
      <c r="E6589">
        <v>0.6292278</v>
      </c>
      <c r="F6589" t="s">
        <v>39</v>
      </c>
      <c r="G6589">
        <v>-163.06870000000001</v>
      </c>
      <c r="H6589" s="1">
        <v>-3.7926599999999901E-6</v>
      </c>
      <c r="I6589">
        <v>136.59620000000001</v>
      </c>
      <c r="J6589">
        <v>-174.50489999999999</v>
      </c>
      <c r="K6589">
        <v>1.086843</v>
      </c>
      <c r="L6589">
        <v>135.24469999999999</v>
      </c>
      <c r="M6589">
        <v>0.83701589999999904</v>
      </c>
      <c r="N6589">
        <v>0</v>
      </c>
      <c r="O6589">
        <v>0.5469271</v>
      </c>
      <c r="P6589">
        <v>0.89869140000000003</v>
      </c>
      <c r="Q6589">
        <v>2.1480510000000001E-2</v>
      </c>
      <c r="R6589">
        <v>0.43805490000000002</v>
      </c>
      <c r="S6589">
        <v>3.1592560000000001</v>
      </c>
      <c r="T6589">
        <v>-0.29404910000000001</v>
      </c>
      <c r="U6589">
        <v>0.407699599999999</v>
      </c>
      <c r="V6589">
        <v>0.12636040000000001</v>
      </c>
      <c r="W6589">
        <v>3.2651649999999997E-2</v>
      </c>
      <c r="X6589">
        <v>0.99144690000000002</v>
      </c>
      <c r="Y6589">
        <v>0.43147780000000002</v>
      </c>
      <c r="Z6589">
        <v>-6.7870029999999998E-2</v>
      </c>
      <c r="AA6589">
        <v>0.89956689999999995</v>
      </c>
      <c r="AB6589">
        <v>39</v>
      </c>
      <c r="AC6589">
        <v>11.4361999999999</v>
      </c>
      <c r="AD6589">
        <v>-1.0868467926600001</v>
      </c>
      <c r="AE6589">
        <v>1.3515000000000099</v>
      </c>
      <c r="AF6589">
        <v>5.0790050664431599</v>
      </c>
      <c r="AG6589">
        <v>-1.0868467926600001</v>
      </c>
      <c r="AH6589">
        <v>10.221822377214499</v>
      </c>
      <c r="AI6589">
        <v>95.439280090722903</v>
      </c>
      <c r="AJ6589">
        <v>63.578200589042901</v>
      </c>
      <c r="AK6589">
        <v>11.4657394496384</v>
      </c>
    </row>
    <row r="6590" spans="1:37" x14ac:dyDescent="0.2">
      <c r="A6590" t="str">
        <f>"20200111153558224"</f>
        <v>20200111153558224</v>
      </c>
      <c r="B6590" t="str">
        <f>"1578728158212633"</f>
        <v>1578728158212633</v>
      </c>
      <c r="C6590" t="s">
        <v>37</v>
      </c>
      <c r="D6590">
        <v>5.2207489999999996</v>
      </c>
      <c r="E6590">
        <v>0.62882899999999997</v>
      </c>
      <c r="F6590" t="s">
        <v>39</v>
      </c>
      <c r="G6590">
        <v>-162.91839999999999</v>
      </c>
      <c r="H6590" s="1">
        <v>-3.8497959999999999E-6</v>
      </c>
      <c r="I6590">
        <v>136.6747</v>
      </c>
      <c r="J6590">
        <v>-174.2704</v>
      </c>
      <c r="K6590">
        <v>1.0867990000000001</v>
      </c>
      <c r="L6590">
        <v>135.3921</v>
      </c>
      <c r="M6590">
        <v>0.84334979999999904</v>
      </c>
      <c r="N6590">
        <v>0</v>
      </c>
      <c r="O6590">
        <v>0.53710839999999904</v>
      </c>
      <c r="P6590">
        <v>0.90346870000000001</v>
      </c>
      <c r="Q6590">
        <v>2.1474E-2</v>
      </c>
      <c r="R6590">
        <v>0.42811569999999999</v>
      </c>
      <c r="S6590">
        <v>3.1554570000000002</v>
      </c>
      <c r="T6590">
        <v>-0.29599059999999999</v>
      </c>
      <c r="U6590">
        <v>0.38943479999999903</v>
      </c>
      <c r="V6590">
        <v>0.1257141</v>
      </c>
      <c r="W6590">
        <v>3.2678810000000003E-2</v>
      </c>
      <c r="X6590">
        <v>0.99152819999999997</v>
      </c>
      <c r="Y6590">
        <v>0.4259232</v>
      </c>
      <c r="Z6590">
        <v>-6.7414749999999996E-2</v>
      </c>
      <c r="AA6590">
        <v>0.9022443</v>
      </c>
      <c r="AB6590">
        <v>39</v>
      </c>
      <c r="AC6590">
        <v>11.352</v>
      </c>
      <c r="AD6590">
        <v>-1.0868028497960001</v>
      </c>
      <c r="AE6590">
        <v>1.2826</v>
      </c>
      <c r="AF6590">
        <v>4.97127562529512</v>
      </c>
      <c r="AG6590">
        <v>-1.0868028497960001</v>
      </c>
      <c r="AH6590">
        <v>10.1719609632403</v>
      </c>
      <c r="AI6590">
        <v>95.483156060887197</v>
      </c>
      <c r="AJ6590">
        <v>63.9541566424245</v>
      </c>
      <c r="AK6590">
        <v>11.373808140401501</v>
      </c>
    </row>
    <row r="6591" spans="1:37" x14ac:dyDescent="0.2">
      <c r="A6591" t="str">
        <f>"20200111153558237"</f>
        <v>20200111153558237</v>
      </c>
      <c r="B6591" t="str">
        <f>"1578728158232153"</f>
        <v>1578728158232153</v>
      </c>
      <c r="C6591" t="s">
        <v>37</v>
      </c>
      <c r="D6591">
        <v>5.1908820000000002</v>
      </c>
      <c r="E6591">
        <v>0.62720849999999995</v>
      </c>
      <c r="F6591" t="s">
        <v>39</v>
      </c>
      <c r="G6591">
        <v>-162.5685</v>
      </c>
      <c r="H6591" s="1">
        <v>-4.0077599999999997E-6</v>
      </c>
      <c r="I6591">
        <v>136.7165</v>
      </c>
      <c r="J6591">
        <v>-174.07509999999999</v>
      </c>
      <c r="K6591">
        <v>1.0867659999999999</v>
      </c>
      <c r="L6591">
        <v>135.5121</v>
      </c>
      <c r="M6591">
        <v>0.84851980000000005</v>
      </c>
      <c r="N6591">
        <v>0</v>
      </c>
      <c r="O6591">
        <v>0.5289026</v>
      </c>
      <c r="P6591">
        <v>0.90738240000000003</v>
      </c>
      <c r="Q6591">
        <v>2.100293E-2</v>
      </c>
      <c r="R6591">
        <v>0.41978109999999902</v>
      </c>
      <c r="S6591">
        <v>3.1581570000000001</v>
      </c>
      <c r="T6591">
        <v>-0.29331170000000001</v>
      </c>
      <c r="U6591">
        <v>0.35743709999999901</v>
      </c>
      <c r="V6591">
        <v>0.12521269999999901</v>
      </c>
      <c r="W6591">
        <v>3.2233680000000001E-2</v>
      </c>
      <c r="X6591">
        <v>0.99160619999999999</v>
      </c>
      <c r="Y6591">
        <v>0.42636499999999899</v>
      </c>
      <c r="Z6591">
        <v>-6.6202029999999995E-2</v>
      </c>
      <c r="AA6591">
        <v>0.90212539999999997</v>
      </c>
      <c r="AB6591">
        <v>39</v>
      </c>
      <c r="AC6591">
        <v>11.506599999999899</v>
      </c>
      <c r="AD6591">
        <v>-1.08677000776</v>
      </c>
      <c r="AE6591">
        <v>1.2043999999999899</v>
      </c>
      <c r="AF6591">
        <v>5.0203152685436798</v>
      </c>
      <c r="AG6591">
        <v>-1.08677000776</v>
      </c>
      <c r="AH6591">
        <v>10.311043579422501</v>
      </c>
      <c r="AI6591">
        <v>95.413366778050701</v>
      </c>
      <c r="AJ6591">
        <v>64.039141499337802</v>
      </c>
      <c r="AK6591">
        <v>11.5196464417138</v>
      </c>
    </row>
    <row r="6592" spans="1:37" x14ac:dyDescent="0.2">
      <c r="A6592" t="str">
        <f>"20200111153558250"</f>
        <v>20200111153558250</v>
      </c>
      <c r="B6592" t="str">
        <f>"1578728158241913"</f>
        <v>1578728158241913</v>
      </c>
      <c r="C6592" t="s">
        <v>37</v>
      </c>
      <c r="D6592">
        <v>5.1586489999999996</v>
      </c>
      <c r="E6592">
        <v>0.6263609</v>
      </c>
      <c r="F6592" t="s">
        <v>39</v>
      </c>
      <c r="G6592">
        <v>-162.42009999999999</v>
      </c>
      <c r="H6592" s="1">
        <v>-4.0688629999999997E-6</v>
      </c>
      <c r="I6592">
        <v>136.76759999999999</v>
      </c>
      <c r="J6592">
        <v>-173.8664</v>
      </c>
      <c r="K6592">
        <v>1.0867309999999999</v>
      </c>
      <c r="L6592">
        <v>135.63669999999999</v>
      </c>
      <c r="M6592">
        <v>0.8539369</v>
      </c>
      <c r="N6592">
        <v>0</v>
      </c>
      <c r="O6592">
        <v>0.52011070000000004</v>
      </c>
      <c r="P6592">
        <v>0.91150949999999997</v>
      </c>
      <c r="Q6592">
        <v>2.067037E-2</v>
      </c>
      <c r="R6592">
        <v>0.41075969999999901</v>
      </c>
      <c r="S6592">
        <v>3.1557459999999899</v>
      </c>
      <c r="T6592">
        <v>-0.29425639999999997</v>
      </c>
      <c r="U6592">
        <v>0.3399353</v>
      </c>
      <c r="V6592">
        <v>0.1248008</v>
      </c>
      <c r="W6592">
        <v>3.1923899999999998E-2</v>
      </c>
      <c r="X6592">
        <v>0.99166810000000005</v>
      </c>
      <c r="Y6592">
        <v>0.42191210000000001</v>
      </c>
      <c r="Z6592">
        <v>-6.5599909999999997E-2</v>
      </c>
      <c r="AA6592">
        <v>0.90426039999999996</v>
      </c>
      <c r="AB6592">
        <v>39</v>
      </c>
      <c r="AC6592">
        <v>11.446300000000001</v>
      </c>
      <c r="AD6592">
        <v>-1.086735068863</v>
      </c>
      <c r="AE6592">
        <v>1.13089999999999</v>
      </c>
      <c r="AF6592">
        <v>4.9441799152186201</v>
      </c>
      <c r="AG6592">
        <v>-1.086735068863</v>
      </c>
      <c r="AH6592">
        <v>10.272345039188799</v>
      </c>
      <c r="AI6592">
        <v>95.445291587775401</v>
      </c>
      <c r="AJ6592">
        <v>64.298034073178997</v>
      </c>
      <c r="AK6592">
        <v>11.451942226019799</v>
      </c>
    </row>
    <row r="6593" spans="1:37" x14ac:dyDescent="0.2">
      <c r="A6593" t="str">
        <f>"20200111153558263"</f>
        <v>20200111153558263</v>
      </c>
      <c r="B6593" t="str">
        <f>"1578728158252649"</f>
        <v>1578728158252649</v>
      </c>
      <c r="C6593" t="s">
        <v>37</v>
      </c>
      <c r="D6593">
        <v>5.1710599999999998</v>
      </c>
      <c r="E6593">
        <v>0.62597250000000004</v>
      </c>
      <c r="F6593" t="s">
        <v>39</v>
      </c>
      <c r="G6593">
        <v>-162.21090000000001</v>
      </c>
      <c r="H6593" s="1">
        <v>-4.1622580000000001E-6</v>
      </c>
      <c r="I6593">
        <v>136.79849999999999</v>
      </c>
      <c r="J6593">
        <v>-173.6807</v>
      </c>
      <c r="K6593">
        <v>1.086703</v>
      </c>
      <c r="L6593">
        <v>135.7458</v>
      </c>
      <c r="M6593">
        <v>0.85867229999999894</v>
      </c>
      <c r="N6593">
        <v>0</v>
      </c>
      <c r="O6593">
        <v>0.51225449999999995</v>
      </c>
      <c r="P6593">
        <v>0.91471559999999896</v>
      </c>
      <c r="Q6593">
        <v>2.035062E-2</v>
      </c>
      <c r="R6593">
        <v>0.40358569999999999</v>
      </c>
      <c r="S6593">
        <v>3.1561430000000001</v>
      </c>
      <c r="T6593">
        <v>-0.29427150000000002</v>
      </c>
      <c r="U6593">
        <v>0.31462099999999998</v>
      </c>
      <c r="V6593">
        <v>0.1234874</v>
      </c>
      <c r="W6593">
        <v>3.166654E-2</v>
      </c>
      <c r="X6593">
        <v>0.99184079999999997</v>
      </c>
      <c r="Y6593">
        <v>0.42082170000000002</v>
      </c>
      <c r="Z6593">
        <v>-6.4969470000000001E-2</v>
      </c>
      <c r="AA6593">
        <v>0.9048138</v>
      </c>
      <c r="AB6593">
        <v>39</v>
      </c>
      <c r="AC6593">
        <v>11.4697999999999</v>
      </c>
      <c r="AD6593">
        <v>-1.086707162258</v>
      </c>
      <c r="AE6593">
        <v>1.05269999999998</v>
      </c>
      <c r="AF6593">
        <v>4.9283511105620397</v>
      </c>
      <c r="AG6593">
        <v>-1.086707162258</v>
      </c>
      <c r="AH6593">
        <v>10.297822405509701</v>
      </c>
      <c r="AI6593">
        <v>95.437510143647202</v>
      </c>
      <c r="AJ6593">
        <v>64.425068433499106</v>
      </c>
      <c r="AK6593">
        <v>11.467986894869499</v>
      </c>
    </row>
    <row r="6594" spans="1:37" x14ac:dyDescent="0.2">
      <c r="A6594" t="str">
        <f>"20200111153558279"</f>
        <v>20200111153558279</v>
      </c>
      <c r="B6594" t="str">
        <f>"1578728158272171"</f>
        <v>1578728158272171</v>
      </c>
      <c r="C6594" t="s">
        <v>37</v>
      </c>
      <c r="D6594">
        <v>5.2004039999999998</v>
      </c>
      <c r="E6594">
        <v>0.62456319999999999</v>
      </c>
      <c r="F6594" t="s">
        <v>39</v>
      </c>
      <c r="G6594">
        <v>-161.9776</v>
      </c>
      <c r="H6594" s="1">
        <v>-4.2670279999999999E-6</v>
      </c>
      <c r="I6594">
        <v>136.8295</v>
      </c>
      <c r="J6594">
        <v>-173.4436</v>
      </c>
      <c r="K6594">
        <v>1.0866690000000001</v>
      </c>
      <c r="L6594">
        <v>135.8818</v>
      </c>
      <c r="M6594">
        <v>0.86459339999999996</v>
      </c>
      <c r="N6594">
        <v>0</v>
      </c>
      <c r="O6594">
        <v>0.50219579999999997</v>
      </c>
      <c r="P6594">
        <v>0.91911500000000002</v>
      </c>
      <c r="Q6594">
        <v>2.0377989999999999E-2</v>
      </c>
      <c r="R6594">
        <v>0.39346219999999998</v>
      </c>
      <c r="S6594">
        <v>3.1572110000000002</v>
      </c>
      <c r="T6594">
        <v>-0.293168599999999</v>
      </c>
      <c r="U6594">
        <v>0.29237370000000001</v>
      </c>
      <c r="V6594">
        <v>0.122864</v>
      </c>
      <c r="W6594">
        <v>3.1727539999999999E-2</v>
      </c>
      <c r="X6594">
        <v>0.99191620000000003</v>
      </c>
      <c r="Y6594">
        <v>0.4166704</v>
      </c>
      <c r="Z6594">
        <v>-6.3750840000000003E-2</v>
      </c>
      <c r="AA6594">
        <v>0.9068195</v>
      </c>
      <c r="AB6594">
        <v>39</v>
      </c>
      <c r="AC6594">
        <v>11.465999999999999</v>
      </c>
      <c r="AD6594">
        <v>-1.0866732670279999</v>
      </c>
      <c r="AE6594">
        <v>0.94769999999999699</v>
      </c>
      <c r="AF6594">
        <v>4.8958116902541997</v>
      </c>
      <c r="AG6594">
        <v>-1.0866732670279999</v>
      </c>
      <c r="AH6594">
        <v>10.2989238967688</v>
      </c>
      <c r="AI6594">
        <v>95.443509819551807</v>
      </c>
      <c r="AJ6594">
        <v>64.574932000947797</v>
      </c>
      <c r="AK6594">
        <v>11.4550279059956</v>
      </c>
    </row>
    <row r="6595" spans="1:37" x14ac:dyDescent="0.2">
      <c r="A6595" t="str">
        <f>"20200111153558291"</f>
        <v>20200111153558291</v>
      </c>
      <c r="B6595" t="str">
        <f>"1578728158281929"</f>
        <v>1578728158281929</v>
      </c>
      <c r="C6595" t="s">
        <v>37</v>
      </c>
      <c r="D6595">
        <v>5.1662359999999996</v>
      </c>
      <c r="E6595">
        <v>0.62441049999999998</v>
      </c>
      <c r="F6595" t="s">
        <v>39</v>
      </c>
      <c r="G6595">
        <v>-161.94390000000001</v>
      </c>
      <c r="H6595" s="1">
        <v>-4.2779449999999999E-6</v>
      </c>
      <c r="I6595">
        <v>136.8578</v>
      </c>
      <c r="J6595">
        <v>-173.24340000000001</v>
      </c>
      <c r="K6595">
        <v>1.086643</v>
      </c>
      <c r="L6595">
        <v>135.99289999999999</v>
      </c>
      <c r="M6595">
        <v>0.86948139999999996</v>
      </c>
      <c r="N6595">
        <v>0</v>
      </c>
      <c r="O6595">
        <v>0.49368429999999902</v>
      </c>
      <c r="P6595">
        <v>0.92269080000000003</v>
      </c>
      <c r="Q6595">
        <v>2.0870730000000001E-2</v>
      </c>
      <c r="R6595">
        <v>0.38497559999999997</v>
      </c>
      <c r="S6595">
        <v>3.155945</v>
      </c>
      <c r="T6595">
        <v>-0.29822490000000001</v>
      </c>
      <c r="U6595">
        <v>0.26783750000000001</v>
      </c>
      <c r="V6595">
        <v>0.12228609999999999</v>
      </c>
      <c r="W6595">
        <v>3.2250840000000003E-2</v>
      </c>
      <c r="X6595">
        <v>0.99197080000000004</v>
      </c>
      <c r="Y6595">
        <v>0.41462349999999998</v>
      </c>
      <c r="Z6595">
        <v>-6.412052E-2</v>
      </c>
      <c r="AA6595">
        <v>0.90773119999999996</v>
      </c>
      <c r="AB6595">
        <v>39</v>
      </c>
      <c r="AC6595">
        <v>11.299499999999901</v>
      </c>
      <c r="AD6595">
        <v>-1.0866472779449901</v>
      </c>
      <c r="AE6595">
        <v>0.864900000000005</v>
      </c>
      <c r="AF6595">
        <v>4.7830648269375304</v>
      </c>
      <c r="AG6595">
        <v>-1.0866472779449901</v>
      </c>
      <c r="AH6595">
        <v>10.159705406294499</v>
      </c>
      <c r="AI6595">
        <v>95.527237878986099</v>
      </c>
      <c r="AJ6595">
        <v>64.789518364172906</v>
      </c>
      <c r="AK6595">
        <v>11.2817607397091</v>
      </c>
    </row>
    <row r="6596" spans="1:37" x14ac:dyDescent="0.2">
      <c r="A6596" t="str">
        <f>"20200111153558303"</f>
        <v>20200111153558303</v>
      </c>
      <c r="B6596" t="str">
        <f>"1578728158292665"</f>
        <v>1578728158292665</v>
      </c>
      <c r="C6596" t="s">
        <v>37</v>
      </c>
      <c r="D6596">
        <v>5.1878869999999999</v>
      </c>
      <c r="E6596">
        <v>0.62399189999999904</v>
      </c>
      <c r="F6596" t="s">
        <v>39</v>
      </c>
      <c r="G6596">
        <v>-161.5874</v>
      </c>
      <c r="H6596" s="1">
        <v>-4.442729E-6</v>
      </c>
      <c r="I6596">
        <v>136.87889999999999</v>
      </c>
      <c r="J6596">
        <v>-173.0574</v>
      </c>
      <c r="K6596">
        <v>1.0866129999999901</v>
      </c>
      <c r="L6596">
        <v>136.09450000000001</v>
      </c>
      <c r="M6596">
        <v>0.87393849999999995</v>
      </c>
      <c r="N6596">
        <v>0</v>
      </c>
      <c r="O6596">
        <v>0.48575010000000002</v>
      </c>
      <c r="P6596">
        <v>0.92599480000000001</v>
      </c>
      <c r="Q6596">
        <v>2.1387239999999998E-2</v>
      </c>
      <c r="R6596">
        <v>0.3769304</v>
      </c>
      <c r="S6596">
        <v>3.157867</v>
      </c>
      <c r="T6596">
        <v>-0.29439739999999998</v>
      </c>
      <c r="U6596">
        <v>0.2400513</v>
      </c>
      <c r="V6596">
        <v>0.1219097</v>
      </c>
      <c r="W6596">
        <v>3.2788900000000003E-2</v>
      </c>
      <c r="X6596">
        <v>0.99199939999999998</v>
      </c>
      <c r="Y6596">
        <v>0.41446250000000001</v>
      </c>
      <c r="Z6596">
        <v>-6.2654619999999994E-2</v>
      </c>
      <c r="AA6596">
        <v>0.90790709999999997</v>
      </c>
      <c r="AB6596">
        <v>39</v>
      </c>
      <c r="AC6596">
        <v>11.47</v>
      </c>
      <c r="AD6596">
        <v>-1.0866174427289901</v>
      </c>
      <c r="AE6596">
        <v>0.78439999999997601</v>
      </c>
      <c r="AF6596">
        <v>4.8434496012072703</v>
      </c>
      <c r="AG6596">
        <v>-1.0866174427289901</v>
      </c>
      <c r="AH6596">
        <v>10.3144061607625</v>
      </c>
      <c r="AI6596">
        <v>95.447206147336601</v>
      </c>
      <c r="AJ6596">
        <v>64.846139943047902</v>
      </c>
      <c r="AK6596">
        <v>11.4466901746947</v>
      </c>
    </row>
    <row r="6597" spans="1:37" x14ac:dyDescent="0.2">
      <c r="A6597" t="str">
        <f>"20200111153558317"</f>
        <v>20200111153558317</v>
      </c>
      <c r="B6597" t="str">
        <f>"1578728158312187"</f>
        <v>1578728158312187</v>
      </c>
      <c r="C6597" t="s">
        <v>37</v>
      </c>
      <c r="D6597">
        <v>5.130001</v>
      </c>
      <c r="E6597">
        <v>0.62317679999999998</v>
      </c>
      <c r="F6597" t="s">
        <v>39</v>
      </c>
      <c r="G6597">
        <v>-161.33150000000001</v>
      </c>
      <c r="H6597" s="1">
        <v>-4.560791E-6</v>
      </c>
      <c r="I6597">
        <v>136.89519999999999</v>
      </c>
      <c r="J6597">
        <v>-172.8364</v>
      </c>
      <c r="K6597">
        <v>1.086587</v>
      </c>
      <c r="L6597">
        <v>136.21260000000001</v>
      </c>
      <c r="M6597">
        <v>0.87912610000000002</v>
      </c>
      <c r="N6597">
        <v>0</v>
      </c>
      <c r="O6597">
        <v>0.47629670000000002</v>
      </c>
      <c r="P6597">
        <v>0.92983559999999998</v>
      </c>
      <c r="Q6597">
        <v>2.1775340000000001E-2</v>
      </c>
      <c r="R6597">
        <v>0.3673305</v>
      </c>
      <c r="S6597">
        <v>3.1587070000000002</v>
      </c>
      <c r="T6597">
        <v>-0.29271170000000002</v>
      </c>
      <c r="U6597">
        <v>0.2157135</v>
      </c>
      <c r="V6597">
        <v>0.121489</v>
      </c>
      <c r="W6597">
        <v>3.3201149999999999E-2</v>
      </c>
      <c r="X6597">
        <v>0.99203739999999996</v>
      </c>
      <c r="Y6597">
        <v>0.41172379999999997</v>
      </c>
      <c r="Z6597">
        <v>-6.142011E-2</v>
      </c>
      <c r="AA6597">
        <v>0.90923659999999995</v>
      </c>
      <c r="AB6597">
        <v>39</v>
      </c>
      <c r="AC6597">
        <v>11.5048999999999</v>
      </c>
      <c r="AD6597">
        <v>-1.0865915607909999</v>
      </c>
      <c r="AE6597">
        <v>0.682599999999979</v>
      </c>
      <c r="AF6597">
        <v>4.8373367892117098</v>
      </c>
      <c r="AG6597">
        <v>-1.0865915607909999</v>
      </c>
      <c r="AH6597">
        <v>10.3488449804442</v>
      </c>
      <c r="AI6597">
        <v>95.433525185438199</v>
      </c>
      <c r="AJ6597">
        <v>64.947310843341498</v>
      </c>
      <c r="AK6597">
        <v>11.475151452661001</v>
      </c>
    </row>
    <row r="6598" spans="1:37" x14ac:dyDescent="0.2">
      <c r="A6598" t="str">
        <f>"20200111153558330"</f>
        <v>20200111153558330</v>
      </c>
      <c r="B6598" t="str">
        <f>"1578728158321945"</f>
        <v>1578728158321945</v>
      </c>
      <c r="C6598" t="s">
        <v>37</v>
      </c>
      <c r="D6598">
        <v>5.1355459999999997</v>
      </c>
      <c r="E6598">
        <v>0.62276919999999902</v>
      </c>
      <c r="F6598" t="s">
        <v>39</v>
      </c>
      <c r="G6598">
        <v>-160.9068</v>
      </c>
      <c r="H6598" s="1">
        <v>-4.7559449999999901E-6</v>
      </c>
      <c r="I6598">
        <v>136.92679999999999</v>
      </c>
      <c r="J6598">
        <v>-172.63679999999999</v>
      </c>
      <c r="K6598">
        <v>1.086565</v>
      </c>
      <c r="L6598">
        <v>136.31569999999999</v>
      </c>
      <c r="M6598">
        <v>0.88370539999999997</v>
      </c>
      <c r="N6598">
        <v>0</v>
      </c>
      <c r="O6598">
        <v>0.46774520000000003</v>
      </c>
      <c r="P6598">
        <v>0.93320239999999999</v>
      </c>
      <c r="Q6598">
        <v>2.1779030000000001E-2</v>
      </c>
      <c r="R6598">
        <v>0.35869050000000002</v>
      </c>
      <c r="S6598">
        <v>3.158417</v>
      </c>
      <c r="T6598">
        <v>-0.28768129999999997</v>
      </c>
      <c r="U6598">
        <v>0.1891022</v>
      </c>
      <c r="V6598">
        <v>0.1210681</v>
      </c>
      <c r="W6598">
        <v>3.3227350000000003E-2</v>
      </c>
      <c r="X6598">
        <v>0.99208790000000002</v>
      </c>
      <c r="Y6598">
        <v>0.4106725</v>
      </c>
      <c r="Z6598">
        <v>-5.9672799999999998E-2</v>
      </c>
      <c r="AA6598">
        <v>0.90982819999999998</v>
      </c>
      <c r="AB6598">
        <v>39</v>
      </c>
      <c r="AC6598">
        <v>11.729999999999899</v>
      </c>
      <c r="AD6598">
        <v>-1.086569755945</v>
      </c>
      <c r="AE6598">
        <v>0.61109999999999298</v>
      </c>
      <c r="AF6598">
        <v>4.9053325873952298</v>
      </c>
      <c r="AG6598">
        <v>-1.086569755945</v>
      </c>
      <c r="AH6598">
        <v>10.5628005314316</v>
      </c>
      <c r="AI6598">
        <v>95.3301436587072</v>
      </c>
      <c r="AJ6598">
        <v>65.089987233598293</v>
      </c>
      <c r="AK6598">
        <v>11.696823359113701</v>
      </c>
    </row>
    <row r="6599" spans="1:37" x14ac:dyDescent="0.2">
      <c r="A6599" t="str">
        <f>"20200111153558353"</f>
        <v>20200111153558353</v>
      </c>
      <c r="B6599" t="str">
        <f>"1578728158342441"</f>
        <v>1578728158342441</v>
      </c>
      <c r="C6599" t="s">
        <v>37</v>
      </c>
      <c r="D6599">
        <v>5.14628</v>
      </c>
      <c r="E6599">
        <v>0.6216081</v>
      </c>
      <c r="F6599" t="s">
        <v>39</v>
      </c>
      <c r="G6599">
        <v>-160.6258</v>
      </c>
      <c r="H6599" s="1">
        <v>-4.8873840000000004E-6</v>
      </c>
      <c r="I6599">
        <v>136.9348</v>
      </c>
      <c r="J6599">
        <v>-172.29259999999999</v>
      </c>
      <c r="K6599">
        <v>1.08653</v>
      </c>
      <c r="L6599">
        <v>136.4888</v>
      </c>
      <c r="M6599">
        <v>0.89138039999999996</v>
      </c>
      <c r="N6599">
        <v>0</v>
      </c>
      <c r="O6599">
        <v>0.4529475</v>
      </c>
      <c r="P6599">
        <v>0.93887269999999901</v>
      </c>
      <c r="Q6599">
        <v>2.185482E-2</v>
      </c>
      <c r="R6599">
        <v>0.343570599999999</v>
      </c>
      <c r="S6599">
        <v>3.1588129999999999</v>
      </c>
      <c r="T6599">
        <v>-0.28576089999999998</v>
      </c>
      <c r="U6599">
        <v>0.16281129999999999</v>
      </c>
      <c r="V6599">
        <v>0.1205585</v>
      </c>
      <c r="W6599">
        <v>3.3333149999999999E-2</v>
      </c>
      <c r="X6599">
        <v>0.99214639999999998</v>
      </c>
      <c r="Y6599">
        <v>0.40316039999999997</v>
      </c>
      <c r="Z6599">
        <v>-5.7765490000000003E-2</v>
      </c>
      <c r="AA6599">
        <v>0.91330429999999996</v>
      </c>
      <c r="AB6599">
        <v>39</v>
      </c>
      <c r="AC6599">
        <v>11.666799999999901</v>
      </c>
      <c r="AD6599">
        <v>-1.0865348873839999</v>
      </c>
      <c r="AE6599">
        <v>0.44599999999999801</v>
      </c>
      <c r="AF6599">
        <v>4.84560938586396</v>
      </c>
      <c r="AG6599">
        <v>-1.0865348873839999</v>
      </c>
      <c r="AH6599">
        <v>10.5120128678337</v>
      </c>
      <c r="AI6599">
        <v>95.362555493516695</v>
      </c>
      <c r="AJ6599">
        <v>65.252224801591098</v>
      </c>
      <c r="AK6599">
        <v>11.6259581504226</v>
      </c>
    </row>
    <row r="6600" spans="1:37" x14ac:dyDescent="0.2">
      <c r="A6600" t="str">
        <f>"20200111153558368"</f>
        <v>20200111153558368</v>
      </c>
      <c r="B6600" t="str">
        <f>"1578728158361961"</f>
        <v>1578728158361961</v>
      </c>
      <c r="C6600" t="s">
        <v>37</v>
      </c>
      <c r="D6600">
        <v>5.2000149999999996</v>
      </c>
      <c r="E6600">
        <v>0.61085769999999995</v>
      </c>
      <c r="F6600" t="s">
        <v>39</v>
      </c>
      <c r="G6600">
        <v>-160.22559999999999</v>
      </c>
      <c r="H6600" s="1">
        <v>-5.0741240000000001E-6</v>
      </c>
      <c r="I6600">
        <v>136.9485</v>
      </c>
      <c r="J6600">
        <v>-172.03649999999999</v>
      </c>
      <c r="K6600">
        <v>1.0865069999999999</v>
      </c>
      <c r="L6600">
        <v>136.6129</v>
      </c>
      <c r="M6600">
        <v>0.89690729999999996</v>
      </c>
      <c r="N6600">
        <v>0</v>
      </c>
      <c r="O6600">
        <v>0.44190180000000001</v>
      </c>
      <c r="P6600">
        <v>0.94289590000000001</v>
      </c>
      <c r="Q6600">
        <v>2.1770830000000001E-2</v>
      </c>
      <c r="R6600">
        <v>0.3323757</v>
      </c>
      <c r="S6600">
        <v>3.1579280000000001</v>
      </c>
      <c r="T6600">
        <v>-0.28434480000000001</v>
      </c>
      <c r="U6600">
        <v>0.1203003</v>
      </c>
      <c r="V6600">
        <v>0.1201069</v>
      </c>
      <c r="W6600">
        <v>3.3274060000000001E-2</v>
      </c>
      <c r="X6600">
        <v>0.99220319999999995</v>
      </c>
      <c r="Y6600">
        <v>0.40418909999999902</v>
      </c>
      <c r="Z6600">
        <v>-5.669188E-2</v>
      </c>
      <c r="AA6600">
        <v>0.91291690000000003</v>
      </c>
      <c r="AB6600">
        <v>39</v>
      </c>
      <c r="AC6600">
        <v>11.8109</v>
      </c>
      <c r="AD6600">
        <v>-1.086512074124</v>
      </c>
      <c r="AE6600">
        <v>0.33559999999999901</v>
      </c>
      <c r="AF6600">
        <v>4.8777001522310801</v>
      </c>
      <c r="AG6600">
        <v>-1.086512074124</v>
      </c>
      <c r="AH6600">
        <v>10.653010026114201</v>
      </c>
      <c r="AI6600">
        <v>95.298043590092803</v>
      </c>
      <c r="AJ6600">
        <v>65.398348825431597</v>
      </c>
      <c r="AK6600">
        <v>11.766864063070599</v>
      </c>
    </row>
    <row r="6601" spans="1:37" x14ac:dyDescent="0.2">
      <c r="A6601" t="str">
        <f>"20200111153558382"</f>
        <v>20200111153558382</v>
      </c>
      <c r="B6601" t="str">
        <f>"1578728158372697"</f>
        <v>1578728158372697</v>
      </c>
      <c r="C6601" t="s">
        <v>37</v>
      </c>
      <c r="D6601">
        <v>5.1675319999999996</v>
      </c>
      <c r="E6601">
        <v>0.60982780000000003</v>
      </c>
      <c r="F6601" t="s">
        <v>39</v>
      </c>
      <c r="G6601">
        <v>-159.3467</v>
      </c>
      <c r="H6601" s="1">
        <v>-8.3118390000000002E-7</v>
      </c>
      <c r="I6601">
        <v>137.27539999999999</v>
      </c>
      <c r="J6601">
        <v>-171.81720000000001</v>
      </c>
      <c r="K6601">
        <v>1.0864910000000001</v>
      </c>
      <c r="L6601">
        <v>136.71639999999999</v>
      </c>
      <c r="M6601">
        <v>0.9015164</v>
      </c>
      <c r="N6601">
        <v>0</v>
      </c>
      <c r="O6601">
        <v>0.43242079999999899</v>
      </c>
      <c r="P6601">
        <v>0.94611590000000001</v>
      </c>
      <c r="Q6601">
        <v>2.202906E-2</v>
      </c>
      <c r="R6601">
        <v>0.32307829999999998</v>
      </c>
      <c r="S6601">
        <v>3.1302639999999999</v>
      </c>
      <c r="T6601">
        <v>-0.26801510000000001</v>
      </c>
      <c r="U6601">
        <v>0.1634369</v>
      </c>
      <c r="V6601">
        <v>0.1194228</v>
      </c>
      <c r="W6601">
        <v>3.3566199999999997E-2</v>
      </c>
      <c r="X6601">
        <v>0.99227589999999999</v>
      </c>
      <c r="Y6601">
        <v>0.38200709999999999</v>
      </c>
      <c r="Z6601">
        <v>-5.2189670000000001E-2</v>
      </c>
      <c r="AA6601">
        <v>0.92268459999999997</v>
      </c>
      <c r="AB6601">
        <v>39</v>
      </c>
      <c r="AC6601">
        <v>12.470499999999999</v>
      </c>
      <c r="AD6601">
        <v>-1.0864918311839</v>
      </c>
      <c r="AE6601">
        <v>0.55899999999999705</v>
      </c>
      <c r="AF6601">
        <v>4.8524813653416699</v>
      </c>
      <c r="AG6601">
        <v>-1.0864918311839</v>
      </c>
      <c r="AH6601">
        <v>11.399337979431399</v>
      </c>
      <c r="AI6601">
        <v>95.011841195097404</v>
      </c>
      <c r="AJ6601">
        <v>66.941468094875006</v>
      </c>
      <c r="AK6601">
        <v>12.436717664622201</v>
      </c>
    </row>
    <row r="6602" spans="1:37" x14ac:dyDescent="0.2">
      <c r="A6602" t="str">
        <f>"20200111153558395"</f>
        <v>20200111153558395</v>
      </c>
      <c r="B6602" t="str">
        <f>"1578728158392217"</f>
        <v>1578728158392217</v>
      </c>
      <c r="C6602" t="s">
        <v>37</v>
      </c>
      <c r="D6602">
        <v>5.187913</v>
      </c>
      <c r="E6602">
        <v>0.60763</v>
      </c>
      <c r="F6602" t="s">
        <v>39</v>
      </c>
      <c r="G6602">
        <v>-158.78579999999999</v>
      </c>
      <c r="H6602" s="1">
        <v>-1.0153639999999999E-6</v>
      </c>
      <c r="I6602">
        <v>137.30070000000001</v>
      </c>
      <c r="J6602">
        <v>-171.60659999999999</v>
      </c>
      <c r="K6602">
        <v>1.0864769999999999</v>
      </c>
      <c r="L6602">
        <v>136.81290000000001</v>
      </c>
      <c r="M6602">
        <v>0.90583570000000002</v>
      </c>
      <c r="N6602">
        <v>0</v>
      </c>
      <c r="O6602">
        <v>0.42329799999999901</v>
      </c>
      <c r="P6602">
        <v>0.9490788</v>
      </c>
      <c r="Q6602">
        <v>2.231764E-2</v>
      </c>
      <c r="R6602">
        <v>0.31424730000000001</v>
      </c>
      <c r="S6602">
        <v>3.1289829999999998</v>
      </c>
      <c r="T6602">
        <v>-0.26087650000000001</v>
      </c>
      <c r="U6602">
        <v>0.1403046</v>
      </c>
      <c r="V6602">
        <v>0.1186644</v>
      </c>
      <c r="W6602">
        <v>3.3891690000000002E-2</v>
      </c>
      <c r="X6602">
        <v>0.99235580000000001</v>
      </c>
      <c r="Y6602">
        <v>0.37965450000000001</v>
      </c>
      <c r="Z6602">
        <v>-5.0056780000000002E-2</v>
      </c>
      <c r="AA6602">
        <v>0.92377319999999996</v>
      </c>
      <c r="AB6602">
        <v>38</v>
      </c>
      <c r="AC6602">
        <v>12.820799999999901</v>
      </c>
      <c r="AD6602">
        <v>-1.0864780153639999</v>
      </c>
      <c r="AE6602">
        <v>0.48779999999999202</v>
      </c>
      <c r="AF6602">
        <v>4.9503523511139402</v>
      </c>
      <c r="AG6602">
        <v>-1.0864780153639999</v>
      </c>
      <c r="AH6602">
        <v>11.737510740045799</v>
      </c>
      <c r="AI6602">
        <v>94.874923615228198</v>
      </c>
      <c r="AJ6602">
        <v>67.132177927916004</v>
      </c>
      <c r="AK6602">
        <v>12.784974824016601</v>
      </c>
    </row>
    <row r="6603" spans="1:37" x14ac:dyDescent="0.2">
      <c r="A6603" t="str">
        <f>"20200111153558408"</f>
        <v>20200111153558408</v>
      </c>
      <c r="B6603" t="str">
        <f>"1578728158401977"</f>
        <v>1578728158401977</v>
      </c>
      <c r="C6603" t="s">
        <v>37</v>
      </c>
      <c r="D6603">
        <v>5.1566789999999996</v>
      </c>
      <c r="E6603">
        <v>0.60648100000000005</v>
      </c>
      <c r="F6603" t="s">
        <v>39</v>
      </c>
      <c r="G6603">
        <v>-158.91810000000001</v>
      </c>
      <c r="H6603" s="1">
        <v>-9.6218969999999999E-7</v>
      </c>
      <c r="I6603">
        <v>137.3313</v>
      </c>
      <c r="J6603">
        <v>-171.39689999999999</v>
      </c>
      <c r="K6603">
        <v>1.0864739999999999</v>
      </c>
      <c r="L6603">
        <v>136.90610000000001</v>
      </c>
      <c r="M6603">
        <v>0.91002859999999997</v>
      </c>
      <c r="N6603">
        <v>0</v>
      </c>
      <c r="O6603">
        <v>0.41420659999999998</v>
      </c>
      <c r="P6603">
        <v>0.95172969999999901</v>
      </c>
      <c r="Q6603">
        <v>2.287759E-2</v>
      </c>
      <c r="R6603">
        <v>0.30608390000000002</v>
      </c>
      <c r="S6603">
        <v>3.125</v>
      </c>
      <c r="T6603">
        <v>-0.2675845</v>
      </c>
      <c r="U6603">
        <v>0.12767029999999999</v>
      </c>
      <c r="V6603">
        <v>0.1172716</v>
      </c>
      <c r="W6603">
        <v>3.4517890000000002E-2</v>
      </c>
      <c r="X6603">
        <v>0.99249979999999904</v>
      </c>
      <c r="Y6603">
        <v>0.37397029999999998</v>
      </c>
      <c r="Z6603">
        <v>-5.0459950000000003E-2</v>
      </c>
      <c r="AA6603">
        <v>0.92606690000000003</v>
      </c>
      <c r="AB6603">
        <v>38</v>
      </c>
      <c r="AC6603">
        <v>12.4787999999999</v>
      </c>
      <c r="AD6603">
        <v>-1.0864749621897001</v>
      </c>
      <c r="AE6603">
        <v>0.42519999999998898</v>
      </c>
      <c r="AF6603">
        <v>4.7465893107691697</v>
      </c>
      <c r="AG6603">
        <v>-1.0864749621897001</v>
      </c>
      <c r="AH6603">
        <v>11.447131687492</v>
      </c>
      <c r="AI6603">
        <v>95.010538677593004</v>
      </c>
      <c r="AJ6603">
        <v>67.478504886834003</v>
      </c>
      <c r="AK6603">
        <v>12.439749265936101</v>
      </c>
    </row>
    <row r="6604" spans="1:37" x14ac:dyDescent="0.2">
      <c r="A6604" t="str">
        <f>"20200111153558426"</f>
        <v>20200111153558426</v>
      </c>
      <c r="B6604" t="str">
        <f>"1578728158422473"</f>
        <v>1578728158422473</v>
      </c>
      <c r="C6604" t="s">
        <v>37</v>
      </c>
      <c r="D6604">
        <v>5.1397830000000004</v>
      </c>
      <c r="E6604">
        <v>0.60488809999999904</v>
      </c>
      <c r="F6604" t="s">
        <v>39</v>
      </c>
      <c r="G6604">
        <v>-158.8443</v>
      </c>
      <c r="H6604" s="1">
        <v>-9.8351200000000011E-7</v>
      </c>
      <c r="I6604">
        <v>137.34559999999999</v>
      </c>
      <c r="J6604">
        <v>-171.12960000000001</v>
      </c>
      <c r="K6604">
        <v>1.086462</v>
      </c>
      <c r="L6604">
        <v>137.02170000000001</v>
      </c>
      <c r="M6604">
        <v>0.91522610000000004</v>
      </c>
      <c r="N6604">
        <v>0</v>
      </c>
      <c r="O6604">
        <v>0.4025919</v>
      </c>
      <c r="P6604">
        <v>0.95541730000000002</v>
      </c>
      <c r="Q6604">
        <v>2.3276249999999998E-2</v>
      </c>
      <c r="R6604">
        <v>0.29433979999999998</v>
      </c>
      <c r="S6604">
        <v>3.1234739999999999</v>
      </c>
      <c r="T6604">
        <v>-0.270347</v>
      </c>
      <c r="U6604">
        <v>0.109375</v>
      </c>
      <c r="V6604">
        <v>0.1168786</v>
      </c>
      <c r="W6604">
        <v>3.4937259999999998E-2</v>
      </c>
      <c r="X6604">
        <v>0.99253150000000001</v>
      </c>
      <c r="Y6604">
        <v>0.36756889999999998</v>
      </c>
      <c r="Z6604">
        <v>-4.9817E-2</v>
      </c>
      <c r="AA6604">
        <v>0.92866099999999996</v>
      </c>
      <c r="AB6604">
        <v>38</v>
      </c>
      <c r="AC6604">
        <v>12.285299999999999</v>
      </c>
      <c r="AD6604">
        <v>-1.0864629835120001</v>
      </c>
      <c r="AE6604">
        <v>0.32389999999997998</v>
      </c>
      <c r="AF6604">
        <v>4.6141122325361801</v>
      </c>
      <c r="AG6604">
        <v>-1.0864629835120001</v>
      </c>
      <c r="AH6604">
        <v>11.2876065948752</v>
      </c>
      <c r="AI6604">
        <v>95.091394104236699</v>
      </c>
      <c r="AJ6604">
        <v>67.766392745189606</v>
      </c>
      <c r="AK6604">
        <v>12.2425690175572</v>
      </c>
    </row>
    <row r="6605" spans="1:37" x14ac:dyDescent="0.2">
      <c r="A6605" t="str">
        <f>"20200111153558440"</f>
        <v>20200111153558440</v>
      </c>
      <c r="B6605" t="str">
        <f>"1578728158432234"</f>
        <v>1578728158432234</v>
      </c>
      <c r="C6605" t="s">
        <v>37</v>
      </c>
      <c r="D6605">
        <v>5.153524</v>
      </c>
      <c r="E6605">
        <v>0.60488809999999904</v>
      </c>
      <c r="F6605" t="s">
        <v>39</v>
      </c>
      <c r="G6605">
        <v>-158.69669999999999</v>
      </c>
      <c r="H6605" s="1">
        <v>-1.031892E-6</v>
      </c>
      <c r="I6605">
        <v>137.35249999999999</v>
      </c>
      <c r="J6605">
        <v>-170.89689999999999</v>
      </c>
      <c r="K6605">
        <v>1.086454</v>
      </c>
      <c r="L6605">
        <v>137.11940000000001</v>
      </c>
      <c r="M6605">
        <v>0.91961469999999901</v>
      </c>
      <c r="N6605">
        <v>0</v>
      </c>
      <c r="O6605">
        <v>0.39246360000000002</v>
      </c>
      <c r="P6605">
        <v>0.95846739999999997</v>
      </c>
      <c r="Q6605">
        <v>2.3630700000000001E-2</v>
      </c>
      <c r="R6605">
        <v>0.28422170000000002</v>
      </c>
      <c r="S6605">
        <v>3.121048</v>
      </c>
      <c r="T6605">
        <v>-0.27273569999999903</v>
      </c>
      <c r="U6605">
        <v>8.3053589999999997E-2</v>
      </c>
      <c r="V6605">
        <v>0.116428399999999</v>
      </c>
      <c r="W6605">
        <v>3.5314680000000001E-2</v>
      </c>
      <c r="X6605">
        <v>0.99257109999999904</v>
      </c>
      <c r="Y6605">
        <v>0.36509829999999999</v>
      </c>
      <c r="Z6605">
        <v>-4.9387269999999997E-2</v>
      </c>
      <c r="AA6605">
        <v>0.92965810000000004</v>
      </c>
      <c r="AB6605">
        <v>38</v>
      </c>
      <c r="AC6605">
        <v>12.200199999999899</v>
      </c>
      <c r="AD6605">
        <v>-1.0864550318920001</v>
      </c>
      <c r="AE6605">
        <v>0.23309999999997899</v>
      </c>
      <c r="AF6605">
        <v>4.53843723082257</v>
      </c>
      <c r="AG6605">
        <v>-1.0864550318920001</v>
      </c>
      <c r="AH6605">
        <v>11.223582869785201</v>
      </c>
      <c r="AI6605">
        <v>95.128089651419302</v>
      </c>
      <c r="AJ6605">
        <v>67.983257819004905</v>
      </c>
      <c r="AK6605">
        <v>12.1551063125493</v>
      </c>
    </row>
    <row r="6606" spans="1:37" x14ac:dyDescent="0.2">
      <c r="A6606" t="str">
        <f>"20200111153558452"</f>
        <v>20200111153558452</v>
      </c>
      <c r="B6606" t="str">
        <f>"1578728158441993"</f>
        <v>1578728158441993</v>
      </c>
      <c r="C6606" t="s">
        <v>37</v>
      </c>
      <c r="D6606">
        <v>5.1575489999999897</v>
      </c>
      <c r="E6606">
        <v>0.59543559999999995</v>
      </c>
      <c r="F6606" t="s">
        <v>39</v>
      </c>
      <c r="G6606">
        <v>-158.41659999999999</v>
      </c>
      <c r="H6606" s="1">
        <v>-1.135892E-6</v>
      </c>
      <c r="I6606">
        <v>137.31979999999999</v>
      </c>
      <c r="J6606">
        <v>-170.68610000000001</v>
      </c>
      <c r="K6606">
        <v>1.0864510000000001</v>
      </c>
      <c r="L6606">
        <v>137.2046</v>
      </c>
      <c r="M6606">
        <v>0.92347819999999903</v>
      </c>
      <c r="N6606">
        <v>0</v>
      </c>
      <c r="O6606">
        <v>0.38328410000000002</v>
      </c>
      <c r="P6606">
        <v>0.96082869999999998</v>
      </c>
      <c r="Q6606">
        <v>2.403456E-2</v>
      </c>
      <c r="R6606">
        <v>0.27609889999999998</v>
      </c>
      <c r="S6606">
        <v>3.121826</v>
      </c>
      <c r="T6606">
        <v>-0.27176549999999999</v>
      </c>
      <c r="U6606">
        <v>5.0125120000000002E-2</v>
      </c>
      <c r="V6606">
        <v>0.114957399999999</v>
      </c>
      <c r="W6606">
        <v>3.578692E-2</v>
      </c>
      <c r="X6606">
        <v>0.99272559999999999</v>
      </c>
      <c r="Y6606">
        <v>0.36569069999999998</v>
      </c>
      <c r="Z6606">
        <v>-4.850397E-2</v>
      </c>
      <c r="AA6606">
        <v>0.92947169999999901</v>
      </c>
      <c r="AB6606">
        <v>38</v>
      </c>
      <c r="AC6606">
        <v>12.269500000000001</v>
      </c>
      <c r="AD6606">
        <v>-1.0864521358920001</v>
      </c>
      <c r="AE6606">
        <v>0.11519999999998699</v>
      </c>
      <c r="AF6606">
        <v>4.5612052848187803</v>
      </c>
      <c r="AG6606">
        <v>-1.0864521358920001</v>
      </c>
      <c r="AH6606">
        <v>11.287870794671299</v>
      </c>
      <c r="AI6606">
        <v>95.099528440542599</v>
      </c>
      <c r="AJ6606">
        <v>67.997340670123506</v>
      </c>
      <c r="AK6606">
        <v>12.2229701370426</v>
      </c>
    </row>
    <row r="6607" spans="1:37" x14ac:dyDescent="0.2">
      <c r="A6607" t="str">
        <f>"20200111153558470"</f>
        <v>20200111153558470</v>
      </c>
      <c r="B6607" t="str">
        <f>"1578728158462490"</f>
        <v>1578728158462490</v>
      </c>
      <c r="C6607" t="s">
        <v>37</v>
      </c>
      <c r="D6607">
        <v>4.9094089999999904</v>
      </c>
      <c r="E6607">
        <v>0.61566659999999995</v>
      </c>
      <c r="F6607" t="s">
        <v>39</v>
      </c>
      <c r="G6607">
        <v>-159.67429999999999</v>
      </c>
      <c r="H6607" s="1">
        <v>-6.481357E-7</v>
      </c>
      <c r="I6607">
        <v>137.5444</v>
      </c>
      <c r="J6607">
        <v>-170.4109</v>
      </c>
      <c r="K6607">
        <v>1.086449</v>
      </c>
      <c r="L6607">
        <v>137.3124</v>
      </c>
      <c r="M6607">
        <v>0.92836569999999996</v>
      </c>
      <c r="N6607">
        <v>0</v>
      </c>
      <c r="O6607">
        <v>0.37128949999999999</v>
      </c>
      <c r="P6607">
        <v>0.96405019999999997</v>
      </c>
      <c r="Q6607">
        <v>2.4275000000000001E-2</v>
      </c>
      <c r="R6607">
        <v>0.2646095</v>
      </c>
      <c r="S6607">
        <v>3.1024479999999999</v>
      </c>
      <c r="T6607">
        <v>-0.30609639999999999</v>
      </c>
      <c r="U6607">
        <v>9.5748899999999998E-2</v>
      </c>
      <c r="V6607">
        <v>0.113956999999999</v>
      </c>
      <c r="W6607">
        <v>3.6073790000000001E-2</v>
      </c>
      <c r="X6607">
        <v>0.99283049999999995</v>
      </c>
      <c r="Y6607">
        <v>0.33915329999999999</v>
      </c>
      <c r="Z6607">
        <v>-5.2495769999999997E-2</v>
      </c>
      <c r="AA6607">
        <v>0.93926529999999997</v>
      </c>
      <c r="AB6607">
        <v>38</v>
      </c>
      <c r="AC6607">
        <v>10.736599999999999</v>
      </c>
      <c r="AD6607">
        <v>-1.0864496481357</v>
      </c>
      <c r="AE6607">
        <v>0.23199999999999901</v>
      </c>
      <c r="AF6607">
        <v>3.7333262222026198</v>
      </c>
      <c r="AG6607">
        <v>-1.0864496481357</v>
      </c>
      <c r="AH6607">
        <v>9.95317475990662</v>
      </c>
      <c r="AI6607">
        <v>95.835540966688598</v>
      </c>
      <c r="AJ6607">
        <v>69.439485004025698</v>
      </c>
      <c r="AK6607">
        <v>10.685681322244299</v>
      </c>
    </row>
    <row r="6608" spans="1:37" x14ac:dyDescent="0.2">
      <c r="A6608" t="str">
        <f>"20200111153558482"</f>
        <v>20200111153558482</v>
      </c>
      <c r="B6608" t="str">
        <f>"1578728158472250"</f>
        <v>1578728158472250</v>
      </c>
      <c r="C6608" t="s">
        <v>37</v>
      </c>
      <c r="D6608">
        <v>4.9180330000000003</v>
      </c>
      <c r="E6608">
        <v>0.61442969999999997</v>
      </c>
      <c r="F6608" t="s">
        <v>39</v>
      </c>
      <c r="G6608">
        <v>-57.588650000000001</v>
      </c>
      <c r="H6608" s="1">
        <v>-2.3394629999999998E-6</v>
      </c>
      <c r="I6608">
        <v>133.85560000000001</v>
      </c>
      <c r="J6608">
        <v>-170.19159999999999</v>
      </c>
      <c r="K6608">
        <v>1.0864510000000001</v>
      </c>
      <c r="L6608">
        <v>137.39580000000001</v>
      </c>
      <c r="M6608">
        <v>0.93213799999999902</v>
      </c>
      <c r="N6608">
        <v>0</v>
      </c>
      <c r="O6608">
        <v>0.36171429999999999</v>
      </c>
      <c r="P6608">
        <v>0.96647680000000002</v>
      </c>
      <c r="Q6608">
        <v>2.4364090000000001E-2</v>
      </c>
      <c r="R6608">
        <v>0.25559559999999998</v>
      </c>
      <c r="S6608">
        <v>3.1390229999999999</v>
      </c>
      <c r="T6608">
        <v>-3.0228020000000001E-2</v>
      </c>
      <c r="U6608">
        <v>-9.6176150000000002E-2</v>
      </c>
      <c r="V6608">
        <v>0.11301269999999999</v>
      </c>
      <c r="W6608">
        <v>3.6206259999999997E-2</v>
      </c>
      <c r="X6608">
        <v>0.99293359999999997</v>
      </c>
      <c r="Y6608">
        <v>0.3901115</v>
      </c>
      <c r="Z6608">
        <v>-5.3044579999999997E-3</v>
      </c>
      <c r="AA6608">
        <v>0.92075229999999997</v>
      </c>
      <c r="AB6608">
        <v>38</v>
      </c>
      <c r="AC6608">
        <v>112.60295000000001</v>
      </c>
      <c r="AD6608">
        <v>-1.086453339463</v>
      </c>
      <c r="AE6608">
        <v>-3.5401999999999898</v>
      </c>
      <c r="AF6608">
        <v>44.032155944062602</v>
      </c>
      <c r="AG6608">
        <v>-1.086453339463</v>
      </c>
      <c r="AH6608">
        <v>103.685901525887</v>
      </c>
      <c r="AI6608">
        <v>90.552581489055498</v>
      </c>
      <c r="AJ6608">
        <v>66.990588410014396</v>
      </c>
      <c r="AK6608">
        <v>112.653350208403</v>
      </c>
    </row>
    <row r="6609" spans="1:37" x14ac:dyDescent="0.2">
      <c r="A6609" t="str">
        <f>"20200111153558496"</f>
        <v>20200111153558496</v>
      </c>
      <c r="B6609" t="str">
        <f>"1578728158491770"</f>
        <v>1578728158491770</v>
      </c>
      <c r="C6609" t="s">
        <v>37</v>
      </c>
      <c r="D6609">
        <v>4.9538260000000003</v>
      </c>
      <c r="E6609">
        <v>0.61241969999999901</v>
      </c>
      <c r="F6609" t="s">
        <v>39</v>
      </c>
      <c r="G6609">
        <v>-83.248739999999998</v>
      </c>
      <c r="H6609" s="1">
        <v>-3.8428349999999998E-6</v>
      </c>
      <c r="I6609">
        <v>134.18029999999999</v>
      </c>
      <c r="J6609">
        <v>-169.96530000000001</v>
      </c>
      <c r="K6609">
        <v>1.086454</v>
      </c>
      <c r="L6609">
        <v>137.47909999999999</v>
      </c>
      <c r="M6609">
        <v>0.93591159999999995</v>
      </c>
      <c r="N6609">
        <v>0</v>
      </c>
      <c r="O6609">
        <v>0.35183540000000002</v>
      </c>
      <c r="P6609">
        <v>0.96888099999999999</v>
      </c>
      <c r="Q6609">
        <v>2.490274E-2</v>
      </c>
      <c r="R6609">
        <v>0.2462714</v>
      </c>
      <c r="S6609">
        <v>3.1357119999999998</v>
      </c>
      <c r="T6609">
        <v>-3.9184450000000003E-2</v>
      </c>
      <c r="U6609">
        <v>-0.11596679999999999</v>
      </c>
      <c r="V6609">
        <v>0.1120964</v>
      </c>
      <c r="W6609">
        <v>3.6787140000000003E-2</v>
      </c>
      <c r="X6609">
        <v>0.99301620000000002</v>
      </c>
      <c r="Y6609">
        <v>0.38618140000000001</v>
      </c>
      <c r="Z6609">
        <v>-6.7420839999999998E-3</v>
      </c>
      <c r="AA6609">
        <v>0.9223983</v>
      </c>
      <c r="AB6609">
        <v>38</v>
      </c>
      <c r="AC6609">
        <v>86.716560000000001</v>
      </c>
      <c r="AD6609">
        <v>-1.086457842835</v>
      </c>
      <c r="AE6609">
        <v>-3.2988</v>
      </c>
      <c r="AF6609">
        <v>33.596801568851198</v>
      </c>
      <c r="AG6609">
        <v>-1.086457842835</v>
      </c>
      <c r="AH6609">
        <v>79.997115933471406</v>
      </c>
      <c r="AI6609">
        <v>90.717405709095303</v>
      </c>
      <c r="AJ6609">
        <v>67.218804092787593</v>
      </c>
      <c r="AK6609">
        <v>86.772484256095197</v>
      </c>
    </row>
    <row r="6610" spans="1:37" x14ac:dyDescent="0.2">
      <c r="A6610" t="str">
        <f>"20200111153558509"</f>
        <v>20200111153558509</v>
      </c>
      <c r="B6610" t="str">
        <f>"1578728158502506"</f>
        <v>1578728158502506</v>
      </c>
      <c r="C6610" t="s">
        <v>37</v>
      </c>
      <c r="D6610">
        <v>4.8685910000000003</v>
      </c>
      <c r="E6610">
        <v>0.61241969999999901</v>
      </c>
      <c r="F6610" t="s">
        <v>39</v>
      </c>
      <c r="G6610">
        <v>-105.9618</v>
      </c>
      <c r="H6610" s="1">
        <v>-2.8151889999999899E-6</v>
      </c>
      <c r="I6610">
        <v>134.8047</v>
      </c>
      <c r="J6610">
        <v>-169.76499999999999</v>
      </c>
      <c r="K6610">
        <v>1.08646</v>
      </c>
      <c r="L6610">
        <v>137.5498</v>
      </c>
      <c r="M6610">
        <v>0.93914839999999999</v>
      </c>
      <c r="N6610">
        <v>0</v>
      </c>
      <c r="O6610">
        <v>0.34310219999999902</v>
      </c>
      <c r="P6610">
        <v>0.9708928</v>
      </c>
      <c r="Q6610">
        <v>2.5432340000000001E-2</v>
      </c>
      <c r="R6610">
        <v>0.23816109999999999</v>
      </c>
      <c r="S6610">
        <v>3.1309809999999998</v>
      </c>
      <c r="T6610">
        <v>-5.3148269999999997E-2</v>
      </c>
      <c r="U6610">
        <v>-0.1308289</v>
      </c>
      <c r="V6610">
        <v>0.11116760000000001</v>
      </c>
      <c r="W6610">
        <v>3.7358469999999998E-2</v>
      </c>
      <c r="X6610">
        <v>0.99309919999999996</v>
      </c>
      <c r="Y6610">
        <v>0.38196199999999902</v>
      </c>
      <c r="Z6610">
        <v>-8.9815580000000006E-3</v>
      </c>
      <c r="AA6610">
        <v>0.92413440000000002</v>
      </c>
      <c r="AB6610">
        <v>38</v>
      </c>
      <c r="AC6610">
        <v>63.803199999999897</v>
      </c>
      <c r="AD6610">
        <v>-1.0864628151889999</v>
      </c>
      <c r="AE6610">
        <v>-2.7450999999999999</v>
      </c>
      <c r="AF6610">
        <v>24.4654341868623</v>
      </c>
      <c r="AG6610">
        <v>-1.0864628151889999</v>
      </c>
      <c r="AH6610">
        <v>58.970048803876701</v>
      </c>
      <c r="AI6610">
        <v>90.974938471741396</v>
      </c>
      <c r="AJ6610">
        <v>67.467464999011497</v>
      </c>
      <c r="AK6610">
        <v>63.8529915300143</v>
      </c>
    </row>
    <row r="6611" spans="1:37" x14ac:dyDescent="0.2">
      <c r="A6611" t="str">
        <f>"20200111153558532"</f>
        <v>20200111153558532</v>
      </c>
      <c r="B6611" t="str">
        <f>"1578728158522026"</f>
        <v>1578728158522026</v>
      </c>
      <c r="C6611" t="s">
        <v>37</v>
      </c>
      <c r="D6611">
        <v>4.8688279999999997</v>
      </c>
      <c r="E6611">
        <v>0.5998291</v>
      </c>
      <c r="F6611" t="s">
        <v>39</v>
      </c>
      <c r="G6611">
        <v>-105.08199999999999</v>
      </c>
      <c r="H6611" s="1">
        <v>-3.28454299999999E-6</v>
      </c>
      <c r="I6611">
        <v>134.31049999999999</v>
      </c>
      <c r="J6611">
        <v>-169.3946</v>
      </c>
      <c r="K6611">
        <v>1.0864769999999999</v>
      </c>
      <c r="L6611">
        <v>137.67609999999999</v>
      </c>
      <c r="M6611">
        <v>0.9448955</v>
      </c>
      <c r="N6611">
        <v>0</v>
      </c>
      <c r="O6611">
        <v>0.32694269999999998</v>
      </c>
      <c r="P6611">
        <v>0.97452739999999904</v>
      </c>
      <c r="Q6611">
        <v>2.5147889999999999E-2</v>
      </c>
      <c r="R6611">
        <v>0.22285489999999999</v>
      </c>
      <c r="S6611">
        <v>3.1297609999999998</v>
      </c>
      <c r="T6611">
        <v>-5.2569749999999998E-2</v>
      </c>
      <c r="U6611">
        <v>-0.156738299999999</v>
      </c>
      <c r="V6611">
        <v>0.1097476</v>
      </c>
      <c r="W6611">
        <v>3.71369E-2</v>
      </c>
      <c r="X6611">
        <v>0.99326550000000002</v>
      </c>
      <c r="Y6611">
        <v>0.37374930000000001</v>
      </c>
      <c r="Z6611">
        <v>-8.5589099999999994E-3</v>
      </c>
      <c r="AA6611">
        <v>0.92749020000000004</v>
      </c>
      <c r="AB6611">
        <v>38</v>
      </c>
      <c r="AC6611">
        <v>64.312599999999904</v>
      </c>
      <c r="AD6611">
        <v>-1.0864802845429999</v>
      </c>
      <c r="AE6611">
        <v>-3.3656000000000001</v>
      </c>
      <c r="AF6611">
        <v>24.203188027718301</v>
      </c>
      <c r="AG6611">
        <v>-1.0864802845429999</v>
      </c>
      <c r="AH6611">
        <v>59.659731814193002</v>
      </c>
      <c r="AI6611">
        <v>90.966800602072496</v>
      </c>
      <c r="AJ6611">
        <v>67.918236441782796</v>
      </c>
      <c r="AK6611">
        <v>64.391446250687807</v>
      </c>
    </row>
    <row r="6612" spans="1:37" x14ac:dyDescent="0.2">
      <c r="A6612" t="str">
        <f>"20200111153558554"</f>
        <v>20200111153558554</v>
      </c>
      <c r="B6612" t="str">
        <f>"1578728158542521"</f>
        <v>1578728158542521</v>
      </c>
      <c r="C6612" t="s">
        <v>37</v>
      </c>
      <c r="D6612">
        <v>4.8551970000000004</v>
      </c>
      <c r="E6612">
        <v>0.59765299999999999</v>
      </c>
      <c r="F6612" t="s">
        <v>39</v>
      </c>
      <c r="G6612">
        <v>-130.48339999999999</v>
      </c>
      <c r="H6612" s="1">
        <v>-4.6496850000000004E-6</v>
      </c>
      <c r="I6612">
        <v>136.31960000000001</v>
      </c>
      <c r="J6612">
        <v>-169.03290000000001</v>
      </c>
      <c r="K6612">
        <v>1.0865</v>
      </c>
      <c r="L6612">
        <v>137.79259999999999</v>
      </c>
      <c r="M6612">
        <v>0.95019779999999998</v>
      </c>
      <c r="N6612">
        <v>0</v>
      </c>
      <c r="O6612">
        <v>0.311197</v>
      </c>
      <c r="P6612">
        <v>0.97759379999999996</v>
      </c>
      <c r="Q6612">
        <v>2.448115E-2</v>
      </c>
      <c r="R6612">
        <v>0.20907249999999999</v>
      </c>
      <c r="S6612">
        <v>3.1054080000000002</v>
      </c>
      <c r="T6612">
        <v>-8.6709380000000003E-2</v>
      </c>
      <c r="U6612">
        <v>-0.1082611</v>
      </c>
      <c r="V6612">
        <v>0.1072418</v>
      </c>
      <c r="W6612">
        <v>3.6578899999999998E-2</v>
      </c>
      <c r="X6612">
        <v>0.99355979999999999</v>
      </c>
      <c r="Y6612">
        <v>0.34390949999999998</v>
      </c>
      <c r="Z6612">
        <v>-1.338627E-2</v>
      </c>
      <c r="AA6612">
        <v>0.93890739999999995</v>
      </c>
      <c r="AB6612">
        <v>38</v>
      </c>
      <c r="AC6612">
        <v>38.549500000000002</v>
      </c>
      <c r="AD6612">
        <v>-1.0865046496849999</v>
      </c>
      <c r="AE6612">
        <v>-1.4729999999999801</v>
      </c>
      <c r="AF6612">
        <v>13.3873906628441</v>
      </c>
      <c r="AG6612">
        <v>-1.0865046496849999</v>
      </c>
      <c r="AH6612">
        <v>36.147659287632699</v>
      </c>
      <c r="AI6612">
        <v>91.614537133441303</v>
      </c>
      <c r="AJ6612">
        <v>69.677743105434004</v>
      </c>
      <c r="AK6612">
        <v>38.562364983078602</v>
      </c>
    </row>
    <row r="6613" spans="1:37" x14ac:dyDescent="0.2">
      <c r="A6613" t="str">
        <f>"20200111153558572"</f>
        <v>20200111153558572</v>
      </c>
      <c r="B6613" t="str">
        <f>"1578728158562042"</f>
        <v>1578728158562042</v>
      </c>
      <c r="C6613" t="s">
        <v>37</v>
      </c>
      <c r="D6613">
        <v>4.8314959999999996</v>
      </c>
      <c r="E6613">
        <v>0.59504250000000003</v>
      </c>
      <c r="F6613" t="s">
        <v>39</v>
      </c>
      <c r="G6613">
        <v>-131.29849999999999</v>
      </c>
      <c r="H6613" s="1">
        <v>-4.3308589999999998E-6</v>
      </c>
      <c r="I6613">
        <v>136.1454</v>
      </c>
      <c r="J6613">
        <v>-168.73169999999999</v>
      </c>
      <c r="K6613">
        <v>1.086535</v>
      </c>
      <c r="L6613">
        <v>137.8844</v>
      </c>
      <c r="M6613">
        <v>0.95438310000000004</v>
      </c>
      <c r="N6613">
        <v>0</v>
      </c>
      <c r="O6613">
        <v>0.29811529999999897</v>
      </c>
      <c r="P6613">
        <v>0.98006289999999996</v>
      </c>
      <c r="Q6613">
        <v>2.3962580000000001E-2</v>
      </c>
      <c r="R6613">
        <v>0.19723669999999999</v>
      </c>
      <c r="S6613">
        <v>3.0999300000000001</v>
      </c>
      <c r="T6613">
        <v>-8.9257719999999999E-2</v>
      </c>
      <c r="U6613">
        <v>-0.13531489999999999</v>
      </c>
      <c r="V6613">
        <v>0.1055856</v>
      </c>
      <c r="W6613">
        <v>3.6129550000000003E-2</v>
      </c>
      <c r="X6613">
        <v>0.99375369999999996</v>
      </c>
      <c r="Y6613">
        <v>0.33923769999999998</v>
      </c>
      <c r="Z6613">
        <v>-1.337384E-2</v>
      </c>
      <c r="AA6613">
        <v>0.94060560000000004</v>
      </c>
      <c r="AB6613">
        <v>38</v>
      </c>
      <c r="AC6613">
        <v>37.433199999999999</v>
      </c>
      <c r="AD6613">
        <v>-1.0865393308589999</v>
      </c>
      <c r="AE6613">
        <v>-1.7390000000000001</v>
      </c>
      <c r="AF6613">
        <v>12.810108523697799</v>
      </c>
      <c r="AG6613">
        <v>-1.0865393308589999</v>
      </c>
      <c r="AH6613">
        <v>35.182545979357599</v>
      </c>
      <c r="AI6613">
        <v>91.662210754747903</v>
      </c>
      <c r="AJ6613">
        <v>69.993228591850297</v>
      </c>
      <c r="AK6613">
        <v>37.457856181261</v>
      </c>
    </row>
    <row r="6614" spans="1:37" x14ac:dyDescent="0.2">
      <c r="A6614" t="str">
        <f>"20200111153558588"</f>
        <v>20200111153558588</v>
      </c>
      <c r="B6614" t="str">
        <f>"1578728158582537"</f>
        <v>1578728158582537</v>
      </c>
      <c r="C6614" t="s">
        <v>37</v>
      </c>
      <c r="D6614">
        <v>4.8369910000000003</v>
      </c>
      <c r="E6614">
        <v>0.59313090000000002</v>
      </c>
      <c r="F6614" t="s">
        <v>39</v>
      </c>
      <c r="G6614">
        <v>-134.5103</v>
      </c>
      <c r="H6614" s="1">
        <v>-2.9435170000000001E-6</v>
      </c>
      <c r="I6614">
        <v>136.19909999999999</v>
      </c>
      <c r="J6614">
        <v>-168.47229999999999</v>
      </c>
      <c r="K6614">
        <v>1.086571</v>
      </c>
      <c r="L6614">
        <v>137.9599</v>
      </c>
      <c r="M6614">
        <v>0.95781870000000002</v>
      </c>
      <c r="N6614">
        <v>0</v>
      </c>
      <c r="O6614">
        <v>0.28688570000000002</v>
      </c>
      <c r="P6614">
        <v>0.98177899999999996</v>
      </c>
      <c r="Q6614">
        <v>2.33765999999999E-2</v>
      </c>
      <c r="R6614">
        <v>0.188583</v>
      </c>
      <c r="S6614">
        <v>3.09410099999999</v>
      </c>
      <c r="T6614">
        <v>-9.8238469999999994E-2</v>
      </c>
      <c r="U6614">
        <v>-0.15237429999999999</v>
      </c>
      <c r="V6614">
        <v>0.1026566</v>
      </c>
      <c r="W6614">
        <v>3.566826E-2</v>
      </c>
      <c r="X6614">
        <v>0.99407710000000005</v>
      </c>
      <c r="Y6614">
        <v>0.33338759999999901</v>
      </c>
      <c r="Z6614">
        <v>-1.430855E-2</v>
      </c>
      <c r="AA6614">
        <v>0.94268130000000006</v>
      </c>
      <c r="AB6614">
        <v>38</v>
      </c>
      <c r="AC6614">
        <v>33.961999999999897</v>
      </c>
      <c r="AD6614">
        <v>-1.0865739435169901</v>
      </c>
      <c r="AE6614">
        <v>-1.7608000000000099</v>
      </c>
      <c r="AF6614">
        <v>11.4196815301074</v>
      </c>
      <c r="AG6614">
        <v>-1.0865739435169901</v>
      </c>
      <c r="AH6614">
        <v>31.996110067004398</v>
      </c>
      <c r="AI6614">
        <v>91.831896164787494</v>
      </c>
      <c r="AJ6614">
        <v>70.358088900187099</v>
      </c>
      <c r="AK6614">
        <v>33.990304920722103</v>
      </c>
    </row>
    <row r="6615" spans="1:37" x14ac:dyDescent="0.2">
      <c r="A6615" t="str">
        <f>"20200111153558605"</f>
        <v>20200111153558605</v>
      </c>
      <c r="B6615" t="str">
        <f>"1578728158602057"</f>
        <v>1578728158602057</v>
      </c>
      <c r="C6615" t="s">
        <v>37</v>
      </c>
      <c r="D6615">
        <v>4.8358049999999997</v>
      </c>
      <c r="E6615">
        <v>0.59275849999999997</v>
      </c>
      <c r="F6615" t="s">
        <v>39</v>
      </c>
      <c r="G6615">
        <v>-135.86269999999999</v>
      </c>
      <c r="H6615" s="1">
        <v>-2.3597710000000001E-6</v>
      </c>
      <c r="I6615">
        <v>136.2193</v>
      </c>
      <c r="J6615">
        <v>-168.1893</v>
      </c>
      <c r="K6615">
        <v>1.0866209999999901</v>
      </c>
      <c r="L6615">
        <v>138.0385</v>
      </c>
      <c r="M6615">
        <v>0.96139349999999901</v>
      </c>
      <c r="N6615">
        <v>0</v>
      </c>
      <c r="O6615">
        <v>0.27466940000000001</v>
      </c>
      <c r="P6615">
        <v>0.98387930000000001</v>
      </c>
      <c r="Q6615">
        <v>2.3746130000000001E-2</v>
      </c>
      <c r="R6615">
        <v>0.17725009999999999</v>
      </c>
      <c r="S6615">
        <v>3.0898129999999999</v>
      </c>
      <c r="T6615">
        <v>-0.1029543</v>
      </c>
      <c r="U6615">
        <v>-0.16491700000000001</v>
      </c>
      <c r="V6615">
        <v>0.10147249999999999</v>
      </c>
      <c r="W6615">
        <v>3.608331E-2</v>
      </c>
      <c r="X6615">
        <v>0.9941837</v>
      </c>
      <c r="Y6615">
        <v>0.325235099999999</v>
      </c>
      <c r="Z6615">
        <v>-1.448463E-2</v>
      </c>
      <c r="AA6615">
        <v>0.94552219999999998</v>
      </c>
      <c r="AB6615">
        <v>38</v>
      </c>
      <c r="AC6615">
        <v>32.326599999999999</v>
      </c>
      <c r="AD6615">
        <v>-1.08662335977099</v>
      </c>
      <c r="AE6615">
        <v>-1.8191999999999899</v>
      </c>
      <c r="AF6615">
        <v>10.6176202661603</v>
      </c>
      <c r="AG6615">
        <v>-1.08662335977099</v>
      </c>
      <c r="AH6615">
        <v>30.5487672285496</v>
      </c>
      <c r="AI6615">
        <v>91.924334540656304</v>
      </c>
      <c r="AJ6615">
        <v>70.834441531390695</v>
      </c>
      <c r="AK6615">
        <v>32.359570294218699</v>
      </c>
    </row>
    <row r="6616" spans="1:37" x14ac:dyDescent="0.2">
      <c r="A6616" t="str">
        <f>"20200111153558620"</f>
        <v>20200111153558620</v>
      </c>
      <c r="B6616" t="str">
        <f>"1578728158611817"</f>
        <v>1578728158611817</v>
      </c>
      <c r="C6616" t="s">
        <v>37</v>
      </c>
      <c r="D6616">
        <v>4.7524430000000004</v>
      </c>
      <c r="E6616">
        <v>0.57485189999999997</v>
      </c>
      <c r="F6616" t="s">
        <v>39</v>
      </c>
      <c r="G6616">
        <v>-136.5668</v>
      </c>
      <c r="H6616" s="1">
        <v>-2.1127079999999999E-6</v>
      </c>
      <c r="I6616">
        <v>136.0145</v>
      </c>
      <c r="J6616">
        <v>-167.93129999999999</v>
      </c>
      <c r="K6616">
        <v>1.0866750000000001</v>
      </c>
      <c r="L6616">
        <v>138.10720000000001</v>
      </c>
      <c r="M6616">
        <v>0.96449409999999902</v>
      </c>
      <c r="N6616">
        <v>0</v>
      </c>
      <c r="O6616">
        <v>0.2635769</v>
      </c>
      <c r="P6616">
        <v>0.98547479999999998</v>
      </c>
      <c r="Q6616">
        <v>2.4452519999999998E-2</v>
      </c>
      <c r="R6616">
        <v>0.1680527</v>
      </c>
      <c r="S6616">
        <v>3.0872959999999998</v>
      </c>
      <c r="T6616">
        <v>-0.10608679999999999</v>
      </c>
      <c r="U6616">
        <v>-0.19760129999999901</v>
      </c>
      <c r="V6616">
        <v>9.9326479999999995E-2</v>
      </c>
      <c r="W6616">
        <v>3.6877680000000003E-2</v>
      </c>
      <c r="X6616">
        <v>0.99437129999999996</v>
      </c>
      <c r="Y6616">
        <v>0.32434559999999901</v>
      </c>
      <c r="Z6616">
        <v>-1.454945E-2</v>
      </c>
      <c r="AA6616">
        <v>0.94582679999999997</v>
      </c>
      <c r="AB6616">
        <v>38</v>
      </c>
      <c r="AC6616">
        <v>31.3644999999999</v>
      </c>
      <c r="AD6616">
        <v>-1.0866771127079999</v>
      </c>
      <c r="AE6616">
        <v>-2.0926999999999998</v>
      </c>
      <c r="AF6616">
        <v>10.2745074324115</v>
      </c>
      <c r="AG6616">
        <v>-1.0866771127079999</v>
      </c>
      <c r="AH6616">
        <v>29.667966617304199</v>
      </c>
      <c r="AI6616">
        <v>91.982282768794505</v>
      </c>
      <c r="AJ6616">
        <v>70.898184377407205</v>
      </c>
      <c r="AK6616">
        <v>31.415515487278601</v>
      </c>
    </row>
    <row r="6617" spans="1:37" x14ac:dyDescent="0.2">
      <c r="A6617" t="str">
        <f>"20200111153558638"</f>
        <v>20200111153558638</v>
      </c>
      <c r="B6617" t="str">
        <f>"1578728158632313"</f>
        <v>1578728158632313</v>
      </c>
      <c r="C6617" t="s">
        <v>37</v>
      </c>
      <c r="D6617">
        <v>4.8156879999999997</v>
      </c>
      <c r="E6617">
        <v>0.56576070000000001</v>
      </c>
      <c r="F6617" t="s">
        <v>39</v>
      </c>
      <c r="G6617">
        <v>-150.58920000000001</v>
      </c>
      <c r="H6617" s="1">
        <v>-4.3733869999999998E-6</v>
      </c>
      <c r="I6617">
        <v>137.62129999999999</v>
      </c>
      <c r="J6617">
        <v>-167.64080000000001</v>
      </c>
      <c r="K6617">
        <v>1.0867450000000001</v>
      </c>
      <c r="L6617">
        <v>138.18029999999999</v>
      </c>
      <c r="M6617">
        <v>0.96780469999999896</v>
      </c>
      <c r="N6617">
        <v>0</v>
      </c>
      <c r="O6617">
        <v>0.2511504</v>
      </c>
      <c r="P6617">
        <v>0.98727180000000003</v>
      </c>
      <c r="Q6617">
        <v>2.4672759999999998E-2</v>
      </c>
      <c r="R6617">
        <v>0.15711820000000001</v>
      </c>
      <c r="S6617">
        <v>3.0636290000000002</v>
      </c>
      <c r="T6617">
        <v>-0.19197030000000001</v>
      </c>
      <c r="U6617">
        <v>-8.5830690000000001E-2</v>
      </c>
      <c r="V6617">
        <v>9.7561110000000006E-2</v>
      </c>
      <c r="W6617">
        <v>3.716502E-2</v>
      </c>
      <c r="X6617">
        <v>0.99453539999999996</v>
      </c>
      <c r="Y6617">
        <v>0.27716469999999999</v>
      </c>
      <c r="Z6617">
        <v>-2.428021E-2</v>
      </c>
      <c r="AA6617">
        <v>0.96051559999999903</v>
      </c>
      <c r="AB6617">
        <v>38</v>
      </c>
      <c r="AC6617">
        <v>17.051600000000001</v>
      </c>
      <c r="AD6617">
        <v>-1.086749373387</v>
      </c>
      <c r="AE6617">
        <v>-0.55899999999999705</v>
      </c>
      <c r="AF6617">
        <v>4.8046932849183301</v>
      </c>
      <c r="AG6617">
        <v>-1.086749373387</v>
      </c>
      <c r="AH6617">
        <v>16.298365450156499</v>
      </c>
      <c r="AI6617">
        <v>93.659494761161795</v>
      </c>
      <c r="AJ6617">
        <v>73.574692853480698</v>
      </c>
      <c r="AK6617">
        <v>17.026532768287002</v>
      </c>
    </row>
    <row r="6618" spans="1:37" x14ac:dyDescent="0.2">
      <c r="A6618" t="str">
        <f>"20200111153558654"</f>
        <v>20200111153558654</v>
      </c>
      <c r="B6618" t="str">
        <f>"1578728158642074"</f>
        <v>1578728158642074</v>
      </c>
      <c r="C6618" t="s">
        <v>37</v>
      </c>
      <c r="D6618">
        <v>4.7968099999999998</v>
      </c>
      <c r="E6618">
        <v>0.56396689999999905</v>
      </c>
      <c r="F6618" t="s">
        <v>39</v>
      </c>
      <c r="G6618">
        <v>-146.3717</v>
      </c>
      <c r="H6618" s="1">
        <v>-1.853075E-6</v>
      </c>
      <c r="I6618">
        <v>137.84469999999999</v>
      </c>
      <c r="J6618">
        <v>-167.36240000000001</v>
      </c>
      <c r="K6618">
        <v>1.0868260000000001</v>
      </c>
      <c r="L6618">
        <v>138.24619999999999</v>
      </c>
      <c r="M6618">
        <v>0.97079819999999994</v>
      </c>
      <c r="N6618">
        <v>0</v>
      </c>
      <c r="O6618">
        <v>0.23932059999999999</v>
      </c>
      <c r="P6618">
        <v>0.98853340000000001</v>
      </c>
      <c r="Q6618">
        <v>2.4113550000000001E-2</v>
      </c>
      <c r="R6618">
        <v>0.1490657</v>
      </c>
      <c r="S6618">
        <v>3.0502319999999998</v>
      </c>
      <c r="T6618">
        <v>-0.15585179999999901</v>
      </c>
      <c r="U6618">
        <v>-4.8110960000000001E-2</v>
      </c>
      <c r="V6618">
        <v>9.3502500000000002E-2</v>
      </c>
      <c r="W6618">
        <v>3.677047E-2</v>
      </c>
      <c r="X6618">
        <v>0.99493980000000004</v>
      </c>
      <c r="Y6618">
        <v>0.25399699999999997</v>
      </c>
      <c r="Z6618">
        <v>-1.8621019999999999E-2</v>
      </c>
      <c r="AA6618">
        <v>0.96702579999999905</v>
      </c>
      <c r="AB6618">
        <v>38</v>
      </c>
      <c r="AC6618">
        <v>20.9907</v>
      </c>
      <c r="AD6618">
        <v>-1.086827853075</v>
      </c>
      <c r="AE6618">
        <v>-0.40149999999999803</v>
      </c>
      <c r="AF6618">
        <v>5.3995609937592697</v>
      </c>
      <c r="AG6618">
        <v>-1.086827853075</v>
      </c>
      <c r="AH6618">
        <v>20.230237335985102</v>
      </c>
      <c r="AI6618">
        <v>92.971322202774601</v>
      </c>
      <c r="AJ6618">
        <v>75.055809563051696</v>
      </c>
      <c r="AK6618">
        <v>20.966615281867298</v>
      </c>
    </row>
    <row r="6619" spans="1:37" x14ac:dyDescent="0.2">
      <c r="A6619" t="str">
        <f>"20200111153558677"</f>
        <v>20200111153558677</v>
      </c>
      <c r="B6619" t="str">
        <f>"1578728158672329"</f>
        <v>1578728158672329</v>
      </c>
      <c r="C6619" t="s">
        <v>37</v>
      </c>
      <c r="D6619">
        <v>4.7491120000000002</v>
      </c>
      <c r="E6619">
        <v>0.56116860000000002</v>
      </c>
      <c r="F6619" t="s">
        <v>39</v>
      </c>
      <c r="G6619">
        <v>-143.94589999999999</v>
      </c>
      <c r="H6619" s="1">
        <v>-2.9032060000000002E-6</v>
      </c>
      <c r="I6619">
        <v>137.7912</v>
      </c>
      <c r="J6619">
        <v>-166.9906</v>
      </c>
      <c r="K6619">
        <v>1.0869530000000001</v>
      </c>
      <c r="L6619">
        <v>138.32929999999999</v>
      </c>
      <c r="M6619">
        <v>0.97453230000000002</v>
      </c>
      <c r="N6619">
        <v>0</v>
      </c>
      <c r="O6619">
        <v>0.223632899999999</v>
      </c>
      <c r="P6619">
        <v>0.99026819999999904</v>
      </c>
      <c r="Q6619">
        <v>2.4857959999999998E-2</v>
      </c>
      <c r="R6619">
        <v>0.13693429999999901</v>
      </c>
      <c r="S6619">
        <v>3.04718</v>
      </c>
      <c r="T6619">
        <v>-0.14142869999999999</v>
      </c>
      <c r="U6619">
        <v>-5.9204099999999898E-2</v>
      </c>
      <c r="V6619">
        <v>8.9670269999999996E-2</v>
      </c>
      <c r="W6619">
        <v>3.7665339999999999E-2</v>
      </c>
      <c r="X6619">
        <v>0.995259</v>
      </c>
      <c r="Y6619">
        <v>0.2420563</v>
      </c>
      <c r="Z6619">
        <v>-1.5927119999999999E-2</v>
      </c>
      <c r="AA6619">
        <v>0.97013150000000004</v>
      </c>
      <c r="AB6619">
        <v>38</v>
      </c>
      <c r="AC6619">
        <v>23.044699999999999</v>
      </c>
      <c r="AD6619">
        <v>-1.0869559032060001</v>
      </c>
      <c r="AE6619">
        <v>-0.53809999999998503</v>
      </c>
      <c r="AF6619">
        <v>5.6661312763843004</v>
      </c>
      <c r="AG6619">
        <v>-1.0869559032060001</v>
      </c>
      <c r="AH6619">
        <v>22.290976148353799</v>
      </c>
      <c r="AI6619">
        <v>92.705744120260107</v>
      </c>
      <c r="AJ6619">
        <v>75.738061499991204</v>
      </c>
      <c r="AK6619">
        <v>23.0255105138456</v>
      </c>
    </row>
    <row r="6620" spans="1:37" x14ac:dyDescent="0.2">
      <c r="A6620" t="str">
        <f>"20200111153558699"</f>
        <v>20200111153558699</v>
      </c>
      <c r="B6620" t="str">
        <f>"1578728158691852"</f>
        <v>1578728158691852</v>
      </c>
      <c r="C6620" t="s">
        <v>37</v>
      </c>
      <c r="D6620">
        <v>4.6894999999999998</v>
      </c>
      <c r="E6620">
        <v>0.5601855</v>
      </c>
      <c r="F6620" t="s">
        <v>39</v>
      </c>
      <c r="G6620">
        <v>-141.4443</v>
      </c>
      <c r="H6620" s="1">
        <v>-3.9921619999999999E-6</v>
      </c>
      <c r="I6620">
        <v>137.70230000000001</v>
      </c>
      <c r="J6620">
        <v>-166.60650000000001</v>
      </c>
      <c r="K6620">
        <v>1.087108</v>
      </c>
      <c r="L6620">
        <v>138.4084</v>
      </c>
      <c r="M6620">
        <v>0.97807509999999998</v>
      </c>
      <c r="N6620">
        <v>0</v>
      </c>
      <c r="O6620">
        <v>0.20759520000000001</v>
      </c>
      <c r="P6620">
        <v>0.99207839999999903</v>
      </c>
      <c r="Q6620">
        <v>2.7371949999999999E-2</v>
      </c>
      <c r="R6620">
        <v>0.12260309999999899</v>
      </c>
      <c r="S6620">
        <v>3.0430759999999899</v>
      </c>
      <c r="T6620">
        <v>-0.12947800000000001</v>
      </c>
      <c r="U6620">
        <v>-7.4676510000000001E-2</v>
      </c>
      <c r="V6620">
        <v>8.7786329999999996E-2</v>
      </c>
      <c r="W6620">
        <v>4.0241649999999997E-2</v>
      </c>
      <c r="X6620">
        <v>0.99532619999999905</v>
      </c>
      <c r="Y6620">
        <v>0.2311638</v>
      </c>
      <c r="Z6620">
        <v>-1.370058E-2</v>
      </c>
      <c r="AA6620">
        <v>0.97281839999999997</v>
      </c>
      <c r="AB6620">
        <v>38</v>
      </c>
      <c r="AC6620">
        <v>25.162199999999999</v>
      </c>
      <c r="AD6620">
        <v>-1.0871119921620001</v>
      </c>
      <c r="AE6620">
        <v>-0.70609999999999196</v>
      </c>
      <c r="AF6620">
        <v>5.9039675237304499</v>
      </c>
      <c r="AG6620">
        <v>-1.0871119921620001</v>
      </c>
      <c r="AH6620">
        <v>24.421732634332901</v>
      </c>
      <c r="AI6620">
        <v>92.477512457044895</v>
      </c>
      <c r="AJ6620">
        <v>76.409467418488902</v>
      </c>
      <c r="AK6620">
        <v>25.148750860979298</v>
      </c>
    </row>
    <row r="6621" spans="1:37" x14ac:dyDescent="0.2">
      <c r="A6621" t="str">
        <f>"20200111153558721"</f>
        <v>20200111153558721</v>
      </c>
      <c r="B6621" t="str">
        <f>"1578728158712345"</f>
        <v>1578728158712345</v>
      </c>
      <c r="C6621" t="s">
        <v>37</v>
      </c>
      <c r="D6621">
        <v>4.7782640000000001</v>
      </c>
      <c r="E6621">
        <v>0.55866150000000003</v>
      </c>
      <c r="F6621" t="s">
        <v>39</v>
      </c>
      <c r="G6621">
        <v>-136.57660000000001</v>
      </c>
      <c r="H6621" s="1">
        <v>-1.858342E-6</v>
      </c>
      <c r="I6621">
        <v>137.31950000000001</v>
      </c>
      <c r="J6621">
        <v>-166.24549999999999</v>
      </c>
      <c r="K6621">
        <v>1.087269</v>
      </c>
      <c r="L6621">
        <v>138.47649999999999</v>
      </c>
      <c r="M6621">
        <v>0.98111429999999999</v>
      </c>
      <c r="N6621">
        <v>0</v>
      </c>
      <c r="O6621">
        <v>0.19272549999999999</v>
      </c>
      <c r="P6621">
        <v>0.9935891</v>
      </c>
      <c r="Q6621">
        <v>2.845307E-2</v>
      </c>
      <c r="R6621">
        <v>0.109414</v>
      </c>
      <c r="S6621">
        <v>3.0406040000000001</v>
      </c>
      <c r="T6621">
        <v>-0.110072699999999</v>
      </c>
      <c r="U6621">
        <v>-0.11026</v>
      </c>
      <c r="V6621">
        <v>8.5920999999999997E-2</v>
      </c>
      <c r="W6621">
        <v>4.1382240000000001E-2</v>
      </c>
      <c r="X6621">
        <v>0.99544219999999894</v>
      </c>
      <c r="Y6621">
        <v>0.2279098</v>
      </c>
      <c r="Z6621">
        <v>-1.106888E-2</v>
      </c>
      <c r="AA6621">
        <v>0.97361929999999997</v>
      </c>
      <c r="AB6621">
        <v>38</v>
      </c>
      <c r="AC6621">
        <v>29.668899999999901</v>
      </c>
      <c r="AD6621">
        <v>-1.0872708583420001</v>
      </c>
      <c r="AE6621">
        <v>-1.15699999999998</v>
      </c>
      <c r="AF6621">
        <v>6.8448551043740302</v>
      </c>
      <c r="AG6621">
        <v>-1.0872708583420001</v>
      </c>
      <c r="AH6621">
        <v>28.850834756163099</v>
      </c>
      <c r="AI6621">
        <v>92.099986013930007</v>
      </c>
      <c r="AJ6621">
        <v>76.653351673209201</v>
      </c>
      <c r="AK6621">
        <v>29.671617169387702</v>
      </c>
    </row>
    <row r="6622" spans="1:37" x14ac:dyDescent="0.2">
      <c r="A6622" t="str">
        <f>"20200111153558743"</f>
        <v>20200111153558743</v>
      </c>
      <c r="B6622" t="str">
        <f>"1578728158731865"</f>
        <v>1578728158731865</v>
      </c>
      <c r="C6622" t="s">
        <v>37</v>
      </c>
      <c r="D6622">
        <v>4.7554800000000004</v>
      </c>
      <c r="E6622">
        <v>0.55738129999999997</v>
      </c>
      <c r="F6622" t="s">
        <v>39</v>
      </c>
      <c r="G6622">
        <v>-136.26730000000001</v>
      </c>
      <c r="H6622" s="1">
        <v>-2.0282839999999899E-6</v>
      </c>
      <c r="I6622">
        <v>137.10939999999999</v>
      </c>
      <c r="J6622">
        <v>-165.8699</v>
      </c>
      <c r="K6622">
        <v>1.087437</v>
      </c>
      <c r="L6622">
        <v>138.54130000000001</v>
      </c>
      <c r="M6622">
        <v>0.98399389999999998</v>
      </c>
      <c r="N6622">
        <v>0</v>
      </c>
      <c r="O6622">
        <v>0.17744379999999901</v>
      </c>
      <c r="P6622">
        <v>0.99485730000000006</v>
      </c>
      <c r="Q6622">
        <v>2.6529219999999999E-2</v>
      </c>
      <c r="R6622">
        <v>9.775122E-2</v>
      </c>
      <c r="S6622">
        <v>3.0377959999999899</v>
      </c>
      <c r="T6622">
        <v>-0.110177</v>
      </c>
      <c r="U6622">
        <v>-0.1385345</v>
      </c>
      <c r="V6622">
        <v>8.2028169999999997E-2</v>
      </c>
      <c r="W6622">
        <v>3.9597E-2</v>
      </c>
      <c r="X6622">
        <v>0.99584309999999998</v>
      </c>
      <c r="Y6622">
        <v>0.221855</v>
      </c>
      <c r="Z6622">
        <v>-1.0431640000000001E-2</v>
      </c>
      <c r="AA6622">
        <v>0.97502389999999906</v>
      </c>
      <c r="AB6622">
        <v>38</v>
      </c>
      <c r="AC6622">
        <v>29.602599999999899</v>
      </c>
      <c r="AD6622">
        <v>-1.0874390282840001</v>
      </c>
      <c r="AE6622">
        <v>-1.4319000000000099</v>
      </c>
      <c r="AF6622">
        <v>6.6537194656935901</v>
      </c>
      <c r="AG6622">
        <v>-1.0874390282840001</v>
      </c>
      <c r="AH6622">
        <v>28.839764247025101</v>
      </c>
      <c r="AI6622">
        <v>92.104162142542407</v>
      </c>
      <c r="AJ6622">
        <v>77.008421501954601</v>
      </c>
      <c r="AK6622">
        <v>29.617334589600901</v>
      </c>
    </row>
    <row r="6623" spans="1:37" x14ac:dyDescent="0.2">
      <c r="A6623" t="str">
        <f>"20200111153558766"</f>
        <v>20200111153558766</v>
      </c>
      <c r="B6623" t="str">
        <f>"1578728158752361"</f>
        <v>1578728158752361</v>
      </c>
      <c r="C6623" t="s">
        <v>37</v>
      </c>
      <c r="D6623">
        <v>4.7937240000000001</v>
      </c>
      <c r="E6623">
        <v>0.55597589999999997</v>
      </c>
      <c r="F6623" t="s">
        <v>39</v>
      </c>
      <c r="G6623">
        <v>-137.6061</v>
      </c>
      <c r="H6623" s="1">
        <v>-1.4941429999999999E-6</v>
      </c>
      <c r="I6623">
        <v>137.01009999999999</v>
      </c>
      <c r="J6623">
        <v>-165.49449999999999</v>
      </c>
      <c r="K6623">
        <v>1.08762</v>
      </c>
      <c r="L6623">
        <v>138.6001</v>
      </c>
      <c r="M6623">
        <v>0.98659180000000002</v>
      </c>
      <c r="N6623">
        <v>0</v>
      </c>
      <c r="O6623">
        <v>0.16238559999999999</v>
      </c>
      <c r="P6623">
        <v>0.99595990000000001</v>
      </c>
      <c r="Q6623">
        <v>2.4745779999999998E-2</v>
      </c>
      <c r="R6623">
        <v>8.6323730000000001E-2</v>
      </c>
      <c r="S6623">
        <v>3.0347599999999999</v>
      </c>
      <c r="T6623">
        <v>-0.11676110000000001</v>
      </c>
      <c r="U6623">
        <v>-0.16441349999999999</v>
      </c>
      <c r="V6623">
        <v>7.8157279999999996E-2</v>
      </c>
      <c r="W6623">
        <v>3.794981E-2</v>
      </c>
      <c r="X6623">
        <v>0.99621849999999901</v>
      </c>
      <c r="Y6623">
        <v>0.21527019999999999</v>
      </c>
      <c r="Z6623">
        <v>-1.036434E-2</v>
      </c>
      <c r="AA6623">
        <v>0.97649949999999996</v>
      </c>
      <c r="AB6623">
        <v>38</v>
      </c>
      <c r="AC6623">
        <v>27.888399999999901</v>
      </c>
      <c r="AD6623">
        <v>-1.087621494143</v>
      </c>
      <c r="AE6623">
        <v>-1.59</v>
      </c>
      <c r="AF6623">
        <v>6.0889404977728097</v>
      </c>
      <c r="AG6623">
        <v>-1.087621494143</v>
      </c>
      <c r="AH6623">
        <v>27.218656950911399</v>
      </c>
      <c r="AI6623">
        <v>92.2331095823276</v>
      </c>
      <c r="AJ6623">
        <v>77.390277175206705</v>
      </c>
      <c r="AK6623">
        <v>27.912602944034699</v>
      </c>
    </row>
    <row r="6624" spans="1:37" x14ac:dyDescent="0.2">
      <c r="A6624" t="str">
        <f>"20200111153558788"</f>
        <v>20200111153558788</v>
      </c>
      <c r="B6624" t="str">
        <f>"1578728158782617"</f>
        <v>1578728158782617</v>
      </c>
      <c r="C6624" t="s">
        <v>37</v>
      </c>
      <c r="D6624">
        <v>4.697006</v>
      </c>
      <c r="E6624">
        <v>0.55439959999999999</v>
      </c>
      <c r="F6624" t="s">
        <v>39</v>
      </c>
      <c r="G6624">
        <v>-139.3201</v>
      </c>
      <c r="H6624" s="1">
        <v>-9.2040839999999999E-7</v>
      </c>
      <c r="I6624">
        <v>136.9742</v>
      </c>
      <c r="J6624">
        <v>-165.10679999999999</v>
      </c>
      <c r="K6624">
        <v>1.087839</v>
      </c>
      <c r="L6624">
        <v>138.65469999999999</v>
      </c>
      <c r="M6624">
        <v>0.98898739999999996</v>
      </c>
      <c r="N6624">
        <v>0</v>
      </c>
      <c r="O6624">
        <v>0.147099799999999</v>
      </c>
      <c r="P6624">
        <v>0.99699340000000003</v>
      </c>
      <c r="Q6624">
        <v>2.3636890000000001E-2</v>
      </c>
      <c r="R6624">
        <v>7.3794929999999995E-2</v>
      </c>
      <c r="S6624">
        <v>3.031647</v>
      </c>
      <c r="T6624">
        <v>-0.1259738</v>
      </c>
      <c r="U6624">
        <v>-0.18832399999999999</v>
      </c>
      <c r="V6624">
        <v>7.5204359999999998E-2</v>
      </c>
      <c r="W6624">
        <v>3.6937240000000003E-2</v>
      </c>
      <c r="X6624">
        <v>0.99648379999999903</v>
      </c>
      <c r="Y6624">
        <v>0.2078564</v>
      </c>
      <c r="Z6624">
        <v>-1.040751E-2</v>
      </c>
      <c r="AA6624">
        <v>0.97810399999999997</v>
      </c>
      <c r="AB6624">
        <v>38</v>
      </c>
      <c r="AC6624">
        <v>25.7867</v>
      </c>
      <c r="AD6624">
        <v>-1.0878399204083999</v>
      </c>
      <c r="AE6624">
        <v>-1.6804999999999899</v>
      </c>
      <c r="AF6624">
        <v>5.4462846811016101</v>
      </c>
      <c r="AG6624">
        <v>-1.0878399204083999</v>
      </c>
      <c r="AH6624">
        <v>25.2141913517214</v>
      </c>
      <c r="AI6624">
        <v>92.414811704842805</v>
      </c>
      <c r="AJ6624">
        <v>77.811324789779405</v>
      </c>
      <c r="AK6624">
        <v>25.818614564714</v>
      </c>
    </row>
    <row r="6625" spans="1:37" x14ac:dyDescent="0.2">
      <c r="A6625" t="str">
        <f>"20200111153558810"</f>
        <v>20200111153558810</v>
      </c>
      <c r="B6625" t="str">
        <f>"1578728158802137"</f>
        <v>1578728158802137</v>
      </c>
      <c r="C6625" t="s">
        <v>37</v>
      </c>
      <c r="D6625">
        <v>4.7144059999999897</v>
      </c>
      <c r="E6625">
        <v>0.55343640000000005</v>
      </c>
      <c r="F6625" t="s">
        <v>39</v>
      </c>
      <c r="G6625">
        <v>-139.7415</v>
      </c>
      <c r="H6625" s="1">
        <v>-8.0645009999999996E-7</v>
      </c>
      <c r="I6625">
        <v>136.86349999999999</v>
      </c>
      <c r="J6625">
        <v>-164.7388</v>
      </c>
      <c r="K6625">
        <v>1.0880860000000001</v>
      </c>
      <c r="L6625">
        <v>138.70089999999999</v>
      </c>
      <c r="M6625">
        <v>0.99100159999999904</v>
      </c>
      <c r="N6625">
        <v>0</v>
      </c>
      <c r="O6625">
        <v>0.13286199999999901</v>
      </c>
      <c r="P6625">
        <v>0.99779089999999904</v>
      </c>
      <c r="Q6625">
        <v>2.3469199999999999E-2</v>
      </c>
      <c r="R6625">
        <v>6.2153E-2</v>
      </c>
      <c r="S6625">
        <v>3.0279539999999998</v>
      </c>
      <c r="T6625">
        <v>-0.12985949999999999</v>
      </c>
      <c r="U6625">
        <v>-0.21382139999999999</v>
      </c>
      <c r="V6625">
        <v>7.2475170000000005E-2</v>
      </c>
      <c r="W6625">
        <v>3.6855760000000001E-2</v>
      </c>
      <c r="X6625">
        <v>0.99668899999999905</v>
      </c>
      <c r="Y6625">
        <v>0.20205870000000001</v>
      </c>
      <c r="Z6625">
        <v>-1.000857E-2</v>
      </c>
      <c r="AA6625">
        <v>0.97932229999999998</v>
      </c>
      <c r="AB6625">
        <v>37</v>
      </c>
      <c r="AC6625">
        <v>24.997299999999999</v>
      </c>
      <c r="AD6625">
        <v>-1.0880868064500999</v>
      </c>
      <c r="AE6625">
        <v>-1.8373999999999999</v>
      </c>
      <c r="AF6625">
        <v>5.1330618996234696</v>
      </c>
      <c r="AG6625">
        <v>-1.0880868064500999</v>
      </c>
      <c r="AH6625">
        <v>24.4853330066186</v>
      </c>
      <c r="AI6625">
        <v>92.490388327830502</v>
      </c>
      <c r="AJ6625">
        <v>78.160074665185903</v>
      </c>
      <c r="AK6625">
        <v>25.041241778488999</v>
      </c>
    </row>
    <row r="6626" spans="1:37" x14ac:dyDescent="0.2">
      <c r="A6626" t="str">
        <f>"20200111153558832"</f>
        <v>20200111153558832</v>
      </c>
      <c r="B6626" t="str">
        <f>"1578728158822633"</f>
        <v>1578728158822633</v>
      </c>
      <c r="C6626" t="s">
        <v>37</v>
      </c>
      <c r="D6626">
        <v>4.6757879999999998</v>
      </c>
      <c r="E6626">
        <v>0.55271009999999998</v>
      </c>
      <c r="F6626" t="s">
        <v>39</v>
      </c>
      <c r="G6626">
        <v>-139.39340000000001</v>
      </c>
      <c r="H6626" s="1">
        <v>-9.7401440000000005E-7</v>
      </c>
      <c r="I6626">
        <v>136.6789</v>
      </c>
      <c r="J6626">
        <v>-164.36349999999999</v>
      </c>
      <c r="K6626">
        <v>1.088368</v>
      </c>
      <c r="L6626">
        <v>138.74260000000001</v>
      </c>
      <c r="M6626">
        <v>0.99280409999999997</v>
      </c>
      <c r="N6626">
        <v>0</v>
      </c>
      <c r="O6626">
        <v>0.1186556</v>
      </c>
      <c r="P6626">
        <v>0.998449699999999</v>
      </c>
      <c r="Q6626">
        <v>2.3565920000000001E-2</v>
      </c>
      <c r="R6626">
        <v>5.0428649999999998E-2</v>
      </c>
      <c r="S6626">
        <v>3.0247039999999998</v>
      </c>
      <c r="T6626">
        <v>-0.12985189999999999</v>
      </c>
      <c r="U6626">
        <v>-0.2413025</v>
      </c>
      <c r="V6626">
        <v>6.9884699999999994E-2</v>
      </c>
      <c r="W6626">
        <v>3.702921E-2</v>
      </c>
      <c r="X6626">
        <v>0.99686759999999996</v>
      </c>
      <c r="Y6626">
        <v>0.19696859999999999</v>
      </c>
      <c r="Z6626">
        <v>-9.3005280000000006E-3</v>
      </c>
      <c r="AA6626">
        <v>0.98036569999999901</v>
      </c>
      <c r="AB6626">
        <v>37</v>
      </c>
      <c r="AC6626">
        <v>24.970099999999899</v>
      </c>
      <c r="AD6626">
        <v>-1.0883689740144</v>
      </c>
      <c r="AE6626">
        <v>-2.0637000000000101</v>
      </c>
      <c r="AF6626">
        <v>5.0029057167538502</v>
      </c>
      <c r="AG6626">
        <v>-1.0883689740144</v>
      </c>
      <c r="AH6626">
        <v>24.5025158030165</v>
      </c>
      <c r="AI6626">
        <v>92.491982936976598</v>
      </c>
      <c r="AJ6626">
        <v>78.460009084070407</v>
      </c>
      <c r="AK6626">
        <v>25.031717745919899</v>
      </c>
    </row>
    <row r="6627" spans="1:37" x14ac:dyDescent="0.2">
      <c r="A6627" t="str">
        <f>"20200111153558855"</f>
        <v>20200111153558855</v>
      </c>
      <c r="B6627" t="str">
        <f>"1578728158851913"</f>
        <v>1578728158851913</v>
      </c>
      <c r="C6627" t="s">
        <v>37</v>
      </c>
      <c r="D6627">
        <v>4.650563</v>
      </c>
      <c r="E6627">
        <v>0.5515428</v>
      </c>
      <c r="F6627" t="s">
        <v>39</v>
      </c>
      <c r="G6627">
        <v>-138.5325</v>
      </c>
      <c r="H6627" s="1">
        <v>-1.3336029999999999E-6</v>
      </c>
      <c r="I6627">
        <v>136.42859999999999</v>
      </c>
      <c r="J6627">
        <v>-163.97909999999999</v>
      </c>
      <c r="K6627">
        <v>1.0886899999999999</v>
      </c>
      <c r="L6627">
        <v>138.77969999999999</v>
      </c>
      <c r="M6627">
        <v>0.99439920000000004</v>
      </c>
      <c r="N6627">
        <v>0</v>
      </c>
      <c r="O6627">
        <v>0.104459</v>
      </c>
      <c r="P6627">
        <v>0.99897899999999995</v>
      </c>
      <c r="Q6627">
        <v>2.4149029999999998E-2</v>
      </c>
      <c r="R6627">
        <v>3.8180310000000002E-2</v>
      </c>
      <c r="S6627">
        <v>3.0213320000000001</v>
      </c>
      <c r="T6627">
        <v>-0.12730129999999901</v>
      </c>
      <c r="U6627">
        <v>-0.27064509999999897</v>
      </c>
      <c r="V6627">
        <v>6.7856830000000007E-2</v>
      </c>
      <c r="W6627">
        <v>3.7664389999999999E-2</v>
      </c>
      <c r="X6627">
        <v>0.99698390000000003</v>
      </c>
      <c r="Y6627">
        <v>0.1925267</v>
      </c>
      <c r="Z6627">
        <v>-8.4363279999999999E-3</v>
      </c>
      <c r="AA6627">
        <v>0.98125549999999995</v>
      </c>
      <c r="AB6627">
        <v>37</v>
      </c>
      <c r="AC6627">
        <v>25.446599999999901</v>
      </c>
      <c r="AD6627">
        <v>-1.088691333603</v>
      </c>
      <c r="AE6627">
        <v>-2.3511000000000002</v>
      </c>
      <c r="AF6627">
        <v>4.98765212730261</v>
      </c>
      <c r="AG6627">
        <v>-1.088691333603</v>
      </c>
      <c r="AH6627">
        <v>25.0163224558368</v>
      </c>
      <c r="AI6627">
        <v>92.443857203021395</v>
      </c>
      <c r="AJ6627">
        <v>78.724453914430399</v>
      </c>
      <c r="AK6627">
        <v>25.531907719112102</v>
      </c>
    </row>
    <row r="6628" spans="1:37" x14ac:dyDescent="0.2">
      <c r="A6628" t="str">
        <f>"20200111153558878"</f>
        <v>20200111153558878</v>
      </c>
      <c r="B6628" t="str">
        <f>"1578728158872409"</f>
        <v>1578728158872409</v>
      </c>
      <c r="C6628" t="s">
        <v>37</v>
      </c>
      <c r="D6628">
        <v>4.7927970000000002</v>
      </c>
      <c r="E6628">
        <v>0.55014039999999997</v>
      </c>
      <c r="F6628" t="s">
        <v>39</v>
      </c>
      <c r="G6628">
        <v>-136.64429999999999</v>
      </c>
      <c r="H6628" s="1">
        <v>-2.0684820000000001E-6</v>
      </c>
      <c r="I6628">
        <v>136.08160000000001</v>
      </c>
      <c r="J6628">
        <v>-163.5966</v>
      </c>
      <c r="K6628">
        <v>1.0890409999999999</v>
      </c>
      <c r="L6628">
        <v>138.81120000000001</v>
      </c>
      <c r="M6628">
        <v>0.9957471</v>
      </c>
      <c r="N6628">
        <v>0</v>
      </c>
      <c r="O6628">
        <v>9.0728900000000001E-2</v>
      </c>
      <c r="P6628">
        <v>0.99930819999999998</v>
      </c>
      <c r="Q6628">
        <v>2.4135480000000001E-2</v>
      </c>
      <c r="R6628">
        <v>2.8296209999999999E-2</v>
      </c>
      <c r="S6628">
        <v>3.0173489999999998</v>
      </c>
      <c r="T6628">
        <v>-0.1201752</v>
      </c>
      <c r="U6628">
        <v>-0.297821</v>
      </c>
      <c r="V6628">
        <v>6.3928159999999998E-2</v>
      </c>
      <c r="W6628">
        <v>3.7773500000000002E-2</v>
      </c>
      <c r="X6628">
        <v>0.9972394</v>
      </c>
      <c r="Y6628">
        <v>0.18790299999999999</v>
      </c>
      <c r="Z6628">
        <v>-7.3355199999999999E-3</v>
      </c>
      <c r="AA6628">
        <v>0.98216019999999904</v>
      </c>
      <c r="AB6628">
        <v>37</v>
      </c>
      <c r="AC6628">
        <v>26.952300000000001</v>
      </c>
      <c r="AD6628">
        <v>-1.0890430684819901</v>
      </c>
      <c r="AE6628">
        <v>-2.7296</v>
      </c>
      <c r="AF6628">
        <v>5.1556727439862398</v>
      </c>
      <c r="AG6628">
        <v>-1.0890430684819901</v>
      </c>
      <c r="AH6628">
        <v>26.550516721282701</v>
      </c>
      <c r="AI6628">
        <v>92.305805873587303</v>
      </c>
      <c r="AJ6628">
        <v>79.010865185146699</v>
      </c>
      <c r="AK6628">
        <v>27.068374801882801</v>
      </c>
    </row>
    <row r="6629" spans="1:37" x14ac:dyDescent="0.2">
      <c r="A6629" t="str">
        <f>"20200111153558900"</f>
        <v>20200111153558900</v>
      </c>
      <c r="B6629" t="str">
        <f>"1578728158891929"</f>
        <v>1578728158891929</v>
      </c>
      <c r="C6629" t="s">
        <v>37</v>
      </c>
      <c r="D6629">
        <v>4.6819040000000003</v>
      </c>
      <c r="E6629">
        <v>0.549261</v>
      </c>
      <c r="F6629" t="s">
        <v>39</v>
      </c>
      <c r="G6629">
        <v>-136.9597</v>
      </c>
      <c r="H6629" s="1">
        <v>-1.9772290000000001E-6</v>
      </c>
      <c r="I6629">
        <v>136.02119999999999</v>
      </c>
      <c r="J6629">
        <v>-163.227</v>
      </c>
      <c r="K6629">
        <v>1.0894159999999999</v>
      </c>
      <c r="L6629">
        <v>138.8365</v>
      </c>
      <c r="M6629">
        <v>0.99683359999999999</v>
      </c>
      <c r="N6629">
        <v>0</v>
      </c>
      <c r="O6629">
        <v>7.790917E-2</v>
      </c>
      <c r="P6629">
        <v>0.99958749999999996</v>
      </c>
      <c r="Q6629">
        <v>2.2196779999999999E-2</v>
      </c>
      <c r="R6629">
        <v>1.8227449999999999E-2</v>
      </c>
      <c r="S6629">
        <v>3.0139619999999998</v>
      </c>
      <c r="T6629">
        <v>-0.1232251</v>
      </c>
      <c r="U6629">
        <v>-0.315689099999999</v>
      </c>
      <c r="V6629">
        <v>6.1039839999999998E-2</v>
      </c>
      <c r="W6629">
        <v>3.5914630000000003E-2</v>
      </c>
      <c r="X6629">
        <v>0.99748899999999996</v>
      </c>
      <c r="Y6629">
        <v>0.181136299999999</v>
      </c>
      <c r="Z6629">
        <v>-6.8677390000000003E-3</v>
      </c>
      <c r="AA6629">
        <v>0.98343400000000003</v>
      </c>
      <c r="AB6629">
        <v>37</v>
      </c>
      <c r="AC6629">
        <v>26.267299999999999</v>
      </c>
      <c r="AD6629">
        <v>-1.089417977229</v>
      </c>
      <c r="AE6629">
        <v>-2.8153000000000001</v>
      </c>
      <c r="AF6629">
        <v>4.8452233165797702</v>
      </c>
      <c r="AG6629">
        <v>-1.089417977229</v>
      </c>
      <c r="AH6629">
        <v>25.923987975422101</v>
      </c>
      <c r="AI6629">
        <v>92.365443624316896</v>
      </c>
      <c r="AJ6629">
        <v>79.413494271350501</v>
      </c>
      <c r="AK6629">
        <v>26.395381661693602</v>
      </c>
    </row>
    <row r="6630" spans="1:37" x14ac:dyDescent="0.2">
      <c r="A6630" t="str">
        <f>"20200111153558922"</f>
        <v>20200111153558922</v>
      </c>
      <c r="B6630" t="str">
        <f>"1578728158912425"</f>
        <v>1578728158912425</v>
      </c>
      <c r="C6630" t="s">
        <v>37</v>
      </c>
      <c r="D6630">
        <v>4.6498749999999998</v>
      </c>
      <c r="E6630">
        <v>0.5483363</v>
      </c>
      <c r="F6630" t="s">
        <v>39</v>
      </c>
      <c r="G6630">
        <v>-137.32380000000001</v>
      </c>
      <c r="H6630" s="1">
        <v>-1.880115E-6</v>
      </c>
      <c r="I6630">
        <v>135.9205</v>
      </c>
      <c r="J6630">
        <v>-162.85480000000001</v>
      </c>
      <c r="K6630">
        <v>1.089828</v>
      </c>
      <c r="L6630">
        <v>138.8571</v>
      </c>
      <c r="M6630">
        <v>0.99772909999999904</v>
      </c>
      <c r="N6630">
        <v>0</v>
      </c>
      <c r="O6630">
        <v>6.5470669999999995E-2</v>
      </c>
      <c r="P6630">
        <v>0.99975970000000003</v>
      </c>
      <c r="Q6630">
        <v>2.0041139999999999E-2</v>
      </c>
      <c r="R6630">
        <v>8.9052300000000001E-3</v>
      </c>
      <c r="S6630">
        <v>3.0102229999999999</v>
      </c>
      <c r="T6630">
        <v>-0.12660170000000001</v>
      </c>
      <c r="U6630">
        <v>-0.33886719999999998</v>
      </c>
      <c r="V6630">
        <v>5.7789279999999998E-2</v>
      </c>
      <c r="W6630">
        <v>3.384641E-2</v>
      </c>
      <c r="X6630">
        <v>0.9977549</v>
      </c>
      <c r="Y6630">
        <v>0.17648179999999999</v>
      </c>
      <c r="Z6630">
        <v>-6.4429040000000002E-3</v>
      </c>
      <c r="AA6630">
        <v>0.98428289999999996</v>
      </c>
      <c r="AB6630">
        <v>37</v>
      </c>
      <c r="AC6630">
        <v>25.530999999999999</v>
      </c>
      <c r="AD6630">
        <v>-1.0898298801149999</v>
      </c>
      <c r="AE6630">
        <v>-2.9365999999999901</v>
      </c>
      <c r="AF6630">
        <v>4.5937775689613902</v>
      </c>
      <c r="AG6630">
        <v>-1.0898298801149999</v>
      </c>
      <c r="AH6630">
        <v>25.238536455064601</v>
      </c>
      <c r="AI6630">
        <v>92.432645227715199</v>
      </c>
      <c r="AJ6630">
        <v>79.684270095694799</v>
      </c>
      <c r="AK6630">
        <v>25.676336263460801</v>
      </c>
    </row>
    <row r="6631" spans="1:37" x14ac:dyDescent="0.2">
      <c r="A6631" t="str">
        <f>"20200111153558944"</f>
        <v>20200111153558944</v>
      </c>
      <c r="B6631" t="str">
        <f>"1578728158931946"</f>
        <v>1578728158931946</v>
      </c>
      <c r="C6631" t="s">
        <v>37</v>
      </c>
      <c r="D6631">
        <v>4.7384899999999996</v>
      </c>
      <c r="E6631">
        <v>0.54728840000000001</v>
      </c>
      <c r="F6631" t="s">
        <v>39</v>
      </c>
      <c r="G6631">
        <v>-137.80430000000001</v>
      </c>
      <c r="H6631" s="1">
        <v>-1.7321769999999999E-6</v>
      </c>
      <c r="I6631">
        <v>135.86199999999999</v>
      </c>
      <c r="J6631">
        <v>-162.47880000000001</v>
      </c>
      <c r="K6631">
        <v>1.0902620000000001</v>
      </c>
      <c r="L6631">
        <v>138.8734</v>
      </c>
      <c r="M6631">
        <v>0.99845260000000002</v>
      </c>
      <c r="N6631">
        <v>0</v>
      </c>
      <c r="O6631">
        <v>5.333599E-2</v>
      </c>
      <c r="P6631">
        <v>0.99983409999999995</v>
      </c>
      <c r="Q6631">
        <v>1.8211169999999999E-2</v>
      </c>
      <c r="R6631">
        <v>3.7381680000000002E-4</v>
      </c>
      <c r="S6631">
        <v>3.006561</v>
      </c>
      <c r="T6631">
        <v>-0.13080120000000001</v>
      </c>
      <c r="U6631">
        <v>-0.35946659999999903</v>
      </c>
      <c r="V6631">
        <v>5.4074869999999997E-2</v>
      </c>
      <c r="W6631">
        <v>3.2114530000000002E-2</v>
      </c>
      <c r="X6631">
        <v>0.99802039999999903</v>
      </c>
      <c r="Y6631">
        <v>0.171301799999999</v>
      </c>
      <c r="Z6631">
        <v>-6.023685E-3</v>
      </c>
      <c r="AA6631">
        <v>0.98520019999999997</v>
      </c>
      <c r="AB6631">
        <v>37</v>
      </c>
      <c r="AC6631">
        <v>24.674499999999899</v>
      </c>
      <c r="AD6631">
        <v>-1.0902637321769999</v>
      </c>
      <c r="AE6631">
        <v>-3.0114000000000001</v>
      </c>
      <c r="AF6631">
        <v>4.3150135288023499</v>
      </c>
      <c r="AG6631">
        <v>-1.0902637321769999</v>
      </c>
      <c r="AH6631">
        <v>24.431734096847698</v>
      </c>
      <c r="AI6631">
        <v>92.516231645018394</v>
      </c>
      <c r="AJ6631">
        <v>79.983989710350102</v>
      </c>
      <c r="AK6631">
        <v>24.8338005093566</v>
      </c>
    </row>
    <row r="6632" spans="1:37" x14ac:dyDescent="0.2">
      <c r="A6632" t="str">
        <f>"20200111153558967"</f>
        <v>20200111153558967</v>
      </c>
      <c r="B6632" t="str">
        <f>"1578728158962203"</f>
        <v>1578728158962203</v>
      </c>
      <c r="C6632" t="s">
        <v>37</v>
      </c>
      <c r="D6632">
        <v>4.6701350000000001</v>
      </c>
      <c r="E6632">
        <v>0.54606560000000004</v>
      </c>
      <c r="F6632" t="s">
        <v>39</v>
      </c>
      <c r="G6632">
        <v>-138.42230000000001</v>
      </c>
      <c r="H6632" s="1">
        <v>-1.5236830000000001E-6</v>
      </c>
      <c r="I6632">
        <v>135.8552</v>
      </c>
      <c r="J6632">
        <v>-162.1027</v>
      </c>
      <c r="K6632">
        <v>1.090705</v>
      </c>
      <c r="L6632">
        <v>138.88509999999999</v>
      </c>
      <c r="M6632">
        <v>0.99900990000000001</v>
      </c>
      <c r="N6632">
        <v>0</v>
      </c>
      <c r="O6632">
        <v>4.164706E-2</v>
      </c>
      <c r="P6632">
        <v>0.99982209999999905</v>
      </c>
      <c r="Q6632">
        <v>1.739709E-2</v>
      </c>
      <c r="R6632">
        <v>-7.3009449999999997E-3</v>
      </c>
      <c r="S6632">
        <v>3.0031129999999999</v>
      </c>
      <c r="T6632">
        <v>-0.13610369999999999</v>
      </c>
      <c r="U6632">
        <v>-0.37676999999999999</v>
      </c>
      <c r="V6632">
        <v>4.9992349999999998E-2</v>
      </c>
      <c r="W6632">
        <v>3.1407740000000003E-2</v>
      </c>
      <c r="X6632">
        <v>0.99825560000000002</v>
      </c>
      <c r="Y6632">
        <v>0.16549449999999999</v>
      </c>
      <c r="Z6632">
        <v>-5.6138459999999996E-3</v>
      </c>
      <c r="AA6632">
        <v>0.98619469999999998</v>
      </c>
      <c r="AB6632">
        <v>37</v>
      </c>
      <c r="AC6632">
        <v>23.680399999999899</v>
      </c>
      <c r="AD6632">
        <v>-1.090706523683</v>
      </c>
      <c r="AE6632">
        <v>-3.0298999999999898</v>
      </c>
      <c r="AF6632">
        <v>4.0052501459400798</v>
      </c>
      <c r="AG6632">
        <v>-1.090706523683</v>
      </c>
      <c r="AH6632">
        <v>23.484628094551599</v>
      </c>
      <c r="AI6632">
        <v>92.621306194068794</v>
      </c>
      <c r="AJ6632">
        <v>80.321455993405806</v>
      </c>
      <c r="AK6632">
        <v>23.848677661282601</v>
      </c>
    </row>
    <row r="6633" spans="1:37" x14ac:dyDescent="0.2">
      <c r="A6633" t="str">
        <f>"20200111153558989"</f>
        <v>20200111153558989</v>
      </c>
      <c r="B6633" t="str">
        <f>"1578728158982697"</f>
        <v>1578728158982697</v>
      </c>
      <c r="C6633" t="s">
        <v>37</v>
      </c>
      <c r="D6633">
        <v>4.6575569999999997</v>
      </c>
      <c r="E6633">
        <v>0.5309374</v>
      </c>
      <c r="F6633" t="s">
        <v>39</v>
      </c>
      <c r="G6633">
        <v>-138.8013</v>
      </c>
      <c r="H6633" s="1">
        <v>-1.3952349999999999E-6</v>
      </c>
      <c r="I6633">
        <v>135.85319999999999</v>
      </c>
      <c r="J6633">
        <v>-161.7192</v>
      </c>
      <c r="K6633">
        <v>1.091189</v>
      </c>
      <c r="L6633">
        <v>138.89279999999999</v>
      </c>
      <c r="M6633">
        <v>0.99942260000000005</v>
      </c>
      <c r="N6633">
        <v>0</v>
      </c>
      <c r="O6633">
        <v>3.0207629999999999E-2</v>
      </c>
      <c r="P6633">
        <v>0.99973539999999905</v>
      </c>
      <c r="Q6633">
        <v>1.7658920000000002E-2</v>
      </c>
      <c r="R6633">
        <v>-1.474905E-2</v>
      </c>
      <c r="S6633">
        <v>3.0001220000000002</v>
      </c>
      <c r="T6633">
        <v>-0.14043120000000001</v>
      </c>
      <c r="U6633">
        <v>-0.39036559999999998</v>
      </c>
      <c r="V6633">
        <v>4.597093E-2</v>
      </c>
      <c r="W6633">
        <v>3.1769949999999998E-2</v>
      </c>
      <c r="X6633">
        <v>0.99843749999999998</v>
      </c>
      <c r="Y6633">
        <v>0.15872510000000001</v>
      </c>
      <c r="Z6633">
        <v>-5.1052299999999997E-3</v>
      </c>
      <c r="AA6633">
        <v>0.98730960000000001</v>
      </c>
      <c r="AB6633">
        <v>37</v>
      </c>
      <c r="AC6633">
        <v>22.917899999999999</v>
      </c>
      <c r="AD6633">
        <v>-1.0911903952349999</v>
      </c>
      <c r="AE6633">
        <v>-3.0396000000000001</v>
      </c>
      <c r="AF6633">
        <v>3.7222991653145798</v>
      </c>
      <c r="AG6633">
        <v>-1.0911903952349999</v>
      </c>
      <c r="AH6633">
        <v>22.764892683761101</v>
      </c>
      <c r="AI6633">
        <v>92.7083488161079</v>
      </c>
      <c r="AJ6633">
        <v>80.713714490664898</v>
      </c>
      <c r="AK6633">
        <v>23.092997779801401</v>
      </c>
    </row>
    <row r="6634" spans="1:37" x14ac:dyDescent="0.2">
      <c r="A6634" t="str">
        <f>"20200111153559011"</f>
        <v>20200111153559011</v>
      </c>
      <c r="B6634" t="str">
        <f>"1578728159002217"</f>
        <v>1578728159002217</v>
      </c>
      <c r="C6634" t="s">
        <v>37</v>
      </c>
      <c r="D6634">
        <v>4.7026620000000001</v>
      </c>
      <c r="E6634">
        <v>0.53107340000000003</v>
      </c>
      <c r="F6634" t="s">
        <v>39</v>
      </c>
      <c r="G6634">
        <v>-118.5455</v>
      </c>
      <c r="H6634" s="1">
        <v>-1.79243E-6</v>
      </c>
      <c r="I6634">
        <v>134.6876</v>
      </c>
      <c r="J6634">
        <v>-161.34889999999999</v>
      </c>
      <c r="K6634">
        <v>1.0916790000000001</v>
      </c>
      <c r="L6634">
        <v>138.89609999999999</v>
      </c>
      <c r="M6634">
        <v>0.99968769999999996</v>
      </c>
      <c r="N6634">
        <v>0</v>
      </c>
      <c r="O6634">
        <v>1.9625719999999999E-2</v>
      </c>
      <c r="P6634">
        <v>0.99961739999999999</v>
      </c>
      <c r="Q6634">
        <v>1.8148919999999999E-2</v>
      </c>
      <c r="R6634">
        <v>-2.0877969999999999E-2</v>
      </c>
      <c r="S6634">
        <v>2.9978180000000001</v>
      </c>
      <c r="T6634">
        <v>-7.576811E-2</v>
      </c>
      <c r="U6634">
        <v>-0.29199219999999998</v>
      </c>
      <c r="V6634">
        <v>4.1498210000000001E-2</v>
      </c>
      <c r="W6634">
        <v>3.2355679999999998E-2</v>
      </c>
      <c r="X6634">
        <v>0.99861449999999996</v>
      </c>
      <c r="Y6634">
        <v>0.1164167</v>
      </c>
      <c r="Z6634">
        <v>-1.9624099999999999E-3</v>
      </c>
      <c r="AA6634">
        <v>0.99319849999999998</v>
      </c>
      <c r="AB6634">
        <v>37</v>
      </c>
      <c r="AC6634">
        <v>42.803399999999897</v>
      </c>
      <c r="AD6634">
        <v>-1.0916807924299901</v>
      </c>
      <c r="AE6634">
        <v>-4.2084999999999804</v>
      </c>
      <c r="AF6634">
        <v>5.0445873320460102</v>
      </c>
      <c r="AG6634">
        <v>-1.0916807924299901</v>
      </c>
      <c r="AH6634">
        <v>42.685049255871697</v>
      </c>
      <c r="AI6634">
        <v>91.454913817467798</v>
      </c>
      <c r="AJ6634">
        <v>83.259956343401001</v>
      </c>
      <c r="AK6634">
        <v>42.995965604686504</v>
      </c>
    </row>
    <row r="6635" spans="1:37" x14ac:dyDescent="0.2">
      <c r="A6635" t="str">
        <f>"20200111153559033"</f>
        <v>20200111153559033</v>
      </c>
      <c r="B6635" t="str">
        <f>"1578728159022715"</f>
        <v>1578728159022715</v>
      </c>
      <c r="C6635" t="s">
        <v>37</v>
      </c>
      <c r="D6635">
        <v>4.7056969999999998</v>
      </c>
      <c r="E6635">
        <v>0.53043319999999905</v>
      </c>
      <c r="F6635" t="s">
        <v>39</v>
      </c>
      <c r="G6635">
        <v>-118.3908</v>
      </c>
      <c r="H6635" s="1">
        <v>-1.9142989999999998E-6</v>
      </c>
      <c r="I6635">
        <v>134.42740000000001</v>
      </c>
      <c r="J6635">
        <v>-160.98269999999999</v>
      </c>
      <c r="K6635">
        <v>1.0921590000000001</v>
      </c>
      <c r="L6635">
        <v>138.89570000000001</v>
      </c>
      <c r="M6635">
        <v>0.99983670000000002</v>
      </c>
      <c r="N6635">
        <v>0</v>
      </c>
      <c r="O6635">
        <v>9.5991510000000002E-3</v>
      </c>
      <c r="P6635">
        <v>0.99948349999999897</v>
      </c>
      <c r="Q6635">
        <v>1.8829780000000001E-2</v>
      </c>
      <c r="R6635">
        <v>-2.6040859999999999E-2</v>
      </c>
      <c r="S6635">
        <v>2.9960330000000002</v>
      </c>
      <c r="T6635">
        <v>-7.6137189999999993E-2</v>
      </c>
      <c r="U6635">
        <v>-0.31166079999999902</v>
      </c>
      <c r="V6635">
        <v>3.6618909999999998E-2</v>
      </c>
      <c r="W6635">
        <v>3.307438E-2</v>
      </c>
      <c r="X6635">
        <v>0.99878180000000005</v>
      </c>
      <c r="Y6635">
        <v>0.112971</v>
      </c>
      <c r="Z6635">
        <v>-1.674657E-3</v>
      </c>
      <c r="AA6635">
        <v>0.99359690000000001</v>
      </c>
      <c r="AB6635">
        <v>37</v>
      </c>
      <c r="AC6635">
        <v>42.591900000000003</v>
      </c>
      <c r="AD6635">
        <v>-1.0921609142990001</v>
      </c>
      <c r="AE6635">
        <v>-4.4682999999999904</v>
      </c>
      <c r="AF6635">
        <v>4.8738182732707296</v>
      </c>
      <c r="AG6635">
        <v>-1.0921609142990001</v>
      </c>
      <c r="AH6635">
        <v>42.519386641131398</v>
      </c>
      <c r="AI6635">
        <v>91.461818627747803</v>
      </c>
      <c r="AJ6635">
        <v>83.460965313643996</v>
      </c>
      <c r="AK6635">
        <v>42.811740917201803</v>
      </c>
    </row>
    <row r="6636" spans="1:37" x14ac:dyDescent="0.2">
      <c r="A6636" t="str">
        <f>"20200111153559056"</f>
        <v>20200111153559056</v>
      </c>
      <c r="B6636" t="str">
        <f>"1578728159052008"</f>
        <v>1578728159052008</v>
      </c>
      <c r="C6636" t="s">
        <v>37</v>
      </c>
      <c r="D6636">
        <v>4.7508989999999898</v>
      </c>
      <c r="E6636">
        <v>0.5302095</v>
      </c>
      <c r="F6636" t="s">
        <v>39</v>
      </c>
      <c r="G6636">
        <v>-118.2428</v>
      </c>
      <c r="H6636" s="1">
        <v>-1.9993430000000002E-6</v>
      </c>
      <c r="I6636">
        <v>134.2971</v>
      </c>
      <c r="J6636">
        <v>-160.595</v>
      </c>
      <c r="K6636">
        <v>1.0926689999999999</v>
      </c>
      <c r="L6636">
        <v>138.89160000000001</v>
      </c>
      <c r="M6636">
        <v>0.99988650000000001</v>
      </c>
      <c r="N6636">
        <v>0</v>
      </c>
      <c r="O6636">
        <v>-5.2602740000000001E-4</v>
      </c>
      <c r="P6636">
        <v>0.99931399999999904</v>
      </c>
      <c r="Q6636">
        <v>1.89404E-2</v>
      </c>
      <c r="R6636">
        <v>-3.1825510000000001E-2</v>
      </c>
      <c r="S6636">
        <v>2.9945979999999999</v>
      </c>
      <c r="T6636">
        <v>-7.6522950000000006E-2</v>
      </c>
      <c r="U6636">
        <v>-0.32220460000000001</v>
      </c>
      <c r="V6636">
        <v>3.2238889999999999E-2</v>
      </c>
      <c r="W6636">
        <v>3.309343E-2</v>
      </c>
      <c r="X6636">
        <v>0.99893220000000005</v>
      </c>
      <c r="Y6636">
        <v>0.1064206</v>
      </c>
      <c r="Z6636">
        <v>-1.3421829999999901E-3</v>
      </c>
      <c r="AA6636">
        <v>0.99432030000000005</v>
      </c>
      <c r="AB6636">
        <v>37</v>
      </c>
      <c r="AC6636">
        <v>42.352200000000003</v>
      </c>
      <c r="AD6636">
        <v>-1.0926709993429999</v>
      </c>
      <c r="AE6636">
        <v>-4.5945000000000098</v>
      </c>
      <c r="AF6636">
        <v>4.5692124341485796</v>
      </c>
      <c r="AG6636">
        <v>-1.0926709993429999</v>
      </c>
      <c r="AH6636">
        <v>42.326765377396796</v>
      </c>
      <c r="AI6636">
        <v>91.470231625011706</v>
      </c>
      <c r="AJ6636">
        <v>83.838728335902303</v>
      </c>
      <c r="AK6636">
        <v>42.586696273535601</v>
      </c>
    </row>
    <row r="6637" spans="1:37" x14ac:dyDescent="0.2">
      <c r="A6637" t="str">
        <f>"20200111153559079"</f>
        <v>20200111153559079</v>
      </c>
      <c r="B6637" t="str">
        <f>"1578728159072489"</f>
        <v>1578728159072489</v>
      </c>
      <c r="C6637" t="s">
        <v>37</v>
      </c>
      <c r="D6637">
        <v>4.7750839999999997</v>
      </c>
      <c r="E6637">
        <v>0.52978069999999999</v>
      </c>
      <c r="F6637" t="s">
        <v>39</v>
      </c>
      <c r="G6637">
        <v>-119.0865</v>
      </c>
      <c r="H6637" s="1">
        <v>-1.7365569999999999E-6</v>
      </c>
      <c r="I6637">
        <v>134.20570000000001</v>
      </c>
      <c r="J6637">
        <v>-160.22139999999999</v>
      </c>
      <c r="K6637">
        <v>1.0931739999999901</v>
      </c>
      <c r="L6637">
        <v>138.88399999999999</v>
      </c>
      <c r="M6637">
        <v>0.99984430000000002</v>
      </c>
      <c r="N6637">
        <v>0</v>
      </c>
      <c r="O6637">
        <v>-9.7710049999999993E-3</v>
      </c>
      <c r="P6637">
        <v>0.99907990000000002</v>
      </c>
      <c r="Q6637">
        <v>2.0524919999999999E-2</v>
      </c>
      <c r="R6637">
        <v>-3.7662290000000001E-2</v>
      </c>
      <c r="S6637">
        <v>2.9928279999999998</v>
      </c>
      <c r="T6637">
        <v>-7.8783149999999996E-2</v>
      </c>
      <c r="U6637">
        <v>-0.337860099999999</v>
      </c>
      <c r="V6637">
        <v>2.8828119999999999E-2</v>
      </c>
      <c r="W6637">
        <v>3.4460230000000001E-2</v>
      </c>
      <c r="X6637">
        <v>0.99899020000000005</v>
      </c>
      <c r="Y6637">
        <v>0.1024299</v>
      </c>
      <c r="Z6637">
        <v>-1.0873409999999999E-3</v>
      </c>
      <c r="AA6637">
        <v>0.99473969999999901</v>
      </c>
      <c r="AB6637">
        <v>37</v>
      </c>
      <c r="AC6637">
        <v>41.134899999999902</v>
      </c>
      <c r="AD6637">
        <v>-1.0931757365569901</v>
      </c>
      <c r="AE6637">
        <v>-4.6782999999999699</v>
      </c>
      <c r="AF6637">
        <v>4.27312455089272</v>
      </c>
      <c r="AG6637">
        <v>-1.0931757365569901</v>
      </c>
      <c r="AH6637">
        <v>41.149961438825699</v>
      </c>
      <c r="AI6637">
        <v>91.513606927465801</v>
      </c>
      <c r="AJ6637">
        <v>84.071498235719204</v>
      </c>
      <c r="AK6637">
        <v>41.385673282372501</v>
      </c>
    </row>
    <row r="6638" spans="1:37" x14ac:dyDescent="0.2">
      <c r="A6638" t="str">
        <f>"20200111153559100"</f>
        <v>20200111153559100</v>
      </c>
      <c r="B6638" t="str">
        <f>"1578728159092009"</f>
        <v>1578728159092009</v>
      </c>
      <c r="C6638" t="s">
        <v>37</v>
      </c>
      <c r="D6638">
        <v>4.7705539999999997</v>
      </c>
      <c r="E6638">
        <v>0.52933719999999995</v>
      </c>
      <c r="F6638" t="s">
        <v>39</v>
      </c>
      <c r="G6638">
        <v>-116.66630000000001</v>
      </c>
      <c r="H6638" s="1">
        <v>-2.6776380000000002E-6</v>
      </c>
      <c r="I6638">
        <v>133.76419999999999</v>
      </c>
      <c r="J6638">
        <v>-159.85470000000001</v>
      </c>
      <c r="K6638">
        <v>1.0936939999999999</v>
      </c>
      <c r="L6638">
        <v>138.8734</v>
      </c>
      <c r="M6638">
        <v>0.99973060000000002</v>
      </c>
      <c r="N6638">
        <v>0</v>
      </c>
      <c r="O6638">
        <v>-1.8302249999999999E-2</v>
      </c>
      <c r="P6638">
        <v>0.9987741</v>
      </c>
      <c r="Q6638">
        <v>2.3069490000000002E-2</v>
      </c>
      <c r="R6638">
        <v>-4.3794099999999898E-2</v>
      </c>
      <c r="S6638">
        <v>2.9910580000000002</v>
      </c>
      <c r="T6638">
        <v>-7.5071449999999998E-2</v>
      </c>
      <c r="U6638">
        <v>-0.35159299999999999</v>
      </c>
      <c r="V6638">
        <v>2.6444200000000001E-2</v>
      </c>
      <c r="W6638">
        <v>3.6672780000000002E-2</v>
      </c>
      <c r="X6638">
        <v>0.99897739999999902</v>
      </c>
      <c r="Y6638">
        <v>9.8520819999999995E-2</v>
      </c>
      <c r="Z6638">
        <v>-7.7431609999999997E-4</v>
      </c>
      <c r="AA6638">
        <v>0.99513469999999904</v>
      </c>
      <c r="AB6638">
        <v>37</v>
      </c>
      <c r="AC6638">
        <v>43.188400000000001</v>
      </c>
      <c r="AD6638">
        <v>-1.0936966776379999</v>
      </c>
      <c r="AE6638">
        <v>-5.1092000000000102</v>
      </c>
      <c r="AF6638">
        <v>4.3150895356760302</v>
      </c>
      <c r="AG6638">
        <v>-1.0936966776379999</v>
      </c>
      <c r="AH6638">
        <v>43.2473322216116</v>
      </c>
      <c r="AI6638">
        <v>91.441509294945106</v>
      </c>
      <c r="AJ6638">
        <v>84.302056981200806</v>
      </c>
      <c r="AK6638">
        <v>43.4758313826202</v>
      </c>
    </row>
    <row r="6639" spans="1:37" x14ac:dyDescent="0.2">
      <c r="A6639" t="str">
        <f>"20200111153559124"</f>
        <v>20200111153559124</v>
      </c>
      <c r="B6639" t="str">
        <f>"1578728159112507"</f>
        <v>1578728159112507</v>
      </c>
      <c r="C6639" t="s">
        <v>37</v>
      </c>
      <c r="D6639">
        <v>4.7755890000000001</v>
      </c>
      <c r="E6639">
        <v>0.52884370000000003</v>
      </c>
      <c r="F6639" t="s">
        <v>39</v>
      </c>
      <c r="G6639">
        <v>-111.66930000000001</v>
      </c>
      <c r="H6639" s="1">
        <v>-4.7346709999999996E-6</v>
      </c>
      <c r="I6639">
        <v>132.97229999999999</v>
      </c>
      <c r="J6639">
        <v>-159.46950000000001</v>
      </c>
      <c r="K6639">
        <v>1.094257</v>
      </c>
      <c r="L6639">
        <v>138.85919999999999</v>
      </c>
      <c r="M6639">
        <v>0.99954799999999999</v>
      </c>
      <c r="N6639">
        <v>0</v>
      </c>
      <c r="O6639">
        <v>-2.6728760000000001E-2</v>
      </c>
      <c r="P6639">
        <v>0.99839040000000001</v>
      </c>
      <c r="Q6639">
        <v>2.6680659999999998E-2</v>
      </c>
      <c r="R6639">
        <v>-5.0048160000000001E-2</v>
      </c>
      <c r="S6639">
        <v>2.9891969999999999</v>
      </c>
      <c r="T6639">
        <v>-6.7847969999999994E-2</v>
      </c>
      <c r="U6639">
        <v>-0.3660736</v>
      </c>
      <c r="V6639">
        <v>2.4302339999999999E-2</v>
      </c>
      <c r="W6639">
        <v>3.9859520000000002E-2</v>
      </c>
      <c r="X6639">
        <v>0.99890970000000001</v>
      </c>
      <c r="Y6639">
        <v>9.4963599999999995E-2</v>
      </c>
      <c r="Z6639">
        <v>-4.6947690000000001E-4</v>
      </c>
      <c r="AA6639">
        <v>0.995480699999999</v>
      </c>
      <c r="AB6639">
        <v>37</v>
      </c>
      <c r="AC6639">
        <v>47.800199999999997</v>
      </c>
      <c r="AD6639">
        <v>-1.094261734671</v>
      </c>
      <c r="AE6639">
        <v>-5.88689999999999</v>
      </c>
      <c r="AF6639">
        <v>4.6046582091769803</v>
      </c>
      <c r="AG6639">
        <v>-1.094261734671</v>
      </c>
      <c r="AH6639">
        <v>47.915747621078097</v>
      </c>
      <c r="AI6639">
        <v>91.302250778219303</v>
      </c>
      <c r="AJ6639">
        <v>84.5107858326231</v>
      </c>
      <c r="AK6639">
        <v>48.148926842185702</v>
      </c>
    </row>
    <row r="6640" spans="1:37" x14ac:dyDescent="0.2">
      <c r="A6640" t="str">
        <f>"20200111153559145"</f>
        <v>20200111153559145</v>
      </c>
      <c r="B6640" t="str">
        <f>"1578728159141785"</f>
        <v>1578728159141785</v>
      </c>
      <c r="C6640" t="s">
        <v>37</v>
      </c>
      <c r="D6640">
        <v>4.8264940000000003</v>
      </c>
      <c r="E6640">
        <v>0.52833609999999998</v>
      </c>
      <c r="F6640" t="s">
        <v>39</v>
      </c>
      <c r="G6640">
        <v>-103.7393</v>
      </c>
      <c r="H6640" s="1">
        <v>-4.4790569999999999E-6</v>
      </c>
      <c r="I6640">
        <v>131.75899999999999</v>
      </c>
      <c r="J6640">
        <v>-159.1044</v>
      </c>
      <c r="K6640">
        <v>1.0947789999999999</v>
      </c>
      <c r="L6640">
        <v>138.8432</v>
      </c>
      <c r="M6640">
        <v>0.99932399999999999</v>
      </c>
      <c r="N6640">
        <v>0</v>
      </c>
      <c r="O6640">
        <v>-3.4287610000000003E-2</v>
      </c>
      <c r="P6640">
        <v>0.99801149999999905</v>
      </c>
      <c r="Q6640">
        <v>3.018299E-2</v>
      </c>
      <c r="R6640">
        <v>-5.533598E-2</v>
      </c>
      <c r="S6640">
        <v>2.9873349999999999</v>
      </c>
      <c r="T6640">
        <v>-5.865633E-2</v>
      </c>
      <c r="U6640">
        <v>-0.38059999999999999</v>
      </c>
      <c r="V6640">
        <v>2.2056900000000001E-2</v>
      </c>
      <c r="W6640">
        <v>4.2949639999999997E-2</v>
      </c>
      <c r="X6640">
        <v>0.99883369999999905</v>
      </c>
      <c r="Y6640">
        <v>9.2281940000000007E-2</v>
      </c>
      <c r="Z6640">
        <v>-2.3218579999999999E-4</v>
      </c>
      <c r="AA6640">
        <v>0.99573289999999903</v>
      </c>
      <c r="AB6640">
        <v>37</v>
      </c>
      <c r="AC6640">
        <v>55.365099999999998</v>
      </c>
      <c r="AD6640">
        <v>-1.0947834790569999</v>
      </c>
      <c r="AE6640">
        <v>-7.0842000000000098</v>
      </c>
      <c r="AF6640">
        <v>5.1795372566949602</v>
      </c>
      <c r="AG6640">
        <v>-1.0947834790569999</v>
      </c>
      <c r="AH6640">
        <v>55.554089519066103</v>
      </c>
      <c r="AI6640">
        <v>91.124086389256703</v>
      </c>
      <c r="AJ6640">
        <v>84.673475962963593</v>
      </c>
      <c r="AK6640">
        <v>55.805761524702099</v>
      </c>
    </row>
    <row r="6641" spans="1:37" x14ac:dyDescent="0.2">
      <c r="A6641" t="str">
        <f>"20200111153559168"</f>
        <v>20200111153559168</v>
      </c>
      <c r="B6641" t="str">
        <f>"1578728159161812"</f>
        <v>1578728159161812</v>
      </c>
      <c r="C6641" t="s">
        <v>37</v>
      </c>
      <c r="D6641">
        <v>4.8509500000000001</v>
      </c>
      <c r="E6641">
        <v>0.52403329999999904</v>
      </c>
      <c r="F6641" t="s">
        <v>39</v>
      </c>
      <c r="G6641">
        <v>-100.1272</v>
      </c>
      <c r="H6641" s="1">
        <v>-6.1586230000000002E-6</v>
      </c>
      <c r="I6641">
        <v>131.09690000000001</v>
      </c>
      <c r="J6641">
        <v>-158.71119999999999</v>
      </c>
      <c r="K6641">
        <v>1.095305</v>
      </c>
      <c r="L6641">
        <v>138.82329999999999</v>
      </c>
      <c r="M6641">
        <v>0.99903839999999999</v>
      </c>
      <c r="N6641">
        <v>0</v>
      </c>
      <c r="O6641">
        <v>-4.1964429999999997E-2</v>
      </c>
      <c r="P6641">
        <v>0.99756540000000005</v>
      </c>
      <c r="Q6641">
        <v>3.356377E-2</v>
      </c>
      <c r="R6641">
        <v>-6.1129549999999998E-2</v>
      </c>
      <c r="S6641">
        <v>2.985916</v>
      </c>
      <c r="T6641">
        <v>-5.5427070000000002E-2</v>
      </c>
      <c r="U6641">
        <v>-0.39218140000000001</v>
      </c>
      <c r="V6641">
        <v>2.0186989999999998E-2</v>
      </c>
      <c r="W6641">
        <v>4.5835000000000001E-2</v>
      </c>
      <c r="X6641">
        <v>0.99874499999999999</v>
      </c>
      <c r="Y6641">
        <v>8.849224E-2</v>
      </c>
      <c r="Z6641" s="1">
        <v>-4.2809699999999998E-5</v>
      </c>
      <c r="AA6641">
        <v>0.99607690000000004</v>
      </c>
      <c r="AB6641">
        <v>37</v>
      </c>
      <c r="AC6641">
        <v>58.583999999999897</v>
      </c>
      <c r="AD6641">
        <v>-1.095311158623</v>
      </c>
      <c r="AE6641">
        <v>-7.7263999999999804</v>
      </c>
      <c r="AF6641">
        <v>5.2591434028317297</v>
      </c>
      <c r="AG6641">
        <v>-1.095311158623</v>
      </c>
      <c r="AH6641">
        <v>58.836430437096297</v>
      </c>
      <c r="AI6641">
        <v>91.062272621509905</v>
      </c>
      <c r="AJ6641">
        <v>84.892143731229098</v>
      </c>
      <c r="AK6641">
        <v>59.081163177827001</v>
      </c>
    </row>
    <row r="6642" spans="1:37" x14ac:dyDescent="0.2">
      <c r="A6642" t="str">
        <f>"20200111153559190"</f>
        <v>20200111153559190</v>
      </c>
      <c r="B6642" t="str">
        <f>"1578728159182307"</f>
        <v>1578728159182307</v>
      </c>
      <c r="C6642" t="s">
        <v>37</v>
      </c>
      <c r="D6642">
        <v>4.8747389999999999</v>
      </c>
      <c r="E6642">
        <v>0.52376699999999998</v>
      </c>
      <c r="F6642" t="s">
        <v>39</v>
      </c>
      <c r="G6642">
        <v>-126.8314</v>
      </c>
      <c r="H6642" s="1">
        <v>-2.3405479999999999E-6</v>
      </c>
      <c r="I6642">
        <v>134.81989999999999</v>
      </c>
      <c r="J6642">
        <v>-158.34530000000001</v>
      </c>
      <c r="K6642">
        <v>1.0957729999999899</v>
      </c>
      <c r="L6642">
        <v>138.80260000000001</v>
      </c>
      <c r="M6642">
        <v>0.99874209999999997</v>
      </c>
      <c r="N6642">
        <v>0</v>
      </c>
      <c r="O6642">
        <v>-4.8653259999999997E-2</v>
      </c>
      <c r="P6642">
        <v>0.99717979999999995</v>
      </c>
      <c r="Q6642">
        <v>3.5760090000000001E-2</v>
      </c>
      <c r="R6642">
        <v>-6.5985070000000007E-2</v>
      </c>
      <c r="S6642">
        <v>2.987778</v>
      </c>
      <c r="T6642">
        <v>-0.1026521</v>
      </c>
      <c r="U6642">
        <v>-0.37519839999999999</v>
      </c>
      <c r="V6642">
        <v>1.8340370000000002E-2</v>
      </c>
      <c r="W6642">
        <v>4.7522109999999999E-2</v>
      </c>
      <c r="X6642">
        <v>0.99870179999999997</v>
      </c>
      <c r="Y6642">
        <v>7.6157909999999995E-2</v>
      </c>
      <c r="Z6642">
        <v>3.60143E-4</v>
      </c>
      <c r="AA6642">
        <v>0.99709570000000003</v>
      </c>
      <c r="AB6642">
        <v>37</v>
      </c>
      <c r="AC6642">
        <v>31.5139</v>
      </c>
      <c r="AD6642">
        <v>-1.095775340548</v>
      </c>
      <c r="AE6642">
        <v>-3.9827000000000199</v>
      </c>
      <c r="AF6642">
        <v>2.4417102692759101</v>
      </c>
      <c r="AG6642">
        <v>-1.095775340548</v>
      </c>
      <c r="AH6642">
        <v>31.632715282742598</v>
      </c>
      <c r="AI6642">
        <v>91.978085772632298</v>
      </c>
      <c r="AJ6642">
        <v>85.586125604737802</v>
      </c>
      <c r="AK6642">
        <v>31.745729615100899</v>
      </c>
    </row>
    <row r="6643" spans="1:37" x14ac:dyDescent="0.2">
      <c r="A6643" t="str">
        <f>"20200111153559212"</f>
        <v>20200111153559212</v>
      </c>
      <c r="B6643" t="str">
        <f>"1578728159201828"</f>
        <v>1578728159201828</v>
      </c>
      <c r="C6643" t="s">
        <v>37</v>
      </c>
      <c r="D6643">
        <v>4.8673529999999996</v>
      </c>
      <c r="E6643">
        <v>0.51943909999999904</v>
      </c>
      <c r="F6643" t="s">
        <v>39</v>
      </c>
      <c r="G6643">
        <v>-123.8939</v>
      </c>
      <c r="H6643" s="1">
        <v>-3.5389620000000001E-6</v>
      </c>
      <c r="I6643">
        <v>134.3331</v>
      </c>
      <c r="J6643">
        <v>-157.9744</v>
      </c>
      <c r="K6643">
        <v>1.096231</v>
      </c>
      <c r="L6643">
        <v>138.77940000000001</v>
      </c>
      <c r="M6643">
        <v>0.99842149999999996</v>
      </c>
      <c r="N6643">
        <v>0</v>
      </c>
      <c r="O6643">
        <v>-5.4973029999999999E-2</v>
      </c>
      <c r="P6643">
        <v>0.99682680000000001</v>
      </c>
      <c r="Q6643">
        <v>3.6816179999999997E-2</v>
      </c>
      <c r="R6643">
        <v>-7.0579039999999996E-2</v>
      </c>
      <c r="S6643">
        <v>2.986237</v>
      </c>
      <c r="T6643">
        <v>-9.4981309999999999E-2</v>
      </c>
      <c r="U6643">
        <v>-0.38740540000000001</v>
      </c>
      <c r="V6643">
        <v>1.657347E-2</v>
      </c>
      <c r="W6643">
        <v>4.802269E-2</v>
      </c>
      <c r="X6643">
        <v>0.9987087</v>
      </c>
      <c r="Y6643">
        <v>7.3928419999999995E-2</v>
      </c>
      <c r="Z6643">
        <v>5.6817670000000001E-4</v>
      </c>
      <c r="AA6643">
        <v>0.99726340000000002</v>
      </c>
      <c r="AB6643">
        <v>38</v>
      </c>
      <c r="AC6643">
        <v>34.080500000000001</v>
      </c>
      <c r="AD6643">
        <v>-1.0962345389619901</v>
      </c>
      <c r="AE6643">
        <v>-4.4462999999999999</v>
      </c>
      <c r="AF6643">
        <v>2.5633353553704801</v>
      </c>
      <c r="AG6643">
        <v>-1.0962345389619901</v>
      </c>
      <c r="AH6643">
        <v>34.238568576889698</v>
      </c>
      <c r="AI6643">
        <v>91.828728702310499</v>
      </c>
      <c r="AJ6643">
        <v>85.718430381664703</v>
      </c>
      <c r="AK6643">
        <v>34.351884904658199</v>
      </c>
    </row>
    <row r="6644" spans="1:37" x14ac:dyDescent="0.2">
      <c r="A6644" t="str">
        <f>"20200111153559238"</f>
        <v>20200111153559238</v>
      </c>
      <c r="B6644" t="str">
        <f>"1578728159232084"</f>
        <v>1578728159232084</v>
      </c>
      <c r="C6644" t="s">
        <v>37</v>
      </c>
      <c r="D6644">
        <v>4.8996909999999998</v>
      </c>
      <c r="E6644">
        <v>0.52029099999999995</v>
      </c>
      <c r="F6644" t="s">
        <v>39</v>
      </c>
      <c r="G6644">
        <v>-133.37970000000001</v>
      </c>
      <c r="H6644" s="1">
        <v>-3.50611E-6</v>
      </c>
      <c r="I6644">
        <v>135.7619</v>
      </c>
      <c r="J6644">
        <v>-157.5651</v>
      </c>
      <c r="K6644">
        <v>1.0967129999999901</v>
      </c>
      <c r="L6644">
        <v>138.7516</v>
      </c>
      <c r="M6644">
        <v>0.99805290000000002</v>
      </c>
      <c r="N6644">
        <v>0</v>
      </c>
      <c r="O6644">
        <v>-6.1428199999999898E-2</v>
      </c>
      <c r="P6644">
        <v>0.99651049999999997</v>
      </c>
      <c r="Q6644">
        <v>3.7436589999999999E-2</v>
      </c>
      <c r="R6644">
        <v>-7.4604309999999993E-2</v>
      </c>
      <c r="S6644">
        <v>2.98850999999999</v>
      </c>
      <c r="T6644">
        <v>-0.1332035</v>
      </c>
      <c r="U6644">
        <v>-0.36665340000000002</v>
      </c>
      <c r="V6644">
        <v>1.408499E-2</v>
      </c>
      <c r="W6644">
        <v>4.8013180000000003E-2</v>
      </c>
      <c r="X6644">
        <v>0.99874739999999995</v>
      </c>
      <c r="Y6644">
        <v>6.0570810000000003E-2</v>
      </c>
      <c r="Z6644">
        <v>1.3785469999999999E-3</v>
      </c>
      <c r="AA6644">
        <v>0.99816289999999996</v>
      </c>
      <c r="AB6644">
        <v>38</v>
      </c>
      <c r="AC6644">
        <v>24.185399999999898</v>
      </c>
      <c r="AD6644">
        <v>-1.0967165061099999</v>
      </c>
      <c r="AE6644">
        <v>-2.9896999999999898</v>
      </c>
      <c r="AF6644">
        <v>1.49527238736979</v>
      </c>
      <c r="AG6644">
        <v>-1.0967165061099999</v>
      </c>
      <c r="AH6644">
        <v>24.274219946034702</v>
      </c>
      <c r="AI6644">
        <v>92.581993863293505</v>
      </c>
      <c r="AJ6644">
        <v>86.475080041425997</v>
      </c>
      <c r="AK6644">
        <v>24.344945688903699</v>
      </c>
    </row>
    <row r="6645" spans="1:37" x14ac:dyDescent="0.2">
      <c r="A6645" t="str">
        <f>"20200111153559257"</f>
        <v>20200111153559257</v>
      </c>
      <c r="B6645" t="str">
        <f>"1578728159252111"</f>
        <v>1578728159252111</v>
      </c>
      <c r="C6645" t="s">
        <v>37</v>
      </c>
      <c r="D6645">
        <v>4.9029680000000004</v>
      </c>
      <c r="E6645">
        <v>0.52030299999999996</v>
      </c>
      <c r="F6645" t="s">
        <v>39</v>
      </c>
      <c r="G6645">
        <v>-133.5283</v>
      </c>
      <c r="H6645" s="1">
        <v>-3.4627839999999899E-6</v>
      </c>
      <c r="I6645">
        <v>135.64660000000001</v>
      </c>
      <c r="J6645">
        <v>-157.2011</v>
      </c>
      <c r="K6645">
        <v>1.0971309999999901</v>
      </c>
      <c r="L6645">
        <v>138.7252</v>
      </c>
      <c r="M6645">
        <v>0.99772070000000002</v>
      </c>
      <c r="N6645">
        <v>0</v>
      </c>
      <c r="O6645">
        <v>-6.6704269999999996E-2</v>
      </c>
      <c r="P6645">
        <v>0.99621419999999905</v>
      </c>
      <c r="Q6645">
        <v>3.784444E-2</v>
      </c>
      <c r="R6645">
        <v>-7.8266580000000002E-2</v>
      </c>
      <c r="S6645">
        <v>2.9867249999999999</v>
      </c>
      <c r="T6645">
        <v>-0.1362739</v>
      </c>
      <c r="U6645">
        <v>-0.38581850000000001</v>
      </c>
      <c r="V6645">
        <v>1.241777E-2</v>
      </c>
      <c r="W6645">
        <v>4.7839319999999998E-2</v>
      </c>
      <c r="X6645">
        <v>0.9987779</v>
      </c>
      <c r="Y6645">
        <v>6.1674949999999999E-2</v>
      </c>
      <c r="Z6645">
        <v>1.6240969999999999E-3</v>
      </c>
      <c r="AA6645">
        <v>0.99809499999999995</v>
      </c>
      <c r="AB6645">
        <v>38</v>
      </c>
      <c r="AC6645">
        <v>23.672799999999899</v>
      </c>
      <c r="AD6645">
        <v>-1.0971344627839901</v>
      </c>
      <c r="AE6645">
        <v>-3.07859999999999</v>
      </c>
      <c r="AF6645">
        <v>1.48943767600374</v>
      </c>
      <c r="AG6645">
        <v>-1.0971344627839901</v>
      </c>
      <c r="AH6645">
        <v>23.7752184248506</v>
      </c>
      <c r="AI6645">
        <v>92.636942383621204</v>
      </c>
      <c r="AJ6645">
        <v>86.415296236924206</v>
      </c>
      <c r="AK6645">
        <v>23.8470782229078</v>
      </c>
    </row>
    <row r="6646" spans="1:37" x14ac:dyDescent="0.2">
      <c r="A6646" t="str">
        <f>"20200111153559280"</f>
        <v>20200111153559280</v>
      </c>
      <c r="B6646" t="str">
        <f>"1578728159272607"</f>
        <v>1578728159272607</v>
      </c>
      <c r="C6646" t="s">
        <v>37</v>
      </c>
      <c r="D6646">
        <v>4.9275609999999999</v>
      </c>
      <c r="E6646">
        <v>0.51986999999999906</v>
      </c>
      <c r="F6646" t="s">
        <v>39</v>
      </c>
      <c r="G6646">
        <v>-133.88659999999999</v>
      </c>
      <c r="H6646" s="1">
        <v>-3.313082E-6</v>
      </c>
      <c r="I6646">
        <v>135.6241</v>
      </c>
      <c r="J6646">
        <v>-156.82560000000001</v>
      </c>
      <c r="K6646">
        <v>1.09754</v>
      </c>
      <c r="L6646">
        <v>138.6962</v>
      </c>
      <c r="M6646">
        <v>0.99738059999999995</v>
      </c>
      <c r="N6646">
        <v>0</v>
      </c>
      <c r="O6646">
        <v>-7.1698339999999999E-2</v>
      </c>
      <c r="P6646">
        <v>0.99593969999999898</v>
      </c>
      <c r="Q6646">
        <v>3.7901009999999999E-2</v>
      </c>
      <c r="R6646">
        <v>-8.1656339999999994E-2</v>
      </c>
      <c r="S6646">
        <v>2.985535</v>
      </c>
      <c r="T6646">
        <v>-0.14049300000000001</v>
      </c>
      <c r="U6646">
        <v>-0.39709470000000002</v>
      </c>
      <c r="V6646">
        <v>1.0754E-2</v>
      </c>
      <c r="W6646">
        <v>4.7296810000000002E-2</v>
      </c>
      <c r="X6646">
        <v>0.99882299999999902</v>
      </c>
      <c r="Y6646">
        <v>6.0442219999999998E-2</v>
      </c>
      <c r="Z6646">
        <v>1.9362299999999999E-3</v>
      </c>
      <c r="AA6646">
        <v>0.9981698</v>
      </c>
      <c r="AB6646">
        <v>38</v>
      </c>
      <c r="AC6646">
        <v>22.939</v>
      </c>
      <c r="AD6646">
        <v>-1.097543313082</v>
      </c>
      <c r="AE6646">
        <v>-3.0720999999999998</v>
      </c>
      <c r="AF6646">
        <v>1.4162444887871699</v>
      </c>
      <c r="AG6646">
        <v>-1.097543313082</v>
      </c>
      <c r="AH6646">
        <v>23.0483984511648</v>
      </c>
      <c r="AI6646">
        <v>92.721187719340804</v>
      </c>
      <c r="AJ6646">
        <v>86.483793124114996</v>
      </c>
      <c r="AK6646">
        <v>23.1179372120388</v>
      </c>
    </row>
    <row r="6647" spans="1:37" x14ac:dyDescent="0.2">
      <c r="A6647" t="str">
        <f>"20200111153559301"</f>
        <v>20200111153559301</v>
      </c>
      <c r="B6647" t="str">
        <f>"1578728159292127"</f>
        <v>1578728159292127</v>
      </c>
      <c r="C6647" t="s">
        <v>37</v>
      </c>
      <c r="D6647">
        <v>4.9887480000000002</v>
      </c>
      <c r="E6647">
        <v>0.51959379999999999</v>
      </c>
      <c r="F6647" t="s">
        <v>40</v>
      </c>
      <c r="G6647">
        <v>-155.7756</v>
      </c>
      <c r="H6647">
        <v>1.0465279999999999</v>
      </c>
      <c r="I6647">
        <v>138.5539</v>
      </c>
      <c r="J6647">
        <v>-156.44630000000001</v>
      </c>
      <c r="K6647">
        <v>1.0979319999999999</v>
      </c>
      <c r="L6647">
        <v>138.6653</v>
      </c>
      <c r="M6647">
        <v>0.99704530000000002</v>
      </c>
      <c r="N6647">
        <v>0</v>
      </c>
      <c r="O6647">
        <v>-7.6295059999999998E-2</v>
      </c>
      <c r="P6647">
        <v>0.99564920000000001</v>
      </c>
      <c r="Q6647">
        <v>3.8565750000000003E-2</v>
      </c>
      <c r="R6647">
        <v>-8.4828009999999995E-2</v>
      </c>
      <c r="S6647">
        <v>2.9846339999999998</v>
      </c>
      <c r="T6647">
        <v>-0.1450331</v>
      </c>
      <c r="U6647">
        <v>-0.40394590000000002</v>
      </c>
      <c r="V6647">
        <v>9.2830669999999903E-3</v>
      </c>
      <c r="W6647">
        <v>4.7375880000000002E-2</v>
      </c>
      <c r="X6647">
        <v>0.998834</v>
      </c>
      <c r="Y6647">
        <v>5.8140199999999899E-2</v>
      </c>
      <c r="Z6647">
        <v>2.2758019999999999E-3</v>
      </c>
      <c r="AA6647">
        <v>0.99830589999999997</v>
      </c>
      <c r="AB6647">
        <v>38</v>
      </c>
      <c r="AC6647">
        <v>0.67070000000000995</v>
      </c>
      <c r="AD6647">
        <v>-5.14039999999997E-2</v>
      </c>
      <c r="AE6647">
        <v>-0.111400000000003</v>
      </c>
      <c r="AF6647">
        <v>5.9561662868979799E-2</v>
      </c>
      <c r="AG6647">
        <v>-5.14039999999997E-2</v>
      </c>
      <c r="AH6647">
        <v>0.67339519382767599</v>
      </c>
      <c r="AI6647">
        <v>94.348329039015297</v>
      </c>
      <c r="AJ6647">
        <v>84.945354444874994</v>
      </c>
      <c r="AK6647">
        <v>0.67797570013233599</v>
      </c>
    </row>
    <row r="6648" spans="1:37" x14ac:dyDescent="0.2">
      <c r="A6648" t="str">
        <f>"20200111153559324"</f>
        <v>20200111153559324</v>
      </c>
      <c r="B6648" t="str">
        <f>"1578728159312623"</f>
        <v>1578728159312623</v>
      </c>
      <c r="C6648" t="s">
        <v>37</v>
      </c>
      <c r="D6648">
        <v>4.9252539999999998</v>
      </c>
      <c r="E6648">
        <v>0.51620699999999997</v>
      </c>
      <c r="F6648" t="s">
        <v>40</v>
      </c>
      <c r="G6648">
        <v>-155.43090000000001</v>
      </c>
      <c r="H6648">
        <v>1.048489</v>
      </c>
      <c r="I6648">
        <v>138.52529999999999</v>
      </c>
      <c r="J6648">
        <v>-156.06229999999999</v>
      </c>
      <c r="K6648">
        <v>1.0982889999999901</v>
      </c>
      <c r="L6648">
        <v>138.6326</v>
      </c>
      <c r="M6648">
        <v>0.99671290000000001</v>
      </c>
      <c r="N6648">
        <v>0</v>
      </c>
      <c r="O6648">
        <v>-8.0581659999999999E-2</v>
      </c>
      <c r="P6648">
        <v>0.99535409999999902</v>
      </c>
      <c r="Q6648">
        <v>3.8860829999999999E-2</v>
      </c>
      <c r="R6648">
        <v>-8.8092169999999997E-2</v>
      </c>
      <c r="S6648">
        <v>2.9837039999999999</v>
      </c>
      <c r="T6648">
        <v>-0.14525439999999901</v>
      </c>
      <c r="U6648">
        <v>-0.41130070000000002</v>
      </c>
      <c r="V6648">
        <v>8.2148969999999901E-3</v>
      </c>
      <c r="W6648">
        <v>4.7114879999999998E-2</v>
      </c>
      <c r="X6648">
        <v>0.99885569999999901</v>
      </c>
      <c r="Y6648">
        <v>5.6311970000000003E-2</v>
      </c>
      <c r="Z6648">
        <v>2.530306E-3</v>
      </c>
      <c r="AA6648">
        <v>0.99841000000000002</v>
      </c>
      <c r="AB6648">
        <v>38</v>
      </c>
      <c r="AC6648">
        <v>0.63139999999998497</v>
      </c>
      <c r="AD6648">
        <v>-4.9799999999999803E-2</v>
      </c>
      <c r="AE6648">
        <v>-0.107300000000009</v>
      </c>
      <c r="AF6648">
        <v>5.57330213535049E-2</v>
      </c>
      <c r="AG6648">
        <v>-4.9799999999999803E-2</v>
      </c>
      <c r="AH6648">
        <v>0.63415899040580404</v>
      </c>
      <c r="AI6648">
        <v>94.473006340951002</v>
      </c>
      <c r="AJ6648">
        <v>84.977468587661605</v>
      </c>
      <c r="AK6648">
        <v>0.63854822431958802</v>
      </c>
    </row>
    <row r="6649" spans="1:37" x14ac:dyDescent="0.2">
      <c r="A6649" t="str">
        <f>"20200111153559346"</f>
        <v>20200111153559346</v>
      </c>
      <c r="B6649" t="str">
        <f>"1578728159341906"</f>
        <v>1578728159341906</v>
      </c>
      <c r="C6649" t="s">
        <v>37</v>
      </c>
      <c r="D6649">
        <v>5.0208180000000002</v>
      </c>
      <c r="E6649">
        <v>0.51591909999999996</v>
      </c>
      <c r="F6649" t="s">
        <v>40</v>
      </c>
      <c r="G6649">
        <v>-155.09190000000001</v>
      </c>
      <c r="H6649">
        <v>1.041264</v>
      </c>
      <c r="I6649">
        <v>138.5043</v>
      </c>
      <c r="J6649">
        <v>-155.6815</v>
      </c>
      <c r="K6649">
        <v>1.0986119999999999</v>
      </c>
      <c r="L6649">
        <v>138.59880000000001</v>
      </c>
      <c r="M6649">
        <v>0.99639299999999997</v>
      </c>
      <c r="N6649">
        <v>0</v>
      </c>
      <c r="O6649">
        <v>-8.4496009999999996E-2</v>
      </c>
      <c r="P6649">
        <v>0.99496319999999905</v>
      </c>
      <c r="Q6649">
        <v>3.985408E-2</v>
      </c>
      <c r="R6649">
        <v>-9.1978790000000005E-2</v>
      </c>
      <c r="S6649">
        <v>2.9859469999999999</v>
      </c>
      <c r="T6649">
        <v>-0.17546489999999901</v>
      </c>
      <c r="U6649">
        <v>-0.39437870000000003</v>
      </c>
      <c r="V6649">
        <v>8.161471E-3</v>
      </c>
      <c r="W6649">
        <v>4.7589739999999998E-2</v>
      </c>
      <c r="X6649">
        <v>0.99883359999999999</v>
      </c>
      <c r="Y6649">
        <v>4.676524E-2</v>
      </c>
      <c r="Z6649">
        <v>3.5615590000000002E-3</v>
      </c>
      <c r="AA6649">
        <v>0.998899599999999</v>
      </c>
      <c r="AB6649">
        <v>38</v>
      </c>
      <c r="AC6649">
        <v>0.58959999999999002</v>
      </c>
      <c r="AD6649">
        <v>-5.73480000000001E-2</v>
      </c>
      <c r="AE6649">
        <v>-9.4500000000010603E-2</v>
      </c>
      <c r="AF6649">
        <v>4.3936395833560203E-2</v>
      </c>
      <c r="AG6649">
        <v>-5.73480000000001E-2</v>
      </c>
      <c r="AH6649">
        <v>0.59003416438693801</v>
      </c>
      <c r="AI6649">
        <v>95.536158346551005</v>
      </c>
      <c r="AJ6649">
        <v>85.741377779667502</v>
      </c>
      <c r="AK6649">
        <v>0.59444050596055098</v>
      </c>
    </row>
    <row r="6650" spans="1:37" x14ac:dyDescent="0.2">
      <c r="A6650" t="str">
        <f>"20200111153559369"</f>
        <v>20200111153559369</v>
      </c>
      <c r="B6650" t="str">
        <f>"1578728159361931"</f>
        <v>1578728159361931</v>
      </c>
      <c r="C6650" t="s">
        <v>37</v>
      </c>
      <c r="D6650">
        <v>5.0413860000000001</v>
      </c>
      <c r="E6650">
        <v>0.51582050000000002</v>
      </c>
      <c r="F6650" t="s">
        <v>40</v>
      </c>
      <c r="G6650">
        <v>-154.74520000000001</v>
      </c>
      <c r="H6650">
        <v>1.042953</v>
      </c>
      <c r="I6650">
        <v>138.47229999999999</v>
      </c>
      <c r="J6650">
        <v>-155.2791</v>
      </c>
      <c r="K6650">
        <v>1.098938</v>
      </c>
      <c r="L6650">
        <v>138.5617</v>
      </c>
      <c r="M6650">
        <v>0.99606890000000003</v>
      </c>
      <c r="N6650">
        <v>0</v>
      </c>
      <c r="O6650">
        <v>-8.8278170000000003E-2</v>
      </c>
      <c r="P6650">
        <v>0.99443570000000003</v>
      </c>
      <c r="Q6650">
        <v>4.1580489999999998E-2</v>
      </c>
      <c r="R6650">
        <v>-9.6793690000000002E-2</v>
      </c>
      <c r="S6650">
        <v>2.9850310000000002</v>
      </c>
      <c r="T6650">
        <v>-0.1774905</v>
      </c>
      <c r="U6650">
        <v>-0.40328979999999998</v>
      </c>
      <c r="V6650">
        <v>9.1851269999999995E-3</v>
      </c>
      <c r="W6650">
        <v>4.8809030000000003E-2</v>
      </c>
      <c r="X6650">
        <v>0.99876589999999998</v>
      </c>
      <c r="Y6650">
        <v>4.5952099999999899E-2</v>
      </c>
      <c r="Z6650">
        <v>3.8492639999999998E-3</v>
      </c>
      <c r="AA6650">
        <v>0.99893619999999905</v>
      </c>
      <c r="AB6650">
        <v>39</v>
      </c>
      <c r="AC6650">
        <v>0.53389999999998805</v>
      </c>
      <c r="AD6650">
        <v>-5.5984999999999903E-2</v>
      </c>
      <c r="AE6650">
        <v>-8.9400000000011901E-2</v>
      </c>
      <c r="AF6650">
        <v>4.14743680203708E-2</v>
      </c>
      <c r="AG6650">
        <v>-5.5984999999999903E-2</v>
      </c>
      <c r="AH6650">
        <v>0.53399622039254802</v>
      </c>
      <c r="AI6650">
        <v>95.967273305936303</v>
      </c>
      <c r="AJ6650">
        <v>85.558872563639</v>
      </c>
      <c r="AK6650">
        <v>0.53852242926475702</v>
      </c>
    </row>
    <row r="6651" spans="1:37" x14ac:dyDescent="0.2">
      <c r="A6651" t="str">
        <f>"20200111153559392"</f>
        <v>20200111153559392</v>
      </c>
      <c r="B6651" t="str">
        <f>"1578728159382427"</f>
        <v>1578728159382427</v>
      </c>
      <c r="C6651" t="s">
        <v>37</v>
      </c>
      <c r="D6651">
        <v>5.0136409999999998</v>
      </c>
      <c r="E6651">
        <v>0.51550560000000001</v>
      </c>
      <c r="F6651" t="s">
        <v>40</v>
      </c>
      <c r="G6651">
        <v>-154.39590000000001</v>
      </c>
      <c r="H6651">
        <v>1.046494</v>
      </c>
      <c r="I6651">
        <v>138.4383</v>
      </c>
      <c r="J6651">
        <v>-154.90090000000001</v>
      </c>
      <c r="K6651">
        <v>1.099229</v>
      </c>
      <c r="L6651">
        <v>138.5257</v>
      </c>
      <c r="M6651">
        <v>0.99577929999999903</v>
      </c>
      <c r="N6651">
        <v>0</v>
      </c>
      <c r="O6651">
        <v>-9.1518070000000007E-2</v>
      </c>
      <c r="P6651">
        <v>0.99413909999999905</v>
      </c>
      <c r="Q6651">
        <v>4.1657850000000003E-2</v>
      </c>
      <c r="R6651">
        <v>-9.9760429999999997E-2</v>
      </c>
      <c r="S6651">
        <v>2.9836879999999999</v>
      </c>
      <c r="T6651">
        <v>-0.17719089999999901</v>
      </c>
      <c r="U6651">
        <v>-0.41609190000000001</v>
      </c>
      <c r="V6651">
        <v>8.8757239999999998E-3</v>
      </c>
      <c r="W6651">
        <v>4.8474690000000001E-2</v>
      </c>
      <c r="X6651">
        <v>0.99878500000000003</v>
      </c>
      <c r="Y6651">
        <v>4.697262E-2</v>
      </c>
      <c r="Z6651">
        <v>4.0031249999999997E-3</v>
      </c>
      <c r="AA6651">
        <v>0.99888809999999995</v>
      </c>
      <c r="AB6651">
        <v>39</v>
      </c>
      <c r="AC6651">
        <v>0.50499999999999501</v>
      </c>
      <c r="AD6651">
        <v>-5.27349999999999E-2</v>
      </c>
      <c r="AE6651">
        <v>-8.7400000000002295E-2</v>
      </c>
      <c r="AF6651">
        <v>4.0387854967228798E-2</v>
      </c>
      <c r="AG6651">
        <v>-5.27349999999999E-2</v>
      </c>
      <c r="AH6651">
        <v>0.50552717218528098</v>
      </c>
      <c r="AI6651">
        <v>95.936594944379607</v>
      </c>
      <c r="AJ6651">
        <v>85.432196063432499</v>
      </c>
      <c r="AK6651">
        <v>0.50987241626852198</v>
      </c>
    </row>
    <row r="6652" spans="1:37" x14ac:dyDescent="0.2">
      <c r="A6652" t="str">
        <f>"20200111153559413"</f>
        <v>20200111153559413</v>
      </c>
      <c r="B6652" t="str">
        <f>"1578728159401947"</f>
        <v>1578728159401947</v>
      </c>
      <c r="C6652" t="s">
        <v>37</v>
      </c>
      <c r="D6652">
        <v>5.0072429999999999</v>
      </c>
      <c r="E6652">
        <v>0.5150034</v>
      </c>
      <c r="F6652" t="s">
        <v>40</v>
      </c>
      <c r="G6652">
        <v>-154.047</v>
      </c>
      <c r="H6652">
        <v>1.0479639999999999</v>
      </c>
      <c r="I6652">
        <v>138.40469999999999</v>
      </c>
      <c r="J6652">
        <v>-154.51830000000001</v>
      </c>
      <c r="K6652">
        <v>1.099529</v>
      </c>
      <c r="L6652">
        <v>138.48820000000001</v>
      </c>
      <c r="M6652">
        <v>0.99550319999999903</v>
      </c>
      <c r="N6652">
        <v>0</v>
      </c>
      <c r="O6652">
        <v>-9.4501669999999996E-2</v>
      </c>
      <c r="P6652">
        <v>0.99387510000000001</v>
      </c>
      <c r="Q6652">
        <v>4.1326189999999999E-2</v>
      </c>
      <c r="R6652">
        <v>-0.1024895</v>
      </c>
      <c r="S6652">
        <v>2.9828030000000001</v>
      </c>
      <c r="T6652">
        <v>-0.17905889999999999</v>
      </c>
      <c r="U6652">
        <v>-0.42247010000000002</v>
      </c>
      <c r="V6652">
        <v>8.5801899999999997E-3</v>
      </c>
      <c r="W6652">
        <v>4.7771689999999999E-2</v>
      </c>
      <c r="X6652">
        <v>0.99882139999999997</v>
      </c>
      <c r="Y6652">
        <v>4.6122919999999998E-2</v>
      </c>
      <c r="Z6652">
        <v>4.2479500000000003E-3</v>
      </c>
      <c r="AA6652">
        <v>0.9989268</v>
      </c>
      <c r="AB6652">
        <v>39</v>
      </c>
      <c r="AC6652">
        <v>0.47130000000001299</v>
      </c>
      <c r="AD6652">
        <v>-5.1565E-2</v>
      </c>
      <c r="AE6652">
        <v>-8.3500000000015007E-2</v>
      </c>
      <c r="AF6652">
        <v>3.8143996641711003E-2</v>
      </c>
      <c r="AG6652">
        <v>-5.1565E-2</v>
      </c>
      <c r="AH6652">
        <v>0.47160814911718102</v>
      </c>
      <c r="AI6652">
        <v>96.219705889890903</v>
      </c>
      <c r="AJ6652">
        <v>85.375942833157893</v>
      </c>
      <c r="AK6652">
        <v>0.47594974526575401</v>
      </c>
    </row>
    <row r="6653" spans="1:37" x14ac:dyDescent="0.2">
      <c r="A6653" t="str">
        <f>"20200111153559436"</f>
        <v>20200111153559436</v>
      </c>
      <c r="B6653" t="str">
        <f>"1578728159422443"</f>
        <v>1578728159422443</v>
      </c>
      <c r="C6653" t="s">
        <v>37</v>
      </c>
      <c r="D6653">
        <v>5.0027470000000003</v>
      </c>
      <c r="E6653">
        <v>0.51435209999999998</v>
      </c>
      <c r="F6653" t="s">
        <v>40</v>
      </c>
      <c r="G6653">
        <v>-153.69730000000001</v>
      </c>
      <c r="H6653">
        <v>1.049085</v>
      </c>
      <c r="I6653">
        <v>138.37049999999999</v>
      </c>
      <c r="J6653">
        <v>-154.12479999999999</v>
      </c>
      <c r="K6653">
        <v>1.0998399999999999</v>
      </c>
      <c r="L6653">
        <v>138.4487</v>
      </c>
      <c r="M6653">
        <v>0.99523799999999996</v>
      </c>
      <c r="N6653">
        <v>0</v>
      </c>
      <c r="O6653">
        <v>-9.727769E-2</v>
      </c>
      <c r="P6653">
        <v>0.99355210000000005</v>
      </c>
      <c r="Q6653">
        <v>4.1722740000000001E-2</v>
      </c>
      <c r="R6653">
        <v>-0.10541969999999901</v>
      </c>
      <c r="S6653">
        <v>2.98204</v>
      </c>
      <c r="T6653">
        <v>-0.1832531</v>
      </c>
      <c r="U6653">
        <v>-0.42703249999999998</v>
      </c>
      <c r="V6653">
        <v>8.7053349999999998E-3</v>
      </c>
      <c r="W6653">
        <v>4.7826460000000001E-2</v>
      </c>
      <c r="X6653">
        <v>0.99881769999999903</v>
      </c>
      <c r="Y6653">
        <v>4.4881909999999997E-2</v>
      </c>
      <c r="Z6653">
        <v>4.554097E-3</v>
      </c>
      <c r="AA6653">
        <v>0.99898189999999998</v>
      </c>
      <c r="AB6653">
        <v>39</v>
      </c>
      <c r="AC6653">
        <v>0.42749999999998001</v>
      </c>
      <c r="AD6653">
        <v>-5.07549999999998E-2</v>
      </c>
      <c r="AE6653">
        <v>-7.8200000000009595E-2</v>
      </c>
      <c r="AF6653">
        <v>3.5754430043453002E-2</v>
      </c>
      <c r="AG6653">
        <v>-5.07549999999998E-2</v>
      </c>
      <c r="AH6653">
        <v>0.42725225933830702</v>
      </c>
      <c r="AI6653">
        <v>96.751265538439398</v>
      </c>
      <c r="AJ6653">
        <v>85.2163721773628</v>
      </c>
      <c r="AK6653">
        <v>0.43173943809017501</v>
      </c>
    </row>
    <row r="6654" spans="1:37" x14ac:dyDescent="0.2">
      <c r="A6654" t="str">
        <f>"20200111153559459"</f>
        <v>20200111153559459</v>
      </c>
      <c r="B6654" t="str">
        <f>"1578728159452173"</f>
        <v>1578728159452173</v>
      </c>
      <c r="C6654" t="s">
        <v>37</v>
      </c>
      <c r="D6654">
        <v>5.006786</v>
      </c>
      <c r="E6654">
        <v>0.51366829999999997</v>
      </c>
      <c r="F6654" t="s">
        <v>40</v>
      </c>
      <c r="G6654">
        <v>-153.34530000000001</v>
      </c>
      <c r="H6654">
        <v>1.0513379999999899</v>
      </c>
      <c r="I6654">
        <v>138.33619999999999</v>
      </c>
      <c r="J6654">
        <v>-153.71680000000001</v>
      </c>
      <c r="K6654">
        <v>1.1001620000000001</v>
      </c>
      <c r="L6654">
        <v>138.4068</v>
      </c>
      <c r="M6654">
        <v>0.99498439999999999</v>
      </c>
      <c r="N6654">
        <v>0</v>
      </c>
      <c r="O6654">
        <v>-9.9857989999999994E-2</v>
      </c>
      <c r="P6654">
        <v>0.99327670000000001</v>
      </c>
      <c r="Q6654">
        <v>4.1592150000000001E-2</v>
      </c>
      <c r="R6654">
        <v>-0.10803649999999999</v>
      </c>
      <c r="S6654">
        <v>2.9815830000000001</v>
      </c>
      <c r="T6654">
        <v>-0.18551139999999999</v>
      </c>
      <c r="U6654">
        <v>-0.43041990000000002</v>
      </c>
      <c r="V6654">
        <v>8.7049129999999999E-3</v>
      </c>
      <c r="W6654">
        <v>4.7388270000000003E-2</v>
      </c>
      <c r="X6654">
        <v>0.99883860000000002</v>
      </c>
      <c r="Y6654">
        <v>4.3435139999999997E-2</v>
      </c>
      <c r="Z6654">
        <v>4.81350099999999E-3</v>
      </c>
      <c r="AA6654">
        <v>0.99904470000000001</v>
      </c>
      <c r="AB6654">
        <v>39</v>
      </c>
      <c r="AC6654">
        <v>0.371499999999997</v>
      </c>
      <c r="AD6654">
        <v>-4.8824000000000201E-2</v>
      </c>
      <c r="AE6654">
        <v>-7.0600000000013097E-2</v>
      </c>
      <c r="AF6654">
        <v>3.2605682499867901E-2</v>
      </c>
      <c r="AG6654">
        <v>-4.8824000000000201E-2</v>
      </c>
      <c r="AH6654">
        <v>0.37051657498284601</v>
      </c>
      <c r="AI6654">
        <v>97.478203103109493</v>
      </c>
      <c r="AJ6654">
        <v>84.970892060717901</v>
      </c>
      <c r="AK6654">
        <v>0.37513923527711801</v>
      </c>
    </row>
    <row r="6655" spans="1:37" x14ac:dyDescent="0.2">
      <c r="A6655" t="str">
        <f>"20200111153559480"</f>
        <v>20200111153559480</v>
      </c>
      <c r="B6655" t="str">
        <f>"1578728159472669"</f>
        <v>1578728159472669</v>
      </c>
      <c r="C6655" t="s">
        <v>37</v>
      </c>
      <c r="D6655">
        <v>5.0746690000000001</v>
      </c>
      <c r="E6655">
        <v>0.51313199999999903</v>
      </c>
      <c r="F6655" t="s">
        <v>40</v>
      </c>
      <c r="G6655">
        <v>-152.65629999999999</v>
      </c>
      <c r="H6655">
        <v>1.032432</v>
      </c>
      <c r="I6655">
        <v>138.2527</v>
      </c>
      <c r="J6655">
        <v>-153.33240000000001</v>
      </c>
      <c r="K6655">
        <v>1.100465</v>
      </c>
      <c r="L6655">
        <v>138.36660000000001</v>
      </c>
      <c r="M6655">
        <v>0.99476909999999896</v>
      </c>
      <c r="N6655">
        <v>0</v>
      </c>
      <c r="O6655">
        <v>-0.10199519999999999</v>
      </c>
      <c r="P6655">
        <v>0.99324310000000005</v>
      </c>
      <c r="Q6655">
        <v>4.0838909999999999E-2</v>
      </c>
      <c r="R6655">
        <v>-0.10863150000000001</v>
      </c>
      <c r="S6655">
        <v>2.9811860000000001</v>
      </c>
      <c r="T6655">
        <v>-0.190447799999999</v>
      </c>
      <c r="U6655">
        <v>-0.43295289999999997</v>
      </c>
      <c r="V6655">
        <v>7.1125729999999996E-3</v>
      </c>
      <c r="W6655">
        <v>4.6402779999999998E-2</v>
      </c>
      <c r="X6655">
        <v>0.99889749999999999</v>
      </c>
      <c r="Y6655">
        <v>4.2151809999999998E-2</v>
      </c>
      <c r="Z6655">
        <v>5.1170130000000001E-3</v>
      </c>
      <c r="AA6655">
        <v>0.99909809999999999</v>
      </c>
      <c r="AB6655">
        <v>39</v>
      </c>
      <c r="AC6655">
        <v>0.67610000000001902</v>
      </c>
      <c r="AD6655">
        <v>-6.8032999999999996E-2</v>
      </c>
      <c r="AE6655">
        <v>-0.113900000000001</v>
      </c>
      <c r="AF6655">
        <v>4.3913565871563101E-2</v>
      </c>
      <c r="AG6655">
        <v>-6.8032999999999996E-2</v>
      </c>
      <c r="AH6655">
        <v>0.67752046830735102</v>
      </c>
      <c r="AI6655">
        <v>95.722189327920802</v>
      </c>
      <c r="AJ6655">
        <v>86.291554816249203</v>
      </c>
      <c r="AK6655">
        <v>0.68234219811760799</v>
      </c>
    </row>
    <row r="6656" spans="1:37" x14ac:dyDescent="0.2">
      <c r="A6656" t="str">
        <f>"20200111153559502"</f>
        <v>20200111153559502</v>
      </c>
      <c r="B6656" t="str">
        <f>"1578728159492189"</f>
        <v>1578728159492189</v>
      </c>
      <c r="C6656" t="s">
        <v>37</v>
      </c>
      <c r="D6656">
        <v>5.076613</v>
      </c>
      <c r="E6656">
        <v>0.51286359999999998</v>
      </c>
      <c r="F6656" t="s">
        <v>40</v>
      </c>
      <c r="G6656">
        <v>-152.30260000000001</v>
      </c>
      <c r="H6656">
        <v>1.0326879999999901</v>
      </c>
      <c r="I6656">
        <v>138.2176</v>
      </c>
      <c r="J6656">
        <v>-152.94280000000001</v>
      </c>
      <c r="K6656">
        <v>1.1007670000000001</v>
      </c>
      <c r="L6656">
        <v>138.32509999999999</v>
      </c>
      <c r="M6656">
        <v>0.99456869999999997</v>
      </c>
      <c r="N6656">
        <v>0</v>
      </c>
      <c r="O6656">
        <v>-0.1039421</v>
      </c>
      <c r="P6656">
        <v>0.99323459999999997</v>
      </c>
      <c r="Q6656">
        <v>3.9036220000000003E-2</v>
      </c>
      <c r="R6656">
        <v>-0.1093678</v>
      </c>
      <c r="S6656">
        <v>2.9813689999999999</v>
      </c>
      <c r="T6656">
        <v>-0.1962817</v>
      </c>
      <c r="U6656">
        <v>-0.43077089999999901</v>
      </c>
      <c r="V6656">
        <v>5.8455479999999999E-3</v>
      </c>
      <c r="W6656">
        <v>4.4397369999999999E-2</v>
      </c>
      <c r="X6656">
        <v>0.99899689999999997</v>
      </c>
      <c r="Y6656">
        <v>3.9488229999999999E-2</v>
      </c>
      <c r="Z6656">
        <v>5.4869790000000003E-3</v>
      </c>
      <c r="AA6656">
        <v>0.99920499999999901</v>
      </c>
      <c r="AB6656">
        <v>40</v>
      </c>
      <c r="AC6656">
        <v>0.640199999999992</v>
      </c>
      <c r="AD6656">
        <v>-6.8079000000000195E-2</v>
      </c>
      <c r="AE6656">
        <v>-0.10749999999998699</v>
      </c>
      <c r="AF6656">
        <v>3.9933793737545797E-2</v>
      </c>
      <c r="AG6656">
        <v>-6.8079000000000195E-2</v>
      </c>
      <c r="AH6656">
        <v>0.64085785511464399</v>
      </c>
      <c r="AI6656">
        <v>96.052197237392207</v>
      </c>
      <c r="AJ6656">
        <v>86.434336748051606</v>
      </c>
      <c r="AK6656">
        <v>0.64569981305976398</v>
      </c>
    </row>
    <row r="6657" spans="1:37" x14ac:dyDescent="0.2">
      <c r="A6657" t="str">
        <f>"20200111153559525"</f>
        <v>20200111153559525</v>
      </c>
      <c r="B6657" t="str">
        <f>"1578728159512686"</f>
        <v>1578728159512686</v>
      </c>
      <c r="C6657" t="s">
        <v>37</v>
      </c>
      <c r="D6657">
        <v>5.0709739999999996</v>
      </c>
      <c r="E6657">
        <v>0.51246059999999904</v>
      </c>
      <c r="F6657" t="s">
        <v>40</v>
      </c>
      <c r="G6657">
        <v>-151.94799999999901</v>
      </c>
      <c r="H6657">
        <v>1.032689</v>
      </c>
      <c r="I6657">
        <v>138.18119999999999</v>
      </c>
      <c r="J6657">
        <v>-152.54470000000001</v>
      </c>
      <c r="K6657">
        <v>1.1010759999999999</v>
      </c>
      <c r="L6657">
        <v>138.28210000000001</v>
      </c>
      <c r="M6657">
        <v>0.99438340000000003</v>
      </c>
      <c r="N6657">
        <v>0</v>
      </c>
      <c r="O6657">
        <v>-0.1057091</v>
      </c>
      <c r="P6657">
        <v>0.99328890000000003</v>
      </c>
      <c r="Q6657">
        <v>3.793887E-2</v>
      </c>
      <c r="R6657">
        <v>-0.1092622</v>
      </c>
      <c r="S6657">
        <v>2.980972</v>
      </c>
      <c r="T6657">
        <v>-0.20399579999999901</v>
      </c>
      <c r="U6657">
        <v>-0.43106080000000002</v>
      </c>
      <c r="V6657">
        <v>3.923447E-3</v>
      </c>
      <c r="W6657">
        <v>4.3146379999999998E-2</v>
      </c>
      <c r="X6657">
        <v>0.99906099999999998</v>
      </c>
      <c r="Y6657">
        <v>3.7845469999999999E-2</v>
      </c>
      <c r="Z6657">
        <v>5.8778919999999896E-3</v>
      </c>
      <c r="AA6657">
        <v>0.99926630000000005</v>
      </c>
      <c r="AB6657">
        <v>40</v>
      </c>
      <c r="AC6657">
        <v>0.59670000000002599</v>
      </c>
      <c r="AD6657">
        <v>-6.8386999999999906E-2</v>
      </c>
      <c r="AE6657">
        <v>-0.100900000000024</v>
      </c>
      <c r="AF6657">
        <v>3.67873971765528E-2</v>
      </c>
      <c r="AG6657">
        <v>-6.8386999999999906E-2</v>
      </c>
      <c r="AH6657">
        <v>0.59640673103604402</v>
      </c>
      <c r="AI6657">
        <v>96.5289533133395</v>
      </c>
      <c r="AJ6657">
        <v>86.470369155720306</v>
      </c>
      <c r="AK6657">
        <v>0.60144083930601699</v>
      </c>
    </row>
    <row r="6658" spans="1:37" x14ac:dyDescent="0.2">
      <c r="A6658" t="str">
        <f>"20200111153559550"</f>
        <v>20200111153559550</v>
      </c>
      <c r="B6658" t="str">
        <f>"1578728159541965"</f>
        <v>1578728159541965</v>
      </c>
      <c r="C6658" t="s">
        <v>37</v>
      </c>
      <c r="D6658">
        <v>5.0545540000000004</v>
      </c>
      <c r="E6658">
        <v>0.51197060000000005</v>
      </c>
      <c r="F6658" t="s">
        <v>40</v>
      </c>
      <c r="G6658">
        <v>-151.5915</v>
      </c>
      <c r="H6658">
        <v>1.0342750000000001</v>
      </c>
      <c r="I6658">
        <v>138.14519999999999</v>
      </c>
      <c r="J6658">
        <v>-152.11539999999999</v>
      </c>
      <c r="K6658">
        <v>1.1014200000000001</v>
      </c>
      <c r="L6658">
        <v>138.23509999999999</v>
      </c>
      <c r="M6658">
        <v>0.99420759999999897</v>
      </c>
      <c r="N6658">
        <v>0</v>
      </c>
      <c r="O6658">
        <v>-0.1073537</v>
      </c>
      <c r="P6658">
        <v>0.99319489999999999</v>
      </c>
      <c r="Q6658">
        <v>3.9864669999999998E-2</v>
      </c>
      <c r="R6658">
        <v>-0.10943</v>
      </c>
      <c r="S6658">
        <v>2.981201</v>
      </c>
      <c r="T6658">
        <v>-0.20898539999999999</v>
      </c>
      <c r="U6658">
        <v>-0.42774960000000001</v>
      </c>
      <c r="V6658">
        <v>2.4304019999999999E-3</v>
      </c>
      <c r="W6658">
        <v>4.5019490000000002E-2</v>
      </c>
      <c r="X6658">
        <v>0.99898310000000001</v>
      </c>
      <c r="Y6658">
        <v>3.5112440000000002E-2</v>
      </c>
      <c r="Z6658">
        <v>6.2302700000000004E-3</v>
      </c>
      <c r="AA6658">
        <v>0.99936399999999903</v>
      </c>
      <c r="AB6658">
        <v>40</v>
      </c>
      <c r="AC6658">
        <v>0.52389999999999703</v>
      </c>
      <c r="AD6658">
        <v>-6.7144999999999996E-2</v>
      </c>
      <c r="AE6658">
        <v>-8.9899999999999994E-2</v>
      </c>
      <c r="AF6658">
        <v>3.2616662594898399E-2</v>
      </c>
      <c r="AG6658">
        <v>-6.7144999999999996E-2</v>
      </c>
      <c r="AH6658">
        <v>0.52219132683456404</v>
      </c>
      <c r="AI6658">
        <v>97.312969931775797</v>
      </c>
      <c r="AJ6658">
        <v>86.425883806285796</v>
      </c>
      <c r="AK6658">
        <v>0.52749983841236603</v>
      </c>
    </row>
    <row r="6659" spans="1:37" x14ac:dyDescent="0.2">
      <c r="A6659" t="str">
        <f>"20200111153559572"</f>
        <v>20200111153559572</v>
      </c>
      <c r="B6659" t="str">
        <f>"1578728159561994"</f>
        <v>1578728159561994</v>
      </c>
      <c r="C6659" t="s">
        <v>37</v>
      </c>
      <c r="D6659">
        <v>5.056413</v>
      </c>
      <c r="E6659">
        <v>0.51163610000000004</v>
      </c>
      <c r="F6659" t="s">
        <v>40</v>
      </c>
      <c r="G6659">
        <v>-151.2319</v>
      </c>
      <c r="H6659">
        <v>1.0407679999999999</v>
      </c>
      <c r="I6659">
        <v>138.10929999999999</v>
      </c>
      <c r="J6659">
        <v>-151.69890000000001</v>
      </c>
      <c r="K6659">
        <v>1.1017980000000001</v>
      </c>
      <c r="L6659">
        <v>138.18899999999999</v>
      </c>
      <c r="M6659">
        <v>0.99406249999999996</v>
      </c>
      <c r="N6659">
        <v>0</v>
      </c>
      <c r="O6659">
        <v>-0.10868129999999999</v>
      </c>
      <c r="P6659">
        <v>0.99298960000000003</v>
      </c>
      <c r="Q6659">
        <v>4.439013E-2</v>
      </c>
      <c r="R6659">
        <v>-0.1095507</v>
      </c>
      <c r="S6659">
        <v>2.981995</v>
      </c>
      <c r="T6659">
        <v>-0.20471919999999999</v>
      </c>
      <c r="U6659">
        <v>-0.42449949999999997</v>
      </c>
      <c r="V6659">
        <v>1.233063E-3</v>
      </c>
      <c r="W6659">
        <v>4.9715339999999997E-2</v>
      </c>
      <c r="X6659">
        <v>0.9987627</v>
      </c>
      <c r="Y6659">
        <v>3.2674429999999997E-2</v>
      </c>
      <c r="Z6659">
        <v>6.2753660000000001E-3</v>
      </c>
      <c r="AA6659">
        <v>0.99944630000000001</v>
      </c>
      <c r="AB6659">
        <v>40</v>
      </c>
      <c r="AC6659">
        <v>0.46700000000001202</v>
      </c>
      <c r="AD6659">
        <v>-6.1029999999999897E-2</v>
      </c>
      <c r="AE6659">
        <v>-7.9700000000002505E-2</v>
      </c>
      <c r="AF6659">
        <v>2.8008210630316999E-2</v>
      </c>
      <c r="AG6659">
        <v>-6.1029999999999897E-2</v>
      </c>
      <c r="AH6659">
        <v>0.46517601393320102</v>
      </c>
      <c r="AI6659">
        <v>97.461022558231704</v>
      </c>
      <c r="AJ6659">
        <v>86.554385396300106</v>
      </c>
      <c r="AK6659">
        <v>0.46999770712365602</v>
      </c>
    </row>
    <row r="6660" spans="1:37" x14ac:dyDescent="0.2">
      <c r="A6660" t="str">
        <f>"20200111153559600"</f>
        <v>20200111153559600</v>
      </c>
      <c r="B6660" t="str">
        <f>"1578728159592250"</f>
        <v>1578728159592250</v>
      </c>
      <c r="C6660" t="s">
        <v>37</v>
      </c>
      <c r="D6660">
        <v>5.0405410000000002</v>
      </c>
      <c r="E6660">
        <v>0.51137049999999995</v>
      </c>
      <c r="F6660" t="s">
        <v>40</v>
      </c>
      <c r="G6660">
        <v>-150.86920000000001</v>
      </c>
      <c r="H6660">
        <v>1.0484009999999999</v>
      </c>
      <c r="I6660">
        <v>138.07140000000001</v>
      </c>
      <c r="J6660">
        <v>-151.2253</v>
      </c>
      <c r="K6660">
        <v>1.1022879999999999</v>
      </c>
      <c r="L6660">
        <v>138.1362</v>
      </c>
      <c r="M6660">
        <v>0.99393029999999905</v>
      </c>
      <c r="N6660">
        <v>0</v>
      </c>
      <c r="O6660">
        <v>-0.1098575</v>
      </c>
      <c r="P6660">
        <v>0.99281079999999999</v>
      </c>
      <c r="Q6660">
        <v>4.6838379999999999E-2</v>
      </c>
      <c r="R6660">
        <v>-0.1101501</v>
      </c>
      <c r="S6660">
        <v>2.9831539999999999</v>
      </c>
      <c r="T6660">
        <v>-0.19209329999999999</v>
      </c>
      <c r="U6660">
        <v>-0.42242429999999997</v>
      </c>
      <c r="V6660">
        <v>6.4037239999999997E-4</v>
      </c>
      <c r="W6660">
        <v>5.2671660000000002E-2</v>
      </c>
      <c r="X6660">
        <v>0.99861169999999999</v>
      </c>
      <c r="Y6660">
        <v>3.0741029999999999E-2</v>
      </c>
      <c r="Z6660">
        <v>6.0237969999999896E-3</v>
      </c>
      <c r="AA6660">
        <v>0.99950919999999899</v>
      </c>
      <c r="AB6660">
        <v>40</v>
      </c>
      <c r="AC6660">
        <v>0.35609999999999697</v>
      </c>
      <c r="AD6660">
        <v>-5.3886999999999997E-2</v>
      </c>
      <c r="AE6660">
        <v>-6.4799999999991004E-2</v>
      </c>
      <c r="AF6660">
        <v>2.4738516510368101E-2</v>
      </c>
      <c r="AG6660">
        <v>-5.3886999999999997E-2</v>
      </c>
      <c r="AH6660">
        <v>0.35323388580271697</v>
      </c>
      <c r="AI6660">
        <v>98.652914130810203</v>
      </c>
      <c r="AJ6660">
        <v>85.993866788017002</v>
      </c>
      <c r="AK6660">
        <v>0.35817590796621201</v>
      </c>
    </row>
    <row r="6661" spans="1:37" x14ac:dyDescent="0.2">
      <c r="A6661" t="str">
        <f>"20200111153559616"</f>
        <v>20200111153559616</v>
      </c>
      <c r="B6661" t="str">
        <f>"1578728159611769"</f>
        <v>1578728159611769</v>
      </c>
      <c r="C6661" t="s">
        <v>37</v>
      </c>
      <c r="D6661">
        <v>5.1912669999999999</v>
      </c>
      <c r="E6661">
        <v>0.51136959999999998</v>
      </c>
      <c r="F6661" t="s">
        <v>40</v>
      </c>
      <c r="G6661">
        <v>-150.16569999999999</v>
      </c>
      <c r="H6661">
        <v>1.037426</v>
      </c>
      <c r="I6661">
        <v>137.9862</v>
      </c>
      <c r="J6661">
        <v>-150.923</v>
      </c>
      <c r="K6661">
        <v>1.102633</v>
      </c>
      <c r="L6661">
        <v>138.10230000000001</v>
      </c>
      <c r="M6661">
        <v>0.99386730000000001</v>
      </c>
      <c r="N6661">
        <v>0</v>
      </c>
      <c r="O6661">
        <v>-0.11039599999999999</v>
      </c>
      <c r="P6661">
        <v>0.99286049999999904</v>
      </c>
      <c r="Q6661">
        <v>4.4873139999999999E-2</v>
      </c>
      <c r="R6661">
        <v>-0.11051859999999999</v>
      </c>
      <c r="S6661">
        <v>2.9835210000000001</v>
      </c>
      <c r="T6661">
        <v>-0.18269869999999999</v>
      </c>
      <c r="U6661">
        <v>-0.42201229999999901</v>
      </c>
      <c r="V6661">
        <v>4.2720589999999998E-4</v>
      </c>
      <c r="W6661">
        <v>5.1228330000000002E-2</v>
      </c>
      <c r="X6661">
        <v>0.99868690000000004</v>
      </c>
      <c r="Y6661">
        <v>3.0033830000000001E-2</v>
      </c>
      <c r="Z6661">
        <v>5.7831779999999999E-3</v>
      </c>
      <c r="AA6661">
        <v>0.99953219999999998</v>
      </c>
      <c r="AB6661">
        <v>40</v>
      </c>
      <c r="AC6661">
        <v>0.75730000000001496</v>
      </c>
      <c r="AD6661">
        <v>-6.5207000000000001E-2</v>
      </c>
      <c r="AE6661">
        <v>-0.116100000000017</v>
      </c>
      <c r="AF6661">
        <v>3.1557154556888699E-2</v>
      </c>
      <c r="AG6661">
        <v>-6.5207000000000001E-2</v>
      </c>
      <c r="AH6661">
        <v>0.75998306302996899</v>
      </c>
      <c r="AI6661">
        <v>94.899799865715707</v>
      </c>
      <c r="AJ6661">
        <v>87.622244810341897</v>
      </c>
      <c r="AK6661">
        <v>0.76342783741827303</v>
      </c>
    </row>
    <row r="6662" spans="1:37" x14ac:dyDescent="0.2">
      <c r="A6662" t="str">
        <f>"20200111153559638"</f>
        <v>20200111153559638</v>
      </c>
      <c r="B6662" t="str">
        <f>"1578728159632265"</f>
        <v>1578728159632265</v>
      </c>
      <c r="C6662" t="s">
        <v>37</v>
      </c>
      <c r="D6662">
        <v>5.0496109999999996</v>
      </c>
      <c r="E6662">
        <v>0.51142489999999996</v>
      </c>
      <c r="F6662" t="s">
        <v>39</v>
      </c>
      <c r="G6662">
        <v>-133.46010000000001</v>
      </c>
      <c r="H6662" s="1">
        <v>-3.4958249999999899E-6</v>
      </c>
      <c r="I6662">
        <v>135.62520000000001</v>
      </c>
      <c r="J6662">
        <v>-150.53579999999999</v>
      </c>
      <c r="K6662">
        <v>1.1030530000000001</v>
      </c>
      <c r="L6662">
        <v>138.05869999999999</v>
      </c>
      <c r="M6662">
        <v>0.99380360000000001</v>
      </c>
      <c r="N6662">
        <v>0</v>
      </c>
      <c r="O6662">
        <v>-0.1109236</v>
      </c>
      <c r="P6662">
        <v>0.99293399999999998</v>
      </c>
      <c r="Q6662">
        <v>4.2022660000000003E-2</v>
      </c>
      <c r="R6662">
        <v>-0.1109779</v>
      </c>
      <c r="S6662">
        <v>2.982971</v>
      </c>
      <c r="T6662">
        <v>-0.18834989999999999</v>
      </c>
      <c r="U6662">
        <v>-0.42312619999999901</v>
      </c>
      <c r="V6662">
        <v>3.0613320000000001E-4</v>
      </c>
      <c r="W6662">
        <v>4.9117170000000002E-2</v>
      </c>
      <c r="X6662">
        <v>0.99879300000000004</v>
      </c>
      <c r="Y6662">
        <v>2.9904590000000002E-2</v>
      </c>
      <c r="Z6662">
        <v>5.9995329999999996E-3</v>
      </c>
      <c r="AA6662">
        <v>0.9995347</v>
      </c>
      <c r="AB6662">
        <v>40</v>
      </c>
      <c r="AC6662">
        <v>17.075699999999902</v>
      </c>
      <c r="AD6662">
        <v>-1.103056495825</v>
      </c>
      <c r="AE6662">
        <v>-2.43349999999998</v>
      </c>
      <c r="AF6662">
        <v>0.52220043020377505</v>
      </c>
      <c r="AG6662">
        <v>-1.103056495825</v>
      </c>
      <c r="AH6662">
        <v>17.170036107471201</v>
      </c>
      <c r="AI6662">
        <v>93.674113451006804</v>
      </c>
      <c r="AJ6662">
        <v>88.2579733351008</v>
      </c>
      <c r="AK6662">
        <v>17.213354317336002</v>
      </c>
    </row>
    <row r="6663" spans="1:37" x14ac:dyDescent="0.2">
      <c r="A6663" t="str">
        <f>"20200111153559659"</f>
        <v>20200111153559659</v>
      </c>
      <c r="B6663" t="str">
        <f>"1578728159651785"</f>
        <v>1578728159651785</v>
      </c>
      <c r="C6663" t="s">
        <v>37</v>
      </c>
      <c r="D6663">
        <v>5.0639440000000002</v>
      </c>
      <c r="E6663">
        <v>0.51145419999999997</v>
      </c>
      <c r="F6663" t="s">
        <v>39</v>
      </c>
      <c r="G6663">
        <v>-133.94309999999999</v>
      </c>
      <c r="H6663" s="1">
        <v>-3.27603E-6</v>
      </c>
      <c r="I6663">
        <v>135.69630000000001</v>
      </c>
      <c r="J6663">
        <v>-150.15809999999999</v>
      </c>
      <c r="K6663">
        <v>1.1034059999999899</v>
      </c>
      <c r="L6663">
        <v>138.0162</v>
      </c>
      <c r="M6663">
        <v>0.99376359999999997</v>
      </c>
      <c r="N6663">
        <v>0</v>
      </c>
      <c r="O6663">
        <v>-0.1112337</v>
      </c>
      <c r="P6663">
        <v>0.99306830000000001</v>
      </c>
      <c r="Q6663">
        <v>3.9118739999999999E-2</v>
      </c>
      <c r="R6663">
        <v>-0.1108403</v>
      </c>
      <c r="S6663">
        <v>2.9822850000000001</v>
      </c>
      <c r="T6663">
        <v>-0.19825680000000001</v>
      </c>
      <c r="U6663">
        <v>-0.42460629999999999</v>
      </c>
      <c r="V6663">
        <v>-1.92255299999999E-4</v>
      </c>
      <c r="W6663">
        <v>4.692673E-2</v>
      </c>
      <c r="X6663">
        <v>0.99889830000000002</v>
      </c>
      <c r="Y6663">
        <v>3.012747E-2</v>
      </c>
      <c r="Z6663">
        <v>6.3285879999999996E-3</v>
      </c>
      <c r="AA6663">
        <v>0.99952600000000003</v>
      </c>
      <c r="AB6663">
        <v>40</v>
      </c>
      <c r="AC6663">
        <v>16.215</v>
      </c>
      <c r="AD6663">
        <v>-1.1034092760299901</v>
      </c>
      <c r="AE6663">
        <v>-2.3198999999999899</v>
      </c>
      <c r="AF6663">
        <v>0.49952630854746699</v>
      </c>
      <c r="AG6663">
        <v>-1.1034092760299901</v>
      </c>
      <c r="AH6663">
        <v>16.298468791663201</v>
      </c>
      <c r="AI6663">
        <v>93.871212486357507</v>
      </c>
      <c r="AJ6663">
        <v>88.244510382899605</v>
      </c>
      <c r="AK6663">
        <v>16.3434122360106</v>
      </c>
    </row>
    <row r="6664" spans="1:37" x14ac:dyDescent="0.2">
      <c r="A6664" t="str">
        <f>"20200111153559682"</f>
        <v>20200111153559682</v>
      </c>
      <c r="B6664" t="str">
        <f>"1578728159672283"</f>
        <v>1578728159672283</v>
      </c>
      <c r="C6664" t="s">
        <v>37</v>
      </c>
      <c r="D6664">
        <v>5.026681</v>
      </c>
      <c r="E6664">
        <v>0.5114263</v>
      </c>
      <c r="F6664" t="s">
        <v>40</v>
      </c>
      <c r="G6664">
        <v>-149.1044</v>
      </c>
      <c r="H6664">
        <v>1.029542</v>
      </c>
      <c r="I6664">
        <v>137.86619999999999</v>
      </c>
      <c r="J6664">
        <v>-149.7638</v>
      </c>
      <c r="K6664">
        <v>1.1037349999999999</v>
      </c>
      <c r="L6664">
        <v>137.9718</v>
      </c>
      <c r="M6664">
        <v>0.99374549999999995</v>
      </c>
      <c r="N6664">
        <v>0</v>
      </c>
      <c r="O6664">
        <v>-0.1113436</v>
      </c>
      <c r="P6664">
        <v>0.99328830000000001</v>
      </c>
      <c r="Q6664">
        <v>3.5621649999999998E-2</v>
      </c>
      <c r="R6664">
        <v>-0.1100433</v>
      </c>
      <c r="S6664">
        <v>2.9817809999999998</v>
      </c>
      <c r="T6664">
        <v>-0.20903829999999901</v>
      </c>
      <c r="U6664">
        <v>-0.4245911</v>
      </c>
      <c r="V6664">
        <v>-1.152171E-3</v>
      </c>
      <c r="W6664">
        <v>4.4128689999999998E-2</v>
      </c>
      <c r="X6664">
        <v>0.99902519999999995</v>
      </c>
      <c r="Y6664">
        <v>3.0054709999999998E-2</v>
      </c>
      <c r="Z6664">
        <v>6.6832230000000003E-3</v>
      </c>
      <c r="AA6664">
        <v>0.99952589999999997</v>
      </c>
      <c r="AB6664">
        <v>40</v>
      </c>
      <c r="AC6664">
        <v>0.65940000000000498</v>
      </c>
      <c r="AD6664">
        <v>-7.4193000000000106E-2</v>
      </c>
      <c r="AE6664">
        <v>-0.10560000000000901</v>
      </c>
      <c r="AF6664">
        <v>3.1136372697198898E-2</v>
      </c>
      <c r="AG6664">
        <v>-7.4193000000000106E-2</v>
      </c>
      <c r="AH6664">
        <v>0.65892455903274705</v>
      </c>
      <c r="AI6664">
        <v>96.417180474274403</v>
      </c>
      <c r="AJ6664">
        <v>87.294596638848901</v>
      </c>
      <c r="AK6664">
        <v>0.66381898846766896</v>
      </c>
    </row>
    <row r="6665" spans="1:37" x14ac:dyDescent="0.2">
      <c r="A6665" t="str">
        <f>"20200111153559705"</f>
        <v>20200111153559705</v>
      </c>
      <c r="B6665" t="str">
        <f>"1578728159702538"</f>
        <v>1578728159702538</v>
      </c>
      <c r="C6665" t="s">
        <v>37</v>
      </c>
      <c r="D6665">
        <v>4.978434</v>
      </c>
      <c r="E6665">
        <v>0.51148229999999995</v>
      </c>
      <c r="F6665" t="s">
        <v>40</v>
      </c>
      <c r="G6665">
        <v>-148.75030000000001</v>
      </c>
      <c r="H6665">
        <v>1.0284180000000001</v>
      </c>
      <c r="I6665">
        <v>137.82820000000001</v>
      </c>
      <c r="J6665">
        <v>-149.3528</v>
      </c>
      <c r="K6665">
        <v>1.1040270000000001</v>
      </c>
      <c r="L6665">
        <v>137.9256</v>
      </c>
      <c r="M6665">
        <v>0.99374589999999996</v>
      </c>
      <c r="N6665">
        <v>0</v>
      </c>
      <c r="O6665">
        <v>-0.111286</v>
      </c>
      <c r="P6665">
        <v>0.99347419999999997</v>
      </c>
      <c r="Q6665">
        <v>3.1212480000000001E-2</v>
      </c>
      <c r="R6665">
        <v>-0.1097038</v>
      </c>
      <c r="S6665">
        <v>2.9814449999999999</v>
      </c>
      <c r="T6665">
        <v>-0.22165370000000001</v>
      </c>
      <c r="U6665">
        <v>-0.42207339999999999</v>
      </c>
      <c r="V6665">
        <v>-1.482531E-3</v>
      </c>
      <c r="W6665">
        <v>4.0396969999999997E-2</v>
      </c>
      <c r="X6665">
        <v>0.99918259999999903</v>
      </c>
      <c r="Y6665">
        <v>2.9326319999999999E-2</v>
      </c>
      <c r="Z6665">
        <v>7.1095219999999897E-3</v>
      </c>
      <c r="AA6665">
        <v>0.99954460000000001</v>
      </c>
      <c r="AB6665">
        <v>40</v>
      </c>
      <c r="AC6665">
        <v>0.60249999999999204</v>
      </c>
      <c r="AD6665">
        <v>-7.5608999999999996E-2</v>
      </c>
      <c r="AE6665">
        <v>-9.73999999999932E-2</v>
      </c>
      <c r="AF6665">
        <v>2.9292731378488999E-2</v>
      </c>
      <c r="AG6665">
        <v>-7.5608999999999996E-2</v>
      </c>
      <c r="AH6665">
        <v>0.60038273326369596</v>
      </c>
      <c r="AI6665">
        <v>97.169299700525599</v>
      </c>
      <c r="AJ6665">
        <v>87.2067484146704</v>
      </c>
      <c r="AK6665">
        <v>0.60583348487335897</v>
      </c>
    </row>
    <row r="6666" spans="1:37" x14ac:dyDescent="0.2">
      <c r="A6666" t="str">
        <f>"20200111153559725"</f>
        <v>20200111153559725</v>
      </c>
      <c r="B6666" t="str">
        <f>"1578728159722057"</f>
        <v>1578728159722057</v>
      </c>
      <c r="C6666" t="s">
        <v>37</v>
      </c>
      <c r="D6666">
        <v>5.1808889999999996</v>
      </c>
      <c r="E6666">
        <v>0.51141829999999999</v>
      </c>
      <c r="F6666" t="s">
        <v>40</v>
      </c>
      <c r="G6666">
        <v>-148.39609999999999</v>
      </c>
      <c r="H6666">
        <v>1.027944</v>
      </c>
      <c r="I6666">
        <v>137.79050000000001</v>
      </c>
      <c r="J6666">
        <v>-148.9778</v>
      </c>
      <c r="K6666">
        <v>1.1042620000000001</v>
      </c>
      <c r="L6666">
        <v>137.8836</v>
      </c>
      <c r="M6666">
        <v>0.99376030000000004</v>
      </c>
      <c r="N6666">
        <v>0</v>
      </c>
      <c r="O6666">
        <v>-0.1111095</v>
      </c>
      <c r="P6666">
        <v>0.99353769999999997</v>
      </c>
      <c r="Q6666">
        <v>2.7715549999999999E-2</v>
      </c>
      <c r="R6666">
        <v>-0.11006829999999999</v>
      </c>
      <c r="S6666">
        <v>2.980667</v>
      </c>
      <c r="T6666">
        <v>-0.2370024</v>
      </c>
      <c r="U6666">
        <v>-0.421234099999999</v>
      </c>
      <c r="V6666">
        <v>-9.7284279999999997E-4</v>
      </c>
      <c r="W6666">
        <v>3.7471409999999997E-2</v>
      </c>
      <c r="X6666">
        <v>0.9992972</v>
      </c>
      <c r="Y6666">
        <v>2.92947E-2</v>
      </c>
      <c r="Z6666">
        <v>7.58996699999999E-3</v>
      </c>
      <c r="AA6666">
        <v>0.99954200000000004</v>
      </c>
      <c r="AB6666">
        <v>40</v>
      </c>
      <c r="AC6666">
        <v>0.58170000000001199</v>
      </c>
      <c r="AD6666">
        <v>-7.6318000000000094E-2</v>
      </c>
      <c r="AE6666">
        <v>-9.3099999999992605E-2</v>
      </c>
      <c r="AF6666">
        <v>2.74276937268263E-2</v>
      </c>
      <c r="AG6666">
        <v>-7.6318000000000094E-2</v>
      </c>
      <c r="AH6666">
        <v>0.57872979510908895</v>
      </c>
      <c r="AI6666">
        <v>97.504010611212095</v>
      </c>
      <c r="AJ6666">
        <v>87.286616104416694</v>
      </c>
      <c r="AK6666">
        <v>0.58438419832690602</v>
      </c>
    </row>
    <row r="6667" spans="1:37" x14ac:dyDescent="0.2">
      <c r="A6667" t="str">
        <f>"20200111153559749"</f>
        <v>20200111153559749</v>
      </c>
      <c r="B6667" t="str">
        <f>"1578728159742553"</f>
        <v>1578728159742553</v>
      </c>
      <c r="C6667" t="s">
        <v>37</v>
      </c>
      <c r="D6667">
        <v>5.1544930000000004</v>
      </c>
      <c r="E6667">
        <v>0.51652829999999905</v>
      </c>
      <c r="F6667" t="s">
        <v>40</v>
      </c>
      <c r="G6667">
        <v>-148.0427</v>
      </c>
      <c r="H6667">
        <v>1.027066</v>
      </c>
      <c r="I6667">
        <v>137.75110000000001</v>
      </c>
      <c r="J6667">
        <v>-148.57140000000001</v>
      </c>
      <c r="K6667">
        <v>1.104471</v>
      </c>
      <c r="L6667">
        <v>137.8383</v>
      </c>
      <c r="M6667">
        <v>0.99378840000000002</v>
      </c>
      <c r="N6667">
        <v>0</v>
      </c>
      <c r="O6667">
        <v>-0.1108068</v>
      </c>
      <c r="P6667">
        <v>0.99366489999999996</v>
      </c>
      <c r="Q6667">
        <v>2.5394139999999999E-2</v>
      </c>
      <c r="R6667">
        <v>-0.1094787</v>
      </c>
      <c r="S6667">
        <v>2.9796749999999999</v>
      </c>
      <c r="T6667">
        <v>-0.24605839999999901</v>
      </c>
      <c r="U6667">
        <v>-0.42160029999999998</v>
      </c>
      <c r="V6667">
        <v>-1.287893E-3</v>
      </c>
      <c r="W6667">
        <v>3.5713999999999899E-2</v>
      </c>
      <c r="X6667">
        <v>0.99936119999999995</v>
      </c>
      <c r="Y6667">
        <v>2.9782159999999998E-2</v>
      </c>
      <c r="Z6667">
        <v>7.8369679999999997E-3</v>
      </c>
      <c r="AA6667">
        <v>0.99952569999999996</v>
      </c>
      <c r="AB6667">
        <v>40</v>
      </c>
      <c r="AC6667">
        <v>0.52870000000001405</v>
      </c>
      <c r="AD6667">
        <v>-7.7404999999999904E-2</v>
      </c>
      <c r="AE6667">
        <v>-8.7199999999995698E-2</v>
      </c>
      <c r="AF6667">
        <v>2.75023913864871E-2</v>
      </c>
      <c r="AG6667">
        <v>-7.7404999999999904E-2</v>
      </c>
      <c r="AH6667">
        <v>0.52416885539771896</v>
      </c>
      <c r="AI6667">
        <v>98.388890417036805</v>
      </c>
      <c r="AJ6667">
        <v>86.996526379306303</v>
      </c>
      <c r="AK6667">
        <v>0.53056658821106595</v>
      </c>
    </row>
    <row r="6668" spans="1:37" x14ac:dyDescent="0.2">
      <c r="A6668" t="str">
        <f>"20200111153559771"</f>
        <v>20200111153559771</v>
      </c>
      <c r="B6668" t="str">
        <f>"1578728159762492"</f>
        <v>1578728159762492</v>
      </c>
      <c r="C6668" t="s">
        <v>37</v>
      </c>
      <c r="D6668">
        <v>5.7635649999999998</v>
      </c>
      <c r="E6668">
        <v>0.5171694</v>
      </c>
      <c r="F6668" t="s">
        <v>40</v>
      </c>
      <c r="G6668">
        <v>-147.72329999999999</v>
      </c>
      <c r="H6668">
        <v>0.95879890000000001</v>
      </c>
      <c r="I6668">
        <v>137.70679999999999</v>
      </c>
      <c r="J6668">
        <v>-148.185</v>
      </c>
      <c r="K6668">
        <v>1.104627</v>
      </c>
      <c r="L6668">
        <v>137.7953</v>
      </c>
      <c r="M6668">
        <v>0.99382420000000005</v>
      </c>
      <c r="N6668">
        <v>0</v>
      </c>
      <c r="O6668">
        <v>-0.110439699999999</v>
      </c>
      <c r="P6668">
        <v>0.99394079999999996</v>
      </c>
      <c r="Q6668">
        <v>2.269324E-2</v>
      </c>
      <c r="R6668">
        <v>-0.10755039999999901</v>
      </c>
      <c r="S6668">
        <v>2.98133899999999</v>
      </c>
      <c r="T6668">
        <v>-0.51205100000000003</v>
      </c>
      <c r="U6668">
        <v>-0.46194459999999998</v>
      </c>
      <c r="V6668">
        <v>-2.880685E-3</v>
      </c>
      <c r="W6668">
        <v>3.3494709999999997E-2</v>
      </c>
      <c r="X6668">
        <v>0.99943479999999996</v>
      </c>
      <c r="Y6668">
        <v>4.3979379999999998E-2</v>
      </c>
      <c r="Z6668">
        <v>1.492633E-2</v>
      </c>
      <c r="AA6668">
        <v>0.9989209</v>
      </c>
      <c r="AB6668">
        <v>40</v>
      </c>
      <c r="AC6668">
        <v>0.46170000000000699</v>
      </c>
      <c r="AD6668">
        <v>-0.14582809999999999</v>
      </c>
      <c r="AE6668">
        <v>-8.8500000000010404E-2</v>
      </c>
      <c r="AF6668">
        <v>3.3720775150876597E-2</v>
      </c>
      <c r="AG6668">
        <v>-0.14582809999999999</v>
      </c>
      <c r="AH6668">
        <v>0.427512126969466</v>
      </c>
      <c r="AI6668">
        <v>108.780729542766</v>
      </c>
      <c r="AJ6668">
        <v>85.490031575447702</v>
      </c>
      <c r="AK6668">
        <v>0.452956448383664</v>
      </c>
    </row>
    <row r="6669" spans="1:37" x14ac:dyDescent="0.2">
      <c r="A6669" t="str">
        <f>"20200111153559796"</f>
        <v>20200111153559796</v>
      </c>
      <c r="B6669" t="str">
        <f>"1578728159791773"</f>
        <v>1578728159791773</v>
      </c>
      <c r="C6669" t="s">
        <v>37</v>
      </c>
      <c r="D6669">
        <v>4.9752599999999996</v>
      </c>
      <c r="E6669">
        <v>0.51449109999999998</v>
      </c>
      <c r="F6669" t="s">
        <v>40</v>
      </c>
      <c r="G6669">
        <v>-147.36109999999999</v>
      </c>
      <c r="H6669">
        <v>0.97726919999999995</v>
      </c>
      <c r="I6669">
        <v>137.66739999999999</v>
      </c>
      <c r="J6669">
        <v>-147.74039999999999</v>
      </c>
      <c r="K6669">
        <v>1.104768</v>
      </c>
      <c r="L6669">
        <v>137.74629999999999</v>
      </c>
      <c r="M6669">
        <v>0.99387369999999997</v>
      </c>
      <c r="N6669">
        <v>0</v>
      </c>
      <c r="O6669">
        <v>-0.1099434</v>
      </c>
      <c r="P6669">
        <v>0.99439449999999996</v>
      </c>
      <c r="Q6669">
        <v>1.8116239999999999E-2</v>
      </c>
      <c r="R6669">
        <v>-0.104171499999999</v>
      </c>
      <c r="S6669">
        <v>2.9788209999999999</v>
      </c>
      <c r="T6669">
        <v>-0.46055819999999997</v>
      </c>
      <c r="U6669">
        <v>-0.4618835</v>
      </c>
      <c r="V6669">
        <v>-5.8027740000000001E-3</v>
      </c>
      <c r="W6669">
        <v>2.9408810000000001E-2</v>
      </c>
      <c r="X6669">
        <v>0.99955059999999996</v>
      </c>
      <c r="Y6669">
        <v>4.439742E-2</v>
      </c>
      <c r="Z6669">
        <v>1.3347599999999999E-2</v>
      </c>
      <c r="AA6669">
        <v>0.99892479999999995</v>
      </c>
      <c r="AB6669">
        <v>40</v>
      </c>
      <c r="AC6669">
        <v>0.37930000000000003</v>
      </c>
      <c r="AD6669">
        <v>-0.1274988</v>
      </c>
      <c r="AE6669">
        <v>-7.8900000000004397E-2</v>
      </c>
      <c r="AF6669">
        <v>3.3129359088038497E-2</v>
      </c>
      <c r="AG6669">
        <v>-0.1274988</v>
      </c>
      <c r="AH6669">
        <v>0.34798662222820798</v>
      </c>
      <c r="AI6669">
        <v>110.038972998746</v>
      </c>
      <c r="AJ6669">
        <v>84.561662555054298</v>
      </c>
      <c r="AK6669">
        <v>0.37208626376798898</v>
      </c>
    </row>
    <row r="6670" spans="1:37" x14ac:dyDescent="0.2">
      <c r="A6670" t="str">
        <f>"20200111153559817"</f>
        <v>20200111153559817</v>
      </c>
      <c r="B6670" t="str">
        <f>"1578728159812269"</f>
        <v>1578728159812269</v>
      </c>
      <c r="C6670" t="s">
        <v>37</v>
      </c>
      <c r="D6670">
        <v>4.9467689999999997</v>
      </c>
      <c r="E6670">
        <v>0.51372280000000003</v>
      </c>
      <c r="F6670" t="s">
        <v>40</v>
      </c>
      <c r="G6670">
        <v>-146.99270000000001</v>
      </c>
      <c r="H6670">
        <v>1.0063260000000001</v>
      </c>
      <c r="I6670">
        <v>137.63820000000001</v>
      </c>
      <c r="J6670">
        <v>-147.3646</v>
      </c>
      <c r="K6670">
        <v>1.1048389999999999</v>
      </c>
      <c r="L6670">
        <v>137.70509999999999</v>
      </c>
      <c r="M6670">
        <v>0.99392269999999905</v>
      </c>
      <c r="N6670">
        <v>0</v>
      </c>
      <c r="O6670">
        <v>-0.1094623</v>
      </c>
      <c r="P6670">
        <v>0.99509479999999995</v>
      </c>
      <c r="Q6670">
        <v>1.3410689999999999E-2</v>
      </c>
      <c r="R6670">
        <v>-9.8014470000000006E-2</v>
      </c>
      <c r="S6670">
        <v>2.9789119999999998</v>
      </c>
      <c r="T6670">
        <v>-0.39209549999999999</v>
      </c>
      <c r="U6670">
        <v>-0.4308014</v>
      </c>
      <c r="V6670">
        <v>-1.152254E-2</v>
      </c>
      <c r="W6670">
        <v>2.5063579999999998E-2</v>
      </c>
      <c r="X6670">
        <v>0.99961939999999905</v>
      </c>
      <c r="Y6670">
        <v>3.4552920000000001E-2</v>
      </c>
      <c r="Z6670">
        <v>1.1971509999999999E-2</v>
      </c>
      <c r="AA6670">
        <v>0.99933119999999998</v>
      </c>
      <c r="AB6670">
        <v>40</v>
      </c>
      <c r="AC6670">
        <v>0.37189999999998202</v>
      </c>
      <c r="AD6670">
        <v>-9.8512999999999795E-2</v>
      </c>
      <c r="AE6670">
        <v>-6.6899999999975507E-2</v>
      </c>
      <c r="AF6670">
        <v>2.4145059607765501E-2</v>
      </c>
      <c r="AG6670">
        <v>-9.8512999999999795E-2</v>
      </c>
      <c r="AH6670">
        <v>0.35299605454226102</v>
      </c>
      <c r="AI6670">
        <v>105.558596296736</v>
      </c>
      <c r="AJ6670">
        <v>86.087042471557794</v>
      </c>
      <c r="AK6670">
        <v>0.36727919842384898</v>
      </c>
    </row>
    <row r="6671" spans="1:37" x14ac:dyDescent="0.2">
      <c r="A6671" t="str">
        <f>"20200111153559838"</f>
        <v>20200111153559838</v>
      </c>
      <c r="B6671" t="str">
        <f>"1578728159831788"</f>
        <v>1578728159831788</v>
      </c>
      <c r="C6671" t="s">
        <v>37</v>
      </c>
      <c r="D6671">
        <v>4.9527619999999999</v>
      </c>
      <c r="E6671">
        <v>0.51273290000000005</v>
      </c>
      <c r="F6671" t="s">
        <v>40</v>
      </c>
      <c r="G6671">
        <v>-146.6369</v>
      </c>
      <c r="H6671">
        <v>1.011244</v>
      </c>
      <c r="I6671">
        <v>137.6054</v>
      </c>
      <c r="J6671">
        <v>-146.99529999999999</v>
      </c>
      <c r="K6671">
        <v>1.1049069999999901</v>
      </c>
      <c r="L6671">
        <v>137.66489999999999</v>
      </c>
      <c r="M6671">
        <v>0.993977</v>
      </c>
      <c r="N6671">
        <v>0</v>
      </c>
      <c r="O6671">
        <v>-0.108934199999999</v>
      </c>
      <c r="P6671">
        <v>0.99580809999999997</v>
      </c>
      <c r="Q6671">
        <v>1.0169889999999999E-2</v>
      </c>
      <c r="R6671">
        <v>-9.0902440000000001E-2</v>
      </c>
      <c r="S6671">
        <v>2.979813</v>
      </c>
      <c r="T6671">
        <v>-0.38336219999999999</v>
      </c>
      <c r="U6671">
        <v>-0.40754699999999999</v>
      </c>
      <c r="V6671">
        <v>-1.8142330000000002E-2</v>
      </c>
      <c r="W6671">
        <v>2.2131850000000002E-2</v>
      </c>
      <c r="X6671">
        <v>0.99959050000000005</v>
      </c>
      <c r="Y6671">
        <v>2.7418640000000001E-2</v>
      </c>
      <c r="Z6671">
        <v>1.2099479999999999E-2</v>
      </c>
      <c r="AA6671">
        <v>0.99955079999999996</v>
      </c>
      <c r="AB6671">
        <v>40</v>
      </c>
      <c r="AC6671">
        <v>0.35839999999998801</v>
      </c>
      <c r="AD6671">
        <v>-9.3662999999999802E-2</v>
      </c>
      <c r="AE6671">
        <v>-5.9499999999985599E-2</v>
      </c>
      <c r="AF6671">
        <v>1.8848301439119301E-2</v>
      </c>
      <c r="AG6671">
        <v>-9.3662999999999802E-2</v>
      </c>
      <c r="AH6671">
        <v>0.340141421084942</v>
      </c>
      <c r="AI6671">
        <v>105.37321904409301</v>
      </c>
      <c r="AJ6671">
        <v>86.828305108757704</v>
      </c>
      <c r="AK6671">
        <v>0.35330468773259099</v>
      </c>
    </row>
    <row r="6672" spans="1:37" x14ac:dyDescent="0.2">
      <c r="A6672" t="str">
        <f>"20200111153559861"</f>
        <v>20200111153559861</v>
      </c>
      <c r="B6672" t="str">
        <f>"1578728159852285"</f>
        <v>1578728159852285</v>
      </c>
      <c r="C6672" t="s">
        <v>37</v>
      </c>
      <c r="D6672">
        <v>4.9974089999999904</v>
      </c>
      <c r="E6672">
        <v>0.51189519999999999</v>
      </c>
      <c r="F6672" t="s">
        <v>40</v>
      </c>
      <c r="G6672">
        <v>-146.2826</v>
      </c>
      <c r="H6672">
        <v>1.0134379999999901</v>
      </c>
      <c r="I6672">
        <v>137.57409999999999</v>
      </c>
      <c r="J6672">
        <v>-146.60319999999999</v>
      </c>
      <c r="K6672">
        <v>1.1049789999999999</v>
      </c>
      <c r="L6672">
        <v>137.6225</v>
      </c>
      <c r="M6672">
        <v>0.99404090000000001</v>
      </c>
      <c r="N6672">
        <v>0</v>
      </c>
      <c r="O6672">
        <v>-0.1083156</v>
      </c>
      <c r="P6672">
        <v>0.99645499999999998</v>
      </c>
      <c r="Q6672">
        <v>8.4625700000000009E-3</v>
      </c>
      <c r="R6672">
        <v>-8.3703199999999894E-2</v>
      </c>
      <c r="S6672">
        <v>2.981903</v>
      </c>
      <c r="T6672">
        <v>-0.38276149999999998</v>
      </c>
      <c r="U6672">
        <v>-0.37936399999999998</v>
      </c>
      <c r="V6672">
        <v>-2.4750330000000001E-2</v>
      </c>
      <c r="W6672">
        <v>2.0706909999999999E-2</v>
      </c>
      <c r="X6672">
        <v>0.99947919999999901</v>
      </c>
      <c r="Y6672">
        <v>1.8723090000000001E-2</v>
      </c>
      <c r="Z6672">
        <v>1.2556940000000001E-2</v>
      </c>
      <c r="AA6672">
        <v>0.99974580000000002</v>
      </c>
      <c r="AB6672">
        <v>40</v>
      </c>
      <c r="AC6672">
        <v>0.32059999999998401</v>
      </c>
      <c r="AD6672">
        <v>-9.1541000000000303E-2</v>
      </c>
      <c r="AE6672">
        <v>-4.8400000000015098E-2</v>
      </c>
      <c r="AF6672">
        <v>1.23983242525649E-2</v>
      </c>
      <c r="AG6672">
        <v>-9.1541000000000303E-2</v>
      </c>
      <c r="AH6672">
        <v>0.30003992035182298</v>
      </c>
      <c r="AI6672">
        <v>106.95310457202601</v>
      </c>
      <c r="AJ6672">
        <v>87.633755738056195</v>
      </c>
      <c r="AK6672">
        <v>0.31393857190539698</v>
      </c>
    </row>
    <row r="6673" spans="1:37" x14ac:dyDescent="0.2">
      <c r="A6673" t="str">
        <f>"20200111153559882"</f>
        <v>20200111153559882</v>
      </c>
      <c r="B6673" t="str">
        <f>"1578728159871804"</f>
        <v>1578728159871804</v>
      </c>
      <c r="C6673" t="s">
        <v>37</v>
      </c>
      <c r="D6673">
        <v>5.0214400000000001</v>
      </c>
      <c r="E6673">
        <v>0.5114168</v>
      </c>
      <c r="F6673" t="s">
        <v>40</v>
      </c>
      <c r="G6673">
        <v>-145.59639999999999</v>
      </c>
      <c r="H6673">
        <v>0.97584490000000002</v>
      </c>
      <c r="I6673">
        <v>137.50370000000001</v>
      </c>
      <c r="J6673">
        <v>-146.21549999999999</v>
      </c>
      <c r="K6673">
        <v>1.1050549999999999</v>
      </c>
      <c r="L6673">
        <v>137.58080000000001</v>
      </c>
      <c r="M6673">
        <v>0.99410929999999997</v>
      </c>
      <c r="N6673">
        <v>0</v>
      </c>
      <c r="O6673">
        <v>-0.10765479999999999</v>
      </c>
      <c r="P6673">
        <v>0.99698850000000006</v>
      </c>
      <c r="Q6673">
        <v>9.8043690000000003E-3</v>
      </c>
      <c r="R6673">
        <v>-7.6925069999999998E-2</v>
      </c>
      <c r="S6673">
        <v>2.984375</v>
      </c>
      <c r="T6673">
        <v>-0.38278570000000001</v>
      </c>
      <c r="U6673">
        <v>-0.3517303</v>
      </c>
      <c r="V6673">
        <v>-3.0888659999999998E-2</v>
      </c>
      <c r="W6673">
        <v>2.228869E-2</v>
      </c>
      <c r="X6673">
        <v>0.99927429999999995</v>
      </c>
      <c r="Y6673">
        <v>1.022591E-2</v>
      </c>
      <c r="Z6673">
        <v>1.301359E-2</v>
      </c>
      <c r="AA6673">
        <v>0.99986299999999995</v>
      </c>
      <c r="AB6673">
        <v>40</v>
      </c>
      <c r="AC6673">
        <v>0.61910000000000298</v>
      </c>
      <c r="AD6673">
        <v>-0.129210099999999</v>
      </c>
      <c r="AE6673">
        <v>-7.7100000000001501E-2</v>
      </c>
      <c r="AF6673">
        <v>9.5863380950116199E-3</v>
      </c>
      <c r="AG6673">
        <v>-0.129210099999999</v>
      </c>
      <c r="AH6673">
        <v>0.59814593147261397</v>
      </c>
      <c r="AI6673">
        <v>102.188082965132</v>
      </c>
      <c r="AJ6673">
        <v>89.081813207459504</v>
      </c>
      <c r="AK6673">
        <v>0.61201773108082702</v>
      </c>
    </row>
    <row r="6674" spans="1:37" x14ac:dyDescent="0.2">
      <c r="A6674" t="str">
        <f>"20200111153559911"</f>
        <v>20200111153559911</v>
      </c>
      <c r="B6674" t="str">
        <f>"1578728159902061"</f>
        <v>1578728159902061</v>
      </c>
      <c r="C6674" t="s">
        <v>37</v>
      </c>
      <c r="D6674">
        <v>5.0313129999999999</v>
      </c>
      <c r="E6674">
        <v>0.51120639999999995</v>
      </c>
      <c r="F6674" t="s">
        <v>40</v>
      </c>
      <c r="G6674">
        <v>-145.2405</v>
      </c>
      <c r="H6674">
        <v>0.98292520000000005</v>
      </c>
      <c r="I6674">
        <v>137.47370000000001</v>
      </c>
      <c r="J6674">
        <v>-145.71870000000001</v>
      </c>
      <c r="K6674">
        <v>1.1051530000000001</v>
      </c>
      <c r="L6674">
        <v>137.52789999999999</v>
      </c>
      <c r="M6674">
        <v>0.9942029</v>
      </c>
      <c r="N6674">
        <v>0</v>
      </c>
      <c r="O6674">
        <v>-0.1067558</v>
      </c>
      <c r="P6674">
        <v>0.99735209999999996</v>
      </c>
      <c r="Q6674">
        <v>1.104365E-2</v>
      </c>
      <c r="R6674">
        <v>-7.1882210000000002E-2</v>
      </c>
      <c r="S6674">
        <v>2.9874419999999899</v>
      </c>
      <c r="T6674">
        <v>-0.37427290000000002</v>
      </c>
      <c r="U6674">
        <v>-0.32786559999999998</v>
      </c>
      <c r="V6674">
        <v>-3.5044560000000002E-2</v>
      </c>
      <c r="W6674">
        <v>2.3793180000000001E-2</v>
      </c>
      <c r="X6674">
        <v>0.9991025</v>
      </c>
      <c r="Y6674">
        <v>3.1378159999999999E-3</v>
      </c>
      <c r="Z6674">
        <v>1.3050600000000001E-2</v>
      </c>
      <c r="AA6674">
        <v>0.99990990000000002</v>
      </c>
      <c r="AB6674">
        <v>40</v>
      </c>
      <c r="AC6674">
        <v>0.478200000000015</v>
      </c>
      <c r="AD6674">
        <v>-0.1222278</v>
      </c>
      <c r="AE6674">
        <v>-5.4199999999980202E-2</v>
      </c>
      <c r="AF6674">
        <v>2.6635968896768702E-3</v>
      </c>
      <c r="AG6674">
        <v>-0.1222278</v>
      </c>
      <c r="AH6674">
        <v>0.45209227436277499</v>
      </c>
      <c r="AI6674">
        <v>105.128563496571</v>
      </c>
      <c r="AJ6674">
        <v>89.662433748709702</v>
      </c>
      <c r="AK6674">
        <v>0.46833124429161999</v>
      </c>
    </row>
    <row r="6675" spans="1:37" x14ac:dyDescent="0.2">
      <c r="A6675" t="str">
        <f>"20200111153559930"</f>
        <v>20200111153559930</v>
      </c>
      <c r="B6675" t="str">
        <f>"1578728159922557"</f>
        <v>1578728159922557</v>
      </c>
      <c r="C6675" t="s">
        <v>37</v>
      </c>
      <c r="D6675">
        <v>5.147532</v>
      </c>
      <c r="E6675">
        <v>0.51162829999999904</v>
      </c>
      <c r="F6675" t="s">
        <v>40</v>
      </c>
      <c r="G6675">
        <v>-144.87889999999999</v>
      </c>
      <c r="H6675">
        <v>1.0031410000000001</v>
      </c>
      <c r="I6675">
        <v>137.44049999999999</v>
      </c>
      <c r="J6675">
        <v>-145.38480000000001</v>
      </c>
      <c r="K6675">
        <v>1.105216</v>
      </c>
      <c r="L6675">
        <v>137.49260000000001</v>
      </c>
      <c r="M6675">
        <v>0.9942685</v>
      </c>
      <c r="N6675">
        <v>0</v>
      </c>
      <c r="O6675">
        <v>-0.1061212</v>
      </c>
      <c r="P6675">
        <v>0.99757609999999997</v>
      </c>
      <c r="Q6675">
        <v>1.136407E-2</v>
      </c>
      <c r="R6675">
        <v>-6.8649459999999995E-2</v>
      </c>
      <c r="S6675">
        <v>2.9895939999999999</v>
      </c>
      <c r="T6675">
        <v>-0.36324509999999899</v>
      </c>
      <c r="U6675">
        <v>-0.31080629999999998</v>
      </c>
      <c r="V6675">
        <v>-3.7649019999999998E-2</v>
      </c>
      <c r="W6675">
        <v>2.4266550000000001E-2</v>
      </c>
      <c r="X6675">
        <v>0.99899629999999995</v>
      </c>
      <c r="Y6675">
        <v>-1.957697E-3</v>
      </c>
      <c r="Z6675">
        <v>1.289621E-2</v>
      </c>
      <c r="AA6675">
        <v>0.99991489999999905</v>
      </c>
      <c r="AB6675">
        <v>40</v>
      </c>
      <c r="AC6675">
        <v>0.505900000000025</v>
      </c>
      <c r="AD6675">
        <v>-0.102074999999999</v>
      </c>
      <c r="AE6675">
        <v>-5.2100000000024203E-2</v>
      </c>
      <c r="AF6675">
        <v>-1.81247223907358E-3</v>
      </c>
      <c r="AG6675">
        <v>-0.102074999999999</v>
      </c>
      <c r="AH6675">
        <v>0.48887842993043401</v>
      </c>
      <c r="AI6675">
        <v>101.79351729962001</v>
      </c>
      <c r="AJ6675">
        <v>90.212417909323506</v>
      </c>
      <c r="AK6675">
        <v>0.49942437859185801</v>
      </c>
    </row>
    <row r="6676" spans="1:37" x14ac:dyDescent="0.2">
      <c r="A6676" t="str">
        <f>"20200111153600196"</f>
        <v>20200111153600196</v>
      </c>
      <c r="B6676" t="str">
        <f>"1578728160191932"</f>
        <v>1578728160191932</v>
      </c>
      <c r="C6676" t="s">
        <v>37</v>
      </c>
      <c r="D6676">
        <v>6.0119160000000003</v>
      </c>
      <c r="E6676">
        <v>0.541857699999999</v>
      </c>
      <c r="F6676" t="s">
        <v>40</v>
      </c>
      <c r="G6676">
        <v>-140.3449</v>
      </c>
      <c r="H6676">
        <v>1.004227</v>
      </c>
      <c r="I6676">
        <v>137.0051</v>
      </c>
      <c r="J6676">
        <v>-140.7501</v>
      </c>
      <c r="K6676">
        <v>1.105815</v>
      </c>
      <c r="L6676">
        <v>137.0292</v>
      </c>
      <c r="M6676">
        <v>0.99525560000000002</v>
      </c>
      <c r="N6676">
        <v>0</v>
      </c>
      <c r="O6676">
        <v>-9.602041E-2</v>
      </c>
      <c r="P6676">
        <v>0.99923240000000002</v>
      </c>
      <c r="Q6676">
        <v>5.1404929999999899E-3</v>
      </c>
      <c r="R6676">
        <v>-3.8842309999999998E-2</v>
      </c>
      <c r="S6676">
        <v>2.9945979999999999</v>
      </c>
      <c r="T6676">
        <v>-0.37573069999999997</v>
      </c>
      <c r="U6676">
        <v>-0.231414799999999</v>
      </c>
      <c r="V6676">
        <v>-5.7341019999999999E-2</v>
      </c>
      <c r="W6676">
        <v>2.0698330000000001E-2</v>
      </c>
      <c r="X6676">
        <v>0.99813999999999903</v>
      </c>
      <c r="Y6676">
        <v>-1.8168469999999999E-2</v>
      </c>
      <c r="Z6676">
        <v>1.309311E-2</v>
      </c>
      <c r="AA6676">
        <v>0.9997492</v>
      </c>
      <c r="AB6676">
        <v>39</v>
      </c>
      <c r="AC6676">
        <v>0.405200000000007</v>
      </c>
      <c r="AD6676">
        <v>-0.101588</v>
      </c>
      <c r="AE6676">
        <v>-2.4100000000004201E-2</v>
      </c>
      <c r="AF6676">
        <v>-1.40440115926558E-2</v>
      </c>
      <c r="AG6676">
        <v>-0.101588</v>
      </c>
      <c r="AH6676">
        <v>0.381732103767982</v>
      </c>
      <c r="AI6676">
        <v>104.89274729040901</v>
      </c>
      <c r="AJ6676">
        <v>92.106974592225995</v>
      </c>
      <c r="AK6676">
        <v>0.39526795348566202</v>
      </c>
    </row>
    <row r="6677" spans="1:37" x14ac:dyDescent="0.2">
      <c r="A6677" t="str">
        <f>"20200111153600220"</f>
        <v>20200111153600220</v>
      </c>
      <c r="B6677" t="str">
        <f>"1578728160212428"</f>
        <v>1578728160212428</v>
      </c>
      <c r="C6677" t="s">
        <v>37</v>
      </c>
      <c r="D6677">
        <v>5.3246169999999999</v>
      </c>
      <c r="E6677">
        <v>0.54523650000000001</v>
      </c>
      <c r="F6677" t="s">
        <v>40</v>
      </c>
      <c r="G6677">
        <v>-140.05779999999999</v>
      </c>
      <c r="H6677">
        <v>0.90164159999999904</v>
      </c>
      <c r="I6677">
        <v>136.91679999999999</v>
      </c>
      <c r="J6677">
        <v>-140.35220000000001</v>
      </c>
      <c r="K6677">
        <v>1.1059099999999999</v>
      </c>
      <c r="L6677">
        <v>136.99170000000001</v>
      </c>
      <c r="M6677">
        <v>0.99533340000000003</v>
      </c>
      <c r="N6677">
        <v>0</v>
      </c>
      <c r="O6677">
        <v>-9.5129679999999994E-2</v>
      </c>
      <c r="P6677">
        <v>0.99932069999999995</v>
      </c>
      <c r="Q6677">
        <v>7.0299169999999897E-3</v>
      </c>
      <c r="R6677">
        <v>-3.6179070000000001E-2</v>
      </c>
      <c r="S6677">
        <v>2.9879910000000001</v>
      </c>
      <c r="T6677">
        <v>-0.88110319999999998</v>
      </c>
      <c r="U6677">
        <v>-0.4843903</v>
      </c>
      <c r="V6677">
        <v>-5.911317E-2</v>
      </c>
      <c r="W6677">
        <v>2.3057149999999998E-2</v>
      </c>
      <c r="X6677">
        <v>0.99798489999999995</v>
      </c>
      <c r="Y6677">
        <v>6.6553970000000004E-2</v>
      </c>
      <c r="Z6677">
        <v>1.7671070000000001E-2</v>
      </c>
      <c r="AA6677">
        <v>0.99762629999999997</v>
      </c>
      <c r="AB6677">
        <v>39</v>
      </c>
      <c r="AC6677">
        <v>0.29440000000002398</v>
      </c>
      <c r="AD6677">
        <v>-0.20426839999999999</v>
      </c>
      <c r="AE6677">
        <v>-7.4900000000013706E-2</v>
      </c>
      <c r="AF6677">
        <v>3.2056050117498201E-2</v>
      </c>
      <c r="AG6677">
        <v>-0.20426839999999999</v>
      </c>
      <c r="AH6677">
        <v>0.20672066179284401</v>
      </c>
      <c r="AI6677">
        <v>134.31782688602601</v>
      </c>
      <c r="AJ6677">
        <v>81.185383713006502</v>
      </c>
      <c r="AK6677">
        <v>0.29238091866564597</v>
      </c>
    </row>
    <row r="6678" spans="1:37" x14ac:dyDescent="0.2">
      <c r="A6678" t="str">
        <f>"20200111153600240"</f>
        <v>20200111153600240</v>
      </c>
      <c r="B6678" t="str">
        <f>"1578728160231948"</f>
        <v>1578728160231948</v>
      </c>
      <c r="C6678" t="s">
        <v>37</v>
      </c>
      <c r="D6678">
        <v>5.5430869999999999</v>
      </c>
      <c r="E6678">
        <v>0.55283490000000002</v>
      </c>
      <c r="F6678" t="s">
        <v>40</v>
      </c>
      <c r="G6678">
        <v>-139.39529999999999</v>
      </c>
      <c r="H6678">
        <v>0.85777340000000002</v>
      </c>
      <c r="I6678">
        <v>136.8313</v>
      </c>
      <c r="J6678">
        <v>-139.99100000000001</v>
      </c>
      <c r="K6678">
        <v>1.1060030000000001</v>
      </c>
      <c r="L6678">
        <v>136.9581</v>
      </c>
      <c r="M6678">
        <v>0.99540319999999904</v>
      </c>
      <c r="N6678">
        <v>0</v>
      </c>
      <c r="O6678">
        <v>-9.4311580000000006E-2</v>
      </c>
      <c r="P6678">
        <v>0.9994073</v>
      </c>
      <c r="Q6678">
        <v>7.4336509999999899E-3</v>
      </c>
      <c r="R6678">
        <v>-3.3611469999999997E-2</v>
      </c>
      <c r="S6678">
        <v>2.9893489999999998</v>
      </c>
      <c r="T6678">
        <v>-0.77521030000000002</v>
      </c>
      <c r="U6678">
        <v>-0.50099179999999999</v>
      </c>
      <c r="V6678">
        <v>-6.0859240000000002E-2</v>
      </c>
      <c r="W6678">
        <v>2.3934770000000001E-2</v>
      </c>
      <c r="X6678">
        <v>0.99785939999999995</v>
      </c>
      <c r="Y6678">
        <v>7.2224540000000004E-2</v>
      </c>
      <c r="Z6678">
        <v>1.467917E-2</v>
      </c>
      <c r="AA6678">
        <v>0.99728039999999996</v>
      </c>
      <c r="AB6678">
        <v>38</v>
      </c>
      <c r="AC6678">
        <v>0.59570000000002199</v>
      </c>
      <c r="AD6678">
        <v>-0.24822959999999999</v>
      </c>
      <c r="AE6678">
        <v>-0.12680000000000199</v>
      </c>
      <c r="AF6678">
        <v>6.0067388807116297E-2</v>
      </c>
      <c r="AG6678">
        <v>-0.24822959999999999</v>
      </c>
      <c r="AH6678">
        <v>0.51882082183017497</v>
      </c>
      <c r="AI6678">
        <v>115.420564197052</v>
      </c>
      <c r="AJ6678">
        <v>83.395883848642697</v>
      </c>
      <c r="AK6678">
        <v>0.57827421754631503</v>
      </c>
    </row>
    <row r="6679" spans="1:37" x14ac:dyDescent="0.2">
      <c r="A6679" t="str">
        <f>"20200111153600263"</f>
        <v>20200111153600263</v>
      </c>
      <c r="B6679" t="str">
        <f>"1578728160252055"</f>
        <v>1578728160252055</v>
      </c>
      <c r="C6679" t="s">
        <v>37</v>
      </c>
      <c r="D6679">
        <v>5.0099839999999896</v>
      </c>
      <c r="E6679">
        <v>0.54584600000000005</v>
      </c>
      <c r="F6679" t="s">
        <v>58</v>
      </c>
      <c r="G6679">
        <v>0</v>
      </c>
      <c r="H6679">
        <v>0</v>
      </c>
      <c r="I6679">
        <v>0</v>
      </c>
      <c r="J6679">
        <v>-139.61109999999999</v>
      </c>
      <c r="K6679">
        <v>1.106096</v>
      </c>
      <c r="L6679">
        <v>136.923</v>
      </c>
      <c r="M6679">
        <v>0.99547719999999995</v>
      </c>
      <c r="N6679">
        <v>0</v>
      </c>
      <c r="O6679">
        <v>-9.3432169999999995E-2</v>
      </c>
      <c r="P6679">
        <v>0.99948609999999904</v>
      </c>
      <c r="Q6679">
        <v>6.7634449999999999E-3</v>
      </c>
      <c r="R6679">
        <v>-3.1336450000000002E-2</v>
      </c>
      <c r="S6679">
        <v>2.983765</v>
      </c>
      <c r="T6679">
        <v>7.0003389999999999E-2</v>
      </c>
      <c r="U6679">
        <v>-0.52033999999999903</v>
      </c>
      <c r="V6679">
        <v>-6.2251620000000001E-2</v>
      </c>
      <c r="W6679">
        <v>2.379032E-2</v>
      </c>
      <c r="X6679">
        <v>0.99777689999999997</v>
      </c>
      <c r="Y6679">
        <v>7.899304E-2</v>
      </c>
      <c r="Z6679">
        <v>-1.249317E-3</v>
      </c>
      <c r="AA6679">
        <v>0.99687440000000005</v>
      </c>
      <c r="AB6679">
        <v>38</v>
      </c>
      <c r="AC6679">
        <v>2.983765</v>
      </c>
      <c r="AD6679">
        <v>7.0003389999999999E-2</v>
      </c>
      <c r="AE6679">
        <v>-0.52033999999999903</v>
      </c>
      <c r="AF6679">
        <v>0.23911459374836999</v>
      </c>
      <c r="AG6679">
        <v>7.0003389999999999E-2</v>
      </c>
      <c r="AH6679">
        <v>3.0177207293689099</v>
      </c>
      <c r="AI6679">
        <v>88.675273665462399</v>
      </c>
      <c r="AJ6679">
        <v>85.4695302970662</v>
      </c>
      <c r="AK6679">
        <v>3.02798855083994</v>
      </c>
    </row>
    <row r="6680" spans="1:37" x14ac:dyDescent="0.2">
      <c r="A6680" t="str">
        <f>"20200111153600285"</f>
        <v>20200111153600285</v>
      </c>
      <c r="B6680" t="str">
        <f>"1578728160272552"</f>
        <v>1578728160272552</v>
      </c>
      <c r="C6680" t="s">
        <v>37</v>
      </c>
      <c r="D6680">
        <v>5.1376980000000003</v>
      </c>
      <c r="E6680">
        <v>0.54133940000000003</v>
      </c>
      <c r="F6680" t="s">
        <v>39</v>
      </c>
      <c r="G6680">
        <v>-104.19410000000001</v>
      </c>
      <c r="H6680" s="1">
        <v>-4.3954910000000001E-6</v>
      </c>
      <c r="I6680">
        <v>131.41659999999999</v>
      </c>
      <c r="J6680">
        <v>-139.2516</v>
      </c>
      <c r="K6680">
        <v>1.106198</v>
      </c>
      <c r="L6680">
        <v>136.89019999999999</v>
      </c>
      <c r="M6680">
        <v>0.99555070000000001</v>
      </c>
      <c r="N6680">
        <v>0</v>
      </c>
      <c r="O6680">
        <v>-9.2551129999999995E-2</v>
      </c>
      <c r="P6680">
        <v>0.99951919999999905</v>
      </c>
      <c r="Q6680">
        <v>6.9703389999999999E-3</v>
      </c>
      <c r="R6680">
        <v>-3.0213420000000001E-2</v>
      </c>
      <c r="S6680">
        <v>2.9876099999999899</v>
      </c>
      <c r="T6680">
        <v>-9.3305589999999994E-2</v>
      </c>
      <c r="U6680">
        <v>-0.46449279999999998</v>
      </c>
      <c r="V6680">
        <v>-6.2493229999999997E-2</v>
      </c>
      <c r="W6680">
        <v>2.448821E-2</v>
      </c>
      <c r="X6680">
        <v>0.99774490000000005</v>
      </c>
      <c r="Y6680">
        <v>6.1515689999999998E-2</v>
      </c>
      <c r="Z6680">
        <v>1.910115E-3</v>
      </c>
      <c r="AA6680">
        <v>0.99810429999999895</v>
      </c>
      <c r="AB6680">
        <v>38</v>
      </c>
      <c r="AC6680">
        <v>35.057499999999898</v>
      </c>
      <c r="AD6680">
        <v>-1.1062023954910001</v>
      </c>
      <c r="AE6680">
        <v>-5.4736000000000002</v>
      </c>
      <c r="AF6680">
        <v>2.2028392128203902</v>
      </c>
      <c r="AG6680">
        <v>-1.1062023954910001</v>
      </c>
      <c r="AH6680">
        <v>35.379263681161198</v>
      </c>
      <c r="AI6680">
        <v>91.787422905470393</v>
      </c>
      <c r="AJ6680">
        <v>86.437159631975703</v>
      </c>
      <c r="AK6680">
        <v>35.465031833602801</v>
      </c>
    </row>
    <row r="6681" spans="1:37" x14ac:dyDescent="0.2">
      <c r="A6681" t="str">
        <f>"20200111153600307"</f>
        <v>20200111153600307</v>
      </c>
      <c r="B6681" t="str">
        <f>"1578728160302827"</f>
        <v>1578728160302827</v>
      </c>
      <c r="C6681" t="s">
        <v>37</v>
      </c>
      <c r="D6681">
        <v>5.1290589999999998</v>
      </c>
      <c r="E6681">
        <v>0.53772640000000005</v>
      </c>
      <c r="F6681" t="s">
        <v>39</v>
      </c>
      <c r="G6681">
        <v>-119.6194</v>
      </c>
      <c r="H6681" s="1">
        <v>-1.589548E-6</v>
      </c>
      <c r="I6681">
        <v>134.07650000000001</v>
      </c>
      <c r="J6681">
        <v>-138.86580000000001</v>
      </c>
      <c r="K6681">
        <v>1.1063379999999901</v>
      </c>
      <c r="L6681">
        <v>136.8554</v>
      </c>
      <c r="M6681">
        <v>0.99563749999999995</v>
      </c>
      <c r="N6681">
        <v>0</v>
      </c>
      <c r="O6681">
        <v>-9.1511700000000001E-2</v>
      </c>
      <c r="P6681">
        <v>0.99954279999999995</v>
      </c>
      <c r="Q6681">
        <v>7.7202249999999998E-3</v>
      </c>
      <c r="R6681">
        <v>-2.9238599999999899E-2</v>
      </c>
      <c r="S6681">
        <v>2.9896699999999998</v>
      </c>
      <c r="T6681">
        <v>-0.16845679999999999</v>
      </c>
      <c r="U6681">
        <v>-0.42846679999999998</v>
      </c>
      <c r="V6681">
        <v>-6.2431779999999999E-2</v>
      </c>
      <c r="W6681">
        <v>2.5744280000000001E-2</v>
      </c>
      <c r="X6681">
        <v>0.99771710000000002</v>
      </c>
      <c r="Y6681">
        <v>5.0732520000000003E-2</v>
      </c>
      <c r="Z6681">
        <v>3.692337E-3</v>
      </c>
      <c r="AA6681">
        <v>0.99870539999999997</v>
      </c>
      <c r="AB6681">
        <v>38</v>
      </c>
      <c r="AC6681">
        <v>19.246400000000001</v>
      </c>
      <c r="AD6681">
        <v>-1.1063395895479899</v>
      </c>
      <c r="AE6681">
        <v>-2.7788999999999899</v>
      </c>
      <c r="AF6681">
        <v>1.0024283391070401</v>
      </c>
      <c r="AG6681">
        <v>-1.1063395895479899</v>
      </c>
      <c r="AH6681">
        <v>19.357303411739899</v>
      </c>
      <c r="AI6681">
        <v>93.266733642978195</v>
      </c>
      <c r="AJ6681">
        <v>87.035555394288806</v>
      </c>
      <c r="AK6681">
        <v>19.414789343091101</v>
      </c>
    </row>
    <row r="6682" spans="1:37" x14ac:dyDescent="0.2">
      <c r="A6682" t="str">
        <f>"20200111153600330"</f>
        <v>20200111153600330</v>
      </c>
      <c r="B6682" t="str">
        <f>"1578728160322327"</f>
        <v>1578728160322327</v>
      </c>
      <c r="C6682" t="s">
        <v>37</v>
      </c>
      <c r="D6682">
        <v>5.1447260000000004</v>
      </c>
      <c r="E6682">
        <v>0.5363386</v>
      </c>
      <c r="F6682" t="s">
        <v>40</v>
      </c>
      <c r="G6682">
        <v>-137.9571</v>
      </c>
      <c r="H6682">
        <v>1.0382229999999999</v>
      </c>
      <c r="I6682">
        <v>136.73419999999999</v>
      </c>
      <c r="J6682">
        <v>-138.49180000000001</v>
      </c>
      <c r="K6682">
        <v>1.1064969999999901</v>
      </c>
      <c r="L6682">
        <v>136.82220000000001</v>
      </c>
      <c r="M6682">
        <v>0.99573310000000004</v>
      </c>
      <c r="N6682">
        <v>0</v>
      </c>
      <c r="O6682">
        <v>-9.0367530000000001E-2</v>
      </c>
      <c r="P6682">
        <v>0.999552</v>
      </c>
      <c r="Q6682">
        <v>8.7589060000000003E-3</v>
      </c>
      <c r="R6682">
        <v>-2.8627050000000001E-2</v>
      </c>
      <c r="S6682">
        <v>2.991425</v>
      </c>
      <c r="T6682">
        <v>-0.22423089999999901</v>
      </c>
      <c r="U6682">
        <v>-0.39904790000000001</v>
      </c>
      <c r="V6682">
        <v>-6.1905509999999997E-2</v>
      </c>
      <c r="W6682">
        <v>2.7250079999999999E-2</v>
      </c>
      <c r="X6682">
        <v>0.99770990000000004</v>
      </c>
      <c r="Y6682">
        <v>4.2226909999999999E-2</v>
      </c>
      <c r="Z6682">
        <v>5.145302E-3</v>
      </c>
      <c r="AA6682">
        <v>0.99909479999999995</v>
      </c>
      <c r="AB6682">
        <v>38</v>
      </c>
      <c r="AC6682">
        <v>0.53470000000001505</v>
      </c>
      <c r="AD6682">
        <v>-6.8273999999999904E-2</v>
      </c>
      <c r="AE6682">
        <v>-8.8000000000022199E-2</v>
      </c>
      <c r="AF6682">
        <v>3.8697579652792698E-2</v>
      </c>
      <c r="AG6682">
        <v>-6.8273999999999904E-2</v>
      </c>
      <c r="AH6682">
        <v>0.53202000264867599</v>
      </c>
      <c r="AI6682">
        <v>97.293724277553395</v>
      </c>
      <c r="AJ6682">
        <v>85.839798945097101</v>
      </c>
      <c r="AK6682">
        <v>0.53777702160401097</v>
      </c>
    </row>
    <row r="6683" spans="1:37" x14ac:dyDescent="0.2">
      <c r="A6683" t="str">
        <f>"20200111153600352"</f>
        <v>20200111153600352</v>
      </c>
      <c r="B6683" t="str">
        <f>"1578728160342823"</f>
        <v>1578728160342823</v>
      </c>
      <c r="C6683" t="s">
        <v>37</v>
      </c>
      <c r="D6683">
        <v>5.1266739999999897</v>
      </c>
      <c r="E6683">
        <v>0.53496250000000001</v>
      </c>
      <c r="F6683" t="s">
        <v>40</v>
      </c>
      <c r="G6683">
        <v>-137.62379999999999</v>
      </c>
      <c r="H6683">
        <v>1.036305</v>
      </c>
      <c r="I6683">
        <v>136.7099</v>
      </c>
      <c r="J6683">
        <v>-138.1173</v>
      </c>
      <c r="K6683">
        <v>1.1066849999999999</v>
      </c>
      <c r="L6683">
        <v>136.78960000000001</v>
      </c>
      <c r="M6683">
        <v>0.99584430000000002</v>
      </c>
      <c r="N6683">
        <v>0</v>
      </c>
      <c r="O6683">
        <v>-8.9036329999999997E-2</v>
      </c>
      <c r="P6683">
        <v>0.99954989999999999</v>
      </c>
      <c r="Q6683">
        <v>1.1056740000000001E-2</v>
      </c>
      <c r="R6683">
        <v>-2.7895960000000001E-2</v>
      </c>
      <c r="S6683">
        <v>2.9924009999999899</v>
      </c>
      <c r="T6683">
        <v>-0.24215059999999999</v>
      </c>
      <c r="U6683">
        <v>-0.38671879999999997</v>
      </c>
      <c r="V6683">
        <v>-6.1316469999999998E-2</v>
      </c>
      <c r="W6683">
        <v>2.998934E-2</v>
      </c>
      <c r="X6683">
        <v>0.99766769999999905</v>
      </c>
      <c r="Y6683">
        <v>3.9498619999999998E-2</v>
      </c>
      <c r="Z6683">
        <v>5.5585699999999997E-3</v>
      </c>
      <c r="AA6683">
        <v>0.99920419999999999</v>
      </c>
      <c r="AB6683">
        <v>38</v>
      </c>
      <c r="AC6683">
        <v>0.49350000000001099</v>
      </c>
      <c r="AD6683">
        <v>-7.0380000000000095E-2</v>
      </c>
      <c r="AE6683">
        <v>-7.9700000000002505E-2</v>
      </c>
      <c r="AF6683">
        <v>3.4747110235443399E-2</v>
      </c>
      <c r="AG6683">
        <v>-7.0380000000000095E-2</v>
      </c>
      <c r="AH6683">
        <v>0.48894503285410101</v>
      </c>
      <c r="AI6683">
        <v>98.170712106238597</v>
      </c>
      <c r="AJ6683">
        <v>85.9350821327821</v>
      </c>
      <c r="AK6683">
        <v>0.49520495880232501</v>
      </c>
    </row>
    <row r="6684" spans="1:37" x14ac:dyDescent="0.2">
      <c r="A6684" t="str">
        <f>"20200111153600374"</f>
        <v>20200111153600374</v>
      </c>
      <c r="B6684" t="str">
        <f>"1578728160362343"</f>
        <v>1578728160362343</v>
      </c>
      <c r="C6684" t="s">
        <v>37</v>
      </c>
      <c r="D6684">
        <v>5.1576639999999996</v>
      </c>
      <c r="E6684">
        <v>0.53403979999999995</v>
      </c>
      <c r="F6684" t="s">
        <v>40</v>
      </c>
      <c r="G6684">
        <v>-137.29130000000001</v>
      </c>
      <c r="H6684">
        <v>1.036151</v>
      </c>
      <c r="I6684">
        <v>136.68620000000001</v>
      </c>
      <c r="J6684">
        <v>-137.75540000000001</v>
      </c>
      <c r="K6684">
        <v>1.1068959999999901</v>
      </c>
      <c r="L6684">
        <v>136.75880000000001</v>
      </c>
      <c r="M6684">
        <v>0.99597000000000002</v>
      </c>
      <c r="N6684">
        <v>0</v>
      </c>
      <c r="O6684">
        <v>-8.752501E-2</v>
      </c>
      <c r="P6684">
        <v>0.99958189999999902</v>
      </c>
      <c r="Q6684">
        <v>1.1829320000000001E-2</v>
      </c>
      <c r="R6684">
        <v>-2.6394020000000001E-2</v>
      </c>
      <c r="S6684">
        <v>2.9937290000000001</v>
      </c>
      <c r="T6684">
        <v>-0.25567210000000001</v>
      </c>
      <c r="U6684">
        <v>-0.37449650000000001</v>
      </c>
      <c r="V6684">
        <v>-6.1317570000000002E-2</v>
      </c>
      <c r="W6684">
        <v>3.1168950000000001E-2</v>
      </c>
      <c r="X6684">
        <v>0.9976315</v>
      </c>
      <c r="Y6684">
        <v>3.6965110000000002E-2</v>
      </c>
      <c r="Z6684">
        <v>5.847138E-3</v>
      </c>
      <c r="AA6684">
        <v>0.99929950000000001</v>
      </c>
      <c r="AB6684">
        <v>37</v>
      </c>
      <c r="AC6684">
        <v>0.46410000000000201</v>
      </c>
      <c r="AD6684">
        <v>-7.0744999999999794E-2</v>
      </c>
      <c r="AE6684">
        <v>-7.2599999999994197E-2</v>
      </c>
      <c r="AF6684">
        <v>3.09902366288166E-2</v>
      </c>
      <c r="AG6684">
        <v>-7.0744999999999794E-2</v>
      </c>
      <c r="AH6684">
        <v>0.45827939191195399</v>
      </c>
      <c r="AI6684">
        <v>98.7558443308005</v>
      </c>
      <c r="AJ6684">
        <v>86.131376072837199</v>
      </c>
      <c r="AK6684">
        <v>0.46474213370696299</v>
      </c>
    </row>
    <row r="6685" spans="1:37" x14ac:dyDescent="0.2">
      <c r="A6685" t="str">
        <f>"20200111153600397"</f>
        <v>20200111153600397</v>
      </c>
      <c r="B6685" t="str">
        <f>"1578728160392598"</f>
        <v>1578728160392598</v>
      </c>
      <c r="C6685" t="s">
        <v>37</v>
      </c>
      <c r="D6685">
        <v>5.1478950000000001</v>
      </c>
      <c r="E6685">
        <v>0.53314349999999999</v>
      </c>
      <c r="F6685" t="s">
        <v>40</v>
      </c>
      <c r="G6685">
        <v>-136.9605</v>
      </c>
      <c r="H6685">
        <v>1.035971</v>
      </c>
      <c r="I6685">
        <v>136.66220000000001</v>
      </c>
      <c r="J6685">
        <v>-137.37260000000001</v>
      </c>
      <c r="K6685">
        <v>1.1071569999999999</v>
      </c>
      <c r="L6685">
        <v>136.727</v>
      </c>
      <c r="M6685">
        <v>0.99612459999999903</v>
      </c>
      <c r="N6685">
        <v>0</v>
      </c>
      <c r="O6685">
        <v>-8.5645769999999996E-2</v>
      </c>
      <c r="P6685">
        <v>0.99963989999999903</v>
      </c>
      <c r="Q6685">
        <v>1.167661E-2</v>
      </c>
      <c r="R6685">
        <v>-2.416198E-2</v>
      </c>
      <c r="S6685">
        <v>2.9948429999999999</v>
      </c>
      <c r="T6685">
        <v>-0.26740039999999998</v>
      </c>
      <c r="U6685">
        <v>-0.3631897</v>
      </c>
      <c r="V6685">
        <v>-6.1681010000000001E-2</v>
      </c>
      <c r="W6685">
        <v>3.1417750000000001E-2</v>
      </c>
      <c r="X6685">
        <v>0.99760130000000002</v>
      </c>
      <c r="Y6685">
        <v>3.5104370000000003E-2</v>
      </c>
      <c r="Z6685">
        <v>6.0304950000000003E-3</v>
      </c>
      <c r="AA6685">
        <v>0.99936539999999996</v>
      </c>
      <c r="AB6685">
        <v>37</v>
      </c>
      <c r="AC6685">
        <v>0.41210000000000901</v>
      </c>
      <c r="AD6685">
        <v>-7.1185999999999902E-2</v>
      </c>
      <c r="AE6685">
        <v>-6.4799999999991004E-2</v>
      </c>
      <c r="AF6685">
        <v>2.8432196360254802E-2</v>
      </c>
      <c r="AG6685">
        <v>-7.1185999999999902E-2</v>
      </c>
      <c r="AH6685">
        <v>0.40436154772556998</v>
      </c>
      <c r="AI6685">
        <v>99.960256347498202</v>
      </c>
      <c r="AJ6685">
        <v>85.977935794323898</v>
      </c>
      <c r="AK6685">
        <v>0.41156299355613402</v>
      </c>
    </row>
    <row r="6686" spans="1:37" x14ac:dyDescent="0.2">
      <c r="A6686" t="str">
        <f>"20200111153600420"</f>
        <v>20200111153600420</v>
      </c>
      <c r="B6686" t="str">
        <f>"1578728160412118"</f>
        <v>1578728160412118</v>
      </c>
      <c r="C6686" t="s">
        <v>37</v>
      </c>
      <c r="D6686">
        <v>5.1624739999999996</v>
      </c>
      <c r="E6686">
        <v>0.53270740000000005</v>
      </c>
      <c r="F6686" t="s">
        <v>40</v>
      </c>
      <c r="G6686">
        <v>-136.62989999999999</v>
      </c>
      <c r="H6686">
        <v>1.036999</v>
      </c>
      <c r="I6686">
        <v>136.64019999999999</v>
      </c>
      <c r="J6686">
        <v>-136.99979999999999</v>
      </c>
      <c r="K6686">
        <v>1.10744</v>
      </c>
      <c r="L6686">
        <v>136.69720000000001</v>
      </c>
      <c r="M6686">
        <v>0.99629990000000002</v>
      </c>
      <c r="N6686">
        <v>0</v>
      </c>
      <c r="O6686">
        <v>-8.3485599999999993E-2</v>
      </c>
      <c r="P6686">
        <v>0.99969799999999998</v>
      </c>
      <c r="Q6686">
        <v>1.190101E-2</v>
      </c>
      <c r="R6686">
        <v>-2.1506939999999999E-2</v>
      </c>
      <c r="S6686">
        <v>2.9959259999999999</v>
      </c>
      <c r="T6686">
        <v>-0.2830241</v>
      </c>
      <c r="U6686">
        <v>-0.35014339999999999</v>
      </c>
      <c r="V6686">
        <v>-6.2189330000000001E-2</v>
      </c>
      <c r="W6686">
        <v>3.2000149999999998E-2</v>
      </c>
      <c r="X6686">
        <v>0.99755130000000003</v>
      </c>
      <c r="Y6686">
        <v>3.2960000000000003E-2</v>
      </c>
      <c r="Z6686">
        <v>6.2799209999999999E-3</v>
      </c>
      <c r="AA6686">
        <v>0.99943689999999996</v>
      </c>
      <c r="AB6686">
        <v>37</v>
      </c>
      <c r="AC6686">
        <v>0.36990000000000101</v>
      </c>
      <c r="AD6686">
        <v>-7.0440999999999906E-2</v>
      </c>
      <c r="AE6686">
        <v>-5.7000000000016302E-2</v>
      </c>
      <c r="AF6686">
        <v>2.5026641003095901E-2</v>
      </c>
      <c r="AG6686">
        <v>-7.0440999999999906E-2</v>
      </c>
      <c r="AH6686">
        <v>0.36059432423184401</v>
      </c>
      <c r="AI6686">
        <v>101.02748343064999</v>
      </c>
      <c r="AJ6686">
        <v>86.029817747475093</v>
      </c>
      <c r="AK6686">
        <v>0.36826150207307601</v>
      </c>
    </row>
    <row r="6687" spans="1:37" x14ac:dyDescent="0.2">
      <c r="A6687" t="str">
        <f>"20200111153600441"</f>
        <v>20200111153600441</v>
      </c>
      <c r="B6687" t="str">
        <f>"1578728160432615"</f>
        <v>1578728160432615</v>
      </c>
      <c r="C6687" t="s">
        <v>37</v>
      </c>
      <c r="D6687">
        <v>5.2052759999999996</v>
      </c>
      <c r="E6687">
        <v>0.53252299999999997</v>
      </c>
      <c r="F6687" t="s">
        <v>40</v>
      </c>
      <c r="G6687">
        <v>-135.99260000000001</v>
      </c>
      <c r="H6687">
        <v>1.009776</v>
      </c>
      <c r="I6687">
        <v>136.58320000000001</v>
      </c>
      <c r="J6687">
        <v>-136.65819999999999</v>
      </c>
      <c r="K6687">
        <v>1.1077159999999999</v>
      </c>
      <c r="L6687">
        <v>136.67089999999999</v>
      </c>
      <c r="M6687">
        <v>0.99648119999999996</v>
      </c>
      <c r="N6687">
        <v>0</v>
      </c>
      <c r="O6687">
        <v>-8.1203709999999998E-2</v>
      </c>
      <c r="P6687">
        <v>0.99974779999999996</v>
      </c>
      <c r="Q6687">
        <v>1.226995E-2</v>
      </c>
      <c r="R6687">
        <v>-1.8811000000000001E-2</v>
      </c>
      <c r="S6687">
        <v>2.9970859999999999</v>
      </c>
      <c r="T6687">
        <v>-0.29071920000000001</v>
      </c>
      <c r="U6687">
        <v>-0.33909609999999901</v>
      </c>
      <c r="V6687">
        <v>-6.2617969999999995E-2</v>
      </c>
      <c r="W6687">
        <v>3.2669280000000002E-2</v>
      </c>
      <c r="X6687">
        <v>0.99750269999999996</v>
      </c>
      <c r="Y6687">
        <v>3.1575829999999999E-2</v>
      </c>
      <c r="Z6687">
        <v>6.2967880000000002E-3</v>
      </c>
      <c r="AA6687">
        <v>0.99948150000000002</v>
      </c>
      <c r="AB6687">
        <v>37</v>
      </c>
      <c r="AC6687">
        <v>0.66559999999998298</v>
      </c>
      <c r="AD6687">
        <v>-9.7939999999999902E-2</v>
      </c>
      <c r="AE6687">
        <v>-8.7699999999983902E-2</v>
      </c>
      <c r="AF6687">
        <v>3.2654440814168802E-2</v>
      </c>
      <c r="AG6687">
        <v>-9.7939999999999902E-2</v>
      </c>
      <c r="AH6687">
        <v>0.65655110796217997</v>
      </c>
      <c r="AI6687">
        <v>98.474122415116796</v>
      </c>
      <c r="AJ6687">
        <v>87.152664628769301</v>
      </c>
      <c r="AK6687">
        <v>0.66461862257331605</v>
      </c>
    </row>
    <row r="6688" spans="1:37" x14ac:dyDescent="0.2">
      <c r="A6688" t="str">
        <f>"20200111153600463"</f>
        <v>20200111153600463</v>
      </c>
      <c r="B6688" t="str">
        <f>"1578728160452135"</f>
        <v>1578728160452135</v>
      </c>
      <c r="C6688" t="s">
        <v>37</v>
      </c>
      <c r="D6688">
        <v>5.1824770000000004</v>
      </c>
      <c r="E6688">
        <v>0.49488509999999902</v>
      </c>
      <c r="F6688" t="s">
        <v>40</v>
      </c>
      <c r="G6688">
        <v>-135.66820000000001</v>
      </c>
      <c r="H6688">
        <v>1.010753</v>
      </c>
      <c r="I6688">
        <v>136.56200000000001</v>
      </c>
      <c r="J6688">
        <v>-136.3006</v>
      </c>
      <c r="K6688">
        <v>1.107999</v>
      </c>
      <c r="L6688">
        <v>136.6446</v>
      </c>
      <c r="M6688">
        <v>0.9966874</v>
      </c>
      <c r="N6688">
        <v>0</v>
      </c>
      <c r="O6688">
        <v>-7.8544030000000001E-2</v>
      </c>
      <c r="P6688">
        <v>0.99980720000000001</v>
      </c>
      <c r="Q6688">
        <v>1.317859E-2</v>
      </c>
      <c r="R6688">
        <v>-1.45556E-2</v>
      </c>
      <c r="S6688">
        <v>2.998138</v>
      </c>
      <c r="T6688">
        <v>-0.29375309999999999</v>
      </c>
      <c r="U6688">
        <v>-0.32952880000000001</v>
      </c>
      <c r="V6688">
        <v>-6.4228250000000001E-2</v>
      </c>
      <c r="W6688">
        <v>3.3864529999999997E-2</v>
      </c>
      <c r="X6688">
        <v>0.99736049999999998</v>
      </c>
      <c r="Y6688">
        <v>3.1048039999999999E-2</v>
      </c>
      <c r="Z6688">
        <v>6.1290629999999997E-3</v>
      </c>
      <c r="AA6688">
        <v>0.99949909999999997</v>
      </c>
      <c r="AB6688">
        <v>37</v>
      </c>
      <c r="AC6688">
        <v>0.63239999999998897</v>
      </c>
      <c r="AD6688">
        <v>-9.7245999999999902E-2</v>
      </c>
      <c r="AE6688">
        <v>-8.2599999999985102E-2</v>
      </c>
      <c r="AF6688">
        <v>3.1920274105330201E-2</v>
      </c>
      <c r="AG6688">
        <v>-9.7245999999999902E-2</v>
      </c>
      <c r="AH6688">
        <v>0.62246266884228096</v>
      </c>
      <c r="AI6688">
        <v>98.867953066040897</v>
      </c>
      <c r="AJ6688">
        <v>87.064408113534597</v>
      </c>
      <c r="AK6688">
        <v>0.63082126035606501</v>
      </c>
    </row>
    <row r="6689" spans="1:37" x14ac:dyDescent="0.2">
      <c r="A6689" t="str">
        <f>"20200111153600486"</f>
        <v>20200111153600486</v>
      </c>
      <c r="B6689" t="str">
        <f>"1578728160482391"</f>
        <v>1578728160482391</v>
      </c>
      <c r="C6689" t="s">
        <v>37</v>
      </c>
      <c r="D6689">
        <v>5.1903969999999999</v>
      </c>
      <c r="E6689">
        <v>0.47998459999999898</v>
      </c>
      <c r="F6689" t="s">
        <v>40</v>
      </c>
      <c r="G6689">
        <v>-135.3409</v>
      </c>
      <c r="H6689">
        <v>0.99338169999999903</v>
      </c>
      <c r="I6689">
        <v>136.63829999999999</v>
      </c>
      <c r="J6689">
        <v>-135.9408</v>
      </c>
      <c r="K6689">
        <v>1.108263</v>
      </c>
      <c r="L6689">
        <v>136.61930000000001</v>
      </c>
      <c r="M6689">
        <v>0.99690900000000005</v>
      </c>
      <c r="N6689">
        <v>0</v>
      </c>
      <c r="O6689">
        <v>-7.559072E-2</v>
      </c>
      <c r="P6689">
        <v>0.99986769999999903</v>
      </c>
      <c r="Q6689">
        <v>1.388668E-2</v>
      </c>
      <c r="R6689">
        <v>-8.4670860000000004E-3</v>
      </c>
      <c r="S6689">
        <v>3.00502</v>
      </c>
      <c r="T6689">
        <v>-0.35891400000000001</v>
      </c>
      <c r="U6689">
        <v>-1.960754E-2</v>
      </c>
      <c r="V6689">
        <v>-6.7373569999999994E-2</v>
      </c>
      <c r="W6689">
        <v>3.4821930000000001E-2</v>
      </c>
      <c r="X6689">
        <v>0.99712000000000001</v>
      </c>
      <c r="Y6689">
        <v>-6.8080020000000005E-2</v>
      </c>
      <c r="Z6689">
        <v>1.304263E-2</v>
      </c>
      <c r="AA6689">
        <v>0.9975946</v>
      </c>
      <c r="AB6689">
        <v>36</v>
      </c>
      <c r="AC6689">
        <v>0.599899999999991</v>
      </c>
      <c r="AD6689">
        <v>-0.11488130000000001</v>
      </c>
      <c r="AE6689">
        <v>1.8999999999977001E-2</v>
      </c>
      <c r="AF6689">
        <v>-6.2030355761711203E-2</v>
      </c>
      <c r="AG6689">
        <v>-0.11488130000000001</v>
      </c>
      <c r="AH6689">
        <v>0.57565666653674796</v>
      </c>
      <c r="AI6689">
        <v>101.222697324084</v>
      </c>
      <c r="AJ6689">
        <v>96.150222865379106</v>
      </c>
      <c r="AK6689">
        <v>0.590276270786667</v>
      </c>
    </row>
    <row r="6690" spans="1:37" x14ac:dyDescent="0.2">
      <c r="A6690" t="str">
        <f>"20200111153600508"</f>
        <v>20200111153600508</v>
      </c>
      <c r="B6690" t="str">
        <f>"1578728160501911"</f>
        <v>1578728160501911</v>
      </c>
      <c r="C6690" t="s">
        <v>37</v>
      </c>
      <c r="D6690">
        <v>5.1458789999999999</v>
      </c>
      <c r="E6690">
        <v>0.47688639999999999</v>
      </c>
      <c r="F6690" t="s">
        <v>39</v>
      </c>
      <c r="G6690">
        <v>-125.6237</v>
      </c>
      <c r="H6690" s="1">
        <v>-2.31933099999999E-6</v>
      </c>
      <c r="I6690">
        <v>137.02520000000001</v>
      </c>
      <c r="J6690">
        <v>-135.5693</v>
      </c>
      <c r="K6690">
        <v>1.1085199999999999</v>
      </c>
      <c r="L6690">
        <v>136.59469999999999</v>
      </c>
      <c r="M6690">
        <v>0.997150599999999</v>
      </c>
      <c r="N6690">
        <v>0</v>
      </c>
      <c r="O6690">
        <v>-7.2251129999999997E-2</v>
      </c>
      <c r="P6690">
        <v>0.99990469999999898</v>
      </c>
      <c r="Q6690">
        <v>1.357711E-2</v>
      </c>
      <c r="R6690">
        <v>-2.6009319999999998E-3</v>
      </c>
      <c r="S6690">
        <v>3.0058750000000001</v>
      </c>
      <c r="T6690">
        <v>-0.32289220000000002</v>
      </c>
      <c r="U6690">
        <v>0.1182556</v>
      </c>
      <c r="V6690">
        <v>-6.9904419999999995E-2</v>
      </c>
      <c r="W6690">
        <v>3.474091E-2</v>
      </c>
      <c r="X6690">
        <v>0.99694850000000002</v>
      </c>
      <c r="Y6690">
        <v>-0.11037129999999901</v>
      </c>
      <c r="Z6690">
        <v>1.3644299999999899E-2</v>
      </c>
      <c r="AA6690">
        <v>0.99379680000000004</v>
      </c>
      <c r="AB6690">
        <v>36</v>
      </c>
      <c r="AC6690">
        <v>9.9456000000000007</v>
      </c>
      <c r="AD6690">
        <v>-1.1085223193310001</v>
      </c>
      <c r="AE6690">
        <v>0.43050000000002298</v>
      </c>
      <c r="AF6690">
        <v>-1.1340621535170301</v>
      </c>
      <c r="AG6690">
        <v>-1.1085223193310001</v>
      </c>
      <c r="AH6690">
        <v>9.7673699800306402</v>
      </c>
      <c r="AI6690">
        <v>96.432086320757307</v>
      </c>
      <c r="AJ6690">
        <v>96.622799386030394</v>
      </c>
      <c r="AK6690">
        <v>9.8952733679923401</v>
      </c>
    </row>
    <row r="6691" spans="1:37" x14ac:dyDescent="0.2">
      <c r="A6691" t="str">
        <f>"20200111153600531"</f>
        <v>20200111153600531</v>
      </c>
      <c r="B6691" t="str">
        <f>"1578728160522407"</f>
        <v>1578728160522407</v>
      </c>
      <c r="C6691" t="s">
        <v>37</v>
      </c>
      <c r="D6691">
        <v>5.1602839999999999</v>
      </c>
      <c r="E6691">
        <v>0.4754777</v>
      </c>
      <c r="F6691" t="s">
        <v>39</v>
      </c>
      <c r="G6691">
        <v>-124.8848</v>
      </c>
      <c r="H6691" s="1">
        <v>-2.6111059999999899E-6</v>
      </c>
      <c r="I6691">
        <v>137.16730000000001</v>
      </c>
      <c r="J6691">
        <v>-135.22</v>
      </c>
      <c r="K6691">
        <v>1.1087559999999901</v>
      </c>
      <c r="L6691">
        <v>136.5729</v>
      </c>
      <c r="M6691">
        <v>0.99738549999999904</v>
      </c>
      <c r="N6691">
        <v>0</v>
      </c>
      <c r="O6691">
        <v>-6.8855840000000001E-2</v>
      </c>
      <c r="P6691">
        <v>0.99990610000000002</v>
      </c>
      <c r="Q6691">
        <v>1.353042E-2</v>
      </c>
      <c r="R6691">
        <v>2.261543E-3</v>
      </c>
      <c r="S6691">
        <v>3.0049440000000001</v>
      </c>
      <c r="T6691">
        <v>-0.31176409999999999</v>
      </c>
      <c r="U6691">
        <v>0.16105649999999999</v>
      </c>
      <c r="V6691">
        <v>-7.1379100000000001E-2</v>
      </c>
      <c r="W6691">
        <v>3.4887219999999997E-2</v>
      </c>
      <c r="X6691">
        <v>0.99683899999999903</v>
      </c>
      <c r="Y6691">
        <v>-0.12114939999999901</v>
      </c>
      <c r="Z6691">
        <v>1.338375E-2</v>
      </c>
      <c r="AA6691">
        <v>0.99254409999999904</v>
      </c>
      <c r="AB6691">
        <v>36</v>
      </c>
      <c r="AC6691">
        <v>10.3352</v>
      </c>
      <c r="AD6691">
        <v>-1.1087586111059999</v>
      </c>
      <c r="AE6691">
        <v>0.59440000000000703</v>
      </c>
      <c r="AF6691">
        <v>-1.2900010545818601</v>
      </c>
      <c r="AG6691">
        <v>-1.1087586111059999</v>
      </c>
      <c r="AH6691">
        <v>10.153252878693699</v>
      </c>
      <c r="AI6691">
        <v>96.182822764307602</v>
      </c>
      <c r="AJ6691">
        <v>97.240804485581194</v>
      </c>
      <c r="AK6691">
        <v>10.294755577342601</v>
      </c>
    </row>
    <row r="6692" spans="1:37" x14ac:dyDescent="0.2">
      <c r="A6692" t="str">
        <f>"20200111153600554"</f>
        <v>20200111153600554</v>
      </c>
      <c r="B6692" t="str">
        <f>"1578728160541928"</f>
        <v>1578728160541928</v>
      </c>
      <c r="C6692" t="s">
        <v>37</v>
      </c>
      <c r="D6692">
        <v>5.128241</v>
      </c>
      <c r="E6692">
        <v>0.47495739999999997</v>
      </c>
      <c r="F6692" t="s">
        <v>39</v>
      </c>
      <c r="G6692">
        <v>-124.34950000000001</v>
      </c>
      <c r="H6692" s="1">
        <v>-2.8255720000000002E-6</v>
      </c>
      <c r="I6692">
        <v>137.25290000000001</v>
      </c>
      <c r="J6692">
        <v>-134.85399999999899</v>
      </c>
      <c r="K6692">
        <v>1.1089979999999999</v>
      </c>
      <c r="L6692">
        <v>136.55170000000001</v>
      </c>
      <c r="M6692">
        <v>0.99763500000000005</v>
      </c>
      <c r="N6692">
        <v>0</v>
      </c>
      <c r="O6692">
        <v>-6.5062659999999994E-2</v>
      </c>
      <c r="P6692">
        <v>0.99986849999999905</v>
      </c>
      <c r="Q6692">
        <v>1.501167E-2</v>
      </c>
      <c r="R6692">
        <v>6.1282709999999898E-3</v>
      </c>
      <c r="S6692">
        <v>3.0039980000000002</v>
      </c>
      <c r="T6692">
        <v>-0.3063979</v>
      </c>
      <c r="U6692">
        <v>0.1878967</v>
      </c>
      <c r="V6692">
        <v>-7.1473690000000006E-2</v>
      </c>
      <c r="W6692">
        <v>3.6556980000000003E-2</v>
      </c>
      <c r="X6692">
        <v>0.99677229999999895</v>
      </c>
      <c r="Y6692">
        <v>-0.1262568</v>
      </c>
      <c r="Z6692">
        <v>1.3030069999999999E-2</v>
      </c>
      <c r="AA6692">
        <v>0.99191200000000002</v>
      </c>
      <c r="AB6692">
        <v>36</v>
      </c>
      <c r="AC6692">
        <v>10.504499999999901</v>
      </c>
      <c r="AD6692">
        <v>-1.1090008255720001</v>
      </c>
      <c r="AE6692">
        <v>0.70120000000000005</v>
      </c>
      <c r="AF6692">
        <v>-1.36815065460129</v>
      </c>
      <c r="AG6692">
        <v>-1.1090008255720001</v>
      </c>
      <c r="AH6692">
        <v>10.322061043166499</v>
      </c>
      <c r="AI6692">
        <v>96.079558612496598</v>
      </c>
      <c r="AJ6692">
        <v>97.550330900923996</v>
      </c>
      <c r="AK6692">
        <v>10.4712302631381</v>
      </c>
    </row>
    <row r="6693" spans="1:37" x14ac:dyDescent="0.2">
      <c r="A6693" t="str">
        <f>"20200111153600580"</f>
        <v>20200111153600580</v>
      </c>
      <c r="B6693" t="str">
        <f>"1578728160572183"</f>
        <v>1578728160572183</v>
      </c>
      <c r="C6693" t="s">
        <v>37</v>
      </c>
      <c r="D6693">
        <v>5.0953029999999897</v>
      </c>
      <c r="E6693">
        <v>0.474576</v>
      </c>
      <c r="F6693" t="s">
        <v>39</v>
      </c>
      <c r="G6693">
        <v>-123.72399999999899</v>
      </c>
      <c r="H6693" s="1">
        <v>-3.083683E-6</v>
      </c>
      <c r="I6693">
        <v>137.31049999999999</v>
      </c>
      <c r="J6693">
        <v>-134.4539</v>
      </c>
      <c r="K6693">
        <v>1.1092360000000001</v>
      </c>
      <c r="L6693">
        <v>136.53020000000001</v>
      </c>
      <c r="M6693">
        <v>0.99790569999999901</v>
      </c>
      <c r="N6693">
        <v>0</v>
      </c>
      <c r="O6693">
        <v>-6.0691580000000002E-2</v>
      </c>
      <c r="P6693">
        <v>0.99980740000000001</v>
      </c>
      <c r="Q6693">
        <v>1.690038E-2</v>
      </c>
      <c r="R6693">
        <v>9.9894549999999995E-3</v>
      </c>
      <c r="S6693">
        <v>3.0036320000000001</v>
      </c>
      <c r="T6693">
        <v>-0.2992824</v>
      </c>
      <c r="U6693">
        <v>0.204803499999999</v>
      </c>
      <c r="V6693">
        <v>-7.0989999999999998E-2</v>
      </c>
      <c r="W6693">
        <v>3.863167E-2</v>
      </c>
      <c r="X6693">
        <v>0.99672870000000002</v>
      </c>
      <c r="Y6693">
        <v>-0.1275395</v>
      </c>
      <c r="Z6693">
        <v>1.2358310000000001E-2</v>
      </c>
      <c r="AA6693">
        <v>0.99175650000000004</v>
      </c>
      <c r="AB6693">
        <v>36</v>
      </c>
      <c r="AC6693">
        <v>10.729900000000001</v>
      </c>
      <c r="AD6693">
        <v>-1.1092390836829999</v>
      </c>
      <c r="AE6693">
        <v>0.78029999999998201</v>
      </c>
      <c r="AF6693">
        <v>-1.4151938171559699</v>
      </c>
      <c r="AG6693">
        <v>-1.1092390836829999</v>
      </c>
      <c r="AH6693">
        <v>10.5505790328573</v>
      </c>
      <c r="AI6693">
        <v>95.948874372247502</v>
      </c>
      <c r="AJ6693">
        <v>97.639725211184199</v>
      </c>
      <c r="AK6693">
        <v>10.702705396929099</v>
      </c>
    </row>
    <row r="6694" spans="1:37" x14ac:dyDescent="0.2">
      <c r="A6694" t="str">
        <f>"20200111153600601"</f>
        <v>20200111153600601</v>
      </c>
      <c r="B6694" t="str">
        <f>"1578728160592679"</f>
        <v>1578728160592679</v>
      </c>
      <c r="C6694" t="s">
        <v>37</v>
      </c>
      <c r="D6694">
        <v>5.1078239999999999</v>
      </c>
      <c r="E6694">
        <v>0.47449439999999998</v>
      </c>
      <c r="F6694" t="s">
        <v>39</v>
      </c>
      <c r="G6694">
        <v>-122.9783</v>
      </c>
      <c r="H6694" s="1">
        <v>-3.392549E-6</v>
      </c>
      <c r="I6694">
        <v>137.37289999999999</v>
      </c>
      <c r="J6694">
        <v>-134.11580000000001</v>
      </c>
      <c r="K6694">
        <v>1.109391</v>
      </c>
      <c r="L6694">
        <v>136.5138</v>
      </c>
      <c r="M6694">
        <v>0.99812860000000003</v>
      </c>
      <c r="N6694">
        <v>0</v>
      </c>
      <c r="O6694">
        <v>-5.6844989999999998E-2</v>
      </c>
      <c r="P6694">
        <v>0.99974229999999997</v>
      </c>
      <c r="Q6694">
        <v>1.908048E-2</v>
      </c>
      <c r="R6694">
        <v>1.23033999999999E-2</v>
      </c>
      <c r="S6694">
        <v>3.0032809999999999</v>
      </c>
      <c r="T6694">
        <v>-0.29029690000000002</v>
      </c>
      <c r="U6694">
        <v>0.22053529999999999</v>
      </c>
      <c r="V6694">
        <v>-6.9483970000000006E-2</v>
      </c>
      <c r="W6694">
        <v>4.0961549999999999E-2</v>
      </c>
      <c r="X6694">
        <v>0.99674180000000001</v>
      </c>
      <c r="Y6694">
        <v>-0.1289604</v>
      </c>
      <c r="Z6694">
        <v>1.1686419999999999E-2</v>
      </c>
      <c r="AA6694">
        <v>0.99158089999999999</v>
      </c>
      <c r="AB6694">
        <v>35</v>
      </c>
      <c r="AC6694">
        <v>11.137499999999999</v>
      </c>
      <c r="AD6694">
        <v>-1.109394392549</v>
      </c>
      <c r="AE6694">
        <v>0.85909999999998299</v>
      </c>
      <c r="AF6694">
        <v>-1.47641977250433</v>
      </c>
      <c r="AG6694">
        <v>-1.109394392549</v>
      </c>
      <c r="AH6694">
        <v>10.962507767480201</v>
      </c>
      <c r="AI6694">
        <v>95.727240476365594</v>
      </c>
      <c r="AJ6694">
        <v>97.670385219791996</v>
      </c>
      <c r="AK6694">
        <v>11.1169756595454</v>
      </c>
    </row>
    <row r="6695" spans="1:37" x14ac:dyDescent="0.2">
      <c r="A6695" t="str">
        <f>"20200111153600622"</f>
        <v>20200111153600622</v>
      </c>
      <c r="B6695" t="str">
        <f>"1578728160612199"</f>
        <v>1578728160612199</v>
      </c>
      <c r="C6695" t="s">
        <v>37</v>
      </c>
      <c r="D6695">
        <v>5.0551129999999898</v>
      </c>
      <c r="E6695">
        <v>0.47448999999999902</v>
      </c>
      <c r="F6695" t="s">
        <v>39</v>
      </c>
      <c r="G6695">
        <v>-122.2833</v>
      </c>
      <c r="H6695" s="1">
        <v>-3.6831470000000002E-6</v>
      </c>
      <c r="I6695">
        <v>137.41540000000001</v>
      </c>
      <c r="J6695">
        <v>-133.77950000000001</v>
      </c>
      <c r="K6695">
        <v>1.1094979999999901</v>
      </c>
      <c r="L6695">
        <v>136.49889999999999</v>
      </c>
      <c r="M6695">
        <v>0.99834069999999997</v>
      </c>
      <c r="N6695">
        <v>0</v>
      </c>
      <c r="O6695">
        <v>-5.2930150000000002E-2</v>
      </c>
      <c r="P6695">
        <v>0.99968729999999995</v>
      </c>
      <c r="Q6695">
        <v>2.07549E-2</v>
      </c>
      <c r="R6695">
        <v>1.396183E-2</v>
      </c>
      <c r="S6695">
        <v>3.003342</v>
      </c>
      <c r="T6695">
        <v>-0.28158860000000002</v>
      </c>
      <c r="U6695">
        <v>0.22885129999999901</v>
      </c>
      <c r="V6695">
        <v>-6.7249589999999998E-2</v>
      </c>
      <c r="W6695">
        <v>4.2778610000000002E-2</v>
      </c>
      <c r="X6695">
        <v>0.99681869999999995</v>
      </c>
      <c r="Y6695">
        <v>-0.12787370000000001</v>
      </c>
      <c r="Z6695">
        <v>1.091959E-2</v>
      </c>
      <c r="AA6695">
        <v>0.99173029999999995</v>
      </c>
      <c r="AB6695">
        <v>35</v>
      </c>
      <c r="AC6695">
        <v>11.4962</v>
      </c>
      <c r="AD6695">
        <v>-1.1095016831469999</v>
      </c>
      <c r="AE6695">
        <v>0.91650000000001297</v>
      </c>
      <c r="AF6695">
        <v>-1.5098920378037</v>
      </c>
      <c r="AG6695">
        <v>-1.1095016831469999</v>
      </c>
      <c r="AH6695">
        <v>11.326720083769001</v>
      </c>
      <c r="AI6695">
        <v>95.545777102056505</v>
      </c>
      <c r="AJ6695">
        <v>97.592966912586903</v>
      </c>
      <c r="AK6695">
        <v>11.4806513668339</v>
      </c>
    </row>
    <row r="6696" spans="1:37" x14ac:dyDescent="0.2">
      <c r="A6696" t="str">
        <f>"20200111153600642"</f>
        <v>20200111153600642</v>
      </c>
      <c r="B6696" t="str">
        <f>"1578728160632695"</f>
        <v>1578728160632695</v>
      </c>
      <c r="C6696" t="s">
        <v>37</v>
      </c>
      <c r="D6696">
        <v>5.0559510000000003</v>
      </c>
      <c r="E6696">
        <v>0.47464529999999899</v>
      </c>
      <c r="F6696" t="s">
        <v>39</v>
      </c>
      <c r="G6696">
        <v>-121.7235</v>
      </c>
      <c r="H6696" s="1">
        <v>-3.919003E-6</v>
      </c>
      <c r="I6696">
        <v>137.43960000000001</v>
      </c>
      <c r="J6696">
        <v>-133.48759999999999</v>
      </c>
      <c r="K6696">
        <v>1.109556</v>
      </c>
      <c r="L6696">
        <v>136.48699999999999</v>
      </c>
      <c r="M6696">
        <v>0.99851520000000005</v>
      </c>
      <c r="N6696">
        <v>0</v>
      </c>
      <c r="O6696">
        <v>-4.9484189999999997E-2</v>
      </c>
      <c r="P6696">
        <v>0.99965729999999997</v>
      </c>
      <c r="Q6696">
        <v>2.140353E-2</v>
      </c>
      <c r="R6696">
        <v>1.5078889999999999E-2</v>
      </c>
      <c r="S6696">
        <v>3.003403</v>
      </c>
      <c r="T6696">
        <v>-0.27639959999999902</v>
      </c>
      <c r="U6696">
        <v>0.2343597</v>
      </c>
      <c r="V6696">
        <v>-6.4932439999999994E-2</v>
      </c>
      <c r="W6696">
        <v>4.3547990000000002E-2</v>
      </c>
      <c r="X6696">
        <v>0.99693899999999902</v>
      </c>
      <c r="Y6696">
        <v>-0.12630759999999999</v>
      </c>
      <c r="Z6696">
        <v>1.033045E-2</v>
      </c>
      <c r="AA6696">
        <v>0.99193729999999902</v>
      </c>
      <c r="AB6696">
        <v>35</v>
      </c>
      <c r="AC6696">
        <v>11.7640999999999</v>
      </c>
      <c r="AD6696">
        <v>-1.1095599190029899</v>
      </c>
      <c r="AE6696">
        <v>0.95260000000001699</v>
      </c>
      <c r="AF6696">
        <v>-1.52028435130413</v>
      </c>
      <c r="AG6696">
        <v>-1.1095599190029899</v>
      </c>
      <c r="AH6696">
        <v>11.600010585328301</v>
      </c>
      <c r="AI6696">
        <v>95.417760333663793</v>
      </c>
      <c r="AJ6696">
        <v>97.466564900978199</v>
      </c>
      <c r="AK6696">
        <v>11.7517076760107</v>
      </c>
    </row>
    <row r="6697" spans="1:37" x14ac:dyDescent="0.2">
      <c r="A6697" t="str">
        <f>"20200111153600664"</f>
        <v>20200111153600664</v>
      </c>
      <c r="B6697" t="str">
        <f>"1578728160652215"</f>
        <v>1578728160652215</v>
      </c>
      <c r="C6697" t="s">
        <v>37</v>
      </c>
      <c r="D6697">
        <v>5.0214449999999999</v>
      </c>
      <c r="E6697">
        <v>0.4747595</v>
      </c>
      <c r="F6697" t="s">
        <v>39</v>
      </c>
      <c r="G6697">
        <v>-121.414</v>
      </c>
      <c r="H6697" s="1">
        <v>-4.0519790000000004E-6</v>
      </c>
      <c r="I6697">
        <v>137.4385</v>
      </c>
      <c r="J6697">
        <v>-133.14699999999999</v>
      </c>
      <c r="K6697">
        <v>1.109586</v>
      </c>
      <c r="L6697">
        <v>136.47460000000001</v>
      </c>
      <c r="M6697">
        <v>0.99870499999999995</v>
      </c>
      <c r="N6697">
        <v>0</v>
      </c>
      <c r="O6697">
        <v>-4.542976E-2</v>
      </c>
      <c r="P6697">
        <v>0.99965539999999997</v>
      </c>
      <c r="Q6697">
        <v>2.0374650000000001E-2</v>
      </c>
      <c r="R6697">
        <v>1.6554510000000001E-2</v>
      </c>
      <c r="S6697">
        <v>3.003387</v>
      </c>
      <c r="T6697">
        <v>-0.27600989999999997</v>
      </c>
      <c r="U6697">
        <v>0.2366791</v>
      </c>
      <c r="V6697">
        <v>-6.2349990000000001E-2</v>
      </c>
      <c r="W6697">
        <v>4.2658080000000001E-2</v>
      </c>
      <c r="X6697">
        <v>0.99714230000000004</v>
      </c>
      <c r="Y6697">
        <v>-0.1230743</v>
      </c>
      <c r="Z6697">
        <v>9.7963249999999998E-3</v>
      </c>
      <c r="AA6697">
        <v>0.99234909999999998</v>
      </c>
      <c r="AB6697">
        <v>35</v>
      </c>
      <c r="AC6697">
        <v>11.733000000000001</v>
      </c>
      <c r="AD6697">
        <v>-1.1095900519790001</v>
      </c>
      <c r="AE6697">
        <v>0.96389999999999498</v>
      </c>
      <c r="AF6697">
        <v>-1.48289811549257</v>
      </c>
      <c r="AG6697">
        <v>-1.1095900519790001</v>
      </c>
      <c r="AH6697">
        <v>11.574258196415601</v>
      </c>
      <c r="AI6697">
        <v>95.431911079934196</v>
      </c>
      <c r="AJ6697">
        <v>97.300981105628395</v>
      </c>
      <c r="AK6697">
        <v>11.7215028772626</v>
      </c>
    </row>
    <row r="6698" spans="1:37" x14ac:dyDescent="0.2">
      <c r="A6698" t="str">
        <f>"20200111153600687"</f>
        <v>20200111153600687</v>
      </c>
      <c r="B6698" t="str">
        <f>"1578728160682470"</f>
        <v>1578728160682470</v>
      </c>
      <c r="C6698" t="s">
        <v>37</v>
      </c>
      <c r="D6698">
        <v>5.0609950000000001</v>
      </c>
      <c r="E6698">
        <v>0.47487079999999998</v>
      </c>
      <c r="F6698" t="s">
        <v>39</v>
      </c>
      <c r="G6698">
        <v>-121.36409999999999</v>
      </c>
      <c r="H6698" s="1">
        <v>-4.0772379999999902E-6</v>
      </c>
      <c r="I6698">
        <v>137.41679999999999</v>
      </c>
      <c r="J6698">
        <v>-132.80099999999999</v>
      </c>
      <c r="K6698">
        <v>1.1096029999999999</v>
      </c>
      <c r="L6698">
        <v>136.46340000000001</v>
      </c>
      <c r="M6698">
        <v>0.99888239999999995</v>
      </c>
      <c r="N6698">
        <v>0</v>
      </c>
      <c r="O6698">
        <v>-4.1290199999999999E-2</v>
      </c>
      <c r="P6698">
        <v>0.99965490000000001</v>
      </c>
      <c r="Q6698">
        <v>1.9116279999999999E-2</v>
      </c>
      <c r="R6698">
        <v>1.80229999999999E-2</v>
      </c>
      <c r="S6698">
        <v>3.0028079999999999</v>
      </c>
      <c r="T6698">
        <v>-0.28277209999999903</v>
      </c>
      <c r="U6698">
        <v>0.2401276</v>
      </c>
      <c r="V6698">
        <v>-5.9672349999999999E-2</v>
      </c>
      <c r="W6698">
        <v>4.1534700000000001E-2</v>
      </c>
      <c r="X6698">
        <v>0.99735359999999995</v>
      </c>
      <c r="Y6698">
        <v>-0.1201048</v>
      </c>
      <c r="Z6698">
        <v>9.5090130000000002E-3</v>
      </c>
      <c r="AA6698">
        <v>0.99271569999999998</v>
      </c>
      <c r="AB6698">
        <v>34</v>
      </c>
      <c r="AC6698">
        <v>11.4369</v>
      </c>
      <c r="AD6698">
        <v>-1.109607077238</v>
      </c>
      <c r="AE6698">
        <v>0.95339999999998704</v>
      </c>
      <c r="AF6698">
        <v>-1.4117464955972301</v>
      </c>
      <c r="AG6698">
        <v>-1.109607077238</v>
      </c>
      <c r="AH6698">
        <v>11.282299060354299</v>
      </c>
      <c r="AI6698">
        <v>95.573751805842605</v>
      </c>
      <c r="AJ6698">
        <v>97.132312161496401</v>
      </c>
      <c r="AK6698">
        <v>11.424295519678999</v>
      </c>
    </row>
    <row r="6699" spans="1:37" x14ac:dyDescent="0.2">
      <c r="A6699" t="str">
        <f>"20200111153600709"</f>
        <v>20200111153600709</v>
      </c>
      <c r="B6699" t="str">
        <f>"1578728160701991"</f>
        <v>1578728160701991</v>
      </c>
      <c r="C6699" t="s">
        <v>37</v>
      </c>
      <c r="D6699">
        <v>4.9744929999999998</v>
      </c>
      <c r="E6699">
        <v>0.47513919999999998</v>
      </c>
      <c r="F6699" t="s">
        <v>39</v>
      </c>
      <c r="G6699">
        <v>-121.3424</v>
      </c>
      <c r="H6699" s="1">
        <v>-4.0904639999999999E-6</v>
      </c>
      <c r="I6699">
        <v>137.3946</v>
      </c>
      <c r="J6699">
        <v>-132.45930000000001</v>
      </c>
      <c r="K6699">
        <v>1.109607</v>
      </c>
      <c r="L6699">
        <v>136.4539</v>
      </c>
      <c r="M6699">
        <v>0.99904139999999997</v>
      </c>
      <c r="N6699">
        <v>0</v>
      </c>
      <c r="O6699">
        <v>-3.7185349999999999E-2</v>
      </c>
      <c r="P6699">
        <v>0.99963029999999997</v>
      </c>
      <c r="Q6699">
        <v>1.8463230000000001E-2</v>
      </c>
      <c r="R6699">
        <v>1.9967760000000001E-2</v>
      </c>
      <c r="S6699">
        <v>3.0021969999999998</v>
      </c>
      <c r="T6699">
        <v>-0.29072249999999999</v>
      </c>
      <c r="U6699">
        <v>0.24397279999999999</v>
      </c>
      <c r="V6699">
        <v>-5.750914E-2</v>
      </c>
      <c r="W6699">
        <v>4.0998239999999998E-2</v>
      </c>
      <c r="X6699">
        <v>0.99750280000000002</v>
      </c>
      <c r="Y6699">
        <v>-0.11729629999999901</v>
      </c>
      <c r="Z6699">
        <v>9.245095E-3</v>
      </c>
      <c r="AA6699">
        <v>0.99305390000000004</v>
      </c>
      <c r="AB6699">
        <v>34</v>
      </c>
      <c r="AC6699">
        <v>11.116899999999999</v>
      </c>
      <c r="AD6699">
        <v>-1.109611090464</v>
      </c>
      <c r="AE6699">
        <v>0.94069999999999199</v>
      </c>
      <c r="AF6699">
        <v>-1.34028732845844</v>
      </c>
      <c r="AG6699">
        <v>-1.109611090464</v>
      </c>
      <c r="AH6699">
        <v>10.9657466635524</v>
      </c>
      <c r="AI6699">
        <v>95.735630268447096</v>
      </c>
      <c r="AJ6699">
        <v>96.968408109707099</v>
      </c>
      <c r="AK6699">
        <v>11.1029368540093</v>
      </c>
    </row>
    <row r="6700" spans="1:37" x14ac:dyDescent="0.2">
      <c r="A6700" t="str">
        <f>"20200111153600731"</f>
        <v>20200111153600731</v>
      </c>
      <c r="B6700" t="str">
        <f>"1578728160722487"</f>
        <v>1578728160722487</v>
      </c>
      <c r="C6700" t="s">
        <v>37</v>
      </c>
      <c r="D6700">
        <v>4.9543470000000003</v>
      </c>
      <c r="E6700">
        <v>0.47528379999999998</v>
      </c>
      <c r="F6700" t="s">
        <v>39</v>
      </c>
      <c r="G6700">
        <v>-121.1101</v>
      </c>
      <c r="H6700" s="1">
        <v>-4.1906479999999998E-6</v>
      </c>
      <c r="I6700">
        <v>137.39169999999999</v>
      </c>
      <c r="J6700">
        <v>-132.12960000000001</v>
      </c>
      <c r="K6700">
        <v>1.1096139999999901</v>
      </c>
      <c r="L6700">
        <v>136.446</v>
      </c>
      <c r="M6700">
        <v>0.999179699999999</v>
      </c>
      <c r="N6700">
        <v>0</v>
      </c>
      <c r="O6700">
        <v>-3.3206560000000003E-2</v>
      </c>
      <c r="P6700">
        <v>0.99955309999999897</v>
      </c>
      <c r="Q6700">
        <v>1.8288220000000001E-2</v>
      </c>
      <c r="R6700">
        <v>2.3649819999999998E-2</v>
      </c>
      <c r="S6700">
        <v>3.0015719999999999</v>
      </c>
      <c r="T6700">
        <v>-0.29346290000000003</v>
      </c>
      <c r="U6700">
        <v>0.24804689999999999</v>
      </c>
      <c r="V6700">
        <v>-5.7210650000000002E-2</v>
      </c>
      <c r="W6700">
        <v>4.0905810000000001E-2</v>
      </c>
      <c r="X6700">
        <v>0.99752379999999996</v>
      </c>
      <c r="Y6700">
        <v>-0.1147145</v>
      </c>
      <c r="Z6700">
        <v>8.8199430000000002E-3</v>
      </c>
      <c r="AA6700">
        <v>0.99335929999999995</v>
      </c>
      <c r="AB6700">
        <v>34</v>
      </c>
      <c r="AC6700">
        <v>11.019500000000001</v>
      </c>
      <c r="AD6700">
        <v>-1.1096181906479901</v>
      </c>
      <c r="AE6700">
        <v>0.94569999999998799</v>
      </c>
      <c r="AF6700">
        <v>-1.2981298404378101</v>
      </c>
      <c r="AG6700">
        <v>-1.1096181906479901</v>
      </c>
      <c r="AH6700">
        <v>10.8725695874894</v>
      </c>
      <c r="AI6700">
        <v>95.786425309875895</v>
      </c>
      <c r="AJ6700">
        <v>96.808595953409693</v>
      </c>
      <c r="AK6700">
        <v>11.005869481619801</v>
      </c>
    </row>
    <row r="6701" spans="1:37" x14ac:dyDescent="0.2">
      <c r="A6701" t="str">
        <f>"20200111153600754"</f>
        <v>20200111153600754</v>
      </c>
      <c r="B6701" t="str">
        <f>"1578728160742007"</f>
        <v>1578728160742007</v>
      </c>
      <c r="C6701" t="s">
        <v>37</v>
      </c>
      <c r="D6701">
        <v>4.8948549999999997</v>
      </c>
      <c r="E6701">
        <v>0.49791930000000001</v>
      </c>
      <c r="F6701" t="s">
        <v>39</v>
      </c>
      <c r="G6701">
        <v>-120.8678</v>
      </c>
      <c r="H6701" s="1">
        <v>-4.2908800000000002E-6</v>
      </c>
      <c r="I6701">
        <v>137.41249999999999</v>
      </c>
      <c r="J6701">
        <v>-131.7962</v>
      </c>
      <c r="K6701">
        <v>1.109621</v>
      </c>
      <c r="L6701">
        <v>136.43940000000001</v>
      </c>
      <c r="M6701">
        <v>0.99930439999999998</v>
      </c>
      <c r="N6701">
        <v>0</v>
      </c>
      <c r="O6701">
        <v>-2.9161400000000001E-2</v>
      </c>
      <c r="P6701">
        <v>0.99944840000000001</v>
      </c>
      <c r="Q6701">
        <v>1.7326279999999999E-2</v>
      </c>
      <c r="R6701">
        <v>2.833484E-2</v>
      </c>
      <c r="S6701">
        <v>3.0006409999999999</v>
      </c>
      <c r="T6701">
        <v>-0.29565159999999902</v>
      </c>
      <c r="U6701">
        <v>0.25753779999999998</v>
      </c>
      <c r="V6701">
        <v>-5.784156E-2</v>
      </c>
      <c r="W6701">
        <v>4.0009610000000001E-2</v>
      </c>
      <c r="X6701">
        <v>0.99752369999999901</v>
      </c>
      <c r="Y6701">
        <v>-0.11385139999999901</v>
      </c>
      <c r="Z6701">
        <v>8.4475750000000006E-3</v>
      </c>
      <c r="AA6701">
        <v>0.99346179999999995</v>
      </c>
      <c r="AB6701">
        <v>34</v>
      </c>
      <c r="AC6701">
        <v>10.9283999999999</v>
      </c>
      <c r="AD6701">
        <v>-1.1096252908799999</v>
      </c>
      <c r="AE6701">
        <v>0.97309999999998797</v>
      </c>
      <c r="AF6701">
        <v>-1.2783836292133499</v>
      </c>
      <c r="AG6701">
        <v>-1.1096252908799999</v>
      </c>
      <c r="AH6701">
        <v>10.785050858685601</v>
      </c>
      <c r="AI6701">
        <v>95.833681473381105</v>
      </c>
      <c r="AJ6701">
        <v>96.759895146679895</v>
      </c>
      <c r="AK6701">
        <v>10.917090043323601</v>
      </c>
    </row>
    <row r="6702" spans="1:37" x14ac:dyDescent="0.2">
      <c r="A6702" t="str">
        <f>"20200111153600777"</f>
        <v>20200111153600777</v>
      </c>
      <c r="B6702" t="str">
        <f>"1578728160772262"</f>
        <v>1578728160772262</v>
      </c>
      <c r="C6702" t="s">
        <v>37</v>
      </c>
      <c r="D6702">
        <v>4.8448839999999898</v>
      </c>
      <c r="E6702">
        <v>0.50692950000000003</v>
      </c>
      <c r="F6702" t="s">
        <v>39</v>
      </c>
      <c r="G6702">
        <v>-119.8531</v>
      </c>
      <c r="H6702" s="1">
        <v>-7.8482209999999905E-7</v>
      </c>
      <c r="I6702">
        <v>136.8021</v>
      </c>
      <c r="J6702">
        <v>-131.46010000000001</v>
      </c>
      <c r="K6702">
        <v>1.1096299999999999</v>
      </c>
      <c r="L6702">
        <v>136.4342</v>
      </c>
      <c r="M6702">
        <v>0.99941420000000003</v>
      </c>
      <c r="N6702">
        <v>0</v>
      </c>
      <c r="O6702">
        <v>-2.5055750000000002E-2</v>
      </c>
      <c r="P6702">
        <v>0.99935659999999904</v>
      </c>
      <c r="Q6702">
        <v>1.6330669999999999E-2</v>
      </c>
      <c r="R6702">
        <v>3.1936859999999997E-2</v>
      </c>
      <c r="S6702">
        <v>3.0038909999999999</v>
      </c>
      <c r="T6702">
        <v>-0.27908719999999998</v>
      </c>
      <c r="U6702">
        <v>9.1232300000000002E-2</v>
      </c>
      <c r="V6702">
        <v>-5.7329459999999999E-2</v>
      </c>
      <c r="W6702">
        <v>3.9083840000000002E-2</v>
      </c>
      <c r="X6702">
        <v>0.99758999999999998</v>
      </c>
      <c r="Y6702">
        <v>-5.5054079999999998E-2</v>
      </c>
      <c r="Z6702">
        <v>4.8744469999999996E-3</v>
      </c>
      <c r="AA6702">
        <v>0.99847149999999996</v>
      </c>
      <c r="AB6702">
        <v>34</v>
      </c>
      <c r="AC6702">
        <v>11.606999999999999</v>
      </c>
      <c r="AD6702">
        <v>-1.1096307848221001</v>
      </c>
      <c r="AE6702">
        <v>0.36789999999999101</v>
      </c>
      <c r="AF6702">
        <v>-0.65272605728799404</v>
      </c>
      <c r="AG6702">
        <v>-1.1096307848221001</v>
      </c>
      <c r="AH6702">
        <v>11.4892343861546</v>
      </c>
      <c r="AI6702">
        <v>95.507692905095396</v>
      </c>
      <c r="AJ6702">
        <v>93.2515909241353</v>
      </c>
      <c r="AK6702">
        <v>11.561134830304701</v>
      </c>
    </row>
    <row r="6703" spans="1:37" x14ac:dyDescent="0.2">
      <c r="A6703" t="str">
        <f>"20200111153600799"</f>
        <v>20200111153600799</v>
      </c>
      <c r="B6703" t="str">
        <f>"1578728160792759"</f>
        <v>1578728160792759</v>
      </c>
      <c r="C6703" t="s">
        <v>37</v>
      </c>
      <c r="D6703">
        <v>4.8394959999999996</v>
      </c>
      <c r="E6703">
        <v>0.50786949999999997</v>
      </c>
      <c r="F6703" t="s">
        <v>39</v>
      </c>
      <c r="G6703">
        <v>-117.20059999999999</v>
      </c>
      <c r="H6703" s="1">
        <v>-1.7456909999999901E-6</v>
      </c>
      <c r="I6703">
        <v>136.58330000000001</v>
      </c>
      <c r="J6703">
        <v>-131.1277</v>
      </c>
      <c r="K6703">
        <v>1.1096360000000001</v>
      </c>
      <c r="L6703">
        <v>136.43039999999999</v>
      </c>
      <c r="M6703">
        <v>0.99950699999999904</v>
      </c>
      <c r="N6703">
        <v>0</v>
      </c>
      <c r="O6703">
        <v>-2.0970820000000001E-2</v>
      </c>
      <c r="P6703">
        <v>0.99927330000000003</v>
      </c>
      <c r="Q6703">
        <v>1.593433E-2</v>
      </c>
      <c r="R6703">
        <v>3.4627369999999998E-2</v>
      </c>
      <c r="S6703">
        <v>3.0047450000000002</v>
      </c>
      <c r="T6703">
        <v>-0.23382120000000001</v>
      </c>
      <c r="U6703">
        <v>3.143311E-2</v>
      </c>
      <c r="V6703">
        <v>-5.593302E-2</v>
      </c>
      <c r="W6703">
        <v>3.8756980000000003E-2</v>
      </c>
      <c r="X6703">
        <v>0.99768199999999996</v>
      </c>
      <c r="Y6703">
        <v>-3.1275730000000002E-2</v>
      </c>
      <c r="Z6703">
        <v>2.8448109999999901E-3</v>
      </c>
      <c r="AA6703">
        <v>0.99950680000000003</v>
      </c>
      <c r="AB6703">
        <v>34</v>
      </c>
      <c r="AC6703">
        <v>13.927099999999999</v>
      </c>
      <c r="AD6703">
        <v>-1.109637745691</v>
      </c>
      <c r="AE6703">
        <v>0.152900000000016</v>
      </c>
      <c r="AF6703">
        <v>-0.44220204044703099</v>
      </c>
      <c r="AG6703">
        <v>-1.109637745691</v>
      </c>
      <c r="AH6703">
        <v>13.833025976082601</v>
      </c>
      <c r="AI6703">
        <v>94.583918502452605</v>
      </c>
      <c r="AJ6703">
        <v>91.830957707671203</v>
      </c>
      <c r="AK6703">
        <v>13.884503816349101</v>
      </c>
    </row>
    <row r="6704" spans="1:37" x14ac:dyDescent="0.2">
      <c r="A6704" t="str">
        <f>"20200111153600821"</f>
        <v>20200111153600821</v>
      </c>
      <c r="B6704" t="str">
        <f>"1578728160812279"</f>
        <v>1578728160812279</v>
      </c>
      <c r="C6704" t="s">
        <v>37</v>
      </c>
      <c r="D6704">
        <v>4.8436859999999999</v>
      </c>
      <c r="E6704">
        <v>0.50801960000000002</v>
      </c>
      <c r="F6704" t="s">
        <v>39</v>
      </c>
      <c r="G6704">
        <v>-115.8797</v>
      </c>
      <c r="H6704" s="1">
        <v>-2.2858050000000001E-6</v>
      </c>
      <c r="I6704">
        <v>136.5951</v>
      </c>
      <c r="J6704">
        <v>-130.80779999999999</v>
      </c>
      <c r="K6704">
        <v>1.10965</v>
      </c>
      <c r="L6704">
        <v>136.4282</v>
      </c>
      <c r="M6704">
        <v>0.99958119999999995</v>
      </c>
      <c r="N6704">
        <v>0</v>
      </c>
      <c r="O6704">
        <v>-1.701538E-2</v>
      </c>
      <c r="P6704">
        <v>0.99915480000000001</v>
      </c>
      <c r="Q6704">
        <v>1.7854470000000001E-2</v>
      </c>
      <c r="R6704">
        <v>3.7024050000000003E-2</v>
      </c>
      <c r="S6704">
        <v>3.00453199999999</v>
      </c>
      <c r="T6704">
        <v>-0.2186478</v>
      </c>
      <c r="U6704">
        <v>3.2455440000000002E-2</v>
      </c>
      <c r="V6704">
        <v>-5.4391580000000002E-2</v>
      </c>
      <c r="W6704">
        <v>4.0737139999999998E-2</v>
      </c>
      <c r="X6704">
        <v>0.99768840000000003</v>
      </c>
      <c r="Y6704">
        <v>-2.770077E-2</v>
      </c>
      <c r="Z6704">
        <v>2.243475E-3</v>
      </c>
      <c r="AA6704">
        <v>0.9996138</v>
      </c>
      <c r="AB6704">
        <v>33</v>
      </c>
      <c r="AC6704">
        <v>14.928099999999899</v>
      </c>
      <c r="AD6704">
        <v>-1.109652285805</v>
      </c>
      <c r="AE6704">
        <v>0.16689999999999799</v>
      </c>
      <c r="AF6704">
        <v>-0.41863986348366899</v>
      </c>
      <c r="AG6704">
        <v>-1.109652285805</v>
      </c>
      <c r="AH6704">
        <v>14.8411040166135</v>
      </c>
      <c r="AI6704">
        <v>94.274289404183406</v>
      </c>
      <c r="AJ6704">
        <v>91.615778608230698</v>
      </c>
      <c r="AK6704">
        <v>14.8884168386914</v>
      </c>
    </row>
    <row r="6705" spans="1:37" x14ac:dyDescent="0.2">
      <c r="A6705" t="str">
        <f>"20200111153600843"</f>
        <v>20200111153600843</v>
      </c>
      <c r="B6705" t="str">
        <f>"1578728160832775"</f>
        <v>1578728160832775</v>
      </c>
      <c r="C6705" t="s">
        <v>37</v>
      </c>
      <c r="D6705">
        <v>4.8517869999999998</v>
      </c>
      <c r="E6705">
        <v>0.50857339999999995</v>
      </c>
      <c r="F6705" t="s">
        <v>39</v>
      </c>
      <c r="G6705">
        <v>-114.7989</v>
      </c>
      <c r="H6705" s="1">
        <v>-2.742661E-6</v>
      </c>
      <c r="I6705">
        <v>136.6335</v>
      </c>
      <c r="J6705">
        <v>-130.48070000000001</v>
      </c>
      <c r="K6705">
        <v>1.109666</v>
      </c>
      <c r="L6705">
        <v>136.4272</v>
      </c>
      <c r="M6705">
        <v>0.99964120000000001</v>
      </c>
      <c r="N6705">
        <v>0</v>
      </c>
      <c r="O6705">
        <v>-1.2953579999999999E-2</v>
      </c>
      <c r="P6705">
        <v>0.99898829999999905</v>
      </c>
      <c r="Q6705">
        <v>2.129671E-2</v>
      </c>
      <c r="R6705">
        <v>3.9612580000000001E-2</v>
      </c>
      <c r="S6705">
        <v>3.00483699999999</v>
      </c>
      <c r="T6705">
        <v>-0.20827879999999999</v>
      </c>
      <c r="U6705">
        <v>3.8543699999999903E-2</v>
      </c>
      <c r="V6705">
        <v>-5.2948839999999997E-2</v>
      </c>
      <c r="W6705">
        <v>4.4232540000000001E-2</v>
      </c>
      <c r="X6705">
        <v>0.99761710000000003</v>
      </c>
      <c r="Y6705">
        <v>-2.5688450000000002E-2</v>
      </c>
      <c r="Z6705">
        <v>1.786192E-3</v>
      </c>
      <c r="AA6705">
        <v>0.99966840000000001</v>
      </c>
      <c r="AB6705">
        <v>33</v>
      </c>
      <c r="AC6705">
        <v>15.681800000000001</v>
      </c>
      <c r="AD6705">
        <v>-1.1096687426609999</v>
      </c>
      <c r="AE6705">
        <v>0.20629999999999801</v>
      </c>
      <c r="AF6705">
        <v>-0.40743423345797702</v>
      </c>
      <c r="AG6705">
        <v>-1.1096687426609999</v>
      </c>
      <c r="AH6705">
        <v>15.599713139131</v>
      </c>
      <c r="AI6705">
        <v>94.067437415440693</v>
      </c>
      <c r="AJ6705">
        <v>91.496114438131499</v>
      </c>
      <c r="AK6705">
        <v>15.644437266843701</v>
      </c>
    </row>
    <row r="6706" spans="1:37" x14ac:dyDescent="0.2">
      <c r="A6706" t="str">
        <f>"20200111153600865"</f>
        <v>20200111153600865</v>
      </c>
      <c r="B6706" t="str">
        <f>"1578728160862056"</f>
        <v>1578728160862056</v>
      </c>
      <c r="C6706" t="s">
        <v>37</v>
      </c>
      <c r="D6706">
        <v>4.7521899999999997</v>
      </c>
      <c r="E6706">
        <v>0.50907809999999998</v>
      </c>
      <c r="F6706" t="s">
        <v>39</v>
      </c>
      <c r="G6706">
        <v>-112.8165</v>
      </c>
      <c r="H6706" s="1">
        <v>-3.5855109999999999E-6</v>
      </c>
      <c r="I6706">
        <v>136.6763</v>
      </c>
      <c r="J6706">
        <v>-130.1593</v>
      </c>
      <c r="K6706">
        <v>1.109672</v>
      </c>
      <c r="L6706">
        <v>136.42760000000001</v>
      </c>
      <c r="M6706">
        <v>0.99968429999999997</v>
      </c>
      <c r="N6706">
        <v>0</v>
      </c>
      <c r="O6706">
        <v>-8.9572799999999998E-3</v>
      </c>
      <c r="P6706">
        <v>0.99882530000000003</v>
      </c>
      <c r="Q6706">
        <v>2.4913790000000002E-2</v>
      </c>
      <c r="R6706">
        <v>4.156141E-2</v>
      </c>
      <c r="S6706">
        <v>3.0053860000000001</v>
      </c>
      <c r="T6706">
        <v>-0.1887991</v>
      </c>
      <c r="U6706">
        <v>4.2388919999999997E-2</v>
      </c>
      <c r="V6706">
        <v>-5.0933109999999997E-2</v>
      </c>
      <c r="W6706">
        <v>4.7903620000000001E-2</v>
      </c>
      <c r="X6706">
        <v>0.99755249999999995</v>
      </c>
      <c r="Y6706">
        <v>-2.299822E-2</v>
      </c>
      <c r="Z6706">
        <v>1.2839049999999999E-3</v>
      </c>
      <c r="AA6706">
        <v>0.99973469999999998</v>
      </c>
      <c r="AB6706">
        <v>33</v>
      </c>
      <c r="AC6706">
        <v>17.342799999999901</v>
      </c>
      <c r="AD6706">
        <v>-1.1096755855110001</v>
      </c>
      <c r="AE6706">
        <v>0.24869999999998499</v>
      </c>
      <c r="AF6706">
        <v>-0.402429921890957</v>
      </c>
      <c r="AG6706">
        <v>-1.1096755855110001</v>
      </c>
      <c r="AH6706">
        <v>17.269189114550102</v>
      </c>
      <c r="AI6706">
        <v>93.675635865727898</v>
      </c>
      <c r="AJ6706">
        <v>91.334941873231998</v>
      </c>
      <c r="AK6706">
        <v>17.309483597762402</v>
      </c>
    </row>
    <row r="6707" spans="1:37" x14ac:dyDescent="0.2">
      <c r="A6707" t="str">
        <f>"20200111153600888"</f>
        <v>20200111153600888</v>
      </c>
      <c r="B6707" t="str">
        <f>"1578728160882551"</f>
        <v>1578728160882551</v>
      </c>
      <c r="C6707" t="s">
        <v>37</v>
      </c>
      <c r="D6707">
        <v>4.7636750000000001</v>
      </c>
      <c r="E6707">
        <v>0.50913469999999905</v>
      </c>
      <c r="F6707" t="s">
        <v>39</v>
      </c>
      <c r="G6707">
        <v>-110.2166</v>
      </c>
      <c r="H6707" s="1">
        <v>-4.6919419999999998E-6</v>
      </c>
      <c r="I6707">
        <v>136.72669999999999</v>
      </c>
      <c r="J6707">
        <v>-129.83250000000001</v>
      </c>
      <c r="K6707">
        <v>1.109664</v>
      </c>
      <c r="L6707">
        <v>136.42939999999999</v>
      </c>
      <c r="M6707">
        <v>0.99971139999999903</v>
      </c>
      <c r="N6707">
        <v>0</v>
      </c>
      <c r="O6707">
        <v>-4.8961059999999999E-3</v>
      </c>
      <c r="P6707">
        <v>0.99864059999999899</v>
      </c>
      <c r="Q6707">
        <v>2.7826799999999999E-2</v>
      </c>
      <c r="R6707">
        <v>4.4075950000000003E-2</v>
      </c>
      <c r="S6707">
        <v>3.005798</v>
      </c>
      <c r="T6707">
        <v>-0.1672516</v>
      </c>
      <c r="U6707">
        <v>4.5074459999999997E-2</v>
      </c>
      <c r="V6707">
        <v>-4.9411730000000001E-2</v>
      </c>
      <c r="W6707">
        <v>5.0872590000000002E-2</v>
      </c>
      <c r="X6707">
        <v>0.99748210000000004</v>
      </c>
      <c r="Y6707">
        <v>-1.985261E-2</v>
      </c>
      <c r="Z6707">
        <v>8.2415660000000003E-4</v>
      </c>
      <c r="AA6707">
        <v>0.99980259999999999</v>
      </c>
      <c r="AB6707">
        <v>33</v>
      </c>
      <c r="AC6707">
        <v>19.6159</v>
      </c>
      <c r="AD6707">
        <v>-1.109668691942</v>
      </c>
      <c r="AE6707">
        <v>0.297300000000007</v>
      </c>
      <c r="AF6707">
        <v>-0.39211001148173902</v>
      </c>
      <c r="AG6707">
        <v>-1.109668691942</v>
      </c>
      <c r="AH6707">
        <v>19.5516549004228</v>
      </c>
      <c r="AI6707">
        <v>93.247727929113594</v>
      </c>
      <c r="AJ6707">
        <v>91.148917448773702</v>
      </c>
      <c r="AK6707">
        <v>19.587044805488301</v>
      </c>
    </row>
    <row r="6708" spans="1:37" x14ac:dyDescent="0.2">
      <c r="A6708" t="str">
        <f>"20200111153600910"</f>
        <v>20200111153600910</v>
      </c>
      <c r="B6708" t="str">
        <f>"1578728160902070"</f>
        <v>1578728160902070</v>
      </c>
      <c r="C6708" t="s">
        <v>37</v>
      </c>
      <c r="D6708">
        <v>4.7993759999999996</v>
      </c>
      <c r="E6708">
        <v>0.50933669999999998</v>
      </c>
      <c r="F6708" t="s">
        <v>39</v>
      </c>
      <c r="G6708">
        <v>-108.94110000000001</v>
      </c>
      <c r="H6708" s="1">
        <v>-1.1417319999999901E-6</v>
      </c>
      <c r="I6708">
        <v>136.79429999999999</v>
      </c>
      <c r="J6708">
        <v>-129.511</v>
      </c>
      <c r="K6708">
        <v>1.1096569999999999</v>
      </c>
      <c r="L6708">
        <v>136.4324</v>
      </c>
      <c r="M6708">
        <v>0.999721999999999</v>
      </c>
      <c r="N6708">
        <v>0</v>
      </c>
      <c r="O6708">
        <v>-9.1548259999999903E-4</v>
      </c>
      <c r="P6708">
        <v>0.99841789999999997</v>
      </c>
      <c r="Q6708">
        <v>3.1000090000000001E-2</v>
      </c>
      <c r="R6708">
        <v>4.6915680000000001E-2</v>
      </c>
      <c r="S6708">
        <v>3.0062099999999998</v>
      </c>
      <c r="T6708">
        <v>-0.15967709999999999</v>
      </c>
      <c r="U6708">
        <v>5.2505490000000002E-2</v>
      </c>
      <c r="V6708">
        <v>-4.8297159999999999E-2</v>
      </c>
      <c r="W6708">
        <v>5.4102520000000001E-2</v>
      </c>
      <c r="X6708">
        <v>0.99736669999999905</v>
      </c>
      <c r="Y6708">
        <v>-1.8351449999999998E-2</v>
      </c>
      <c r="Z6708">
        <v>5.3559750000000002E-4</v>
      </c>
      <c r="AA6708">
        <v>0.99983140000000004</v>
      </c>
      <c r="AB6708">
        <v>32</v>
      </c>
      <c r="AC6708">
        <v>20.569899999999901</v>
      </c>
      <c r="AD6708">
        <v>-1.1096581417319999</v>
      </c>
      <c r="AE6708">
        <v>0.36189999999999101</v>
      </c>
      <c r="AF6708">
        <v>-0.37963202159166098</v>
      </c>
      <c r="AG6708">
        <v>-1.1096581417319999</v>
      </c>
      <c r="AH6708">
        <v>20.509891760631501</v>
      </c>
      <c r="AI6708">
        <v>93.096356877783705</v>
      </c>
      <c r="AJ6708">
        <v>91.060406817521496</v>
      </c>
      <c r="AK6708">
        <v>20.543396060441101</v>
      </c>
    </row>
    <row r="6709" spans="1:37" x14ac:dyDescent="0.2">
      <c r="A6709" t="str">
        <f>"20200111153600944"</f>
        <v>20200111153600944</v>
      </c>
      <c r="B6709" t="str">
        <f>"1578728160932326"</f>
        <v>1578728160932326</v>
      </c>
      <c r="C6709" t="s">
        <v>37</v>
      </c>
      <c r="D6709">
        <v>4.7681309999999897</v>
      </c>
      <c r="E6709">
        <v>0.50984220000000002</v>
      </c>
      <c r="F6709" t="s">
        <v>39</v>
      </c>
      <c r="G6709">
        <v>-107.5932</v>
      </c>
      <c r="H6709" s="1">
        <v>-1.640071E-6</v>
      </c>
      <c r="I6709">
        <v>136.86670000000001</v>
      </c>
      <c r="J6709">
        <v>-129.0436</v>
      </c>
      <c r="K6709">
        <v>1.1095820000000001</v>
      </c>
      <c r="L6709">
        <v>136.43889999999999</v>
      </c>
      <c r="M6709">
        <v>0.99970899999999996</v>
      </c>
      <c r="N6709">
        <v>0</v>
      </c>
      <c r="O6709">
        <v>4.7921179999999997E-3</v>
      </c>
      <c r="P6709">
        <v>0.99801890000000004</v>
      </c>
      <c r="Q6709">
        <v>3.3420619999999998E-2</v>
      </c>
      <c r="R6709">
        <v>5.3305159999999997E-2</v>
      </c>
      <c r="S6709">
        <v>3.0066830000000002</v>
      </c>
      <c r="T6709">
        <v>-0.15222289999999999</v>
      </c>
      <c r="U6709">
        <v>5.9585569999999997E-2</v>
      </c>
      <c r="V6709">
        <v>-4.8995610000000002E-2</v>
      </c>
      <c r="W6709">
        <v>5.6609689999999997E-2</v>
      </c>
      <c r="X6709">
        <v>0.99719349999999995</v>
      </c>
      <c r="Y6709">
        <v>-1.5008000000000001E-2</v>
      </c>
      <c r="Z6709">
        <v>1.3713199999999999E-4</v>
      </c>
      <c r="AA6709">
        <v>0.99988729999999904</v>
      </c>
      <c r="AB6709">
        <v>32</v>
      </c>
      <c r="AC6709">
        <v>21.450399999999998</v>
      </c>
      <c r="AD6709">
        <v>-1.109583640071</v>
      </c>
      <c r="AE6709">
        <v>0.427800000000019</v>
      </c>
      <c r="AF6709">
        <v>-0.32410660610247699</v>
      </c>
      <c r="AG6709">
        <v>-1.109583640071</v>
      </c>
      <c r="AH6709">
        <v>21.394978854806801</v>
      </c>
      <c r="AI6709">
        <v>92.968466584268299</v>
      </c>
      <c r="AJ6709">
        <v>90.867891502175993</v>
      </c>
      <c r="AK6709">
        <v>21.426183541267001</v>
      </c>
    </row>
    <row r="6710" spans="1:37" x14ac:dyDescent="0.2">
      <c r="A6710" t="str">
        <f>"20200111153600966"</f>
        <v>20200111153600966</v>
      </c>
      <c r="B6710" t="str">
        <f>"1578728160962583"</f>
        <v>1578728160962583</v>
      </c>
      <c r="C6710" t="s">
        <v>37</v>
      </c>
      <c r="D6710">
        <v>4.7506159999999999</v>
      </c>
      <c r="E6710">
        <v>0.51024290000000005</v>
      </c>
      <c r="F6710" t="s">
        <v>39</v>
      </c>
      <c r="G6710">
        <v>-106.6193</v>
      </c>
      <c r="H6710" s="1">
        <v>-2.0440350000000002E-6</v>
      </c>
      <c r="I6710">
        <v>136.9922</v>
      </c>
      <c r="J6710">
        <v>-128.73320000000001</v>
      </c>
      <c r="K6710">
        <v>1.1095079999999999</v>
      </c>
      <c r="L6710">
        <v>136.44479999999999</v>
      </c>
      <c r="M6710">
        <v>0.99968289999999904</v>
      </c>
      <c r="N6710">
        <v>0</v>
      </c>
      <c r="O6710">
        <v>8.4988800000000003E-3</v>
      </c>
      <c r="P6710">
        <v>0.99775579999999997</v>
      </c>
      <c r="Q6710">
        <v>3.4374509999999997E-2</v>
      </c>
      <c r="R6710">
        <v>5.7462779999999998E-2</v>
      </c>
      <c r="S6710">
        <v>3.006958</v>
      </c>
      <c r="T6710">
        <v>-0.14878810000000001</v>
      </c>
      <c r="U6710">
        <v>7.4188229999999994E-2</v>
      </c>
      <c r="V6710">
        <v>-4.9449189999999997E-2</v>
      </c>
      <c r="W6710">
        <v>5.7629890000000003E-2</v>
      </c>
      <c r="X6710">
        <v>0.99711260000000002</v>
      </c>
      <c r="Y6710">
        <v>-1.615575E-2</v>
      </c>
      <c r="Z6710" s="1">
        <v>-2.0919309999999999E-5</v>
      </c>
      <c r="AA6710">
        <v>0.99986949999999997</v>
      </c>
      <c r="AB6710">
        <v>32</v>
      </c>
      <c r="AC6710">
        <v>22.113900000000001</v>
      </c>
      <c r="AD6710">
        <v>-1.1095100440350001</v>
      </c>
      <c r="AE6710">
        <v>0.54740000000000999</v>
      </c>
      <c r="AF6710">
        <v>-0.35848216654639498</v>
      </c>
      <c r="AG6710">
        <v>-1.1095100440350001</v>
      </c>
      <c r="AH6710">
        <v>22.062251586973598</v>
      </c>
      <c r="AI6710">
        <v>92.878598463959705</v>
      </c>
      <c r="AJ6710">
        <v>90.930898089463994</v>
      </c>
      <c r="AK6710">
        <v>22.093041146217601</v>
      </c>
    </row>
    <row r="6711" spans="1:37" x14ac:dyDescent="0.2">
      <c r="A6711" t="str">
        <f>"20200111153600988"</f>
        <v>20200111153600988</v>
      </c>
      <c r="B6711" t="str">
        <f>"1578728160982103"</f>
        <v>1578728160982103</v>
      </c>
      <c r="C6711" t="s">
        <v>37</v>
      </c>
      <c r="D6711">
        <v>4.752605</v>
      </c>
      <c r="E6711">
        <v>0.51056800000000002</v>
      </c>
      <c r="F6711" t="s">
        <v>39</v>
      </c>
      <c r="G6711">
        <v>-106.4268</v>
      </c>
      <c r="H6711" s="1">
        <v>-2.122776E-6</v>
      </c>
      <c r="I6711">
        <v>137.06129999999999</v>
      </c>
      <c r="J6711">
        <v>-128.41149999999999</v>
      </c>
      <c r="K6711">
        <v>1.109405</v>
      </c>
      <c r="L6711">
        <v>136.452</v>
      </c>
      <c r="M6711">
        <v>0.99964259999999905</v>
      </c>
      <c r="N6711">
        <v>0</v>
      </c>
      <c r="O6711">
        <v>1.22545E-2</v>
      </c>
      <c r="P6711">
        <v>0.99754959999999904</v>
      </c>
      <c r="Q6711">
        <v>3.2552240000000003E-2</v>
      </c>
      <c r="R6711">
        <v>6.1929959999999999E-2</v>
      </c>
      <c r="S6711">
        <v>3.007126</v>
      </c>
      <c r="T6711">
        <v>-0.1495726</v>
      </c>
      <c r="U6711">
        <v>8.311462E-2</v>
      </c>
      <c r="V6711">
        <v>-5.0139330000000003E-2</v>
      </c>
      <c r="W6711">
        <v>5.5875099999999997E-2</v>
      </c>
      <c r="X6711">
        <v>0.99717800000000001</v>
      </c>
      <c r="Y6711">
        <v>-1.536947E-2</v>
      </c>
      <c r="Z6711">
        <v>-2.2724830000000001E-4</v>
      </c>
      <c r="AA6711">
        <v>0.99988189999999999</v>
      </c>
      <c r="AB6711">
        <v>32</v>
      </c>
      <c r="AC6711">
        <v>21.984699999999901</v>
      </c>
      <c r="AD6711">
        <v>-1.1094071227760001</v>
      </c>
      <c r="AE6711">
        <v>0.60929999999998996</v>
      </c>
      <c r="AF6711">
        <v>-0.33890429091695001</v>
      </c>
      <c r="AG6711">
        <v>-1.1094071227760001</v>
      </c>
      <c r="AH6711">
        <v>21.934703546116399</v>
      </c>
      <c r="AI6711">
        <v>92.8950772468867</v>
      </c>
      <c r="AJ6711">
        <v>90.885183634443806</v>
      </c>
      <c r="AK6711">
        <v>21.9653559028411</v>
      </c>
    </row>
    <row r="6712" spans="1:37" x14ac:dyDescent="0.2">
      <c r="A6712" t="str">
        <f>"20200111153601012"</f>
        <v>20200111153601012</v>
      </c>
      <c r="B6712" t="str">
        <f>"1578728161002598"</f>
        <v>1578728161002598</v>
      </c>
      <c r="C6712" t="s">
        <v>37</v>
      </c>
      <c r="D6712">
        <v>4.7045360000000001</v>
      </c>
      <c r="E6712">
        <v>0.51090779999999902</v>
      </c>
      <c r="F6712" t="s">
        <v>39</v>
      </c>
      <c r="G6712">
        <v>-107.21559999999999</v>
      </c>
      <c r="H6712" s="1">
        <v>-1.7414730000000001E-6</v>
      </c>
      <c r="I6712">
        <v>137.10890000000001</v>
      </c>
      <c r="J6712">
        <v>-128.09700000000001</v>
      </c>
      <c r="K6712">
        <v>1.109264</v>
      </c>
      <c r="L6712">
        <v>136.46</v>
      </c>
      <c r="M6712">
        <v>0.99959149999999997</v>
      </c>
      <c r="N6712">
        <v>0</v>
      </c>
      <c r="O6712">
        <v>1.5796669999999999E-2</v>
      </c>
      <c r="P6712">
        <v>0.99741999999999997</v>
      </c>
      <c r="Q6712">
        <v>2.8632250000000001E-2</v>
      </c>
      <c r="R6712">
        <v>6.5830769999999997E-2</v>
      </c>
      <c r="S6712">
        <v>3.0067140000000001</v>
      </c>
      <c r="T6712">
        <v>-0.1573727</v>
      </c>
      <c r="U6712">
        <v>9.3185420000000005E-2</v>
      </c>
      <c r="V6712">
        <v>-5.0457490000000001E-2</v>
      </c>
      <c r="W6712">
        <v>5.2024540000000001E-2</v>
      </c>
      <c r="X6712">
        <v>0.99737030000000004</v>
      </c>
      <c r="Y6712">
        <v>-1.518098E-2</v>
      </c>
      <c r="Z6712">
        <v>-4.2927679999999998E-4</v>
      </c>
      <c r="AA6712">
        <v>0.99988469999999996</v>
      </c>
      <c r="AB6712">
        <v>31</v>
      </c>
      <c r="AC6712">
        <v>20.881399999999999</v>
      </c>
      <c r="AD6712">
        <v>-1.1092657414730001</v>
      </c>
      <c r="AE6712">
        <v>0.64889999999999703</v>
      </c>
      <c r="AF6712">
        <v>-0.31797235720512002</v>
      </c>
      <c r="AG6712">
        <v>-1.1092657414730001</v>
      </c>
      <c r="AH6712">
        <v>20.830320635787398</v>
      </c>
      <c r="AI6712">
        <v>93.047907315379106</v>
      </c>
      <c r="AJ6712">
        <v>90.874545309079494</v>
      </c>
      <c r="AK6712">
        <v>20.862258619211499</v>
      </c>
    </row>
    <row r="6713" spans="1:37" x14ac:dyDescent="0.2">
      <c r="A6713" t="str">
        <f>"20200111153601036"</f>
        <v>20200111153601036</v>
      </c>
      <c r="B6713" t="str">
        <f>"1578728161032855"</f>
        <v>1578728161032855</v>
      </c>
      <c r="C6713" t="s">
        <v>37</v>
      </c>
      <c r="D6713">
        <v>4.7078189999999998</v>
      </c>
      <c r="E6713">
        <v>0.51138779999999995</v>
      </c>
      <c r="F6713" t="s">
        <v>39</v>
      </c>
      <c r="G6713">
        <v>-108.68389999999999</v>
      </c>
      <c r="H6713" s="1">
        <v>-1.15521E-6</v>
      </c>
      <c r="I6713">
        <v>137.1148</v>
      </c>
      <c r="J6713">
        <v>-127.7615</v>
      </c>
      <c r="K6713">
        <v>1.109094</v>
      </c>
      <c r="L6713">
        <v>136.46969999999999</v>
      </c>
      <c r="M6713">
        <v>0.9995269</v>
      </c>
      <c r="N6713">
        <v>0</v>
      </c>
      <c r="O6713">
        <v>1.9402059999999999E-2</v>
      </c>
      <c r="P6713">
        <v>0.99728349999999899</v>
      </c>
      <c r="Q6713">
        <v>2.559119E-2</v>
      </c>
      <c r="R6713">
        <v>6.9071170000000001E-2</v>
      </c>
      <c r="S6713">
        <v>3.0059969999999998</v>
      </c>
      <c r="T6713">
        <v>-0.17176250000000001</v>
      </c>
      <c r="U6713">
        <v>0.1013947</v>
      </c>
      <c r="V6713">
        <v>-5.005598E-2</v>
      </c>
      <c r="W6713">
        <v>4.9059539999999999E-2</v>
      </c>
      <c r="X6713">
        <v>0.99754080000000001</v>
      </c>
      <c r="Y6713">
        <v>-1.4316999999999899E-2</v>
      </c>
      <c r="Z6713">
        <v>-6.9900050000000003E-4</v>
      </c>
      <c r="AA6713">
        <v>0.99989719999999904</v>
      </c>
      <c r="AB6713">
        <v>31</v>
      </c>
      <c r="AC6713">
        <v>19.0776</v>
      </c>
      <c r="AD6713">
        <v>-1.1090951552099999</v>
      </c>
      <c r="AE6713">
        <v>0.645100000000013</v>
      </c>
      <c r="AF6713">
        <v>-0.27380396445518901</v>
      </c>
      <c r="AG6713">
        <v>-1.1090951552099999</v>
      </c>
      <c r="AH6713">
        <v>19.0223086221636</v>
      </c>
      <c r="AI6713">
        <v>93.336506183957994</v>
      </c>
      <c r="AJ6713">
        <v>90.824649027111406</v>
      </c>
      <c r="AK6713">
        <v>19.056581172684201</v>
      </c>
    </row>
    <row r="6714" spans="1:37" x14ac:dyDescent="0.2">
      <c r="A6714" t="str">
        <f>"20200111153601058"</f>
        <v>20200111153601058</v>
      </c>
      <c r="B6714" t="str">
        <f>"1578728161052375"</f>
        <v>1578728161052375</v>
      </c>
      <c r="C6714" t="s">
        <v>37</v>
      </c>
      <c r="D6714">
        <v>4.6932619999999998</v>
      </c>
      <c r="E6714">
        <v>0.5117661</v>
      </c>
      <c r="F6714" t="s">
        <v>39</v>
      </c>
      <c r="G6714">
        <v>-109.6966</v>
      </c>
      <c r="H6714" s="1">
        <v>-7.6661789999999897E-7</v>
      </c>
      <c r="I6714">
        <v>137.11369999999999</v>
      </c>
      <c r="J6714">
        <v>-127.4658</v>
      </c>
      <c r="K6714">
        <v>1.1089329999999999</v>
      </c>
      <c r="L6714">
        <v>136.47899999999899</v>
      </c>
      <c r="M6714">
        <v>0.99946299999999899</v>
      </c>
      <c r="N6714">
        <v>0</v>
      </c>
      <c r="O6714">
        <v>2.2408890000000001E-2</v>
      </c>
      <c r="P6714">
        <v>0.99715949999999998</v>
      </c>
      <c r="Q6714">
        <v>2.3965199999999999E-2</v>
      </c>
      <c r="R6714">
        <v>7.1406960000000005E-2</v>
      </c>
      <c r="S6714">
        <v>3.0054780000000001</v>
      </c>
      <c r="T6714">
        <v>-0.18452079999999901</v>
      </c>
      <c r="U6714">
        <v>0.1071472</v>
      </c>
      <c r="V6714">
        <v>-4.9358590000000001E-2</v>
      </c>
      <c r="W6714">
        <v>4.74983E-2</v>
      </c>
      <c r="X6714">
        <v>0.99765099999999995</v>
      </c>
      <c r="Y6714">
        <v>-1.323525E-2</v>
      </c>
      <c r="Z6714">
        <v>-9.6845280000000002E-4</v>
      </c>
      <c r="AA6714">
        <v>0.99991200000000002</v>
      </c>
      <c r="AB6714">
        <v>31</v>
      </c>
      <c r="AC6714">
        <v>17.769199999999898</v>
      </c>
      <c r="AD6714">
        <v>-1.10893376661789</v>
      </c>
      <c r="AE6714">
        <v>0.63470000000000903</v>
      </c>
      <c r="AF6714">
        <v>-0.23532329021148299</v>
      </c>
      <c r="AG6714">
        <v>-1.10893376661789</v>
      </c>
      <c r="AH6714">
        <v>17.710074632625499</v>
      </c>
      <c r="AI6714">
        <v>93.582638482218499</v>
      </c>
      <c r="AJ6714">
        <v>90.761275048164705</v>
      </c>
      <c r="AK6714">
        <v>17.746319467507199</v>
      </c>
    </row>
    <row r="6715" spans="1:37" x14ac:dyDescent="0.2">
      <c r="A6715" t="str">
        <f>"20200111153601078"</f>
        <v>20200111153601078</v>
      </c>
      <c r="B6715" t="str">
        <f>"1578728161071895"</f>
        <v>1578728161071895</v>
      </c>
      <c r="C6715" t="s">
        <v>37</v>
      </c>
      <c r="D6715">
        <v>4.7024249999999999</v>
      </c>
      <c r="E6715">
        <v>0.51210540000000004</v>
      </c>
      <c r="F6715" t="s">
        <v>39</v>
      </c>
      <c r="G6715">
        <v>-110.1116</v>
      </c>
      <c r="H6715" s="1">
        <v>-4.6669269999999998E-6</v>
      </c>
      <c r="I6715">
        <v>137.1216</v>
      </c>
      <c r="J6715">
        <v>-127.1867</v>
      </c>
      <c r="K6715">
        <v>1.1087769999999999</v>
      </c>
      <c r="L6715">
        <v>136.48849999999999</v>
      </c>
      <c r="M6715">
        <v>0.99939869999999897</v>
      </c>
      <c r="N6715">
        <v>0</v>
      </c>
      <c r="O6715">
        <v>2.5085840000000002E-2</v>
      </c>
      <c r="P6715">
        <v>0.99693019999999999</v>
      </c>
      <c r="Q6715">
        <v>2.457902E-2</v>
      </c>
      <c r="R6715">
        <v>7.4337169999999994E-2</v>
      </c>
      <c r="S6715">
        <v>3.005188</v>
      </c>
      <c r="T6715">
        <v>-0.1920316</v>
      </c>
      <c r="U6715">
        <v>0.1112823</v>
      </c>
      <c r="V6715">
        <v>-4.9603910000000001E-2</v>
      </c>
      <c r="W6715">
        <v>4.8160340000000003E-2</v>
      </c>
      <c r="X6715">
        <v>0.99760720000000003</v>
      </c>
      <c r="Y6715">
        <v>-1.194399E-2</v>
      </c>
      <c r="Z6715">
        <v>-1.219861E-3</v>
      </c>
      <c r="AA6715">
        <v>0.99992789999999998</v>
      </c>
      <c r="AB6715">
        <v>31</v>
      </c>
      <c r="AC6715">
        <v>17.075099999999999</v>
      </c>
      <c r="AD6715">
        <v>-1.1087816669270001</v>
      </c>
      <c r="AE6715">
        <v>0.63310000000001299</v>
      </c>
      <c r="AF6715">
        <v>-0.20357743071033299</v>
      </c>
      <c r="AG6715">
        <v>-1.1087816669270001</v>
      </c>
      <c r="AH6715">
        <v>17.013966672361601</v>
      </c>
      <c r="AI6715">
        <v>93.728364864610697</v>
      </c>
      <c r="AJ6715">
        <v>90.685529201403497</v>
      </c>
      <c r="AK6715">
        <v>17.0512727525965</v>
      </c>
    </row>
    <row r="6716" spans="1:37" x14ac:dyDescent="0.2">
      <c r="A6716" t="str">
        <f>"20200111153601100"</f>
        <v>20200111153601100</v>
      </c>
      <c r="B6716" t="str">
        <f>"1578728161092391"</f>
        <v>1578728161092391</v>
      </c>
      <c r="C6716" t="s">
        <v>37</v>
      </c>
      <c r="D6716">
        <v>4.6699269999999897</v>
      </c>
      <c r="E6716">
        <v>0.51243660000000002</v>
      </c>
      <c r="F6716" t="s">
        <v>39</v>
      </c>
      <c r="G6716">
        <v>-109.8306</v>
      </c>
      <c r="H6716" s="1">
        <v>-7.0126499999999899E-7</v>
      </c>
      <c r="I6716">
        <v>137.16589999999999</v>
      </c>
      <c r="J6716">
        <v>-126.89409999999999</v>
      </c>
      <c r="K6716">
        <v>1.1086199999999999</v>
      </c>
      <c r="L6716">
        <v>136.4991</v>
      </c>
      <c r="M6716">
        <v>0.99932840000000001</v>
      </c>
      <c r="N6716">
        <v>0</v>
      </c>
      <c r="O6716">
        <v>2.7715409999999999E-2</v>
      </c>
      <c r="P6716">
        <v>0.99666109999999897</v>
      </c>
      <c r="Q6716">
        <v>2.612387E-2</v>
      </c>
      <c r="R6716">
        <v>7.7358250000000003E-2</v>
      </c>
      <c r="S6716">
        <v>3.0052490000000001</v>
      </c>
      <c r="T6716">
        <v>-0.1919874</v>
      </c>
      <c r="U6716">
        <v>0.1172943</v>
      </c>
      <c r="V6716">
        <v>-4.9991470000000003E-2</v>
      </c>
      <c r="W6716">
        <v>4.976059E-2</v>
      </c>
      <c r="X6716">
        <v>0.99750919999999899</v>
      </c>
      <c r="Y6716">
        <v>-1.131622E-2</v>
      </c>
      <c r="Z6716">
        <v>-1.4072399999999999E-3</v>
      </c>
      <c r="AA6716">
        <v>0.99993500000000002</v>
      </c>
      <c r="AB6716">
        <v>31</v>
      </c>
      <c r="AC6716">
        <v>17.063499999999902</v>
      </c>
      <c r="AD6716">
        <v>-1.108620701265</v>
      </c>
      <c r="AE6716">
        <v>0.66679999999999495</v>
      </c>
      <c r="AF6716">
        <v>-0.19267381251884699</v>
      </c>
      <c r="AG6716">
        <v>-1.108620701265</v>
      </c>
      <c r="AH6716">
        <v>17.0037614902817</v>
      </c>
      <c r="AI6716">
        <v>93.730083621344704</v>
      </c>
      <c r="AJ6716">
        <v>90.649204815479607</v>
      </c>
      <c r="AK6716">
        <v>17.0409526692521</v>
      </c>
    </row>
    <row r="6717" spans="1:37" x14ac:dyDescent="0.2">
      <c r="A6717" t="str">
        <f>"20200111153601126"</f>
        <v>20200111153601126</v>
      </c>
      <c r="B6717" t="str">
        <f>"1578728161111911"</f>
        <v>1578728161111911</v>
      </c>
      <c r="C6717" t="s">
        <v>37</v>
      </c>
      <c r="D6717">
        <v>4.6893029999999998</v>
      </c>
      <c r="E6717">
        <v>0.51269659999999995</v>
      </c>
      <c r="F6717" t="s">
        <v>39</v>
      </c>
      <c r="G6717">
        <v>-109.2405</v>
      </c>
      <c r="H6717" s="1">
        <v>-9.120908E-7</v>
      </c>
      <c r="I6717">
        <v>137.2252</v>
      </c>
      <c r="J6717">
        <v>-126.5528</v>
      </c>
      <c r="K6717">
        <v>1.1084449999999999</v>
      </c>
      <c r="L6717">
        <v>136.51220000000001</v>
      </c>
      <c r="M6717">
        <v>0.99924419999999903</v>
      </c>
      <c r="N6717">
        <v>0</v>
      </c>
      <c r="O6717">
        <v>3.0567380000000002E-2</v>
      </c>
      <c r="P6717">
        <v>0.99638709999999997</v>
      </c>
      <c r="Q6717">
        <v>2.722695E-2</v>
      </c>
      <c r="R6717">
        <v>8.0445569999999994E-2</v>
      </c>
      <c r="S6717">
        <v>3.005417</v>
      </c>
      <c r="T6717">
        <v>-0.1887364</v>
      </c>
      <c r="U6717">
        <v>0.1236115</v>
      </c>
      <c r="V6717">
        <v>-5.0217289999999998E-2</v>
      </c>
      <c r="W6717">
        <v>5.0929740000000001E-2</v>
      </c>
      <c r="X6717">
        <v>0.99743890000000002</v>
      </c>
      <c r="Y6717">
        <v>-1.0564550000000001E-2</v>
      </c>
      <c r="Z6717">
        <v>-1.58567E-3</v>
      </c>
      <c r="AA6717">
        <v>0.99994300000000003</v>
      </c>
      <c r="AB6717">
        <v>30</v>
      </c>
      <c r="AC6717">
        <v>17.3123</v>
      </c>
      <c r="AD6717">
        <v>-1.1084459120907999</v>
      </c>
      <c r="AE6717">
        <v>0.71299999999999297</v>
      </c>
      <c r="AF6717">
        <v>-0.18257514734990199</v>
      </c>
      <c r="AG6717">
        <v>-1.1084459120907999</v>
      </c>
      <c r="AH6717">
        <v>17.255389437257101</v>
      </c>
      <c r="AI6717">
        <v>93.675291816980007</v>
      </c>
      <c r="AJ6717">
        <v>90.606210313654799</v>
      </c>
      <c r="AK6717">
        <v>17.291918651666801</v>
      </c>
    </row>
    <row r="6718" spans="1:37" x14ac:dyDescent="0.2">
      <c r="A6718" t="str">
        <f>"20200111153601148"</f>
        <v>20200111153601148</v>
      </c>
      <c r="B6718" t="str">
        <f>"1578728161142166"</f>
        <v>1578728161142166</v>
      </c>
      <c r="C6718" t="s">
        <v>37</v>
      </c>
      <c r="D6718">
        <v>4.7196040000000004</v>
      </c>
      <c r="E6718">
        <v>0.51310069999999997</v>
      </c>
      <c r="F6718" t="s">
        <v>39</v>
      </c>
      <c r="G6718">
        <v>-108.71339999999999</v>
      </c>
      <c r="H6718" s="1">
        <v>-1.0974079999999899E-6</v>
      </c>
      <c r="I6718">
        <v>137.2894</v>
      </c>
      <c r="J6718">
        <v>-126.2657</v>
      </c>
      <c r="K6718">
        <v>1.108311</v>
      </c>
      <c r="L6718">
        <v>136.52379999999999</v>
      </c>
      <c r="M6718">
        <v>0.99917129999999998</v>
      </c>
      <c r="N6718">
        <v>0</v>
      </c>
      <c r="O6718">
        <v>3.2837129999999999E-2</v>
      </c>
      <c r="P6718">
        <v>0.996224</v>
      </c>
      <c r="Q6718">
        <v>2.7472650000000001E-2</v>
      </c>
      <c r="R6718">
        <v>8.2360009999999997E-2</v>
      </c>
      <c r="S6718">
        <v>3.005417</v>
      </c>
      <c r="T6718">
        <v>-0.18674109999999999</v>
      </c>
      <c r="U6718">
        <v>0.13093569999999999</v>
      </c>
      <c r="V6718">
        <v>-4.9851260000000001E-2</v>
      </c>
      <c r="W6718">
        <v>5.1228330000000002E-2</v>
      </c>
      <c r="X6718">
        <v>0.99744200000000005</v>
      </c>
      <c r="Y6718">
        <v>-1.072883E-2</v>
      </c>
      <c r="Z6718">
        <v>-1.704512E-3</v>
      </c>
      <c r="AA6718">
        <v>0.99994099999999997</v>
      </c>
      <c r="AB6718">
        <v>30</v>
      </c>
      <c r="AC6718">
        <v>17.552299999999999</v>
      </c>
      <c r="AD6718">
        <v>-1.1083120974080001</v>
      </c>
      <c r="AE6718">
        <v>0.76560000000000605</v>
      </c>
      <c r="AF6718">
        <v>-0.18790518782486901</v>
      </c>
      <c r="AG6718">
        <v>-1.1083120974080001</v>
      </c>
      <c r="AH6718">
        <v>17.4983412427719</v>
      </c>
      <c r="AI6718">
        <v>93.623957566817097</v>
      </c>
      <c r="AJ6718">
        <v>90.615244625669405</v>
      </c>
      <c r="AK6718">
        <v>17.534412174731301</v>
      </c>
    </row>
    <row r="6719" spans="1:37" x14ac:dyDescent="0.2">
      <c r="A6719" t="str">
        <f>"20200111153601168"</f>
        <v>20200111153601168</v>
      </c>
      <c r="B6719" t="str">
        <f>"1578728161162662"</f>
        <v>1578728161162662</v>
      </c>
      <c r="C6719" t="s">
        <v>37</v>
      </c>
      <c r="D6719">
        <v>4.7211109999999996</v>
      </c>
      <c r="E6719">
        <v>0.51338209999999995</v>
      </c>
      <c r="F6719" t="s">
        <v>39</v>
      </c>
      <c r="G6719">
        <v>-108.508</v>
      </c>
      <c r="H6719" s="1">
        <v>-1.1695429999999999E-6</v>
      </c>
      <c r="I6719">
        <v>137.31469999999999</v>
      </c>
      <c r="J6719">
        <v>-125.9906</v>
      </c>
      <c r="K6719">
        <v>1.1081989999999999</v>
      </c>
      <c r="L6719">
        <v>136.53540000000001</v>
      </c>
      <c r="M6719">
        <v>0.99910010000000005</v>
      </c>
      <c r="N6719">
        <v>0</v>
      </c>
      <c r="O6719">
        <v>3.4912680000000001E-2</v>
      </c>
      <c r="P6719">
        <v>0.99611679999999903</v>
      </c>
      <c r="Q6719">
        <v>2.7164870000000001E-2</v>
      </c>
      <c r="R6719">
        <v>8.3747470000000004E-2</v>
      </c>
      <c r="S6719">
        <v>3.0054780000000001</v>
      </c>
      <c r="T6719">
        <v>-0.187582</v>
      </c>
      <c r="U6719">
        <v>0.1338654</v>
      </c>
      <c r="V6719">
        <v>-4.915129E-2</v>
      </c>
      <c r="W6719">
        <v>5.0974510000000001E-2</v>
      </c>
      <c r="X6719">
        <v>0.99748979999999998</v>
      </c>
      <c r="Y6719">
        <v>-9.6300559999999997E-3</v>
      </c>
      <c r="Z6719">
        <v>-1.875619E-3</v>
      </c>
      <c r="AA6719">
        <v>0.9999519</v>
      </c>
      <c r="AB6719">
        <v>30</v>
      </c>
      <c r="AC6719">
        <v>17.482600000000001</v>
      </c>
      <c r="AD6719">
        <v>-1.1082001695429999</v>
      </c>
      <c r="AE6719">
        <v>0.77929999999997701</v>
      </c>
      <c r="AF6719">
        <v>-0.16761095805131199</v>
      </c>
      <c r="AG6719">
        <v>-1.1082001695429999</v>
      </c>
      <c r="AH6719">
        <v>17.429256975693999</v>
      </c>
      <c r="AI6719">
        <v>93.637958302474303</v>
      </c>
      <c r="AJ6719">
        <v>90.550976125143293</v>
      </c>
      <c r="AK6719">
        <v>17.465256934090899</v>
      </c>
    </row>
    <row r="6720" spans="1:37" x14ac:dyDescent="0.2">
      <c r="A6720" t="str">
        <f>"20200111153601191"</f>
        <v>20200111153601191</v>
      </c>
      <c r="B6720" t="str">
        <f>"1578728161182183"</f>
        <v>1578728161182183</v>
      </c>
      <c r="C6720" t="s">
        <v>37</v>
      </c>
      <c r="D6720">
        <v>4.743239</v>
      </c>
      <c r="E6720">
        <v>0.51368449999999999</v>
      </c>
      <c r="F6720" t="s">
        <v>39</v>
      </c>
      <c r="G6720">
        <v>-108.4533</v>
      </c>
      <c r="H6720" s="1">
        <v>-1.1867579999999999E-6</v>
      </c>
      <c r="I6720">
        <v>137.32910000000001</v>
      </c>
      <c r="J6720">
        <v>-125.68799999999899</v>
      </c>
      <c r="K6720">
        <v>1.10809</v>
      </c>
      <c r="L6720">
        <v>136.5487</v>
      </c>
      <c r="M6720">
        <v>0.99901989999999996</v>
      </c>
      <c r="N6720">
        <v>0</v>
      </c>
      <c r="O6720">
        <v>3.7106460000000001E-2</v>
      </c>
      <c r="P6720">
        <v>0.99605200000000005</v>
      </c>
      <c r="Q6720">
        <v>2.650632E-2</v>
      </c>
      <c r="R6720">
        <v>8.4720840000000006E-2</v>
      </c>
      <c r="S6720">
        <v>3.0054470000000002</v>
      </c>
      <c r="T6720">
        <v>-0.18991710000000001</v>
      </c>
      <c r="U6720">
        <v>0.13601679999999999</v>
      </c>
      <c r="V6720">
        <v>-4.7916050000000002E-2</v>
      </c>
      <c r="W6720">
        <v>5.0381139999999998E-2</v>
      </c>
      <c r="X6720">
        <v>0.99757999999999902</v>
      </c>
      <c r="Y6720">
        <v>-8.1576140000000005E-3</v>
      </c>
      <c r="Z6720">
        <v>-2.0836940000000001E-3</v>
      </c>
      <c r="AA6720">
        <v>0.99996450000000003</v>
      </c>
      <c r="AB6720">
        <v>30</v>
      </c>
      <c r="AC6720">
        <v>17.234699999999901</v>
      </c>
      <c r="AD6720">
        <v>-1.1080911867579999</v>
      </c>
      <c r="AE6720">
        <v>0.78040000000001397</v>
      </c>
      <c r="AF6720">
        <v>-0.13958142680135099</v>
      </c>
      <c r="AG6720">
        <v>-1.1080911867579999</v>
      </c>
      <c r="AH6720">
        <v>17.180913999515798</v>
      </c>
      <c r="AI6720">
        <v>93.690085986655603</v>
      </c>
      <c r="AJ6720">
        <v>90.465472949245907</v>
      </c>
      <c r="AK6720">
        <v>17.2171761596273</v>
      </c>
    </row>
    <row r="6721" spans="1:37" x14ac:dyDescent="0.2">
      <c r="A6721" t="str">
        <f>"20200111153601214"</f>
        <v>20200111153601214</v>
      </c>
      <c r="B6721" t="str">
        <f>"1578728161202679"</f>
        <v>1578728161202679</v>
      </c>
      <c r="C6721" t="s">
        <v>37</v>
      </c>
      <c r="D6721">
        <v>4.7404529999999996</v>
      </c>
      <c r="E6721">
        <v>0.51393459999999902</v>
      </c>
      <c r="F6721" t="s">
        <v>39</v>
      </c>
      <c r="G6721">
        <v>-108.44759999999999</v>
      </c>
      <c r="H6721" s="1">
        <v>-1.187666E-6</v>
      </c>
      <c r="I6721">
        <v>137.3338</v>
      </c>
      <c r="J6721">
        <v>-125.39449999999999</v>
      </c>
      <c r="K6721">
        <v>1.1080030000000001</v>
      </c>
      <c r="L6721">
        <v>136.56219999999999</v>
      </c>
      <c r="M6721">
        <v>0.9989403</v>
      </c>
      <c r="N6721">
        <v>0</v>
      </c>
      <c r="O6721">
        <v>3.916791E-2</v>
      </c>
      <c r="P6721">
        <v>0.99595239999999996</v>
      </c>
      <c r="Q6721">
        <v>2.5985029999999999E-2</v>
      </c>
      <c r="R6721">
        <v>8.6044040000000002E-2</v>
      </c>
      <c r="S6721">
        <v>3.0054020000000001</v>
      </c>
      <c r="T6721">
        <v>-0.19316659999999999</v>
      </c>
      <c r="U6721">
        <v>0.13685610000000001</v>
      </c>
      <c r="V6721">
        <v>-4.7166970000000003E-2</v>
      </c>
      <c r="W6721">
        <v>4.9917749999999997E-2</v>
      </c>
      <c r="X6721">
        <v>0.9976389</v>
      </c>
      <c r="Y6721">
        <v>-6.38330199999999E-3</v>
      </c>
      <c r="Z6721">
        <v>-2.3084239999999999E-3</v>
      </c>
      <c r="AA6721">
        <v>0.99997689999999995</v>
      </c>
      <c r="AB6721">
        <v>29</v>
      </c>
      <c r="AC6721">
        <v>16.946899999999999</v>
      </c>
      <c r="AD6721">
        <v>-1.1080041876660001</v>
      </c>
      <c r="AE6721">
        <v>0.77160000000000595</v>
      </c>
      <c r="AF6721">
        <v>-0.10658427982491001</v>
      </c>
      <c r="AG6721">
        <v>-1.1080041876660001</v>
      </c>
      <c r="AH6721">
        <v>16.892060313285999</v>
      </c>
      <c r="AI6721">
        <v>93.752762694698902</v>
      </c>
      <c r="AJ6721">
        <v>90.361515898124296</v>
      </c>
      <c r="AK6721">
        <v>16.928695611779499</v>
      </c>
    </row>
    <row r="6722" spans="1:37" x14ac:dyDescent="0.2">
      <c r="A6722" t="str">
        <f>"20200111153601236"</f>
        <v>20200111153601236</v>
      </c>
      <c r="B6722" t="str">
        <f>"1578728161232935"</f>
        <v>1578728161232935</v>
      </c>
      <c r="C6722" t="s">
        <v>37</v>
      </c>
      <c r="D6722">
        <v>4.7226589999999904</v>
      </c>
      <c r="E6722">
        <v>0.51432169999999999</v>
      </c>
      <c r="F6722" t="s">
        <v>39</v>
      </c>
      <c r="G6722">
        <v>-108.36490000000001</v>
      </c>
      <c r="H6722" s="1">
        <v>-1.2152549999999899E-6</v>
      </c>
      <c r="I6722">
        <v>137.34960000000001</v>
      </c>
      <c r="J6722">
        <v>-125.10469999999999</v>
      </c>
      <c r="K6722">
        <v>1.1079219999999901</v>
      </c>
      <c r="L6722">
        <v>136.57599999999999</v>
      </c>
      <c r="M6722">
        <v>0.99885949999999901</v>
      </c>
      <c r="N6722">
        <v>0</v>
      </c>
      <c r="O6722">
        <v>4.1149869999999998E-2</v>
      </c>
      <c r="P6722">
        <v>0.99580859999999904</v>
      </c>
      <c r="Q6722">
        <v>2.6372840000000002E-2</v>
      </c>
      <c r="R6722">
        <v>8.7576810000000005E-2</v>
      </c>
      <c r="S6722">
        <v>3.0052949999999998</v>
      </c>
      <c r="T6722">
        <v>-0.19553499999999999</v>
      </c>
      <c r="U6722">
        <v>0.1389465</v>
      </c>
      <c r="V6722">
        <v>-4.6714470000000001E-2</v>
      </c>
      <c r="W6722">
        <v>5.0363989999999997E-2</v>
      </c>
      <c r="X6722">
        <v>0.99763780000000002</v>
      </c>
      <c r="Y6722">
        <v>-5.103425E-3</v>
      </c>
      <c r="Z6722">
        <v>-2.506926E-3</v>
      </c>
      <c r="AA6722">
        <v>0.99998379999999998</v>
      </c>
      <c r="AB6722">
        <v>29</v>
      </c>
      <c r="AC6722">
        <v>16.739799999999899</v>
      </c>
      <c r="AD6722">
        <v>-1.10792321525499</v>
      </c>
      <c r="AE6722">
        <v>0.77360000000001505</v>
      </c>
      <c r="AF6722">
        <v>-8.3536570444293801E-2</v>
      </c>
      <c r="AG6722">
        <v>-1.10792321525499</v>
      </c>
      <c r="AH6722">
        <v>16.684525710621099</v>
      </c>
      <c r="AI6722">
        <v>93.799057568549699</v>
      </c>
      <c r="AJ6722">
        <v>90.286867784572706</v>
      </c>
      <c r="AK6722">
        <v>16.7214793124854</v>
      </c>
    </row>
    <row r="6723" spans="1:37" x14ac:dyDescent="0.2">
      <c r="A6723" t="str">
        <f>"20200111153601260"</f>
        <v>20200111153601260</v>
      </c>
      <c r="B6723" t="str">
        <f>"1578728161252455"</f>
        <v>1578728161252455</v>
      </c>
      <c r="C6723" t="s">
        <v>37</v>
      </c>
      <c r="D6723">
        <v>4.7319230000000001</v>
      </c>
      <c r="E6723">
        <v>0.5145729</v>
      </c>
      <c r="F6723" t="s">
        <v>39</v>
      </c>
      <c r="G6723">
        <v>-108.1407</v>
      </c>
      <c r="H6723" s="1">
        <v>-1.296054E-6</v>
      </c>
      <c r="I6723">
        <v>137.36940000000001</v>
      </c>
      <c r="J6723">
        <v>-124.8168</v>
      </c>
      <c r="K6723">
        <v>1.107858</v>
      </c>
      <c r="L6723">
        <v>136.59030000000001</v>
      </c>
      <c r="M6723">
        <v>0.99877700000000003</v>
      </c>
      <c r="N6723">
        <v>0</v>
      </c>
      <c r="O6723">
        <v>4.3076349999999999E-2</v>
      </c>
      <c r="P6723">
        <v>0.99565919999999897</v>
      </c>
      <c r="Q6723">
        <v>2.610494E-2</v>
      </c>
      <c r="R6723">
        <v>8.9338879999999996E-2</v>
      </c>
      <c r="S6723">
        <v>3.0054630000000002</v>
      </c>
      <c r="T6723">
        <v>-0.1962874</v>
      </c>
      <c r="U6723">
        <v>0.14056399999999999</v>
      </c>
      <c r="V6723">
        <v>-4.654465E-2</v>
      </c>
      <c r="W6723">
        <v>5.0157779999999999E-2</v>
      </c>
      <c r="X6723">
        <v>0.99765619999999999</v>
      </c>
      <c r="Y6723">
        <v>-3.7166569999999999E-3</v>
      </c>
      <c r="Z6723">
        <v>-2.6870969999999998E-3</v>
      </c>
      <c r="AA6723">
        <v>0.99998949999999998</v>
      </c>
      <c r="AB6723">
        <v>29</v>
      </c>
      <c r="AC6723">
        <v>16.676100000000002</v>
      </c>
      <c r="AD6723">
        <v>-1.1078592960539999</v>
      </c>
      <c r="AE6723">
        <v>0.77909999999999902</v>
      </c>
      <c r="AF6723">
        <v>-5.9556977326858301E-2</v>
      </c>
      <c r="AG6723">
        <v>-1.1078592960539999</v>
      </c>
      <c r="AH6723">
        <v>16.620986045071</v>
      </c>
      <c r="AI6723">
        <v>93.813341934049703</v>
      </c>
      <c r="AJ6723">
        <v>90.205303634079002</v>
      </c>
      <c r="AK6723">
        <v>16.657973357039801</v>
      </c>
    </row>
    <row r="6724" spans="1:37" x14ac:dyDescent="0.2">
      <c r="A6724" t="str">
        <f>"20200111153601280"</f>
        <v>20200111153601280</v>
      </c>
      <c r="B6724" t="str">
        <f>"1578728161271975"</f>
        <v>1578728161271975</v>
      </c>
      <c r="C6724" t="s">
        <v>37</v>
      </c>
      <c r="D6724">
        <v>4.7627220000000001</v>
      </c>
      <c r="E6724">
        <v>0.51482249999999996</v>
      </c>
      <c r="F6724" t="s">
        <v>39</v>
      </c>
      <c r="G6724">
        <v>-108.0133</v>
      </c>
      <c r="H6724" s="1">
        <v>-1.337925E-6</v>
      </c>
      <c r="I6724">
        <v>137.39599999999999</v>
      </c>
      <c r="J6724">
        <v>-124.5505</v>
      </c>
      <c r="K6724">
        <v>1.107801</v>
      </c>
      <c r="L6724">
        <v>136.60390000000001</v>
      </c>
      <c r="M6724">
        <v>0.99869889999999995</v>
      </c>
      <c r="N6724">
        <v>0</v>
      </c>
      <c r="O6724">
        <v>4.4824740000000002E-2</v>
      </c>
      <c r="P6724">
        <v>0.99560720000000003</v>
      </c>
      <c r="Q6724">
        <v>2.4316049999999999E-2</v>
      </c>
      <c r="R6724">
        <v>9.0417170000000005E-2</v>
      </c>
      <c r="S6724">
        <v>3.005341</v>
      </c>
      <c r="T6724">
        <v>-0.19814289999999901</v>
      </c>
      <c r="U6724">
        <v>0.14410400000000001</v>
      </c>
      <c r="V6724">
        <v>-4.586258E-2</v>
      </c>
      <c r="W6724">
        <v>4.8425160000000002E-2</v>
      </c>
      <c r="X6724">
        <v>0.99777329999999997</v>
      </c>
      <c r="Y6724">
        <v>-3.1497719999999999E-3</v>
      </c>
      <c r="Z6724">
        <v>-2.8460899999999999E-3</v>
      </c>
      <c r="AA6724">
        <v>0.99999099999999996</v>
      </c>
      <c r="AB6724">
        <v>29</v>
      </c>
      <c r="AC6724">
        <v>16.537199999999999</v>
      </c>
      <c r="AD6724">
        <v>-1.1078023379249999</v>
      </c>
      <c r="AE6724">
        <v>0.79210000000000402</v>
      </c>
      <c r="AF6724">
        <v>-4.95864273763654E-2</v>
      </c>
      <c r="AG6724">
        <v>-1.1078023379249999</v>
      </c>
      <c r="AH6724">
        <v>16.482289923137799</v>
      </c>
      <c r="AI6724">
        <v>93.845144948433898</v>
      </c>
      <c r="AJ6724">
        <v>90.172371949021297</v>
      </c>
      <c r="AK6724">
        <v>16.519551021261499</v>
      </c>
    </row>
    <row r="6725" spans="1:37" x14ac:dyDescent="0.2">
      <c r="A6725" t="str">
        <f>"20200111153601302"</f>
        <v>20200111153601302</v>
      </c>
      <c r="B6725" t="str">
        <f>"1578728161292471"</f>
        <v>1578728161292471</v>
      </c>
      <c r="C6725" t="s">
        <v>37</v>
      </c>
      <c r="D6725">
        <v>4.7100390000000001</v>
      </c>
      <c r="E6725">
        <v>0.51505659999999998</v>
      </c>
      <c r="F6725" t="s">
        <v>39</v>
      </c>
      <c r="G6725">
        <v>-108.3017</v>
      </c>
      <c r="H6725" s="1">
        <v>-1.2285490000000001E-6</v>
      </c>
      <c r="I6725">
        <v>137.39070000000001</v>
      </c>
      <c r="J6725">
        <v>-124.277999999999</v>
      </c>
      <c r="K6725">
        <v>1.1077569999999901</v>
      </c>
      <c r="L6725">
        <v>136.6183</v>
      </c>
      <c r="M6725">
        <v>0.99861710000000004</v>
      </c>
      <c r="N6725">
        <v>0</v>
      </c>
      <c r="O6725">
        <v>4.6591239999999999E-2</v>
      </c>
      <c r="P6725">
        <v>0.99555329999999997</v>
      </c>
      <c r="Q6725">
        <v>2.2903030000000001E-2</v>
      </c>
      <c r="R6725">
        <v>9.1373389999999999E-2</v>
      </c>
      <c r="S6725">
        <v>3.00502</v>
      </c>
      <c r="T6725">
        <v>-0.204875</v>
      </c>
      <c r="U6725">
        <v>0.14550779999999999</v>
      </c>
      <c r="V6725">
        <v>-4.5042409999999998E-2</v>
      </c>
      <c r="W6725">
        <v>4.7064380000000003E-2</v>
      </c>
      <c r="X6725">
        <v>0.99787579999999998</v>
      </c>
      <c r="Y6725">
        <v>-1.865329E-3</v>
      </c>
      <c r="Z6725">
        <v>-3.106653E-3</v>
      </c>
      <c r="AA6725">
        <v>0.99999340000000003</v>
      </c>
      <c r="AB6725">
        <v>28</v>
      </c>
      <c r="AC6725">
        <v>15.976299999999901</v>
      </c>
      <c r="AD6725">
        <v>-1.107758228549</v>
      </c>
      <c r="AE6725">
        <v>0.77240000000000397</v>
      </c>
      <c r="AF6725">
        <v>-2.6855412638164398E-2</v>
      </c>
      <c r="AG6725">
        <v>-1.107758228549</v>
      </c>
      <c r="AH6725">
        <v>15.9185844573654</v>
      </c>
      <c r="AI6725">
        <v>93.980732364121295</v>
      </c>
      <c r="AJ6725">
        <v>90.096660626174994</v>
      </c>
      <c r="AK6725">
        <v>15.9571043937295</v>
      </c>
    </row>
    <row r="6726" spans="1:37" x14ac:dyDescent="0.2">
      <c r="A6726" t="str">
        <f>"20200111153601324"</f>
        <v>20200111153601324</v>
      </c>
      <c r="B6726" t="str">
        <f>"1578728161311990"</f>
        <v>1578728161311990</v>
      </c>
      <c r="C6726" t="s">
        <v>37</v>
      </c>
      <c r="D6726">
        <v>4.648593</v>
      </c>
      <c r="E6726">
        <v>0.5153238</v>
      </c>
      <c r="F6726" t="s">
        <v>39</v>
      </c>
      <c r="G6726">
        <v>-108.4606</v>
      </c>
      <c r="H6726" s="1">
        <v>-1.167621E-6</v>
      </c>
      <c r="I6726">
        <v>137.3904</v>
      </c>
      <c r="J6726">
        <v>-124.0078</v>
      </c>
      <c r="K6726">
        <v>1.1077139999999901</v>
      </c>
      <c r="L6726">
        <v>136.63310000000001</v>
      </c>
      <c r="M6726">
        <v>0.99853369999999997</v>
      </c>
      <c r="N6726">
        <v>0</v>
      </c>
      <c r="O6726">
        <v>4.8326689999999999E-2</v>
      </c>
      <c r="P6726">
        <v>0.99555079999999996</v>
      </c>
      <c r="Q6726">
        <v>2.2208390000000001E-2</v>
      </c>
      <c r="R6726">
        <v>9.157303E-2</v>
      </c>
      <c r="S6726">
        <v>3.0047759999999899</v>
      </c>
      <c r="T6726">
        <v>-0.210437399999999</v>
      </c>
      <c r="U6726">
        <v>0.14666750000000001</v>
      </c>
      <c r="V6726">
        <v>-4.3499139999999999E-2</v>
      </c>
      <c r="W6726">
        <v>4.6419450000000001E-2</v>
      </c>
      <c r="X6726">
        <v>0.99797449999999999</v>
      </c>
      <c r="Y6726">
        <v>-5.2951219999999995E-4</v>
      </c>
      <c r="Z6726">
        <v>-3.3588959999999901E-3</v>
      </c>
      <c r="AA6726">
        <v>0.99999419999999895</v>
      </c>
      <c r="AB6726">
        <v>28</v>
      </c>
      <c r="AC6726">
        <v>15.5472</v>
      </c>
      <c r="AD6726">
        <v>-1.107715167621</v>
      </c>
      <c r="AE6726">
        <v>0.75729999999998598</v>
      </c>
      <c r="AF6726">
        <v>-4.8218785642726199E-3</v>
      </c>
      <c r="AG6726">
        <v>-1.107715167621</v>
      </c>
      <c r="AH6726">
        <v>15.487199854418201</v>
      </c>
      <c r="AI6726">
        <v>94.091088413227396</v>
      </c>
      <c r="AJ6726">
        <v>90.017838814293498</v>
      </c>
      <c r="AK6726">
        <v>15.5267644882565</v>
      </c>
    </row>
    <row r="6727" spans="1:37" x14ac:dyDescent="0.2">
      <c r="A6727" t="str">
        <f>"20200111153601347"</f>
        <v>20200111153601347</v>
      </c>
      <c r="B6727" t="str">
        <f>"1578728161342247"</f>
        <v>1578728161342247</v>
      </c>
      <c r="C6727" t="s">
        <v>37</v>
      </c>
      <c r="D6727">
        <v>4.6560079999999999</v>
      </c>
      <c r="E6727">
        <v>0.52280939999999998</v>
      </c>
      <c r="F6727" t="s">
        <v>39</v>
      </c>
      <c r="G6727">
        <v>-108.4507</v>
      </c>
      <c r="H6727" s="1">
        <v>-1.17257E-6</v>
      </c>
      <c r="I6727">
        <v>137.3861</v>
      </c>
      <c r="J6727">
        <v>-123.7437</v>
      </c>
      <c r="K6727">
        <v>1.1076839999999999</v>
      </c>
      <c r="L6727">
        <v>136.64789999999999</v>
      </c>
      <c r="M6727">
        <v>0.998449699999999</v>
      </c>
      <c r="N6727">
        <v>0</v>
      </c>
      <c r="O6727">
        <v>5.0014160000000002E-2</v>
      </c>
      <c r="P6727">
        <v>0.99555509999999903</v>
      </c>
      <c r="Q6727">
        <v>2.3222670000000001E-2</v>
      </c>
      <c r="R6727">
        <v>9.1274099999999997E-2</v>
      </c>
      <c r="S6727">
        <v>3.004807</v>
      </c>
      <c r="T6727">
        <v>-0.213952799999999</v>
      </c>
      <c r="U6727">
        <v>0.14543149999999999</v>
      </c>
      <c r="V6727">
        <v>-4.1511659999999999E-2</v>
      </c>
      <c r="W6727">
        <v>4.747734E-2</v>
      </c>
      <c r="X6727">
        <v>0.99800940000000005</v>
      </c>
      <c r="Y6727">
        <v>1.557945E-3</v>
      </c>
      <c r="Z6727">
        <v>-3.6088459999999902E-3</v>
      </c>
      <c r="AA6727">
        <v>0.99999229999999995</v>
      </c>
      <c r="AB6727">
        <v>28</v>
      </c>
      <c r="AC6727">
        <v>15.292999999999999</v>
      </c>
      <c r="AD6727">
        <v>-1.1076851725700001</v>
      </c>
      <c r="AE6727">
        <v>0.73820000000000596</v>
      </c>
      <c r="AF6727">
        <v>2.7674433645327401E-2</v>
      </c>
      <c r="AG6727">
        <v>-1.1076851725700001</v>
      </c>
      <c r="AH6727">
        <v>15.231061087741701</v>
      </c>
      <c r="AI6727">
        <v>94.159529325082403</v>
      </c>
      <c r="AJ6727">
        <v>89.895895204264804</v>
      </c>
      <c r="AK6727">
        <v>15.2713114752574</v>
      </c>
    </row>
    <row r="6728" spans="1:37" x14ac:dyDescent="0.2">
      <c r="A6728" t="str">
        <f>"20200111153601368"</f>
        <v>20200111153601368</v>
      </c>
      <c r="B6728" t="str">
        <f>"1578728161362743"</f>
        <v>1578728161362743</v>
      </c>
      <c r="C6728" t="s">
        <v>37</v>
      </c>
      <c r="D6728">
        <v>4.6689749999999997</v>
      </c>
      <c r="E6728">
        <v>0.52280740000000003</v>
      </c>
      <c r="F6728" t="s">
        <v>40</v>
      </c>
      <c r="G6728">
        <v>-122.8593</v>
      </c>
      <c r="H6728">
        <v>1.034151</v>
      </c>
      <c r="I6728">
        <v>136.67269999999999</v>
      </c>
      <c r="J6728">
        <v>-123.4632</v>
      </c>
      <c r="K6728">
        <v>1.107672</v>
      </c>
      <c r="L6728">
        <v>136.66419999999999</v>
      </c>
      <c r="M6728">
        <v>0.99835779999999996</v>
      </c>
      <c r="N6728">
        <v>0</v>
      </c>
      <c r="O6728">
        <v>5.1802559999999997E-2</v>
      </c>
      <c r="P6728">
        <v>0.99560559999999998</v>
      </c>
      <c r="Q6728">
        <v>2.3820359999999999E-2</v>
      </c>
      <c r="R6728">
        <v>9.0565770000000004E-2</v>
      </c>
      <c r="S6728">
        <v>3.0114749999999999</v>
      </c>
      <c r="T6728">
        <v>-0.25051210000000002</v>
      </c>
      <c r="U6728">
        <v>8.4579470000000004E-2</v>
      </c>
      <c r="V6728">
        <v>-3.901048E-2</v>
      </c>
      <c r="W6728">
        <v>4.8124149999999997E-2</v>
      </c>
      <c r="X6728">
        <v>0.9980793</v>
      </c>
      <c r="Y6728">
        <v>2.3500960000000001E-2</v>
      </c>
      <c r="Z6728">
        <v>-5.2756239999999996E-3</v>
      </c>
      <c r="AA6728">
        <v>0.99970990000000004</v>
      </c>
      <c r="AB6728">
        <v>28</v>
      </c>
      <c r="AC6728">
        <v>0.603899999999995</v>
      </c>
      <c r="AD6728">
        <v>-7.3520999999999906E-2</v>
      </c>
      <c r="AE6728">
        <v>8.4999999999979502E-3</v>
      </c>
      <c r="AF6728">
        <v>2.24713528197386E-2</v>
      </c>
      <c r="AG6728">
        <v>-7.3520999999999906E-2</v>
      </c>
      <c r="AH6728">
        <v>0.594716285581671</v>
      </c>
      <c r="AI6728">
        <v>97.042382689372104</v>
      </c>
      <c r="AJ6728">
        <v>87.836108575222795</v>
      </c>
      <c r="AK6728">
        <v>0.59966470587705001</v>
      </c>
    </row>
    <row r="6729" spans="1:37" x14ac:dyDescent="0.2">
      <c r="A6729" t="str">
        <f>"20200111153601391"</f>
        <v>20200111153601391</v>
      </c>
      <c r="B6729" t="str">
        <f>"1578728161382263"</f>
        <v>1578728161382263</v>
      </c>
      <c r="C6729" t="s">
        <v>37</v>
      </c>
      <c r="D6729">
        <v>4.6999230000000001</v>
      </c>
      <c r="E6729">
        <v>0.52328359999999996</v>
      </c>
      <c r="F6729" t="s">
        <v>40</v>
      </c>
      <c r="G6729">
        <v>-122.61409999999999</v>
      </c>
      <c r="H6729">
        <v>1.036872</v>
      </c>
      <c r="I6729">
        <v>136.6875</v>
      </c>
      <c r="J6729">
        <v>-123.1985</v>
      </c>
      <c r="K6729">
        <v>1.107658</v>
      </c>
      <c r="L6729">
        <v>136.68</v>
      </c>
      <c r="M6729">
        <v>0.99826769999999998</v>
      </c>
      <c r="N6729">
        <v>0</v>
      </c>
      <c r="O6729">
        <v>5.3491299999999999E-2</v>
      </c>
      <c r="P6729">
        <v>0.99568419999999902</v>
      </c>
      <c r="Q6729">
        <v>2.389175E-2</v>
      </c>
      <c r="R6729">
        <v>8.9678850000000004E-2</v>
      </c>
      <c r="S6729">
        <v>3.0117029999999998</v>
      </c>
      <c r="T6729">
        <v>-0.25122129999999998</v>
      </c>
      <c r="U6729">
        <v>8.306885E-2</v>
      </c>
      <c r="V6729">
        <v>-3.642778E-2</v>
      </c>
      <c r="W6729">
        <v>4.8247499999999999E-2</v>
      </c>
      <c r="X6729">
        <v>0.99817089999999997</v>
      </c>
      <c r="Y6729">
        <v>2.5680419999999999E-2</v>
      </c>
      <c r="Z6729">
        <v>-5.5213269999999899E-3</v>
      </c>
      <c r="AA6729">
        <v>0.99965490000000001</v>
      </c>
      <c r="AB6729">
        <v>27</v>
      </c>
      <c r="AC6729">
        <v>0.58440000000000203</v>
      </c>
      <c r="AD6729">
        <v>-7.0786000000000002E-2</v>
      </c>
      <c r="AE6729">
        <v>7.4999999999931797E-3</v>
      </c>
      <c r="AF6729">
        <v>2.34366524316569E-2</v>
      </c>
      <c r="AG6729">
        <v>-7.0786000000000002E-2</v>
      </c>
      <c r="AH6729">
        <v>0.57552175268781003</v>
      </c>
      <c r="AI6729">
        <v>97.006099689559406</v>
      </c>
      <c r="AJ6729">
        <v>87.668064279044103</v>
      </c>
      <c r="AK6729">
        <v>0.58033199316430095</v>
      </c>
    </row>
    <row r="6730" spans="1:37" x14ac:dyDescent="0.2">
      <c r="A6730" t="str">
        <f>"20200111153601412"</f>
        <v>20200111153601412</v>
      </c>
      <c r="B6730" t="str">
        <f>"1578728161402759"</f>
        <v>1578728161402759</v>
      </c>
      <c r="C6730" t="s">
        <v>37</v>
      </c>
      <c r="D6730">
        <v>4.6816240000000002</v>
      </c>
      <c r="E6730">
        <v>0.52366480000000004</v>
      </c>
      <c r="F6730" t="s">
        <v>40</v>
      </c>
      <c r="G6730">
        <v>-122.3712</v>
      </c>
      <c r="H6730">
        <v>1.039172</v>
      </c>
      <c r="I6730">
        <v>136.7011</v>
      </c>
      <c r="J6730">
        <v>-122.9323</v>
      </c>
      <c r="K6730">
        <v>1.1076539999999999</v>
      </c>
      <c r="L6730">
        <v>136.69640000000001</v>
      </c>
      <c r="M6730">
        <v>0.99817389999999995</v>
      </c>
      <c r="N6730">
        <v>0</v>
      </c>
      <c r="O6730">
        <v>5.5191270000000001E-2</v>
      </c>
      <c r="P6730">
        <v>0.99571299999999996</v>
      </c>
      <c r="Q6730">
        <v>2.3166849999999999E-2</v>
      </c>
      <c r="R6730">
        <v>8.9549119999999996E-2</v>
      </c>
      <c r="S6730">
        <v>3.012054</v>
      </c>
      <c r="T6730">
        <v>-0.2494683</v>
      </c>
      <c r="U6730">
        <v>7.6995850000000005E-2</v>
      </c>
      <c r="V6730">
        <v>-3.4590650000000001E-2</v>
      </c>
      <c r="W6730">
        <v>4.7586410000000003E-2</v>
      </c>
      <c r="X6730">
        <v>0.99826800000000004</v>
      </c>
      <c r="Y6730">
        <v>2.9385430000000001E-2</v>
      </c>
      <c r="Z6730">
        <v>-5.7760190000000003E-3</v>
      </c>
      <c r="AA6730">
        <v>0.99955149999999904</v>
      </c>
      <c r="AB6730">
        <v>27</v>
      </c>
      <c r="AC6730">
        <v>0.56109999999999605</v>
      </c>
      <c r="AD6730">
        <v>-6.8482000000000098E-2</v>
      </c>
      <c r="AE6730">
        <v>4.6999999999854901E-3</v>
      </c>
      <c r="AF6730">
        <v>2.58985670541792E-2</v>
      </c>
      <c r="AG6730">
        <v>-6.8482000000000098E-2</v>
      </c>
      <c r="AH6730">
        <v>0.55227753297098703</v>
      </c>
      <c r="AI6730">
        <v>97.060871887829506</v>
      </c>
      <c r="AJ6730">
        <v>87.315131939554902</v>
      </c>
      <c r="AK6730">
        <v>0.55710949868403703</v>
      </c>
    </row>
    <row r="6731" spans="1:37" x14ac:dyDescent="0.2">
      <c r="A6731" t="str">
        <f>"20200111153601434"</f>
        <v>20200111153601434</v>
      </c>
      <c r="B6731" t="str">
        <f>"1578728161422279"</f>
        <v>1578728161422279</v>
      </c>
      <c r="C6731" t="s">
        <v>37</v>
      </c>
      <c r="D6731">
        <v>4.6773110000000004</v>
      </c>
      <c r="E6731">
        <v>0.52323249999999999</v>
      </c>
      <c r="F6731" t="s">
        <v>40</v>
      </c>
      <c r="G6731">
        <v>-122.1313</v>
      </c>
      <c r="H6731">
        <v>1.040292</v>
      </c>
      <c r="I6731">
        <v>136.7157</v>
      </c>
      <c r="J6731">
        <v>-122.6709</v>
      </c>
      <c r="K6731">
        <v>1.1076429999999999</v>
      </c>
      <c r="L6731">
        <v>136.71289999999999</v>
      </c>
      <c r="M6731">
        <v>0.99807819999999903</v>
      </c>
      <c r="N6731">
        <v>0</v>
      </c>
      <c r="O6731">
        <v>5.6863909999999997E-2</v>
      </c>
      <c r="P6731">
        <v>0.99567779999999995</v>
      </c>
      <c r="Q6731">
        <v>2.2839180000000001E-2</v>
      </c>
      <c r="R6731">
        <v>9.0023049999999993E-2</v>
      </c>
      <c r="S6731">
        <v>3.012238</v>
      </c>
      <c r="T6731">
        <v>-0.25350259999999902</v>
      </c>
      <c r="U6731">
        <v>7.3150629999999994E-2</v>
      </c>
      <c r="V6731">
        <v>-3.338766E-2</v>
      </c>
      <c r="W6731">
        <v>4.7333489999999999E-2</v>
      </c>
      <c r="X6731">
        <v>0.99832099999999901</v>
      </c>
      <c r="Y6731">
        <v>3.231154E-2</v>
      </c>
      <c r="Z6731">
        <v>-6.1321049999999997E-3</v>
      </c>
      <c r="AA6731">
        <v>0.99945899999999999</v>
      </c>
      <c r="AB6731">
        <v>27</v>
      </c>
      <c r="AC6731">
        <v>0.53960000000000696</v>
      </c>
      <c r="AD6731">
        <v>-6.7350999999999897E-2</v>
      </c>
      <c r="AE6731">
        <v>2.80000000000768E-3</v>
      </c>
      <c r="AF6731">
        <v>2.7469663807602799E-2</v>
      </c>
      <c r="AG6731">
        <v>-6.7350999999999897E-2</v>
      </c>
      <c r="AH6731">
        <v>0.53061924826484397</v>
      </c>
      <c r="AI6731">
        <v>97.224244979764606</v>
      </c>
      <c r="AJ6731">
        <v>87.036496452196602</v>
      </c>
      <c r="AK6731">
        <v>0.53558148423918694</v>
      </c>
    </row>
    <row r="6732" spans="1:37" x14ac:dyDescent="0.2">
      <c r="A6732" t="str">
        <f>"20200111153601458"</f>
        <v>20200111153601458</v>
      </c>
      <c r="B6732" t="str">
        <f>"1578728161452534"</f>
        <v>1578728161452534</v>
      </c>
      <c r="C6732" t="s">
        <v>37</v>
      </c>
      <c r="D6732">
        <v>4.683662</v>
      </c>
      <c r="E6732">
        <v>0.5217347</v>
      </c>
      <c r="F6732" t="s">
        <v>40</v>
      </c>
      <c r="G6732">
        <v>-121.8917</v>
      </c>
      <c r="H6732">
        <v>1.041987</v>
      </c>
      <c r="I6732">
        <v>136.7329</v>
      </c>
      <c r="J6732">
        <v>-122.39749999999999</v>
      </c>
      <c r="K6732">
        <v>1.107639</v>
      </c>
      <c r="L6732">
        <v>136.73060000000001</v>
      </c>
      <c r="M6732">
        <v>0.99797519999999995</v>
      </c>
      <c r="N6732">
        <v>0</v>
      </c>
      <c r="O6732">
        <v>5.8617099999999901E-2</v>
      </c>
      <c r="P6732">
        <v>0.99557809999999902</v>
      </c>
      <c r="Q6732">
        <v>2.3098730000000001E-2</v>
      </c>
      <c r="R6732">
        <v>9.1052850000000005E-2</v>
      </c>
      <c r="S6732">
        <v>3.0118259999999899</v>
      </c>
      <c r="T6732">
        <v>-0.25386969999999998</v>
      </c>
      <c r="U6732">
        <v>7.7590939999999997E-2</v>
      </c>
      <c r="V6732">
        <v>-3.2664980000000003E-2</v>
      </c>
      <c r="W6732">
        <v>4.7669280000000001E-2</v>
      </c>
      <c r="X6732">
        <v>0.99832889999999996</v>
      </c>
      <c r="Y6732">
        <v>3.2583330000000001E-2</v>
      </c>
      <c r="Z6732">
        <v>-6.3003649999999996E-3</v>
      </c>
      <c r="AA6732">
        <v>0.99944920000000004</v>
      </c>
      <c r="AB6732">
        <v>27</v>
      </c>
      <c r="AC6732">
        <v>0.50579999999999303</v>
      </c>
      <c r="AD6732">
        <v>-6.5652000000000002E-2</v>
      </c>
      <c r="AE6732">
        <v>2.29999999999108E-3</v>
      </c>
      <c r="AF6732">
        <v>2.69081970007762E-2</v>
      </c>
      <c r="AG6732">
        <v>-6.5652000000000002E-2</v>
      </c>
      <c r="AH6732">
        <v>0.49669664859523999</v>
      </c>
      <c r="AI6732">
        <v>97.518653587690906</v>
      </c>
      <c r="AJ6732">
        <v>86.899072040653806</v>
      </c>
      <c r="AK6732">
        <v>0.50173877356207597</v>
      </c>
    </row>
    <row r="6733" spans="1:37" x14ac:dyDescent="0.2">
      <c r="A6733" t="str">
        <f>"20200111153601482"</f>
        <v>20200111153601482</v>
      </c>
      <c r="B6733" t="str">
        <f>"1578728161472055"</f>
        <v>1578728161472055</v>
      </c>
      <c r="C6733" t="s">
        <v>37</v>
      </c>
      <c r="D6733">
        <v>4.7112059999999998</v>
      </c>
      <c r="E6733">
        <v>0.52323900000000001</v>
      </c>
      <c r="F6733" t="s">
        <v>40</v>
      </c>
      <c r="G6733">
        <v>-121.6819</v>
      </c>
      <c r="H6733">
        <v>1.00231</v>
      </c>
      <c r="I6733">
        <v>136.75129999999999</v>
      </c>
      <c r="J6733">
        <v>-122.12220000000001</v>
      </c>
      <c r="K6733">
        <v>1.1076349999999999</v>
      </c>
      <c r="L6733">
        <v>136.749</v>
      </c>
      <c r="M6733">
        <v>0.99786779999999997</v>
      </c>
      <c r="N6733">
        <v>0</v>
      </c>
      <c r="O6733">
        <v>6.0388070000000002E-2</v>
      </c>
      <c r="P6733">
        <v>0.99554010000000004</v>
      </c>
      <c r="Q6733">
        <v>2.275106E-2</v>
      </c>
      <c r="R6733">
        <v>9.155655E-2</v>
      </c>
      <c r="S6733">
        <v>3.0156099999999899</v>
      </c>
      <c r="T6733">
        <v>-0.44403880000000001</v>
      </c>
      <c r="U6733">
        <v>8.7860110000000005E-2</v>
      </c>
      <c r="V6733">
        <v>-3.1393869999999997E-2</v>
      </c>
      <c r="W6733">
        <v>4.7394930000000002E-2</v>
      </c>
      <c r="X6733">
        <v>0.99838269999999996</v>
      </c>
      <c r="Y6733">
        <v>3.0334819999999998E-2</v>
      </c>
      <c r="Z6733">
        <v>-1.106005E-2</v>
      </c>
      <c r="AA6733">
        <v>0.99947859999999999</v>
      </c>
      <c r="AB6733">
        <v>27</v>
      </c>
      <c r="AC6733">
        <v>0.44030000000000702</v>
      </c>
      <c r="AD6733">
        <v>-0.105325</v>
      </c>
      <c r="AE6733">
        <v>2.29999999999108E-3</v>
      </c>
      <c r="AF6733">
        <v>2.2985948653785799E-2</v>
      </c>
      <c r="AG6733">
        <v>-0.105325</v>
      </c>
      <c r="AH6733">
        <v>0.41584018668876299</v>
      </c>
      <c r="AI6733">
        <v>104.19232313705</v>
      </c>
      <c r="AJ6733">
        <v>86.836142798717603</v>
      </c>
      <c r="AK6733">
        <v>0.42958674365704003</v>
      </c>
    </row>
    <row r="6734" spans="1:37" x14ac:dyDescent="0.2">
      <c r="A6734" t="str">
        <f>"20200111153601502"</f>
        <v>20200111153601502</v>
      </c>
      <c r="B6734" t="str">
        <f>"1578728161492550"</f>
        <v>1578728161492550</v>
      </c>
      <c r="C6734" t="s">
        <v>37</v>
      </c>
      <c r="D6734">
        <v>4.7364769999999998</v>
      </c>
      <c r="E6734">
        <v>0.5239123</v>
      </c>
      <c r="F6734" t="s">
        <v>40</v>
      </c>
      <c r="G6734">
        <v>-121.2338</v>
      </c>
      <c r="H6734">
        <v>0.97004990000000002</v>
      </c>
      <c r="I6734">
        <v>136.7715</v>
      </c>
      <c r="J6734">
        <v>-121.887999999999</v>
      </c>
      <c r="K6734">
        <v>1.107621</v>
      </c>
      <c r="L6734">
        <v>136.76499999999999</v>
      </c>
      <c r="M6734">
        <v>0.99777399999999905</v>
      </c>
      <c r="N6734">
        <v>0</v>
      </c>
      <c r="O6734">
        <v>6.1897109999999998E-2</v>
      </c>
      <c r="P6734">
        <v>0.99546970000000001</v>
      </c>
      <c r="Q6734">
        <v>2.193175E-2</v>
      </c>
      <c r="R6734">
        <v>9.2515790000000001E-2</v>
      </c>
      <c r="S6734">
        <v>3.0170590000000002</v>
      </c>
      <c r="T6734">
        <v>-0.46736099999999903</v>
      </c>
      <c r="U6734">
        <v>7.6705930000000005E-2</v>
      </c>
      <c r="V6734">
        <v>-3.0839399999999999E-2</v>
      </c>
      <c r="W6734">
        <v>4.6633800000000003E-2</v>
      </c>
      <c r="X6734">
        <v>0.99843590000000004</v>
      </c>
      <c r="Y6734">
        <v>3.5370680000000002E-2</v>
      </c>
      <c r="Z6734">
        <v>-1.224925E-2</v>
      </c>
      <c r="AA6734">
        <v>0.99929920000000005</v>
      </c>
      <c r="AB6734">
        <v>26</v>
      </c>
      <c r="AC6734">
        <v>0.65419999999998801</v>
      </c>
      <c r="AD6734">
        <v>-0.137571099999999</v>
      </c>
      <c r="AE6734">
        <v>6.5000000000168196E-3</v>
      </c>
      <c r="AF6734">
        <v>3.2577548574238398E-2</v>
      </c>
      <c r="AG6734">
        <v>-0.137571099999999</v>
      </c>
      <c r="AH6734">
        <v>0.62568144370822198</v>
      </c>
      <c r="AI6734">
        <v>102.384277046043</v>
      </c>
      <c r="AJ6734">
        <v>87.019454468439505</v>
      </c>
      <c r="AK6734">
        <v>0.64145488791272198</v>
      </c>
    </row>
    <row r="6735" spans="1:37" x14ac:dyDescent="0.2">
      <c r="A6735" t="str">
        <f>"20200111153601524"</f>
        <v>20200111153601524</v>
      </c>
      <c r="B6735" t="str">
        <f>"1578728161512071"</f>
        <v>1578728161512071</v>
      </c>
      <c r="C6735" t="s">
        <v>37</v>
      </c>
      <c r="D6735">
        <v>4.7522799999999998</v>
      </c>
      <c r="E6735">
        <v>0.52456449999999999</v>
      </c>
      <c r="F6735" t="s">
        <v>40</v>
      </c>
      <c r="G6735">
        <v>-121.0063</v>
      </c>
      <c r="H6735">
        <v>0.9670936</v>
      </c>
      <c r="I6735">
        <v>136.78649999999999</v>
      </c>
      <c r="J6735">
        <v>-121.62869999999999</v>
      </c>
      <c r="K6735">
        <v>1.107604</v>
      </c>
      <c r="L6735">
        <v>136.78319999999999</v>
      </c>
      <c r="M6735">
        <v>0.99766719999999898</v>
      </c>
      <c r="N6735">
        <v>0</v>
      </c>
      <c r="O6735">
        <v>6.3573190000000002E-2</v>
      </c>
      <c r="P6735">
        <v>0.99534120000000004</v>
      </c>
      <c r="Q6735">
        <v>2.0938740000000001E-2</v>
      </c>
      <c r="R6735">
        <v>9.4113000000000002E-2</v>
      </c>
      <c r="S6735">
        <v>3.0174259999999999</v>
      </c>
      <c r="T6735">
        <v>-0.4810005</v>
      </c>
      <c r="U6735">
        <v>7.3532100000000003E-2</v>
      </c>
      <c r="V6735">
        <v>-3.075789E-2</v>
      </c>
      <c r="W6735">
        <v>4.5698290000000003E-2</v>
      </c>
      <c r="X6735">
        <v>0.99848159999999897</v>
      </c>
      <c r="Y6735">
        <v>3.7981010000000003E-2</v>
      </c>
      <c r="Z6735">
        <v>-1.307285E-2</v>
      </c>
      <c r="AA6735">
        <v>0.999193</v>
      </c>
      <c r="AB6735">
        <v>26</v>
      </c>
      <c r="AC6735">
        <v>0.62239999999999895</v>
      </c>
      <c r="AD6735">
        <v>-0.14051040000000001</v>
      </c>
      <c r="AE6735">
        <v>3.2999999999958601E-3</v>
      </c>
      <c r="AF6735">
        <v>3.4527223356544297E-2</v>
      </c>
      <c r="AG6735">
        <v>-0.14051040000000001</v>
      </c>
      <c r="AH6735">
        <v>0.59121904249648705</v>
      </c>
      <c r="AI6735">
        <v>103.34708823798</v>
      </c>
      <c r="AJ6735">
        <v>86.657719685363006</v>
      </c>
      <c r="AK6735">
        <v>0.60866678722543799</v>
      </c>
    </row>
    <row r="6736" spans="1:37" x14ac:dyDescent="0.2">
      <c r="A6736" t="str">
        <f>"20200111153601549"</f>
        <v>20200111153601549</v>
      </c>
      <c r="B6736" t="str">
        <f>"1578728161542327"</f>
        <v>1578728161542327</v>
      </c>
      <c r="C6736" t="s">
        <v>37</v>
      </c>
      <c r="D6736">
        <v>4.7295619999999996</v>
      </c>
      <c r="E6736">
        <v>0.52475890000000003</v>
      </c>
      <c r="F6736" t="s">
        <v>40</v>
      </c>
      <c r="G6736">
        <v>-120.7779</v>
      </c>
      <c r="H6736">
        <v>0.97018189999999904</v>
      </c>
      <c r="I6736">
        <v>136.80359999999999</v>
      </c>
      <c r="J6736">
        <v>-121.36199999999999</v>
      </c>
      <c r="K6736">
        <v>1.1075809999999999</v>
      </c>
      <c r="L6736">
        <v>136.80240000000001</v>
      </c>
      <c r="M6736">
        <v>0.99755459999999996</v>
      </c>
      <c r="N6736">
        <v>0</v>
      </c>
      <c r="O6736">
        <v>6.5297750000000002E-2</v>
      </c>
      <c r="P6736">
        <v>0.99512040000000002</v>
      </c>
      <c r="Q6736">
        <v>2.0388170000000001E-2</v>
      </c>
      <c r="R6736">
        <v>9.6540210000000001E-2</v>
      </c>
      <c r="S6736">
        <v>3.0174099999999999</v>
      </c>
      <c r="T6736">
        <v>-0.48750529999999997</v>
      </c>
      <c r="U6736">
        <v>7.2860720000000004E-2</v>
      </c>
      <c r="V6736">
        <v>-3.1462289999999997E-2</v>
      </c>
      <c r="W6736">
        <v>4.5197649999999999E-2</v>
      </c>
      <c r="X6736">
        <v>0.99848250000000005</v>
      </c>
      <c r="Y6736">
        <v>3.9849299999999997E-2</v>
      </c>
      <c r="Z6736">
        <v>-1.367379E-2</v>
      </c>
      <c r="AA6736">
        <v>0.99911209999999995</v>
      </c>
      <c r="AB6736">
        <v>26</v>
      </c>
      <c r="AC6736">
        <v>0.58410000000000595</v>
      </c>
      <c r="AD6736">
        <v>-0.1373991</v>
      </c>
      <c r="AE6736">
        <v>1.1999999999829901E-3</v>
      </c>
      <c r="AF6736">
        <v>3.5017188245677303E-2</v>
      </c>
      <c r="AG6736">
        <v>-0.1373991</v>
      </c>
      <c r="AH6736">
        <v>0.55236642805514902</v>
      </c>
      <c r="AI6736">
        <v>103.94172441375601</v>
      </c>
      <c r="AJ6736">
        <v>86.372596709823995</v>
      </c>
      <c r="AK6736">
        <v>0.57027483461559703</v>
      </c>
    </row>
    <row r="6737" spans="1:37" x14ac:dyDescent="0.2">
      <c r="A6737" t="str">
        <f>"20200111153601571"</f>
        <v>20200111153601571</v>
      </c>
      <c r="B6737" t="str">
        <f>"1578728161562823"</f>
        <v>1578728161562823</v>
      </c>
      <c r="C6737" t="s">
        <v>37</v>
      </c>
      <c r="D6737">
        <v>4.73353</v>
      </c>
      <c r="E6737">
        <v>0.52478659999999999</v>
      </c>
      <c r="F6737" t="s">
        <v>40</v>
      </c>
      <c r="G6737">
        <v>-120.5505</v>
      </c>
      <c r="H6737">
        <v>0.9753619</v>
      </c>
      <c r="I6737">
        <v>136.82339999999999</v>
      </c>
      <c r="J6737">
        <v>-121.1049</v>
      </c>
      <c r="K6737">
        <v>1.107558</v>
      </c>
      <c r="L6737">
        <v>136.82130000000001</v>
      </c>
      <c r="M6737">
        <v>0.99744370000000004</v>
      </c>
      <c r="N6737">
        <v>0</v>
      </c>
      <c r="O6737">
        <v>6.6954280000000005E-2</v>
      </c>
      <c r="P6737">
        <v>0.9949287</v>
      </c>
      <c r="Q6737">
        <v>1.980811E-2</v>
      </c>
      <c r="R6737">
        <v>9.8614199999999999E-2</v>
      </c>
      <c r="S6737">
        <v>3.017166</v>
      </c>
      <c r="T6737">
        <v>-0.491612299999999</v>
      </c>
      <c r="U6737">
        <v>7.8369140000000004E-2</v>
      </c>
      <c r="V6737">
        <v>-3.1880140000000001E-2</v>
      </c>
      <c r="W6737">
        <v>4.4660310000000002E-2</v>
      </c>
      <c r="X6737">
        <v>0.99849339999999998</v>
      </c>
      <c r="Y6737">
        <v>3.9641759999999998E-2</v>
      </c>
      <c r="Z6737">
        <v>-1.403897E-2</v>
      </c>
      <c r="AA6737">
        <v>0.99911530000000004</v>
      </c>
      <c r="AB6737">
        <v>26</v>
      </c>
      <c r="AC6737">
        <v>0.554400000000001</v>
      </c>
      <c r="AD6737">
        <v>-0.13219609999999901</v>
      </c>
      <c r="AE6737">
        <v>2.0999999999844398E-3</v>
      </c>
      <c r="AF6737">
        <v>3.3150877374502501E-2</v>
      </c>
      <c r="AG6737">
        <v>-0.13219609999999901</v>
      </c>
      <c r="AH6737">
        <v>0.52352946170452896</v>
      </c>
      <c r="AI6737">
        <v>104.14429449404599</v>
      </c>
      <c r="AJ6737">
        <v>86.376760179730994</v>
      </c>
      <c r="AK6737">
        <v>0.54097863802422297</v>
      </c>
    </row>
    <row r="6738" spans="1:37" x14ac:dyDescent="0.2">
      <c r="A6738" t="str">
        <f>"20200111153601594"</f>
        <v>20200111153601594</v>
      </c>
      <c r="B6738" t="str">
        <f>"1578728161582344"</f>
        <v>1578728161582344</v>
      </c>
      <c r="C6738" t="s">
        <v>37</v>
      </c>
      <c r="D6738">
        <v>4.741168</v>
      </c>
      <c r="E6738">
        <v>0.52485039999999905</v>
      </c>
      <c r="F6738" t="s">
        <v>40</v>
      </c>
      <c r="G6738">
        <v>-120.3254</v>
      </c>
      <c r="H6738">
        <v>0.97979680000000002</v>
      </c>
      <c r="I6738">
        <v>136.84289999999999</v>
      </c>
      <c r="J6738">
        <v>-120.85299999999999</v>
      </c>
      <c r="K6738">
        <v>1.107526</v>
      </c>
      <c r="L6738">
        <v>136.84030000000001</v>
      </c>
      <c r="M6738">
        <v>0.99733349999999898</v>
      </c>
      <c r="N6738">
        <v>0</v>
      </c>
      <c r="O6738">
        <v>6.8565459999999995E-2</v>
      </c>
      <c r="P6738">
        <v>0.99472950000000004</v>
      </c>
      <c r="Q6738">
        <v>1.8683689999999999E-2</v>
      </c>
      <c r="R6738">
        <v>0.1008197</v>
      </c>
      <c r="S6738">
        <v>3.0168149999999998</v>
      </c>
      <c r="T6738">
        <v>-0.49451980000000001</v>
      </c>
      <c r="U6738">
        <v>8.3999630000000006E-2</v>
      </c>
      <c r="V6738">
        <v>-3.2474469999999998E-2</v>
      </c>
      <c r="W6738">
        <v>4.3572279999999998E-2</v>
      </c>
      <c r="X6738">
        <v>0.99852229999999997</v>
      </c>
      <c r="Y6738">
        <v>3.935512E-2</v>
      </c>
      <c r="Z6738">
        <v>-1.4360499999999899E-2</v>
      </c>
      <c r="AA6738">
        <v>0.99912209999999901</v>
      </c>
      <c r="AB6738">
        <v>25</v>
      </c>
      <c r="AC6738">
        <v>0.52759999999999196</v>
      </c>
      <c r="AD6738">
        <v>-0.12772919999999999</v>
      </c>
      <c r="AE6738">
        <v>2.5999999999726199E-3</v>
      </c>
      <c r="AF6738">
        <v>3.1732755587356699E-2</v>
      </c>
      <c r="AG6738">
        <v>-0.12772919999999999</v>
      </c>
      <c r="AH6738">
        <v>0.49738494298148</v>
      </c>
      <c r="AI6738">
        <v>104.374416201248</v>
      </c>
      <c r="AJ6738">
        <v>86.3495233043826</v>
      </c>
      <c r="AK6738">
        <v>0.51450315627262799</v>
      </c>
    </row>
    <row r="6739" spans="1:37" x14ac:dyDescent="0.2">
      <c r="A6739" t="str">
        <f>"20200111153601614"</f>
        <v>20200111153601614</v>
      </c>
      <c r="B6739" t="str">
        <f>"1578728161602839"</f>
        <v>1578728161602839</v>
      </c>
      <c r="C6739" t="s">
        <v>37</v>
      </c>
      <c r="D6739">
        <v>4.7489189999999999</v>
      </c>
      <c r="E6739">
        <v>0.52495219999999998</v>
      </c>
      <c r="F6739" t="s">
        <v>40</v>
      </c>
      <c r="G6739">
        <v>-120.1026</v>
      </c>
      <c r="H6739">
        <v>0.98360930000000002</v>
      </c>
      <c r="I6739">
        <v>136.86259999999999</v>
      </c>
      <c r="J6739">
        <v>-120.63200000000001</v>
      </c>
      <c r="K6739">
        <v>1.1074999999999999</v>
      </c>
      <c r="L6739">
        <v>136.85720000000001</v>
      </c>
      <c r="M6739">
        <v>0.9972356</v>
      </c>
      <c r="N6739">
        <v>0</v>
      </c>
      <c r="O6739">
        <v>6.9965360000000004E-2</v>
      </c>
      <c r="P6739">
        <v>0.99454580000000004</v>
      </c>
      <c r="Q6739">
        <v>1.8161239999999999E-2</v>
      </c>
      <c r="R6739">
        <v>0.102709199999999</v>
      </c>
      <c r="S6739">
        <v>3.0161289999999998</v>
      </c>
      <c r="T6739">
        <v>-0.4981081</v>
      </c>
      <c r="U6739">
        <v>9.0042109999999995E-2</v>
      </c>
      <c r="V6739">
        <v>-3.2964149999999998E-2</v>
      </c>
      <c r="W6739">
        <v>4.3076360000000001E-2</v>
      </c>
      <c r="X6739">
        <v>0.99852779999999997</v>
      </c>
      <c r="Y6739">
        <v>3.8719820000000002E-2</v>
      </c>
      <c r="Z6739">
        <v>-1.4643E-2</v>
      </c>
      <c r="AA6739">
        <v>0.9991428</v>
      </c>
      <c r="AB6739">
        <v>25</v>
      </c>
      <c r="AC6739">
        <v>0.52940000000000897</v>
      </c>
      <c r="AD6739">
        <v>-0.12389069999999899</v>
      </c>
      <c r="AE6739">
        <v>5.3999999999802999E-3</v>
      </c>
      <c r="AF6739">
        <v>3.0020571995796101E-2</v>
      </c>
      <c r="AG6739">
        <v>-0.12389069999999899</v>
      </c>
      <c r="AH6739">
        <v>0.501042629096348</v>
      </c>
      <c r="AI6739">
        <v>103.86480238310099</v>
      </c>
      <c r="AJ6739">
        <v>86.571153639986903</v>
      </c>
      <c r="AK6739">
        <v>0.51700469674967697</v>
      </c>
    </row>
    <row r="6740" spans="1:37" x14ac:dyDescent="0.2">
      <c r="A6740" t="str">
        <f>"20200111153601636"</f>
        <v>20200111153601636</v>
      </c>
      <c r="B6740" t="str">
        <f>"1578728161632118"</f>
        <v>1578728161632118</v>
      </c>
      <c r="C6740" t="s">
        <v>37</v>
      </c>
      <c r="D6740">
        <v>4.7794470000000002</v>
      </c>
      <c r="E6740">
        <v>0.52529869999999901</v>
      </c>
      <c r="F6740" t="s">
        <v>40</v>
      </c>
      <c r="G6740">
        <v>-119.8837</v>
      </c>
      <c r="H6740">
        <v>0.98348440000000004</v>
      </c>
      <c r="I6740">
        <v>136.88069999999999</v>
      </c>
      <c r="J6740">
        <v>-120.38849999999999</v>
      </c>
      <c r="K6740">
        <v>1.1074729999999999</v>
      </c>
      <c r="L6740">
        <v>136.87620000000001</v>
      </c>
      <c r="M6740">
        <v>0.99712670000000003</v>
      </c>
      <c r="N6740">
        <v>0</v>
      </c>
      <c r="O6740">
        <v>7.148815E-2</v>
      </c>
      <c r="P6740">
        <v>0.99436209999999903</v>
      </c>
      <c r="Q6740">
        <v>1.8399599999999999E-2</v>
      </c>
      <c r="R6740">
        <v>0.1044286</v>
      </c>
      <c r="S6740">
        <v>3.0157780000000001</v>
      </c>
      <c r="T6740">
        <v>-0.49994899999999998</v>
      </c>
      <c r="U6740">
        <v>9.5001219999999997E-2</v>
      </c>
      <c r="V6740">
        <v>-3.3163270000000002E-2</v>
      </c>
      <c r="W6740">
        <v>4.3349810000000003E-2</v>
      </c>
      <c r="X6740">
        <v>0.99850939999999999</v>
      </c>
      <c r="Y6740">
        <v>3.857116E-2</v>
      </c>
      <c r="Z6740">
        <v>-1.4935449999999999E-2</v>
      </c>
      <c r="AA6740">
        <v>0.99914429999999999</v>
      </c>
      <c r="AB6740">
        <v>25</v>
      </c>
      <c r="AC6740">
        <v>0.50479999999998804</v>
      </c>
      <c r="AD6740">
        <v>-0.12398859999999901</v>
      </c>
      <c r="AE6740">
        <v>4.4999999999788499E-3</v>
      </c>
      <c r="AF6740">
        <v>2.9811709450118799E-2</v>
      </c>
      <c r="AG6740">
        <v>-0.12398859999999901</v>
      </c>
      <c r="AH6740">
        <v>0.475165531558989</v>
      </c>
      <c r="AI6740">
        <v>104.597057530161</v>
      </c>
      <c r="AJ6740">
        <v>86.4099894876028</v>
      </c>
      <c r="AK6740">
        <v>0.491979870860622</v>
      </c>
    </row>
    <row r="6741" spans="1:37" x14ac:dyDescent="0.2">
      <c r="A6741" t="str">
        <f>"20200111153601660"</f>
        <v>20200111153601660</v>
      </c>
      <c r="B6741" t="str">
        <f>"1578728161652615"</f>
        <v>1578728161652615</v>
      </c>
      <c r="C6741" t="s">
        <v>37</v>
      </c>
      <c r="D6741">
        <v>4.8053889999999999</v>
      </c>
      <c r="E6741">
        <v>0.52543739999999906</v>
      </c>
      <c r="F6741" t="s">
        <v>40</v>
      </c>
      <c r="G6741">
        <v>-119.66500000000001</v>
      </c>
      <c r="H6741">
        <v>0.98721419999999904</v>
      </c>
      <c r="I6741">
        <v>136.89959999999999</v>
      </c>
      <c r="J6741">
        <v>-120.1447</v>
      </c>
      <c r="K6741">
        <v>1.1074549999999901</v>
      </c>
      <c r="L6741">
        <v>136.8956</v>
      </c>
      <c r="M6741">
        <v>0.99701689999999998</v>
      </c>
      <c r="N6741">
        <v>0</v>
      </c>
      <c r="O6741">
        <v>7.299042E-2</v>
      </c>
      <c r="P6741">
        <v>0.99427069999999995</v>
      </c>
      <c r="Q6741">
        <v>1.8635209999999999E-2</v>
      </c>
      <c r="R6741">
        <v>0.10525470000000001</v>
      </c>
      <c r="S6741">
        <v>3.016022</v>
      </c>
      <c r="T6741">
        <v>-0.50129120000000005</v>
      </c>
      <c r="U6741">
        <v>9.7671510000000003E-2</v>
      </c>
      <c r="V6741">
        <v>-3.248438E-2</v>
      </c>
      <c r="W6741">
        <v>4.3628970000000003E-2</v>
      </c>
      <c r="X6741">
        <v>0.9985195</v>
      </c>
      <c r="Y6741">
        <v>3.9159300000000001E-2</v>
      </c>
      <c r="Z6741">
        <v>-1.5269430000000001E-2</v>
      </c>
      <c r="AA6741">
        <v>0.99911629999999996</v>
      </c>
      <c r="AB6741">
        <v>25</v>
      </c>
      <c r="AC6741">
        <v>0.47969999999999402</v>
      </c>
      <c r="AD6741">
        <v>-0.120240799999999</v>
      </c>
      <c r="AE6741">
        <v>3.9999999999906699E-3</v>
      </c>
      <c r="AF6741">
        <v>2.9200670997643299E-2</v>
      </c>
      <c r="AG6741">
        <v>-0.120240799999999</v>
      </c>
      <c r="AH6741">
        <v>0.45041433110006301</v>
      </c>
      <c r="AI6741">
        <v>104.91697697913</v>
      </c>
      <c r="AJ6741">
        <v>86.290666178461805</v>
      </c>
      <c r="AK6741">
        <v>0.46710127256481498</v>
      </c>
    </row>
    <row r="6742" spans="1:37" x14ac:dyDescent="0.2">
      <c r="A6742" t="str">
        <f>"20200111153601683"</f>
        <v>20200111153601683</v>
      </c>
      <c r="B6742" t="str">
        <f>"1578728161672135"</f>
        <v>1578728161672135</v>
      </c>
      <c r="C6742" t="s">
        <v>37</v>
      </c>
      <c r="D6742">
        <v>4.7651820000000003</v>
      </c>
      <c r="E6742">
        <v>0.52559690000000003</v>
      </c>
      <c r="F6742" t="s">
        <v>40</v>
      </c>
      <c r="G6742">
        <v>-119.25069999999999</v>
      </c>
      <c r="H6742">
        <v>0.95907619999999905</v>
      </c>
      <c r="I6742">
        <v>136.92509999999999</v>
      </c>
      <c r="J6742">
        <v>-119.8891</v>
      </c>
      <c r="K6742">
        <v>1.1074269999999999</v>
      </c>
      <c r="L6742">
        <v>136.91630000000001</v>
      </c>
      <c r="M6742">
        <v>0.9969017</v>
      </c>
      <c r="N6742">
        <v>0</v>
      </c>
      <c r="O6742">
        <v>7.4535710000000005E-2</v>
      </c>
      <c r="P6742">
        <v>0.99421859999999995</v>
      </c>
      <c r="Q6742">
        <v>1.9089160000000001E-2</v>
      </c>
      <c r="R6742">
        <v>0.105665699999999</v>
      </c>
      <c r="S6742">
        <v>3.0161289999999998</v>
      </c>
      <c r="T6742">
        <v>-0.50061420000000001</v>
      </c>
      <c r="U6742">
        <v>9.9700929999999993E-2</v>
      </c>
      <c r="V6742">
        <v>-3.1346190000000003E-2</v>
      </c>
      <c r="W6742">
        <v>4.4125360000000002E-2</v>
      </c>
      <c r="X6742">
        <v>0.99853409999999998</v>
      </c>
      <c r="Y6742">
        <v>4.0009320000000001E-2</v>
      </c>
      <c r="Z6742">
        <v>-1.557245E-2</v>
      </c>
      <c r="AA6742">
        <v>0.99907800000000002</v>
      </c>
      <c r="AB6742">
        <v>24</v>
      </c>
      <c r="AC6742">
        <v>0.63840000000000396</v>
      </c>
      <c r="AD6742">
        <v>-0.14835079999999901</v>
      </c>
      <c r="AE6742">
        <v>8.7999999999794892E-3</v>
      </c>
      <c r="AF6742">
        <v>3.6834438228571097E-2</v>
      </c>
      <c r="AG6742">
        <v>-0.14835079999999901</v>
      </c>
      <c r="AH6742">
        <v>0.60463507775727099</v>
      </c>
      <c r="AI6742">
        <v>103.760998155354</v>
      </c>
      <c r="AJ6742">
        <v>86.513842964885797</v>
      </c>
      <c r="AK6742">
        <v>0.62365720789131895</v>
      </c>
    </row>
    <row r="6743" spans="1:37" x14ac:dyDescent="0.2">
      <c r="A6743" t="str">
        <f>"20200111153601703"</f>
        <v>20200111153601703</v>
      </c>
      <c r="B6743" t="str">
        <f>"1578728161692631"</f>
        <v>1578728161692631</v>
      </c>
      <c r="C6743" t="s">
        <v>37</v>
      </c>
      <c r="D6743">
        <v>4.8617299999999997</v>
      </c>
      <c r="E6743">
        <v>0.52587430000000002</v>
      </c>
      <c r="F6743" t="s">
        <v>40</v>
      </c>
      <c r="G6743">
        <v>-119.0363</v>
      </c>
      <c r="H6743">
        <v>0.96620910000000004</v>
      </c>
      <c r="I6743">
        <v>136.94450000000001</v>
      </c>
      <c r="J6743">
        <v>-119.6816</v>
      </c>
      <c r="K6743">
        <v>1.1074079999999999</v>
      </c>
      <c r="L6743">
        <v>136.9333</v>
      </c>
      <c r="M6743">
        <v>0.99680780000000002</v>
      </c>
      <c r="N6743">
        <v>0</v>
      </c>
      <c r="O6743">
        <v>7.5772259999999994E-2</v>
      </c>
      <c r="P6743">
        <v>0.99417909999999898</v>
      </c>
      <c r="Q6743">
        <v>1.9054870000000002E-2</v>
      </c>
      <c r="R6743">
        <v>0.106041</v>
      </c>
      <c r="S6743">
        <v>3.0164179999999998</v>
      </c>
      <c r="T6743">
        <v>-0.4995407</v>
      </c>
      <c r="U6743">
        <v>9.9975590000000003E-2</v>
      </c>
      <c r="V6743">
        <v>-3.04801E-2</v>
      </c>
      <c r="W6743">
        <v>4.4121069999999998E-2</v>
      </c>
      <c r="X6743">
        <v>0.99856109999999898</v>
      </c>
      <c r="Y6743">
        <v>4.1135919999999999E-2</v>
      </c>
      <c r="Z6743">
        <v>-1.583348E-2</v>
      </c>
      <c r="AA6743">
        <v>0.99902809999999898</v>
      </c>
      <c r="AB6743">
        <v>24</v>
      </c>
      <c r="AC6743">
        <v>0.64530000000000598</v>
      </c>
      <c r="AD6743">
        <v>-0.14119889999999899</v>
      </c>
      <c r="AE6743">
        <v>1.12000000000023E-2</v>
      </c>
      <c r="AF6743">
        <v>3.60195001138328E-2</v>
      </c>
      <c r="AG6743">
        <v>-0.14119889999999899</v>
      </c>
      <c r="AH6743">
        <v>0.61486283981380896</v>
      </c>
      <c r="AI6743">
        <v>102.91193918259999</v>
      </c>
      <c r="AJ6743">
        <v>86.647367088643307</v>
      </c>
      <c r="AK6743">
        <v>0.631894647495579</v>
      </c>
    </row>
    <row r="6744" spans="1:37" x14ac:dyDescent="0.2">
      <c r="A6744" t="str">
        <f>"20200111153601725"</f>
        <v>20200111153601725</v>
      </c>
      <c r="B6744" t="str">
        <f>"1578728161712151"</f>
        <v>1578728161712151</v>
      </c>
      <c r="C6744" t="s">
        <v>37</v>
      </c>
      <c r="D6744">
        <v>4.7961599999999898</v>
      </c>
      <c r="E6744">
        <v>0.52594180000000001</v>
      </c>
      <c r="F6744" t="s">
        <v>40</v>
      </c>
      <c r="G6744">
        <v>-118.8275</v>
      </c>
      <c r="H6744">
        <v>0.96566099999999999</v>
      </c>
      <c r="I6744">
        <v>136.96129999999999</v>
      </c>
      <c r="J6744">
        <v>-119.44799999999999</v>
      </c>
      <c r="K6744">
        <v>1.1073819999999901</v>
      </c>
      <c r="L6744">
        <v>136.9529</v>
      </c>
      <c r="M6744">
        <v>0.99670179999999997</v>
      </c>
      <c r="N6744">
        <v>0</v>
      </c>
      <c r="O6744">
        <v>7.714501E-2</v>
      </c>
      <c r="P6744">
        <v>0.99409499999999995</v>
      </c>
      <c r="Q6744">
        <v>1.8672049999999999E-2</v>
      </c>
      <c r="R6744">
        <v>0.1068958</v>
      </c>
      <c r="S6744">
        <v>3.0166169999999899</v>
      </c>
      <c r="T6744">
        <v>-0.50072459999999996</v>
      </c>
      <c r="U6744">
        <v>9.8800659999999998E-2</v>
      </c>
      <c r="V6744">
        <v>-2.9958220000000001E-2</v>
      </c>
      <c r="W6744">
        <v>4.3768550000000003E-2</v>
      </c>
      <c r="X6744">
        <v>0.99859240000000005</v>
      </c>
      <c r="Y6744">
        <v>4.2853299999999997E-2</v>
      </c>
      <c r="Z6744">
        <v>-1.6236830000000001E-2</v>
      </c>
      <c r="AA6744">
        <v>0.99894939999999999</v>
      </c>
      <c r="AB6744">
        <v>24</v>
      </c>
      <c r="AC6744">
        <v>0.62049999999999195</v>
      </c>
      <c r="AD6744">
        <v>-0.14172099999999899</v>
      </c>
      <c r="AE6744">
        <v>8.3999999999946305E-3</v>
      </c>
      <c r="AF6744">
        <v>3.7550238497351E-2</v>
      </c>
      <c r="AG6744">
        <v>-0.14172099999999899</v>
      </c>
      <c r="AH6744">
        <v>0.58859885449892602</v>
      </c>
      <c r="AI6744">
        <v>103.511356715094</v>
      </c>
      <c r="AJ6744">
        <v>86.349706594189797</v>
      </c>
      <c r="AK6744">
        <v>0.60658344336921699</v>
      </c>
    </row>
    <row r="6745" spans="1:37" x14ac:dyDescent="0.2">
      <c r="A6745" t="str">
        <f>"20200111153601748"</f>
        <v>20200111153601748</v>
      </c>
      <c r="B6745" t="str">
        <f>"1578728161742406"</f>
        <v>1578728161742406</v>
      </c>
      <c r="C6745" t="s">
        <v>37</v>
      </c>
      <c r="D6745">
        <v>4.7818610000000001</v>
      </c>
      <c r="E6745">
        <v>0.52611850000000004</v>
      </c>
      <c r="F6745" t="s">
        <v>40</v>
      </c>
      <c r="G6745">
        <v>-118.6189</v>
      </c>
      <c r="H6745">
        <v>0.96932770000000001</v>
      </c>
      <c r="I6745">
        <v>136.98050000000001</v>
      </c>
      <c r="J6745">
        <v>-119.2119</v>
      </c>
      <c r="K6745">
        <v>1.107351</v>
      </c>
      <c r="L6745">
        <v>136.97290000000001</v>
      </c>
      <c r="M6745">
        <v>0.99659430000000004</v>
      </c>
      <c r="N6745">
        <v>0</v>
      </c>
      <c r="O6745">
        <v>7.8514029999999999E-2</v>
      </c>
      <c r="P6745">
        <v>0.993957599999999</v>
      </c>
      <c r="Q6745">
        <v>1.8356890000000001E-2</v>
      </c>
      <c r="R6745">
        <v>0.1082192</v>
      </c>
      <c r="S6745">
        <v>3.0164339999999998</v>
      </c>
      <c r="T6745">
        <v>-0.50230459999999999</v>
      </c>
      <c r="U6745">
        <v>0.10073849999999999</v>
      </c>
      <c r="V6745">
        <v>-2.9911460000000001E-2</v>
      </c>
      <c r="W6745">
        <v>4.3478910000000003E-2</v>
      </c>
      <c r="X6745">
        <v>0.99860649999999995</v>
      </c>
      <c r="Y6745">
        <v>4.3543930000000002E-2</v>
      </c>
      <c r="Z6745">
        <v>-1.6570959999999999E-2</v>
      </c>
      <c r="AA6745">
        <v>0.99891409999999903</v>
      </c>
      <c r="AB6745">
        <v>23</v>
      </c>
      <c r="AC6745">
        <v>0.59300000000000297</v>
      </c>
      <c r="AD6745">
        <v>-0.13802329999999899</v>
      </c>
      <c r="AE6745">
        <v>7.5999999999964898E-3</v>
      </c>
      <c r="AF6745">
        <v>3.6993325297195401E-2</v>
      </c>
      <c r="AG6745">
        <v>-0.13802329999999899</v>
      </c>
      <c r="AH6745">
        <v>0.561358772395393</v>
      </c>
      <c r="AI6745">
        <v>103.78475472242999</v>
      </c>
      <c r="AJ6745">
        <v>86.229681915006196</v>
      </c>
      <c r="AK6745">
        <v>0.57926039809803698</v>
      </c>
    </row>
    <row r="6746" spans="1:37" x14ac:dyDescent="0.2">
      <c r="A6746" t="str">
        <f>"20200111153601770"</f>
        <v>20200111153601770</v>
      </c>
      <c r="B6746" t="str">
        <f>"1578728161762435"</f>
        <v>1578728161762435</v>
      </c>
      <c r="C6746" t="s">
        <v>37</v>
      </c>
      <c r="D6746">
        <v>4.7692009999999998</v>
      </c>
      <c r="E6746">
        <v>0.52627069999999998</v>
      </c>
      <c r="F6746" t="s">
        <v>40</v>
      </c>
      <c r="G6746">
        <v>-118.4117</v>
      </c>
      <c r="H6746">
        <v>0.97383989999999998</v>
      </c>
      <c r="I6746">
        <v>137.00040000000001</v>
      </c>
      <c r="J6746">
        <v>-118.98779999999999</v>
      </c>
      <c r="K6746">
        <v>1.1073200000000001</v>
      </c>
      <c r="L6746">
        <v>136.9922</v>
      </c>
      <c r="M6746">
        <v>0.99649209999999999</v>
      </c>
      <c r="N6746">
        <v>0</v>
      </c>
      <c r="O6746">
        <v>7.9795199999999997E-2</v>
      </c>
      <c r="P6746">
        <v>0.99385889999999999</v>
      </c>
      <c r="Q6746">
        <v>1.6907370000000001E-2</v>
      </c>
      <c r="R6746">
        <v>0.10935549999999999</v>
      </c>
      <c r="S6746">
        <v>3.0162659999999999</v>
      </c>
      <c r="T6746">
        <v>-0.50327829999999996</v>
      </c>
      <c r="U6746">
        <v>0.10350039999999899</v>
      </c>
      <c r="V6746">
        <v>-2.9760430000000001E-2</v>
      </c>
      <c r="W6746">
        <v>4.2051140000000001E-2</v>
      </c>
      <c r="X6746">
        <v>0.99867209999999995</v>
      </c>
      <c r="Y6746">
        <v>4.388396E-2</v>
      </c>
      <c r="Z6746">
        <v>-1.684302E-2</v>
      </c>
      <c r="AA6746">
        <v>0.99889459999999997</v>
      </c>
      <c r="AB6746">
        <v>23</v>
      </c>
      <c r="AC6746">
        <v>0.57609999999999595</v>
      </c>
      <c r="AD6746">
        <v>-0.13348009999999999</v>
      </c>
      <c r="AE6746">
        <v>8.2000000000164094E-3</v>
      </c>
      <c r="AF6746">
        <v>3.5884793934915997E-2</v>
      </c>
      <c r="AG6746">
        <v>-0.13348009999999999</v>
      </c>
      <c r="AH6746">
        <v>0.54563111818152499</v>
      </c>
      <c r="AI6746">
        <v>103.71802116844999</v>
      </c>
      <c r="AJ6746">
        <v>86.237218776357594</v>
      </c>
      <c r="AK6746">
        <v>0.56286585671879497</v>
      </c>
    </row>
    <row r="6747" spans="1:37" x14ac:dyDescent="0.2">
      <c r="A6747" t="str">
        <f>"20200111153601792"</f>
        <v>20200111153601792</v>
      </c>
      <c r="B6747" t="str">
        <f>"1578728161781956"</f>
        <v>1578728161781956</v>
      </c>
      <c r="C6747" t="s">
        <v>37</v>
      </c>
      <c r="D6747">
        <v>4.7899560000000001</v>
      </c>
      <c r="E6747">
        <v>0.52645310000000001</v>
      </c>
      <c r="F6747" t="s">
        <v>40</v>
      </c>
      <c r="G6747">
        <v>-118.20780000000001</v>
      </c>
      <c r="H6747">
        <v>0.97592869999999998</v>
      </c>
      <c r="I6747">
        <v>137.01939999999999</v>
      </c>
      <c r="J6747">
        <v>-118.7659</v>
      </c>
      <c r="K6747">
        <v>1.107283</v>
      </c>
      <c r="L6747">
        <v>137.01159999999999</v>
      </c>
      <c r="M6747">
        <v>0.99639089999999997</v>
      </c>
      <c r="N6747">
        <v>0</v>
      </c>
      <c r="O6747">
        <v>8.1044740000000004E-2</v>
      </c>
      <c r="P6747">
        <v>0.99363169999999901</v>
      </c>
      <c r="Q6747">
        <v>1.6098669999999999E-2</v>
      </c>
      <c r="R6747">
        <v>0.1115215</v>
      </c>
      <c r="S6747">
        <v>3.0155639999999999</v>
      </c>
      <c r="T6747">
        <v>-0.50812869999999999</v>
      </c>
      <c r="U6747">
        <v>0.10557560000000001</v>
      </c>
      <c r="V6747">
        <v>-3.067955E-2</v>
      </c>
      <c r="W6747">
        <v>4.1257410000000001E-2</v>
      </c>
      <c r="X6747">
        <v>0.99867739999999905</v>
      </c>
      <c r="Y6747">
        <v>4.4384069999999998E-2</v>
      </c>
      <c r="Z6747">
        <v>-1.7256959999999998E-2</v>
      </c>
      <c r="AA6747">
        <v>0.99886549999999996</v>
      </c>
      <c r="AB6747">
        <v>23</v>
      </c>
      <c r="AC6747">
        <v>0.55809999999999504</v>
      </c>
      <c r="AD6747">
        <v>-0.13135430000000001</v>
      </c>
      <c r="AE6747">
        <v>7.80000000000313E-3</v>
      </c>
      <c r="AF6747">
        <v>3.5504779526592103E-2</v>
      </c>
      <c r="AG6747">
        <v>-0.13135430000000001</v>
      </c>
      <c r="AH6747">
        <v>0.52767106375974004</v>
      </c>
      <c r="AI6747">
        <v>103.94834184794</v>
      </c>
      <c r="AJ6747">
        <v>86.150608791527404</v>
      </c>
      <c r="AK6747">
        <v>0.54493237472833</v>
      </c>
    </row>
    <row r="6748" spans="1:37" x14ac:dyDescent="0.2">
      <c r="A6748" t="str">
        <f>"20200111153601815"</f>
        <v>20200111153601815</v>
      </c>
      <c r="B6748" t="str">
        <f>"1578728161802452"</f>
        <v>1578728161802452</v>
      </c>
      <c r="C6748" t="s">
        <v>37</v>
      </c>
      <c r="D6748">
        <v>4.7848949999999997</v>
      </c>
      <c r="E6748">
        <v>0.52654979999999996</v>
      </c>
      <c r="F6748" t="s">
        <v>40</v>
      </c>
      <c r="G6748">
        <v>-118.0057</v>
      </c>
      <c r="H6748">
        <v>0.97845319999999902</v>
      </c>
      <c r="I6748">
        <v>137.0395</v>
      </c>
      <c r="J6748">
        <v>-118.5419</v>
      </c>
      <c r="K6748">
        <v>1.107248</v>
      </c>
      <c r="L6748">
        <v>137.03139999999999</v>
      </c>
      <c r="M6748">
        <v>0.99628930000000004</v>
      </c>
      <c r="N6748">
        <v>0</v>
      </c>
      <c r="O6748">
        <v>8.2281629999999994E-2</v>
      </c>
      <c r="P6748">
        <v>0.99345830000000002</v>
      </c>
      <c r="Q6748">
        <v>1.601762E-2</v>
      </c>
      <c r="R6748">
        <v>0.1130671</v>
      </c>
      <c r="S6748">
        <v>3.015091</v>
      </c>
      <c r="T6748">
        <v>-0.51098840000000001</v>
      </c>
      <c r="U6748">
        <v>0.1105652</v>
      </c>
      <c r="V6748">
        <v>-3.0989650000000001E-2</v>
      </c>
      <c r="W6748">
        <v>4.1189759999999999E-2</v>
      </c>
      <c r="X6748">
        <v>0.99867059999999996</v>
      </c>
      <c r="Y6748">
        <v>4.3936540000000003E-2</v>
      </c>
      <c r="Z6748">
        <v>-1.7524499999999998E-2</v>
      </c>
      <c r="AA6748">
        <v>0.99888060000000001</v>
      </c>
      <c r="AB6748">
        <v>23</v>
      </c>
      <c r="AC6748">
        <v>0.53619999999999302</v>
      </c>
      <c r="AD6748">
        <v>-0.12879479999999999</v>
      </c>
      <c r="AE6748">
        <v>8.1000000000130898E-3</v>
      </c>
      <c r="AF6748">
        <v>3.40943157142427E-2</v>
      </c>
      <c r="AG6748">
        <v>-0.12879479999999999</v>
      </c>
      <c r="AH6748">
        <v>0.50586763968072002</v>
      </c>
      <c r="AI6748">
        <v>104.25311288846</v>
      </c>
      <c r="AJ6748">
        <v>86.144227370671103</v>
      </c>
      <c r="AK6748">
        <v>0.52311814320209205</v>
      </c>
    </row>
    <row r="6749" spans="1:37" x14ac:dyDescent="0.2">
      <c r="A6749" t="str">
        <f>"20200111153601838"</f>
        <v>20200111153601838</v>
      </c>
      <c r="B6749" t="str">
        <f>"1578728161832710"</f>
        <v>1578728161832710</v>
      </c>
      <c r="C6749" t="s">
        <v>37</v>
      </c>
      <c r="D6749">
        <v>4.8007669999999996</v>
      </c>
      <c r="E6749">
        <v>0.52668599999999999</v>
      </c>
      <c r="F6749" t="s">
        <v>40</v>
      </c>
      <c r="G6749">
        <v>-117.8051</v>
      </c>
      <c r="H6749">
        <v>0.98202849999999997</v>
      </c>
      <c r="I6749">
        <v>137.05930000000001</v>
      </c>
      <c r="J6749">
        <v>-118.3133</v>
      </c>
      <c r="K6749">
        <v>1.107213</v>
      </c>
      <c r="L6749">
        <v>137.05179999999999</v>
      </c>
      <c r="M6749">
        <v>0.99618649999999997</v>
      </c>
      <c r="N6749">
        <v>0</v>
      </c>
      <c r="O6749">
        <v>8.3514050000000006E-2</v>
      </c>
      <c r="P6749">
        <v>0.99336829999999998</v>
      </c>
      <c r="Q6749">
        <v>1.5420970000000001E-2</v>
      </c>
      <c r="R6749">
        <v>0.1139367</v>
      </c>
      <c r="S6749">
        <v>3.0149539999999999</v>
      </c>
      <c r="T6749">
        <v>-0.51249009999999995</v>
      </c>
      <c r="U6749">
        <v>0.1147614</v>
      </c>
      <c r="V6749">
        <v>-3.062227E-2</v>
      </c>
      <c r="W6749">
        <v>4.0605170000000003E-2</v>
      </c>
      <c r="X6749">
        <v>0.99870590000000004</v>
      </c>
      <c r="Y6749">
        <v>4.3756919999999998E-2</v>
      </c>
      <c r="Z6749">
        <v>-1.776755E-2</v>
      </c>
      <c r="AA6749">
        <v>0.998884199999999</v>
      </c>
      <c r="AB6749">
        <v>23</v>
      </c>
      <c r="AC6749">
        <v>0.50820000000000198</v>
      </c>
      <c r="AD6749">
        <v>-0.1251845</v>
      </c>
      <c r="AE6749">
        <v>7.5000000000215996E-3</v>
      </c>
      <c r="AF6749">
        <v>3.2980822845046297E-2</v>
      </c>
      <c r="AG6749">
        <v>-0.1251845</v>
      </c>
      <c r="AH6749">
        <v>0.47804928019764997</v>
      </c>
      <c r="AI6749">
        <v>104.640973783334</v>
      </c>
      <c r="AJ6749">
        <v>86.053393439381495</v>
      </c>
      <c r="AK6749">
        <v>0.49526761252203599</v>
      </c>
    </row>
    <row r="6750" spans="1:37" x14ac:dyDescent="0.2">
      <c r="A6750" t="str">
        <f>"20200111153601861"</f>
        <v>20200111153601861</v>
      </c>
      <c r="B6750" t="str">
        <f>"1578728161852228"</f>
        <v>1578728161852228</v>
      </c>
      <c r="C6750" t="s">
        <v>37</v>
      </c>
      <c r="D6750">
        <v>4.7763739999999997</v>
      </c>
      <c r="E6750">
        <v>0.52678249999999904</v>
      </c>
      <c r="F6750" t="s">
        <v>40</v>
      </c>
      <c r="G6750">
        <v>-117.6061</v>
      </c>
      <c r="H6750">
        <v>0.98631970000000002</v>
      </c>
      <c r="I6750">
        <v>137.07919999999999</v>
      </c>
      <c r="J6750">
        <v>-118.0989</v>
      </c>
      <c r="K6750">
        <v>1.107172</v>
      </c>
      <c r="L6750">
        <v>137.07130000000001</v>
      </c>
      <c r="M6750">
        <v>0.99609199999999998</v>
      </c>
      <c r="N6750">
        <v>0</v>
      </c>
      <c r="O6750">
        <v>8.4633330000000007E-2</v>
      </c>
      <c r="P6750">
        <v>0.99323530000000004</v>
      </c>
      <c r="Q6750">
        <v>1.432198E-2</v>
      </c>
      <c r="R6750">
        <v>0.1152335</v>
      </c>
      <c r="S6750">
        <v>3.01464799999999</v>
      </c>
      <c r="T6750">
        <v>-0.51547109999999996</v>
      </c>
      <c r="U6750">
        <v>0.1167145</v>
      </c>
      <c r="V6750">
        <v>-3.0797919999999999E-2</v>
      </c>
      <c r="W6750">
        <v>3.9514559999999997E-2</v>
      </c>
      <c r="X6750">
        <v>0.99874419999999897</v>
      </c>
      <c r="Y6750">
        <v>4.418561E-2</v>
      </c>
      <c r="Z6750">
        <v>-1.80965999999999E-2</v>
      </c>
      <c r="AA6750">
        <v>0.99885939999999995</v>
      </c>
      <c r="AB6750">
        <v>22</v>
      </c>
      <c r="AC6750">
        <v>0.49280000000000201</v>
      </c>
      <c r="AD6750">
        <v>-0.1208523</v>
      </c>
      <c r="AE6750">
        <v>7.8999999999780305E-3</v>
      </c>
      <c r="AF6750">
        <v>3.19292241589949E-2</v>
      </c>
      <c r="AG6750">
        <v>-0.1208523</v>
      </c>
      <c r="AH6750">
        <v>0.463812745894359</v>
      </c>
      <c r="AI6750">
        <v>104.571397148337</v>
      </c>
      <c r="AJ6750">
        <v>86.061927783593504</v>
      </c>
      <c r="AK6750">
        <v>0.48036134006053199</v>
      </c>
    </row>
    <row r="6751" spans="1:37" x14ac:dyDescent="0.2">
      <c r="A6751" t="str">
        <f>"20200111153601881"</f>
        <v>20200111153601881</v>
      </c>
      <c r="B6751" t="str">
        <f>"1578728161872757"</f>
        <v>1578728161872757</v>
      </c>
      <c r="C6751" t="s">
        <v>37</v>
      </c>
      <c r="D6751">
        <v>4.7540110000000002</v>
      </c>
      <c r="E6751">
        <v>0.5268583</v>
      </c>
      <c r="F6751" t="s">
        <v>40</v>
      </c>
      <c r="G6751">
        <v>-117.2319</v>
      </c>
      <c r="H6751">
        <v>0.95790469999999905</v>
      </c>
      <c r="I6751">
        <v>137.1054</v>
      </c>
      <c r="J6751">
        <v>-117.8883</v>
      </c>
      <c r="K6751">
        <v>1.107127</v>
      </c>
      <c r="L6751">
        <v>137.09059999999999</v>
      </c>
      <c r="M6751">
        <v>0.99600109999999997</v>
      </c>
      <c r="N6751">
        <v>0</v>
      </c>
      <c r="O6751">
        <v>8.5694329999999999E-2</v>
      </c>
      <c r="P6751">
        <v>0.9931046</v>
      </c>
      <c r="Q6751">
        <v>1.283195E-2</v>
      </c>
      <c r="R6751">
        <v>0.11652709999999999</v>
      </c>
      <c r="S6751">
        <v>3.01412999999999</v>
      </c>
      <c r="T6751">
        <v>-0.51895360000000001</v>
      </c>
      <c r="U6751">
        <v>0.118866</v>
      </c>
      <c r="V6751">
        <v>-3.1026870000000002E-2</v>
      </c>
      <c r="W6751">
        <v>3.8030330000000001E-2</v>
      </c>
      <c r="X6751">
        <v>0.99879479999999998</v>
      </c>
      <c r="Y6751">
        <v>4.4485629999999998E-2</v>
      </c>
      <c r="Z6751">
        <v>-1.8426129999999999E-2</v>
      </c>
      <c r="AA6751">
        <v>0.99884010000000001</v>
      </c>
      <c r="AB6751">
        <v>22</v>
      </c>
      <c r="AC6751">
        <v>0.65640000000000498</v>
      </c>
      <c r="AD6751">
        <v>-0.1492223</v>
      </c>
      <c r="AE6751">
        <v>1.48000000000081E-2</v>
      </c>
      <c r="AF6751">
        <v>3.9482728385389701E-2</v>
      </c>
      <c r="AG6751">
        <v>-0.1492223</v>
      </c>
      <c r="AH6751">
        <v>0.62306817194103004</v>
      </c>
      <c r="AI6751">
        <v>103.442441929203</v>
      </c>
      <c r="AJ6751">
        <v>86.374115858640593</v>
      </c>
      <c r="AK6751">
        <v>0.64190351887490105</v>
      </c>
    </row>
    <row r="6752" spans="1:37" x14ac:dyDescent="0.2">
      <c r="A6752" t="str">
        <f>"20200111153601903"</f>
        <v>20200111153601903</v>
      </c>
      <c r="B6752" t="str">
        <f>"1578728161892277"</f>
        <v>1578728161892277</v>
      </c>
      <c r="C6752" t="s">
        <v>37</v>
      </c>
      <c r="D6752">
        <v>4.7494399999999999</v>
      </c>
      <c r="E6752">
        <v>0.52692629999999996</v>
      </c>
      <c r="F6752" t="s">
        <v>40</v>
      </c>
      <c r="G6752">
        <v>-117.0401</v>
      </c>
      <c r="H6752">
        <v>0.95972930000000001</v>
      </c>
      <c r="I6752">
        <v>137.12450000000001</v>
      </c>
      <c r="J6752">
        <v>-117.6776</v>
      </c>
      <c r="K6752">
        <v>1.1070869999999999</v>
      </c>
      <c r="L6752">
        <v>137.11000000000001</v>
      </c>
      <c r="M6752">
        <v>0.99591229999999997</v>
      </c>
      <c r="N6752">
        <v>0</v>
      </c>
      <c r="O6752">
        <v>8.6720920000000007E-2</v>
      </c>
      <c r="P6752">
        <v>0.99303839999999999</v>
      </c>
      <c r="Q6752">
        <v>1.1989700000000001E-2</v>
      </c>
      <c r="R6752">
        <v>0.11717950000000001</v>
      </c>
      <c r="S6752">
        <v>3.0133969999999999</v>
      </c>
      <c r="T6752">
        <v>-0.52371849999999998</v>
      </c>
      <c r="U6752">
        <v>0.1210175</v>
      </c>
      <c r="V6752">
        <v>-3.0647299999999999E-2</v>
      </c>
      <c r="W6752">
        <v>3.7193129999999998E-2</v>
      </c>
      <c r="X6752">
        <v>0.998837999999999</v>
      </c>
      <c r="Y6752">
        <v>4.4738859999999998E-2</v>
      </c>
      <c r="Z6752">
        <v>-1.879517E-2</v>
      </c>
      <c r="AA6752">
        <v>0.99882190000000004</v>
      </c>
      <c r="AB6752">
        <v>22</v>
      </c>
      <c r="AC6752">
        <v>0.63750000000000195</v>
      </c>
      <c r="AD6752">
        <v>-0.14735770000000001</v>
      </c>
      <c r="AE6752">
        <v>1.4499999999998099E-2</v>
      </c>
      <c r="AF6752">
        <v>3.8785650771786702E-2</v>
      </c>
      <c r="AG6752">
        <v>-0.14735770000000001</v>
      </c>
      <c r="AH6752">
        <v>0.60409453866442098</v>
      </c>
      <c r="AI6752">
        <v>103.681425533648</v>
      </c>
      <c r="AJ6752">
        <v>86.326389439474795</v>
      </c>
      <c r="AK6752">
        <v>0.62301591480415697</v>
      </c>
    </row>
    <row r="6753" spans="1:37" x14ac:dyDescent="0.2">
      <c r="A6753" t="str">
        <f>"20200111153601926"</f>
        <v>20200111153601926</v>
      </c>
      <c r="B6753" t="str">
        <f>"1578728161922533"</f>
        <v>1578728161922533</v>
      </c>
      <c r="C6753" t="s">
        <v>37</v>
      </c>
      <c r="D6753">
        <v>4.7811309999999896</v>
      </c>
      <c r="E6753">
        <v>0.52694980000000002</v>
      </c>
      <c r="F6753" t="s">
        <v>40</v>
      </c>
      <c r="G6753">
        <v>-116.8498</v>
      </c>
      <c r="H6753">
        <v>0.96235559999999998</v>
      </c>
      <c r="I6753">
        <v>137.14359999999999</v>
      </c>
      <c r="J6753">
        <v>-117.464</v>
      </c>
      <c r="K6753">
        <v>1.1070530000000001</v>
      </c>
      <c r="L6753">
        <v>137.12989999999999</v>
      </c>
      <c r="M6753">
        <v>0.99582479999999995</v>
      </c>
      <c r="N6753">
        <v>0</v>
      </c>
      <c r="O6753">
        <v>8.7722369999999994E-2</v>
      </c>
      <c r="P6753">
        <v>0.99304479999999995</v>
      </c>
      <c r="Q6753">
        <v>1.259966E-2</v>
      </c>
      <c r="R6753">
        <v>0.1170631</v>
      </c>
      <c r="S6753">
        <v>3.0129700000000001</v>
      </c>
      <c r="T6753">
        <v>-0.5268718</v>
      </c>
      <c r="U6753">
        <v>0.122253399999999</v>
      </c>
      <c r="V6753">
        <v>-2.9523049999999999E-2</v>
      </c>
      <c r="W6753">
        <v>3.7803530000000002E-2</v>
      </c>
      <c r="X6753">
        <v>0.99884899999999999</v>
      </c>
      <c r="Y6753">
        <v>4.528128E-2</v>
      </c>
      <c r="Z6753">
        <v>-1.912925E-2</v>
      </c>
      <c r="AA6753">
        <v>0.99879110000000004</v>
      </c>
      <c r="AB6753">
        <v>21</v>
      </c>
      <c r="AC6753">
        <v>0.61419999999999597</v>
      </c>
      <c r="AD6753">
        <v>-0.144697399999999</v>
      </c>
      <c r="AE6753">
        <v>1.37E-2</v>
      </c>
      <c r="AF6753">
        <v>3.8133705179334197E-2</v>
      </c>
      <c r="AG6753">
        <v>-0.144697399999999</v>
      </c>
      <c r="AH6753">
        <v>0.58081314580815102</v>
      </c>
      <c r="AI6753">
        <v>103.96038716403601</v>
      </c>
      <c r="AJ6753">
        <v>86.243595706028003</v>
      </c>
      <c r="AK6753">
        <v>0.59977948229413902</v>
      </c>
    </row>
    <row r="6754" spans="1:37" x14ac:dyDescent="0.2">
      <c r="A6754" t="str">
        <f>"20200111153601949"</f>
        <v>20200111153601949</v>
      </c>
      <c r="B6754" t="str">
        <f>"1578728161942053"</f>
        <v>1578728161942053</v>
      </c>
      <c r="C6754" t="s">
        <v>37</v>
      </c>
      <c r="D6754">
        <v>4.7997319999999997</v>
      </c>
      <c r="E6754">
        <v>0.52705709999999995</v>
      </c>
      <c r="F6754" t="s">
        <v>40</v>
      </c>
      <c r="G6754">
        <v>-116.6605</v>
      </c>
      <c r="H6754">
        <v>0.96699190000000002</v>
      </c>
      <c r="I6754">
        <v>137.16239999999999</v>
      </c>
      <c r="J6754">
        <v>-117.25490000000001</v>
      </c>
      <c r="K6754">
        <v>1.1070329999999999</v>
      </c>
      <c r="L6754">
        <v>137.14959999999999</v>
      </c>
      <c r="M6754">
        <v>0.99574039999999997</v>
      </c>
      <c r="N6754">
        <v>0</v>
      </c>
      <c r="O6754">
        <v>8.8656810000000003E-2</v>
      </c>
      <c r="P6754">
        <v>0.99301949999999894</v>
      </c>
      <c r="Q6754">
        <v>1.286696E-2</v>
      </c>
      <c r="R6754">
        <v>0.11724560000000001</v>
      </c>
      <c r="S6754">
        <v>3.013306</v>
      </c>
      <c r="T6754">
        <v>-0.52539230000000003</v>
      </c>
      <c r="U6754">
        <v>0.121932999999999</v>
      </c>
      <c r="V6754">
        <v>-2.8764910000000001E-2</v>
      </c>
      <c r="W6754">
        <v>3.8137549999999999E-2</v>
      </c>
      <c r="X6754">
        <v>0.99885840000000004</v>
      </c>
      <c r="Y6754">
        <v>4.6311449999999997E-2</v>
      </c>
      <c r="Z6754">
        <v>-1.9324500000000001E-2</v>
      </c>
      <c r="AA6754">
        <v>0.99874010000000002</v>
      </c>
      <c r="AB6754">
        <v>21</v>
      </c>
      <c r="AC6754">
        <v>0.59440000000000703</v>
      </c>
      <c r="AD6754">
        <v>-0.140041099999999</v>
      </c>
      <c r="AE6754">
        <v>1.27999999999985E-2</v>
      </c>
      <c r="AF6754">
        <v>3.7864162745801601E-2</v>
      </c>
      <c r="AG6754">
        <v>-0.140041099999999</v>
      </c>
      <c r="AH6754">
        <v>0.562011535588536</v>
      </c>
      <c r="AI6754">
        <v>103.961518244674</v>
      </c>
      <c r="AJ6754">
        <v>86.145660614311197</v>
      </c>
      <c r="AK6754">
        <v>0.58043274429018399</v>
      </c>
    </row>
    <row r="6755" spans="1:37" x14ac:dyDescent="0.2">
      <c r="A6755" t="str">
        <f>"20200111153601971"</f>
        <v>20200111153601971</v>
      </c>
      <c r="B6755" t="str">
        <f>"1578728161962372"</f>
        <v>1578728161962372</v>
      </c>
      <c r="C6755" t="s">
        <v>37</v>
      </c>
      <c r="D6755">
        <v>4.8013529999999998</v>
      </c>
      <c r="E6755">
        <v>0.52752650000000001</v>
      </c>
      <c r="F6755" t="s">
        <v>40</v>
      </c>
      <c r="G6755">
        <v>-116.47399999999899</v>
      </c>
      <c r="H6755">
        <v>0.97097679999999997</v>
      </c>
      <c r="I6755">
        <v>137.18100000000001</v>
      </c>
      <c r="J6755">
        <v>-117.05329999999999</v>
      </c>
      <c r="K6755">
        <v>1.1070229999999901</v>
      </c>
      <c r="L6755">
        <v>137.1687</v>
      </c>
      <c r="M6755">
        <v>0.99566069999999995</v>
      </c>
      <c r="N6755">
        <v>0</v>
      </c>
      <c r="O6755">
        <v>8.9515510000000006E-2</v>
      </c>
      <c r="P6755">
        <v>0.99296139999999999</v>
      </c>
      <c r="Q6755">
        <v>1.226062E-2</v>
      </c>
      <c r="R6755">
        <v>0.1178033</v>
      </c>
      <c r="S6755">
        <v>3.0135190000000001</v>
      </c>
      <c r="T6755">
        <v>-0.52515279999999998</v>
      </c>
      <c r="U6755">
        <v>0.12167360000000001</v>
      </c>
      <c r="V6755">
        <v>-2.8459180000000001E-2</v>
      </c>
      <c r="W6755">
        <v>3.7644850000000001E-2</v>
      </c>
      <c r="X6755">
        <v>0.99888589999999999</v>
      </c>
      <c r="Y6755">
        <v>4.7237149999999999E-2</v>
      </c>
      <c r="Z6755">
        <v>-1.9542520000000001E-2</v>
      </c>
      <c r="AA6755">
        <v>0.99869249999999898</v>
      </c>
      <c r="AB6755">
        <v>21</v>
      </c>
      <c r="AC6755">
        <v>0.57930000000000303</v>
      </c>
      <c r="AD6755">
        <v>-0.13604619999999901</v>
      </c>
      <c r="AE6755">
        <v>1.23000000000104E-2</v>
      </c>
      <c r="AF6755">
        <v>3.7552347903836603E-2</v>
      </c>
      <c r="AG6755">
        <v>-0.13604619999999901</v>
      </c>
      <c r="AH6755">
        <v>0.547871349270312</v>
      </c>
      <c r="AI6755">
        <v>103.914119920863</v>
      </c>
      <c r="AJ6755">
        <v>86.0789497534238</v>
      </c>
      <c r="AK6755">
        <v>0.56575768904965296</v>
      </c>
    </row>
    <row r="6756" spans="1:37" x14ac:dyDescent="0.2">
      <c r="A6756" t="str">
        <f>"20200111153601993"</f>
        <v>20200111153601993</v>
      </c>
      <c r="B6756" t="str">
        <f>"1578728161981892"</f>
        <v>1578728161981892</v>
      </c>
      <c r="C6756" t="s">
        <v>37</v>
      </c>
      <c r="D6756">
        <v>4.8286850000000001</v>
      </c>
      <c r="E6756">
        <v>0.56274380000000002</v>
      </c>
      <c r="F6756" t="s">
        <v>40</v>
      </c>
      <c r="G6756">
        <v>-116.29040000000001</v>
      </c>
      <c r="H6756">
        <v>0.97313249999999996</v>
      </c>
      <c r="I6756">
        <v>137.19890000000001</v>
      </c>
      <c r="J6756">
        <v>-116.84869999999999</v>
      </c>
      <c r="K6756">
        <v>1.1069599999999999</v>
      </c>
      <c r="L6756">
        <v>137.18819999999999</v>
      </c>
      <c r="M6756">
        <v>0.99558780000000002</v>
      </c>
      <c r="N6756">
        <v>0</v>
      </c>
      <c r="O6756">
        <v>9.034847E-2</v>
      </c>
      <c r="P6756">
        <v>0.99288580000000004</v>
      </c>
      <c r="Q6756">
        <v>1.2000139999999999E-2</v>
      </c>
      <c r="R6756">
        <v>0.118465</v>
      </c>
      <c r="S6756">
        <v>3.013611</v>
      </c>
      <c r="T6756">
        <v>-0.5289488</v>
      </c>
      <c r="U6756">
        <v>0.11956789999999901</v>
      </c>
      <c r="V6756">
        <v>-2.8284739999999999E-2</v>
      </c>
      <c r="W6756">
        <v>3.7301769999999998E-2</v>
      </c>
      <c r="X6756">
        <v>0.99890369999999995</v>
      </c>
      <c r="Y6756">
        <v>4.8705859999999997E-2</v>
      </c>
      <c r="Z6756">
        <v>-1.99537999999999E-2</v>
      </c>
      <c r="AA6756">
        <v>0.9986138</v>
      </c>
      <c r="AB6756">
        <v>21</v>
      </c>
      <c r="AC6756">
        <v>0.55829999999998803</v>
      </c>
      <c r="AD6756">
        <v>-0.13382749999999899</v>
      </c>
      <c r="AE6756">
        <v>1.0700000000014099E-2</v>
      </c>
      <c r="AF6756">
        <v>3.7639613826590902E-2</v>
      </c>
      <c r="AG6756">
        <v>-0.13382749999999899</v>
      </c>
      <c r="AH6756">
        <v>0.526728255617115</v>
      </c>
      <c r="AI6756">
        <v>104.220891434702</v>
      </c>
      <c r="AJ6756">
        <v>85.912633557595498</v>
      </c>
      <c r="AK6756">
        <v>0.54476526646870005</v>
      </c>
    </row>
    <row r="6757" spans="1:37" x14ac:dyDescent="0.2">
      <c r="A6757" t="str">
        <f>"20200111153602016"</f>
        <v>20200111153602016</v>
      </c>
      <c r="B6757" t="str">
        <f>"1578728162012148"</f>
        <v>1578728162012148</v>
      </c>
      <c r="C6757" t="s">
        <v>37</v>
      </c>
      <c r="D6757">
        <v>4.7575320000000003</v>
      </c>
      <c r="E6757">
        <v>0.5666426</v>
      </c>
      <c r="F6757" t="s">
        <v>40</v>
      </c>
      <c r="G6757">
        <v>-116.1216</v>
      </c>
      <c r="H6757">
        <v>0.93615630000000005</v>
      </c>
      <c r="I6757">
        <v>137.14940000000001</v>
      </c>
      <c r="J6757">
        <v>-116.6495</v>
      </c>
      <c r="K6757">
        <v>1.10686</v>
      </c>
      <c r="L6757">
        <v>137.2073</v>
      </c>
      <c r="M6757">
        <v>0.9955252</v>
      </c>
      <c r="N6757">
        <v>0</v>
      </c>
      <c r="O6757">
        <v>9.1118270000000001E-2</v>
      </c>
      <c r="P6757">
        <v>0.99282399999999904</v>
      </c>
      <c r="Q6757">
        <v>1.2297489999999999E-2</v>
      </c>
      <c r="R6757">
        <v>0.118952</v>
      </c>
      <c r="S6757">
        <v>3.0495450000000002</v>
      </c>
      <c r="T6757">
        <v>-0.71643140000000005</v>
      </c>
      <c r="U6757">
        <v>-0.16242979999999901</v>
      </c>
      <c r="V6757">
        <v>-2.8000859999999999E-2</v>
      </c>
      <c r="W6757">
        <v>3.7301300000000003E-2</v>
      </c>
      <c r="X6757">
        <v>0.99891169999999996</v>
      </c>
      <c r="Y6757">
        <v>0.13776729999999901</v>
      </c>
      <c r="Z6757">
        <v>-3.7056239999999997E-2</v>
      </c>
      <c r="AA6757">
        <v>0.98977119999999996</v>
      </c>
      <c r="AB6757">
        <v>21</v>
      </c>
      <c r="AC6757">
        <v>0.52790000000000203</v>
      </c>
      <c r="AD6757">
        <v>-0.17070369999999899</v>
      </c>
      <c r="AE6757">
        <v>-5.7899999999989397E-2</v>
      </c>
      <c r="AF6757">
        <v>9.58700103062778E-2</v>
      </c>
      <c r="AG6757">
        <v>-0.17070369999999899</v>
      </c>
      <c r="AH6757">
        <v>0.47168966731220302</v>
      </c>
      <c r="AI6757">
        <v>109.526911384279</v>
      </c>
      <c r="AJ6757">
        <v>78.511237318184598</v>
      </c>
      <c r="AK6757">
        <v>0.51070730787694096</v>
      </c>
    </row>
    <row r="6758" spans="1:37" x14ac:dyDescent="0.2">
      <c r="A6758" t="str">
        <f>"20200111153602038"</f>
        <v>20200111153602038</v>
      </c>
      <c r="B6758" t="str">
        <f>"1578728162032645"</f>
        <v>1578728162032645</v>
      </c>
      <c r="C6758" t="s">
        <v>37</v>
      </c>
      <c r="D6758">
        <v>4.7933260000000004</v>
      </c>
      <c r="E6758">
        <v>0.56665410000000005</v>
      </c>
      <c r="F6758" t="s">
        <v>40</v>
      </c>
      <c r="G6758">
        <v>-115.94580000000001</v>
      </c>
      <c r="H6758">
        <v>0.92677929999999997</v>
      </c>
      <c r="I6758">
        <v>137.1627</v>
      </c>
      <c r="J6758">
        <v>-116.44540000000001</v>
      </c>
      <c r="K6758">
        <v>1.106757</v>
      </c>
      <c r="L6758">
        <v>137.227</v>
      </c>
      <c r="M6758">
        <v>0.99546380000000001</v>
      </c>
      <c r="N6758">
        <v>0</v>
      </c>
      <c r="O6758">
        <v>9.187555E-2</v>
      </c>
      <c r="P6758">
        <v>0.99274259999999903</v>
      </c>
      <c r="Q6758">
        <v>1.273088E-2</v>
      </c>
      <c r="R6758">
        <v>0.11958239999999901</v>
      </c>
      <c r="S6758">
        <v>3.0545040000000001</v>
      </c>
      <c r="T6758">
        <v>-0.78172889999999995</v>
      </c>
      <c r="U6758">
        <v>-0.19302369999999999</v>
      </c>
      <c r="V6758">
        <v>-2.7873099999999901E-2</v>
      </c>
      <c r="W6758">
        <v>3.7400410000000002E-2</v>
      </c>
      <c r="X6758">
        <v>0.99891160000000001</v>
      </c>
      <c r="Y6758">
        <v>0.14685119999999999</v>
      </c>
      <c r="Z6758">
        <v>-4.1593159999999997E-2</v>
      </c>
      <c r="AA6758">
        <v>0.98828379999999905</v>
      </c>
      <c r="AB6758">
        <v>20</v>
      </c>
      <c r="AC6758">
        <v>0.49959999999999999</v>
      </c>
      <c r="AD6758">
        <v>-0.17997769999999999</v>
      </c>
      <c r="AE6758">
        <v>-6.4300000000002897E-2</v>
      </c>
      <c r="AF6758">
        <v>9.74964475913426E-2</v>
      </c>
      <c r="AG6758">
        <v>-0.17997769999999999</v>
      </c>
      <c r="AH6758">
        <v>0.435925623061513</v>
      </c>
      <c r="AI6758">
        <v>111.944964255877</v>
      </c>
      <c r="AJ6758">
        <v>77.393049397338601</v>
      </c>
      <c r="AK6758">
        <v>0.481589740995164</v>
      </c>
    </row>
    <row r="6759" spans="1:37" x14ac:dyDescent="0.2">
      <c r="A6759" t="str">
        <f>"20200111153602061"</f>
        <v>20200111153602061</v>
      </c>
      <c r="B6759" t="str">
        <f>"1578728162052164"</f>
        <v>1578728162052164</v>
      </c>
      <c r="C6759" t="s">
        <v>37</v>
      </c>
      <c r="D6759">
        <v>4.7705469999999996</v>
      </c>
      <c r="E6759">
        <v>0.56607810000000003</v>
      </c>
      <c r="F6759" t="s">
        <v>40</v>
      </c>
      <c r="G6759">
        <v>-115.76649999999999</v>
      </c>
      <c r="H6759">
        <v>0.92957959999999995</v>
      </c>
      <c r="I6759">
        <v>137.18440000000001</v>
      </c>
      <c r="J6759">
        <v>-116.25109999999999</v>
      </c>
      <c r="K6759">
        <v>1.1066910000000001</v>
      </c>
      <c r="L6759">
        <v>137.2458</v>
      </c>
      <c r="M6759">
        <v>0.99540479999999998</v>
      </c>
      <c r="N6759">
        <v>0</v>
      </c>
      <c r="O6759">
        <v>9.2578400000000005E-2</v>
      </c>
      <c r="P6759">
        <v>0.99263109999999999</v>
      </c>
      <c r="Q6759">
        <v>1.300663E-2</v>
      </c>
      <c r="R6759">
        <v>0.120476399999999</v>
      </c>
      <c r="S6759">
        <v>3.055161</v>
      </c>
      <c r="T6759">
        <v>-0.79728840000000001</v>
      </c>
      <c r="U6759">
        <v>-0.19114690000000001</v>
      </c>
      <c r="V6759">
        <v>-2.8065010000000001E-2</v>
      </c>
      <c r="W6759">
        <v>3.7436619999999997E-2</v>
      </c>
      <c r="X6759">
        <v>0.99890480000000004</v>
      </c>
      <c r="Y6759">
        <v>0.146614299999999</v>
      </c>
      <c r="Z6759">
        <v>-4.2535740000000002E-2</v>
      </c>
      <c r="AA6759">
        <v>0.98827880000000001</v>
      </c>
      <c r="AB6759">
        <v>20</v>
      </c>
      <c r="AC6759">
        <v>0.48459999999999998</v>
      </c>
      <c r="AD6759">
        <v>-0.1771114</v>
      </c>
      <c r="AE6759">
        <v>-6.1399999999991899E-2</v>
      </c>
      <c r="AF6759">
        <v>9.3695423482788295E-2</v>
      </c>
      <c r="AG6759">
        <v>-0.1771114</v>
      </c>
      <c r="AH6759">
        <v>0.421428534362145</v>
      </c>
      <c r="AI6759">
        <v>112.30576521616899</v>
      </c>
      <c r="AJ6759">
        <v>77.465409194284504</v>
      </c>
      <c r="AK6759">
        <v>0.46663614301316703</v>
      </c>
    </row>
    <row r="6760" spans="1:37" x14ac:dyDescent="0.2">
      <c r="A6760" t="str">
        <f>"20200111153602083"</f>
        <v>20200111153602083</v>
      </c>
      <c r="B6760" t="str">
        <f>"1578728162072292"</f>
        <v>1578728162072292</v>
      </c>
      <c r="C6760" t="s">
        <v>37</v>
      </c>
      <c r="D6760">
        <v>4.8002330000000004</v>
      </c>
      <c r="E6760">
        <v>0.56594009999999995</v>
      </c>
      <c r="F6760" t="s">
        <v>40</v>
      </c>
      <c r="G6760">
        <v>-115.4295</v>
      </c>
      <c r="H6760">
        <v>0.89154389999999994</v>
      </c>
      <c r="I6760">
        <v>137.19649999999999</v>
      </c>
      <c r="J6760">
        <v>-116.0579</v>
      </c>
      <c r="K6760">
        <v>1.1066510000000001</v>
      </c>
      <c r="L6760">
        <v>137.2646</v>
      </c>
      <c r="M6760">
        <v>0.99534619999999996</v>
      </c>
      <c r="N6760">
        <v>0</v>
      </c>
      <c r="O6760">
        <v>9.3260800000000005E-2</v>
      </c>
      <c r="P6760">
        <v>0.99256230000000001</v>
      </c>
      <c r="Q6760">
        <v>1.285919E-2</v>
      </c>
      <c r="R6760">
        <v>0.1210586</v>
      </c>
      <c r="S6760">
        <v>3.0550079999999999</v>
      </c>
      <c r="T6760">
        <v>-0.80001149999999999</v>
      </c>
      <c r="U6760">
        <v>-0.1833649</v>
      </c>
      <c r="V6760">
        <v>-2.7963930000000001E-2</v>
      </c>
      <c r="W6760">
        <v>3.7079239999999999E-2</v>
      </c>
      <c r="X6760">
        <v>0.99892099999999995</v>
      </c>
      <c r="Y6760">
        <v>0.1447695</v>
      </c>
      <c r="Z6760">
        <v>-4.2618660000000003E-2</v>
      </c>
      <c r="AA6760">
        <v>0.98854709999999901</v>
      </c>
      <c r="AB6760">
        <v>20</v>
      </c>
      <c r="AC6760">
        <v>0.62839999999999896</v>
      </c>
      <c r="AD6760">
        <v>-0.2151071</v>
      </c>
      <c r="AE6760">
        <v>-6.8100000000015301E-2</v>
      </c>
      <c r="AF6760">
        <v>0.113303111697381</v>
      </c>
      <c r="AG6760">
        <v>-0.2151071</v>
      </c>
      <c r="AH6760">
        <v>0.55502611790973</v>
      </c>
      <c r="AI6760">
        <v>110.793301287418</v>
      </c>
      <c r="AJ6760">
        <v>78.462160968235494</v>
      </c>
      <c r="AK6760">
        <v>0.60593947812687099</v>
      </c>
    </row>
    <row r="6761" spans="1:37" x14ac:dyDescent="0.2">
      <c r="A6761" t="str">
        <f>"20200111153602105"</f>
        <v>20200111153602105</v>
      </c>
      <c r="B6761" t="str">
        <f>"1578728162102548"</f>
        <v>1578728162102548</v>
      </c>
      <c r="C6761" t="s">
        <v>37</v>
      </c>
      <c r="D6761">
        <v>4.7877039999999997</v>
      </c>
      <c r="E6761">
        <v>0.56536919999999902</v>
      </c>
      <c r="F6761" t="s">
        <v>40</v>
      </c>
      <c r="G6761">
        <v>-115.2547</v>
      </c>
      <c r="H6761">
        <v>0.89576029999999995</v>
      </c>
      <c r="I6761">
        <v>137.21729999999999</v>
      </c>
      <c r="J6761">
        <v>-115.8646</v>
      </c>
      <c r="K6761">
        <v>1.106617</v>
      </c>
      <c r="L6761">
        <v>137.28360000000001</v>
      </c>
      <c r="M6761">
        <v>0.99529000000000001</v>
      </c>
      <c r="N6761">
        <v>0</v>
      </c>
      <c r="O6761">
        <v>9.3919569999999994E-2</v>
      </c>
      <c r="P6761">
        <v>0.99259439999999999</v>
      </c>
      <c r="Q6761">
        <v>1.3267309999999999E-2</v>
      </c>
      <c r="R6761">
        <v>0.1207501</v>
      </c>
      <c r="S6761">
        <v>3.0547330000000001</v>
      </c>
      <c r="T6761">
        <v>-0.80205969999999904</v>
      </c>
      <c r="U6761">
        <v>-0.17916869999999999</v>
      </c>
      <c r="V6761">
        <v>-2.6991089999999999E-2</v>
      </c>
      <c r="W6761">
        <v>3.7258409999999999E-2</v>
      </c>
      <c r="X6761">
        <v>0.99894110000000003</v>
      </c>
      <c r="Y6761">
        <v>0.14403540000000001</v>
      </c>
      <c r="Z6761">
        <v>-4.2804010000000003E-2</v>
      </c>
      <c r="AA6761">
        <v>0.98864640000000004</v>
      </c>
      <c r="AB6761">
        <v>20</v>
      </c>
      <c r="AC6761">
        <v>0.609899999999996</v>
      </c>
      <c r="AD6761">
        <v>-0.21085669999999901</v>
      </c>
      <c r="AE6761">
        <v>-6.6300000000012405E-2</v>
      </c>
      <c r="AF6761">
        <v>0.11027786291192</v>
      </c>
      <c r="AG6761">
        <v>-0.21085669999999901</v>
      </c>
      <c r="AH6761">
        <v>0.53748184027583201</v>
      </c>
      <c r="AI6761">
        <v>111.021732188562</v>
      </c>
      <c r="AJ6761">
        <v>78.405249031900496</v>
      </c>
      <c r="AK6761">
        <v>0.587799696843751</v>
      </c>
    </row>
    <row r="6762" spans="1:37" x14ac:dyDescent="0.2">
      <c r="A6762" t="str">
        <f>"20200111153602127"</f>
        <v>20200111153602127</v>
      </c>
      <c r="B6762" t="str">
        <f>"1578728162122068"</f>
        <v>1578728162122068</v>
      </c>
      <c r="C6762" t="s">
        <v>37</v>
      </c>
      <c r="D6762">
        <v>4.7919650000000003</v>
      </c>
      <c r="E6762">
        <v>0.56521009999999905</v>
      </c>
      <c r="F6762" t="s">
        <v>40</v>
      </c>
      <c r="G6762">
        <v>-115.081</v>
      </c>
      <c r="H6762">
        <v>0.90077129999999905</v>
      </c>
      <c r="I6762">
        <v>137.23859999999999</v>
      </c>
      <c r="J6762">
        <v>-115.6705</v>
      </c>
      <c r="K6762">
        <v>1.1065940000000001</v>
      </c>
      <c r="L6762">
        <v>137.30269999999999</v>
      </c>
      <c r="M6762">
        <v>0.99523499999999998</v>
      </c>
      <c r="N6762">
        <v>0</v>
      </c>
      <c r="O6762">
        <v>9.4560560000000002E-2</v>
      </c>
      <c r="P6762">
        <v>0.99264609999999998</v>
      </c>
      <c r="Q6762">
        <v>1.3465639999999999E-2</v>
      </c>
      <c r="R6762">
        <v>0.1203027</v>
      </c>
      <c r="S6762">
        <v>3.0544279999999899</v>
      </c>
      <c r="T6762">
        <v>-0.80241280000000004</v>
      </c>
      <c r="U6762">
        <v>-0.17510989999999901</v>
      </c>
      <c r="V6762">
        <v>-2.5897449999999999E-2</v>
      </c>
      <c r="W6762">
        <v>3.7216949999999999E-2</v>
      </c>
      <c r="X6762">
        <v>0.99897159999999996</v>
      </c>
      <c r="Y6762">
        <v>0.14335989999999901</v>
      </c>
      <c r="Z6762">
        <v>-4.2905400000000003E-2</v>
      </c>
      <c r="AA6762">
        <v>0.98874010000000001</v>
      </c>
      <c r="AB6762">
        <v>20</v>
      </c>
      <c r="AC6762">
        <v>0.58950000000000102</v>
      </c>
      <c r="AD6762">
        <v>-0.2058227</v>
      </c>
      <c r="AE6762">
        <v>-6.4099999999996202E-2</v>
      </c>
      <c r="AF6762">
        <v>0.106714852089855</v>
      </c>
      <c r="AG6762">
        <v>-0.2058227</v>
      </c>
      <c r="AH6762">
        <v>0.51834400407476899</v>
      </c>
      <c r="AI6762">
        <v>111.25208995519699</v>
      </c>
      <c r="AJ6762">
        <v>78.366687423648003</v>
      </c>
      <c r="AK6762">
        <v>0.56783056456315795</v>
      </c>
    </row>
    <row r="6763" spans="1:37" x14ac:dyDescent="0.2">
      <c r="A6763" t="str">
        <f>"20200111153602150"</f>
        <v>20200111153602150</v>
      </c>
      <c r="B6763" t="str">
        <f>"1578728162142564"</f>
        <v>1578728162142564</v>
      </c>
      <c r="C6763" t="s">
        <v>37</v>
      </c>
      <c r="D6763">
        <v>4.8655499999999998</v>
      </c>
      <c r="E6763">
        <v>0.56534059999999997</v>
      </c>
      <c r="F6763" t="s">
        <v>40</v>
      </c>
      <c r="G6763">
        <v>-114.9084</v>
      </c>
      <c r="H6763">
        <v>0.90665289999999998</v>
      </c>
      <c r="I6763">
        <v>137.25890000000001</v>
      </c>
      <c r="J6763">
        <v>-115.4776</v>
      </c>
      <c r="K6763">
        <v>1.1065769999999999</v>
      </c>
      <c r="L6763">
        <v>137.3218</v>
      </c>
      <c r="M6763">
        <v>0.99517990000000001</v>
      </c>
      <c r="N6763">
        <v>0</v>
      </c>
      <c r="O6763">
        <v>9.5193040000000007E-2</v>
      </c>
      <c r="P6763">
        <v>0.99269130000000005</v>
      </c>
      <c r="Q6763">
        <v>1.357739E-2</v>
      </c>
      <c r="R6763">
        <v>0.1199143</v>
      </c>
      <c r="S6763">
        <v>3.05427599999999</v>
      </c>
      <c r="T6763">
        <v>-0.80130230000000002</v>
      </c>
      <c r="U6763">
        <v>-0.17475889999999999</v>
      </c>
      <c r="V6763">
        <v>-2.4871959999999999E-2</v>
      </c>
      <c r="W6763">
        <v>3.7111650000000003E-2</v>
      </c>
      <c r="X6763">
        <v>0.99900159999999905</v>
      </c>
      <c r="Y6763">
        <v>0.14385999999999999</v>
      </c>
      <c r="Z6763">
        <v>-4.3077219999999999E-2</v>
      </c>
      <c r="AA6763">
        <v>0.98865999999999998</v>
      </c>
      <c r="AB6763">
        <v>19</v>
      </c>
      <c r="AC6763">
        <v>0.56919999999999504</v>
      </c>
      <c r="AD6763">
        <v>-0.19992409999999999</v>
      </c>
      <c r="AE6763">
        <v>-6.2899999999984801E-2</v>
      </c>
      <c r="AF6763">
        <v>0.104122743257599</v>
      </c>
      <c r="AG6763">
        <v>-0.19992409999999999</v>
      </c>
      <c r="AH6763">
        <v>0.49971910970048999</v>
      </c>
      <c r="AI6763">
        <v>111.38835640765301</v>
      </c>
      <c r="AJ6763">
        <v>78.230107238269198</v>
      </c>
      <c r="AK6763">
        <v>0.54820651220516103</v>
      </c>
    </row>
    <row r="6764" spans="1:37" x14ac:dyDescent="0.2">
      <c r="A6764" t="str">
        <f>"20200111153602171"</f>
        <v>20200111153602171</v>
      </c>
      <c r="B6764" t="str">
        <f>"1578728162162084"</f>
        <v>1578728162162084</v>
      </c>
      <c r="C6764" t="s">
        <v>37</v>
      </c>
      <c r="D6764">
        <v>4.8291240000000002</v>
      </c>
      <c r="E6764">
        <v>0.57530579999999998</v>
      </c>
      <c r="F6764" t="s">
        <v>40</v>
      </c>
      <c r="G6764">
        <v>-114.73739999999999</v>
      </c>
      <c r="H6764">
        <v>0.91216989999999998</v>
      </c>
      <c r="I6764">
        <v>137.27889999999999</v>
      </c>
      <c r="J6764">
        <v>-115.2961</v>
      </c>
      <c r="K6764">
        <v>1.106565</v>
      </c>
      <c r="L6764">
        <v>137.3399</v>
      </c>
      <c r="M6764">
        <v>0.99512599999999996</v>
      </c>
      <c r="N6764">
        <v>0</v>
      </c>
      <c r="O6764">
        <v>9.5798629999999996E-2</v>
      </c>
      <c r="P6764">
        <v>0.99273679999999997</v>
      </c>
      <c r="Q6764">
        <v>1.375085E-2</v>
      </c>
      <c r="R6764">
        <v>0.1195184</v>
      </c>
      <c r="S6764">
        <v>3.0544279999999899</v>
      </c>
      <c r="T6764">
        <v>-0.80227769999999898</v>
      </c>
      <c r="U6764">
        <v>-0.17686459999999901</v>
      </c>
      <c r="V6764">
        <v>-2.3865399999999998E-2</v>
      </c>
      <c r="W6764">
        <v>3.7110690000000002E-2</v>
      </c>
      <c r="X6764">
        <v>0.99902610000000003</v>
      </c>
      <c r="Y6764">
        <v>0.145058299999999</v>
      </c>
      <c r="Z6764">
        <v>-4.3435750000000002E-2</v>
      </c>
      <c r="AA6764">
        <v>0.98846919999999905</v>
      </c>
      <c r="AB6764">
        <v>19</v>
      </c>
      <c r="AC6764">
        <v>0.55870000000000097</v>
      </c>
      <c r="AD6764">
        <v>-0.19439509999999999</v>
      </c>
      <c r="AE6764">
        <v>-6.1000000000007E-2</v>
      </c>
      <c r="AF6764">
        <v>0.102047887243265</v>
      </c>
      <c r="AG6764">
        <v>-0.19439509999999999</v>
      </c>
      <c r="AH6764">
        <v>0.49148384021477698</v>
      </c>
      <c r="AI6764">
        <v>111.16975428898</v>
      </c>
      <c r="AJ6764">
        <v>78.270215571818497</v>
      </c>
      <c r="AK6764">
        <v>0.53829322064009799</v>
      </c>
    </row>
    <row r="6765" spans="1:37" x14ac:dyDescent="0.2">
      <c r="A6765" t="str">
        <f>"20200111153602194"</f>
        <v>20200111153602194</v>
      </c>
      <c r="B6765" t="str">
        <f>"1578728162182581"</f>
        <v>1578728162182581</v>
      </c>
      <c r="C6765" t="s">
        <v>37</v>
      </c>
      <c r="D6765">
        <v>4.7848290000000002</v>
      </c>
      <c r="E6765">
        <v>0.57586809999999999</v>
      </c>
      <c r="F6765" t="s">
        <v>40</v>
      </c>
      <c r="G6765">
        <v>-114.5668</v>
      </c>
      <c r="H6765">
        <v>0.91360200000000003</v>
      </c>
      <c r="I6765">
        <v>137.27860000000001</v>
      </c>
      <c r="J6765">
        <v>-115.11060000000001</v>
      </c>
      <c r="K6765">
        <v>1.106552</v>
      </c>
      <c r="L6765">
        <v>137.3586</v>
      </c>
      <c r="M6765">
        <v>0.99506859999999997</v>
      </c>
      <c r="N6765">
        <v>0</v>
      </c>
      <c r="O6765">
        <v>9.6431569999999994E-2</v>
      </c>
      <c r="P6765">
        <v>0.9927298</v>
      </c>
      <c r="Q6765">
        <v>1.3668319999999999E-2</v>
      </c>
      <c r="R6765">
        <v>0.11958630000000001</v>
      </c>
      <c r="S6765">
        <v>3.0641630000000002</v>
      </c>
      <c r="T6765">
        <v>-0.81079209999999902</v>
      </c>
      <c r="U6765">
        <v>-0.25729370000000001</v>
      </c>
      <c r="V6765">
        <v>-2.329825E-2</v>
      </c>
      <c r="W6765">
        <v>3.6871010000000003E-2</v>
      </c>
      <c r="X6765">
        <v>0.99904839999999995</v>
      </c>
      <c r="Y6765">
        <v>0.17027579999999901</v>
      </c>
      <c r="Z6765">
        <v>-4.7154460000000002E-2</v>
      </c>
      <c r="AA6765">
        <v>0.98426749999999996</v>
      </c>
      <c r="AB6765">
        <v>19</v>
      </c>
      <c r="AC6765">
        <v>0.54380000000000395</v>
      </c>
      <c r="AD6765">
        <v>-0.19294999999999901</v>
      </c>
      <c r="AE6765">
        <v>-7.9999999999984001E-2</v>
      </c>
      <c r="AF6765">
        <v>0.117590112683829</v>
      </c>
      <c r="AG6765">
        <v>-0.19294999999999901</v>
      </c>
      <c r="AH6765">
        <v>0.47501247301645499</v>
      </c>
      <c r="AI6765">
        <v>111.519211085045</v>
      </c>
      <c r="AJ6765">
        <v>76.095861749040196</v>
      </c>
      <c r="AK6765">
        <v>0.52601709727175605</v>
      </c>
    </row>
    <row r="6766" spans="1:37" x14ac:dyDescent="0.2">
      <c r="A6766" t="str">
        <f>"20200111153602217"</f>
        <v>20200111153602217</v>
      </c>
      <c r="B6766" t="str">
        <f>"1578728162211860"</f>
        <v>1578728162211860</v>
      </c>
      <c r="C6766" t="s">
        <v>37</v>
      </c>
      <c r="D6766">
        <v>4.7920559999999996</v>
      </c>
      <c r="E6766">
        <v>0.5756097</v>
      </c>
      <c r="F6766" t="s">
        <v>40</v>
      </c>
      <c r="G6766">
        <v>-114.3994</v>
      </c>
      <c r="H6766">
        <v>0.91791809999999996</v>
      </c>
      <c r="I6766">
        <v>137.2978</v>
      </c>
      <c r="J6766">
        <v>-114.9226</v>
      </c>
      <c r="K6766">
        <v>1.106544</v>
      </c>
      <c r="L6766">
        <v>137.3776</v>
      </c>
      <c r="M6766">
        <v>0.99500859999999902</v>
      </c>
      <c r="N6766">
        <v>0</v>
      </c>
      <c r="O6766">
        <v>9.7083749999999996E-2</v>
      </c>
      <c r="P6766">
        <v>0.99264809999999903</v>
      </c>
      <c r="Q6766">
        <v>1.382038E-2</v>
      </c>
      <c r="R6766">
        <v>0.12024600000000001</v>
      </c>
      <c r="S6766">
        <v>3.0646819999999999</v>
      </c>
      <c r="T6766">
        <v>-0.81296829999999998</v>
      </c>
      <c r="U6766">
        <v>-0.26156620000000003</v>
      </c>
      <c r="V6766">
        <v>-2.3307769999999998E-2</v>
      </c>
      <c r="W6766">
        <v>3.6875779999999997E-2</v>
      </c>
      <c r="X6766">
        <v>0.99904799999999905</v>
      </c>
      <c r="Y6766">
        <v>0.17213779999999901</v>
      </c>
      <c r="Z6766">
        <v>-4.7678690000000003E-2</v>
      </c>
      <c r="AA6766">
        <v>0.98391839999999997</v>
      </c>
      <c r="AB6766">
        <v>19</v>
      </c>
      <c r="AC6766">
        <v>0.523200000000002</v>
      </c>
      <c r="AD6766">
        <v>-0.18862589999999901</v>
      </c>
      <c r="AE6766">
        <v>-7.9800000000005797E-2</v>
      </c>
      <c r="AF6766">
        <v>0.115552812961846</v>
      </c>
      <c r="AG6766">
        <v>-0.18862589999999901</v>
      </c>
      <c r="AH6766">
        <v>0.45516213025661001</v>
      </c>
      <c r="AI6766">
        <v>111.883984836426</v>
      </c>
      <c r="AJ6766">
        <v>75.755160904699196</v>
      </c>
      <c r="AK6766">
        <v>0.50606792780608101</v>
      </c>
    </row>
    <row r="6767" spans="1:37" x14ac:dyDescent="0.2">
      <c r="A6767" t="str">
        <f>"20200111153602240"</f>
        <v>20200111153602240</v>
      </c>
      <c r="B6767" t="str">
        <f>"1578728162232355"</f>
        <v>1578728162232355</v>
      </c>
      <c r="C6767" t="s">
        <v>37</v>
      </c>
      <c r="D6767">
        <v>4.7845139999999997</v>
      </c>
      <c r="E6767">
        <v>0.57594230000000002</v>
      </c>
      <c r="F6767" t="s">
        <v>40</v>
      </c>
      <c r="G6767">
        <v>-114.2316</v>
      </c>
      <c r="H6767">
        <v>0.92725749999999996</v>
      </c>
      <c r="I6767">
        <v>137.31970000000001</v>
      </c>
      <c r="J6767">
        <v>-114.7394</v>
      </c>
      <c r="K6767">
        <v>1.1065639999999899</v>
      </c>
      <c r="L6767">
        <v>137.39619999999999</v>
      </c>
      <c r="M6767">
        <v>0.9949481</v>
      </c>
      <c r="N6767">
        <v>0</v>
      </c>
      <c r="O6767">
        <v>9.7720589999999996E-2</v>
      </c>
      <c r="P6767">
        <v>0.99257419999999996</v>
      </c>
      <c r="Q6767">
        <v>1.394549E-2</v>
      </c>
      <c r="R6767">
        <v>0.120839899999999</v>
      </c>
      <c r="S6767">
        <v>3.064362</v>
      </c>
      <c r="T6767">
        <v>-0.79513990000000001</v>
      </c>
      <c r="U6767">
        <v>-0.2565308</v>
      </c>
      <c r="V6767">
        <v>-2.3266289999999999E-2</v>
      </c>
      <c r="W6767">
        <v>3.6917230000000002E-2</v>
      </c>
      <c r="X6767">
        <v>0.99904749999999998</v>
      </c>
      <c r="Y6767">
        <v>0.17156060000000001</v>
      </c>
      <c r="Z6767">
        <v>-4.676259E-2</v>
      </c>
      <c r="AA6767">
        <v>0.98406309999999997</v>
      </c>
      <c r="AB6767">
        <v>19</v>
      </c>
      <c r="AC6767">
        <v>0.50780000000000303</v>
      </c>
      <c r="AD6767">
        <v>-0.17930649999999901</v>
      </c>
      <c r="AE6767">
        <v>-7.6499999999981499E-2</v>
      </c>
      <c r="AF6767">
        <v>0.112102264046493</v>
      </c>
      <c r="AG6767">
        <v>-0.17930649999999901</v>
      </c>
      <c r="AH6767">
        <v>0.44378613137372502</v>
      </c>
      <c r="AI6767">
        <v>111.39193300462399</v>
      </c>
      <c r="AJ6767">
        <v>75.823407345926199</v>
      </c>
      <c r="AK6767">
        <v>0.49159319456869699</v>
      </c>
    </row>
    <row r="6768" spans="1:37" x14ac:dyDescent="0.2">
      <c r="A6768" t="str">
        <f>"20200111153602261"</f>
        <v>20200111153602261</v>
      </c>
      <c r="B6768" t="str">
        <f>"1578728162251876"</f>
        <v>1578728162251876</v>
      </c>
      <c r="C6768" t="s">
        <v>37</v>
      </c>
      <c r="D6768">
        <v>4.7876279999999998</v>
      </c>
      <c r="E6768">
        <v>0.57636149999999997</v>
      </c>
      <c r="F6768" t="s">
        <v>40</v>
      </c>
      <c r="G6768">
        <v>-113.9212</v>
      </c>
      <c r="H6768">
        <v>0.89578959999999996</v>
      </c>
      <c r="I6768">
        <v>137.32759999999999</v>
      </c>
      <c r="J6768">
        <v>-114.5667</v>
      </c>
      <c r="K6768">
        <v>1.1067819999999999</v>
      </c>
      <c r="L6768">
        <v>137.41399999999999</v>
      </c>
      <c r="M6768">
        <v>0.99487490000000001</v>
      </c>
      <c r="N6768">
        <v>0</v>
      </c>
      <c r="O6768">
        <v>9.8265710000000006E-2</v>
      </c>
      <c r="P6768">
        <v>0.99254140000000002</v>
      </c>
      <c r="Q6768">
        <v>1.327242E-2</v>
      </c>
      <c r="R6768">
        <v>0.12118370000000001</v>
      </c>
      <c r="S6768">
        <v>3.0648040000000001</v>
      </c>
      <c r="T6768">
        <v>-0.78958609999999996</v>
      </c>
      <c r="U6768">
        <v>-0.2568665</v>
      </c>
      <c r="V6768">
        <v>-2.3059880000000001E-2</v>
      </c>
      <c r="W6768">
        <v>3.707067E-2</v>
      </c>
      <c r="X6768">
        <v>0.99904660000000001</v>
      </c>
      <c r="Y6768">
        <v>0.1722796</v>
      </c>
      <c r="Z6768">
        <v>-4.6668880000000003E-2</v>
      </c>
      <c r="AA6768">
        <v>0.98394199999999998</v>
      </c>
      <c r="AB6768">
        <v>18</v>
      </c>
      <c r="AC6768">
        <v>0.64549999999999796</v>
      </c>
      <c r="AD6768">
        <v>-0.210992399999999</v>
      </c>
      <c r="AE6768">
        <v>-8.6399999999997507E-2</v>
      </c>
      <c r="AF6768">
        <v>0.135235625030389</v>
      </c>
      <c r="AG6768">
        <v>-0.210992399999999</v>
      </c>
      <c r="AH6768">
        <v>0.57366855891094404</v>
      </c>
      <c r="AI6768">
        <v>109.69647562893</v>
      </c>
      <c r="AJ6768">
        <v>76.735370212218498</v>
      </c>
      <c r="AK6768">
        <v>0.62602083241540696</v>
      </c>
    </row>
    <row r="6769" spans="1:37" x14ac:dyDescent="0.2">
      <c r="A6769" t="str">
        <f>"20200111153602284"</f>
        <v>20200111153602284</v>
      </c>
      <c r="B6769" t="str">
        <f>"1578728162272372"</f>
        <v>1578728162272372</v>
      </c>
      <c r="C6769" t="s">
        <v>37</v>
      </c>
      <c r="D6769">
        <v>4.7353709999999998</v>
      </c>
      <c r="E6769">
        <v>0.5766772</v>
      </c>
      <c r="F6769" t="s">
        <v>40</v>
      </c>
      <c r="G6769">
        <v>-113.7655</v>
      </c>
      <c r="H6769">
        <v>0.90035779999999999</v>
      </c>
      <c r="I6769">
        <v>137.34610000000001</v>
      </c>
      <c r="J6769">
        <v>-114.3939</v>
      </c>
      <c r="K6769">
        <v>1.1070659999999899</v>
      </c>
      <c r="L6769">
        <v>137.43170000000001</v>
      </c>
      <c r="M6769">
        <v>0.99479309999999999</v>
      </c>
      <c r="N6769">
        <v>0</v>
      </c>
      <c r="O6769">
        <v>9.8770399999999994E-2</v>
      </c>
      <c r="P6769">
        <v>0.992550499999999</v>
      </c>
      <c r="Q6769">
        <v>1.2069170000000001E-2</v>
      </c>
      <c r="R6769">
        <v>0.12123579999999901</v>
      </c>
      <c r="S6769">
        <v>3.06478899999999</v>
      </c>
      <c r="T6769">
        <v>-0.78970059999999997</v>
      </c>
      <c r="U6769">
        <v>-0.25946039999999998</v>
      </c>
      <c r="V6769">
        <v>-2.2598190000000001E-2</v>
      </c>
      <c r="W6769">
        <v>3.716597E-2</v>
      </c>
      <c r="X6769">
        <v>0.99905350000000004</v>
      </c>
      <c r="Y6769">
        <v>0.17354900000000001</v>
      </c>
      <c r="Z6769">
        <v>-4.6963329999999998E-2</v>
      </c>
      <c r="AA6769">
        <v>0.98370480000000005</v>
      </c>
      <c r="AB6769">
        <v>18</v>
      </c>
      <c r="AC6769">
        <v>0.62839999999999896</v>
      </c>
      <c r="AD6769">
        <v>-0.20670819999999901</v>
      </c>
      <c r="AE6769">
        <v>-8.5599999999999399E-2</v>
      </c>
      <c r="AF6769">
        <v>0.13312577287180899</v>
      </c>
      <c r="AG6769">
        <v>-0.20670819999999901</v>
      </c>
      <c r="AH6769">
        <v>0.55762942753616196</v>
      </c>
      <c r="AI6769">
        <v>109.827196261905</v>
      </c>
      <c r="AJ6769">
        <v>76.572807260782696</v>
      </c>
      <c r="AK6769">
        <v>0.60942705043693701</v>
      </c>
    </row>
    <row r="6770" spans="1:37" x14ac:dyDescent="0.2">
      <c r="A6770" t="str">
        <f>"20200111153602307"</f>
        <v>20200111153602307</v>
      </c>
      <c r="B6770" t="str">
        <f>"1578728162302627"</f>
        <v>1578728162302627</v>
      </c>
      <c r="C6770" t="s">
        <v>37</v>
      </c>
      <c r="D6770">
        <v>4.7378080000000002</v>
      </c>
      <c r="E6770">
        <v>0.57689309999999905</v>
      </c>
      <c r="F6770" t="s">
        <v>40</v>
      </c>
      <c r="G6770">
        <v>-113.61369999999999</v>
      </c>
      <c r="H6770">
        <v>0.90541930000000004</v>
      </c>
      <c r="I6770">
        <v>137.36500000000001</v>
      </c>
      <c r="J6770">
        <v>-114.2226</v>
      </c>
      <c r="K6770">
        <v>1.1073109999999999</v>
      </c>
      <c r="L6770">
        <v>137.4494</v>
      </c>
      <c r="M6770">
        <v>0.99470949999999903</v>
      </c>
      <c r="N6770">
        <v>0</v>
      </c>
      <c r="O6770">
        <v>9.9258949999999999E-2</v>
      </c>
      <c r="P6770">
        <v>0.99247859999999999</v>
      </c>
      <c r="Q6770">
        <v>1.0625920000000001E-2</v>
      </c>
      <c r="R6770">
        <v>0.121958199999999</v>
      </c>
      <c r="S6770">
        <v>3.064133</v>
      </c>
      <c r="T6770">
        <v>-0.79207299999999903</v>
      </c>
      <c r="U6770">
        <v>-0.26184079999999998</v>
      </c>
      <c r="V6770">
        <v>-2.2827400000000001E-2</v>
      </c>
      <c r="W6770">
        <v>3.7075909999999997E-2</v>
      </c>
      <c r="X6770">
        <v>0.99905169999999999</v>
      </c>
      <c r="Y6770">
        <v>0.1747023</v>
      </c>
      <c r="Z6770">
        <v>-4.7379579999999998E-2</v>
      </c>
      <c r="AA6770">
        <v>0.98348069999999899</v>
      </c>
      <c r="AB6770">
        <v>17</v>
      </c>
      <c r="AC6770">
        <v>0.60890000000000499</v>
      </c>
      <c r="AD6770">
        <v>-0.20189170000000001</v>
      </c>
      <c r="AE6770">
        <v>-8.4399999999987999E-2</v>
      </c>
      <c r="AF6770">
        <v>0.130379499583371</v>
      </c>
      <c r="AG6770">
        <v>-0.20189170000000001</v>
      </c>
      <c r="AH6770">
        <v>0.53933519805772301</v>
      </c>
      <c r="AI6770">
        <v>109.99410538700801</v>
      </c>
      <c r="AJ6770">
        <v>76.409977912871497</v>
      </c>
      <c r="AK6770">
        <v>0.59045874394784204</v>
      </c>
    </row>
    <row r="6771" spans="1:37" x14ac:dyDescent="0.2">
      <c r="A6771" t="str">
        <f>"20200111153602328"</f>
        <v>20200111153602328</v>
      </c>
      <c r="B6771" t="str">
        <f>"1578728162322148"</f>
        <v>1578728162322148</v>
      </c>
      <c r="C6771" t="s">
        <v>37</v>
      </c>
      <c r="D6771">
        <v>4.6936869999999997</v>
      </c>
      <c r="E6771">
        <v>0.5769763</v>
      </c>
      <c r="F6771" t="s">
        <v>40</v>
      </c>
      <c r="G6771">
        <v>-113.4652</v>
      </c>
      <c r="H6771">
        <v>0.91080879999999997</v>
      </c>
      <c r="I6771">
        <v>137.38460000000001</v>
      </c>
      <c r="J6771">
        <v>-114.0637</v>
      </c>
      <c r="K6771">
        <v>1.107359</v>
      </c>
      <c r="L6771">
        <v>137.4659</v>
      </c>
      <c r="M6771">
        <v>0.99464019999999997</v>
      </c>
      <c r="N6771">
        <v>0</v>
      </c>
      <c r="O6771">
        <v>9.9778060000000002E-2</v>
      </c>
      <c r="P6771">
        <v>0.99239149999999998</v>
      </c>
      <c r="Q6771">
        <v>1.001904E-2</v>
      </c>
      <c r="R6771">
        <v>0.1227143</v>
      </c>
      <c r="S6771">
        <v>3.0634160000000001</v>
      </c>
      <c r="T6771">
        <v>-0.79486889999999999</v>
      </c>
      <c r="U6771">
        <v>-0.261795</v>
      </c>
      <c r="V6771">
        <v>-2.3064129999999999E-2</v>
      </c>
      <c r="W6771">
        <v>3.711594E-2</v>
      </c>
      <c r="X6771">
        <v>0.99904479999999996</v>
      </c>
      <c r="Y6771">
        <v>0.17512439999999899</v>
      </c>
      <c r="Z6771">
        <v>-4.7738570000000001E-2</v>
      </c>
      <c r="AA6771">
        <v>0.98338819999999905</v>
      </c>
      <c r="AB6771">
        <v>17</v>
      </c>
      <c r="AC6771">
        <v>0.59850000000000103</v>
      </c>
      <c r="AD6771">
        <v>-0.19655020000000001</v>
      </c>
      <c r="AE6771">
        <v>-8.1299999999998804E-2</v>
      </c>
      <c r="AF6771">
        <v>0.12716672673447199</v>
      </c>
      <c r="AG6771">
        <v>-0.19655020000000001</v>
      </c>
      <c r="AH6771">
        <v>0.53114974920307501</v>
      </c>
      <c r="AI6771">
        <v>109.792595614866</v>
      </c>
      <c r="AJ6771">
        <v>76.535809457452501</v>
      </c>
      <c r="AK6771">
        <v>0.58045104323008101</v>
      </c>
    </row>
    <row r="6772" spans="1:37" x14ac:dyDescent="0.2">
      <c r="A6772" t="str">
        <f>"20200111153602351"</f>
        <v>20200111153602351</v>
      </c>
      <c r="B6772" t="str">
        <f>"1578728162342644"</f>
        <v>1578728162342644</v>
      </c>
      <c r="C6772" t="s">
        <v>37</v>
      </c>
      <c r="D6772">
        <v>4.7255500000000001</v>
      </c>
      <c r="E6772">
        <v>0.57700989999999996</v>
      </c>
      <c r="F6772" t="s">
        <v>40</v>
      </c>
      <c r="G6772">
        <v>-113.31789999999999</v>
      </c>
      <c r="H6772">
        <v>0.91389430000000005</v>
      </c>
      <c r="I6772">
        <v>137.4023</v>
      </c>
      <c r="J6772">
        <v>-113.9023</v>
      </c>
      <c r="K6772">
        <v>1.1071549999999999</v>
      </c>
      <c r="L6772">
        <v>137.4828</v>
      </c>
      <c r="M6772">
        <v>0.99459310000000001</v>
      </c>
      <c r="N6772">
        <v>0</v>
      </c>
      <c r="O6772">
        <v>0.1003616</v>
      </c>
      <c r="P6772">
        <v>0.9922957</v>
      </c>
      <c r="Q6772">
        <v>1.055944E-2</v>
      </c>
      <c r="R6772">
        <v>0.123442</v>
      </c>
      <c r="S6772">
        <v>3.0632630000000001</v>
      </c>
      <c r="T6772">
        <v>-0.79471809999999998</v>
      </c>
      <c r="U6772">
        <v>-0.26065060000000001</v>
      </c>
      <c r="V6772">
        <v>-2.3215050000000001E-2</v>
      </c>
      <c r="W6772">
        <v>3.722172E-2</v>
      </c>
      <c r="X6772">
        <v>0.99903729999999902</v>
      </c>
      <c r="Y6772">
        <v>0.1753161</v>
      </c>
      <c r="Z6772">
        <v>-4.790527E-2</v>
      </c>
      <c r="AA6772">
        <v>0.98334599999999905</v>
      </c>
      <c r="AB6772">
        <v>16</v>
      </c>
      <c r="AC6772">
        <v>0.58440000000000203</v>
      </c>
      <c r="AD6772">
        <v>-0.19326069999999901</v>
      </c>
      <c r="AE6772">
        <v>-8.0500000000000599E-2</v>
      </c>
      <c r="AF6772">
        <v>0.125315878334293</v>
      </c>
      <c r="AG6772">
        <v>-0.19326069999999901</v>
      </c>
      <c r="AH6772">
        <v>0.51779285447774803</v>
      </c>
      <c r="AI6772">
        <v>109.939068676253</v>
      </c>
      <c r="AJ6772">
        <v>76.394919330080896</v>
      </c>
      <c r="AK6772">
        <v>0.56671263235911695</v>
      </c>
    </row>
    <row r="6773" spans="1:37" x14ac:dyDescent="0.2">
      <c r="A6773" t="str">
        <f>"20200111153602373"</f>
        <v>20200111153602373</v>
      </c>
      <c r="B6773" t="str">
        <f>"1578728162362698"</f>
        <v>1578728162362698</v>
      </c>
      <c r="C6773" t="s">
        <v>37</v>
      </c>
      <c r="D6773">
        <v>4.6929540000000003</v>
      </c>
      <c r="E6773">
        <v>0.57713009999999998</v>
      </c>
      <c r="F6773" t="s">
        <v>40</v>
      </c>
      <c r="G6773">
        <v>-113.1698</v>
      </c>
      <c r="H6773">
        <v>0.91753220000000002</v>
      </c>
      <c r="I6773">
        <v>137.42089999999999</v>
      </c>
      <c r="J6773">
        <v>-113.7413</v>
      </c>
      <c r="K6773">
        <v>1.1069260000000001</v>
      </c>
      <c r="L6773">
        <v>137.49979999999999</v>
      </c>
      <c r="M6773">
        <v>0.99455559999999998</v>
      </c>
      <c r="N6773">
        <v>0</v>
      </c>
      <c r="O6773">
        <v>0.1009229</v>
      </c>
      <c r="P6773">
        <v>0.99221059999999905</v>
      </c>
      <c r="Q6773">
        <v>1.1307899999999999E-2</v>
      </c>
      <c r="R6773">
        <v>0.1240588</v>
      </c>
      <c r="S6773">
        <v>3.063904</v>
      </c>
      <c r="T6773">
        <v>-0.79325690000000004</v>
      </c>
      <c r="U6773">
        <v>-0.25854490000000002</v>
      </c>
      <c r="V6773">
        <v>-2.3278400000000001E-2</v>
      </c>
      <c r="W6773">
        <v>3.723887E-2</v>
      </c>
      <c r="X6773">
        <v>0.99903519999999901</v>
      </c>
      <c r="Y6773">
        <v>0.17520189999999999</v>
      </c>
      <c r="Z6773">
        <v>-4.7938950000000001E-2</v>
      </c>
      <c r="AA6773">
        <v>0.98336469999999898</v>
      </c>
      <c r="AB6773">
        <v>16</v>
      </c>
      <c r="AC6773">
        <v>0.57150000000000001</v>
      </c>
      <c r="AD6773">
        <v>-0.1893938</v>
      </c>
      <c r="AE6773">
        <v>-7.8900000000004397E-2</v>
      </c>
      <c r="AF6773">
        <v>0.122944037905714</v>
      </c>
      <c r="AG6773">
        <v>-0.1893938</v>
      </c>
      <c r="AH6773">
        <v>0.506074736532936</v>
      </c>
      <c r="AI6773">
        <v>109.98446630363399</v>
      </c>
      <c r="AJ6773">
        <v>76.345285993570599</v>
      </c>
      <c r="AK6773">
        <v>0.55416323127024802</v>
      </c>
    </row>
    <row r="6774" spans="1:37" x14ac:dyDescent="0.2">
      <c r="A6774" t="str">
        <f>"20200111153602395"</f>
        <v>20200111153602395</v>
      </c>
      <c r="B6774" t="str">
        <f>"1578728162391977"</f>
        <v>1578728162391977</v>
      </c>
      <c r="C6774" t="s">
        <v>37</v>
      </c>
      <c r="D6774">
        <v>4.6723160000000004</v>
      </c>
      <c r="E6774">
        <v>0.57725470000000001</v>
      </c>
      <c r="F6774" t="s">
        <v>40</v>
      </c>
      <c r="G6774">
        <v>-113.0232</v>
      </c>
      <c r="H6774">
        <v>0.92166199999999998</v>
      </c>
      <c r="I6774">
        <v>137.43940000000001</v>
      </c>
      <c r="J6774">
        <v>-113.5806</v>
      </c>
      <c r="K6774">
        <v>1.106843</v>
      </c>
      <c r="L6774">
        <v>137.51679999999999</v>
      </c>
      <c r="M6774">
        <v>0.994507699999999</v>
      </c>
      <c r="N6774">
        <v>0</v>
      </c>
      <c r="O6774">
        <v>0.1014583</v>
      </c>
      <c r="P6774">
        <v>0.99213379999999995</v>
      </c>
      <c r="Q6774">
        <v>1.0962710000000001E-2</v>
      </c>
      <c r="R6774">
        <v>0.1247026</v>
      </c>
      <c r="S6774">
        <v>3.0647129999999998</v>
      </c>
      <c r="T6774">
        <v>-0.79076329999999995</v>
      </c>
      <c r="U6774">
        <v>-0.25703429999999999</v>
      </c>
      <c r="V6774">
        <v>-2.3389429999999999E-2</v>
      </c>
      <c r="W6774">
        <v>3.6642760000000003E-2</v>
      </c>
      <c r="X6774">
        <v>0.99905469999999896</v>
      </c>
      <c r="Y6774">
        <v>0.17526789999999901</v>
      </c>
      <c r="Z6774">
        <v>-4.7925330000000002E-2</v>
      </c>
      <c r="AA6774">
        <v>0.98335360000000005</v>
      </c>
      <c r="AB6774">
        <v>17</v>
      </c>
      <c r="AC6774">
        <v>0.55740000000000101</v>
      </c>
      <c r="AD6774">
        <v>-0.18518100000000001</v>
      </c>
      <c r="AE6774">
        <v>-7.7399999999982996E-2</v>
      </c>
      <c r="AF6774">
        <v>0.120521338452089</v>
      </c>
      <c r="AG6774">
        <v>-0.18518100000000001</v>
      </c>
      <c r="AH6774">
        <v>0.49325469187132898</v>
      </c>
      <c r="AI6774">
        <v>110.03681318460499</v>
      </c>
      <c r="AJ6774">
        <v>76.269434869641799</v>
      </c>
      <c r="AK6774">
        <v>0.54047903459464797</v>
      </c>
    </row>
    <row r="6775" spans="1:37" x14ac:dyDescent="0.2">
      <c r="A6775" t="str">
        <f>"20200111153602419"</f>
        <v>20200111153602419</v>
      </c>
      <c r="B6775" t="str">
        <f>"1578728162412473"</f>
        <v>1578728162412473</v>
      </c>
      <c r="C6775" t="s">
        <v>37</v>
      </c>
      <c r="D6775">
        <v>4.68065</v>
      </c>
      <c r="E6775">
        <v>0.57728590000000002</v>
      </c>
      <c r="F6775" t="s">
        <v>40</v>
      </c>
      <c r="G6775">
        <v>-112.8794</v>
      </c>
      <c r="H6775">
        <v>0.925979</v>
      </c>
      <c r="I6775">
        <v>137.4579</v>
      </c>
      <c r="J6775">
        <v>-113.4211</v>
      </c>
      <c r="K6775">
        <v>1.106838</v>
      </c>
      <c r="L6775">
        <v>137.53389999999999</v>
      </c>
      <c r="M6775">
        <v>0.99444869999999996</v>
      </c>
      <c r="N6775">
        <v>0</v>
      </c>
      <c r="O6775">
        <v>0.10200620000000001</v>
      </c>
      <c r="P6775">
        <v>0.99198399999999998</v>
      </c>
      <c r="Q6775">
        <v>9.8871640000000004E-3</v>
      </c>
      <c r="R6775">
        <v>0.12597619999999901</v>
      </c>
      <c r="S6775">
        <v>3.064819</v>
      </c>
      <c r="T6775">
        <v>-0.79060649999999999</v>
      </c>
      <c r="U6775">
        <v>-0.25704959999999999</v>
      </c>
      <c r="V6775">
        <v>-2.411628E-2</v>
      </c>
      <c r="W6775">
        <v>3.5683510000000002E-2</v>
      </c>
      <c r="X6775">
        <v>0.99907209999999902</v>
      </c>
      <c r="Y6775">
        <v>0.175781299999999</v>
      </c>
      <c r="Z6775">
        <v>-4.811824E-2</v>
      </c>
      <c r="AA6775">
        <v>0.98325249999999997</v>
      </c>
      <c r="AB6775">
        <v>16</v>
      </c>
      <c r="AC6775">
        <v>0.54169999999999097</v>
      </c>
      <c r="AD6775">
        <v>-0.18085899999999899</v>
      </c>
      <c r="AE6775">
        <v>-7.5999999999993406E-2</v>
      </c>
      <c r="AF6775">
        <v>0.11798088911259801</v>
      </c>
      <c r="AG6775">
        <v>-0.18085899999999899</v>
      </c>
      <c r="AH6775">
        <v>0.47877774588594002</v>
      </c>
      <c r="AI6775">
        <v>110.142004471177</v>
      </c>
      <c r="AJ6775">
        <v>76.156917817155403</v>
      </c>
      <c r="AK6775">
        <v>0.52522147522014095</v>
      </c>
    </row>
    <row r="6776" spans="1:37" x14ac:dyDescent="0.2">
      <c r="A6776" t="str">
        <f>"20200111153602441"</f>
        <v>20200111153602441</v>
      </c>
      <c r="B6776" t="str">
        <f>"1578728162431993"</f>
        <v>1578728162431993</v>
      </c>
      <c r="C6776" t="s">
        <v>37</v>
      </c>
      <c r="D6776">
        <v>4.6488690000000004</v>
      </c>
      <c r="E6776">
        <v>0.57726809999999995</v>
      </c>
      <c r="F6776" t="s">
        <v>40</v>
      </c>
      <c r="G6776">
        <v>-112.7383</v>
      </c>
      <c r="H6776">
        <v>0.93038319999999997</v>
      </c>
      <c r="I6776">
        <v>137.47710000000001</v>
      </c>
      <c r="J6776">
        <v>-113.2681</v>
      </c>
      <c r="K6776">
        <v>1.1067910000000001</v>
      </c>
      <c r="L6776">
        <v>137.55019999999999</v>
      </c>
      <c r="M6776">
        <v>0.99439109999999997</v>
      </c>
      <c r="N6776">
        <v>0</v>
      </c>
      <c r="O6776">
        <v>0.1025747</v>
      </c>
      <c r="P6776">
        <v>0.99186280000000004</v>
      </c>
      <c r="Q6776">
        <v>9.4083039999999993E-3</v>
      </c>
      <c r="R6776">
        <v>0.12696350000000001</v>
      </c>
      <c r="S6776">
        <v>3.064438</v>
      </c>
      <c r="T6776">
        <v>-0.7919427</v>
      </c>
      <c r="U6776">
        <v>-0.25431819999999999</v>
      </c>
      <c r="V6776">
        <v>-2.453642E-2</v>
      </c>
      <c r="W6776">
        <v>3.5168860000000003E-2</v>
      </c>
      <c r="X6776">
        <v>0.99908009999999903</v>
      </c>
      <c r="Y6776">
        <v>0.1754424</v>
      </c>
      <c r="Z6776">
        <v>-4.8305210000000001E-2</v>
      </c>
      <c r="AA6776">
        <v>0.98330390000000001</v>
      </c>
      <c r="AB6776">
        <v>16</v>
      </c>
      <c r="AC6776">
        <v>0.52980000000000804</v>
      </c>
      <c r="AD6776">
        <v>-0.1764078</v>
      </c>
      <c r="AE6776">
        <v>-7.3099999999982401E-2</v>
      </c>
      <c r="AF6776">
        <v>0.11460725454065999</v>
      </c>
      <c r="AG6776">
        <v>-0.1764078</v>
      </c>
      <c r="AH6776">
        <v>0.46852793019161498</v>
      </c>
      <c r="AI6776">
        <v>110.08909463126</v>
      </c>
      <c r="AJ6776">
        <v>76.2547076772629</v>
      </c>
      <c r="AK6776">
        <v>0.513588313792114</v>
      </c>
    </row>
    <row r="6777" spans="1:37" x14ac:dyDescent="0.2">
      <c r="A6777" t="str">
        <f>"20200111153602462"</f>
        <v>20200111153602462</v>
      </c>
      <c r="B6777" t="str">
        <f>"1578728162452490"</f>
        <v>1578728162452490</v>
      </c>
      <c r="C6777" t="s">
        <v>37</v>
      </c>
      <c r="D6777">
        <v>4.6217449999999998</v>
      </c>
      <c r="E6777">
        <v>0.57733559999999995</v>
      </c>
      <c r="F6777" t="s">
        <v>40</v>
      </c>
      <c r="G6777">
        <v>-112.4747</v>
      </c>
      <c r="H6777">
        <v>0.90173899999999996</v>
      </c>
      <c r="I6777">
        <v>137.48509999999999</v>
      </c>
      <c r="J6777">
        <v>-113.1186</v>
      </c>
      <c r="K6777">
        <v>1.1067670000000001</v>
      </c>
      <c r="L6777">
        <v>137.56630000000001</v>
      </c>
      <c r="M6777">
        <v>0.99433739999999904</v>
      </c>
      <c r="N6777">
        <v>0</v>
      </c>
      <c r="O6777">
        <v>0.1030996</v>
      </c>
      <c r="P6777">
        <v>0.99174759999999995</v>
      </c>
      <c r="Q6777">
        <v>9.1146509999999997E-3</v>
      </c>
      <c r="R6777">
        <v>0.12788239999999901</v>
      </c>
      <c r="S6777">
        <v>3.0643009999999999</v>
      </c>
      <c r="T6777">
        <v>-0.7920528</v>
      </c>
      <c r="U6777">
        <v>-0.25129699999999999</v>
      </c>
      <c r="V6777">
        <v>-2.493306E-2</v>
      </c>
      <c r="W6777">
        <v>3.4854330000000003E-2</v>
      </c>
      <c r="X6777">
        <v>0.99908129999999995</v>
      </c>
      <c r="Y6777">
        <v>0.1749954</v>
      </c>
      <c r="Z6777">
        <v>-4.839164E-2</v>
      </c>
      <c r="AA6777">
        <v>0.98337929999999996</v>
      </c>
      <c r="AB6777">
        <v>16</v>
      </c>
      <c r="AC6777">
        <v>0.64390000000000203</v>
      </c>
      <c r="AD6777">
        <v>-0.20502799999999999</v>
      </c>
      <c r="AE6777">
        <v>-8.1200000000023906E-2</v>
      </c>
      <c r="AF6777">
        <v>0.13381947827214299</v>
      </c>
      <c r="AG6777">
        <v>-0.20502799999999999</v>
      </c>
      <c r="AH6777">
        <v>0.57473271012788296</v>
      </c>
      <c r="AI6777">
        <v>109.15940172179801</v>
      </c>
      <c r="AJ6777">
        <v>76.892908679239397</v>
      </c>
      <c r="AK6777">
        <v>0.62470938974852097</v>
      </c>
    </row>
    <row r="6778" spans="1:37" x14ac:dyDescent="0.2">
      <c r="A6778" t="str">
        <f>"20200111153602485"</f>
        <v>20200111153602485</v>
      </c>
      <c r="B6778" t="str">
        <f>"1578728162482353"</f>
        <v>1578728162482353</v>
      </c>
      <c r="C6778" t="s">
        <v>37</v>
      </c>
      <c r="D6778">
        <v>4.6100890000000003</v>
      </c>
      <c r="E6778">
        <v>0.5774821</v>
      </c>
      <c r="F6778" t="s">
        <v>40</v>
      </c>
      <c r="G6778">
        <v>-112.33969999999999</v>
      </c>
      <c r="H6778">
        <v>0.9055569</v>
      </c>
      <c r="I6778">
        <v>137.50299999999999</v>
      </c>
      <c r="J6778">
        <v>-112.9704</v>
      </c>
      <c r="K6778">
        <v>1.1067309999999999</v>
      </c>
      <c r="L6778">
        <v>137.5823</v>
      </c>
      <c r="M6778">
        <v>0.99429239999999997</v>
      </c>
      <c r="N6778">
        <v>0</v>
      </c>
      <c r="O6778">
        <v>0.10356789999999901</v>
      </c>
      <c r="P6778">
        <v>0.99168780000000001</v>
      </c>
      <c r="Q6778">
        <v>8.4958880000000001E-3</v>
      </c>
      <c r="R6778">
        <v>0.1283868</v>
      </c>
      <c r="S6778">
        <v>3.0643009999999999</v>
      </c>
      <c r="T6778">
        <v>-0.79163359999999905</v>
      </c>
      <c r="U6778">
        <v>-0.24865719999999999</v>
      </c>
      <c r="V6778">
        <v>-2.496992E-2</v>
      </c>
      <c r="W6778">
        <v>3.4094230000000003E-2</v>
      </c>
      <c r="X6778">
        <v>0.99910659999999896</v>
      </c>
      <c r="Y6778">
        <v>0.1746221</v>
      </c>
      <c r="Z6778">
        <v>-4.8439339999999997E-2</v>
      </c>
      <c r="AA6778">
        <v>0.98344330000000002</v>
      </c>
      <c r="AB6778">
        <v>15</v>
      </c>
      <c r="AC6778">
        <v>0.63070000000000404</v>
      </c>
      <c r="AD6778">
        <v>-0.201174099999999</v>
      </c>
      <c r="AE6778">
        <v>-7.9300000000017606E-2</v>
      </c>
      <c r="AF6778">
        <v>0.13108568919917499</v>
      </c>
      <c r="AG6778">
        <v>-0.201174099999999</v>
      </c>
      <c r="AH6778">
        <v>0.56272859588651603</v>
      </c>
      <c r="AI6778">
        <v>109.196872092924</v>
      </c>
      <c r="AJ6778">
        <v>76.886995890256202</v>
      </c>
      <c r="AK6778">
        <v>0.61181528997896295</v>
      </c>
    </row>
    <row r="6779" spans="1:37" x14ac:dyDescent="0.2">
      <c r="A6779" t="str">
        <f>"20200111153602507"</f>
        <v>20200111153602507</v>
      </c>
      <c r="B6779" t="str">
        <f>"1578728162501876"</f>
        <v>1578728162501876</v>
      </c>
      <c r="C6779" t="s">
        <v>37</v>
      </c>
      <c r="D6779">
        <v>4.5747049999999998</v>
      </c>
      <c r="E6779">
        <v>0.5776019</v>
      </c>
      <c r="F6779" t="s">
        <v>40</v>
      </c>
      <c r="G6779">
        <v>-112.2059</v>
      </c>
      <c r="H6779">
        <v>0.90922069999999999</v>
      </c>
      <c r="I6779">
        <v>137.52029999999999</v>
      </c>
      <c r="J6779">
        <v>-112.8215</v>
      </c>
      <c r="K6779">
        <v>1.1066469999999999</v>
      </c>
      <c r="L6779">
        <v>137.5984</v>
      </c>
      <c r="M6779">
        <v>0.99425450000000004</v>
      </c>
      <c r="N6779">
        <v>0</v>
      </c>
      <c r="O6779">
        <v>0.1040186</v>
      </c>
      <c r="P6779">
        <v>0.99163119999999905</v>
      </c>
      <c r="Q6779">
        <v>8.246738E-3</v>
      </c>
      <c r="R6779">
        <v>0.12883939999999999</v>
      </c>
      <c r="S6779">
        <v>3.064041</v>
      </c>
      <c r="T6779">
        <v>-0.79166939999999997</v>
      </c>
      <c r="U6779">
        <v>-0.24806210000000001</v>
      </c>
      <c r="V6779">
        <v>-2.4972339999999999E-2</v>
      </c>
      <c r="W6779">
        <v>3.3488990000000003E-2</v>
      </c>
      <c r="X6779">
        <v>0.99912699999999999</v>
      </c>
      <c r="Y6779">
        <v>0.17485880000000001</v>
      </c>
      <c r="Z6779">
        <v>-4.8589710000000001E-2</v>
      </c>
      <c r="AA6779">
        <v>0.98339379999999998</v>
      </c>
      <c r="AB6779">
        <v>15</v>
      </c>
      <c r="AC6779">
        <v>0.61560000000000004</v>
      </c>
      <c r="AD6779">
        <v>-0.197426299999999</v>
      </c>
      <c r="AE6779">
        <v>-7.8100000000006206E-2</v>
      </c>
      <c r="AF6779">
        <v>0.12870270849437801</v>
      </c>
      <c r="AG6779">
        <v>-0.197426299999999</v>
      </c>
      <c r="AH6779">
        <v>0.548601077072293</v>
      </c>
      <c r="AI6779">
        <v>109.308411279429</v>
      </c>
      <c r="AJ6779">
        <v>76.797080950030605</v>
      </c>
      <c r="AK6779">
        <v>0.597080122655544</v>
      </c>
    </row>
    <row r="6780" spans="1:37" x14ac:dyDescent="0.2">
      <c r="A6780" t="str">
        <f>"20200111153602530"</f>
        <v>20200111153602530</v>
      </c>
      <c r="B6780" t="str">
        <f>"1578728162522369"</f>
        <v>1578728162522369</v>
      </c>
      <c r="C6780" t="s">
        <v>37</v>
      </c>
      <c r="D6780">
        <v>4.5928620000000002</v>
      </c>
      <c r="E6780">
        <v>0.57764859999999996</v>
      </c>
      <c r="F6780" t="s">
        <v>40</v>
      </c>
      <c r="G6780">
        <v>-112.0731</v>
      </c>
      <c r="H6780">
        <v>0.91337590000000002</v>
      </c>
      <c r="I6780">
        <v>137.53799999999899</v>
      </c>
      <c r="J6780">
        <v>-112.6758</v>
      </c>
      <c r="K6780">
        <v>1.106555</v>
      </c>
      <c r="L6780">
        <v>137.61420000000001</v>
      </c>
      <c r="M6780">
        <v>0.99421819999999905</v>
      </c>
      <c r="N6780">
        <v>0</v>
      </c>
      <c r="O6780">
        <v>0.1044663</v>
      </c>
      <c r="P6780">
        <v>0.99163029999999996</v>
      </c>
      <c r="Q6780">
        <v>8.1677669999999994E-3</v>
      </c>
      <c r="R6780">
        <v>0.12885269999999999</v>
      </c>
      <c r="S6780">
        <v>3.0640259999999899</v>
      </c>
      <c r="T6780">
        <v>-0.79130299999999998</v>
      </c>
      <c r="U6780">
        <v>-0.24726869999999901</v>
      </c>
      <c r="V6780">
        <v>-2.4535870000000001E-2</v>
      </c>
      <c r="W6780">
        <v>3.2990020000000002E-2</v>
      </c>
      <c r="X6780">
        <v>0.9991544</v>
      </c>
      <c r="Y6780">
        <v>0.17503540000000001</v>
      </c>
      <c r="Z6780">
        <v>-4.8704049999999999E-2</v>
      </c>
      <c r="AA6780">
        <v>0.98335680000000003</v>
      </c>
      <c r="AB6780">
        <v>15</v>
      </c>
      <c r="AC6780">
        <v>0.60269999999999802</v>
      </c>
      <c r="AD6780">
        <v>-0.19317909999999899</v>
      </c>
      <c r="AE6780">
        <v>-7.6200000000028398E-2</v>
      </c>
      <c r="AF6780">
        <v>0.12602102032412499</v>
      </c>
      <c r="AG6780">
        <v>-0.19317909999999899</v>
      </c>
      <c r="AH6780">
        <v>0.53712424714961804</v>
      </c>
      <c r="AI6780">
        <v>109.297507796918</v>
      </c>
      <c r="AJ6780">
        <v>76.795989521542495</v>
      </c>
      <c r="AK6780">
        <v>0.58455275135473295</v>
      </c>
    </row>
    <row r="6781" spans="1:37" x14ac:dyDescent="0.2">
      <c r="A6781" t="str">
        <f>"20200111153602552"</f>
        <v>20200111153602552</v>
      </c>
      <c r="B6781" t="str">
        <f>"1578728162541890"</f>
        <v>1578728162541890</v>
      </c>
      <c r="C6781" t="s">
        <v>37</v>
      </c>
      <c r="D6781">
        <v>4.5796589999999897</v>
      </c>
      <c r="E6781">
        <v>0.57771169999999905</v>
      </c>
      <c r="F6781" t="s">
        <v>40</v>
      </c>
      <c r="G6781">
        <v>-111.94199999999999</v>
      </c>
      <c r="H6781">
        <v>0.91707780000000005</v>
      </c>
      <c r="I6781">
        <v>137.55500000000001</v>
      </c>
      <c r="J6781">
        <v>-112.5326</v>
      </c>
      <c r="K6781">
        <v>1.1064940000000001</v>
      </c>
      <c r="L6781">
        <v>137.62979999999999</v>
      </c>
      <c r="M6781">
        <v>0.99417889999999998</v>
      </c>
      <c r="N6781">
        <v>0</v>
      </c>
      <c r="O6781">
        <v>0.1049163</v>
      </c>
      <c r="P6781">
        <v>0.99169859999999899</v>
      </c>
      <c r="Q6781">
        <v>8.5331560000000001E-3</v>
      </c>
      <c r="R6781">
        <v>0.1283012</v>
      </c>
      <c r="S6781">
        <v>3.0639500000000002</v>
      </c>
      <c r="T6781">
        <v>-0.79118959999999905</v>
      </c>
      <c r="U6781">
        <v>-0.24719240000000001</v>
      </c>
      <c r="V6781">
        <v>-2.3526729999999999E-2</v>
      </c>
      <c r="W6781">
        <v>3.3029580000000003E-2</v>
      </c>
      <c r="X6781">
        <v>0.99917749999999905</v>
      </c>
      <c r="Y6781">
        <v>0.1754317</v>
      </c>
      <c r="Z6781">
        <v>-4.8862500000000003E-2</v>
      </c>
      <c r="AA6781">
        <v>0.98327830000000005</v>
      </c>
      <c r="AB6781">
        <v>15</v>
      </c>
      <c r="AC6781">
        <v>0.59059999999999402</v>
      </c>
      <c r="AD6781">
        <v>-0.18941620000000001</v>
      </c>
      <c r="AE6781">
        <v>-7.4799999999981895E-2</v>
      </c>
      <c r="AF6781">
        <v>0.123832753209476</v>
      </c>
      <c r="AG6781">
        <v>-0.18941620000000001</v>
      </c>
      <c r="AH6781">
        <v>0.52621625025469798</v>
      </c>
      <c r="AI6781">
        <v>109.309827229245</v>
      </c>
      <c r="AJ6781">
        <v>76.757709181460697</v>
      </c>
      <c r="AK6781">
        <v>0.57281462064265998</v>
      </c>
    </row>
    <row r="6782" spans="1:37" x14ac:dyDescent="0.2">
      <c r="A6782" t="str">
        <f>"20200111153602575"</f>
        <v>20200111153602575</v>
      </c>
      <c r="B6782" t="str">
        <f>"1578728162562402"</f>
        <v>1578728162562402</v>
      </c>
      <c r="C6782" t="s">
        <v>37</v>
      </c>
      <c r="D6782">
        <v>4.5361419999999999</v>
      </c>
      <c r="E6782">
        <v>0.57775959999999904</v>
      </c>
      <c r="F6782" t="s">
        <v>40</v>
      </c>
      <c r="G6782">
        <v>-111.8126</v>
      </c>
      <c r="H6782">
        <v>0.92098670000000005</v>
      </c>
      <c r="I6782">
        <v>137.5712</v>
      </c>
      <c r="J6782">
        <v>-112.3908</v>
      </c>
      <c r="K6782">
        <v>1.1064590000000001</v>
      </c>
      <c r="L6782">
        <v>137.64529999999999</v>
      </c>
      <c r="M6782">
        <v>0.99413759999999995</v>
      </c>
      <c r="N6782">
        <v>0</v>
      </c>
      <c r="O6782">
        <v>0.10536230000000001</v>
      </c>
      <c r="P6782">
        <v>0.99175749999999996</v>
      </c>
      <c r="Q6782">
        <v>8.0530619999999997E-3</v>
      </c>
      <c r="R6782">
        <v>0.12787689999999999</v>
      </c>
      <c r="S6782">
        <v>3.064133</v>
      </c>
      <c r="T6782">
        <v>-0.78945679999999996</v>
      </c>
      <c r="U6782">
        <v>-0.24899289999999999</v>
      </c>
      <c r="V6782">
        <v>-2.264965E-2</v>
      </c>
      <c r="W6782">
        <v>3.2316600000000001E-2</v>
      </c>
      <c r="X6782">
        <v>0.99922099999999903</v>
      </c>
      <c r="Y6782">
        <v>0.17643499999999901</v>
      </c>
      <c r="Z6782">
        <v>-4.8994650000000001E-2</v>
      </c>
      <c r="AA6782">
        <v>0.98309219999999897</v>
      </c>
      <c r="AB6782">
        <v>15</v>
      </c>
      <c r="AC6782">
        <v>0.57819999999999505</v>
      </c>
      <c r="AD6782">
        <v>-0.18547230000000001</v>
      </c>
      <c r="AE6782">
        <v>-7.4099999999987107E-2</v>
      </c>
      <c r="AF6782">
        <v>0.122249883682887</v>
      </c>
      <c r="AG6782">
        <v>-0.18547230000000001</v>
      </c>
      <c r="AH6782">
        <v>0.51503137260307996</v>
      </c>
      <c r="AI6782">
        <v>109.309599330423</v>
      </c>
      <c r="AJ6782">
        <v>76.647160371791799</v>
      </c>
      <c r="AK6782">
        <v>0.56089421720426202</v>
      </c>
    </row>
    <row r="6783" spans="1:37" x14ac:dyDescent="0.2">
      <c r="A6783" t="str">
        <f>"20200111153602609"</f>
        <v>20200111153602609</v>
      </c>
      <c r="B6783" t="str">
        <f>"1578728162602416"</f>
        <v>1578728162602416</v>
      </c>
      <c r="C6783" t="s">
        <v>37</v>
      </c>
      <c r="D6783">
        <v>4.5472029999999997</v>
      </c>
      <c r="E6783">
        <v>0.57771430000000001</v>
      </c>
      <c r="F6783" t="s">
        <v>40</v>
      </c>
      <c r="G6783">
        <v>-111.685</v>
      </c>
      <c r="H6783">
        <v>0.92454269999999905</v>
      </c>
      <c r="I6783">
        <v>137.5874</v>
      </c>
      <c r="J6783">
        <v>-112.1803</v>
      </c>
      <c r="K6783">
        <v>1.1064350000000001</v>
      </c>
      <c r="L6783">
        <v>137.66849999999999</v>
      </c>
      <c r="M6783">
        <v>0.99407769999999995</v>
      </c>
      <c r="N6783">
        <v>0</v>
      </c>
      <c r="O6783">
        <v>0.1060058</v>
      </c>
      <c r="P6783">
        <v>0.99178140000000004</v>
      </c>
      <c r="Q6783">
        <v>7.43628E-3</v>
      </c>
      <c r="R6783">
        <v>0.1277295</v>
      </c>
      <c r="S6783">
        <v>3.0636899999999998</v>
      </c>
      <c r="T6783">
        <v>-0.7896744</v>
      </c>
      <c r="U6783">
        <v>-0.2509613</v>
      </c>
      <c r="V6783">
        <v>-2.185366E-2</v>
      </c>
      <c r="W6783">
        <v>3.1346730000000003E-2</v>
      </c>
      <c r="X6783">
        <v>0.99926959999999998</v>
      </c>
      <c r="Y6783">
        <v>0.17764179999999999</v>
      </c>
      <c r="Z6783">
        <v>-4.9328759999999999E-2</v>
      </c>
      <c r="AA6783">
        <v>0.98285809999999996</v>
      </c>
      <c r="AB6783">
        <v>14</v>
      </c>
      <c r="AC6783">
        <v>0.49530000000000002</v>
      </c>
      <c r="AD6783">
        <v>-0.18189230000000001</v>
      </c>
      <c r="AE6783">
        <v>-8.1099999999992095E-2</v>
      </c>
      <c r="AF6783">
        <v>0.117703182186356</v>
      </c>
      <c r="AG6783">
        <v>-0.18189230000000001</v>
      </c>
      <c r="AH6783">
        <v>0.42772950784848901</v>
      </c>
      <c r="AI6783">
        <v>112.29412281799701</v>
      </c>
      <c r="AJ6783">
        <v>74.614089302379199</v>
      </c>
      <c r="AK6783">
        <v>0.47946989455063299</v>
      </c>
    </row>
    <row r="6784" spans="1:37" x14ac:dyDescent="0.2">
      <c r="A6784" t="str">
        <f>"20200111153602630"</f>
        <v>20200111153602630</v>
      </c>
      <c r="B6784" t="str">
        <f>"1578728162622912"</f>
        <v>1578728162622912</v>
      </c>
      <c r="C6784" t="s">
        <v>37</v>
      </c>
      <c r="D6784">
        <v>4.5110519999999896</v>
      </c>
      <c r="E6784">
        <v>0.57771380000000006</v>
      </c>
      <c r="F6784" t="s">
        <v>40</v>
      </c>
      <c r="G6784">
        <v>-111.43980000000001</v>
      </c>
      <c r="H6784">
        <v>0.91537000000000002</v>
      </c>
      <c r="I6784">
        <v>137.60769999999999</v>
      </c>
      <c r="J6784">
        <v>-112.0442</v>
      </c>
      <c r="K6784">
        <v>1.10642</v>
      </c>
      <c r="L6784">
        <v>137.68350000000001</v>
      </c>
      <c r="M6784">
        <v>0.99404020000000004</v>
      </c>
      <c r="N6784">
        <v>0</v>
      </c>
      <c r="O6784">
        <v>0.1064137</v>
      </c>
      <c r="P6784">
        <v>0.99177879999999996</v>
      </c>
      <c r="Q6784">
        <v>6.9682880000000004E-3</v>
      </c>
      <c r="R6784">
        <v>0.12777439999999901</v>
      </c>
      <c r="S6784">
        <v>3.0630950000000001</v>
      </c>
      <c r="T6784">
        <v>-0.79048660000000004</v>
      </c>
      <c r="U6784">
        <v>-0.2507935</v>
      </c>
      <c r="V6784">
        <v>-2.1489149999999999E-2</v>
      </c>
      <c r="W6784">
        <v>3.062515E-2</v>
      </c>
      <c r="X6784">
        <v>0.99929990000000002</v>
      </c>
      <c r="Y6784">
        <v>0.17796029999999999</v>
      </c>
      <c r="Z6784">
        <v>-4.9530650000000002E-2</v>
      </c>
      <c r="AA6784">
        <v>0.98279039999999995</v>
      </c>
      <c r="AB6784">
        <v>14</v>
      </c>
      <c r="AC6784">
        <v>0.60439999999999805</v>
      </c>
      <c r="AD6784">
        <v>-0.19105</v>
      </c>
      <c r="AE6784">
        <v>-7.5800000000015105E-2</v>
      </c>
      <c r="AF6784">
        <v>0.12719182534679399</v>
      </c>
      <c r="AG6784">
        <v>-0.19105</v>
      </c>
      <c r="AH6784">
        <v>0.53979737564656805</v>
      </c>
      <c r="AI6784">
        <v>109.00857040112901</v>
      </c>
      <c r="AJ6784">
        <v>76.741309745160194</v>
      </c>
      <c r="AK6784">
        <v>0.58656548627580496</v>
      </c>
    </row>
    <row r="6785" spans="1:37" x14ac:dyDescent="0.2">
      <c r="A6785" t="str">
        <f>"20200111153602653"</f>
        <v>20200111153602653</v>
      </c>
      <c r="B6785" t="str">
        <f>"1578728162642432"</f>
        <v>1578728162642432</v>
      </c>
      <c r="C6785" t="s">
        <v>37</v>
      </c>
      <c r="D6785">
        <v>4.5184509999999998</v>
      </c>
      <c r="E6785">
        <v>0.57771209999999995</v>
      </c>
      <c r="F6785" t="s">
        <v>40</v>
      </c>
      <c r="G6785">
        <v>-111.3169</v>
      </c>
      <c r="H6785">
        <v>0.91856610000000005</v>
      </c>
      <c r="I6785">
        <v>137.62389999999999</v>
      </c>
      <c r="J6785">
        <v>-111.91030000000001</v>
      </c>
      <c r="K6785">
        <v>1.1064069999999999</v>
      </c>
      <c r="L6785">
        <v>137.69829999999999</v>
      </c>
      <c r="M6785">
        <v>0.99400219999999995</v>
      </c>
      <c r="N6785">
        <v>0</v>
      </c>
      <c r="O6785">
        <v>0.1068183</v>
      </c>
      <c r="P6785">
        <v>0.99176229999999999</v>
      </c>
      <c r="Q6785">
        <v>6.6853469999999899E-3</v>
      </c>
      <c r="R6785">
        <v>0.127918</v>
      </c>
      <c r="S6785">
        <v>3.062729</v>
      </c>
      <c r="T6785">
        <v>-0.79109010000000002</v>
      </c>
      <c r="U6785">
        <v>-0.25073240000000002</v>
      </c>
      <c r="V6785">
        <v>-2.1226930000000001E-2</v>
      </c>
      <c r="W6785">
        <v>3.011374E-2</v>
      </c>
      <c r="X6785">
        <v>0.99932099999999902</v>
      </c>
      <c r="Y6785">
        <v>0.178309</v>
      </c>
      <c r="Z6785">
        <v>-4.9719560000000003E-2</v>
      </c>
      <c r="AA6785">
        <v>0.98271759999999997</v>
      </c>
      <c r="AB6785">
        <v>14</v>
      </c>
      <c r="AC6785">
        <v>0.59340000000000204</v>
      </c>
      <c r="AD6785">
        <v>-0.18784089999999901</v>
      </c>
      <c r="AE6785">
        <v>-7.4399999999997093E-2</v>
      </c>
      <c r="AF6785">
        <v>0.125041722561545</v>
      </c>
      <c r="AG6785">
        <v>-0.18784089999999901</v>
      </c>
      <c r="AH6785">
        <v>0.52978824301803895</v>
      </c>
      <c r="AI6785">
        <v>109.038386895972</v>
      </c>
      <c r="AJ6785">
        <v>76.719965408670305</v>
      </c>
      <c r="AK6785">
        <v>0.57584305026118798</v>
      </c>
    </row>
    <row r="6786" spans="1:37" x14ac:dyDescent="0.2">
      <c r="A6786" t="str">
        <f>"20200111153602675"</f>
        <v>20200111153602675</v>
      </c>
      <c r="B6786" t="str">
        <f>"1578728162662668"</f>
        <v>1578728162662668</v>
      </c>
      <c r="C6786" t="s">
        <v>37</v>
      </c>
      <c r="D6786">
        <v>4.5189909999999998</v>
      </c>
      <c r="E6786">
        <v>0.5777158</v>
      </c>
      <c r="F6786" t="s">
        <v>40</v>
      </c>
      <c r="G6786">
        <v>-111.19540000000001</v>
      </c>
      <c r="H6786">
        <v>0.92185890000000004</v>
      </c>
      <c r="I6786">
        <v>137.6397</v>
      </c>
      <c r="J6786">
        <v>-111.7792</v>
      </c>
      <c r="K6786">
        <v>1.1064069999999999</v>
      </c>
      <c r="L6786">
        <v>137.71289999999999</v>
      </c>
      <c r="M6786">
        <v>0.99396319999999905</v>
      </c>
      <c r="N6786">
        <v>0</v>
      </c>
      <c r="O6786">
        <v>0.107221699999999</v>
      </c>
      <c r="P6786">
        <v>0.99171769999999904</v>
      </c>
      <c r="Q6786">
        <v>6.1708249999999996E-3</v>
      </c>
      <c r="R6786">
        <v>0.12828879999999901</v>
      </c>
      <c r="S6786">
        <v>3.0625610000000001</v>
      </c>
      <c r="T6786">
        <v>-0.79067779999999999</v>
      </c>
      <c r="U6786">
        <v>-0.25054929999999997</v>
      </c>
      <c r="V6786">
        <v>-2.1194959999999999E-2</v>
      </c>
      <c r="W6786">
        <v>2.9413580000000002E-2</v>
      </c>
      <c r="X6786">
        <v>0.99934259999999997</v>
      </c>
      <c r="Y6786">
        <v>0.17863779999999899</v>
      </c>
      <c r="Z6786">
        <v>-4.9840889999999999E-2</v>
      </c>
      <c r="AA6786">
        <v>0.98265170000000002</v>
      </c>
      <c r="AB6786">
        <v>14</v>
      </c>
      <c r="AC6786">
        <v>0.58379999999999599</v>
      </c>
      <c r="AD6786">
        <v>-0.18454809999999899</v>
      </c>
      <c r="AE6786">
        <v>-7.3199999999985693E-2</v>
      </c>
      <c r="AF6786">
        <v>0.123263783488474</v>
      </c>
      <c r="AG6786">
        <v>-0.18454809999999899</v>
      </c>
      <c r="AH6786">
        <v>0.52129570153177796</v>
      </c>
      <c r="AI6786">
        <v>109.009740015395</v>
      </c>
      <c r="AJ6786">
        <v>76.696387854804897</v>
      </c>
      <c r="AK6786">
        <v>0.56656965147191896</v>
      </c>
    </row>
    <row r="6787" spans="1:37" x14ac:dyDescent="0.2">
      <c r="A6787" t="str">
        <f>"20200111153602697"</f>
        <v>20200111153602697</v>
      </c>
      <c r="B6787" t="str">
        <f>"1578728162692927"</f>
        <v>1578728162692927</v>
      </c>
      <c r="C6787" t="s">
        <v>37</v>
      </c>
      <c r="D6787">
        <v>4.4967680000000003</v>
      </c>
      <c r="E6787">
        <v>0.57769399999999904</v>
      </c>
      <c r="F6787" t="s">
        <v>40</v>
      </c>
      <c r="G6787">
        <v>-111.0758</v>
      </c>
      <c r="H6787">
        <v>0.92463819999999997</v>
      </c>
      <c r="I6787">
        <v>137.65559999999999</v>
      </c>
      <c r="J6787">
        <v>-111.6461</v>
      </c>
      <c r="K6787">
        <v>1.1064039999999999</v>
      </c>
      <c r="L6787">
        <v>137.7278</v>
      </c>
      <c r="M6787">
        <v>0.99392209999999903</v>
      </c>
      <c r="N6787">
        <v>0</v>
      </c>
      <c r="O6787">
        <v>0.1076375</v>
      </c>
      <c r="P6787">
        <v>0.99169609999999997</v>
      </c>
      <c r="Q6787">
        <v>6.5711469999999899E-3</v>
      </c>
      <c r="R6787">
        <v>0.1284362</v>
      </c>
      <c r="S6787">
        <v>3.062195</v>
      </c>
      <c r="T6787">
        <v>-0.79133799999999999</v>
      </c>
      <c r="U6787">
        <v>-0.24906919999999999</v>
      </c>
      <c r="V6787">
        <v>-2.092606E-2</v>
      </c>
      <c r="W6787">
        <v>2.965141E-2</v>
      </c>
      <c r="X6787">
        <v>0.99934120000000004</v>
      </c>
      <c r="Y6787">
        <v>0.178557299999999</v>
      </c>
      <c r="Z6787">
        <v>-4.9982730000000003E-2</v>
      </c>
      <c r="AA6787">
        <v>0.98265919999999896</v>
      </c>
      <c r="AB6787">
        <v>14</v>
      </c>
      <c r="AC6787">
        <v>0.57030000000000303</v>
      </c>
      <c r="AD6787">
        <v>-0.18176580000000001</v>
      </c>
      <c r="AE6787">
        <v>-7.2200000000009298E-2</v>
      </c>
      <c r="AF6787">
        <v>0.121077083279703</v>
      </c>
      <c r="AG6787">
        <v>-0.18176580000000001</v>
      </c>
      <c r="AH6787">
        <v>0.50838335547615698</v>
      </c>
      <c r="AI6787">
        <v>109.178131994197</v>
      </c>
      <c r="AJ6787">
        <v>76.603937096895706</v>
      </c>
      <c r="AK6787">
        <v>0.55331013208720203</v>
      </c>
    </row>
    <row r="6788" spans="1:37" x14ac:dyDescent="0.2">
      <c r="A6788" t="str">
        <f>"20200111153602720"</f>
        <v>20200111153602720</v>
      </c>
      <c r="B6788" t="str">
        <f>"1578728162712443"</f>
        <v>1578728162712443</v>
      </c>
      <c r="C6788" t="s">
        <v>37</v>
      </c>
      <c r="D6788">
        <v>4.4959169999999897</v>
      </c>
      <c r="E6788">
        <v>0.57769950000000003</v>
      </c>
      <c r="F6788" t="s">
        <v>40</v>
      </c>
      <c r="G6788">
        <v>-110.9569</v>
      </c>
      <c r="H6788">
        <v>0.92905700000000002</v>
      </c>
      <c r="I6788">
        <v>137.67169999999999</v>
      </c>
      <c r="J6788">
        <v>-111.5166</v>
      </c>
      <c r="K6788">
        <v>1.1064020000000001</v>
      </c>
      <c r="L6788">
        <v>137.7423</v>
      </c>
      <c r="M6788">
        <v>0.99388120000000002</v>
      </c>
      <c r="N6788">
        <v>0</v>
      </c>
      <c r="O6788">
        <v>0.1080443</v>
      </c>
      <c r="P6788">
        <v>0.99165029999999998</v>
      </c>
      <c r="Q6788">
        <v>6.0717109999999996E-3</v>
      </c>
      <c r="R6788">
        <v>0.1288144</v>
      </c>
      <c r="S6788">
        <v>3.0625</v>
      </c>
      <c r="T6788">
        <v>-0.78822859999999995</v>
      </c>
      <c r="U6788">
        <v>-0.24836729999999901</v>
      </c>
      <c r="V6788">
        <v>-2.0897860000000001E-2</v>
      </c>
      <c r="W6788">
        <v>2.900844E-2</v>
      </c>
      <c r="X6788">
        <v>0.99936069999999999</v>
      </c>
      <c r="Y6788">
        <v>0.17878060000000001</v>
      </c>
      <c r="Z6788">
        <v>-4.9918869999999997E-2</v>
      </c>
      <c r="AA6788">
        <v>0.98262179999999999</v>
      </c>
      <c r="AB6788">
        <v>13</v>
      </c>
      <c r="AC6788">
        <v>0.55969999999999198</v>
      </c>
      <c r="AD6788">
        <v>-0.177345</v>
      </c>
      <c r="AE6788">
        <v>-7.0600000000013097E-2</v>
      </c>
      <c r="AF6788">
        <v>0.11892220206194699</v>
      </c>
      <c r="AG6788">
        <v>-0.177345</v>
      </c>
      <c r="AH6788">
        <v>0.49943471454042099</v>
      </c>
      <c r="AI6788">
        <v>109.056639805689</v>
      </c>
      <c r="AJ6788">
        <v>76.606506173785704</v>
      </c>
      <c r="AK6788">
        <v>0.54316551184361295</v>
      </c>
    </row>
    <row r="6789" spans="1:37" x14ac:dyDescent="0.2">
      <c r="A6789" t="str">
        <f>"20200111153602742"</f>
        <v>20200111153602742</v>
      </c>
      <c r="B6789" t="str">
        <f>"1578728162732939"</f>
        <v>1578728162732939</v>
      </c>
      <c r="C6789" t="s">
        <v>37</v>
      </c>
      <c r="D6789">
        <v>4.4623460000000001</v>
      </c>
      <c r="E6789">
        <v>0.57772309999999905</v>
      </c>
      <c r="F6789" t="s">
        <v>40</v>
      </c>
      <c r="G6789">
        <v>-110.735</v>
      </c>
      <c r="H6789">
        <v>0.90512190000000003</v>
      </c>
      <c r="I6789">
        <v>137.6789</v>
      </c>
      <c r="J6789">
        <v>-111.3899</v>
      </c>
      <c r="K6789">
        <v>1.1064259999999999</v>
      </c>
      <c r="L6789">
        <v>137.75649999999999</v>
      </c>
      <c r="M6789">
        <v>0.99383849999999996</v>
      </c>
      <c r="N6789">
        <v>0</v>
      </c>
      <c r="O6789">
        <v>0.1084374</v>
      </c>
      <c r="P6789">
        <v>0.99161669999999902</v>
      </c>
      <c r="Q6789">
        <v>6.07961E-3</v>
      </c>
      <c r="R6789">
        <v>0.12907160000000001</v>
      </c>
      <c r="S6789">
        <v>3.062271</v>
      </c>
      <c r="T6789">
        <v>-0.78871899999999995</v>
      </c>
      <c r="U6789">
        <v>-0.24780269999999999</v>
      </c>
      <c r="V6789">
        <v>-2.076157E-2</v>
      </c>
      <c r="W6789">
        <v>2.9014160000000001E-2</v>
      </c>
      <c r="X6789">
        <v>0.99936340000000001</v>
      </c>
      <c r="Y6789">
        <v>0.1789635</v>
      </c>
      <c r="Z6789">
        <v>-5.007524E-2</v>
      </c>
      <c r="AA6789">
        <v>0.98258049999999997</v>
      </c>
      <c r="AB6789">
        <v>13</v>
      </c>
      <c r="AC6789">
        <v>0.65489999999999704</v>
      </c>
      <c r="AD6789">
        <v>-0.20130410000000001</v>
      </c>
      <c r="AE6789">
        <v>-7.7599999999989594E-2</v>
      </c>
      <c r="AF6789">
        <v>0.135546919444337</v>
      </c>
      <c r="AG6789">
        <v>-0.20130410000000001</v>
      </c>
      <c r="AH6789">
        <v>0.587846551513869</v>
      </c>
      <c r="AI6789">
        <v>108.453204124168</v>
      </c>
      <c r="AJ6789">
        <v>77.015560805281794</v>
      </c>
      <c r="AK6789">
        <v>0.63597160013196197</v>
      </c>
    </row>
    <row r="6790" spans="1:37" x14ac:dyDescent="0.2">
      <c r="A6790" t="str">
        <f>"20200111153602764"</f>
        <v>20200111153602764</v>
      </c>
      <c r="B6790" t="str">
        <f>"1578728162752460"</f>
        <v>1578728162752460</v>
      </c>
      <c r="C6790" t="s">
        <v>37</v>
      </c>
      <c r="D6790">
        <v>4.4809169999999998</v>
      </c>
      <c r="E6790">
        <v>0.5775382</v>
      </c>
      <c r="F6790" t="s">
        <v>40</v>
      </c>
      <c r="G6790">
        <v>-110.62050000000001</v>
      </c>
      <c r="H6790">
        <v>0.91624559999999999</v>
      </c>
      <c r="I6790">
        <v>137.69450000000001</v>
      </c>
      <c r="J6790">
        <v>-111.2693</v>
      </c>
      <c r="K6790">
        <v>1.1066510000000001</v>
      </c>
      <c r="L6790">
        <v>137.77019999999999</v>
      </c>
      <c r="M6790">
        <v>0.99378109999999997</v>
      </c>
      <c r="N6790">
        <v>0</v>
      </c>
      <c r="O6790">
        <v>0.108780999999999</v>
      </c>
      <c r="P6790">
        <v>0.99159619999999904</v>
      </c>
      <c r="Q6790">
        <v>5.6416390000000004E-3</v>
      </c>
      <c r="R6790">
        <v>0.12924859999999999</v>
      </c>
      <c r="S6790">
        <v>3.062103</v>
      </c>
      <c r="T6790">
        <v>-0.75698829999999995</v>
      </c>
      <c r="U6790">
        <v>-0.246566799999999</v>
      </c>
      <c r="V6790">
        <v>-2.0590730000000002E-2</v>
      </c>
      <c r="W6790">
        <v>2.9415960000000001E-2</v>
      </c>
      <c r="X6790">
        <v>0.99935509999999905</v>
      </c>
      <c r="Y6790">
        <v>0.17960960000000001</v>
      </c>
      <c r="Z6790">
        <v>-4.8286129999999997E-2</v>
      </c>
      <c r="AA6790">
        <v>0.98255219999999899</v>
      </c>
      <c r="AB6790">
        <v>13</v>
      </c>
      <c r="AC6790">
        <v>0.64879999999999405</v>
      </c>
      <c r="AD6790">
        <v>-0.1904054</v>
      </c>
      <c r="AE6790">
        <v>-7.5699999999983406E-2</v>
      </c>
      <c r="AF6790">
        <v>0.13442550516378701</v>
      </c>
      <c r="AG6790">
        <v>-0.1904054</v>
      </c>
      <c r="AH6790">
        <v>0.58684640793044396</v>
      </c>
      <c r="AI6790">
        <v>107.55029185378299</v>
      </c>
      <c r="AJ6790">
        <v>77.098169215719807</v>
      </c>
      <c r="AK6790">
        <v>0.63143735975040705</v>
      </c>
    </row>
    <row r="6791" spans="1:37" x14ac:dyDescent="0.2">
      <c r="A6791" t="str">
        <f>"20200111153602787"</f>
        <v>20200111153602787</v>
      </c>
      <c r="B6791" t="str">
        <f>"1578728162782732"</f>
        <v>1578728162782732</v>
      </c>
      <c r="C6791" t="s">
        <v>37</v>
      </c>
      <c r="D6791">
        <v>4.4544980000000001</v>
      </c>
      <c r="E6791">
        <v>0.57704739999999999</v>
      </c>
      <c r="F6791" t="s">
        <v>40</v>
      </c>
      <c r="G6791">
        <v>-110.5134</v>
      </c>
      <c r="H6791">
        <v>0.92049409999999898</v>
      </c>
      <c r="I6791">
        <v>137.7099</v>
      </c>
      <c r="J6791">
        <v>-111.14960000000001</v>
      </c>
      <c r="K6791">
        <v>1.1069450000000001</v>
      </c>
      <c r="L6791">
        <v>137.78370000000001</v>
      </c>
      <c r="M6791">
        <v>0.99371500000000001</v>
      </c>
      <c r="N6791">
        <v>0</v>
      </c>
      <c r="O6791">
        <v>0.1090942</v>
      </c>
      <c r="P6791">
        <v>0.99159409999999903</v>
      </c>
      <c r="Q6791">
        <v>4.4862019999999999E-3</v>
      </c>
      <c r="R6791">
        <v>0.12930899999999901</v>
      </c>
      <c r="S6791">
        <v>3.0614779999999899</v>
      </c>
      <c r="T6791">
        <v>-0.75401209999999996</v>
      </c>
      <c r="U6791">
        <v>-0.24366759999999901</v>
      </c>
      <c r="V6791">
        <v>-2.0330939999999999E-2</v>
      </c>
      <c r="W6791">
        <v>2.9553699999999999E-2</v>
      </c>
      <c r="X6791">
        <v>0.99935640000000003</v>
      </c>
      <c r="Y6791">
        <v>0.17908299999999999</v>
      </c>
      <c r="Z6791">
        <v>-4.8125460000000002E-2</v>
      </c>
      <c r="AA6791">
        <v>0.98265619999999998</v>
      </c>
      <c r="AB6791">
        <v>12</v>
      </c>
      <c r="AC6791">
        <v>0.63620000000000199</v>
      </c>
      <c r="AD6791">
        <v>-0.1864509</v>
      </c>
      <c r="AE6791">
        <v>-7.3800000000005597E-2</v>
      </c>
      <c r="AF6791">
        <v>0.13163114699542999</v>
      </c>
      <c r="AG6791">
        <v>-0.1864509</v>
      </c>
      <c r="AH6791">
        <v>0.57556769018802201</v>
      </c>
      <c r="AI6791">
        <v>107.525571233975</v>
      </c>
      <c r="AJ6791">
        <v>77.118109775296901</v>
      </c>
      <c r="AK6791">
        <v>0.61916787946284602</v>
      </c>
    </row>
    <row r="6792" spans="1:37" x14ac:dyDescent="0.2">
      <c r="A6792" t="str">
        <f>"20200111153602809"</f>
        <v>20200111153602809</v>
      </c>
      <c r="B6792" t="str">
        <f>"1578728162802235"</f>
        <v>1578728162802235</v>
      </c>
      <c r="C6792" t="s">
        <v>37</v>
      </c>
      <c r="D6792">
        <v>4.4532040000000004</v>
      </c>
      <c r="E6792">
        <v>0.57697799999999999</v>
      </c>
      <c r="F6792" t="s">
        <v>40</v>
      </c>
      <c r="G6792">
        <v>-110.4104</v>
      </c>
      <c r="H6792">
        <v>0.92484619999999995</v>
      </c>
      <c r="I6792">
        <v>137.726</v>
      </c>
      <c r="J6792">
        <v>-111.03879999999999</v>
      </c>
      <c r="K6792">
        <v>1.1071759999999999</v>
      </c>
      <c r="L6792">
        <v>137.7963</v>
      </c>
      <c r="M6792">
        <v>0.99365040000000004</v>
      </c>
      <c r="N6792">
        <v>0</v>
      </c>
      <c r="O6792">
        <v>0.1093831</v>
      </c>
      <c r="P6792">
        <v>0.99160409999999899</v>
      </c>
      <c r="Q6792">
        <v>2.7908199999999998E-3</v>
      </c>
      <c r="R6792">
        <v>0.1292808</v>
      </c>
      <c r="S6792">
        <v>3.0600130000000001</v>
      </c>
      <c r="T6792">
        <v>-0.75387329999999997</v>
      </c>
      <c r="U6792">
        <v>-0.23898320000000001</v>
      </c>
      <c r="V6792">
        <v>-2.0006670000000001E-2</v>
      </c>
      <c r="W6792">
        <v>2.9128069999999999E-2</v>
      </c>
      <c r="X6792">
        <v>0.99937549999999997</v>
      </c>
      <c r="Y6792">
        <v>0.1779337</v>
      </c>
      <c r="Z6792">
        <v>-4.8072839999999999E-2</v>
      </c>
      <c r="AA6792">
        <v>0.98286749999999901</v>
      </c>
      <c r="AB6792">
        <v>12</v>
      </c>
      <c r="AC6792">
        <v>0.62839999999999896</v>
      </c>
      <c r="AD6792">
        <v>-0.18232979999999999</v>
      </c>
      <c r="AE6792">
        <v>-7.0300000000003096E-2</v>
      </c>
      <c r="AF6792">
        <v>0.127995757924659</v>
      </c>
      <c r="AG6792">
        <v>-0.18232979999999999</v>
      </c>
      <c r="AH6792">
        <v>0.569576452675845</v>
      </c>
      <c r="AI6792">
        <v>107.344925330667</v>
      </c>
      <c r="AJ6792">
        <v>77.334835740974</v>
      </c>
      <c r="AK6792">
        <v>0.61159169832294702</v>
      </c>
    </row>
    <row r="6793" spans="1:37" x14ac:dyDescent="0.2">
      <c r="A6793" t="str">
        <f>"20200111153602831"</f>
        <v>20200111153602831</v>
      </c>
      <c r="B6793" t="str">
        <f>"1578728162822732"</f>
        <v>1578728162822732</v>
      </c>
      <c r="C6793" t="s">
        <v>37</v>
      </c>
      <c r="D6793">
        <v>4.464899</v>
      </c>
      <c r="E6793">
        <v>0.57693830000000002</v>
      </c>
      <c r="F6793" t="s">
        <v>40</v>
      </c>
      <c r="G6793">
        <v>-110.31140000000001</v>
      </c>
      <c r="H6793">
        <v>0.9269984</v>
      </c>
      <c r="I6793">
        <v>137.73939999999999</v>
      </c>
      <c r="J6793">
        <v>-110.9329</v>
      </c>
      <c r="K6793">
        <v>1.107264</v>
      </c>
      <c r="L6793">
        <v>137.8083</v>
      </c>
      <c r="M6793">
        <v>0.99359419999999898</v>
      </c>
      <c r="N6793">
        <v>0</v>
      </c>
      <c r="O6793">
        <v>0.1096857</v>
      </c>
      <c r="P6793">
        <v>0.99159969999999997</v>
      </c>
      <c r="Q6793">
        <v>2.162518E-3</v>
      </c>
      <c r="R6793">
        <v>0.12932839999999901</v>
      </c>
      <c r="S6793">
        <v>3.0586549999999999</v>
      </c>
      <c r="T6793">
        <v>-0.75769149999999996</v>
      </c>
      <c r="U6793">
        <v>-0.23864749999999901</v>
      </c>
      <c r="V6793">
        <v>-1.9746820000000002E-2</v>
      </c>
      <c r="W6793">
        <v>2.9356859999999999E-2</v>
      </c>
      <c r="X6793">
        <v>0.99937389999999904</v>
      </c>
      <c r="Y6793">
        <v>0.17805599999999999</v>
      </c>
      <c r="Z6793">
        <v>-4.8419240000000002E-2</v>
      </c>
      <c r="AA6793">
        <v>0.98282839999999905</v>
      </c>
      <c r="AB6793">
        <v>11</v>
      </c>
      <c r="AC6793">
        <v>0.62149999999999705</v>
      </c>
      <c r="AD6793">
        <v>-0.1802656</v>
      </c>
      <c r="AE6793">
        <v>-6.8900000000013506E-2</v>
      </c>
      <c r="AF6793">
        <v>0.126191444206016</v>
      </c>
      <c r="AG6793">
        <v>-0.1802656</v>
      </c>
      <c r="AH6793">
        <v>0.56336728706095796</v>
      </c>
      <c r="AI6793">
        <v>107.34053147494301</v>
      </c>
      <c r="AJ6793">
        <v>77.374437003082903</v>
      </c>
      <c r="AK6793">
        <v>0.60481622602620699</v>
      </c>
    </row>
    <row r="6794" spans="1:37" x14ac:dyDescent="0.2">
      <c r="A6794" t="str">
        <f>"20200111153602853"</f>
        <v>20200111153602853</v>
      </c>
      <c r="B6794" t="str">
        <f>"1578728162842251"</f>
        <v>1578728162842251</v>
      </c>
      <c r="C6794" t="s">
        <v>37</v>
      </c>
      <c r="D6794">
        <v>4.4370320000000003</v>
      </c>
      <c r="E6794">
        <v>0.57685620000000004</v>
      </c>
      <c r="F6794" t="s">
        <v>40</v>
      </c>
      <c r="G6794">
        <v>-110.21420000000001</v>
      </c>
      <c r="H6794">
        <v>0.92914300000000005</v>
      </c>
      <c r="I6794">
        <v>137.75219999999999</v>
      </c>
      <c r="J6794">
        <v>-110.8248</v>
      </c>
      <c r="K6794">
        <v>1.107148</v>
      </c>
      <c r="L6794">
        <v>137.82060000000001</v>
      </c>
      <c r="M6794">
        <v>0.99355519999999997</v>
      </c>
      <c r="N6794">
        <v>0</v>
      </c>
      <c r="O6794">
        <v>0.1100318</v>
      </c>
      <c r="P6794">
        <v>0.99160190000000004</v>
      </c>
      <c r="Q6794">
        <v>2.0627879999999999E-3</v>
      </c>
      <c r="R6794">
        <v>0.12931129999999999</v>
      </c>
      <c r="S6794">
        <v>3.058182</v>
      </c>
      <c r="T6794">
        <v>-0.75800049999999997</v>
      </c>
      <c r="U6794">
        <v>-0.23855589999999999</v>
      </c>
      <c r="V6794">
        <v>-1.938136E-2</v>
      </c>
      <c r="W6794">
        <v>2.928012E-2</v>
      </c>
      <c r="X6794">
        <v>0.99938329999999997</v>
      </c>
      <c r="Y6794">
        <v>0.17835200000000001</v>
      </c>
      <c r="Z6794">
        <v>-4.856601E-2</v>
      </c>
      <c r="AA6794">
        <v>0.98276749999999902</v>
      </c>
      <c r="AB6794">
        <v>11</v>
      </c>
      <c r="AC6794">
        <v>0.61059999999999004</v>
      </c>
      <c r="AD6794">
        <v>-0.178004999999999</v>
      </c>
      <c r="AE6794">
        <v>-6.8400000000025302E-2</v>
      </c>
      <c r="AF6794">
        <v>0.124726016009903</v>
      </c>
      <c r="AG6794">
        <v>-0.178004999999999</v>
      </c>
      <c r="AH6794">
        <v>0.55294979126708299</v>
      </c>
      <c r="AI6794">
        <v>107.43381197392</v>
      </c>
      <c r="AJ6794">
        <v>77.288818214237295</v>
      </c>
      <c r="AK6794">
        <v>0.59413452244168896</v>
      </c>
    </row>
    <row r="6795" spans="1:37" x14ac:dyDescent="0.2">
      <c r="A6795" t="str">
        <f>"20200111153602875"</f>
        <v>20200111153602875</v>
      </c>
      <c r="B6795" t="str">
        <f>"1578728162872508"</f>
        <v>1578728162872508</v>
      </c>
      <c r="C6795" t="s">
        <v>37</v>
      </c>
      <c r="D6795">
        <v>4.4347459999999996</v>
      </c>
      <c r="E6795">
        <v>0.57666839999999997</v>
      </c>
      <c r="F6795" t="s">
        <v>40</v>
      </c>
      <c r="G6795">
        <v>-110.11709999999999</v>
      </c>
      <c r="H6795">
        <v>0.93170090000000005</v>
      </c>
      <c r="I6795">
        <v>137.7653</v>
      </c>
      <c r="J6795">
        <v>-110.7188</v>
      </c>
      <c r="K6795">
        <v>1.1069040000000001</v>
      </c>
      <c r="L6795">
        <v>137.83279999999999</v>
      </c>
      <c r="M6795">
        <v>0.99353400000000003</v>
      </c>
      <c r="N6795">
        <v>0</v>
      </c>
      <c r="O6795">
        <v>0.11037950000000001</v>
      </c>
      <c r="P6795">
        <v>0.99158840000000004</v>
      </c>
      <c r="Q6795">
        <v>2.5160569999999999E-3</v>
      </c>
      <c r="R6795">
        <v>0.12940670000000001</v>
      </c>
      <c r="S6795">
        <v>3.0580750000000001</v>
      </c>
      <c r="T6795">
        <v>-0.75827089999999997</v>
      </c>
      <c r="U6795">
        <v>-0.23841860000000001</v>
      </c>
      <c r="V6795">
        <v>-1.9131749999999999E-2</v>
      </c>
      <c r="W6795">
        <v>2.9087080000000001E-2</v>
      </c>
      <c r="X6795">
        <v>0.9993938</v>
      </c>
      <c r="Y6795">
        <v>0.17862720000000001</v>
      </c>
      <c r="Z6795">
        <v>-4.8702250000000002E-2</v>
      </c>
      <c r="AA6795">
        <v>0.98271070000000005</v>
      </c>
      <c r="AB6795">
        <v>11</v>
      </c>
      <c r="AC6795">
        <v>0.60170000000000801</v>
      </c>
      <c r="AD6795">
        <v>-0.1752031</v>
      </c>
      <c r="AE6795">
        <v>-6.7499999999995397E-2</v>
      </c>
      <c r="AF6795">
        <v>0.12320947849415601</v>
      </c>
      <c r="AG6795">
        <v>-0.1752031</v>
      </c>
      <c r="AH6795">
        <v>0.54493859478137996</v>
      </c>
      <c r="AI6795">
        <v>107.41112190787</v>
      </c>
      <c r="AJ6795">
        <v>77.259756026596094</v>
      </c>
      <c r="AK6795">
        <v>0.58552094234341201</v>
      </c>
    </row>
    <row r="6796" spans="1:37" x14ac:dyDescent="0.2">
      <c r="A6796" t="str">
        <f>"20200111153602897"</f>
        <v>20200111153602897</v>
      </c>
      <c r="B6796" t="str">
        <f>"1578728162892030"</f>
        <v>1578728162892030</v>
      </c>
      <c r="C6796" t="s">
        <v>37</v>
      </c>
      <c r="D6796">
        <v>4.4367019999999897</v>
      </c>
      <c r="E6796">
        <v>0.57672840000000003</v>
      </c>
      <c r="F6796" t="s">
        <v>40</v>
      </c>
      <c r="G6796">
        <v>-110.0205</v>
      </c>
      <c r="H6796">
        <v>0.93437870000000001</v>
      </c>
      <c r="I6796">
        <v>137.77879999999999</v>
      </c>
      <c r="J6796">
        <v>-110.6131</v>
      </c>
      <c r="K6796">
        <v>1.106692</v>
      </c>
      <c r="L6796">
        <v>137.8449</v>
      </c>
      <c r="M6796">
        <v>0.99351420000000001</v>
      </c>
      <c r="N6796">
        <v>0</v>
      </c>
      <c r="O6796">
        <v>0.11072360000000001</v>
      </c>
      <c r="P6796">
        <v>0.9915292</v>
      </c>
      <c r="Q6796">
        <v>3.0418809999999902E-3</v>
      </c>
      <c r="R6796">
        <v>0.12984789999999999</v>
      </c>
      <c r="S6796">
        <v>3.0582119999999899</v>
      </c>
      <c r="T6796">
        <v>-0.7555906</v>
      </c>
      <c r="U6796">
        <v>-0.23638919999999999</v>
      </c>
      <c r="V6796">
        <v>-1.9233839999999999E-2</v>
      </c>
      <c r="W6796">
        <v>2.8910720000000001E-2</v>
      </c>
      <c r="X6796">
        <v>0.99939690000000003</v>
      </c>
      <c r="Y6796">
        <v>0.178372</v>
      </c>
      <c r="Z6796">
        <v>-4.8585879999999998E-2</v>
      </c>
      <c r="AA6796">
        <v>0.98276289999999999</v>
      </c>
      <c r="AB6796">
        <v>11</v>
      </c>
      <c r="AC6796">
        <v>0.59260000000000401</v>
      </c>
      <c r="AD6796">
        <v>-0.172313299999999</v>
      </c>
      <c r="AE6796">
        <v>-6.6100000000005807E-2</v>
      </c>
      <c r="AF6796">
        <v>0.121207879838871</v>
      </c>
      <c r="AG6796">
        <v>-0.172313299999999</v>
      </c>
      <c r="AH6796">
        <v>0.53680345660338102</v>
      </c>
      <c r="AI6796">
        <v>107.386182603999</v>
      </c>
      <c r="AJ6796">
        <v>77.276233742956293</v>
      </c>
      <c r="AK6796">
        <v>0.57666383145924904</v>
      </c>
    </row>
    <row r="6797" spans="1:37" x14ac:dyDescent="0.2">
      <c r="A6797" t="str">
        <f>"20200111153602920"</f>
        <v>20200111153602920</v>
      </c>
      <c r="B6797" t="str">
        <f>"1578728162912524"</f>
        <v>1578728162912524</v>
      </c>
      <c r="C6797" t="s">
        <v>37</v>
      </c>
      <c r="D6797">
        <v>4.4828400000000004</v>
      </c>
      <c r="E6797">
        <v>0.57671930000000005</v>
      </c>
      <c r="F6797" t="s">
        <v>40</v>
      </c>
      <c r="G6797">
        <v>-109.9252</v>
      </c>
      <c r="H6797">
        <v>0.93729509999999905</v>
      </c>
      <c r="I6797">
        <v>137.7919</v>
      </c>
      <c r="J6797">
        <v>-110.51049999999999</v>
      </c>
      <c r="K6797">
        <v>1.1065750000000001</v>
      </c>
      <c r="L6797">
        <v>137.85679999999999</v>
      </c>
      <c r="M6797">
        <v>0.99348819999999904</v>
      </c>
      <c r="N6797">
        <v>0</v>
      </c>
      <c r="O6797">
        <v>0.1110568</v>
      </c>
      <c r="P6797">
        <v>0.99148760000000002</v>
      </c>
      <c r="Q6797">
        <v>2.9847989999999998E-3</v>
      </c>
      <c r="R6797">
        <v>0.13016739999999999</v>
      </c>
      <c r="S6797">
        <v>3.0587770000000001</v>
      </c>
      <c r="T6797">
        <v>-0.75330330000000001</v>
      </c>
      <c r="U6797">
        <v>-0.23544309999999999</v>
      </c>
      <c r="V6797">
        <v>-1.9221240000000001E-2</v>
      </c>
      <c r="W6797">
        <v>2.842503E-2</v>
      </c>
      <c r="X6797">
        <v>0.999411099999999</v>
      </c>
      <c r="Y6797">
        <v>0.17842720000000001</v>
      </c>
      <c r="Z6797">
        <v>-4.852182E-2</v>
      </c>
      <c r="AA6797">
        <v>0.98275599999999996</v>
      </c>
      <c r="AB6797">
        <v>11</v>
      </c>
      <c r="AC6797">
        <v>0.58529999999998905</v>
      </c>
      <c r="AD6797">
        <v>-0.16927990000000001</v>
      </c>
      <c r="AE6797">
        <v>-6.4899999999994407E-2</v>
      </c>
      <c r="AF6797">
        <v>0.11963521461344299</v>
      </c>
      <c r="AG6797">
        <v>-0.16927990000000001</v>
      </c>
      <c r="AH6797">
        <v>0.53062098932440804</v>
      </c>
      <c r="AI6797">
        <v>107.286682468165</v>
      </c>
      <c r="AJ6797">
        <v>77.294388393760997</v>
      </c>
      <c r="AK6797">
        <v>0.56967262829736498</v>
      </c>
    </row>
    <row r="6798" spans="1:37" x14ac:dyDescent="0.2">
      <c r="A6798" t="str">
        <f>"20200111153602943"</f>
        <v>20200111153602943</v>
      </c>
      <c r="B6798" t="str">
        <f>"1578728162932043"</f>
        <v>1578728162932043</v>
      </c>
      <c r="C6798" t="s">
        <v>37</v>
      </c>
      <c r="D6798">
        <v>4.586049</v>
      </c>
      <c r="E6798">
        <v>0.55260600000000004</v>
      </c>
      <c r="F6798" t="s">
        <v>40</v>
      </c>
      <c r="G6798">
        <v>-109.7491</v>
      </c>
      <c r="H6798">
        <v>0.91896319999999998</v>
      </c>
      <c r="I6798">
        <v>137.79839999999999</v>
      </c>
      <c r="J6798">
        <v>-110.4079</v>
      </c>
      <c r="K6798">
        <v>1.1065129999999901</v>
      </c>
      <c r="L6798">
        <v>137.86869999999999</v>
      </c>
      <c r="M6798">
        <v>0.99345729999999999</v>
      </c>
      <c r="N6798">
        <v>0</v>
      </c>
      <c r="O6798">
        <v>0.1113999</v>
      </c>
      <c r="P6798">
        <v>0.99142209999999997</v>
      </c>
      <c r="Q6798">
        <v>3.3915509999999901E-3</v>
      </c>
      <c r="R6798">
        <v>0.13065650000000001</v>
      </c>
      <c r="S6798">
        <v>3.05876199999999</v>
      </c>
      <c r="T6798">
        <v>-0.75375389999999998</v>
      </c>
      <c r="U6798">
        <v>-0.234130899999999</v>
      </c>
      <c r="V6798">
        <v>-1.9369379999999999E-2</v>
      </c>
      <c r="W6798">
        <v>2.854228E-2</v>
      </c>
      <c r="X6798">
        <v>0.99940490000000004</v>
      </c>
      <c r="Y6798">
        <v>0.17832909999999999</v>
      </c>
      <c r="Z6798">
        <v>-4.8621709999999999E-2</v>
      </c>
      <c r="AA6798">
        <v>0.98276889999999995</v>
      </c>
      <c r="AB6798">
        <v>10</v>
      </c>
      <c r="AC6798">
        <v>0.65879999999999905</v>
      </c>
      <c r="AD6798">
        <v>-0.18754979999999899</v>
      </c>
      <c r="AE6798">
        <v>-7.0300000000003096E-2</v>
      </c>
      <c r="AF6798">
        <v>0.132646347220685</v>
      </c>
      <c r="AG6798">
        <v>-0.18754979999999899</v>
      </c>
      <c r="AH6798">
        <v>0.59887366158496602</v>
      </c>
      <c r="AI6798">
        <v>107.00156318764</v>
      </c>
      <c r="AJ6798">
        <v>77.5110114835133</v>
      </c>
      <c r="AK6798">
        <v>0.64142002108697505</v>
      </c>
    </row>
    <row r="6799" spans="1:37" x14ac:dyDescent="0.2">
      <c r="A6799" t="str">
        <f>"20200111153602969"</f>
        <v>20200111153602969</v>
      </c>
      <c r="B6799" t="str">
        <f>"1578728162962300"</f>
        <v>1578728162962300</v>
      </c>
      <c r="C6799" t="s">
        <v>37</v>
      </c>
      <c r="D6799">
        <v>4.4600059999999999</v>
      </c>
      <c r="E6799">
        <v>0.54403080000000004</v>
      </c>
      <c r="F6799" t="s">
        <v>40</v>
      </c>
      <c r="G6799">
        <v>-109.6644</v>
      </c>
      <c r="H6799">
        <v>0.92633349999999903</v>
      </c>
      <c r="I6799">
        <v>137.85849999999999</v>
      </c>
      <c r="J6799">
        <v>-110.2979</v>
      </c>
      <c r="K6799">
        <v>1.1064369999999999</v>
      </c>
      <c r="L6799">
        <v>137.88149999999999</v>
      </c>
      <c r="M6799">
        <v>0.99342439999999999</v>
      </c>
      <c r="N6799">
        <v>0</v>
      </c>
      <c r="O6799">
        <v>0.1117763</v>
      </c>
      <c r="P6799">
        <v>0.99137690000000001</v>
      </c>
      <c r="Q6799">
        <v>4.4294109999999899E-3</v>
      </c>
      <c r="R6799">
        <v>0.1309679</v>
      </c>
      <c r="S6799">
        <v>3.0339200000000002</v>
      </c>
      <c r="T6799">
        <v>-0.73522589999999999</v>
      </c>
      <c r="U6799">
        <v>-4.1351319999999997E-2</v>
      </c>
      <c r="V6799">
        <v>-1.9304200000000001E-2</v>
      </c>
      <c r="W6799">
        <v>2.9207199999999999E-2</v>
      </c>
      <c r="X6799">
        <v>0.99938700000000003</v>
      </c>
      <c r="Y6799">
        <v>0.1186807</v>
      </c>
      <c r="Z6799">
        <v>-4.0844829999999999E-2</v>
      </c>
      <c r="AA6799">
        <v>0.99209199999999997</v>
      </c>
      <c r="AB6799">
        <v>10</v>
      </c>
      <c r="AC6799">
        <v>0.63349999999999795</v>
      </c>
      <c r="AD6799">
        <v>-0.1801035</v>
      </c>
      <c r="AE6799">
        <v>-2.29999999999961E-2</v>
      </c>
      <c r="AF6799">
        <v>8.6690215562149495E-2</v>
      </c>
      <c r="AG6799">
        <v>-0.1801035</v>
      </c>
      <c r="AH6799">
        <v>0.58012829228534601</v>
      </c>
      <c r="AI6799">
        <v>107.068860474695</v>
      </c>
      <c r="AJ6799">
        <v>81.501018100022506</v>
      </c>
      <c r="AK6799">
        <v>0.61359701734637995</v>
      </c>
    </row>
  </sheetData>
  <phoneticPr fontId="18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2020-07-09T10:52:34Z</dcterms:created>
  <dcterms:modified xsi:type="dcterms:W3CDTF">2020-07-09T10:52:35Z</dcterms:modified>
</cp:coreProperties>
</file>